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omments7.xml" ContentType="application/vnd.openxmlformats-officedocument.spreadsheetml.comments+xml"/>
  <Override PartName="/xl/drawings/drawing3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omments8.xml" ContentType="application/vnd.openxmlformats-officedocument.spreadsheetml.comments+xml"/>
  <Override PartName="/xl/drawings/drawing4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omments9.xml" ContentType="application/vnd.openxmlformats-officedocument.spreadsheetml.comments+xml"/>
  <Override PartName="/xl/drawings/drawing5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omments10.xml" ContentType="application/vnd.openxmlformats-officedocument.spreadsheetml.comments+xml"/>
  <Override PartName="/xl/drawings/drawing6.xml" ContentType="application/vnd.openxmlformats-officedocument.drawing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omments11.xml" ContentType="application/vnd.openxmlformats-officedocument.spreadsheetml.comments+xml"/>
  <Override PartName="/xl/drawings/drawing7.xml" ContentType="application/vnd.openxmlformats-officedocument.drawing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drawings/drawing8.xml" ContentType="application/vnd.openxmlformats-officedocument.drawing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drawings/drawing9.xml" ContentType="application/vnd.openxmlformats-officedocument.drawing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drawings/drawing10.xml" ContentType="application/vnd.openxmlformats-officedocument.drawing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drawings/drawing11.xml" ContentType="application/vnd.openxmlformats-officedocument.drawing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12.xml" ContentType="application/vnd.openxmlformats-officedocument.drawing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drawings/drawing13.xml" ContentType="application/vnd.openxmlformats-officedocument.drawing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drawings/drawing14.xml" ContentType="application/vnd.openxmlformats-officedocument.drawing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drawings/drawing15.xml" ContentType="application/vnd.openxmlformats-officedocument.drawing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drawings/drawing16.xml" ContentType="application/vnd.openxmlformats-officedocument.drawing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drawings/drawing17.xml" ContentType="application/vnd.openxmlformats-officedocument.drawing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drawings/drawing18.xml" ContentType="application/vnd.openxmlformats-officedocument.drawing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drawings/drawing19.xml" ContentType="application/vnd.openxmlformats-officedocument.drawing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drawings/drawing20.xml" ContentType="application/vnd.openxmlformats-officedocument.drawing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drawings/drawing21.xml" ContentType="application/vnd.openxmlformats-officedocument.drawing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drawings/drawing22.xml" ContentType="application/vnd.openxmlformats-officedocument.drawing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drawings/drawing23.xml" ContentType="application/vnd.openxmlformats-officedocument.drawing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drawings/drawing24.xml" ContentType="application/vnd.openxmlformats-officedocument.drawing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drawings/drawing25.xml" ContentType="application/vnd.openxmlformats-officedocument.drawing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drawings/drawing26.xml" ContentType="application/vnd.openxmlformats-officedocument.drawing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drawings/drawing27.xml" ContentType="application/vnd.openxmlformats-officedocument.drawing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drawings/drawing28.xml" ContentType="application/vnd.openxmlformats-officedocument.drawing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drawings/drawing29.xml" ContentType="application/vnd.openxmlformats-officedocument.drawing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drawings/drawing30.xml" ContentType="application/vnd.openxmlformats-officedocument.drawing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drawings/drawing31.xml" ContentType="application/vnd.openxmlformats-officedocument.drawing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drawings/drawing32.xml" ContentType="application/vnd.openxmlformats-officedocument.drawing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drawings/drawing33.xml" ContentType="application/vnd.openxmlformats-officedocument.drawing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drawings/drawing34.xml" ContentType="application/vnd.openxmlformats-officedocument.drawing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drawings/drawing35.xml" ContentType="application/vnd.openxmlformats-officedocument.drawing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drawings/drawing36.xml" ContentType="application/vnd.openxmlformats-officedocument.drawing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drawings/drawing37.xml" ContentType="application/vnd.openxmlformats-officedocument.drawing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drawings/drawing38.xml" ContentType="application/vnd.openxmlformats-officedocument.drawing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drawings/drawing39.xml" ContentType="application/vnd.openxmlformats-officedocument.drawing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drawings/drawing40.xml" ContentType="application/vnd.openxmlformats-officedocument.drawing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drawings/drawing41.xml" ContentType="application/vnd.openxmlformats-officedocument.drawing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drawings/drawing42.xml" ContentType="application/vnd.openxmlformats-officedocument.drawing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drawings/drawing43.xml" ContentType="application/vnd.openxmlformats-officedocument.drawing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codeName="현재_통합_문서"/>
  <mc:AlternateContent xmlns:mc="http://schemas.openxmlformats.org/markup-compatibility/2006">
    <mc:Choice Requires="x15">
      <x15ac:absPath xmlns:x15ac="http://schemas.microsoft.com/office/spreadsheetml/2010/11/ac" url="/Users/shaunkim/Downloads/async/coding/gong_mu_talk/gong_mu_talk/docs/reference/"/>
    </mc:Choice>
  </mc:AlternateContent>
  <xr:revisionPtr revIDLastSave="0" documentId="13_ncr:1_{1C8547D2-0408-4543-A118-C7A3F48228B3}" xr6:coauthVersionLast="47" xr6:coauthVersionMax="47" xr10:uidLastSave="{00000000-0000-0000-0000-000000000000}"/>
  <workbookProtection workbookAlgorithmName="SHA-512" workbookHashValue="RlUTZt1qU1HBWEBxIcmAimUzN4uMTTorw73E5NCOm9JtYmrtY4Rgdntp/5huark4K/Z7ENcAwCX0xHkJlyNyPg==" workbookSaltValue="Ovw6py38q1zdl+su5UWUJg==" workbookSpinCount="100000" lockStructure="1"/>
  <bookViews>
    <workbookView xWindow="0" yWindow="620" windowWidth="25600" windowHeight="28180" tabRatio="927" firstSheet="4" activeTab="16" xr2:uid="{00000000-000D-0000-FFFF-FFFF00000000}"/>
  </bookViews>
  <sheets>
    <sheet name="ii" sheetId="1" state="hidden" r:id="rId1"/>
    <sheet name="gg" sheetId="2" state="hidden" r:id="rId2"/>
    <sheet name="퇴직때까지의 총연봉액" sheetId="3" r:id="rId3"/>
    <sheet name="기준소득월액추정표" sheetId="4" state="hidden" r:id="rId4"/>
    <sheet name="월별실수령액총괄표" sheetId="5" r:id="rId5"/>
    <sheet name="월별지출액총괄표" sheetId="6" r:id="rId6"/>
    <sheet name="기여금납부액총괄표" sheetId="7" r:id="rId7"/>
    <sheet name="직책수당총괄표" sheetId="8" r:id="rId8"/>
    <sheet name="기타수당모음편" sheetId="9" r:id="rId9"/>
    <sheet name="본봉 대 수당 비율" sheetId="10" r:id="rId10"/>
    <sheet name="신규교사만의 연금 예상 수령액" sheetId="11" r:id="rId11"/>
    <sheet name="1호봉증가시 실수령 월순증가액" sheetId="12" r:id="rId12"/>
    <sheet name="교사 자신의 년도별 연봉 차트" sheetId="13" r:id="rId13"/>
    <sheet name="gibon40" sheetId="14" state="hidden" r:id="rId14"/>
    <sheet name="2015 근로소득 간이세액표" sheetId="15" state="hidden" r:id="rId15"/>
    <sheet name="집계표" sheetId="16" state="hidden" r:id="rId16"/>
    <sheet name="2025" sheetId="17" r:id="rId17"/>
    <sheet name="2026" sheetId="18" r:id="rId18"/>
    <sheet name="2027" sheetId="19" r:id="rId19"/>
    <sheet name="2028" sheetId="20" r:id="rId20"/>
    <sheet name="2029" sheetId="21" r:id="rId21"/>
    <sheet name="2030" sheetId="22" r:id="rId22"/>
    <sheet name="2031" sheetId="23" r:id="rId23"/>
    <sheet name="2032" sheetId="24" r:id="rId24"/>
    <sheet name="2033" sheetId="25" r:id="rId25"/>
    <sheet name="2034" sheetId="26" r:id="rId26"/>
    <sheet name="2035" sheetId="27" r:id="rId27"/>
    <sheet name="2036" sheetId="28" r:id="rId28"/>
    <sheet name="2037" sheetId="29" r:id="rId29"/>
    <sheet name="2038" sheetId="30" r:id="rId30"/>
    <sheet name="2039" sheetId="31" r:id="rId31"/>
    <sheet name="2040" sheetId="32" r:id="rId32"/>
    <sheet name="2041" sheetId="33" r:id="rId33"/>
    <sheet name="2042" sheetId="34" r:id="rId34"/>
    <sheet name="2043" sheetId="35" r:id="rId35"/>
    <sheet name="2044" sheetId="36" r:id="rId36"/>
    <sheet name="2045" sheetId="37" r:id="rId37"/>
    <sheet name="2046" sheetId="38" r:id="rId38"/>
    <sheet name="2047" sheetId="39" r:id="rId39"/>
    <sheet name="2048" sheetId="40" r:id="rId40"/>
    <sheet name="2049" sheetId="41" r:id="rId41"/>
    <sheet name="2050" sheetId="42" r:id="rId42"/>
    <sheet name="2051" sheetId="43" r:id="rId43"/>
    <sheet name="2052" sheetId="44" r:id="rId44"/>
    <sheet name="2053" sheetId="45" r:id="rId45"/>
    <sheet name="2054" sheetId="46" r:id="rId46"/>
    <sheet name="2055" sheetId="47" r:id="rId47"/>
    <sheet name="2056" sheetId="48" r:id="rId48"/>
    <sheet name="2057" sheetId="49" r:id="rId49"/>
    <sheet name="2058" sheetId="50" r:id="rId50"/>
    <sheet name="2059" sheetId="51" r:id="rId51"/>
    <sheet name="2060" sheetId="52" r:id="rId52"/>
    <sheet name="2061" sheetId="53" r:id="rId53"/>
    <sheet name="2062" sheetId="54" r:id="rId54"/>
    <sheet name="2063" sheetId="55" r:id="rId55"/>
    <sheet name="2064" sheetId="56" r:id="rId56"/>
    <sheet name="2065" sheetId="57" r:id="rId57"/>
    <sheet name="2066" sheetId="58" r:id="rId58"/>
    <sheet name="2015근로소득간이세액표" sheetId="59" state="hidden" r:id="rId59"/>
  </sheets>
  <definedNames>
    <definedName name="_1재직년수">#REF!</definedName>
    <definedName name="_2017봉급예상인상률" localSheetId="14">#REF!</definedName>
    <definedName name="_2017봉급예상인상률" localSheetId="10">#REF!</definedName>
    <definedName name="_2017봉급예상인상률" localSheetId="1">#REF!</definedName>
    <definedName name="_2017봉급예상인상률" localSheetId="13">#REF!</definedName>
    <definedName name="_2017봉급예상인상률" localSheetId="0">#REF!</definedName>
    <definedName name="_2017봉급예상인상률">#REF!</definedName>
    <definedName name="_2017봉급인상률" localSheetId="14">#REF!</definedName>
    <definedName name="_2017봉급인상률" localSheetId="10">#REF!</definedName>
    <definedName name="_2017봉급인상률" localSheetId="1">#REF!</definedName>
    <definedName name="_2017봉급인상률" localSheetId="13">#REF!</definedName>
    <definedName name="_2017봉급인상률" localSheetId="0">#REF!</definedName>
    <definedName name="_2017봉급인상률">#REF!</definedName>
    <definedName name="내년성과급" localSheetId="14">#REF!</definedName>
    <definedName name="내년성과급" localSheetId="10">#REF!</definedName>
    <definedName name="내년성과급" localSheetId="1">#REF!</definedName>
    <definedName name="내년성과급" localSheetId="13">#REF!</definedName>
    <definedName name="내년성과급" localSheetId="0">#REF!</definedName>
    <definedName name="내년성과급">#REF!</definedName>
    <definedName name="내년성과급_등급" localSheetId="14">#REF!</definedName>
    <definedName name="내년성과급_등급" localSheetId="10">#REF!</definedName>
    <definedName name="내년성과급_등급" localSheetId="1">#REF!</definedName>
    <definedName name="내년성과급_등급" localSheetId="13">#REF!</definedName>
    <definedName name="내년성과급_등급" localSheetId="0">#REF!</definedName>
    <definedName name="내년성과급_등급">#REF!</definedName>
    <definedName name="내년성과급지급월" localSheetId="14">#REF!</definedName>
    <definedName name="내년성과급지급월" localSheetId="10">#REF!</definedName>
    <definedName name="내년성과급지급월" localSheetId="1">#REF!</definedName>
    <definedName name="내년성과급지급월" localSheetId="13">#REF!</definedName>
    <definedName name="내년성과급지급월" localSheetId="0">#REF!</definedName>
    <definedName name="내년성과급지급월">#REF!</definedName>
    <definedName name="내년승급월" localSheetId="14">#REF!</definedName>
    <definedName name="내년승급월">#REF!</definedName>
    <definedName name="내년재직년수" localSheetId="14">#REF!</definedName>
    <definedName name="내년재직년수" localSheetId="10">#REF!</definedName>
    <definedName name="내년재직년수" localSheetId="1">#REF!</definedName>
    <definedName name="내년재직년수" localSheetId="13">#REF!</definedName>
    <definedName name="내년재직년수" localSheetId="0">#REF!</definedName>
    <definedName name="내년재직년수">#REF!</definedName>
    <definedName name="내년호봉" localSheetId="14">#REF!</definedName>
    <definedName name="내년호봉">#REF!</definedName>
    <definedName name="내년호봉본봉" localSheetId="14">#REF!</definedName>
    <definedName name="내년호봉본봉" localSheetId="10">#REF!</definedName>
    <definedName name="내년호봉본봉" localSheetId="1">#REF!</definedName>
    <definedName name="내년호봉본봉" localSheetId="13">#REF!</definedName>
    <definedName name="내년호봉본봉" localSheetId="0">#REF!</definedName>
    <definedName name="내년호봉본봉">#REF!</definedName>
    <definedName name="내년호봉표" localSheetId="14">#REF!</definedName>
    <definedName name="내년호봉표" localSheetId="10">#REF!</definedName>
    <definedName name="내년호봉표" localSheetId="1">#REF!</definedName>
    <definedName name="내년호봉표" localSheetId="13">#REF!</definedName>
    <definedName name="내년호봉표" localSheetId="0">#REF!</definedName>
    <definedName name="내년호봉표">#REF!</definedName>
    <definedName name="내년호봉표예요." localSheetId="14">#REF!</definedName>
    <definedName name="내년호봉표예요.">#REF!</definedName>
    <definedName name="데이터" localSheetId="14">#REF!</definedName>
    <definedName name="데이터" localSheetId="10">#REF!</definedName>
    <definedName name="데이터">#REF!</definedName>
    <definedName name="미리보는호봉표" localSheetId="14">#REF!</definedName>
    <definedName name="미리보는호봉표" localSheetId="10">#REF!</definedName>
    <definedName name="미리보는호봉표" localSheetId="1">#REF!</definedName>
    <definedName name="미리보는호봉표" localSheetId="0">#REF!</definedName>
    <definedName name="미리보는호봉표">#REF!</definedName>
    <definedName name="성과급" localSheetId="14">#REF!</definedName>
    <definedName name="성과급" localSheetId="10">#REF!</definedName>
    <definedName name="성과급" localSheetId="1">#REF!</definedName>
    <definedName name="성과급" localSheetId="13">#REF!</definedName>
    <definedName name="성과급" localSheetId="0">#REF!</definedName>
    <definedName name="성과급">집계표!#REF!</definedName>
    <definedName name="성과급_등급" localSheetId="14">#REF!</definedName>
    <definedName name="성과급_등급" localSheetId="10">#REF!</definedName>
    <definedName name="성과급_등급" localSheetId="1">#REF!</definedName>
    <definedName name="성과급_등급" localSheetId="13">#REF!</definedName>
    <definedName name="성과급_등급" localSheetId="0">#REF!</definedName>
    <definedName name="성과급_등급">집계표!#REF!</definedName>
    <definedName name="성과급_지급월은?">집계표!$I$6:$I$17</definedName>
    <definedName name="승급월">집계표!$I$6:$I$17</definedName>
    <definedName name="여부" localSheetId="14">#REF!</definedName>
    <definedName name="여부" localSheetId="10">#REF!</definedName>
    <definedName name="여부" localSheetId="1">#REF!</definedName>
    <definedName name="여부" localSheetId="13">#REF!</definedName>
    <definedName name="여부" localSheetId="0">#REF!</definedName>
    <definedName name="여부">#REF!</definedName>
    <definedName name="요일" localSheetId="14">{0,1,2,3,4,5,6}</definedName>
    <definedName name="요일" localSheetId="13">{0,1,2,3,4,5,6}</definedName>
    <definedName name="요일">{0,1,2,3,4,5,6}</definedName>
    <definedName name="월" localSheetId="14">{"1월","2월","3월","4월","5월","6월","7월","8월","9월","10월","11월","12월"}</definedName>
    <definedName name="월" localSheetId="13">{"1월","2월","3월","4월","5월","6월","7월","8월","9월","10월","11월","12월"}</definedName>
    <definedName name="월">{"1월","2월","3월","4월","5월","6월","7월","8월","9월","10월","11월","12월"}</definedName>
    <definedName name="재직년수는?" localSheetId="14">#REF!</definedName>
    <definedName name="재직년수는?" localSheetId="1">#REF!</definedName>
    <definedName name="재직년수는?" localSheetId="13">#REF!</definedName>
    <definedName name="재직년수는?" localSheetId="0">#REF!</definedName>
    <definedName name="재직년수는?">집계표!$N$4:$N$49</definedName>
    <definedName name="평일" localSheetId="14">{"월요일","화요일","수요일","목요일","금요일","토요일","일요일"}</definedName>
    <definedName name="평일" localSheetId="13">{"월요일","화요일","수요일","목요일","금요일","토요일","일요일"}</definedName>
    <definedName name="평일">{"월요일","화요일","수요일","목요일","금요일","토요일","일요일"}</definedName>
    <definedName name="호봉">#REF!</definedName>
    <definedName name="호봉_본봉">집계표!$B$4:$B$46</definedName>
    <definedName name="호봉표" localSheetId="15">집계표!$B$4:$B$46</definedName>
    <definedName name="호봉표">집계표!$B$4:$B$46</definedName>
    <definedName name="호봉표예요.">집계표!$B$4:$B$46</definedName>
    <definedName name="Beg_Bal" localSheetId="14">#REF!</definedName>
    <definedName name="Beg_Bal" localSheetId="10">#REF!</definedName>
    <definedName name="Beg_Bal" localSheetId="13">#REF!</definedName>
    <definedName name="Beg_Bal">#REF!</definedName>
    <definedName name="Calendar10Month">#REF!</definedName>
    <definedName name="Calendar10MonthOption" localSheetId="14">MATCH(Calendar10Month,'2015 근로소득 간이세액표'!월,0)</definedName>
    <definedName name="Calendar10MonthOption" localSheetId="13">MATCH(Calendar10Month,gibon40!월,0)</definedName>
    <definedName name="Calendar10MonthOption">MATCH(Calendar10Month,월,0)</definedName>
    <definedName name="Calendar10Year">#REF!</definedName>
    <definedName name="Calendar11Month">#REF!</definedName>
    <definedName name="Calendar11MonthOption" localSheetId="14">MATCH(Calendar11Month,'2015 근로소득 간이세액표'!월,0)</definedName>
    <definedName name="Calendar11MonthOption" localSheetId="13">MATCH(Calendar11Month,gibon40!월,0)</definedName>
    <definedName name="Calendar11MonthOption">MATCH(Calendar11Month,월,0)</definedName>
    <definedName name="Calendar11Year">#REF!</definedName>
    <definedName name="Calendar12Month">#REF!</definedName>
    <definedName name="Calendar12MonthOption" localSheetId="14">MATCH(Calendar12Month,'2015 근로소득 간이세액표'!월,0)</definedName>
    <definedName name="Calendar12MonthOption" localSheetId="13">MATCH(Calendar12Month,gibon40!월,0)</definedName>
    <definedName name="Calendar12MonthOption">MATCH(Calendar12Month,월,0)</definedName>
    <definedName name="Calendar12Year">#REF!</definedName>
    <definedName name="Calendar1Month">#REF!</definedName>
    <definedName name="Calendar1MonthOption" localSheetId="14">MATCH(Calendar1Month,'2015 근로소득 간이세액표'!월,0)</definedName>
    <definedName name="Calendar1MonthOption" localSheetId="13">MATCH(Calendar1Month,gibon40!월,0)</definedName>
    <definedName name="Calendar1MonthOption">MATCH(Calendar1Month,월,0)</definedName>
    <definedName name="Calendar1Year">#REF!</definedName>
    <definedName name="Calendar2Month">#REF!</definedName>
    <definedName name="Calendar2MonthOption" localSheetId="14">MATCH(Calendar2Month,'2015 근로소득 간이세액표'!월,0)</definedName>
    <definedName name="Calendar2MonthOption" localSheetId="13">MATCH(Calendar2Month,gibon40!월,0)</definedName>
    <definedName name="Calendar2MonthOption">MATCH(Calendar2Month,월,0)</definedName>
    <definedName name="Calendar2Year">#REF!</definedName>
    <definedName name="Calendar3Month">#REF!</definedName>
    <definedName name="Calendar3MonthOption" localSheetId="14">MATCH(Calendar3Month,'2015 근로소득 간이세액표'!월,0)</definedName>
    <definedName name="Calendar3MonthOption" localSheetId="13">MATCH(Calendar3Month,gibon40!월,0)</definedName>
    <definedName name="Calendar3MonthOption">MATCH(Calendar3Month,월,0)</definedName>
    <definedName name="Calendar3Year">#REF!</definedName>
    <definedName name="Calendar4Month">#REF!</definedName>
    <definedName name="Calendar4MonthOption" localSheetId="14">MATCH(Calendar4Month,'2015 근로소득 간이세액표'!월,0)</definedName>
    <definedName name="Calendar4MonthOption" localSheetId="13">MATCH(Calendar4Month,gibon40!월,0)</definedName>
    <definedName name="Calendar4MonthOption">MATCH(Calendar4Month,월,0)</definedName>
    <definedName name="Calendar4Year">#REF!</definedName>
    <definedName name="Calendar5Month">#REF!</definedName>
    <definedName name="Calendar5MonthOption" localSheetId="14">MATCH(Calendar5Month,'2015 근로소득 간이세액표'!월,0)</definedName>
    <definedName name="Calendar5MonthOption" localSheetId="13">MATCH(Calendar5Month,gibon40!월,0)</definedName>
    <definedName name="Calendar5MonthOption">MATCH(Calendar5Month,월,0)</definedName>
    <definedName name="Calendar5Year">#REF!</definedName>
    <definedName name="Calendar6Month">#REF!</definedName>
    <definedName name="Calendar6MonthOption" localSheetId="14">MATCH(Calendar6Month,'2015 근로소득 간이세액표'!월,0)</definedName>
    <definedName name="Calendar6MonthOption" localSheetId="13">MATCH(Calendar6Month,gibon40!월,0)</definedName>
    <definedName name="Calendar6MonthOption">MATCH(Calendar6Month,월,0)</definedName>
    <definedName name="Calendar6Year">#REF!</definedName>
    <definedName name="Calendar7Month">#REF!</definedName>
    <definedName name="Calendar7MonthOption" localSheetId="14">MATCH(Calendar7Month,'2015 근로소득 간이세액표'!월,0)</definedName>
    <definedName name="Calendar7MonthOption" localSheetId="13">MATCH(Calendar7Month,gibon40!월,0)</definedName>
    <definedName name="Calendar7MonthOption">MATCH(Calendar7Month,월,0)</definedName>
    <definedName name="Calendar7Year">#REF!</definedName>
    <definedName name="Calendar8Month">#REF!</definedName>
    <definedName name="Calendar8MonthOption" localSheetId="14">MATCH(Calendar8Month,'2015 근로소득 간이세액표'!월,0)</definedName>
    <definedName name="Calendar8MonthOption" localSheetId="13">MATCH(Calendar8Month,gibon40!월,0)</definedName>
    <definedName name="Calendar8MonthOption">MATCH(Calendar8Month,월,0)</definedName>
    <definedName name="Calendar8Year">#REF!</definedName>
    <definedName name="Calendar9Month">#REF!</definedName>
    <definedName name="Calendar9MonthOption" localSheetId="14">MATCH(Calendar9Month,'2015 근로소득 간이세액표'!월,0)</definedName>
    <definedName name="Calendar9MonthOption" localSheetId="13">MATCH(Calendar9Month,gibon40!월,0)</definedName>
    <definedName name="Calendar9MonthOption">MATCH(Calendar9Month,월,0)</definedName>
    <definedName name="Calendar9Year">#REF!</definedName>
    <definedName name="Cum_Int" localSheetId="14">#REF!</definedName>
    <definedName name="Cum_Int" localSheetId="10">#REF!</definedName>
    <definedName name="Cum_Int" localSheetId="13">#REF!</definedName>
    <definedName name="Cum_Int">#REF!</definedName>
    <definedName name="End_Bal" localSheetId="14">#REF!</definedName>
    <definedName name="End_Bal" localSheetId="10">#REF!</definedName>
    <definedName name="End_Bal" localSheetId="13">#REF!</definedName>
    <definedName name="End_Bal">#REF!</definedName>
    <definedName name="Extra_Pay" localSheetId="14">#REF!</definedName>
    <definedName name="Extra_Pay" localSheetId="10">#REF!</definedName>
    <definedName name="Extra_Pay" localSheetId="13">#REF!</definedName>
    <definedName name="Extra_Pay">#REF!</definedName>
    <definedName name="Full_Print" localSheetId="14">#REF!</definedName>
    <definedName name="Full_Print" localSheetId="10">#REF!</definedName>
    <definedName name="Full_Print">#REF!</definedName>
    <definedName name="Header_Row">ROW(#REF!)</definedName>
    <definedName name="Int" localSheetId="14">#REF!</definedName>
    <definedName name="Int" localSheetId="10">#REF!</definedName>
    <definedName name="Int">#REF!</definedName>
    <definedName name="Interest_Rate" localSheetId="14">#REF!</definedName>
    <definedName name="Interest_Rate" localSheetId="10">#REF!</definedName>
    <definedName name="Interest_Rate">#REF!</definedName>
    <definedName name="Last_Row" localSheetId="14">IF('2015 근로소득 간이세액표'!Values_Entered,Header_Row+'2015 근로소득 간이세액표'!Number_of_Payments,Header_Row)</definedName>
    <definedName name="Last_Row" localSheetId="10">IF('신규교사만의 연금 예상 수령액'!Values_Entered,Header_Row+'신규교사만의 연금 예상 수령액'!Number_of_Payments,Header_Row)</definedName>
    <definedName name="Last_Row" localSheetId="13">IF(gibon40!Values_Entered,Header_Row+gibon40!Number_of_Payments,Header_Row)</definedName>
    <definedName name="Last_Row">IF(Values_Entered,Header_Row+Number_of_Payments,Header_Row)</definedName>
    <definedName name="Loan_Amount" localSheetId="14">#REF!</definedName>
    <definedName name="Loan_Amount" localSheetId="10">#REF!</definedName>
    <definedName name="Loan_Amount" localSheetId="13">#REF!</definedName>
    <definedName name="Loan_Amount">#REF!</definedName>
    <definedName name="Loan_Start" localSheetId="14">#REF!</definedName>
    <definedName name="Loan_Start" localSheetId="10">#REF!</definedName>
    <definedName name="Loan_Start" localSheetId="13">#REF!</definedName>
    <definedName name="Loan_Start">#REF!</definedName>
    <definedName name="Loan_Years" localSheetId="14">#REF!</definedName>
    <definedName name="Loan_Years" localSheetId="10">#REF!</definedName>
    <definedName name="Loan_Years" localSheetId="13">#REF!</definedName>
    <definedName name="Loan_Years">#REF!</definedName>
    <definedName name="Num_Pmt_Per_Year" localSheetId="14">#REF!</definedName>
    <definedName name="Num_Pmt_Per_Year" localSheetId="10">#REF!</definedName>
    <definedName name="Num_Pmt_Per_Year">#REF!</definedName>
    <definedName name="Number_of_Payments" localSheetId="14">MATCH(0.01,'2015 근로소득 간이세액표'!End_Bal,-1)+1</definedName>
    <definedName name="Number_of_Payments" localSheetId="10">MATCH(0.01,'신규교사만의 연금 예상 수령액'!End_Bal,-1)+1</definedName>
    <definedName name="Number_of_Payments" localSheetId="13">MATCH(0.01,gibon40!End_Bal,-1)+1</definedName>
    <definedName name="Number_of_Payments">MATCH(0.01,End_Bal,-1)+1</definedName>
    <definedName name="Pay_Date" localSheetId="14">#REF!</definedName>
    <definedName name="Pay_Date" localSheetId="10">#REF!</definedName>
    <definedName name="Pay_Date" localSheetId="13">#REF!</definedName>
    <definedName name="Pay_Date">#REF!</definedName>
    <definedName name="Pay_Num" localSheetId="14">#REF!</definedName>
    <definedName name="Pay_Num" localSheetId="10">#REF!</definedName>
    <definedName name="Pay_Num" localSheetId="13">#REF!</definedName>
    <definedName name="Pay_Num">#REF!</definedName>
    <definedName name="Payment_Date" localSheetId="11">DATE(YEAR(Loan_Start),MONTH(Loan_Start)+Payment_Number,DAY(Loan_Start))</definedName>
    <definedName name="Payment_Date" localSheetId="14">DATE(YEAR('2015 근로소득 간이세액표'!Loan_Start),MONTH('2015 근로소득 간이세액표'!Loan_Start)+Payment_Number,DAY('2015 근로소득 간이세액표'!Loan_Start))</definedName>
    <definedName name="Payment_Date" localSheetId="16">DATE(YEAR(Loan_Start),MONTH(Loan_Start)+Payment_Number,DAY(Loan_Start))</definedName>
    <definedName name="Payment_Date" localSheetId="18">DATE(YEAR(Loan_Start),MONTH(Loan_Start)+Payment_Number,DAY(Loan_Start))</definedName>
    <definedName name="Payment_Date" localSheetId="20">DATE(YEAR(Loan_Start),MONTH(Loan_Start)+Payment_Number,DAY(Loan_Start))</definedName>
    <definedName name="Payment_Date" localSheetId="21">DATE(YEAR(Loan_Start),MONTH(Loan_Start)+Payment_Number,DAY(Loan_Start))</definedName>
    <definedName name="Payment_Date" localSheetId="22">DATE(YEAR(Loan_Start),MONTH(Loan_Start)+Payment_Number,DAY(Loan_Start))</definedName>
    <definedName name="Payment_Date" localSheetId="23">DATE(YEAR(Loan_Start),MONTH(Loan_Start)+Payment_Number,DAY(Loan_Start))</definedName>
    <definedName name="Payment_Date" localSheetId="24">DATE(YEAR(Loan_Start),MONTH(Loan_Start)+Payment_Number,DAY(Loan_Start))</definedName>
    <definedName name="Payment_Date" localSheetId="25">DATE(YEAR(Loan_Start),MONTH(Loan_Start)+Payment_Number,DAY(Loan_Start))</definedName>
    <definedName name="Payment_Date" localSheetId="26">DATE(YEAR(Loan_Start),MONTH(Loan_Start)+Payment_Number,DAY(Loan_Start))</definedName>
    <definedName name="Payment_Date" localSheetId="27">DATE(YEAR(Loan_Start),MONTH(Loan_Start)+Payment_Number,DAY(Loan_Start))</definedName>
    <definedName name="Payment_Date" localSheetId="28">DATE(YEAR(Loan_Start),MONTH(Loan_Start)+Payment_Number,DAY(Loan_Start))</definedName>
    <definedName name="Payment_Date" localSheetId="29">DATE(YEAR(Loan_Start),MONTH(Loan_Start)+Payment_Number,DAY(Loan_Start))</definedName>
    <definedName name="Payment_Date" localSheetId="30">DATE(YEAR(Loan_Start),MONTH(Loan_Start)+Payment_Number,DAY(Loan_Start))</definedName>
    <definedName name="Payment_Date" localSheetId="31">DATE(YEAR(Loan_Start),MONTH(Loan_Start)+Payment_Number,DAY(Loan_Start))</definedName>
    <definedName name="Payment_Date" localSheetId="32">DATE(YEAR(Loan_Start),MONTH(Loan_Start)+Payment_Number,DAY(Loan_Start))</definedName>
    <definedName name="Payment_Date" localSheetId="33">DATE(YEAR(Loan_Start),MONTH(Loan_Start)+Payment_Number,DAY(Loan_Start))</definedName>
    <definedName name="Payment_Date" localSheetId="34">DATE(YEAR(Loan_Start),MONTH(Loan_Start)+Payment_Number,DAY(Loan_Start))</definedName>
    <definedName name="Payment_Date" localSheetId="35">DATE(YEAR(Loan_Start),MONTH(Loan_Start)+Payment_Number,DAY(Loan_Start))</definedName>
    <definedName name="Payment_Date" localSheetId="36">DATE(YEAR(Loan_Start),MONTH(Loan_Start)+Payment_Number,DAY(Loan_Start))</definedName>
    <definedName name="Payment_Date" localSheetId="37">DATE(YEAR(Loan_Start),MONTH(Loan_Start)+Payment_Number,DAY(Loan_Start))</definedName>
    <definedName name="Payment_Date" localSheetId="38">DATE(YEAR(Loan_Start),MONTH(Loan_Start)+Payment_Number,DAY(Loan_Start))</definedName>
    <definedName name="Payment_Date" localSheetId="39">DATE(YEAR(Loan_Start),MONTH(Loan_Start)+Payment_Number,DAY(Loan_Start))</definedName>
    <definedName name="Payment_Date" localSheetId="40">DATE(YEAR(Loan_Start),MONTH(Loan_Start)+Payment_Number,DAY(Loan_Start))</definedName>
    <definedName name="Payment_Date" localSheetId="41">DATE(YEAR(Loan_Start),MONTH(Loan_Start)+Payment_Number,DAY(Loan_Start))</definedName>
    <definedName name="Payment_Date" localSheetId="42">DATE(YEAR(Loan_Start),MONTH(Loan_Start)+Payment_Number,DAY(Loan_Start))</definedName>
    <definedName name="Payment_Date" localSheetId="43">DATE(YEAR(Loan_Start),MONTH(Loan_Start)+Payment_Number,DAY(Loan_Start))</definedName>
    <definedName name="Payment_Date" localSheetId="44">DATE(YEAR(Loan_Start),MONTH(Loan_Start)+Payment_Number,DAY(Loan_Start))</definedName>
    <definedName name="Payment_Date" localSheetId="45">DATE(YEAR(Loan_Start),MONTH(Loan_Start)+Payment_Number,DAY(Loan_Start))</definedName>
    <definedName name="Payment_Date" localSheetId="46">DATE(YEAR(Loan_Start),MONTH(Loan_Start)+Payment_Number,DAY(Loan_Start))</definedName>
    <definedName name="Payment_Date" localSheetId="47">DATE(YEAR(Loan_Start),MONTH(Loan_Start)+Payment_Number,DAY(Loan_Start))</definedName>
    <definedName name="Payment_Date" localSheetId="48">DATE(YEAR(Loan_Start),MONTH(Loan_Start)+Payment_Number,DAY(Loan_Start))</definedName>
    <definedName name="Payment_Date" localSheetId="49">DATE(YEAR(Loan_Start),MONTH(Loan_Start)+Payment_Number,DAY(Loan_Start))</definedName>
    <definedName name="Payment_Date" localSheetId="50">DATE(YEAR(Loan_Start),MONTH(Loan_Start)+Payment_Number,DAY(Loan_Start))</definedName>
    <definedName name="Payment_Date" localSheetId="51">DATE(YEAR(Loan_Start),MONTH(Loan_Start)+Payment_Number,DAY(Loan_Start))</definedName>
    <definedName name="Payment_Date" localSheetId="52">DATE(YEAR(Loan_Start),MONTH(Loan_Start)+Payment_Number,DAY(Loan_Start))</definedName>
    <definedName name="Payment_Date" localSheetId="53">DATE(YEAR(Loan_Start),MONTH(Loan_Start)+Payment_Number,DAY(Loan_Start))</definedName>
    <definedName name="Payment_Date" localSheetId="54">DATE(YEAR(Loan_Start),MONTH(Loan_Start)+Payment_Number,DAY(Loan_Start))</definedName>
    <definedName name="Payment_Date" localSheetId="55">DATE(YEAR(Loan_Start),MONTH(Loan_Start)+Payment_Number,DAY(Loan_Start))</definedName>
    <definedName name="Payment_Date" localSheetId="56">DATE(YEAR(Loan_Start),MONTH(Loan_Start)+Payment_Number,DAY(Loan_Start))</definedName>
    <definedName name="Payment_Date" localSheetId="57">DATE(YEAR(Loan_Start),MONTH(Loan_Start)+Payment_Number,DAY(Loan_Start))</definedName>
    <definedName name="Payment_Date" localSheetId="6">DATE(YEAR(Loan_Start),MONTH(Loan_Start)+Payment_Number,DAY(Loan_Start))</definedName>
    <definedName name="Payment_Date" localSheetId="3">DATE(YEAR(Loan_Start),MONTH(Loan_Start)+Payment_Number,DAY(Loan_Start))</definedName>
    <definedName name="Payment_Date" localSheetId="8">DATE(YEAR(Loan_Start),MONTH(Loan_Start)+Payment_Number,DAY(Loan_Start))</definedName>
    <definedName name="Payment_Date" localSheetId="9">DATE(YEAR(Loan_Start),MONTH(Loan_Start)+Payment_Number,DAY(Loan_Start))</definedName>
    <definedName name="Payment_Date" localSheetId="10">DATE(YEAR('신규교사만의 연금 예상 수령액'!Loan_Start),MONTH('신규교사만의 연금 예상 수령액'!Loan_Start)+Payment_Number,DAY('신규교사만의 연금 예상 수령액'!Loan_Start))</definedName>
    <definedName name="Payment_Date" localSheetId="4">DATE(YEAR(Loan_Start),MONTH(Loan_Start)+Payment_Number,DAY(Loan_Start))</definedName>
    <definedName name="Payment_Date" localSheetId="5">DATE(YEAR(Loan_Start),MONTH(Loan_Start)+Payment_Number,DAY(Loan_Start))</definedName>
    <definedName name="Payment_Date" localSheetId="7">DATE(YEAR(Loan_Start),MONTH(Loan_Start)+Payment_Number,DAY(Loan_Start))</definedName>
    <definedName name="Payment_Date" localSheetId="13">DATE(YEAR(gibon40!Loan_Start),MONTH(gibon40!Loan_Start)+Payment_Number,DAY(gibon40!Loan_Start))</definedName>
    <definedName name="Payment_Date">DATE(YEAR(Loan_Start),MONTH(Loan_Start)+Payment_Number,DAY(Loan_Start))</definedName>
    <definedName name="Princ" localSheetId="14">#REF!</definedName>
    <definedName name="Princ" localSheetId="10">#REF!</definedName>
    <definedName name="Princ" localSheetId="13">#REF!</definedName>
    <definedName name="Princ">#REF!</definedName>
    <definedName name="_xlnm.Print_Area" localSheetId="16">'2025'!$A$1:$N$53</definedName>
    <definedName name="Print_Area_Reset" localSheetId="14">OFFSET('2015 근로소득 간이세액표'!Full_Print,0,0,'2015 근로소득 간이세액표'!Last_Row)</definedName>
    <definedName name="Print_Area_Reset" localSheetId="10">OFFSET('신규교사만의 연금 예상 수령액'!Full_Print,0,0,'신규교사만의 연금 예상 수령액'!Last_Row)</definedName>
    <definedName name="Print_Area_Reset" localSheetId="13">OFFSET(Full_Print,0,0,gibon40!Last_Row)</definedName>
    <definedName name="Print_Area_Reset">OFFSET(Full_Print,0,0,Last_Row)</definedName>
    <definedName name="_xlnm.Print_Titles" localSheetId="14">'2015 근로소득 간이세액표'!$2:$3</definedName>
    <definedName name="_xlnm.Print_Titles" localSheetId="58">'2015근로소득간이세액표'!$2:$3</definedName>
    <definedName name="_xlnm.Print_Titles" localSheetId="16">'2025'!$1:$3</definedName>
    <definedName name="_xlnm.Print_Titles" localSheetId="17">'2026'!$1:$3</definedName>
    <definedName name="Sched_Pay" localSheetId="14">#REF!</definedName>
    <definedName name="Sched_Pay" localSheetId="10">#REF!</definedName>
    <definedName name="Sched_Pay" localSheetId="13">#REF!</definedName>
    <definedName name="Sched_Pay">#REF!</definedName>
    <definedName name="Scheduled_Extra_Payments" localSheetId="14">#REF!</definedName>
    <definedName name="Scheduled_Extra_Payments" localSheetId="10">#REF!</definedName>
    <definedName name="Scheduled_Extra_Payments" localSheetId="13">#REF!</definedName>
    <definedName name="Scheduled_Extra_Payments">#REF!</definedName>
    <definedName name="Scheduled_Interest_Rate" localSheetId="14">#REF!</definedName>
    <definedName name="Scheduled_Interest_Rate" localSheetId="10">#REF!</definedName>
    <definedName name="Scheduled_Interest_Rate" localSheetId="13">#REF!</definedName>
    <definedName name="Scheduled_Interest_Rate">#REF!</definedName>
    <definedName name="Scheduled_Monthly_Payment" localSheetId="14">#REF!</definedName>
    <definedName name="Scheduled_Monthly_Payment" localSheetId="10">#REF!</definedName>
    <definedName name="Scheduled_Monthly_Payment">#REF!</definedName>
    <definedName name="Total_Interest" localSheetId="14">#REF!</definedName>
    <definedName name="Total_Interest" localSheetId="10">#REF!</definedName>
    <definedName name="Total_Interest">#REF!</definedName>
    <definedName name="Total_Pay" localSheetId="14">#REF!</definedName>
    <definedName name="Total_Pay" localSheetId="10">#REF!</definedName>
    <definedName name="Total_Pay">#REF!</definedName>
    <definedName name="Values_Entered" localSheetId="14">IF('2015 근로소득 간이세액표'!Loan_Amount*'2015 근로소득 간이세액표'!Interest_Rate*'2015 근로소득 간이세액표'!Loan_Years*'2015 근로소득 간이세액표'!Loan_Start&gt;0,1,0)</definedName>
    <definedName name="Values_Entered" localSheetId="10">IF('신규교사만의 연금 예상 수령액'!Loan_Amount*'신규교사만의 연금 예상 수령액'!Interest_Rate*'신규교사만의 연금 예상 수령액'!Loan_Years*'신규교사만의 연금 예상 수령액'!Loan_Start&gt;0,1,0)</definedName>
    <definedName name="Values_Entered" localSheetId="13">IF(gibon40!Loan_Amount*Interest_Rate*gibon40!Loan_Years*gibon40!Loan_Start&gt;0,1,0)</definedName>
    <definedName name="Values_Entered">IF(Loan_Amount*Interest_Rate*Loan_Years*Loan_Start&gt;0,1,0)</definedName>
    <definedName name="WeekdayOption" localSheetId="14">MATCH(WeekStart,'2015 근로소득 간이세액표'!평일,0)+10</definedName>
    <definedName name="WeekdayOption" localSheetId="13">MATCH(WeekStart,gibon40!평일,0)+10</definedName>
    <definedName name="WeekdayOption">MATCH(WeekStart,평일,0)+10</definedName>
    <definedName name="WeekStart">#REF!</definedName>
    <definedName name="WeekStartValue" localSheetId="14">IF(WeekStart="월요일",2,1)</definedName>
    <definedName name="WeekStartValue" localSheetId="13">IF(WeekStart="월요일",2,1)</definedName>
    <definedName name="WeekStartValue">IF(WeekStart="월요일",2,1)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" i="17" l="1"/>
  <c r="N5" i="17"/>
  <c r="C33" i="17"/>
  <c r="D33" i="17" s="1"/>
  <c r="E33" i="17" s="1"/>
  <c r="F33" i="17" s="1"/>
  <c r="G33" i="17" s="1"/>
  <c r="H33" i="17" s="1"/>
  <c r="I33" i="17" s="1"/>
  <c r="J33" i="17" s="1"/>
  <c r="K33" i="17" s="1"/>
  <c r="L33" i="17" s="1"/>
  <c r="M33" i="17" s="1"/>
  <c r="C34" i="17"/>
  <c r="D34" i="17" s="1"/>
  <c r="E34" i="17" s="1"/>
  <c r="F34" i="17" s="1"/>
  <c r="G34" i="17" s="1"/>
  <c r="H34" i="17" s="1"/>
  <c r="I34" i="17" s="1"/>
  <c r="J34" i="17" s="1"/>
  <c r="K34" i="17" s="1"/>
  <c r="L34" i="17" s="1"/>
  <c r="M34" i="17" s="1"/>
  <c r="C650" i="59" l="1"/>
  <c r="C649" i="59"/>
  <c r="C648" i="59"/>
  <c r="C647" i="59"/>
  <c r="C646" i="59"/>
  <c r="C645" i="59"/>
  <c r="C644" i="59"/>
  <c r="C643" i="59"/>
  <c r="C642" i="59"/>
  <c r="C641" i="59"/>
  <c r="C640" i="59"/>
  <c r="C639" i="59"/>
  <c r="C638" i="59"/>
  <c r="C637" i="59"/>
  <c r="C636" i="59"/>
  <c r="C635" i="59"/>
  <c r="C634" i="59"/>
  <c r="C633" i="59"/>
  <c r="C632" i="59"/>
  <c r="C631" i="59"/>
  <c r="C630" i="59"/>
  <c r="C629" i="59"/>
  <c r="C628" i="59"/>
  <c r="C627" i="59"/>
  <c r="C626" i="59"/>
  <c r="C625" i="59"/>
  <c r="C624" i="59"/>
  <c r="C623" i="59"/>
  <c r="C622" i="59"/>
  <c r="C621" i="59"/>
  <c r="C620" i="59"/>
  <c r="C619" i="59"/>
  <c r="C618" i="59"/>
  <c r="C617" i="59"/>
  <c r="C616" i="59"/>
  <c r="C615" i="59"/>
  <c r="C614" i="59"/>
  <c r="C613" i="59"/>
  <c r="C612" i="59"/>
  <c r="C611" i="59"/>
  <c r="C610" i="59"/>
  <c r="C609" i="59"/>
  <c r="C608" i="59"/>
  <c r="C607" i="59"/>
  <c r="C606" i="59"/>
  <c r="C605" i="59"/>
  <c r="C604" i="59"/>
  <c r="C603" i="59"/>
  <c r="C602" i="59"/>
  <c r="C601" i="59"/>
  <c r="C600" i="59"/>
  <c r="C599" i="59"/>
  <c r="C598" i="59"/>
  <c r="C597" i="59"/>
  <c r="C596" i="59"/>
  <c r="C595" i="59"/>
  <c r="C594" i="59"/>
  <c r="C593" i="59"/>
  <c r="C592" i="59"/>
  <c r="C591" i="59"/>
  <c r="C590" i="59"/>
  <c r="C589" i="59"/>
  <c r="C588" i="59"/>
  <c r="C587" i="59"/>
  <c r="C586" i="59"/>
  <c r="C585" i="59"/>
  <c r="C584" i="59"/>
  <c r="C583" i="59"/>
  <c r="C582" i="59"/>
  <c r="C581" i="59"/>
  <c r="C580" i="59"/>
  <c r="C579" i="59"/>
  <c r="C578" i="59"/>
  <c r="C577" i="59"/>
  <c r="C576" i="59"/>
  <c r="C575" i="59"/>
  <c r="C574" i="59"/>
  <c r="C573" i="59"/>
  <c r="C572" i="59"/>
  <c r="C571" i="59"/>
  <c r="C570" i="59"/>
  <c r="C569" i="59"/>
  <c r="C568" i="59"/>
  <c r="C567" i="59"/>
  <c r="C566" i="59"/>
  <c r="C565" i="59"/>
  <c r="C564" i="59"/>
  <c r="C563" i="59"/>
  <c r="C562" i="59"/>
  <c r="C561" i="59"/>
  <c r="C560" i="59"/>
  <c r="C559" i="59"/>
  <c r="C558" i="59"/>
  <c r="C557" i="59"/>
  <c r="C556" i="59"/>
  <c r="C555" i="59"/>
  <c r="C554" i="59"/>
  <c r="C553" i="59"/>
  <c r="C552" i="59"/>
  <c r="C551" i="59"/>
  <c r="C550" i="59"/>
  <c r="C549" i="59"/>
  <c r="C548" i="59"/>
  <c r="C547" i="59"/>
  <c r="C546" i="59"/>
  <c r="C545" i="59"/>
  <c r="C544" i="59"/>
  <c r="C543" i="59"/>
  <c r="C542" i="59"/>
  <c r="C541" i="59"/>
  <c r="C540" i="59"/>
  <c r="C539" i="59"/>
  <c r="C538" i="59"/>
  <c r="C537" i="59"/>
  <c r="C536" i="59"/>
  <c r="C535" i="59"/>
  <c r="C534" i="59"/>
  <c r="C533" i="59"/>
  <c r="C532" i="59"/>
  <c r="C531" i="59"/>
  <c r="C530" i="59"/>
  <c r="C529" i="59"/>
  <c r="C528" i="59"/>
  <c r="C527" i="59"/>
  <c r="C526" i="59"/>
  <c r="C525" i="59"/>
  <c r="C524" i="59"/>
  <c r="C523" i="59"/>
  <c r="C522" i="59"/>
  <c r="C521" i="59"/>
  <c r="C520" i="59"/>
  <c r="C519" i="59"/>
  <c r="C518" i="59"/>
  <c r="C517" i="59"/>
  <c r="C516" i="59"/>
  <c r="C515" i="59"/>
  <c r="C514" i="59"/>
  <c r="C513" i="59"/>
  <c r="C512" i="59"/>
  <c r="C511" i="59"/>
  <c r="C510" i="59"/>
  <c r="C509" i="59"/>
  <c r="C508" i="59"/>
  <c r="C507" i="59"/>
  <c r="C506" i="59"/>
  <c r="C505" i="59"/>
  <c r="C504" i="59"/>
  <c r="C503" i="59"/>
  <c r="C502" i="59"/>
  <c r="C501" i="59"/>
  <c r="C500" i="59"/>
  <c r="C499" i="59"/>
  <c r="C498" i="59"/>
  <c r="C497" i="59"/>
  <c r="C496" i="59"/>
  <c r="C495" i="59"/>
  <c r="C494" i="59"/>
  <c r="C493" i="59"/>
  <c r="C492" i="59"/>
  <c r="C491" i="59"/>
  <c r="C490" i="59"/>
  <c r="C489" i="59"/>
  <c r="C488" i="59"/>
  <c r="C487" i="59"/>
  <c r="C486" i="59"/>
  <c r="C485" i="59"/>
  <c r="C484" i="59"/>
  <c r="C483" i="59"/>
  <c r="C482" i="59"/>
  <c r="C481" i="59"/>
  <c r="C480" i="59"/>
  <c r="C479" i="59"/>
  <c r="C478" i="59"/>
  <c r="C477" i="59"/>
  <c r="C476" i="59"/>
  <c r="C475" i="59"/>
  <c r="C474" i="59"/>
  <c r="C473" i="59"/>
  <c r="C472" i="59"/>
  <c r="C471" i="59"/>
  <c r="C470" i="59"/>
  <c r="C469" i="59"/>
  <c r="C468" i="59"/>
  <c r="C467" i="59"/>
  <c r="C466" i="59"/>
  <c r="C465" i="59"/>
  <c r="C464" i="59"/>
  <c r="C463" i="59"/>
  <c r="C462" i="59"/>
  <c r="C461" i="59"/>
  <c r="C460" i="59"/>
  <c r="C459" i="59"/>
  <c r="C458" i="59"/>
  <c r="C457" i="59"/>
  <c r="C456" i="59"/>
  <c r="C455" i="59"/>
  <c r="C454" i="59"/>
  <c r="C453" i="59"/>
  <c r="C452" i="59"/>
  <c r="C451" i="59"/>
  <c r="C450" i="59"/>
  <c r="C449" i="59"/>
  <c r="C448" i="59"/>
  <c r="C447" i="59"/>
  <c r="C446" i="59"/>
  <c r="C445" i="59"/>
  <c r="C444" i="59"/>
  <c r="C443" i="59"/>
  <c r="C442" i="59"/>
  <c r="C441" i="59"/>
  <c r="C440" i="59"/>
  <c r="C439" i="59"/>
  <c r="C438" i="59"/>
  <c r="C437" i="59"/>
  <c r="C436" i="59"/>
  <c r="C435" i="59"/>
  <c r="C434" i="59"/>
  <c r="C433" i="59"/>
  <c r="C432" i="59"/>
  <c r="C431" i="59"/>
  <c r="C430" i="59"/>
  <c r="C429" i="59"/>
  <c r="C428" i="59"/>
  <c r="C427" i="59"/>
  <c r="C426" i="59"/>
  <c r="C425" i="59"/>
  <c r="C424" i="59"/>
  <c r="C423" i="59"/>
  <c r="C422" i="59"/>
  <c r="C421" i="59"/>
  <c r="C420" i="59"/>
  <c r="C419" i="59"/>
  <c r="C418" i="59"/>
  <c r="C417" i="59"/>
  <c r="C416" i="59"/>
  <c r="C415" i="59"/>
  <c r="C414" i="59"/>
  <c r="C413" i="59"/>
  <c r="C412" i="59"/>
  <c r="C411" i="59"/>
  <c r="C410" i="59"/>
  <c r="C409" i="59"/>
  <c r="C408" i="59"/>
  <c r="C407" i="59"/>
  <c r="C406" i="59"/>
  <c r="C405" i="59"/>
  <c r="C404" i="59"/>
  <c r="C403" i="59"/>
  <c r="C402" i="59"/>
  <c r="C401" i="59"/>
  <c r="C400" i="59"/>
  <c r="C399" i="59"/>
  <c r="C398" i="59"/>
  <c r="C397" i="59"/>
  <c r="C396" i="59"/>
  <c r="C395" i="59"/>
  <c r="C394" i="59"/>
  <c r="C393" i="59"/>
  <c r="C392" i="59"/>
  <c r="C391" i="59"/>
  <c r="C390" i="59"/>
  <c r="C389" i="59"/>
  <c r="C388" i="59"/>
  <c r="C387" i="59"/>
  <c r="C386" i="59"/>
  <c r="C385" i="59"/>
  <c r="C384" i="59"/>
  <c r="C383" i="59"/>
  <c r="C382" i="59"/>
  <c r="C381" i="59"/>
  <c r="C380" i="59"/>
  <c r="C379" i="59"/>
  <c r="C378" i="59"/>
  <c r="C377" i="59"/>
  <c r="C376" i="59"/>
  <c r="C375" i="59"/>
  <c r="C374" i="59"/>
  <c r="C373" i="59"/>
  <c r="C372" i="59"/>
  <c r="C371" i="59"/>
  <c r="C370" i="59"/>
  <c r="C369" i="59"/>
  <c r="C368" i="59"/>
  <c r="C367" i="59"/>
  <c r="C366" i="59"/>
  <c r="C365" i="59"/>
  <c r="C364" i="59"/>
  <c r="C363" i="59"/>
  <c r="C362" i="59"/>
  <c r="C361" i="59"/>
  <c r="C360" i="59"/>
  <c r="C359" i="59"/>
  <c r="C358" i="59"/>
  <c r="C357" i="59"/>
  <c r="C356" i="59"/>
  <c r="C355" i="59"/>
  <c r="C354" i="59"/>
  <c r="C353" i="59"/>
  <c r="C352" i="59"/>
  <c r="C351" i="59"/>
  <c r="C350" i="59"/>
  <c r="C349" i="59"/>
  <c r="C348" i="59"/>
  <c r="C347" i="59"/>
  <c r="C346" i="59"/>
  <c r="C345" i="59"/>
  <c r="C344" i="59"/>
  <c r="C343" i="59"/>
  <c r="C342" i="59"/>
  <c r="C341" i="59"/>
  <c r="C340" i="59"/>
  <c r="C339" i="59"/>
  <c r="C338" i="59"/>
  <c r="C337" i="59"/>
  <c r="C336" i="59"/>
  <c r="C335" i="59"/>
  <c r="C334" i="59"/>
  <c r="C333" i="59"/>
  <c r="C332" i="59"/>
  <c r="C331" i="59"/>
  <c r="C330" i="59"/>
  <c r="C329" i="59"/>
  <c r="C328" i="59"/>
  <c r="C327" i="59"/>
  <c r="C326" i="59"/>
  <c r="C325" i="59"/>
  <c r="C324" i="59"/>
  <c r="C323" i="59"/>
  <c r="C322" i="59"/>
  <c r="C321" i="59"/>
  <c r="C320" i="59"/>
  <c r="C319" i="59"/>
  <c r="C318" i="59"/>
  <c r="C317" i="59"/>
  <c r="C316" i="59"/>
  <c r="C315" i="59"/>
  <c r="C314" i="59"/>
  <c r="C313" i="59"/>
  <c r="C312" i="59"/>
  <c r="C311" i="59"/>
  <c r="C310" i="59"/>
  <c r="C309" i="59"/>
  <c r="C308" i="59"/>
  <c r="C307" i="59"/>
  <c r="C306" i="59"/>
  <c r="C305" i="59"/>
  <c r="C304" i="59"/>
  <c r="C303" i="59"/>
  <c r="C302" i="59"/>
  <c r="C301" i="59"/>
  <c r="C300" i="59"/>
  <c r="C299" i="59"/>
  <c r="C298" i="59"/>
  <c r="C297" i="59"/>
  <c r="C296" i="59"/>
  <c r="C295" i="59"/>
  <c r="C294" i="59"/>
  <c r="C293" i="59"/>
  <c r="C292" i="59"/>
  <c r="C291" i="59"/>
  <c r="C290" i="59"/>
  <c r="C289" i="59"/>
  <c r="C288" i="59"/>
  <c r="C287" i="59"/>
  <c r="C286" i="59"/>
  <c r="C285" i="59"/>
  <c r="C284" i="59"/>
  <c r="C283" i="59"/>
  <c r="C282" i="59"/>
  <c r="C281" i="59"/>
  <c r="C280" i="59"/>
  <c r="C279" i="59"/>
  <c r="C278" i="59"/>
  <c r="C277" i="59"/>
  <c r="C276" i="59"/>
  <c r="C275" i="59"/>
  <c r="C274" i="59"/>
  <c r="C273" i="59"/>
  <c r="C272" i="59"/>
  <c r="C271" i="59"/>
  <c r="C270" i="59"/>
  <c r="C269" i="59"/>
  <c r="C268" i="59"/>
  <c r="C267" i="59"/>
  <c r="C266" i="59"/>
  <c r="C265" i="59"/>
  <c r="C264" i="59"/>
  <c r="C263" i="59"/>
  <c r="C262" i="59"/>
  <c r="C261" i="59"/>
  <c r="C260" i="59"/>
  <c r="C259" i="59"/>
  <c r="C258" i="59"/>
  <c r="C257" i="59"/>
  <c r="C256" i="59"/>
  <c r="C255" i="59"/>
  <c r="C254" i="59"/>
  <c r="C253" i="59"/>
  <c r="C252" i="59"/>
  <c r="C251" i="59"/>
  <c r="C250" i="59"/>
  <c r="C249" i="59"/>
  <c r="C248" i="59"/>
  <c r="C247" i="59"/>
  <c r="C246" i="59"/>
  <c r="C245" i="59"/>
  <c r="C244" i="59"/>
  <c r="C243" i="59"/>
  <c r="C242" i="59"/>
  <c r="C241" i="59"/>
  <c r="C240" i="59"/>
  <c r="C239" i="59"/>
  <c r="C238" i="59"/>
  <c r="C237" i="59"/>
  <c r="C236" i="59"/>
  <c r="C235" i="59"/>
  <c r="C234" i="59"/>
  <c r="C233" i="59"/>
  <c r="C232" i="59"/>
  <c r="C231" i="59"/>
  <c r="C230" i="59"/>
  <c r="C229" i="59"/>
  <c r="C228" i="59"/>
  <c r="C227" i="59"/>
  <c r="C226" i="59"/>
  <c r="C225" i="59"/>
  <c r="C224" i="59"/>
  <c r="C223" i="59"/>
  <c r="C222" i="59"/>
  <c r="C221" i="59"/>
  <c r="C220" i="59"/>
  <c r="C219" i="59"/>
  <c r="C218" i="59"/>
  <c r="C217" i="59"/>
  <c r="C216" i="59"/>
  <c r="C215" i="59"/>
  <c r="C214" i="59"/>
  <c r="C213" i="59"/>
  <c r="C212" i="59"/>
  <c r="C211" i="59"/>
  <c r="C210" i="59"/>
  <c r="C209" i="59"/>
  <c r="C208" i="59"/>
  <c r="C207" i="59"/>
  <c r="C206" i="59"/>
  <c r="C205" i="59"/>
  <c r="C204" i="59"/>
  <c r="C203" i="59"/>
  <c r="C202" i="59"/>
  <c r="C201" i="59"/>
  <c r="C200" i="59"/>
  <c r="C199" i="59"/>
  <c r="C198" i="59"/>
  <c r="C197" i="59"/>
  <c r="C196" i="59"/>
  <c r="C195" i="59"/>
  <c r="C194" i="59"/>
  <c r="C193" i="59"/>
  <c r="C192" i="59"/>
  <c r="C191" i="59"/>
  <c r="C190" i="59"/>
  <c r="C189" i="59"/>
  <c r="C188" i="59"/>
  <c r="C187" i="59"/>
  <c r="C186" i="59"/>
  <c r="C185" i="59"/>
  <c r="C184" i="59"/>
  <c r="C183" i="59"/>
  <c r="C182" i="59"/>
  <c r="C181" i="59"/>
  <c r="C180" i="59"/>
  <c r="C179" i="59"/>
  <c r="C178" i="59"/>
  <c r="C177" i="59"/>
  <c r="C176" i="59"/>
  <c r="C175" i="59"/>
  <c r="C174" i="59"/>
  <c r="C173" i="59"/>
  <c r="C172" i="59"/>
  <c r="C171" i="59"/>
  <c r="C170" i="59"/>
  <c r="C169" i="59"/>
  <c r="C168" i="59"/>
  <c r="C167" i="59"/>
  <c r="C166" i="59"/>
  <c r="C165" i="59"/>
  <c r="C164" i="59"/>
  <c r="C163" i="59"/>
  <c r="C162" i="59"/>
  <c r="C161" i="59"/>
  <c r="C160" i="59"/>
  <c r="C159" i="59"/>
  <c r="C158" i="59"/>
  <c r="C157" i="59"/>
  <c r="C156" i="59"/>
  <c r="C155" i="59"/>
  <c r="C154" i="59"/>
  <c r="C153" i="59"/>
  <c r="C152" i="59"/>
  <c r="C151" i="59"/>
  <c r="C150" i="59"/>
  <c r="C149" i="59"/>
  <c r="C148" i="59"/>
  <c r="C147" i="59"/>
  <c r="C146" i="59"/>
  <c r="C145" i="59"/>
  <c r="C144" i="59"/>
  <c r="C143" i="59"/>
  <c r="C142" i="59"/>
  <c r="C141" i="59"/>
  <c r="C140" i="59"/>
  <c r="C139" i="59"/>
  <c r="C138" i="59"/>
  <c r="C137" i="59"/>
  <c r="C136" i="59"/>
  <c r="C135" i="59"/>
  <c r="C134" i="59"/>
  <c r="C133" i="59"/>
  <c r="C132" i="59"/>
  <c r="C131" i="59"/>
  <c r="C130" i="59"/>
  <c r="C129" i="59"/>
  <c r="C128" i="59"/>
  <c r="C127" i="59"/>
  <c r="C126" i="59"/>
  <c r="C125" i="59"/>
  <c r="C124" i="59"/>
  <c r="C123" i="59"/>
  <c r="C122" i="59"/>
  <c r="C121" i="59"/>
  <c r="C120" i="59"/>
  <c r="C119" i="59"/>
  <c r="C118" i="59"/>
  <c r="C117" i="59"/>
  <c r="C116" i="59"/>
  <c r="C115" i="59"/>
  <c r="C114" i="59"/>
  <c r="C113" i="59"/>
  <c r="C112" i="59"/>
  <c r="C111" i="59"/>
  <c r="C110" i="59"/>
  <c r="C109" i="59"/>
  <c r="C108" i="59"/>
  <c r="C107" i="59"/>
  <c r="C106" i="59"/>
  <c r="C105" i="59"/>
  <c r="C104" i="59"/>
  <c r="C103" i="59"/>
  <c r="C102" i="59"/>
  <c r="C101" i="59"/>
  <c r="C100" i="59"/>
  <c r="C99" i="59"/>
  <c r="C98" i="59"/>
  <c r="C97" i="59"/>
  <c r="C96" i="59"/>
  <c r="C95" i="59"/>
  <c r="C94" i="59"/>
  <c r="C93" i="59"/>
  <c r="C92" i="59"/>
  <c r="C91" i="59"/>
  <c r="C90" i="59"/>
  <c r="C89" i="59"/>
  <c r="C88" i="59"/>
  <c r="C87" i="59"/>
  <c r="C86" i="59"/>
  <c r="C85" i="59"/>
  <c r="C84" i="59"/>
  <c r="C83" i="59"/>
  <c r="C82" i="59"/>
  <c r="C81" i="59"/>
  <c r="C80" i="59"/>
  <c r="C79" i="59"/>
  <c r="C78" i="59"/>
  <c r="C77" i="59"/>
  <c r="C76" i="59"/>
  <c r="C75" i="59"/>
  <c r="C74" i="59"/>
  <c r="C73" i="59"/>
  <c r="C72" i="59"/>
  <c r="C71" i="59"/>
  <c r="C70" i="59"/>
  <c r="C69" i="59"/>
  <c r="C68" i="59"/>
  <c r="C67" i="59"/>
  <c r="C66" i="59"/>
  <c r="C65" i="59"/>
  <c r="C64" i="59"/>
  <c r="C63" i="59"/>
  <c r="C62" i="59"/>
  <c r="C61" i="59"/>
  <c r="C60" i="59"/>
  <c r="C59" i="59"/>
  <c r="C58" i="59"/>
  <c r="C57" i="59"/>
  <c r="C56" i="59"/>
  <c r="C55" i="59"/>
  <c r="C54" i="59"/>
  <c r="C53" i="59"/>
  <c r="C52" i="59"/>
  <c r="C51" i="59"/>
  <c r="C50" i="59"/>
  <c r="C49" i="59"/>
  <c r="C48" i="59"/>
  <c r="C47" i="59"/>
  <c r="C46" i="59"/>
  <c r="C45" i="59"/>
  <c r="C44" i="59"/>
  <c r="C43" i="59"/>
  <c r="C42" i="59"/>
  <c r="C41" i="59"/>
  <c r="C40" i="59"/>
  <c r="C39" i="59"/>
  <c r="C38" i="59"/>
  <c r="C37" i="59"/>
  <c r="C36" i="59"/>
  <c r="C35" i="59"/>
  <c r="C34" i="59"/>
  <c r="C33" i="59"/>
  <c r="C32" i="59"/>
  <c r="C31" i="59"/>
  <c r="C30" i="59"/>
  <c r="C29" i="59"/>
  <c r="C28" i="59"/>
  <c r="C27" i="59"/>
  <c r="C26" i="59"/>
  <c r="C25" i="59"/>
  <c r="C24" i="59"/>
  <c r="C23" i="59"/>
  <c r="C22" i="59"/>
  <c r="C21" i="59"/>
  <c r="C20" i="59"/>
  <c r="C19" i="59"/>
  <c r="C18" i="59"/>
  <c r="C17" i="59"/>
  <c r="C16" i="59"/>
  <c r="C15" i="59"/>
  <c r="C14" i="59"/>
  <c r="C13" i="59"/>
  <c r="C12" i="59"/>
  <c r="C11" i="59"/>
  <c r="C10" i="59"/>
  <c r="C9" i="59"/>
  <c r="C8" i="59"/>
  <c r="C7" i="59"/>
  <c r="C6" i="59"/>
  <c r="C5" i="59"/>
  <c r="C4" i="59"/>
  <c r="M55" i="58"/>
  <c r="N37" i="58"/>
  <c r="N36" i="58"/>
  <c r="N35" i="58"/>
  <c r="M2" i="58"/>
  <c r="D2" i="58" s="1"/>
  <c r="M1" i="58"/>
  <c r="L1" i="58"/>
  <c r="A14" i="58" s="1"/>
  <c r="D1" i="58"/>
  <c r="M55" i="57"/>
  <c r="N37" i="57"/>
  <c r="N36" i="57"/>
  <c r="N35" i="57"/>
  <c r="M2" i="57"/>
  <c r="D2" i="57" s="1"/>
  <c r="GT3" i="16" s="1"/>
  <c r="M1" i="57"/>
  <c r="L1" i="57"/>
  <c r="A14" i="57" s="1"/>
  <c r="D1" i="57"/>
  <c r="C187" i="16" s="1"/>
  <c r="M55" i="56"/>
  <c r="N37" i="56"/>
  <c r="N36" i="56"/>
  <c r="N35" i="56"/>
  <c r="A14" i="56"/>
  <c r="M2" i="56"/>
  <c r="D2" i="56" s="1"/>
  <c r="GP3" i="16" s="1"/>
  <c r="M1" i="56"/>
  <c r="L1" i="56"/>
  <c r="D1" i="56"/>
  <c r="A55" i="56" s="1"/>
  <c r="M55" i="55"/>
  <c r="N37" i="55"/>
  <c r="N36" i="55"/>
  <c r="N35" i="55"/>
  <c r="M2" i="55"/>
  <c r="D2" i="55" s="1"/>
  <c r="GL3" i="16" s="1"/>
  <c r="M1" i="55"/>
  <c r="A15" i="55" s="1"/>
  <c r="L1" i="55"/>
  <c r="A14" i="55" s="1"/>
  <c r="D1" i="55"/>
  <c r="D41" i="3" s="1"/>
  <c r="C41" i="5" s="1"/>
  <c r="M55" i="54"/>
  <c r="N37" i="54"/>
  <c r="N36" i="54"/>
  <c r="N35" i="54"/>
  <c r="M2" i="54"/>
  <c r="D2" i="54" s="1"/>
  <c r="GH3" i="16" s="1"/>
  <c r="M1" i="54"/>
  <c r="A15" i="54" s="1"/>
  <c r="L1" i="54"/>
  <c r="A14" i="54" s="1"/>
  <c r="D1" i="54"/>
  <c r="D40" i="12" s="1"/>
  <c r="M55" i="53"/>
  <c r="N37" i="53"/>
  <c r="N36" i="53"/>
  <c r="N35" i="53"/>
  <c r="M2" i="53"/>
  <c r="D2" i="53" s="1"/>
  <c r="GD3" i="16" s="1"/>
  <c r="M1" i="53"/>
  <c r="L1" i="53"/>
  <c r="D1" i="53"/>
  <c r="A55" i="53" s="1"/>
  <c r="M55" i="52"/>
  <c r="N37" i="52"/>
  <c r="N36" i="52"/>
  <c r="N35" i="52"/>
  <c r="M2" i="52"/>
  <c r="D2" i="52" s="1"/>
  <c r="FZ3" i="16" s="1"/>
  <c r="M1" i="52"/>
  <c r="L1" i="52"/>
  <c r="A15" i="52" s="1"/>
  <c r="D1" i="52"/>
  <c r="A55" i="52" s="1"/>
  <c r="M55" i="51"/>
  <c r="N37" i="51"/>
  <c r="N36" i="51"/>
  <c r="N35" i="51"/>
  <c r="M2" i="51"/>
  <c r="D2" i="51" s="1"/>
  <c r="FV3" i="16" s="1"/>
  <c r="M1" i="51"/>
  <c r="L1" i="51"/>
  <c r="D1" i="51"/>
  <c r="A55" i="51" s="1"/>
  <c r="M55" i="50"/>
  <c r="N37" i="50"/>
  <c r="N36" i="50"/>
  <c r="N35" i="50"/>
  <c r="M2" i="50"/>
  <c r="D2" i="50" s="1"/>
  <c r="FR3" i="16" s="1"/>
  <c r="M1" i="50"/>
  <c r="L1" i="50"/>
  <c r="D1" i="50"/>
  <c r="E36" i="10" s="1"/>
  <c r="M55" i="49"/>
  <c r="N37" i="49"/>
  <c r="N36" i="49"/>
  <c r="N35" i="49"/>
  <c r="M2" i="49"/>
  <c r="D2" i="49" s="1"/>
  <c r="FN3" i="16" s="1"/>
  <c r="M1" i="49"/>
  <c r="L1" i="49"/>
  <c r="A14" i="49" s="1"/>
  <c r="D1" i="49"/>
  <c r="B35" i="11" s="1"/>
  <c r="AP2" i="11" s="1"/>
  <c r="M55" i="48"/>
  <c r="N37" i="48"/>
  <c r="N36" i="48"/>
  <c r="N35" i="48"/>
  <c r="M2" i="48"/>
  <c r="D2" i="48" s="1"/>
  <c r="M1" i="48"/>
  <c r="L1" i="48"/>
  <c r="D1" i="48"/>
  <c r="D34" i="3" s="1"/>
  <c r="C34" i="9" s="1"/>
  <c r="M55" i="47"/>
  <c r="N37" i="47"/>
  <c r="N36" i="47"/>
  <c r="N35" i="47"/>
  <c r="M2" i="47"/>
  <c r="D2" i="47" s="1"/>
  <c r="FF3" i="16" s="1"/>
  <c r="M1" i="47"/>
  <c r="L1" i="47"/>
  <c r="D1" i="47"/>
  <c r="A55" i="47" s="1"/>
  <c r="M55" i="46"/>
  <c r="N37" i="46"/>
  <c r="N36" i="46"/>
  <c r="N35" i="46"/>
  <c r="A14" i="46"/>
  <c r="M2" i="46"/>
  <c r="D2" i="46" s="1"/>
  <c r="FB3" i="16" s="1"/>
  <c r="M1" i="46"/>
  <c r="L1" i="46"/>
  <c r="A15" i="46" s="1"/>
  <c r="D1" i="46"/>
  <c r="E32" i="10" s="1"/>
  <c r="M55" i="45"/>
  <c r="N37" i="45"/>
  <c r="N36" i="45"/>
  <c r="N35" i="45"/>
  <c r="M2" i="45"/>
  <c r="D2" i="45" s="1"/>
  <c r="EX3" i="16" s="1"/>
  <c r="M1" i="45"/>
  <c r="L1" i="45"/>
  <c r="D1" i="45"/>
  <c r="D31" i="12" s="1"/>
  <c r="M55" i="44"/>
  <c r="N37" i="44"/>
  <c r="N36" i="44"/>
  <c r="N35" i="44"/>
  <c r="M2" i="44"/>
  <c r="D2" i="44" s="1"/>
  <c r="ET3" i="16" s="1"/>
  <c r="M1" i="44"/>
  <c r="L1" i="44"/>
  <c r="A15" i="44" s="1"/>
  <c r="D1" i="44"/>
  <c r="D30" i="12" s="1"/>
  <c r="M55" i="43"/>
  <c r="N37" i="43"/>
  <c r="N36" i="43"/>
  <c r="N35" i="43"/>
  <c r="M2" i="43"/>
  <c r="D2" i="43" s="1"/>
  <c r="M1" i="43"/>
  <c r="L1" i="43"/>
  <c r="A14" i="43" s="1"/>
  <c r="D1" i="43"/>
  <c r="D29" i="3" s="1"/>
  <c r="M55" i="42"/>
  <c r="N37" i="42"/>
  <c r="N36" i="42"/>
  <c r="N35" i="42"/>
  <c r="M2" i="42"/>
  <c r="D2" i="42" s="1"/>
  <c r="M1" i="42"/>
  <c r="L1" i="42"/>
  <c r="D1" i="42"/>
  <c r="C172" i="16" s="1"/>
  <c r="M55" i="41"/>
  <c r="N37" i="41"/>
  <c r="N36" i="41"/>
  <c r="N35" i="41"/>
  <c r="M2" i="41"/>
  <c r="D2" i="41" s="1"/>
  <c r="M1" i="41"/>
  <c r="L1" i="41"/>
  <c r="D1" i="41"/>
  <c r="A55" i="41" s="1"/>
  <c r="M55" i="40"/>
  <c r="N37" i="40"/>
  <c r="N36" i="40"/>
  <c r="N35" i="40"/>
  <c r="M2" i="40"/>
  <c r="D2" i="40" s="1"/>
  <c r="M1" i="40"/>
  <c r="L1" i="40"/>
  <c r="A15" i="40" s="1"/>
  <c r="D1" i="40"/>
  <c r="A55" i="40" s="1"/>
  <c r="M55" i="39"/>
  <c r="N37" i="39"/>
  <c r="N36" i="39"/>
  <c r="N35" i="39"/>
  <c r="M2" i="39"/>
  <c r="D2" i="39" s="1"/>
  <c r="M1" i="39"/>
  <c r="L1" i="39"/>
  <c r="D1" i="39"/>
  <c r="D25" i="12" s="1"/>
  <c r="M55" i="38"/>
  <c r="N37" i="38"/>
  <c r="N36" i="38"/>
  <c r="N35" i="38"/>
  <c r="A14" i="38"/>
  <c r="M2" i="38"/>
  <c r="D2" i="38" s="1"/>
  <c r="M1" i="38"/>
  <c r="A15" i="38" s="1"/>
  <c r="L1" i="38"/>
  <c r="D1" i="38"/>
  <c r="A55" i="38" s="1"/>
  <c r="M55" i="37"/>
  <c r="N37" i="37"/>
  <c r="N36" i="37"/>
  <c r="N35" i="37"/>
  <c r="M2" i="37"/>
  <c r="D2" i="37" s="1"/>
  <c r="M1" i="37"/>
  <c r="L1" i="37"/>
  <c r="A14" i="37" s="1"/>
  <c r="D1" i="37"/>
  <c r="D23" i="12" s="1"/>
  <c r="M55" i="36"/>
  <c r="N37" i="36"/>
  <c r="N36" i="36"/>
  <c r="N35" i="36"/>
  <c r="M2" i="36"/>
  <c r="D2" i="36" s="1"/>
  <c r="DN3" i="16" s="1"/>
  <c r="M1" i="36"/>
  <c r="L1" i="36"/>
  <c r="D1" i="36"/>
  <c r="D22" i="12" s="1"/>
  <c r="M55" i="35"/>
  <c r="N37" i="35"/>
  <c r="N36" i="35"/>
  <c r="N35" i="35"/>
  <c r="M2" i="35"/>
  <c r="D2" i="35" s="1"/>
  <c r="DJ3" i="16" s="1"/>
  <c r="M1" i="35"/>
  <c r="L1" i="35"/>
  <c r="D1" i="35"/>
  <c r="C165" i="16" s="1"/>
  <c r="M55" i="34"/>
  <c r="N37" i="34"/>
  <c r="N36" i="34"/>
  <c r="N35" i="34"/>
  <c r="M2" i="34"/>
  <c r="D2" i="34" s="1"/>
  <c r="DF3" i="16" s="1"/>
  <c r="M1" i="34"/>
  <c r="L1" i="34"/>
  <c r="A14" i="34" s="1"/>
  <c r="D1" i="34"/>
  <c r="A55" i="34" s="1"/>
  <c r="M55" i="33"/>
  <c r="N37" i="33"/>
  <c r="N36" i="33"/>
  <c r="N35" i="33"/>
  <c r="M2" i="33"/>
  <c r="D2" i="33" s="1"/>
  <c r="DB3" i="16" s="1"/>
  <c r="M1" i="33"/>
  <c r="L1" i="33"/>
  <c r="A14" i="33" s="1"/>
  <c r="D1" i="33"/>
  <c r="D19" i="3" s="1"/>
  <c r="M55" i="32"/>
  <c r="N37" i="32"/>
  <c r="N36" i="32"/>
  <c r="N35" i="32"/>
  <c r="A14" i="32"/>
  <c r="M2" i="32"/>
  <c r="D2" i="32" s="1"/>
  <c r="CX3" i="16" s="1"/>
  <c r="M1" i="32"/>
  <c r="L1" i="32"/>
  <c r="D1" i="32"/>
  <c r="C162" i="16" s="1"/>
  <c r="M55" i="31"/>
  <c r="N37" i="31"/>
  <c r="N36" i="31"/>
  <c r="N35" i="31"/>
  <c r="M2" i="31"/>
  <c r="D2" i="31" s="1"/>
  <c r="M1" i="31"/>
  <c r="L1" i="31"/>
  <c r="D1" i="31"/>
  <c r="D17" i="12" s="1"/>
  <c r="M55" i="30"/>
  <c r="N37" i="30"/>
  <c r="N36" i="30"/>
  <c r="N35" i="30"/>
  <c r="M2" i="30"/>
  <c r="D2" i="30" s="1"/>
  <c r="CP3" i="16" s="1"/>
  <c r="M1" i="30"/>
  <c r="L1" i="30"/>
  <c r="D1" i="30"/>
  <c r="E16" i="10" s="1"/>
  <c r="M55" i="29"/>
  <c r="N37" i="29"/>
  <c r="N36" i="29"/>
  <c r="N35" i="29"/>
  <c r="M2" i="29"/>
  <c r="D2" i="29" s="1"/>
  <c r="CL3" i="16" s="1"/>
  <c r="M1" i="29"/>
  <c r="A15" i="29" s="1"/>
  <c r="L1" i="29"/>
  <c r="A14" i="29" s="1"/>
  <c r="D1" i="29"/>
  <c r="C159" i="16" s="1"/>
  <c r="M55" i="28"/>
  <c r="N37" i="28"/>
  <c r="N36" i="28"/>
  <c r="N35" i="28"/>
  <c r="M2" i="28"/>
  <c r="D2" i="28" s="1"/>
  <c r="CH3" i="16" s="1"/>
  <c r="M1" i="28"/>
  <c r="L1" i="28"/>
  <c r="D1" i="28"/>
  <c r="B14" i="11" s="1"/>
  <c r="U2" i="11" s="1"/>
  <c r="M55" i="27"/>
  <c r="N37" i="27"/>
  <c r="N36" i="27"/>
  <c r="N35" i="27"/>
  <c r="M2" i="27"/>
  <c r="D2" i="27" s="1"/>
  <c r="CD3" i="16" s="1"/>
  <c r="M1" i="27"/>
  <c r="L1" i="27"/>
  <c r="A14" i="27" s="1"/>
  <c r="D1" i="27"/>
  <c r="A55" i="27" s="1"/>
  <c r="M55" i="26"/>
  <c r="N37" i="26"/>
  <c r="N36" i="26"/>
  <c r="N35" i="26"/>
  <c r="M2" i="26"/>
  <c r="D2" i="26" s="1"/>
  <c r="M1" i="26"/>
  <c r="L1" i="26"/>
  <c r="A14" i="26" s="1"/>
  <c r="D1" i="26"/>
  <c r="C156" i="16" s="1"/>
  <c r="M55" i="25"/>
  <c r="N37" i="25"/>
  <c r="N36" i="25"/>
  <c r="N35" i="25"/>
  <c r="M2" i="25"/>
  <c r="D2" i="25" s="1"/>
  <c r="M1" i="25"/>
  <c r="L1" i="25"/>
  <c r="D1" i="25"/>
  <c r="C155" i="16" s="1"/>
  <c r="M55" i="24"/>
  <c r="N37" i="24"/>
  <c r="N36" i="24"/>
  <c r="N35" i="24"/>
  <c r="M2" i="24"/>
  <c r="D2" i="24" s="1"/>
  <c r="BR3" i="16" s="1"/>
  <c r="M1" i="24"/>
  <c r="L1" i="24"/>
  <c r="D1" i="24"/>
  <c r="A55" i="24" s="1"/>
  <c r="M55" i="23"/>
  <c r="N37" i="23"/>
  <c r="N36" i="23"/>
  <c r="N35" i="23"/>
  <c r="M2" i="23"/>
  <c r="D2" i="23" s="1"/>
  <c r="M1" i="23"/>
  <c r="L1" i="23"/>
  <c r="A15" i="23" s="1"/>
  <c r="D1" i="23"/>
  <c r="A55" i="23" s="1"/>
  <c r="M55" i="22"/>
  <c r="N37" i="22"/>
  <c r="N36" i="22"/>
  <c r="N35" i="22"/>
  <c r="M2" i="22"/>
  <c r="D2" i="22" s="1"/>
  <c r="M1" i="22"/>
  <c r="L1" i="22"/>
  <c r="A14" i="22" s="1"/>
  <c r="D1" i="22"/>
  <c r="A55" i="22" s="1"/>
  <c r="M55" i="21"/>
  <c r="N37" i="21"/>
  <c r="N36" i="21"/>
  <c r="N35" i="21"/>
  <c r="M2" i="21"/>
  <c r="D2" i="21" s="1"/>
  <c r="M1" i="21"/>
  <c r="L1" i="21"/>
  <c r="A15" i="21" s="1"/>
  <c r="D1" i="21"/>
  <c r="A55" i="21" s="1"/>
  <c r="M55" i="20"/>
  <c r="N37" i="20"/>
  <c r="N36" i="20"/>
  <c r="N35" i="20"/>
  <c r="A15" i="20"/>
  <c r="M2" i="20"/>
  <c r="D2" i="20" s="1"/>
  <c r="BB3" i="16" s="1"/>
  <c r="M1" i="20"/>
  <c r="L1" i="20"/>
  <c r="A14" i="20" s="1"/>
  <c r="D1" i="20"/>
  <c r="A55" i="20" s="1"/>
  <c r="M55" i="19"/>
  <c r="N37" i="19"/>
  <c r="N36" i="19"/>
  <c r="N35" i="19"/>
  <c r="A33" i="19"/>
  <c r="A33" i="20" s="1"/>
  <c r="A33" i="21" s="1"/>
  <c r="A33" i="22" s="1"/>
  <c r="A33" i="23" s="1"/>
  <c r="A33" i="24" s="1"/>
  <c r="A33" i="25" s="1"/>
  <c r="A33" i="26" s="1"/>
  <c r="A33" i="27" s="1"/>
  <c r="A33" i="28" s="1"/>
  <c r="A33" i="29" s="1"/>
  <c r="A33" i="30" s="1"/>
  <c r="A33" i="31" s="1"/>
  <c r="A33" i="32" s="1"/>
  <c r="A33" i="33" s="1"/>
  <c r="A33" i="34" s="1"/>
  <c r="A33" i="35" s="1"/>
  <c r="A33" i="36" s="1"/>
  <c r="A33" i="37" s="1"/>
  <c r="A33" i="38" s="1"/>
  <c r="A33" i="39" s="1"/>
  <c r="A33" i="40" s="1"/>
  <c r="A33" i="41" s="1"/>
  <c r="A33" i="42" s="1"/>
  <c r="A33" i="43" s="1"/>
  <c r="A33" i="44" s="1"/>
  <c r="A33" i="45" s="1"/>
  <c r="A33" i="46" s="1"/>
  <c r="A33" i="47" s="1"/>
  <c r="A33" i="48" s="1"/>
  <c r="A33" i="49" s="1"/>
  <c r="A33" i="50" s="1"/>
  <c r="A33" i="51" s="1"/>
  <c r="A33" i="52" s="1"/>
  <c r="A33" i="53" s="1"/>
  <c r="A33" i="54" s="1"/>
  <c r="A33" i="55" s="1"/>
  <c r="A33" i="56" s="1"/>
  <c r="A33" i="57" s="1"/>
  <c r="A33" i="58" s="1"/>
  <c r="A32" i="19"/>
  <c r="A32" i="20" s="1"/>
  <c r="A32" i="21" s="1"/>
  <c r="A32" i="22" s="1"/>
  <c r="A32" i="23" s="1"/>
  <c r="A32" i="24" s="1"/>
  <c r="A32" i="25" s="1"/>
  <c r="A32" i="26" s="1"/>
  <c r="A32" i="27" s="1"/>
  <c r="A32" i="28" s="1"/>
  <c r="A32" i="29" s="1"/>
  <c r="A32" i="30" s="1"/>
  <c r="A32" i="31" s="1"/>
  <c r="A32" i="32" s="1"/>
  <c r="A32" i="33" s="1"/>
  <c r="A32" i="34" s="1"/>
  <c r="A32" i="35" s="1"/>
  <c r="A32" i="36" s="1"/>
  <c r="A32" i="37" s="1"/>
  <c r="A32" i="38" s="1"/>
  <c r="A32" i="39" s="1"/>
  <c r="A32" i="40" s="1"/>
  <c r="A32" i="41" s="1"/>
  <c r="A32" i="42" s="1"/>
  <c r="A32" i="43" s="1"/>
  <c r="A32" i="44" s="1"/>
  <c r="A32" i="45" s="1"/>
  <c r="A32" i="46" s="1"/>
  <c r="A32" i="47" s="1"/>
  <c r="A32" i="48" s="1"/>
  <c r="A32" i="49" s="1"/>
  <c r="A32" i="50" s="1"/>
  <c r="A32" i="51" s="1"/>
  <c r="A32" i="52" s="1"/>
  <c r="A32" i="53" s="1"/>
  <c r="A32" i="54" s="1"/>
  <c r="A32" i="55" s="1"/>
  <c r="A32" i="56" s="1"/>
  <c r="A32" i="57" s="1"/>
  <c r="A32" i="58" s="1"/>
  <c r="M2" i="19"/>
  <c r="D2" i="19" s="1"/>
  <c r="AX3" i="16" s="1"/>
  <c r="M1" i="19"/>
  <c r="L1" i="19"/>
  <c r="A15" i="19" s="1"/>
  <c r="D1" i="19"/>
  <c r="A55" i="19" s="1"/>
  <c r="M55" i="18"/>
  <c r="A51" i="18"/>
  <c r="A51" i="19" s="1"/>
  <c r="A51" i="20" s="1"/>
  <c r="A51" i="21" s="1"/>
  <c r="A51" i="22" s="1"/>
  <c r="A51" i="23" s="1"/>
  <c r="A51" i="24" s="1"/>
  <c r="A51" i="25" s="1"/>
  <c r="A51" i="26" s="1"/>
  <c r="A51" i="27" s="1"/>
  <c r="A51" i="28" s="1"/>
  <c r="A51" i="29" s="1"/>
  <c r="A51" i="30" s="1"/>
  <c r="A51" i="31" s="1"/>
  <c r="A51" i="32" s="1"/>
  <c r="A51" i="33" s="1"/>
  <c r="A51" i="34" s="1"/>
  <c r="A51" i="35" s="1"/>
  <c r="A51" i="36" s="1"/>
  <c r="A51" i="37" s="1"/>
  <c r="A51" i="38" s="1"/>
  <c r="A51" i="39" s="1"/>
  <c r="A51" i="40" s="1"/>
  <c r="A51" i="41" s="1"/>
  <c r="A51" i="42" s="1"/>
  <c r="A51" i="43" s="1"/>
  <c r="A51" i="44" s="1"/>
  <c r="A51" i="45" s="1"/>
  <c r="A51" i="46" s="1"/>
  <c r="A51" i="47" s="1"/>
  <c r="A51" i="48" s="1"/>
  <c r="A51" i="49" s="1"/>
  <c r="A51" i="50" s="1"/>
  <c r="A51" i="51" s="1"/>
  <c r="A51" i="52" s="1"/>
  <c r="A51" i="53" s="1"/>
  <c r="A51" i="54" s="1"/>
  <c r="A51" i="55" s="1"/>
  <c r="A51" i="56" s="1"/>
  <c r="A51" i="57" s="1"/>
  <c r="A51" i="58" s="1"/>
  <c r="A50" i="18"/>
  <c r="A50" i="19" s="1"/>
  <c r="A50" i="20" s="1"/>
  <c r="A50" i="21" s="1"/>
  <c r="A50" i="22" s="1"/>
  <c r="A50" i="23" s="1"/>
  <c r="A50" i="24" s="1"/>
  <c r="A50" i="25" s="1"/>
  <c r="A50" i="26" s="1"/>
  <c r="A50" i="27" s="1"/>
  <c r="A50" i="28" s="1"/>
  <c r="A50" i="29" s="1"/>
  <c r="A50" i="30" s="1"/>
  <c r="A50" i="31" s="1"/>
  <c r="A50" i="32" s="1"/>
  <c r="A50" i="33" s="1"/>
  <c r="A50" i="34" s="1"/>
  <c r="A50" i="35" s="1"/>
  <c r="A50" i="36" s="1"/>
  <c r="A50" i="37" s="1"/>
  <c r="A50" i="38" s="1"/>
  <c r="A50" i="39" s="1"/>
  <c r="A50" i="40" s="1"/>
  <c r="A50" i="41" s="1"/>
  <c r="A50" i="42" s="1"/>
  <c r="A50" i="43" s="1"/>
  <c r="A50" i="44" s="1"/>
  <c r="A50" i="45" s="1"/>
  <c r="A50" i="46" s="1"/>
  <c r="A50" i="47" s="1"/>
  <c r="A50" i="48" s="1"/>
  <c r="A50" i="49" s="1"/>
  <c r="A50" i="50" s="1"/>
  <c r="A50" i="51" s="1"/>
  <c r="A50" i="52" s="1"/>
  <c r="A50" i="53" s="1"/>
  <c r="A50" i="54" s="1"/>
  <c r="A50" i="55" s="1"/>
  <c r="A50" i="56" s="1"/>
  <c r="A50" i="57" s="1"/>
  <c r="A50" i="58" s="1"/>
  <c r="A49" i="18"/>
  <c r="A49" i="19" s="1"/>
  <c r="A49" i="20" s="1"/>
  <c r="A49" i="21" s="1"/>
  <c r="A49" i="22" s="1"/>
  <c r="A49" i="23" s="1"/>
  <c r="A49" i="24" s="1"/>
  <c r="A49" i="25" s="1"/>
  <c r="A49" i="26" s="1"/>
  <c r="A49" i="27" s="1"/>
  <c r="A49" i="28" s="1"/>
  <c r="A49" i="29" s="1"/>
  <c r="A49" i="30" s="1"/>
  <c r="A49" i="31" s="1"/>
  <c r="A49" i="32" s="1"/>
  <c r="A49" i="33" s="1"/>
  <c r="A49" i="34" s="1"/>
  <c r="A49" i="35" s="1"/>
  <c r="A49" i="36" s="1"/>
  <c r="A49" i="37" s="1"/>
  <c r="A49" i="38" s="1"/>
  <c r="A49" i="39" s="1"/>
  <c r="A49" i="40" s="1"/>
  <c r="A49" i="41" s="1"/>
  <c r="A49" i="42" s="1"/>
  <c r="A49" i="43" s="1"/>
  <c r="A49" i="44" s="1"/>
  <c r="A49" i="45" s="1"/>
  <c r="A49" i="46" s="1"/>
  <c r="A49" i="47" s="1"/>
  <c r="A49" i="48" s="1"/>
  <c r="A49" i="49" s="1"/>
  <c r="A49" i="50" s="1"/>
  <c r="A49" i="51" s="1"/>
  <c r="A49" i="52" s="1"/>
  <c r="A49" i="53" s="1"/>
  <c r="A49" i="54" s="1"/>
  <c r="A49" i="55" s="1"/>
  <c r="A49" i="56" s="1"/>
  <c r="A49" i="57" s="1"/>
  <c r="A49" i="58" s="1"/>
  <c r="A48" i="18"/>
  <c r="A48" i="19" s="1"/>
  <c r="A48" i="20" s="1"/>
  <c r="A48" i="21" s="1"/>
  <c r="A48" i="22" s="1"/>
  <c r="A48" i="23" s="1"/>
  <c r="A48" i="24" s="1"/>
  <c r="A48" i="25" s="1"/>
  <c r="A48" i="26" s="1"/>
  <c r="A48" i="27" s="1"/>
  <c r="A48" i="28" s="1"/>
  <c r="A48" i="29" s="1"/>
  <c r="A48" i="30" s="1"/>
  <c r="A48" i="31" s="1"/>
  <c r="A48" i="32" s="1"/>
  <c r="A48" i="33" s="1"/>
  <c r="A48" i="34" s="1"/>
  <c r="A48" i="35" s="1"/>
  <c r="A48" i="36" s="1"/>
  <c r="A48" i="37" s="1"/>
  <c r="A48" i="38" s="1"/>
  <c r="A48" i="39" s="1"/>
  <c r="A48" i="40" s="1"/>
  <c r="A48" i="41" s="1"/>
  <c r="A48" i="42" s="1"/>
  <c r="A48" i="43" s="1"/>
  <c r="A48" i="44" s="1"/>
  <c r="A48" i="45" s="1"/>
  <c r="A48" i="46" s="1"/>
  <c r="A48" i="47" s="1"/>
  <c r="A48" i="48" s="1"/>
  <c r="A48" i="49" s="1"/>
  <c r="A48" i="50" s="1"/>
  <c r="A48" i="51" s="1"/>
  <c r="A48" i="52" s="1"/>
  <c r="A48" i="53" s="1"/>
  <c r="A48" i="54" s="1"/>
  <c r="A48" i="55" s="1"/>
  <c r="A48" i="56" s="1"/>
  <c r="A48" i="57" s="1"/>
  <c r="A48" i="58" s="1"/>
  <c r="A47" i="18"/>
  <c r="A47" i="19" s="1"/>
  <c r="A47" i="20" s="1"/>
  <c r="A47" i="21" s="1"/>
  <c r="A47" i="22" s="1"/>
  <c r="A47" i="23" s="1"/>
  <c r="A47" i="24" s="1"/>
  <c r="A47" i="25" s="1"/>
  <c r="A47" i="26" s="1"/>
  <c r="A47" i="27" s="1"/>
  <c r="A47" i="28" s="1"/>
  <c r="A47" i="29" s="1"/>
  <c r="A47" i="30" s="1"/>
  <c r="A47" i="31" s="1"/>
  <c r="A47" i="32" s="1"/>
  <c r="A47" i="33" s="1"/>
  <c r="A47" i="34" s="1"/>
  <c r="A47" i="35" s="1"/>
  <c r="A47" i="36" s="1"/>
  <c r="A47" i="37" s="1"/>
  <c r="A47" i="38" s="1"/>
  <c r="A47" i="39" s="1"/>
  <c r="A47" i="40" s="1"/>
  <c r="A47" i="41" s="1"/>
  <c r="A47" i="42" s="1"/>
  <c r="A47" i="43" s="1"/>
  <c r="A47" i="44" s="1"/>
  <c r="A47" i="45" s="1"/>
  <c r="A47" i="46" s="1"/>
  <c r="A47" i="47" s="1"/>
  <c r="A47" i="48" s="1"/>
  <c r="A47" i="49" s="1"/>
  <c r="A47" i="50" s="1"/>
  <c r="A47" i="51" s="1"/>
  <c r="A47" i="52" s="1"/>
  <c r="A47" i="53" s="1"/>
  <c r="A47" i="54" s="1"/>
  <c r="A47" i="55" s="1"/>
  <c r="A47" i="56" s="1"/>
  <c r="A47" i="57" s="1"/>
  <c r="A47" i="58" s="1"/>
  <c r="A46" i="18"/>
  <c r="A46" i="19" s="1"/>
  <c r="A46" i="20" s="1"/>
  <c r="A46" i="21" s="1"/>
  <c r="A46" i="22" s="1"/>
  <c r="A46" i="23" s="1"/>
  <c r="A46" i="24" s="1"/>
  <c r="A46" i="25" s="1"/>
  <c r="A46" i="26" s="1"/>
  <c r="A46" i="27" s="1"/>
  <c r="A46" i="28" s="1"/>
  <c r="A46" i="29" s="1"/>
  <c r="A46" i="30" s="1"/>
  <c r="A46" i="31" s="1"/>
  <c r="A46" i="32" s="1"/>
  <c r="A46" i="33" s="1"/>
  <c r="A46" i="34" s="1"/>
  <c r="A46" i="35" s="1"/>
  <c r="A46" i="36" s="1"/>
  <c r="A46" i="37" s="1"/>
  <c r="A46" i="38" s="1"/>
  <c r="A46" i="39" s="1"/>
  <c r="A46" i="40" s="1"/>
  <c r="A46" i="41" s="1"/>
  <c r="A46" i="42" s="1"/>
  <c r="A46" i="43" s="1"/>
  <c r="A46" i="44" s="1"/>
  <c r="A46" i="45" s="1"/>
  <c r="A46" i="46" s="1"/>
  <c r="A46" i="47" s="1"/>
  <c r="A46" i="48" s="1"/>
  <c r="A46" i="49" s="1"/>
  <c r="A46" i="50" s="1"/>
  <c r="A46" i="51" s="1"/>
  <c r="A46" i="52" s="1"/>
  <c r="A46" i="53" s="1"/>
  <c r="A46" i="54" s="1"/>
  <c r="A46" i="55" s="1"/>
  <c r="A46" i="56" s="1"/>
  <c r="A46" i="57" s="1"/>
  <c r="A46" i="58" s="1"/>
  <c r="A45" i="18"/>
  <c r="A45" i="19" s="1"/>
  <c r="A45" i="20" s="1"/>
  <c r="A45" i="21" s="1"/>
  <c r="A45" i="22" s="1"/>
  <c r="A45" i="23" s="1"/>
  <c r="A45" i="24" s="1"/>
  <c r="A45" i="25" s="1"/>
  <c r="A45" i="26" s="1"/>
  <c r="A45" i="27" s="1"/>
  <c r="A45" i="28" s="1"/>
  <c r="A45" i="29" s="1"/>
  <c r="A45" i="30" s="1"/>
  <c r="A45" i="31" s="1"/>
  <c r="A45" i="32" s="1"/>
  <c r="A45" i="33" s="1"/>
  <c r="A45" i="34" s="1"/>
  <c r="A45" i="35" s="1"/>
  <c r="A45" i="36" s="1"/>
  <c r="A45" i="37" s="1"/>
  <c r="A45" i="38" s="1"/>
  <c r="A45" i="39" s="1"/>
  <c r="A45" i="40" s="1"/>
  <c r="A45" i="41" s="1"/>
  <c r="A45" i="42" s="1"/>
  <c r="A45" i="43" s="1"/>
  <c r="A45" i="44" s="1"/>
  <c r="A45" i="45" s="1"/>
  <c r="A45" i="46" s="1"/>
  <c r="A45" i="47" s="1"/>
  <c r="A45" i="48" s="1"/>
  <c r="A45" i="49" s="1"/>
  <c r="A45" i="50" s="1"/>
  <c r="A45" i="51" s="1"/>
  <c r="A45" i="52" s="1"/>
  <c r="A45" i="53" s="1"/>
  <c r="A45" i="54" s="1"/>
  <c r="A45" i="55" s="1"/>
  <c r="A45" i="56" s="1"/>
  <c r="A45" i="57" s="1"/>
  <c r="A45" i="58" s="1"/>
  <c r="A44" i="18"/>
  <c r="A44" i="19" s="1"/>
  <c r="A44" i="20" s="1"/>
  <c r="A44" i="21" s="1"/>
  <c r="A44" i="22" s="1"/>
  <c r="A44" i="23" s="1"/>
  <c r="A44" i="24" s="1"/>
  <c r="A44" i="25" s="1"/>
  <c r="A44" i="26" s="1"/>
  <c r="A44" i="27" s="1"/>
  <c r="A44" i="28" s="1"/>
  <c r="A44" i="29" s="1"/>
  <c r="A44" i="30" s="1"/>
  <c r="A44" i="31" s="1"/>
  <c r="A44" i="32" s="1"/>
  <c r="A44" i="33" s="1"/>
  <c r="A44" i="34" s="1"/>
  <c r="A44" i="35" s="1"/>
  <c r="A44" i="36" s="1"/>
  <c r="A44" i="37" s="1"/>
  <c r="A44" i="38" s="1"/>
  <c r="A44" i="39" s="1"/>
  <c r="A44" i="40" s="1"/>
  <c r="A44" i="41" s="1"/>
  <c r="A44" i="42" s="1"/>
  <c r="A44" i="43" s="1"/>
  <c r="A44" i="44" s="1"/>
  <c r="A44" i="45" s="1"/>
  <c r="A44" i="46" s="1"/>
  <c r="A44" i="47" s="1"/>
  <c r="A44" i="48" s="1"/>
  <c r="A44" i="49" s="1"/>
  <c r="A44" i="50" s="1"/>
  <c r="A44" i="51" s="1"/>
  <c r="A44" i="52" s="1"/>
  <c r="A44" i="53" s="1"/>
  <c r="A44" i="54" s="1"/>
  <c r="A44" i="55" s="1"/>
  <c r="A44" i="56" s="1"/>
  <c r="A44" i="57" s="1"/>
  <c r="A44" i="58" s="1"/>
  <c r="A43" i="18"/>
  <c r="A43" i="19" s="1"/>
  <c r="A43" i="20" s="1"/>
  <c r="A43" i="21" s="1"/>
  <c r="A43" i="22" s="1"/>
  <c r="A43" i="23" s="1"/>
  <c r="A43" i="24" s="1"/>
  <c r="A43" i="25" s="1"/>
  <c r="A43" i="26" s="1"/>
  <c r="A43" i="27" s="1"/>
  <c r="A43" i="28" s="1"/>
  <c r="A43" i="29" s="1"/>
  <c r="A43" i="30" s="1"/>
  <c r="A43" i="31" s="1"/>
  <c r="A43" i="32" s="1"/>
  <c r="A43" i="33" s="1"/>
  <c r="A43" i="34" s="1"/>
  <c r="A43" i="35" s="1"/>
  <c r="A43" i="36" s="1"/>
  <c r="A43" i="37" s="1"/>
  <c r="A43" i="38" s="1"/>
  <c r="A43" i="39" s="1"/>
  <c r="A43" i="40" s="1"/>
  <c r="A43" i="41" s="1"/>
  <c r="A43" i="42" s="1"/>
  <c r="A43" i="43" s="1"/>
  <c r="A43" i="44" s="1"/>
  <c r="A43" i="45" s="1"/>
  <c r="A43" i="46" s="1"/>
  <c r="A43" i="47" s="1"/>
  <c r="A43" i="48" s="1"/>
  <c r="A43" i="49" s="1"/>
  <c r="A43" i="50" s="1"/>
  <c r="A43" i="51" s="1"/>
  <c r="A43" i="52" s="1"/>
  <c r="A43" i="53" s="1"/>
  <c r="A43" i="54" s="1"/>
  <c r="A43" i="55" s="1"/>
  <c r="A43" i="56" s="1"/>
  <c r="A43" i="57" s="1"/>
  <c r="A43" i="58" s="1"/>
  <c r="A42" i="18"/>
  <c r="A42" i="19" s="1"/>
  <c r="A42" i="20" s="1"/>
  <c r="A42" i="21" s="1"/>
  <c r="A42" i="22" s="1"/>
  <c r="A42" i="23" s="1"/>
  <c r="A42" i="24" s="1"/>
  <c r="A42" i="25" s="1"/>
  <c r="A42" i="26" s="1"/>
  <c r="A42" i="27" s="1"/>
  <c r="A42" i="28" s="1"/>
  <c r="A42" i="29" s="1"/>
  <c r="A42" i="30" s="1"/>
  <c r="A42" i="31" s="1"/>
  <c r="A42" i="32" s="1"/>
  <c r="A42" i="33" s="1"/>
  <c r="A42" i="34" s="1"/>
  <c r="A42" i="35" s="1"/>
  <c r="A42" i="36" s="1"/>
  <c r="A42" i="37" s="1"/>
  <c r="A42" i="38" s="1"/>
  <c r="A42" i="39" s="1"/>
  <c r="A42" i="40" s="1"/>
  <c r="A42" i="41" s="1"/>
  <c r="A42" i="42" s="1"/>
  <c r="A42" i="43" s="1"/>
  <c r="A42" i="44" s="1"/>
  <c r="A42" i="45" s="1"/>
  <c r="A42" i="46" s="1"/>
  <c r="A42" i="47" s="1"/>
  <c r="A42" i="48" s="1"/>
  <c r="A42" i="49" s="1"/>
  <c r="A42" i="50" s="1"/>
  <c r="A42" i="51" s="1"/>
  <c r="A42" i="52" s="1"/>
  <c r="A42" i="53" s="1"/>
  <c r="A42" i="54" s="1"/>
  <c r="A42" i="55" s="1"/>
  <c r="A42" i="56" s="1"/>
  <c r="A42" i="57" s="1"/>
  <c r="A42" i="58" s="1"/>
  <c r="N37" i="18"/>
  <c r="N36" i="18"/>
  <c r="N35" i="18"/>
  <c r="N33" i="18"/>
  <c r="N5" i="18"/>
  <c r="D2" i="18"/>
  <c r="AT3" i="16" s="1"/>
  <c r="M1" i="18"/>
  <c r="L1" i="18"/>
  <c r="D1" i="18"/>
  <c r="A55" i="18" s="1"/>
  <c r="M55" i="17"/>
  <c r="B52" i="17"/>
  <c r="C51" i="17"/>
  <c r="D51" i="17" s="1"/>
  <c r="E51" i="17" s="1"/>
  <c r="F51" i="17" s="1"/>
  <c r="G51" i="17" s="1"/>
  <c r="H51" i="17" s="1"/>
  <c r="I51" i="17" s="1"/>
  <c r="J51" i="17" s="1"/>
  <c r="K51" i="17" s="1"/>
  <c r="L51" i="17" s="1"/>
  <c r="M51" i="17" s="1"/>
  <c r="B51" i="18" s="1"/>
  <c r="I50" i="17"/>
  <c r="J50" i="17" s="1"/>
  <c r="K50" i="17" s="1"/>
  <c r="L50" i="17" s="1"/>
  <c r="M50" i="17" s="1"/>
  <c r="B50" i="18" s="1"/>
  <c r="C50" i="17"/>
  <c r="D50" i="17" s="1"/>
  <c r="E50" i="17" s="1"/>
  <c r="F50" i="17" s="1"/>
  <c r="G50" i="17" s="1"/>
  <c r="H50" i="17" s="1"/>
  <c r="C49" i="17"/>
  <c r="D49" i="17" s="1"/>
  <c r="E49" i="17" s="1"/>
  <c r="F49" i="17" s="1"/>
  <c r="G49" i="17" s="1"/>
  <c r="H49" i="17" s="1"/>
  <c r="I49" i="17" s="1"/>
  <c r="J49" i="17" s="1"/>
  <c r="K49" i="17" s="1"/>
  <c r="L49" i="17" s="1"/>
  <c r="M49" i="17" s="1"/>
  <c r="B49" i="18" s="1"/>
  <c r="D48" i="17"/>
  <c r="E48" i="17" s="1"/>
  <c r="F48" i="17" s="1"/>
  <c r="G48" i="17" s="1"/>
  <c r="H48" i="17" s="1"/>
  <c r="I48" i="17" s="1"/>
  <c r="J48" i="17" s="1"/>
  <c r="K48" i="17" s="1"/>
  <c r="L48" i="17" s="1"/>
  <c r="M48" i="17" s="1"/>
  <c r="B48" i="18" s="1"/>
  <c r="C48" i="17"/>
  <c r="C47" i="17"/>
  <c r="D47" i="17" s="1"/>
  <c r="E47" i="17" s="1"/>
  <c r="F47" i="17" s="1"/>
  <c r="G47" i="17" s="1"/>
  <c r="H47" i="17" s="1"/>
  <c r="I47" i="17" s="1"/>
  <c r="J47" i="17" s="1"/>
  <c r="K47" i="17" s="1"/>
  <c r="L47" i="17" s="1"/>
  <c r="M47" i="17" s="1"/>
  <c r="B47" i="18" s="1"/>
  <c r="C46" i="17"/>
  <c r="D46" i="17" s="1"/>
  <c r="E46" i="17" s="1"/>
  <c r="F46" i="17" s="1"/>
  <c r="G46" i="17" s="1"/>
  <c r="H46" i="17" s="1"/>
  <c r="I46" i="17" s="1"/>
  <c r="J46" i="17" s="1"/>
  <c r="K46" i="17" s="1"/>
  <c r="L46" i="17" s="1"/>
  <c r="M46" i="17" s="1"/>
  <c r="B46" i="18" s="1"/>
  <c r="K45" i="17"/>
  <c r="L45" i="17" s="1"/>
  <c r="M45" i="17" s="1"/>
  <c r="B45" i="18" s="1"/>
  <c r="C45" i="17"/>
  <c r="D45" i="17" s="1"/>
  <c r="E45" i="17" s="1"/>
  <c r="F45" i="17" s="1"/>
  <c r="G45" i="17" s="1"/>
  <c r="H45" i="17" s="1"/>
  <c r="I45" i="17" s="1"/>
  <c r="J45" i="17" s="1"/>
  <c r="K44" i="17"/>
  <c r="L44" i="17" s="1"/>
  <c r="M44" i="17" s="1"/>
  <c r="B44" i="18" s="1"/>
  <c r="C44" i="17"/>
  <c r="D44" i="17" s="1"/>
  <c r="E44" i="17" s="1"/>
  <c r="F44" i="17" s="1"/>
  <c r="G44" i="17" s="1"/>
  <c r="H44" i="17" s="1"/>
  <c r="I44" i="17" s="1"/>
  <c r="J44" i="17" s="1"/>
  <c r="K43" i="17"/>
  <c r="L43" i="17" s="1"/>
  <c r="M43" i="17" s="1"/>
  <c r="B43" i="18" s="1"/>
  <c r="C43" i="17"/>
  <c r="D43" i="17" s="1"/>
  <c r="E43" i="17" s="1"/>
  <c r="F43" i="17" s="1"/>
  <c r="G43" i="17" s="1"/>
  <c r="H43" i="17" s="1"/>
  <c r="I43" i="17" s="1"/>
  <c r="J43" i="17" s="1"/>
  <c r="C42" i="17"/>
  <c r="T37" i="17"/>
  <c r="S37" i="17"/>
  <c r="C55" i="16" s="1"/>
  <c r="X36" i="17" s="1"/>
  <c r="N37" i="17"/>
  <c r="N36" i="17"/>
  <c r="N35" i="17"/>
  <c r="C32" i="17"/>
  <c r="D32" i="17" s="1"/>
  <c r="E32" i="17" s="1"/>
  <c r="A25" i="17"/>
  <c r="A25" i="18" s="1"/>
  <c r="A25" i="19" s="1"/>
  <c r="A25" i="20" s="1"/>
  <c r="A25" i="21" s="1"/>
  <c r="A25" i="22" s="1"/>
  <c r="N22" i="17"/>
  <c r="C22" i="17"/>
  <c r="K2" i="17"/>
  <c r="B5" i="17" s="1"/>
  <c r="H2" i="17"/>
  <c r="B4" i="17" s="1"/>
  <c r="E2" i="17"/>
  <c r="M1" i="17"/>
  <c r="L1" i="17"/>
  <c r="D1" i="17"/>
  <c r="A55" i="17" s="1"/>
  <c r="AA210" i="16"/>
  <c r="AP209" i="16"/>
  <c r="AK209" i="16"/>
  <c r="AF209" i="16"/>
  <c r="AP208" i="16"/>
  <c r="AK208" i="16"/>
  <c r="AF208" i="16"/>
  <c r="AP207" i="16"/>
  <c r="AK207" i="16"/>
  <c r="AF207" i="16"/>
  <c r="AP206" i="16"/>
  <c r="AK206" i="16"/>
  <c r="AF206" i="16"/>
  <c r="AP205" i="16"/>
  <c r="AK205" i="16"/>
  <c r="AF205" i="16"/>
  <c r="AP204" i="16"/>
  <c r="AK204" i="16"/>
  <c r="AF204" i="16"/>
  <c r="AP203" i="16"/>
  <c r="AK203" i="16"/>
  <c r="AF203" i="16"/>
  <c r="AP202" i="16"/>
  <c r="AK202" i="16"/>
  <c r="AF202" i="16"/>
  <c r="AP201" i="16"/>
  <c r="AK201" i="16"/>
  <c r="AF201" i="16"/>
  <c r="AP200" i="16"/>
  <c r="AK200" i="16"/>
  <c r="AF200" i="16"/>
  <c r="AP199" i="16"/>
  <c r="AK199" i="16"/>
  <c r="AF199" i="16"/>
  <c r="AP198" i="16"/>
  <c r="AK198" i="16"/>
  <c r="AF198" i="16"/>
  <c r="AP197" i="16"/>
  <c r="AK197" i="16"/>
  <c r="AF197" i="16"/>
  <c r="AP196" i="16"/>
  <c r="AK196" i="16"/>
  <c r="AF196" i="16"/>
  <c r="AP195" i="16"/>
  <c r="AK195" i="16"/>
  <c r="AF195" i="16"/>
  <c r="AP194" i="16"/>
  <c r="AK194" i="16"/>
  <c r="AF194" i="16"/>
  <c r="AN153" i="16"/>
  <c r="AM153" i="16"/>
  <c r="AL153" i="16"/>
  <c r="AI153" i="16"/>
  <c r="AH153" i="16"/>
  <c r="AG153" i="16"/>
  <c r="AC153" i="16"/>
  <c r="Y153" i="16"/>
  <c r="X153" i="16"/>
  <c r="W153" i="16"/>
  <c r="AD152" i="16"/>
  <c r="AD153" i="16" s="1"/>
  <c r="AC152" i="16"/>
  <c r="AB152" i="16"/>
  <c r="AB153" i="16" s="1"/>
  <c r="AI151" i="16"/>
  <c r="AI143" i="16" s="1"/>
  <c r="AH151" i="16"/>
  <c r="AG151" i="16"/>
  <c r="Y151" i="16"/>
  <c r="X151" i="16"/>
  <c r="X143" i="16" s="1"/>
  <c r="W151" i="16"/>
  <c r="X137" i="16" s="1"/>
  <c r="Y146" i="16"/>
  <c r="X146" i="16"/>
  <c r="W146" i="16"/>
  <c r="AN144" i="16"/>
  <c r="AM144" i="16"/>
  <c r="AL144" i="16"/>
  <c r="AI144" i="16"/>
  <c r="AH144" i="16"/>
  <c r="AG144" i="16"/>
  <c r="Y144" i="16"/>
  <c r="X144" i="16"/>
  <c r="W144" i="16"/>
  <c r="AN143" i="16"/>
  <c r="AM143" i="16"/>
  <c r="AL143" i="16"/>
  <c r="AH143" i="16"/>
  <c r="AG143" i="16"/>
  <c r="Y143" i="16"/>
  <c r="W143" i="16"/>
  <c r="P129" i="16"/>
  <c r="Q129" i="16" s="1"/>
  <c r="O129" i="16"/>
  <c r="P126" i="16"/>
  <c r="O126" i="16"/>
  <c r="D114" i="16"/>
  <c r="E114" i="16" s="1"/>
  <c r="F114" i="16" s="1"/>
  <c r="G114" i="16" s="1"/>
  <c r="H114" i="16" s="1"/>
  <c r="I114" i="16" s="1"/>
  <c r="J114" i="16" s="1"/>
  <c r="K114" i="16" s="1"/>
  <c r="L114" i="16" s="1"/>
  <c r="M114" i="16" s="1"/>
  <c r="N114" i="16" s="1"/>
  <c r="O114" i="16" s="1"/>
  <c r="P114" i="16" s="1"/>
  <c r="Q114" i="16" s="1"/>
  <c r="R114" i="16" s="1"/>
  <c r="S114" i="16" s="1"/>
  <c r="T114" i="16" s="1"/>
  <c r="U114" i="16" s="1"/>
  <c r="V114" i="16" s="1"/>
  <c r="W114" i="16" s="1"/>
  <c r="X114" i="16" s="1"/>
  <c r="Y114" i="16" s="1"/>
  <c r="Z114" i="16" s="1"/>
  <c r="AA114" i="16" s="1"/>
  <c r="AB114" i="16" s="1"/>
  <c r="AC114" i="16" s="1"/>
  <c r="AD114" i="16" s="1"/>
  <c r="AE114" i="16" s="1"/>
  <c r="AF114" i="16" s="1"/>
  <c r="AG114" i="16" s="1"/>
  <c r="AH114" i="16" s="1"/>
  <c r="AI114" i="16" s="1"/>
  <c r="AJ114" i="16" s="1"/>
  <c r="AK114" i="16" s="1"/>
  <c r="AL114" i="16" s="1"/>
  <c r="AM114" i="16" s="1"/>
  <c r="AN114" i="16" s="1"/>
  <c r="AO114" i="16" s="1"/>
  <c r="AP114" i="16" s="1"/>
  <c r="AQ114" i="16" s="1"/>
  <c r="AR114" i="16" s="1"/>
  <c r="AQ61" i="16"/>
  <c r="AQ62" i="16" s="1"/>
  <c r="AQ63" i="16" s="1"/>
  <c r="CA53" i="16"/>
  <c r="H2" i="58" s="1"/>
  <c r="BZ53" i="16"/>
  <c r="H2" i="57" s="1"/>
  <c r="BY53" i="16"/>
  <c r="H2" i="56" s="1"/>
  <c r="BX53" i="16"/>
  <c r="H2" i="55" s="1"/>
  <c r="BW53" i="16"/>
  <c r="H2" i="54" s="1"/>
  <c r="BV53" i="16"/>
  <c r="H2" i="53" s="1"/>
  <c r="BU53" i="16"/>
  <c r="H2" i="52" s="1"/>
  <c r="BT53" i="16"/>
  <c r="H2" i="51" s="1"/>
  <c r="BS53" i="16"/>
  <c r="H2" i="50" s="1"/>
  <c r="BR53" i="16"/>
  <c r="H2" i="49" s="1"/>
  <c r="BQ53" i="16"/>
  <c r="H2" i="48" s="1"/>
  <c r="BP53" i="16"/>
  <c r="H2" i="47" s="1"/>
  <c r="BO53" i="16"/>
  <c r="H2" i="46" s="1"/>
  <c r="BN53" i="16"/>
  <c r="H2" i="45" s="1"/>
  <c r="BM53" i="16"/>
  <c r="H2" i="44" s="1"/>
  <c r="BL53" i="16"/>
  <c r="H2" i="43" s="1"/>
  <c r="BK53" i="16"/>
  <c r="H2" i="42" s="1"/>
  <c r="BJ53" i="16"/>
  <c r="H2" i="41" s="1"/>
  <c r="BI53" i="16"/>
  <c r="H2" i="40" s="1"/>
  <c r="BH53" i="16"/>
  <c r="H2" i="39" s="1"/>
  <c r="BG53" i="16"/>
  <c r="H2" i="38" s="1"/>
  <c r="BF53" i="16"/>
  <c r="H2" i="37" s="1"/>
  <c r="BE53" i="16"/>
  <c r="H2" i="36" s="1"/>
  <c r="BD53" i="16"/>
  <c r="H2" i="35" s="1"/>
  <c r="BC53" i="16"/>
  <c r="H2" i="34" s="1"/>
  <c r="BB53" i="16"/>
  <c r="H2" i="33" s="1"/>
  <c r="BA53" i="16"/>
  <c r="H2" i="32" s="1"/>
  <c r="AZ53" i="16"/>
  <c r="H2" i="31" s="1"/>
  <c r="AY53" i="16"/>
  <c r="H2" i="30" s="1"/>
  <c r="AX53" i="16"/>
  <c r="H2" i="29" s="1"/>
  <c r="AW53" i="16"/>
  <c r="H2" i="28" s="1"/>
  <c r="AV53" i="16"/>
  <c r="H2" i="27" s="1"/>
  <c r="AU53" i="16"/>
  <c r="H2" i="26" s="1"/>
  <c r="AT53" i="16"/>
  <c r="H2" i="25" s="1"/>
  <c r="AS53" i="16"/>
  <c r="H2" i="24" s="1"/>
  <c r="AR53" i="16"/>
  <c r="H2" i="23" s="1"/>
  <c r="AQ53" i="16"/>
  <c r="H2" i="22" s="1"/>
  <c r="AP53" i="16"/>
  <c r="H2" i="21" s="1"/>
  <c r="AO53" i="16"/>
  <c r="H2" i="20" s="1"/>
  <c r="AN53" i="16"/>
  <c r="H2" i="19" s="1"/>
  <c r="AM53" i="16"/>
  <c r="H2" i="18" s="1"/>
  <c r="AL53" i="16"/>
  <c r="N2" i="17" s="1"/>
  <c r="AP48" i="16"/>
  <c r="AM48" i="16"/>
  <c r="AQ47" i="16"/>
  <c r="AP47" i="16"/>
  <c r="AM47" i="16"/>
  <c r="AP46" i="16"/>
  <c r="AM46" i="16"/>
  <c r="AP45" i="16"/>
  <c r="AQ45" i="16" s="1"/>
  <c r="AM45" i="16"/>
  <c r="AP44" i="16"/>
  <c r="AQ44" i="16" s="1"/>
  <c r="AM44" i="16"/>
  <c r="AP43" i="16"/>
  <c r="AR43" i="16" s="1"/>
  <c r="AM43" i="16"/>
  <c r="AP42" i="16"/>
  <c r="AR42" i="16" s="1"/>
  <c r="AM42" i="16"/>
  <c r="AP41" i="16"/>
  <c r="AM41" i="16"/>
  <c r="AQ40" i="16"/>
  <c r="AP40" i="16"/>
  <c r="AM40" i="16"/>
  <c r="AP39" i="16"/>
  <c r="AQ39" i="16" s="1"/>
  <c r="AM39" i="16"/>
  <c r="AS38" i="16"/>
  <c r="AQ38" i="16"/>
  <c r="AP38" i="16"/>
  <c r="AM38" i="16"/>
  <c r="AP37" i="16"/>
  <c r="AQ37" i="16" s="1"/>
  <c r="AM37" i="16"/>
  <c r="AP36" i="16"/>
  <c r="AM36" i="16"/>
  <c r="AP35" i="16"/>
  <c r="AM35" i="16"/>
  <c r="AQ34" i="16"/>
  <c r="AP34" i="16"/>
  <c r="AM34" i="16"/>
  <c r="I34" i="16"/>
  <c r="AQ33" i="16"/>
  <c r="AP33" i="16"/>
  <c r="AM33" i="16"/>
  <c r="AP32" i="16"/>
  <c r="AM32" i="16"/>
  <c r="AR31" i="16"/>
  <c r="AQ31" i="16"/>
  <c r="AP31" i="16"/>
  <c r="AM31" i="16"/>
  <c r="AP30" i="16"/>
  <c r="AR30" i="16" s="1"/>
  <c r="AM30" i="16"/>
  <c r="AP29" i="16"/>
  <c r="AQ29" i="16" s="1"/>
  <c r="AM29" i="16"/>
  <c r="AP28" i="16"/>
  <c r="AQ28" i="16" s="1"/>
  <c r="AM28" i="16"/>
  <c r="AP27" i="16"/>
  <c r="AQ27" i="16" s="1"/>
  <c r="AM27" i="16"/>
  <c r="AR26" i="16"/>
  <c r="AP26" i="16"/>
  <c r="AQ26" i="16" s="1"/>
  <c r="AM26" i="16"/>
  <c r="AQ25" i="16"/>
  <c r="AP25" i="16"/>
  <c r="AM25" i="16"/>
  <c r="AR24" i="16"/>
  <c r="AS24" i="16" s="1"/>
  <c r="AQ24" i="16"/>
  <c r="AP24" i="16"/>
  <c r="AM24" i="16"/>
  <c r="AP23" i="16"/>
  <c r="AM23" i="16"/>
  <c r="AP22" i="16"/>
  <c r="AR22" i="16" s="1"/>
  <c r="AM22" i="16"/>
  <c r="AP21" i="16"/>
  <c r="AQ21" i="16" s="1"/>
  <c r="AM21" i="16"/>
  <c r="AP20" i="16"/>
  <c r="AR20" i="16" s="1"/>
  <c r="AM20" i="16"/>
  <c r="AQ19" i="16"/>
  <c r="AP19" i="16"/>
  <c r="AM19" i="16"/>
  <c r="AQ18" i="16"/>
  <c r="AP18" i="16"/>
  <c r="AM18" i="16"/>
  <c r="AP17" i="16"/>
  <c r="AQ17" i="16" s="1"/>
  <c r="AM17" i="16"/>
  <c r="AP16" i="16"/>
  <c r="AQ16" i="16" s="1"/>
  <c r="AM16" i="16"/>
  <c r="P16" i="16"/>
  <c r="AQ15" i="16"/>
  <c r="AP15" i="16"/>
  <c r="AM15" i="16"/>
  <c r="AQ14" i="16"/>
  <c r="AP14" i="16"/>
  <c r="AM14" i="16"/>
  <c r="AP13" i="16"/>
  <c r="AR13" i="16" s="1"/>
  <c r="AM13" i="16"/>
  <c r="AP12" i="16"/>
  <c r="AR12" i="16" s="1"/>
  <c r="AM12" i="16"/>
  <c r="AP11" i="16"/>
  <c r="AM11" i="16"/>
  <c r="AQ10" i="16"/>
  <c r="AP10" i="16"/>
  <c r="AM10" i="16"/>
  <c r="AR9" i="16"/>
  <c r="AP9" i="16"/>
  <c r="AQ9" i="16" s="1"/>
  <c r="AM9" i="16"/>
  <c r="AP8" i="16"/>
  <c r="AQ8" i="16" s="1"/>
  <c r="AM8" i="16"/>
  <c r="AP7" i="16"/>
  <c r="AM7" i="16"/>
  <c r="AP6" i="16"/>
  <c r="AR6" i="16" s="1"/>
  <c r="AS6" i="16" s="1"/>
  <c r="AM6" i="16"/>
  <c r="AP5" i="16"/>
  <c r="AR5" i="16" s="1"/>
  <c r="AS5" i="16" s="1"/>
  <c r="AM5" i="16"/>
  <c r="GX3" i="16"/>
  <c r="FJ3" i="16"/>
  <c r="EP3" i="16"/>
  <c r="EL3" i="16"/>
  <c r="EH3" i="16"/>
  <c r="ED3" i="16"/>
  <c r="DZ3" i="16"/>
  <c r="DV3" i="16"/>
  <c r="DR3" i="16"/>
  <c r="CT3" i="16"/>
  <c r="BZ3" i="16"/>
  <c r="BV3" i="16"/>
  <c r="BN3" i="16"/>
  <c r="BJ3" i="16"/>
  <c r="BF3" i="16"/>
  <c r="AS3" i="16"/>
  <c r="AR3" i="16"/>
  <c r="AR38" i="16" s="1"/>
  <c r="AO3" i="16"/>
  <c r="AP2" i="16"/>
  <c r="AT2" i="16" s="1"/>
  <c r="AX2" i="16" s="1"/>
  <c r="BB2" i="16" s="1"/>
  <c r="BF2" i="16" s="1"/>
  <c r="BJ2" i="16" s="1"/>
  <c r="BN2" i="16" s="1"/>
  <c r="BR2" i="16" s="1"/>
  <c r="BV2" i="16" s="1"/>
  <c r="BZ2" i="16" s="1"/>
  <c r="CD2" i="16" s="1"/>
  <c r="CH2" i="16" s="1"/>
  <c r="CL2" i="16" s="1"/>
  <c r="CP2" i="16" s="1"/>
  <c r="CT2" i="16" s="1"/>
  <c r="CX2" i="16" s="1"/>
  <c r="DB2" i="16" s="1"/>
  <c r="DF2" i="16" s="1"/>
  <c r="DJ2" i="16" s="1"/>
  <c r="DN2" i="16" s="1"/>
  <c r="DR2" i="16" s="1"/>
  <c r="DV2" i="16" s="1"/>
  <c r="DZ2" i="16" s="1"/>
  <c r="ED2" i="16" s="1"/>
  <c r="EH2" i="16" s="1"/>
  <c r="EL2" i="16" s="1"/>
  <c r="EP2" i="16" s="1"/>
  <c r="ET2" i="16" s="1"/>
  <c r="EX2" i="16" s="1"/>
  <c r="FB2" i="16" s="1"/>
  <c r="FF2" i="16" s="1"/>
  <c r="FJ2" i="16" s="1"/>
  <c r="FN2" i="16" s="1"/>
  <c r="FR2" i="16" s="1"/>
  <c r="FV2" i="16" s="1"/>
  <c r="FZ2" i="16" s="1"/>
  <c r="GD2" i="16" s="1"/>
  <c r="GH2" i="16" s="1"/>
  <c r="GL2" i="16" s="1"/>
  <c r="GP2" i="16" s="1"/>
  <c r="GT2" i="16" s="1"/>
  <c r="GX2" i="16" s="1"/>
  <c r="HB2" i="16" s="1"/>
  <c r="AH1" i="16"/>
  <c r="AG1" i="16"/>
  <c r="AF1" i="16"/>
  <c r="F1" i="16"/>
  <c r="A1" i="16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C384" i="15"/>
  <c r="C383" i="15"/>
  <c r="C382" i="15"/>
  <c r="C381" i="15"/>
  <c r="C380" i="15"/>
  <c r="C379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C363" i="15"/>
  <c r="C362" i="15"/>
  <c r="C361" i="15"/>
  <c r="C360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2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9" i="15"/>
  <c r="C318" i="15"/>
  <c r="C317" i="15"/>
  <c r="C316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E4" i="14"/>
  <c r="E50" i="14" s="1"/>
  <c r="C43" i="12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L4" i="4"/>
  <c r="N3" i="4"/>
  <c r="M3" i="4"/>
  <c r="W608" i="2"/>
  <c r="R608" i="2"/>
  <c r="O608" i="2"/>
  <c r="M608" i="2"/>
  <c r="R607" i="2"/>
  <c r="O607" i="2"/>
  <c r="M607" i="2"/>
  <c r="R606" i="2"/>
  <c r="O606" i="2"/>
  <c r="M606" i="2"/>
  <c r="R605" i="2"/>
  <c r="O605" i="2"/>
  <c r="M605" i="2"/>
  <c r="R604" i="2"/>
  <c r="O604" i="2"/>
  <c r="M604" i="2"/>
  <c r="R603" i="2"/>
  <c r="O603" i="2"/>
  <c r="M603" i="2"/>
  <c r="U602" i="2"/>
  <c r="R602" i="2"/>
  <c r="O602" i="2"/>
  <c r="M602" i="2"/>
  <c r="U601" i="2"/>
  <c r="R601" i="2"/>
  <c r="O601" i="2"/>
  <c r="M601" i="2"/>
  <c r="U600" i="2"/>
  <c r="R600" i="2"/>
  <c r="O600" i="2"/>
  <c r="M600" i="2"/>
  <c r="U599" i="2"/>
  <c r="R599" i="2"/>
  <c r="O599" i="2"/>
  <c r="M599" i="2"/>
  <c r="AO598" i="2"/>
  <c r="U598" i="2"/>
  <c r="R598" i="2"/>
  <c r="O598" i="2"/>
  <c r="M598" i="2"/>
  <c r="AA597" i="2"/>
  <c r="U597" i="2"/>
  <c r="R597" i="2"/>
  <c r="O597" i="2"/>
  <c r="M597" i="2"/>
  <c r="U596" i="2"/>
  <c r="R596" i="2"/>
  <c r="O596" i="2"/>
  <c r="M596" i="2"/>
  <c r="U595" i="2"/>
  <c r="R595" i="2"/>
  <c r="O595" i="2"/>
  <c r="M595" i="2"/>
  <c r="U594" i="2"/>
  <c r="R594" i="2"/>
  <c r="O594" i="2"/>
  <c r="M594" i="2"/>
  <c r="U593" i="2"/>
  <c r="R593" i="2"/>
  <c r="O593" i="2"/>
  <c r="M593" i="2"/>
  <c r="U592" i="2"/>
  <c r="R592" i="2"/>
  <c r="O592" i="2"/>
  <c r="M592" i="2"/>
  <c r="U591" i="2"/>
  <c r="R591" i="2"/>
  <c r="O591" i="2"/>
  <c r="M591" i="2"/>
  <c r="U590" i="2"/>
  <c r="R590" i="2"/>
  <c r="O590" i="2"/>
  <c r="M590" i="2"/>
  <c r="U589" i="2"/>
  <c r="R589" i="2"/>
  <c r="O589" i="2"/>
  <c r="M589" i="2"/>
  <c r="U588" i="2"/>
  <c r="R588" i="2"/>
  <c r="O588" i="2"/>
  <c r="M588" i="2"/>
  <c r="U587" i="2"/>
  <c r="R587" i="2"/>
  <c r="O587" i="2"/>
  <c r="M587" i="2"/>
  <c r="AO586" i="2"/>
  <c r="U586" i="2"/>
  <c r="R586" i="2"/>
  <c r="O586" i="2"/>
  <c r="M586" i="2"/>
  <c r="AA585" i="2"/>
  <c r="U585" i="2"/>
  <c r="R585" i="2"/>
  <c r="O585" i="2"/>
  <c r="M585" i="2"/>
  <c r="U584" i="2"/>
  <c r="R584" i="2"/>
  <c r="O584" i="2"/>
  <c r="M584" i="2"/>
  <c r="U583" i="2"/>
  <c r="R583" i="2"/>
  <c r="O583" i="2"/>
  <c r="M583" i="2"/>
  <c r="U582" i="2"/>
  <c r="R582" i="2"/>
  <c r="O582" i="2"/>
  <c r="M582" i="2"/>
  <c r="U581" i="2"/>
  <c r="R581" i="2"/>
  <c r="O581" i="2"/>
  <c r="M581" i="2"/>
  <c r="U580" i="2"/>
  <c r="R580" i="2"/>
  <c r="O580" i="2"/>
  <c r="M580" i="2"/>
  <c r="U579" i="2"/>
  <c r="R579" i="2"/>
  <c r="O579" i="2"/>
  <c r="M579" i="2"/>
  <c r="U578" i="2"/>
  <c r="R578" i="2"/>
  <c r="O578" i="2"/>
  <c r="M578" i="2"/>
  <c r="U577" i="2"/>
  <c r="R577" i="2"/>
  <c r="O577" i="2"/>
  <c r="M577" i="2"/>
  <c r="U576" i="2"/>
  <c r="R576" i="2"/>
  <c r="O576" i="2"/>
  <c r="M576" i="2"/>
  <c r="U575" i="2"/>
  <c r="R575" i="2"/>
  <c r="O575" i="2"/>
  <c r="M575" i="2"/>
  <c r="AO574" i="2"/>
  <c r="U574" i="2"/>
  <c r="R574" i="2"/>
  <c r="O574" i="2"/>
  <c r="M574" i="2"/>
  <c r="AA573" i="2"/>
  <c r="U573" i="2"/>
  <c r="R573" i="2"/>
  <c r="O573" i="2"/>
  <c r="M573" i="2"/>
  <c r="U572" i="2"/>
  <c r="R572" i="2"/>
  <c r="O572" i="2"/>
  <c r="M572" i="2"/>
  <c r="U571" i="2"/>
  <c r="R571" i="2"/>
  <c r="O571" i="2"/>
  <c r="M571" i="2"/>
  <c r="U570" i="2"/>
  <c r="R570" i="2"/>
  <c r="O570" i="2"/>
  <c r="M570" i="2"/>
  <c r="U569" i="2"/>
  <c r="R569" i="2"/>
  <c r="O569" i="2"/>
  <c r="M569" i="2"/>
  <c r="U568" i="2"/>
  <c r="R568" i="2"/>
  <c r="O568" i="2"/>
  <c r="M568" i="2"/>
  <c r="U567" i="2"/>
  <c r="R567" i="2"/>
  <c r="O567" i="2"/>
  <c r="M567" i="2"/>
  <c r="U566" i="2"/>
  <c r="R566" i="2"/>
  <c r="O566" i="2"/>
  <c r="M566" i="2"/>
  <c r="U565" i="2"/>
  <c r="R565" i="2"/>
  <c r="O565" i="2"/>
  <c r="M565" i="2"/>
  <c r="U564" i="2"/>
  <c r="R564" i="2"/>
  <c r="O564" i="2"/>
  <c r="M564" i="2"/>
  <c r="U563" i="2"/>
  <c r="R563" i="2"/>
  <c r="O563" i="2"/>
  <c r="M563" i="2"/>
  <c r="AO562" i="2"/>
  <c r="U562" i="2"/>
  <c r="R562" i="2"/>
  <c r="O562" i="2"/>
  <c r="M562" i="2"/>
  <c r="AA561" i="2"/>
  <c r="U561" i="2"/>
  <c r="R561" i="2"/>
  <c r="O561" i="2"/>
  <c r="M561" i="2"/>
  <c r="U560" i="2"/>
  <c r="R560" i="2"/>
  <c r="O560" i="2"/>
  <c r="M560" i="2"/>
  <c r="U559" i="2"/>
  <c r="R559" i="2"/>
  <c r="O559" i="2"/>
  <c r="M559" i="2"/>
  <c r="U558" i="2"/>
  <c r="R558" i="2"/>
  <c r="O558" i="2"/>
  <c r="M558" i="2"/>
  <c r="U557" i="2"/>
  <c r="R557" i="2"/>
  <c r="O557" i="2"/>
  <c r="M557" i="2"/>
  <c r="U556" i="2"/>
  <c r="R556" i="2"/>
  <c r="O556" i="2"/>
  <c r="M556" i="2"/>
  <c r="U555" i="2"/>
  <c r="R555" i="2"/>
  <c r="O555" i="2"/>
  <c r="M555" i="2"/>
  <c r="U554" i="2"/>
  <c r="R554" i="2"/>
  <c r="O554" i="2"/>
  <c r="M554" i="2"/>
  <c r="U553" i="2"/>
  <c r="R553" i="2"/>
  <c r="O553" i="2"/>
  <c r="M553" i="2"/>
  <c r="U552" i="2"/>
  <c r="R552" i="2"/>
  <c r="O552" i="2"/>
  <c r="M552" i="2"/>
  <c r="U551" i="2"/>
  <c r="R551" i="2"/>
  <c r="O551" i="2"/>
  <c r="M551" i="2"/>
  <c r="AO550" i="2"/>
  <c r="U550" i="2"/>
  <c r="R550" i="2"/>
  <c r="O550" i="2"/>
  <c r="M550" i="2"/>
  <c r="AA549" i="2"/>
  <c r="U549" i="2"/>
  <c r="R549" i="2"/>
  <c r="O549" i="2"/>
  <c r="M549" i="2"/>
  <c r="U548" i="2"/>
  <c r="R548" i="2"/>
  <c r="O548" i="2"/>
  <c r="M548" i="2"/>
  <c r="U547" i="2"/>
  <c r="R547" i="2"/>
  <c r="O547" i="2"/>
  <c r="M547" i="2"/>
  <c r="U546" i="2"/>
  <c r="R546" i="2"/>
  <c r="O546" i="2"/>
  <c r="M546" i="2"/>
  <c r="U545" i="2"/>
  <c r="R545" i="2"/>
  <c r="O545" i="2"/>
  <c r="M545" i="2"/>
  <c r="U544" i="2"/>
  <c r="R544" i="2"/>
  <c r="O544" i="2"/>
  <c r="M544" i="2"/>
  <c r="U543" i="2"/>
  <c r="R543" i="2"/>
  <c r="O543" i="2"/>
  <c r="M543" i="2"/>
  <c r="U542" i="2"/>
  <c r="R542" i="2"/>
  <c r="O542" i="2"/>
  <c r="M542" i="2"/>
  <c r="U541" i="2"/>
  <c r="R541" i="2"/>
  <c r="O541" i="2"/>
  <c r="M541" i="2"/>
  <c r="U540" i="2"/>
  <c r="R540" i="2"/>
  <c r="O540" i="2"/>
  <c r="M540" i="2"/>
  <c r="U539" i="2"/>
  <c r="R539" i="2"/>
  <c r="O539" i="2"/>
  <c r="M539" i="2"/>
  <c r="AO538" i="2"/>
  <c r="U538" i="2"/>
  <c r="R538" i="2"/>
  <c r="O538" i="2"/>
  <c r="M538" i="2"/>
  <c r="AA537" i="2"/>
  <c r="U537" i="2"/>
  <c r="R537" i="2"/>
  <c r="O537" i="2"/>
  <c r="M537" i="2"/>
  <c r="U536" i="2"/>
  <c r="R536" i="2"/>
  <c r="O536" i="2"/>
  <c r="M536" i="2"/>
  <c r="U535" i="2"/>
  <c r="R535" i="2"/>
  <c r="O535" i="2"/>
  <c r="M535" i="2"/>
  <c r="U534" i="2"/>
  <c r="R534" i="2"/>
  <c r="O534" i="2"/>
  <c r="M534" i="2"/>
  <c r="U533" i="2"/>
  <c r="R533" i="2"/>
  <c r="O533" i="2"/>
  <c r="M533" i="2"/>
  <c r="U532" i="2"/>
  <c r="R532" i="2"/>
  <c r="O532" i="2"/>
  <c r="M532" i="2"/>
  <c r="U531" i="2"/>
  <c r="R531" i="2"/>
  <c r="O531" i="2"/>
  <c r="M531" i="2"/>
  <c r="U530" i="2"/>
  <c r="R530" i="2"/>
  <c r="O530" i="2"/>
  <c r="M530" i="2"/>
  <c r="U529" i="2"/>
  <c r="R529" i="2"/>
  <c r="O529" i="2"/>
  <c r="M529" i="2"/>
  <c r="U528" i="2"/>
  <c r="R528" i="2"/>
  <c r="O528" i="2"/>
  <c r="M528" i="2"/>
  <c r="U527" i="2"/>
  <c r="R527" i="2"/>
  <c r="O527" i="2"/>
  <c r="M527" i="2"/>
  <c r="AO526" i="2"/>
  <c r="U526" i="2"/>
  <c r="R526" i="2"/>
  <c r="O526" i="2"/>
  <c r="M526" i="2"/>
  <c r="AA525" i="2"/>
  <c r="U525" i="2"/>
  <c r="R525" i="2"/>
  <c r="O525" i="2"/>
  <c r="M525" i="2"/>
  <c r="U524" i="2"/>
  <c r="R524" i="2"/>
  <c r="O524" i="2"/>
  <c r="M524" i="2"/>
  <c r="U523" i="2"/>
  <c r="R523" i="2"/>
  <c r="O523" i="2"/>
  <c r="M523" i="2"/>
  <c r="U522" i="2"/>
  <c r="R522" i="2"/>
  <c r="O522" i="2"/>
  <c r="M522" i="2"/>
  <c r="U521" i="2"/>
  <c r="R521" i="2"/>
  <c r="O521" i="2"/>
  <c r="M521" i="2"/>
  <c r="U520" i="2"/>
  <c r="R520" i="2"/>
  <c r="O520" i="2"/>
  <c r="M520" i="2"/>
  <c r="U519" i="2"/>
  <c r="R519" i="2"/>
  <c r="O519" i="2"/>
  <c r="M519" i="2"/>
  <c r="U518" i="2"/>
  <c r="R518" i="2"/>
  <c r="O518" i="2"/>
  <c r="M518" i="2"/>
  <c r="U517" i="2"/>
  <c r="R517" i="2"/>
  <c r="O517" i="2"/>
  <c r="M517" i="2"/>
  <c r="U516" i="2"/>
  <c r="R516" i="2"/>
  <c r="O516" i="2"/>
  <c r="M516" i="2"/>
  <c r="U515" i="2"/>
  <c r="R515" i="2"/>
  <c r="O515" i="2"/>
  <c r="M515" i="2"/>
  <c r="AO514" i="2"/>
  <c r="U514" i="2"/>
  <c r="R514" i="2"/>
  <c r="O514" i="2"/>
  <c r="M514" i="2"/>
  <c r="AA513" i="2"/>
  <c r="U513" i="2"/>
  <c r="R513" i="2"/>
  <c r="O513" i="2"/>
  <c r="M513" i="2"/>
  <c r="U512" i="2"/>
  <c r="R512" i="2"/>
  <c r="O512" i="2"/>
  <c r="M512" i="2"/>
  <c r="U511" i="2"/>
  <c r="R511" i="2"/>
  <c r="O511" i="2"/>
  <c r="M511" i="2"/>
  <c r="U510" i="2"/>
  <c r="R510" i="2"/>
  <c r="O510" i="2"/>
  <c r="M510" i="2"/>
  <c r="U509" i="2"/>
  <c r="R509" i="2"/>
  <c r="O509" i="2"/>
  <c r="M509" i="2"/>
  <c r="U508" i="2"/>
  <c r="R508" i="2"/>
  <c r="O508" i="2"/>
  <c r="M508" i="2"/>
  <c r="U507" i="2"/>
  <c r="R507" i="2"/>
  <c r="O507" i="2"/>
  <c r="M507" i="2"/>
  <c r="U506" i="2"/>
  <c r="R506" i="2"/>
  <c r="O506" i="2"/>
  <c r="M506" i="2"/>
  <c r="U505" i="2"/>
  <c r="R505" i="2"/>
  <c r="O505" i="2"/>
  <c r="M505" i="2"/>
  <c r="U504" i="2"/>
  <c r="R504" i="2"/>
  <c r="O504" i="2"/>
  <c r="M504" i="2"/>
  <c r="U503" i="2"/>
  <c r="R503" i="2"/>
  <c r="O503" i="2"/>
  <c r="M503" i="2"/>
  <c r="AO502" i="2"/>
  <c r="U502" i="2"/>
  <c r="R502" i="2"/>
  <c r="O502" i="2"/>
  <c r="M502" i="2"/>
  <c r="AA501" i="2"/>
  <c r="U501" i="2"/>
  <c r="R501" i="2"/>
  <c r="O501" i="2"/>
  <c r="M501" i="2"/>
  <c r="U500" i="2"/>
  <c r="R500" i="2"/>
  <c r="O500" i="2"/>
  <c r="M500" i="2"/>
  <c r="U499" i="2"/>
  <c r="R499" i="2"/>
  <c r="O499" i="2"/>
  <c r="M499" i="2"/>
  <c r="U498" i="2"/>
  <c r="R498" i="2"/>
  <c r="O498" i="2"/>
  <c r="M498" i="2"/>
  <c r="U497" i="2"/>
  <c r="R497" i="2"/>
  <c r="O497" i="2"/>
  <c r="M497" i="2"/>
  <c r="U496" i="2"/>
  <c r="R496" i="2"/>
  <c r="O496" i="2"/>
  <c r="M496" i="2"/>
  <c r="U495" i="2"/>
  <c r="R495" i="2"/>
  <c r="O495" i="2"/>
  <c r="M495" i="2"/>
  <c r="U494" i="2"/>
  <c r="R494" i="2"/>
  <c r="O494" i="2"/>
  <c r="M494" i="2"/>
  <c r="U493" i="2"/>
  <c r="R493" i="2"/>
  <c r="O493" i="2"/>
  <c r="M493" i="2"/>
  <c r="U492" i="2"/>
  <c r="R492" i="2"/>
  <c r="O492" i="2"/>
  <c r="M492" i="2"/>
  <c r="U491" i="2"/>
  <c r="R491" i="2"/>
  <c r="O491" i="2"/>
  <c r="M491" i="2"/>
  <c r="AO490" i="2"/>
  <c r="U490" i="2"/>
  <c r="R490" i="2"/>
  <c r="O490" i="2"/>
  <c r="M490" i="2"/>
  <c r="AA489" i="2"/>
  <c r="U489" i="2"/>
  <c r="R489" i="2"/>
  <c r="O489" i="2"/>
  <c r="M489" i="2"/>
  <c r="U488" i="2"/>
  <c r="R488" i="2"/>
  <c r="O488" i="2"/>
  <c r="M488" i="2"/>
  <c r="U487" i="2"/>
  <c r="R487" i="2"/>
  <c r="O487" i="2"/>
  <c r="M487" i="2"/>
  <c r="U486" i="2"/>
  <c r="R486" i="2"/>
  <c r="O486" i="2"/>
  <c r="M486" i="2"/>
  <c r="U485" i="2"/>
  <c r="R485" i="2"/>
  <c r="O485" i="2"/>
  <c r="M485" i="2"/>
  <c r="U484" i="2"/>
  <c r="R484" i="2"/>
  <c r="O484" i="2"/>
  <c r="M484" i="2"/>
  <c r="U483" i="2"/>
  <c r="R483" i="2"/>
  <c r="O483" i="2"/>
  <c r="M483" i="2"/>
  <c r="U482" i="2"/>
  <c r="R482" i="2"/>
  <c r="O482" i="2"/>
  <c r="M482" i="2"/>
  <c r="U481" i="2"/>
  <c r="R481" i="2"/>
  <c r="O481" i="2"/>
  <c r="M481" i="2"/>
  <c r="U480" i="2"/>
  <c r="R480" i="2"/>
  <c r="O480" i="2"/>
  <c r="M480" i="2"/>
  <c r="U479" i="2"/>
  <c r="R479" i="2"/>
  <c r="O479" i="2"/>
  <c r="M479" i="2"/>
  <c r="AO478" i="2"/>
  <c r="U478" i="2"/>
  <c r="R478" i="2"/>
  <c r="O478" i="2"/>
  <c r="M478" i="2"/>
  <c r="AA477" i="2"/>
  <c r="U477" i="2"/>
  <c r="R477" i="2"/>
  <c r="O477" i="2"/>
  <c r="M477" i="2"/>
  <c r="U476" i="2"/>
  <c r="R476" i="2"/>
  <c r="O476" i="2"/>
  <c r="M476" i="2"/>
  <c r="U475" i="2"/>
  <c r="R475" i="2"/>
  <c r="O475" i="2"/>
  <c r="M475" i="2"/>
  <c r="U474" i="2"/>
  <c r="R474" i="2"/>
  <c r="O474" i="2"/>
  <c r="M474" i="2"/>
  <c r="U473" i="2"/>
  <c r="R473" i="2"/>
  <c r="O473" i="2"/>
  <c r="M473" i="2"/>
  <c r="U472" i="2"/>
  <c r="R472" i="2"/>
  <c r="O472" i="2"/>
  <c r="M472" i="2"/>
  <c r="U471" i="2"/>
  <c r="R471" i="2"/>
  <c r="O471" i="2"/>
  <c r="M471" i="2"/>
  <c r="U470" i="2"/>
  <c r="R470" i="2"/>
  <c r="O470" i="2"/>
  <c r="M470" i="2"/>
  <c r="U469" i="2"/>
  <c r="R469" i="2"/>
  <c r="O469" i="2"/>
  <c r="M469" i="2"/>
  <c r="U468" i="2"/>
  <c r="R468" i="2"/>
  <c r="O468" i="2"/>
  <c r="M468" i="2"/>
  <c r="U467" i="2"/>
  <c r="R467" i="2"/>
  <c r="O467" i="2"/>
  <c r="M467" i="2"/>
  <c r="AO466" i="2"/>
  <c r="U466" i="2"/>
  <c r="R466" i="2"/>
  <c r="O466" i="2"/>
  <c r="M466" i="2"/>
  <c r="ED465" i="2"/>
  <c r="AA465" i="2"/>
  <c r="U465" i="2"/>
  <c r="R465" i="2"/>
  <c r="O465" i="2"/>
  <c r="M465" i="2"/>
  <c r="U464" i="2"/>
  <c r="R464" i="2"/>
  <c r="O464" i="2"/>
  <c r="M464" i="2"/>
  <c r="U463" i="2"/>
  <c r="R463" i="2"/>
  <c r="O463" i="2"/>
  <c r="M463" i="2"/>
  <c r="U462" i="2"/>
  <c r="R462" i="2"/>
  <c r="O462" i="2"/>
  <c r="M462" i="2"/>
  <c r="U461" i="2"/>
  <c r="R461" i="2"/>
  <c r="O461" i="2"/>
  <c r="M461" i="2"/>
  <c r="U460" i="2"/>
  <c r="R460" i="2"/>
  <c r="O460" i="2"/>
  <c r="M460" i="2"/>
  <c r="U459" i="2"/>
  <c r="R459" i="2"/>
  <c r="O459" i="2"/>
  <c r="M459" i="2"/>
  <c r="U458" i="2"/>
  <c r="R458" i="2"/>
  <c r="O458" i="2"/>
  <c r="M458" i="2"/>
  <c r="U457" i="2"/>
  <c r="R457" i="2"/>
  <c r="O457" i="2"/>
  <c r="M457" i="2"/>
  <c r="U456" i="2"/>
  <c r="R456" i="2"/>
  <c r="O456" i="2"/>
  <c r="M456" i="2"/>
  <c r="U455" i="2"/>
  <c r="R455" i="2"/>
  <c r="O455" i="2"/>
  <c r="M455" i="2"/>
  <c r="AO454" i="2"/>
  <c r="U454" i="2"/>
  <c r="R454" i="2"/>
  <c r="O454" i="2"/>
  <c r="M454" i="2"/>
  <c r="ED453" i="2"/>
  <c r="AA453" i="2"/>
  <c r="U453" i="2"/>
  <c r="R453" i="2"/>
  <c r="O453" i="2"/>
  <c r="M453" i="2"/>
  <c r="U452" i="2"/>
  <c r="R452" i="2"/>
  <c r="O452" i="2"/>
  <c r="M452" i="2"/>
  <c r="U451" i="2"/>
  <c r="R451" i="2"/>
  <c r="O451" i="2"/>
  <c r="M451" i="2"/>
  <c r="U450" i="2"/>
  <c r="R450" i="2"/>
  <c r="O450" i="2"/>
  <c r="M450" i="2"/>
  <c r="U449" i="2"/>
  <c r="R449" i="2"/>
  <c r="O449" i="2"/>
  <c r="M449" i="2"/>
  <c r="U448" i="2"/>
  <c r="R448" i="2"/>
  <c r="O448" i="2"/>
  <c r="M448" i="2"/>
  <c r="U447" i="2"/>
  <c r="R447" i="2"/>
  <c r="O447" i="2"/>
  <c r="M447" i="2"/>
  <c r="U446" i="2"/>
  <c r="R446" i="2"/>
  <c r="O446" i="2"/>
  <c r="M446" i="2"/>
  <c r="U445" i="2"/>
  <c r="R445" i="2"/>
  <c r="O445" i="2"/>
  <c r="M445" i="2"/>
  <c r="U444" i="2"/>
  <c r="R444" i="2"/>
  <c r="O444" i="2"/>
  <c r="M444" i="2"/>
  <c r="U443" i="2"/>
  <c r="R443" i="2"/>
  <c r="O443" i="2"/>
  <c r="M443" i="2"/>
  <c r="AO442" i="2"/>
  <c r="U442" i="2"/>
  <c r="R442" i="2"/>
  <c r="O442" i="2"/>
  <c r="M442" i="2"/>
  <c r="ED441" i="2"/>
  <c r="AA441" i="2"/>
  <c r="U441" i="2"/>
  <c r="R441" i="2"/>
  <c r="O441" i="2"/>
  <c r="M441" i="2"/>
  <c r="U440" i="2"/>
  <c r="R440" i="2"/>
  <c r="O440" i="2"/>
  <c r="M440" i="2"/>
  <c r="U439" i="2"/>
  <c r="R439" i="2"/>
  <c r="O439" i="2"/>
  <c r="M439" i="2"/>
  <c r="U438" i="2"/>
  <c r="R438" i="2"/>
  <c r="O438" i="2"/>
  <c r="M438" i="2"/>
  <c r="U437" i="2"/>
  <c r="R437" i="2"/>
  <c r="O437" i="2"/>
  <c r="M437" i="2"/>
  <c r="U436" i="2"/>
  <c r="R436" i="2"/>
  <c r="O436" i="2"/>
  <c r="M436" i="2"/>
  <c r="U435" i="2"/>
  <c r="R435" i="2"/>
  <c r="O435" i="2"/>
  <c r="M435" i="2"/>
  <c r="U434" i="2"/>
  <c r="R434" i="2"/>
  <c r="O434" i="2"/>
  <c r="M434" i="2"/>
  <c r="U433" i="2"/>
  <c r="R433" i="2"/>
  <c r="O433" i="2"/>
  <c r="M433" i="2"/>
  <c r="U432" i="2"/>
  <c r="R432" i="2"/>
  <c r="O432" i="2"/>
  <c r="M432" i="2"/>
  <c r="U431" i="2"/>
  <c r="R431" i="2"/>
  <c r="O431" i="2"/>
  <c r="M431" i="2"/>
  <c r="AO430" i="2"/>
  <c r="U430" i="2"/>
  <c r="R430" i="2"/>
  <c r="O430" i="2"/>
  <c r="M430" i="2"/>
  <c r="ED429" i="2"/>
  <c r="AA429" i="2"/>
  <c r="U429" i="2"/>
  <c r="R429" i="2"/>
  <c r="O429" i="2"/>
  <c r="M429" i="2"/>
  <c r="U428" i="2"/>
  <c r="R428" i="2"/>
  <c r="O428" i="2"/>
  <c r="M428" i="2"/>
  <c r="U427" i="2"/>
  <c r="R427" i="2"/>
  <c r="O427" i="2"/>
  <c r="M427" i="2"/>
  <c r="U426" i="2"/>
  <c r="R426" i="2"/>
  <c r="O426" i="2"/>
  <c r="M426" i="2"/>
  <c r="U425" i="2"/>
  <c r="R425" i="2"/>
  <c r="O425" i="2"/>
  <c r="M425" i="2"/>
  <c r="U424" i="2"/>
  <c r="R424" i="2"/>
  <c r="O424" i="2"/>
  <c r="M424" i="2"/>
  <c r="U423" i="2"/>
  <c r="R423" i="2"/>
  <c r="O423" i="2"/>
  <c r="M423" i="2"/>
  <c r="U422" i="2"/>
  <c r="R422" i="2"/>
  <c r="O422" i="2"/>
  <c r="M422" i="2"/>
  <c r="U421" i="2"/>
  <c r="R421" i="2"/>
  <c r="O421" i="2"/>
  <c r="M421" i="2"/>
  <c r="U420" i="2"/>
  <c r="R420" i="2"/>
  <c r="O420" i="2"/>
  <c r="M420" i="2"/>
  <c r="U419" i="2"/>
  <c r="R419" i="2"/>
  <c r="O419" i="2"/>
  <c r="M419" i="2"/>
  <c r="AO418" i="2"/>
  <c r="U418" i="2"/>
  <c r="R418" i="2"/>
  <c r="O418" i="2"/>
  <c r="M418" i="2"/>
  <c r="ED417" i="2"/>
  <c r="AA417" i="2"/>
  <c r="U417" i="2"/>
  <c r="R417" i="2"/>
  <c r="O417" i="2"/>
  <c r="M417" i="2"/>
  <c r="U416" i="2"/>
  <c r="R416" i="2"/>
  <c r="O416" i="2"/>
  <c r="M416" i="2"/>
  <c r="U415" i="2"/>
  <c r="R415" i="2"/>
  <c r="O415" i="2"/>
  <c r="M415" i="2"/>
  <c r="U414" i="2"/>
  <c r="R414" i="2"/>
  <c r="O414" i="2"/>
  <c r="M414" i="2"/>
  <c r="U413" i="2"/>
  <c r="R413" i="2"/>
  <c r="O413" i="2"/>
  <c r="M413" i="2"/>
  <c r="U412" i="2"/>
  <c r="R412" i="2"/>
  <c r="O412" i="2"/>
  <c r="M412" i="2"/>
  <c r="U411" i="2"/>
  <c r="R411" i="2"/>
  <c r="O411" i="2"/>
  <c r="M411" i="2"/>
  <c r="U410" i="2"/>
  <c r="R410" i="2"/>
  <c r="O410" i="2"/>
  <c r="M410" i="2"/>
  <c r="U409" i="2"/>
  <c r="R409" i="2"/>
  <c r="O409" i="2"/>
  <c r="M409" i="2"/>
  <c r="U408" i="2"/>
  <c r="R408" i="2"/>
  <c r="O408" i="2"/>
  <c r="M408" i="2"/>
  <c r="U407" i="2"/>
  <c r="R407" i="2"/>
  <c r="O407" i="2"/>
  <c r="M407" i="2"/>
  <c r="AO406" i="2"/>
  <c r="U406" i="2"/>
  <c r="R406" i="2"/>
  <c r="O406" i="2"/>
  <c r="M406" i="2"/>
  <c r="ED405" i="2"/>
  <c r="AA405" i="2"/>
  <c r="U405" i="2"/>
  <c r="R405" i="2"/>
  <c r="O405" i="2"/>
  <c r="M405" i="2"/>
  <c r="U404" i="2"/>
  <c r="R404" i="2"/>
  <c r="O404" i="2"/>
  <c r="M404" i="2"/>
  <c r="U403" i="2"/>
  <c r="R403" i="2"/>
  <c r="O403" i="2"/>
  <c r="M403" i="2"/>
  <c r="U402" i="2"/>
  <c r="R402" i="2"/>
  <c r="O402" i="2"/>
  <c r="M402" i="2"/>
  <c r="U401" i="2"/>
  <c r="R401" i="2"/>
  <c r="O401" i="2"/>
  <c r="M401" i="2"/>
  <c r="U400" i="2"/>
  <c r="R400" i="2"/>
  <c r="O400" i="2"/>
  <c r="M400" i="2"/>
  <c r="U399" i="2"/>
  <c r="R399" i="2"/>
  <c r="O399" i="2"/>
  <c r="M399" i="2"/>
  <c r="U398" i="2"/>
  <c r="R398" i="2"/>
  <c r="O398" i="2"/>
  <c r="M398" i="2"/>
  <c r="U397" i="2"/>
  <c r="R397" i="2"/>
  <c r="O397" i="2"/>
  <c r="M397" i="2"/>
  <c r="U396" i="2"/>
  <c r="R396" i="2"/>
  <c r="O396" i="2"/>
  <c r="M396" i="2"/>
  <c r="U395" i="2"/>
  <c r="R395" i="2"/>
  <c r="O395" i="2"/>
  <c r="M395" i="2"/>
  <c r="AO394" i="2"/>
  <c r="U394" i="2"/>
  <c r="R394" i="2"/>
  <c r="O394" i="2"/>
  <c r="M394" i="2"/>
  <c r="ED393" i="2"/>
  <c r="AA393" i="2"/>
  <c r="U393" i="2"/>
  <c r="R393" i="2"/>
  <c r="O393" i="2"/>
  <c r="M393" i="2"/>
  <c r="U392" i="2"/>
  <c r="R392" i="2"/>
  <c r="O392" i="2"/>
  <c r="M392" i="2"/>
  <c r="U391" i="2"/>
  <c r="R391" i="2"/>
  <c r="O391" i="2"/>
  <c r="M391" i="2"/>
  <c r="U390" i="2"/>
  <c r="R390" i="2"/>
  <c r="O390" i="2"/>
  <c r="M390" i="2"/>
  <c r="U389" i="2"/>
  <c r="R389" i="2"/>
  <c r="O389" i="2"/>
  <c r="M389" i="2"/>
  <c r="U388" i="2"/>
  <c r="R388" i="2"/>
  <c r="O388" i="2"/>
  <c r="M388" i="2"/>
  <c r="U387" i="2"/>
  <c r="R387" i="2"/>
  <c r="O387" i="2"/>
  <c r="M387" i="2"/>
  <c r="U386" i="2"/>
  <c r="R386" i="2"/>
  <c r="O386" i="2"/>
  <c r="M386" i="2"/>
  <c r="U385" i="2"/>
  <c r="R385" i="2"/>
  <c r="O385" i="2"/>
  <c r="M385" i="2"/>
  <c r="U384" i="2"/>
  <c r="R384" i="2"/>
  <c r="O384" i="2"/>
  <c r="M384" i="2"/>
  <c r="U383" i="2"/>
  <c r="R383" i="2"/>
  <c r="O383" i="2"/>
  <c r="M383" i="2"/>
  <c r="AO382" i="2"/>
  <c r="U382" i="2"/>
  <c r="R382" i="2"/>
  <c r="O382" i="2"/>
  <c r="M382" i="2"/>
  <c r="ED381" i="2"/>
  <c r="AA381" i="2"/>
  <c r="U381" i="2"/>
  <c r="R381" i="2"/>
  <c r="O381" i="2"/>
  <c r="M381" i="2"/>
  <c r="U380" i="2"/>
  <c r="R380" i="2"/>
  <c r="O380" i="2"/>
  <c r="M380" i="2"/>
  <c r="U379" i="2"/>
  <c r="R379" i="2"/>
  <c r="O379" i="2"/>
  <c r="M379" i="2"/>
  <c r="U378" i="2"/>
  <c r="R378" i="2"/>
  <c r="O378" i="2"/>
  <c r="M378" i="2"/>
  <c r="U377" i="2"/>
  <c r="R377" i="2"/>
  <c r="O377" i="2"/>
  <c r="M377" i="2"/>
  <c r="U376" i="2"/>
  <c r="R376" i="2"/>
  <c r="O376" i="2"/>
  <c r="M376" i="2"/>
  <c r="U375" i="2"/>
  <c r="R375" i="2"/>
  <c r="O375" i="2"/>
  <c r="M375" i="2"/>
  <c r="U374" i="2"/>
  <c r="R374" i="2"/>
  <c r="O374" i="2"/>
  <c r="M374" i="2"/>
  <c r="U373" i="2"/>
  <c r="R373" i="2"/>
  <c r="O373" i="2"/>
  <c r="M373" i="2"/>
  <c r="U372" i="2"/>
  <c r="R372" i="2"/>
  <c r="O372" i="2"/>
  <c r="M372" i="2"/>
  <c r="U371" i="2"/>
  <c r="R371" i="2"/>
  <c r="O371" i="2"/>
  <c r="M371" i="2"/>
  <c r="AO370" i="2"/>
  <c r="U370" i="2"/>
  <c r="R370" i="2"/>
  <c r="O370" i="2"/>
  <c r="M370" i="2"/>
  <c r="ED369" i="2"/>
  <c r="AA369" i="2"/>
  <c r="U369" i="2"/>
  <c r="R369" i="2"/>
  <c r="O369" i="2"/>
  <c r="M369" i="2"/>
  <c r="U368" i="2"/>
  <c r="R368" i="2"/>
  <c r="O368" i="2"/>
  <c r="M368" i="2"/>
  <c r="U367" i="2"/>
  <c r="R367" i="2"/>
  <c r="O367" i="2"/>
  <c r="M367" i="2"/>
  <c r="U366" i="2"/>
  <c r="R366" i="2"/>
  <c r="O366" i="2"/>
  <c r="M366" i="2"/>
  <c r="U365" i="2"/>
  <c r="R365" i="2"/>
  <c r="O365" i="2"/>
  <c r="M365" i="2"/>
  <c r="U364" i="2"/>
  <c r="R364" i="2"/>
  <c r="O364" i="2"/>
  <c r="M364" i="2"/>
  <c r="U363" i="2"/>
  <c r="R363" i="2"/>
  <c r="O363" i="2"/>
  <c r="M363" i="2"/>
  <c r="U362" i="2"/>
  <c r="R362" i="2"/>
  <c r="O362" i="2"/>
  <c r="M362" i="2"/>
  <c r="U361" i="2"/>
  <c r="R361" i="2"/>
  <c r="O361" i="2"/>
  <c r="M361" i="2"/>
  <c r="U360" i="2"/>
  <c r="R360" i="2"/>
  <c r="O360" i="2"/>
  <c r="M360" i="2"/>
  <c r="U359" i="2"/>
  <c r="R359" i="2"/>
  <c r="O359" i="2"/>
  <c r="M359" i="2"/>
  <c r="AO358" i="2"/>
  <c r="U358" i="2"/>
  <c r="R358" i="2"/>
  <c r="O358" i="2"/>
  <c r="M358" i="2"/>
  <c r="ED357" i="2"/>
  <c r="AA357" i="2"/>
  <c r="U357" i="2"/>
  <c r="R357" i="2"/>
  <c r="O357" i="2"/>
  <c r="M357" i="2"/>
  <c r="U356" i="2"/>
  <c r="R356" i="2"/>
  <c r="O356" i="2"/>
  <c r="M356" i="2"/>
  <c r="U355" i="2"/>
  <c r="R355" i="2"/>
  <c r="O355" i="2"/>
  <c r="M355" i="2"/>
  <c r="U354" i="2"/>
  <c r="R354" i="2"/>
  <c r="O354" i="2"/>
  <c r="M354" i="2"/>
  <c r="U353" i="2"/>
  <c r="R353" i="2"/>
  <c r="O353" i="2"/>
  <c r="M353" i="2"/>
  <c r="U352" i="2"/>
  <c r="R352" i="2"/>
  <c r="O352" i="2"/>
  <c r="M352" i="2"/>
  <c r="U351" i="2"/>
  <c r="R351" i="2"/>
  <c r="O351" i="2"/>
  <c r="M351" i="2"/>
  <c r="U350" i="2"/>
  <c r="R350" i="2"/>
  <c r="O350" i="2"/>
  <c r="M350" i="2"/>
  <c r="U349" i="2"/>
  <c r="R349" i="2"/>
  <c r="O349" i="2"/>
  <c r="M349" i="2"/>
  <c r="U348" i="2"/>
  <c r="R348" i="2"/>
  <c r="O348" i="2"/>
  <c r="M348" i="2"/>
  <c r="U347" i="2"/>
  <c r="R347" i="2"/>
  <c r="O347" i="2"/>
  <c r="M347" i="2"/>
  <c r="AO346" i="2"/>
  <c r="U346" i="2"/>
  <c r="R346" i="2"/>
  <c r="O346" i="2"/>
  <c r="M346" i="2"/>
  <c r="ED345" i="2"/>
  <c r="AA345" i="2"/>
  <c r="U345" i="2"/>
  <c r="R345" i="2"/>
  <c r="O345" i="2"/>
  <c r="M345" i="2"/>
  <c r="U344" i="2"/>
  <c r="R344" i="2"/>
  <c r="O344" i="2"/>
  <c r="M344" i="2"/>
  <c r="U343" i="2"/>
  <c r="R343" i="2"/>
  <c r="O343" i="2"/>
  <c r="M343" i="2"/>
  <c r="U342" i="2"/>
  <c r="R342" i="2"/>
  <c r="O342" i="2"/>
  <c r="M342" i="2"/>
  <c r="U341" i="2"/>
  <c r="R341" i="2"/>
  <c r="O341" i="2"/>
  <c r="M341" i="2"/>
  <c r="U340" i="2"/>
  <c r="R340" i="2"/>
  <c r="O340" i="2"/>
  <c r="M340" i="2"/>
  <c r="U339" i="2"/>
  <c r="R339" i="2"/>
  <c r="O339" i="2"/>
  <c r="M339" i="2"/>
  <c r="U338" i="2"/>
  <c r="R338" i="2"/>
  <c r="O338" i="2"/>
  <c r="M338" i="2"/>
  <c r="U337" i="2"/>
  <c r="R337" i="2"/>
  <c r="O337" i="2"/>
  <c r="M337" i="2"/>
  <c r="U336" i="2"/>
  <c r="R336" i="2"/>
  <c r="O336" i="2"/>
  <c r="M336" i="2"/>
  <c r="U335" i="2"/>
  <c r="R335" i="2"/>
  <c r="O335" i="2"/>
  <c r="M335" i="2"/>
  <c r="AO334" i="2"/>
  <c r="U334" i="2"/>
  <c r="R334" i="2"/>
  <c r="O334" i="2"/>
  <c r="M334" i="2"/>
  <c r="ED333" i="2"/>
  <c r="AA333" i="2"/>
  <c r="U333" i="2"/>
  <c r="R333" i="2"/>
  <c r="O333" i="2"/>
  <c r="M333" i="2"/>
  <c r="U332" i="2"/>
  <c r="R332" i="2"/>
  <c r="O332" i="2"/>
  <c r="M332" i="2"/>
  <c r="U331" i="2"/>
  <c r="R331" i="2"/>
  <c r="O331" i="2"/>
  <c r="M331" i="2"/>
  <c r="U330" i="2"/>
  <c r="R330" i="2"/>
  <c r="O330" i="2"/>
  <c r="M330" i="2"/>
  <c r="U329" i="2"/>
  <c r="R329" i="2"/>
  <c r="O329" i="2"/>
  <c r="M329" i="2"/>
  <c r="U328" i="2"/>
  <c r="R328" i="2"/>
  <c r="O328" i="2"/>
  <c r="M328" i="2"/>
  <c r="U327" i="2"/>
  <c r="R327" i="2"/>
  <c r="O327" i="2"/>
  <c r="M327" i="2"/>
  <c r="U326" i="2"/>
  <c r="R326" i="2"/>
  <c r="O326" i="2"/>
  <c r="M326" i="2"/>
  <c r="U325" i="2"/>
  <c r="R325" i="2"/>
  <c r="O325" i="2"/>
  <c r="M325" i="2"/>
  <c r="U324" i="2"/>
  <c r="R324" i="2"/>
  <c r="O324" i="2"/>
  <c r="M324" i="2"/>
  <c r="U323" i="2"/>
  <c r="R323" i="2"/>
  <c r="O323" i="2"/>
  <c r="M323" i="2"/>
  <c r="AO322" i="2"/>
  <c r="U322" i="2"/>
  <c r="R322" i="2"/>
  <c r="O322" i="2"/>
  <c r="M322" i="2"/>
  <c r="ED321" i="2"/>
  <c r="AA321" i="2"/>
  <c r="U321" i="2"/>
  <c r="R321" i="2"/>
  <c r="O321" i="2"/>
  <c r="M321" i="2"/>
  <c r="U320" i="2"/>
  <c r="R320" i="2"/>
  <c r="O320" i="2"/>
  <c r="M320" i="2"/>
  <c r="U319" i="2"/>
  <c r="R319" i="2"/>
  <c r="O319" i="2"/>
  <c r="M319" i="2"/>
  <c r="U318" i="2"/>
  <c r="R318" i="2"/>
  <c r="O318" i="2"/>
  <c r="M318" i="2"/>
  <c r="U317" i="2"/>
  <c r="R317" i="2"/>
  <c r="O317" i="2"/>
  <c r="M317" i="2"/>
  <c r="U316" i="2"/>
  <c r="R316" i="2"/>
  <c r="O316" i="2"/>
  <c r="M316" i="2"/>
  <c r="U315" i="2"/>
  <c r="R315" i="2"/>
  <c r="O315" i="2"/>
  <c r="M315" i="2"/>
  <c r="U314" i="2"/>
  <c r="R314" i="2"/>
  <c r="O314" i="2"/>
  <c r="M314" i="2"/>
  <c r="U313" i="2"/>
  <c r="R313" i="2"/>
  <c r="O313" i="2"/>
  <c r="M313" i="2"/>
  <c r="U312" i="2"/>
  <c r="R312" i="2"/>
  <c r="O312" i="2"/>
  <c r="M312" i="2"/>
  <c r="U311" i="2"/>
  <c r="R311" i="2"/>
  <c r="O311" i="2"/>
  <c r="M311" i="2"/>
  <c r="AO310" i="2"/>
  <c r="U310" i="2"/>
  <c r="R310" i="2"/>
  <c r="O310" i="2"/>
  <c r="M310" i="2"/>
  <c r="ED309" i="2"/>
  <c r="AA309" i="2"/>
  <c r="U309" i="2"/>
  <c r="R309" i="2"/>
  <c r="O309" i="2"/>
  <c r="M309" i="2"/>
  <c r="U308" i="2"/>
  <c r="R308" i="2"/>
  <c r="O308" i="2"/>
  <c r="M308" i="2"/>
  <c r="U307" i="2"/>
  <c r="R307" i="2"/>
  <c r="O307" i="2"/>
  <c r="M307" i="2"/>
  <c r="U306" i="2"/>
  <c r="R306" i="2"/>
  <c r="O306" i="2"/>
  <c r="M306" i="2"/>
  <c r="U305" i="2"/>
  <c r="R305" i="2"/>
  <c r="O305" i="2"/>
  <c r="M305" i="2"/>
  <c r="U304" i="2"/>
  <c r="R304" i="2"/>
  <c r="O304" i="2"/>
  <c r="M304" i="2"/>
  <c r="U303" i="2"/>
  <c r="R303" i="2"/>
  <c r="O303" i="2"/>
  <c r="M303" i="2"/>
  <c r="U302" i="2"/>
  <c r="R302" i="2"/>
  <c r="O302" i="2"/>
  <c r="M302" i="2"/>
  <c r="U301" i="2"/>
  <c r="R301" i="2"/>
  <c r="O301" i="2"/>
  <c r="M301" i="2"/>
  <c r="U300" i="2"/>
  <c r="R300" i="2"/>
  <c r="O300" i="2"/>
  <c r="M300" i="2"/>
  <c r="U299" i="2"/>
  <c r="R299" i="2"/>
  <c r="O299" i="2"/>
  <c r="M299" i="2"/>
  <c r="AO298" i="2"/>
  <c r="U298" i="2"/>
  <c r="R298" i="2"/>
  <c r="O298" i="2"/>
  <c r="M298" i="2"/>
  <c r="ED297" i="2"/>
  <c r="AA297" i="2"/>
  <c r="U297" i="2"/>
  <c r="R297" i="2"/>
  <c r="O297" i="2"/>
  <c r="M297" i="2"/>
  <c r="U296" i="2"/>
  <c r="R296" i="2"/>
  <c r="O296" i="2"/>
  <c r="M296" i="2"/>
  <c r="U295" i="2"/>
  <c r="R295" i="2"/>
  <c r="O295" i="2"/>
  <c r="M295" i="2"/>
  <c r="U294" i="2"/>
  <c r="R294" i="2"/>
  <c r="O294" i="2"/>
  <c r="M294" i="2"/>
  <c r="U293" i="2"/>
  <c r="R293" i="2"/>
  <c r="O293" i="2"/>
  <c r="M293" i="2"/>
  <c r="U292" i="2"/>
  <c r="R292" i="2"/>
  <c r="O292" i="2"/>
  <c r="M292" i="2"/>
  <c r="U291" i="2"/>
  <c r="R291" i="2"/>
  <c r="O291" i="2"/>
  <c r="M291" i="2"/>
  <c r="U290" i="2"/>
  <c r="R290" i="2"/>
  <c r="O290" i="2"/>
  <c r="M290" i="2"/>
  <c r="U289" i="2"/>
  <c r="R289" i="2"/>
  <c r="O289" i="2"/>
  <c r="M289" i="2"/>
  <c r="U288" i="2"/>
  <c r="R288" i="2"/>
  <c r="O288" i="2"/>
  <c r="M288" i="2"/>
  <c r="U287" i="2"/>
  <c r="R287" i="2"/>
  <c r="O287" i="2"/>
  <c r="M287" i="2"/>
  <c r="AO286" i="2"/>
  <c r="U286" i="2"/>
  <c r="R286" i="2"/>
  <c r="O286" i="2"/>
  <c r="M286" i="2"/>
  <c r="ED285" i="2"/>
  <c r="AA285" i="2"/>
  <c r="U285" i="2"/>
  <c r="R285" i="2"/>
  <c r="O285" i="2"/>
  <c r="M285" i="2"/>
  <c r="U284" i="2"/>
  <c r="R284" i="2"/>
  <c r="O284" i="2"/>
  <c r="M284" i="2"/>
  <c r="U283" i="2"/>
  <c r="R283" i="2"/>
  <c r="O283" i="2"/>
  <c r="M283" i="2"/>
  <c r="U282" i="2"/>
  <c r="R282" i="2"/>
  <c r="O282" i="2"/>
  <c r="M282" i="2"/>
  <c r="U281" i="2"/>
  <c r="R281" i="2"/>
  <c r="O281" i="2"/>
  <c r="M281" i="2"/>
  <c r="U280" i="2"/>
  <c r="R280" i="2"/>
  <c r="O280" i="2"/>
  <c r="M280" i="2"/>
  <c r="U279" i="2"/>
  <c r="R279" i="2"/>
  <c r="O279" i="2"/>
  <c r="M279" i="2"/>
  <c r="U278" i="2"/>
  <c r="R278" i="2"/>
  <c r="O278" i="2"/>
  <c r="M278" i="2"/>
  <c r="U277" i="2"/>
  <c r="R277" i="2"/>
  <c r="O277" i="2"/>
  <c r="M277" i="2"/>
  <c r="U276" i="2"/>
  <c r="R276" i="2"/>
  <c r="O276" i="2"/>
  <c r="M276" i="2"/>
  <c r="U275" i="2"/>
  <c r="R275" i="2"/>
  <c r="O275" i="2"/>
  <c r="M275" i="2"/>
  <c r="AO274" i="2"/>
  <c r="U274" i="2"/>
  <c r="R274" i="2"/>
  <c r="O274" i="2"/>
  <c r="M274" i="2"/>
  <c r="ED273" i="2"/>
  <c r="AA273" i="2"/>
  <c r="U273" i="2"/>
  <c r="R273" i="2"/>
  <c r="O273" i="2"/>
  <c r="M273" i="2"/>
  <c r="U272" i="2"/>
  <c r="R272" i="2"/>
  <c r="O272" i="2"/>
  <c r="M272" i="2"/>
  <c r="U271" i="2"/>
  <c r="R271" i="2"/>
  <c r="O271" i="2"/>
  <c r="M271" i="2"/>
  <c r="U270" i="2"/>
  <c r="R270" i="2"/>
  <c r="O270" i="2"/>
  <c r="M270" i="2"/>
  <c r="U269" i="2"/>
  <c r="R269" i="2"/>
  <c r="O269" i="2"/>
  <c r="M269" i="2"/>
  <c r="U268" i="2"/>
  <c r="R268" i="2"/>
  <c r="O268" i="2"/>
  <c r="M268" i="2"/>
  <c r="U267" i="2"/>
  <c r="R267" i="2"/>
  <c r="O267" i="2"/>
  <c r="M267" i="2"/>
  <c r="U266" i="2"/>
  <c r="R266" i="2"/>
  <c r="O266" i="2"/>
  <c r="M266" i="2"/>
  <c r="U265" i="2"/>
  <c r="R265" i="2"/>
  <c r="O265" i="2"/>
  <c r="M265" i="2"/>
  <c r="U264" i="2"/>
  <c r="R264" i="2"/>
  <c r="O264" i="2"/>
  <c r="M264" i="2"/>
  <c r="U263" i="2"/>
  <c r="R263" i="2"/>
  <c r="O263" i="2"/>
  <c r="M263" i="2"/>
  <c r="AO262" i="2"/>
  <c r="U262" i="2"/>
  <c r="R262" i="2"/>
  <c r="O262" i="2"/>
  <c r="M262" i="2"/>
  <c r="ED261" i="2"/>
  <c r="AA261" i="2"/>
  <c r="U261" i="2"/>
  <c r="R261" i="2"/>
  <c r="O261" i="2"/>
  <c r="M261" i="2"/>
  <c r="U260" i="2"/>
  <c r="R260" i="2"/>
  <c r="O260" i="2"/>
  <c r="M260" i="2"/>
  <c r="U259" i="2"/>
  <c r="R259" i="2"/>
  <c r="O259" i="2"/>
  <c r="M259" i="2"/>
  <c r="U258" i="2"/>
  <c r="R258" i="2"/>
  <c r="O258" i="2"/>
  <c r="M258" i="2"/>
  <c r="U257" i="2"/>
  <c r="R257" i="2"/>
  <c r="O257" i="2"/>
  <c r="M257" i="2"/>
  <c r="U256" i="2"/>
  <c r="R256" i="2"/>
  <c r="O256" i="2"/>
  <c r="M256" i="2"/>
  <c r="U255" i="2"/>
  <c r="R255" i="2"/>
  <c r="O255" i="2"/>
  <c r="M255" i="2"/>
  <c r="U254" i="2"/>
  <c r="R254" i="2"/>
  <c r="O254" i="2"/>
  <c r="M254" i="2"/>
  <c r="U253" i="2"/>
  <c r="R253" i="2"/>
  <c r="O253" i="2"/>
  <c r="M253" i="2"/>
  <c r="U252" i="2"/>
  <c r="R252" i="2"/>
  <c r="O252" i="2"/>
  <c r="M252" i="2"/>
  <c r="U251" i="2"/>
  <c r="R251" i="2"/>
  <c r="O251" i="2"/>
  <c r="M251" i="2"/>
  <c r="AO250" i="2"/>
  <c r="U250" i="2"/>
  <c r="R250" i="2"/>
  <c r="O250" i="2"/>
  <c r="M250" i="2"/>
  <c r="ED249" i="2"/>
  <c r="AA249" i="2"/>
  <c r="U249" i="2"/>
  <c r="R249" i="2"/>
  <c r="O249" i="2"/>
  <c r="M249" i="2"/>
  <c r="U248" i="2"/>
  <c r="R248" i="2"/>
  <c r="O248" i="2"/>
  <c r="M248" i="2"/>
  <c r="U247" i="2"/>
  <c r="R247" i="2"/>
  <c r="O247" i="2"/>
  <c r="M247" i="2"/>
  <c r="U246" i="2"/>
  <c r="R246" i="2"/>
  <c r="O246" i="2"/>
  <c r="M246" i="2"/>
  <c r="U245" i="2"/>
  <c r="R245" i="2"/>
  <c r="O245" i="2"/>
  <c r="M245" i="2"/>
  <c r="U244" i="2"/>
  <c r="R244" i="2"/>
  <c r="O244" i="2"/>
  <c r="M244" i="2"/>
  <c r="U243" i="2"/>
  <c r="R243" i="2"/>
  <c r="O243" i="2"/>
  <c r="M243" i="2"/>
  <c r="U242" i="2"/>
  <c r="R242" i="2"/>
  <c r="O242" i="2"/>
  <c r="M242" i="2"/>
  <c r="U241" i="2"/>
  <c r="R241" i="2"/>
  <c r="O241" i="2"/>
  <c r="M241" i="2"/>
  <c r="U240" i="2"/>
  <c r="R240" i="2"/>
  <c r="O240" i="2"/>
  <c r="M240" i="2"/>
  <c r="U239" i="2"/>
  <c r="R239" i="2"/>
  <c r="O239" i="2"/>
  <c r="M239" i="2"/>
  <c r="AO238" i="2"/>
  <c r="U238" i="2"/>
  <c r="R238" i="2"/>
  <c r="O238" i="2"/>
  <c r="M238" i="2"/>
  <c r="ED237" i="2"/>
  <c r="AA237" i="2"/>
  <c r="U237" i="2"/>
  <c r="R237" i="2"/>
  <c r="O237" i="2"/>
  <c r="M237" i="2"/>
  <c r="U236" i="2"/>
  <c r="R236" i="2"/>
  <c r="O236" i="2"/>
  <c r="M236" i="2"/>
  <c r="U235" i="2"/>
  <c r="R235" i="2"/>
  <c r="O235" i="2"/>
  <c r="M235" i="2"/>
  <c r="U234" i="2"/>
  <c r="R234" i="2"/>
  <c r="O234" i="2"/>
  <c r="M234" i="2"/>
  <c r="U233" i="2"/>
  <c r="R233" i="2"/>
  <c r="O233" i="2"/>
  <c r="M233" i="2"/>
  <c r="U232" i="2"/>
  <c r="R232" i="2"/>
  <c r="O232" i="2"/>
  <c r="M232" i="2"/>
  <c r="U231" i="2"/>
  <c r="R231" i="2"/>
  <c r="O231" i="2"/>
  <c r="M231" i="2"/>
  <c r="U230" i="2"/>
  <c r="R230" i="2"/>
  <c r="O230" i="2"/>
  <c r="M230" i="2"/>
  <c r="U229" i="2"/>
  <c r="R229" i="2"/>
  <c r="O229" i="2"/>
  <c r="M229" i="2"/>
  <c r="U228" i="2"/>
  <c r="R228" i="2"/>
  <c r="O228" i="2"/>
  <c r="M228" i="2"/>
  <c r="U227" i="2"/>
  <c r="R227" i="2"/>
  <c r="O227" i="2"/>
  <c r="M227" i="2"/>
  <c r="AO226" i="2"/>
  <c r="U226" i="2"/>
  <c r="R226" i="2"/>
  <c r="O226" i="2"/>
  <c r="M226" i="2"/>
  <c r="ED225" i="2"/>
  <c r="AA225" i="2"/>
  <c r="U225" i="2"/>
  <c r="R225" i="2"/>
  <c r="O225" i="2"/>
  <c r="M225" i="2"/>
  <c r="U224" i="2"/>
  <c r="R224" i="2"/>
  <c r="O224" i="2"/>
  <c r="M224" i="2"/>
  <c r="U223" i="2"/>
  <c r="R223" i="2"/>
  <c r="O223" i="2"/>
  <c r="M223" i="2"/>
  <c r="U222" i="2"/>
  <c r="R222" i="2"/>
  <c r="O222" i="2"/>
  <c r="M222" i="2"/>
  <c r="U221" i="2"/>
  <c r="R221" i="2"/>
  <c r="O221" i="2"/>
  <c r="M221" i="2"/>
  <c r="U220" i="2"/>
  <c r="R220" i="2"/>
  <c r="O220" i="2"/>
  <c r="M220" i="2"/>
  <c r="U219" i="2"/>
  <c r="R219" i="2"/>
  <c r="O219" i="2"/>
  <c r="M219" i="2"/>
  <c r="U218" i="2"/>
  <c r="R218" i="2"/>
  <c r="O218" i="2"/>
  <c r="M218" i="2"/>
  <c r="U217" i="2"/>
  <c r="R217" i="2"/>
  <c r="O217" i="2"/>
  <c r="M217" i="2"/>
  <c r="U216" i="2"/>
  <c r="R216" i="2"/>
  <c r="O216" i="2"/>
  <c r="M216" i="2"/>
  <c r="U215" i="2"/>
  <c r="R215" i="2"/>
  <c r="O215" i="2"/>
  <c r="M215" i="2"/>
  <c r="AO214" i="2"/>
  <c r="U214" i="2"/>
  <c r="R214" i="2"/>
  <c r="O214" i="2"/>
  <c r="M214" i="2"/>
  <c r="ED213" i="2"/>
  <c r="AA213" i="2"/>
  <c r="U213" i="2"/>
  <c r="R213" i="2"/>
  <c r="O213" i="2"/>
  <c r="M213" i="2"/>
  <c r="U212" i="2"/>
  <c r="R212" i="2"/>
  <c r="O212" i="2"/>
  <c r="M212" i="2"/>
  <c r="U211" i="2"/>
  <c r="R211" i="2"/>
  <c r="O211" i="2"/>
  <c r="M211" i="2"/>
  <c r="U210" i="2"/>
  <c r="R210" i="2"/>
  <c r="O210" i="2"/>
  <c r="M210" i="2"/>
  <c r="U209" i="2"/>
  <c r="R209" i="2"/>
  <c r="O209" i="2"/>
  <c r="M209" i="2"/>
  <c r="U208" i="2"/>
  <c r="R208" i="2"/>
  <c r="O208" i="2"/>
  <c r="M208" i="2"/>
  <c r="U207" i="2"/>
  <c r="R207" i="2"/>
  <c r="O207" i="2"/>
  <c r="M207" i="2"/>
  <c r="U206" i="2"/>
  <c r="R206" i="2"/>
  <c r="O206" i="2"/>
  <c r="M206" i="2"/>
  <c r="U205" i="2"/>
  <c r="R205" i="2"/>
  <c r="O205" i="2"/>
  <c r="M205" i="2"/>
  <c r="U204" i="2"/>
  <c r="R204" i="2"/>
  <c r="O204" i="2"/>
  <c r="M204" i="2"/>
  <c r="U203" i="2"/>
  <c r="R203" i="2"/>
  <c r="O203" i="2"/>
  <c r="M203" i="2"/>
  <c r="AO202" i="2"/>
  <c r="U202" i="2"/>
  <c r="R202" i="2"/>
  <c r="O202" i="2"/>
  <c r="M202" i="2"/>
  <c r="ED201" i="2"/>
  <c r="AA201" i="2"/>
  <c r="U201" i="2"/>
  <c r="R201" i="2"/>
  <c r="O201" i="2"/>
  <c r="M201" i="2"/>
  <c r="U200" i="2"/>
  <c r="R200" i="2"/>
  <c r="O200" i="2"/>
  <c r="M200" i="2"/>
  <c r="U199" i="2"/>
  <c r="R199" i="2"/>
  <c r="O199" i="2"/>
  <c r="M199" i="2"/>
  <c r="U198" i="2"/>
  <c r="R198" i="2"/>
  <c r="O198" i="2"/>
  <c r="M198" i="2"/>
  <c r="U197" i="2"/>
  <c r="R197" i="2"/>
  <c r="O197" i="2"/>
  <c r="M197" i="2"/>
  <c r="U196" i="2"/>
  <c r="R196" i="2"/>
  <c r="O196" i="2"/>
  <c r="M196" i="2"/>
  <c r="U195" i="2"/>
  <c r="R195" i="2"/>
  <c r="O195" i="2"/>
  <c r="M195" i="2"/>
  <c r="U194" i="2"/>
  <c r="R194" i="2"/>
  <c r="O194" i="2"/>
  <c r="M194" i="2"/>
  <c r="U193" i="2"/>
  <c r="R193" i="2"/>
  <c r="O193" i="2"/>
  <c r="M193" i="2"/>
  <c r="U192" i="2"/>
  <c r="R192" i="2"/>
  <c r="O192" i="2"/>
  <c r="M192" i="2"/>
  <c r="U191" i="2"/>
  <c r="R191" i="2"/>
  <c r="O191" i="2"/>
  <c r="M191" i="2"/>
  <c r="AO190" i="2"/>
  <c r="U190" i="2"/>
  <c r="R190" i="2"/>
  <c r="O190" i="2"/>
  <c r="M190" i="2"/>
  <c r="ED189" i="2"/>
  <c r="AA189" i="2"/>
  <c r="U189" i="2"/>
  <c r="R189" i="2"/>
  <c r="O189" i="2"/>
  <c r="M189" i="2"/>
  <c r="U188" i="2"/>
  <c r="R188" i="2"/>
  <c r="O188" i="2"/>
  <c r="M188" i="2"/>
  <c r="U187" i="2"/>
  <c r="R187" i="2"/>
  <c r="O187" i="2"/>
  <c r="M187" i="2"/>
  <c r="U186" i="2"/>
  <c r="R186" i="2"/>
  <c r="O186" i="2"/>
  <c r="M186" i="2"/>
  <c r="U185" i="2"/>
  <c r="R185" i="2"/>
  <c r="O185" i="2"/>
  <c r="M185" i="2"/>
  <c r="U184" i="2"/>
  <c r="R184" i="2"/>
  <c r="O184" i="2"/>
  <c r="M184" i="2"/>
  <c r="U183" i="2"/>
  <c r="R183" i="2"/>
  <c r="O183" i="2"/>
  <c r="M183" i="2"/>
  <c r="U182" i="2"/>
  <c r="R182" i="2"/>
  <c r="O182" i="2"/>
  <c r="M182" i="2"/>
  <c r="U181" i="2"/>
  <c r="R181" i="2"/>
  <c r="O181" i="2"/>
  <c r="M181" i="2"/>
  <c r="U180" i="2"/>
  <c r="R180" i="2"/>
  <c r="O180" i="2"/>
  <c r="M180" i="2"/>
  <c r="U179" i="2"/>
  <c r="R179" i="2"/>
  <c r="O179" i="2"/>
  <c r="M179" i="2"/>
  <c r="AO178" i="2"/>
  <c r="U178" i="2"/>
  <c r="R178" i="2"/>
  <c r="O178" i="2"/>
  <c r="M178" i="2"/>
  <c r="ED177" i="2"/>
  <c r="AA177" i="2"/>
  <c r="U177" i="2"/>
  <c r="R177" i="2"/>
  <c r="O177" i="2"/>
  <c r="M177" i="2"/>
  <c r="U176" i="2"/>
  <c r="R176" i="2"/>
  <c r="O176" i="2"/>
  <c r="M176" i="2"/>
  <c r="U175" i="2"/>
  <c r="R175" i="2"/>
  <c r="O175" i="2"/>
  <c r="M175" i="2"/>
  <c r="U174" i="2"/>
  <c r="R174" i="2"/>
  <c r="O174" i="2"/>
  <c r="M174" i="2"/>
  <c r="U173" i="2"/>
  <c r="R173" i="2"/>
  <c r="O173" i="2"/>
  <c r="M173" i="2"/>
  <c r="U172" i="2"/>
  <c r="R172" i="2"/>
  <c r="O172" i="2"/>
  <c r="M172" i="2"/>
  <c r="U171" i="2"/>
  <c r="R171" i="2"/>
  <c r="O171" i="2"/>
  <c r="M171" i="2"/>
  <c r="U170" i="2"/>
  <c r="R170" i="2"/>
  <c r="O170" i="2"/>
  <c r="M170" i="2"/>
  <c r="U169" i="2"/>
  <c r="R169" i="2"/>
  <c r="O169" i="2"/>
  <c r="M169" i="2"/>
  <c r="U168" i="2"/>
  <c r="R168" i="2"/>
  <c r="O168" i="2"/>
  <c r="M168" i="2"/>
  <c r="U167" i="2"/>
  <c r="R167" i="2"/>
  <c r="O167" i="2"/>
  <c r="M167" i="2"/>
  <c r="AO166" i="2"/>
  <c r="U166" i="2"/>
  <c r="R166" i="2"/>
  <c r="O166" i="2"/>
  <c r="M166" i="2"/>
  <c r="ED165" i="2"/>
  <c r="AA165" i="2"/>
  <c r="U165" i="2"/>
  <c r="R165" i="2"/>
  <c r="O165" i="2"/>
  <c r="M165" i="2"/>
  <c r="U164" i="2"/>
  <c r="R164" i="2"/>
  <c r="O164" i="2"/>
  <c r="M164" i="2"/>
  <c r="U163" i="2"/>
  <c r="R163" i="2"/>
  <c r="O163" i="2"/>
  <c r="M163" i="2"/>
  <c r="U162" i="2"/>
  <c r="R162" i="2"/>
  <c r="O162" i="2"/>
  <c r="M162" i="2"/>
  <c r="U161" i="2"/>
  <c r="R161" i="2"/>
  <c r="O161" i="2"/>
  <c r="M161" i="2"/>
  <c r="U160" i="2"/>
  <c r="R160" i="2"/>
  <c r="O160" i="2"/>
  <c r="M160" i="2"/>
  <c r="U159" i="2"/>
  <c r="R159" i="2"/>
  <c r="O159" i="2"/>
  <c r="M159" i="2"/>
  <c r="U158" i="2"/>
  <c r="R158" i="2"/>
  <c r="O158" i="2"/>
  <c r="M158" i="2"/>
  <c r="U157" i="2"/>
  <c r="R157" i="2"/>
  <c r="O157" i="2"/>
  <c r="M157" i="2"/>
  <c r="U156" i="2"/>
  <c r="R156" i="2"/>
  <c r="O156" i="2"/>
  <c r="M156" i="2"/>
  <c r="U155" i="2"/>
  <c r="R155" i="2"/>
  <c r="O155" i="2"/>
  <c r="M155" i="2"/>
  <c r="AO154" i="2"/>
  <c r="U154" i="2"/>
  <c r="R154" i="2"/>
  <c r="O154" i="2"/>
  <c r="M154" i="2"/>
  <c r="ED153" i="2"/>
  <c r="AA153" i="2"/>
  <c r="U153" i="2"/>
  <c r="R153" i="2"/>
  <c r="O153" i="2"/>
  <c r="M153" i="2"/>
  <c r="U152" i="2"/>
  <c r="R152" i="2"/>
  <c r="O152" i="2"/>
  <c r="M152" i="2"/>
  <c r="U151" i="2"/>
  <c r="R151" i="2"/>
  <c r="O151" i="2"/>
  <c r="M151" i="2"/>
  <c r="U150" i="2"/>
  <c r="R150" i="2"/>
  <c r="O150" i="2"/>
  <c r="M150" i="2"/>
  <c r="U149" i="2"/>
  <c r="R149" i="2"/>
  <c r="O149" i="2"/>
  <c r="M149" i="2"/>
  <c r="U148" i="2"/>
  <c r="R148" i="2"/>
  <c r="O148" i="2"/>
  <c r="M148" i="2"/>
  <c r="U147" i="2"/>
  <c r="R147" i="2"/>
  <c r="O147" i="2"/>
  <c r="M147" i="2"/>
  <c r="U146" i="2"/>
  <c r="R146" i="2"/>
  <c r="O146" i="2"/>
  <c r="M146" i="2"/>
  <c r="U145" i="2"/>
  <c r="R145" i="2"/>
  <c r="O145" i="2"/>
  <c r="M145" i="2"/>
  <c r="U144" i="2"/>
  <c r="R144" i="2"/>
  <c r="O144" i="2"/>
  <c r="M144" i="2"/>
  <c r="U143" i="2"/>
  <c r="R143" i="2"/>
  <c r="O143" i="2"/>
  <c r="M143" i="2"/>
  <c r="AO142" i="2"/>
  <c r="U142" i="2"/>
  <c r="R142" i="2"/>
  <c r="O142" i="2"/>
  <c r="M142" i="2"/>
  <c r="ED141" i="2"/>
  <c r="AA141" i="2"/>
  <c r="U141" i="2"/>
  <c r="R141" i="2"/>
  <c r="O141" i="2"/>
  <c r="M141" i="2"/>
  <c r="U140" i="2"/>
  <c r="R140" i="2"/>
  <c r="O140" i="2"/>
  <c r="M140" i="2"/>
  <c r="U139" i="2"/>
  <c r="R139" i="2"/>
  <c r="O139" i="2"/>
  <c r="M139" i="2"/>
  <c r="U138" i="2"/>
  <c r="R138" i="2"/>
  <c r="O138" i="2"/>
  <c r="M138" i="2"/>
  <c r="U137" i="2"/>
  <c r="R137" i="2"/>
  <c r="O137" i="2"/>
  <c r="M137" i="2"/>
  <c r="U136" i="2"/>
  <c r="R136" i="2"/>
  <c r="O136" i="2"/>
  <c r="M136" i="2"/>
  <c r="U135" i="2"/>
  <c r="R135" i="2"/>
  <c r="O135" i="2"/>
  <c r="M135" i="2"/>
  <c r="U134" i="2"/>
  <c r="R134" i="2"/>
  <c r="O134" i="2"/>
  <c r="M134" i="2"/>
  <c r="U133" i="2"/>
  <c r="R133" i="2"/>
  <c r="O133" i="2"/>
  <c r="M133" i="2"/>
  <c r="U132" i="2"/>
  <c r="R132" i="2"/>
  <c r="O132" i="2"/>
  <c r="M132" i="2"/>
  <c r="U131" i="2"/>
  <c r="R131" i="2"/>
  <c r="O131" i="2"/>
  <c r="M131" i="2"/>
  <c r="AO130" i="2"/>
  <c r="U130" i="2"/>
  <c r="R130" i="2"/>
  <c r="O130" i="2"/>
  <c r="M130" i="2"/>
  <c r="ED129" i="2"/>
  <c r="AA129" i="2"/>
  <c r="U129" i="2"/>
  <c r="R129" i="2"/>
  <c r="O129" i="2"/>
  <c r="M129" i="2"/>
  <c r="U128" i="2"/>
  <c r="R128" i="2"/>
  <c r="O128" i="2"/>
  <c r="M128" i="2"/>
  <c r="U127" i="2"/>
  <c r="R127" i="2"/>
  <c r="O127" i="2"/>
  <c r="M127" i="2"/>
  <c r="U126" i="2"/>
  <c r="R126" i="2"/>
  <c r="O126" i="2"/>
  <c r="M126" i="2"/>
  <c r="U125" i="2"/>
  <c r="R125" i="2"/>
  <c r="O125" i="2"/>
  <c r="M125" i="2"/>
  <c r="U124" i="2"/>
  <c r="R124" i="2"/>
  <c r="O124" i="2"/>
  <c r="M124" i="2"/>
  <c r="U123" i="2"/>
  <c r="R123" i="2"/>
  <c r="O123" i="2"/>
  <c r="M123" i="2"/>
  <c r="U122" i="2"/>
  <c r="R122" i="2"/>
  <c r="O122" i="2"/>
  <c r="M122" i="2"/>
  <c r="U121" i="2"/>
  <c r="R121" i="2"/>
  <c r="O121" i="2"/>
  <c r="M121" i="2"/>
  <c r="U120" i="2"/>
  <c r="R120" i="2"/>
  <c r="O120" i="2"/>
  <c r="M120" i="2"/>
  <c r="U119" i="2"/>
  <c r="R119" i="2"/>
  <c r="O119" i="2"/>
  <c r="M119" i="2"/>
  <c r="AO118" i="2"/>
  <c r="U118" i="2"/>
  <c r="R118" i="2"/>
  <c r="O118" i="2"/>
  <c r="M118" i="2"/>
  <c r="ED117" i="2"/>
  <c r="AA117" i="2"/>
  <c r="U117" i="2"/>
  <c r="R117" i="2"/>
  <c r="O117" i="2"/>
  <c r="M117" i="2"/>
  <c r="U116" i="2"/>
  <c r="R116" i="2"/>
  <c r="O116" i="2"/>
  <c r="M116" i="2"/>
  <c r="U115" i="2"/>
  <c r="R115" i="2"/>
  <c r="O115" i="2"/>
  <c r="M115" i="2"/>
  <c r="U114" i="2"/>
  <c r="R114" i="2"/>
  <c r="O114" i="2"/>
  <c r="M114" i="2"/>
  <c r="U113" i="2"/>
  <c r="R113" i="2"/>
  <c r="O113" i="2"/>
  <c r="M113" i="2"/>
  <c r="U112" i="2"/>
  <c r="R112" i="2"/>
  <c r="O112" i="2"/>
  <c r="M112" i="2"/>
  <c r="U111" i="2"/>
  <c r="R111" i="2"/>
  <c r="O111" i="2"/>
  <c r="M111" i="2"/>
  <c r="U110" i="2"/>
  <c r="R110" i="2"/>
  <c r="O110" i="2"/>
  <c r="M110" i="2"/>
  <c r="U109" i="2"/>
  <c r="R109" i="2"/>
  <c r="O109" i="2"/>
  <c r="M109" i="2"/>
  <c r="U108" i="2"/>
  <c r="R108" i="2"/>
  <c r="O108" i="2"/>
  <c r="M108" i="2"/>
  <c r="U107" i="2"/>
  <c r="R107" i="2"/>
  <c r="O107" i="2"/>
  <c r="M107" i="2"/>
  <c r="AO106" i="2"/>
  <c r="U106" i="2"/>
  <c r="R106" i="2"/>
  <c r="O106" i="2"/>
  <c r="M106" i="2"/>
  <c r="ED105" i="2"/>
  <c r="AA105" i="2"/>
  <c r="U105" i="2"/>
  <c r="R105" i="2"/>
  <c r="O105" i="2"/>
  <c r="M105" i="2"/>
  <c r="U104" i="2"/>
  <c r="R104" i="2"/>
  <c r="O104" i="2"/>
  <c r="M104" i="2"/>
  <c r="U103" i="2"/>
  <c r="R103" i="2"/>
  <c r="O103" i="2"/>
  <c r="M103" i="2"/>
  <c r="U102" i="2"/>
  <c r="R102" i="2"/>
  <c r="O102" i="2"/>
  <c r="M102" i="2"/>
  <c r="U101" i="2"/>
  <c r="R101" i="2"/>
  <c r="O101" i="2"/>
  <c r="M101" i="2"/>
  <c r="U100" i="2"/>
  <c r="R100" i="2"/>
  <c r="O100" i="2"/>
  <c r="M100" i="2"/>
  <c r="U99" i="2"/>
  <c r="R99" i="2"/>
  <c r="O99" i="2"/>
  <c r="M99" i="2"/>
  <c r="U98" i="2"/>
  <c r="R98" i="2"/>
  <c r="O98" i="2"/>
  <c r="M98" i="2"/>
  <c r="U97" i="2"/>
  <c r="R97" i="2"/>
  <c r="O97" i="2"/>
  <c r="M97" i="2"/>
  <c r="U96" i="2"/>
  <c r="R96" i="2"/>
  <c r="O96" i="2"/>
  <c r="M96" i="2"/>
  <c r="U95" i="2"/>
  <c r="R95" i="2"/>
  <c r="O95" i="2"/>
  <c r="M95" i="2"/>
  <c r="AO94" i="2"/>
  <c r="U94" i="2"/>
  <c r="R94" i="2"/>
  <c r="O94" i="2"/>
  <c r="M94" i="2"/>
  <c r="ED93" i="2"/>
  <c r="AA93" i="2"/>
  <c r="U93" i="2"/>
  <c r="R93" i="2"/>
  <c r="O93" i="2"/>
  <c r="M93" i="2"/>
  <c r="U92" i="2"/>
  <c r="R92" i="2"/>
  <c r="O92" i="2"/>
  <c r="M92" i="2"/>
  <c r="U91" i="2"/>
  <c r="R91" i="2"/>
  <c r="O91" i="2"/>
  <c r="M91" i="2"/>
  <c r="U90" i="2"/>
  <c r="R90" i="2"/>
  <c r="O90" i="2"/>
  <c r="M90" i="2"/>
  <c r="U89" i="2"/>
  <c r="R89" i="2"/>
  <c r="O89" i="2"/>
  <c r="M89" i="2"/>
  <c r="U88" i="2"/>
  <c r="R88" i="2"/>
  <c r="O88" i="2"/>
  <c r="M88" i="2"/>
  <c r="U87" i="2"/>
  <c r="R87" i="2"/>
  <c r="O87" i="2"/>
  <c r="M87" i="2"/>
  <c r="U86" i="2"/>
  <c r="R86" i="2"/>
  <c r="O86" i="2"/>
  <c r="M86" i="2"/>
  <c r="U85" i="2"/>
  <c r="R85" i="2"/>
  <c r="O85" i="2"/>
  <c r="M85" i="2"/>
  <c r="U84" i="2"/>
  <c r="R84" i="2"/>
  <c r="O84" i="2"/>
  <c r="M84" i="2"/>
  <c r="U83" i="2"/>
  <c r="R83" i="2"/>
  <c r="O83" i="2"/>
  <c r="M83" i="2"/>
  <c r="AO82" i="2"/>
  <c r="U82" i="2"/>
  <c r="R82" i="2"/>
  <c r="O82" i="2"/>
  <c r="M82" i="2"/>
  <c r="ED81" i="2"/>
  <c r="AA81" i="2"/>
  <c r="U81" i="2"/>
  <c r="R81" i="2"/>
  <c r="O81" i="2"/>
  <c r="M81" i="2"/>
  <c r="U80" i="2"/>
  <c r="R80" i="2"/>
  <c r="O80" i="2"/>
  <c r="M80" i="2"/>
  <c r="U79" i="2"/>
  <c r="R79" i="2"/>
  <c r="O79" i="2"/>
  <c r="M79" i="2"/>
  <c r="U78" i="2"/>
  <c r="R78" i="2"/>
  <c r="O78" i="2"/>
  <c r="M78" i="2"/>
  <c r="U77" i="2"/>
  <c r="R77" i="2"/>
  <c r="O77" i="2"/>
  <c r="M77" i="2"/>
  <c r="U76" i="2"/>
  <c r="R76" i="2"/>
  <c r="O76" i="2"/>
  <c r="M76" i="2"/>
  <c r="U75" i="2"/>
  <c r="R75" i="2"/>
  <c r="O75" i="2"/>
  <c r="M75" i="2"/>
  <c r="U74" i="2"/>
  <c r="R74" i="2"/>
  <c r="O74" i="2"/>
  <c r="M74" i="2"/>
  <c r="U73" i="2"/>
  <c r="R73" i="2"/>
  <c r="O73" i="2"/>
  <c r="M73" i="2"/>
  <c r="U72" i="2"/>
  <c r="R72" i="2"/>
  <c r="O72" i="2"/>
  <c r="M72" i="2"/>
  <c r="U71" i="2"/>
  <c r="R71" i="2"/>
  <c r="O71" i="2"/>
  <c r="M71" i="2"/>
  <c r="AO70" i="2"/>
  <c r="U70" i="2"/>
  <c r="R70" i="2"/>
  <c r="O70" i="2"/>
  <c r="M70" i="2"/>
  <c r="ED69" i="2"/>
  <c r="AA69" i="2"/>
  <c r="U69" i="2"/>
  <c r="R69" i="2"/>
  <c r="O69" i="2"/>
  <c r="M69" i="2"/>
  <c r="U68" i="2"/>
  <c r="R68" i="2"/>
  <c r="O68" i="2"/>
  <c r="M68" i="2"/>
  <c r="U67" i="2"/>
  <c r="R67" i="2"/>
  <c r="O67" i="2"/>
  <c r="M67" i="2"/>
  <c r="U66" i="2"/>
  <c r="R66" i="2"/>
  <c r="O66" i="2"/>
  <c r="M66" i="2"/>
  <c r="U65" i="2"/>
  <c r="R65" i="2"/>
  <c r="O65" i="2"/>
  <c r="M65" i="2"/>
  <c r="U64" i="2"/>
  <c r="R64" i="2"/>
  <c r="O64" i="2"/>
  <c r="M64" i="2"/>
  <c r="R63" i="2"/>
  <c r="O63" i="2"/>
  <c r="M63" i="2"/>
  <c r="EB62" i="2"/>
  <c r="DZ62" i="2"/>
  <c r="DX62" i="2"/>
  <c r="DV62" i="2"/>
  <c r="DT62" i="2"/>
  <c r="DR62" i="2"/>
  <c r="DP62" i="2"/>
  <c r="DN62" i="2"/>
  <c r="DL62" i="2"/>
  <c r="DJ62" i="2"/>
  <c r="DH62" i="2"/>
  <c r="DF62" i="2"/>
  <c r="DD62" i="2"/>
  <c r="DB62" i="2"/>
  <c r="CZ62" i="2"/>
  <c r="CX62" i="2"/>
  <c r="CV62" i="2"/>
  <c r="CT62" i="2"/>
  <c r="CR62" i="2"/>
  <c r="CP62" i="2"/>
  <c r="CN62" i="2"/>
  <c r="CL62" i="2"/>
  <c r="CJ62" i="2"/>
  <c r="CH62" i="2"/>
  <c r="CF62" i="2"/>
  <c r="CD62" i="2"/>
  <c r="CB62" i="2"/>
  <c r="BZ62" i="2"/>
  <c r="BX62" i="2"/>
  <c r="BV62" i="2"/>
  <c r="BT62" i="2"/>
  <c r="BR62" i="2"/>
  <c r="BP62" i="2"/>
  <c r="BN62" i="2"/>
  <c r="BL62" i="2"/>
  <c r="BJ62" i="2"/>
  <c r="BH62" i="2"/>
  <c r="BF62" i="2"/>
  <c r="BD62" i="2"/>
  <c r="BB62" i="2"/>
  <c r="AZ62" i="2"/>
  <c r="AX62" i="2"/>
  <c r="AV62" i="2"/>
  <c r="AT62" i="2"/>
  <c r="AR62" i="2"/>
  <c r="AP62" i="2"/>
  <c r="AN62" i="2"/>
  <c r="AL62" i="2"/>
  <c r="AJ62" i="2"/>
  <c r="AH62" i="2"/>
  <c r="S62" i="2"/>
  <c r="R62" i="2"/>
  <c r="O62" i="2"/>
  <c r="M62" i="2"/>
  <c r="A62" i="2"/>
  <c r="EB61" i="2"/>
  <c r="DZ61" i="2"/>
  <c r="DX61" i="2"/>
  <c r="DV61" i="2"/>
  <c r="DT61" i="2"/>
  <c r="DR61" i="2"/>
  <c r="DP61" i="2"/>
  <c r="DN61" i="2"/>
  <c r="DL61" i="2"/>
  <c r="DJ61" i="2"/>
  <c r="DH61" i="2"/>
  <c r="DF61" i="2"/>
  <c r="DD61" i="2"/>
  <c r="DB61" i="2"/>
  <c r="CZ61" i="2"/>
  <c r="CX61" i="2"/>
  <c r="CV61" i="2"/>
  <c r="CT61" i="2"/>
  <c r="CR61" i="2"/>
  <c r="CP61" i="2"/>
  <c r="CN61" i="2"/>
  <c r="CL61" i="2"/>
  <c r="CJ61" i="2"/>
  <c r="CH61" i="2"/>
  <c r="CF61" i="2"/>
  <c r="CD61" i="2"/>
  <c r="CB61" i="2"/>
  <c r="BZ61" i="2"/>
  <c r="BX61" i="2"/>
  <c r="BV61" i="2"/>
  <c r="BT61" i="2"/>
  <c r="BR61" i="2"/>
  <c r="BP61" i="2"/>
  <c r="BN61" i="2"/>
  <c r="BL61" i="2"/>
  <c r="BJ61" i="2"/>
  <c r="BH61" i="2"/>
  <c r="BF61" i="2"/>
  <c r="BD61" i="2"/>
  <c r="BB61" i="2"/>
  <c r="AZ61" i="2"/>
  <c r="AX61" i="2"/>
  <c r="AV61" i="2"/>
  <c r="AT61" i="2"/>
  <c r="AR61" i="2"/>
  <c r="AP61" i="2"/>
  <c r="AN61" i="2"/>
  <c r="AL61" i="2"/>
  <c r="AJ61" i="2"/>
  <c r="AH61" i="2"/>
  <c r="W61" i="2"/>
  <c r="S61" i="2"/>
  <c r="R61" i="2"/>
  <c r="O61" i="2"/>
  <c r="M61" i="2"/>
  <c r="A61" i="2"/>
  <c r="EB60" i="2"/>
  <c r="DZ60" i="2"/>
  <c r="DX60" i="2"/>
  <c r="DV60" i="2"/>
  <c r="DT60" i="2"/>
  <c r="DR60" i="2"/>
  <c r="DP60" i="2"/>
  <c r="DN60" i="2"/>
  <c r="DL60" i="2"/>
  <c r="DJ60" i="2"/>
  <c r="DH60" i="2"/>
  <c r="DF60" i="2"/>
  <c r="DD60" i="2"/>
  <c r="DB60" i="2"/>
  <c r="CZ60" i="2"/>
  <c r="CX60" i="2"/>
  <c r="CV60" i="2"/>
  <c r="CT60" i="2"/>
  <c r="CR60" i="2"/>
  <c r="CP60" i="2"/>
  <c r="CN60" i="2"/>
  <c r="CL60" i="2"/>
  <c r="CJ60" i="2"/>
  <c r="CH60" i="2"/>
  <c r="CF60" i="2"/>
  <c r="CD60" i="2"/>
  <c r="CB60" i="2"/>
  <c r="BZ60" i="2"/>
  <c r="BX60" i="2"/>
  <c r="BV60" i="2"/>
  <c r="BT60" i="2"/>
  <c r="BR60" i="2"/>
  <c r="BP60" i="2"/>
  <c r="BN60" i="2"/>
  <c r="BL60" i="2"/>
  <c r="BJ60" i="2"/>
  <c r="BH60" i="2"/>
  <c r="BF60" i="2"/>
  <c r="BD60" i="2"/>
  <c r="BB60" i="2"/>
  <c r="AZ60" i="2"/>
  <c r="AX60" i="2"/>
  <c r="AV60" i="2"/>
  <c r="AT60" i="2"/>
  <c r="AR60" i="2"/>
  <c r="AP60" i="2"/>
  <c r="AN60" i="2"/>
  <c r="AL60" i="2"/>
  <c r="AJ60" i="2"/>
  <c r="AH60" i="2"/>
  <c r="W60" i="2"/>
  <c r="S60" i="2"/>
  <c r="R60" i="2"/>
  <c r="O60" i="2"/>
  <c r="M60" i="2"/>
  <c r="A60" i="2"/>
  <c r="EB59" i="2"/>
  <c r="DZ59" i="2"/>
  <c r="DX59" i="2"/>
  <c r="DV59" i="2"/>
  <c r="DT59" i="2"/>
  <c r="DR59" i="2"/>
  <c r="DP59" i="2"/>
  <c r="DN59" i="2"/>
  <c r="DL59" i="2"/>
  <c r="DJ59" i="2"/>
  <c r="DH59" i="2"/>
  <c r="DF59" i="2"/>
  <c r="DD59" i="2"/>
  <c r="DB59" i="2"/>
  <c r="CZ59" i="2"/>
  <c r="CX59" i="2"/>
  <c r="CV59" i="2"/>
  <c r="CT59" i="2"/>
  <c r="CR59" i="2"/>
  <c r="CP59" i="2"/>
  <c r="CN59" i="2"/>
  <c r="CL59" i="2"/>
  <c r="CJ59" i="2"/>
  <c r="CH59" i="2"/>
  <c r="CF59" i="2"/>
  <c r="CD59" i="2"/>
  <c r="CB59" i="2"/>
  <c r="BZ59" i="2"/>
  <c r="BX59" i="2"/>
  <c r="BV59" i="2"/>
  <c r="BT59" i="2"/>
  <c r="BR59" i="2"/>
  <c r="BP59" i="2"/>
  <c r="BN59" i="2"/>
  <c r="BL59" i="2"/>
  <c r="BJ59" i="2"/>
  <c r="BH59" i="2"/>
  <c r="BF59" i="2"/>
  <c r="BD59" i="2"/>
  <c r="BB59" i="2"/>
  <c r="AZ59" i="2"/>
  <c r="AX59" i="2"/>
  <c r="AV59" i="2"/>
  <c r="AT59" i="2"/>
  <c r="AR59" i="2"/>
  <c r="AP59" i="2"/>
  <c r="AN59" i="2"/>
  <c r="AL59" i="2"/>
  <c r="AJ59" i="2"/>
  <c r="AH59" i="2"/>
  <c r="W59" i="2"/>
  <c r="S59" i="2"/>
  <c r="R59" i="2"/>
  <c r="O59" i="2"/>
  <c r="M59" i="2"/>
  <c r="A59" i="2"/>
  <c r="EB58" i="2"/>
  <c r="DZ58" i="2"/>
  <c r="DX58" i="2"/>
  <c r="DV58" i="2"/>
  <c r="DT58" i="2"/>
  <c r="DR58" i="2"/>
  <c r="DP58" i="2"/>
  <c r="DN58" i="2"/>
  <c r="DL58" i="2"/>
  <c r="DJ58" i="2"/>
  <c r="DH58" i="2"/>
  <c r="DF58" i="2"/>
  <c r="DD58" i="2"/>
  <c r="DB58" i="2"/>
  <c r="CZ58" i="2"/>
  <c r="CX58" i="2"/>
  <c r="CV58" i="2"/>
  <c r="CT58" i="2"/>
  <c r="CR58" i="2"/>
  <c r="CP58" i="2"/>
  <c r="CN58" i="2"/>
  <c r="CL58" i="2"/>
  <c r="CJ58" i="2"/>
  <c r="CH58" i="2"/>
  <c r="CF58" i="2"/>
  <c r="CD58" i="2"/>
  <c r="CB58" i="2"/>
  <c r="BZ58" i="2"/>
  <c r="BX58" i="2"/>
  <c r="BV58" i="2"/>
  <c r="BT58" i="2"/>
  <c r="BR58" i="2"/>
  <c r="BP58" i="2"/>
  <c r="BN58" i="2"/>
  <c r="BL58" i="2"/>
  <c r="BJ58" i="2"/>
  <c r="BH58" i="2"/>
  <c r="BF58" i="2"/>
  <c r="BD58" i="2"/>
  <c r="BB58" i="2"/>
  <c r="AZ58" i="2"/>
  <c r="AX58" i="2"/>
  <c r="AV58" i="2"/>
  <c r="AT58" i="2"/>
  <c r="AR58" i="2"/>
  <c r="AP58" i="2"/>
  <c r="AN58" i="2"/>
  <c r="AL58" i="2"/>
  <c r="AJ58" i="2"/>
  <c r="AH58" i="2"/>
  <c r="W58" i="2"/>
  <c r="S58" i="2"/>
  <c r="R58" i="2"/>
  <c r="O58" i="2"/>
  <c r="M58" i="2"/>
  <c r="A58" i="2"/>
  <c r="ED57" i="2"/>
  <c r="EB57" i="2"/>
  <c r="DZ57" i="2"/>
  <c r="DX57" i="2"/>
  <c r="DV57" i="2"/>
  <c r="DT57" i="2"/>
  <c r="DR57" i="2"/>
  <c r="DP57" i="2"/>
  <c r="DN57" i="2"/>
  <c r="DL57" i="2"/>
  <c r="DJ57" i="2"/>
  <c r="DH57" i="2"/>
  <c r="DF57" i="2"/>
  <c r="DD57" i="2"/>
  <c r="DB57" i="2"/>
  <c r="CZ57" i="2"/>
  <c r="CX57" i="2"/>
  <c r="CV57" i="2"/>
  <c r="CT57" i="2"/>
  <c r="CR57" i="2"/>
  <c r="CP57" i="2"/>
  <c r="CN57" i="2"/>
  <c r="CL57" i="2"/>
  <c r="CJ57" i="2"/>
  <c r="CH57" i="2"/>
  <c r="CF57" i="2"/>
  <c r="CD57" i="2"/>
  <c r="CB57" i="2"/>
  <c r="BZ57" i="2"/>
  <c r="BX57" i="2"/>
  <c r="BV57" i="2"/>
  <c r="BT57" i="2"/>
  <c r="BR57" i="2"/>
  <c r="BP57" i="2"/>
  <c r="BN57" i="2"/>
  <c r="BL57" i="2"/>
  <c r="BJ57" i="2"/>
  <c r="BH57" i="2"/>
  <c r="BF57" i="2"/>
  <c r="BD57" i="2"/>
  <c r="BB57" i="2"/>
  <c r="AZ57" i="2"/>
  <c r="AX57" i="2"/>
  <c r="AV57" i="2"/>
  <c r="AT57" i="2"/>
  <c r="AR57" i="2"/>
  <c r="AP57" i="2"/>
  <c r="AN57" i="2"/>
  <c r="AL57" i="2"/>
  <c r="AJ57" i="2"/>
  <c r="AH57" i="2"/>
  <c r="AA57" i="2"/>
  <c r="W57" i="2"/>
  <c r="S57" i="2"/>
  <c r="R57" i="2"/>
  <c r="O57" i="2"/>
  <c r="M57" i="2"/>
  <c r="A57" i="2"/>
  <c r="AN56" i="2"/>
  <c r="W56" i="2"/>
  <c r="R56" i="2"/>
  <c r="O56" i="2"/>
  <c r="M56" i="2"/>
  <c r="AN55" i="2"/>
  <c r="W55" i="2"/>
  <c r="R55" i="2"/>
  <c r="O55" i="2"/>
  <c r="M55" i="2"/>
  <c r="AN54" i="2"/>
  <c r="W54" i="2"/>
  <c r="R54" i="2"/>
  <c r="O54" i="2"/>
  <c r="M54" i="2"/>
  <c r="AN53" i="2"/>
  <c r="W53" i="2"/>
  <c r="R53" i="2"/>
  <c r="O53" i="2"/>
  <c r="M53" i="2"/>
  <c r="AN52" i="2"/>
  <c r="W52" i="2"/>
  <c r="R52" i="2"/>
  <c r="O52" i="2"/>
  <c r="M52" i="2"/>
  <c r="AN51" i="2"/>
  <c r="W51" i="2"/>
  <c r="R51" i="2"/>
  <c r="O51" i="2"/>
  <c r="M51" i="2"/>
  <c r="AN50" i="2"/>
  <c r="W50" i="2"/>
  <c r="R50" i="2"/>
  <c r="O50" i="2"/>
  <c r="M50" i="2"/>
  <c r="AN49" i="2"/>
  <c r="W49" i="2"/>
  <c r="R49" i="2"/>
  <c r="O49" i="2"/>
  <c r="M49" i="2"/>
  <c r="AN48" i="2"/>
  <c r="W48" i="2"/>
  <c r="R48" i="2"/>
  <c r="O48" i="2"/>
  <c r="M48" i="2"/>
  <c r="AN47" i="2"/>
  <c r="W47" i="2"/>
  <c r="R47" i="2"/>
  <c r="O47" i="2"/>
  <c r="M47" i="2"/>
  <c r="AN46" i="2"/>
  <c r="W46" i="2"/>
  <c r="R46" i="2"/>
  <c r="O46" i="2"/>
  <c r="M46" i="2"/>
  <c r="ED45" i="2"/>
  <c r="AN45" i="2"/>
  <c r="AA45" i="2"/>
  <c r="Z45" i="2"/>
  <c r="Z57" i="2" s="1"/>
  <c r="Z69" i="2" s="1"/>
  <c r="Z81" i="2" s="1"/>
  <c r="Z93" i="2" s="1"/>
  <c r="Z105" i="2" s="1"/>
  <c r="Z117" i="2" s="1"/>
  <c r="Z129" i="2" s="1"/>
  <c r="Z141" i="2" s="1"/>
  <c r="Z153" i="2" s="1"/>
  <c r="Z165" i="2" s="1"/>
  <c r="Z177" i="2" s="1"/>
  <c r="Z189" i="2" s="1"/>
  <c r="Z201" i="2" s="1"/>
  <c r="Z213" i="2" s="1"/>
  <c r="Z225" i="2" s="1"/>
  <c r="Z237" i="2" s="1"/>
  <c r="Z249" i="2" s="1"/>
  <c r="Z261" i="2" s="1"/>
  <c r="Z273" i="2" s="1"/>
  <c r="Z285" i="2" s="1"/>
  <c r="Z297" i="2" s="1"/>
  <c r="Z309" i="2" s="1"/>
  <c r="Z321" i="2" s="1"/>
  <c r="Z333" i="2" s="1"/>
  <c r="Z345" i="2" s="1"/>
  <c r="Z357" i="2" s="1"/>
  <c r="Z369" i="2" s="1"/>
  <c r="Z381" i="2" s="1"/>
  <c r="Z393" i="2" s="1"/>
  <c r="Z405" i="2" s="1"/>
  <c r="Z417" i="2" s="1"/>
  <c r="Z429" i="2" s="1"/>
  <c r="Z441" i="2" s="1"/>
  <c r="Z453" i="2" s="1"/>
  <c r="Z465" i="2" s="1"/>
  <c r="Z477" i="2" s="1"/>
  <c r="Z489" i="2" s="1"/>
  <c r="Z501" i="2" s="1"/>
  <c r="Z513" i="2" s="1"/>
  <c r="Z525" i="2" s="1"/>
  <c r="Z537" i="2" s="1"/>
  <c r="Z549" i="2" s="1"/>
  <c r="Z561" i="2" s="1"/>
  <c r="Z573" i="2" s="1"/>
  <c r="Z585" i="2" s="1"/>
  <c r="Z597" i="2" s="1"/>
  <c r="W45" i="2"/>
  <c r="R45" i="2"/>
  <c r="O45" i="2"/>
  <c r="M45" i="2"/>
  <c r="AN44" i="2"/>
  <c r="W44" i="2"/>
  <c r="R44" i="2"/>
  <c r="O44" i="2"/>
  <c r="M44" i="2"/>
  <c r="AN43" i="2"/>
  <c r="W43" i="2"/>
  <c r="R43" i="2"/>
  <c r="O43" i="2"/>
  <c r="M43" i="2"/>
  <c r="AN42" i="2"/>
  <c r="W42" i="2"/>
  <c r="R42" i="2"/>
  <c r="O42" i="2"/>
  <c r="M42" i="2"/>
  <c r="AN41" i="2"/>
  <c r="W41" i="2"/>
  <c r="R41" i="2"/>
  <c r="O41" i="2"/>
  <c r="M41" i="2"/>
  <c r="AN40" i="2"/>
  <c r="W40" i="2"/>
  <c r="R40" i="2"/>
  <c r="O40" i="2"/>
  <c r="M40" i="2"/>
  <c r="AN39" i="2"/>
  <c r="W39" i="2"/>
  <c r="R39" i="2"/>
  <c r="O39" i="2"/>
  <c r="M39" i="2"/>
  <c r="AN38" i="2"/>
  <c r="W38" i="2"/>
  <c r="R38" i="2"/>
  <c r="O38" i="2"/>
  <c r="M38" i="2"/>
  <c r="AN37" i="2"/>
  <c r="W37" i="2"/>
  <c r="R37" i="2"/>
  <c r="O37" i="2"/>
  <c r="M37" i="2"/>
  <c r="AN36" i="2"/>
  <c r="W36" i="2"/>
  <c r="R36" i="2"/>
  <c r="O36" i="2"/>
  <c r="M36" i="2"/>
  <c r="AN35" i="2"/>
  <c r="W35" i="2"/>
  <c r="R35" i="2"/>
  <c r="O35" i="2"/>
  <c r="M35" i="2"/>
  <c r="AN34" i="2"/>
  <c r="W34" i="2"/>
  <c r="R34" i="2"/>
  <c r="O34" i="2"/>
  <c r="M34" i="2"/>
  <c r="ED33" i="2"/>
  <c r="AN33" i="2"/>
  <c r="AA33" i="2"/>
  <c r="W33" i="2"/>
  <c r="R33" i="2"/>
  <c r="O33" i="2"/>
  <c r="M33" i="2"/>
  <c r="AN32" i="2"/>
  <c r="W32" i="2"/>
  <c r="R32" i="2"/>
  <c r="O32" i="2"/>
  <c r="M32" i="2"/>
  <c r="AN31" i="2"/>
  <c r="W31" i="2"/>
  <c r="R31" i="2"/>
  <c r="O31" i="2"/>
  <c r="M31" i="2"/>
  <c r="AN30" i="2"/>
  <c r="W30" i="2"/>
  <c r="R30" i="2"/>
  <c r="O30" i="2"/>
  <c r="M30" i="2"/>
  <c r="AN29" i="2"/>
  <c r="W29" i="2"/>
  <c r="U29" i="2"/>
  <c r="R29" i="2"/>
  <c r="O29" i="2"/>
  <c r="M29" i="2"/>
  <c r="AN28" i="2"/>
  <c r="W28" i="2"/>
  <c r="U28" i="2"/>
  <c r="R28" i="2"/>
  <c r="O28" i="2"/>
  <c r="M28" i="2"/>
  <c r="AN27" i="2"/>
  <c r="W27" i="2"/>
  <c r="U27" i="2"/>
  <c r="R27" i="2"/>
  <c r="O27" i="2"/>
  <c r="M27" i="2"/>
  <c r="AN26" i="2"/>
  <c r="W26" i="2"/>
  <c r="U26" i="2"/>
  <c r="R26" i="2"/>
  <c r="O26" i="2"/>
  <c r="M26" i="2"/>
  <c r="W25" i="2"/>
  <c r="U25" i="2"/>
  <c r="R25" i="2"/>
  <c r="O25" i="2"/>
  <c r="M25" i="2"/>
  <c r="W24" i="2"/>
  <c r="U24" i="2"/>
  <c r="R24" i="2"/>
  <c r="O24" i="2"/>
  <c r="M24" i="2"/>
  <c r="W23" i="2"/>
  <c r="U23" i="2"/>
  <c r="R23" i="2"/>
  <c r="O23" i="2"/>
  <c r="M23" i="2"/>
  <c r="W22" i="2"/>
  <c r="U22" i="2"/>
  <c r="R22" i="2"/>
  <c r="O22" i="2"/>
  <c r="M22" i="2"/>
  <c r="ED21" i="2"/>
  <c r="AA21" i="2"/>
  <c r="W21" i="2"/>
  <c r="U21" i="2"/>
  <c r="R21" i="2"/>
  <c r="O21" i="2"/>
  <c r="M21" i="2"/>
  <c r="W20" i="2"/>
  <c r="U20" i="2"/>
  <c r="R20" i="2"/>
  <c r="O20" i="2"/>
  <c r="M20" i="2"/>
  <c r="W19" i="2"/>
  <c r="U19" i="2"/>
  <c r="R19" i="2"/>
  <c r="O19" i="2"/>
  <c r="M19" i="2"/>
  <c r="W18" i="2"/>
  <c r="U18" i="2"/>
  <c r="R18" i="2"/>
  <c r="O18" i="2"/>
  <c r="M18" i="2"/>
  <c r="W17" i="2"/>
  <c r="U17" i="2"/>
  <c r="R17" i="2"/>
  <c r="O17" i="2"/>
  <c r="M17" i="2"/>
  <c r="W16" i="2"/>
  <c r="U16" i="2"/>
  <c r="R16" i="2"/>
  <c r="O16" i="2"/>
  <c r="M16" i="2"/>
  <c r="W15" i="2"/>
  <c r="U15" i="2"/>
  <c r="R15" i="2"/>
  <c r="O15" i="2"/>
  <c r="M15" i="2"/>
  <c r="W14" i="2"/>
  <c r="U14" i="2"/>
  <c r="R14" i="2"/>
  <c r="O14" i="2"/>
  <c r="M14" i="2"/>
  <c r="W13" i="2"/>
  <c r="U13" i="2"/>
  <c r="R13" i="2"/>
  <c r="O13" i="2"/>
  <c r="M13" i="2"/>
  <c r="W12" i="2"/>
  <c r="U12" i="2"/>
  <c r="R12" i="2"/>
  <c r="O12" i="2"/>
  <c r="M12" i="2"/>
  <c r="W11" i="2"/>
  <c r="U11" i="2"/>
  <c r="R11" i="2"/>
  <c r="O11" i="2"/>
  <c r="M11" i="2"/>
  <c r="W10" i="2"/>
  <c r="U10" i="2"/>
  <c r="R10" i="2"/>
  <c r="O10" i="2"/>
  <c r="M10" i="2"/>
  <c r="C10" i="2"/>
  <c r="C11" i="2" s="1"/>
  <c r="ED9" i="2"/>
  <c r="W9" i="2"/>
  <c r="R9" i="2"/>
  <c r="O9" i="2"/>
  <c r="M9" i="2"/>
  <c r="I9" i="2"/>
  <c r="E9" i="2"/>
  <c r="D9" i="2"/>
  <c r="F9" i="2" s="1"/>
  <c r="B9" i="2"/>
  <c r="P4" i="2"/>
  <c r="AL3" i="2"/>
  <c r="AF3" i="2"/>
  <c r="AI3" i="2" s="1"/>
  <c r="H3" i="2"/>
  <c r="I2" i="2"/>
  <c r="G3" i="2" s="1"/>
  <c r="I3" i="2" s="1"/>
  <c r="M35" i="1"/>
  <c r="N36" i="1" s="1"/>
  <c r="L35" i="1"/>
  <c r="L36" i="1" s="1"/>
  <c r="M30" i="1"/>
  <c r="H29" i="1"/>
  <c r="C15" i="1"/>
  <c r="B15" i="1"/>
  <c r="D15" i="1" s="1"/>
  <c r="C14" i="1"/>
  <c r="B14" i="1"/>
  <c r="C13" i="1"/>
  <c r="B13" i="1"/>
  <c r="D13" i="1" s="1"/>
  <c r="O11" i="1"/>
  <c r="B5" i="1"/>
  <c r="B6" i="1" s="1"/>
  <c r="B7" i="1" s="1"/>
  <c r="E2" i="2" s="1"/>
  <c r="I3" i="1"/>
  <c r="U190" i="16"/>
  <c r="U176" i="16"/>
  <c r="U185" i="16"/>
  <c r="U199" i="16"/>
  <c r="U201" i="16"/>
  <c r="U184" i="16"/>
  <c r="U208" i="16"/>
  <c r="U163" i="16"/>
  <c r="U202" i="16"/>
  <c r="U186" i="16"/>
  <c r="U195" i="16"/>
  <c r="U191" i="16"/>
  <c r="U183" i="16"/>
  <c r="U206" i="16"/>
  <c r="U168" i="16"/>
  <c r="U158" i="16"/>
  <c r="U172" i="16"/>
  <c r="U203" i="16"/>
  <c r="U187" i="16"/>
  <c r="U177" i="16"/>
  <c r="U200" i="16"/>
  <c r="U157" i="16"/>
  <c r="U162" i="16"/>
  <c r="U165" i="16"/>
  <c r="U171" i="16"/>
  <c r="U194" i="16"/>
  <c r="U156" i="16"/>
  <c r="U209" i="16"/>
  <c r="U175" i="16"/>
  <c r="U178" i="16"/>
  <c r="U188" i="16"/>
  <c r="U193" i="16"/>
  <c r="U164" i="16"/>
  <c r="U180" i="16"/>
  <c r="U173" i="16"/>
  <c r="U174" i="16"/>
  <c r="U189" i="16"/>
  <c r="U170" i="16"/>
  <c r="U192" i="16"/>
  <c r="U160" i="16"/>
  <c r="U182" i="16"/>
  <c r="U198" i="16"/>
  <c r="U166" i="16"/>
  <c r="U197" i="16"/>
  <c r="U205" i="16"/>
  <c r="U196" i="16"/>
  <c r="U204" i="16"/>
  <c r="U159" i="16"/>
  <c r="U167" i="16"/>
  <c r="U181" i="16"/>
  <c r="U179" i="16"/>
  <c r="U207" i="16"/>
  <c r="U169" i="16"/>
  <c r="U161" i="16"/>
  <c r="U155" i="16"/>
  <c r="AQ42" i="16" l="1"/>
  <c r="A15" i="24"/>
  <c r="A15" i="30"/>
  <c r="AQ6" i="16"/>
  <c r="AQ13" i="16"/>
  <c r="AR45" i="16"/>
  <c r="C52" i="17"/>
  <c r="A14" i="44"/>
  <c r="T60" i="2"/>
  <c r="AR16" i="16"/>
  <c r="AR19" i="16"/>
  <c r="AQ22" i="16"/>
  <c r="AR29" i="16"/>
  <c r="A15" i="28"/>
  <c r="A15" i="35"/>
  <c r="A15" i="43"/>
  <c r="A15" i="53"/>
  <c r="AR11" i="16"/>
  <c r="AR40" i="16"/>
  <c r="T62" i="2"/>
  <c r="A15" i="18"/>
  <c r="N44" i="4"/>
  <c r="AR28" i="16"/>
  <c r="AR14" i="16"/>
  <c r="AR17" i="16"/>
  <c r="AQ20" i="16"/>
  <c r="AQ30" i="16"/>
  <c r="AR37" i="16"/>
  <c r="AR47" i="16"/>
  <c r="D14" i="1"/>
  <c r="T59" i="2"/>
  <c r="AS26" i="16"/>
  <c r="AQ5" i="16"/>
  <c r="AQ12" i="16"/>
  <c r="A15" i="17"/>
  <c r="A15" i="27"/>
  <c r="A15" i="32"/>
  <c r="A15" i="34"/>
  <c r="A15" i="58"/>
  <c r="AV3" i="16"/>
  <c r="AZ3" i="16" s="1"/>
  <c r="AR15" i="16"/>
  <c r="AR18" i="16"/>
  <c r="A14" i="19"/>
  <c r="A14" i="21"/>
  <c r="A15" i="31"/>
  <c r="A15" i="33"/>
  <c r="A15" i="39"/>
  <c r="A15" i="45"/>
  <c r="B36" i="11"/>
  <c r="AQ2" i="11" s="1"/>
  <c r="D36" i="12"/>
  <c r="D36" i="3"/>
  <c r="D36" i="4" s="1"/>
  <c r="D55" i="16"/>
  <c r="B24" i="11"/>
  <c r="AE2" i="11" s="1"/>
  <c r="A25" i="23"/>
  <c r="A25" i="24" s="1"/>
  <c r="A25" i="25" s="1"/>
  <c r="A25" i="26" s="1"/>
  <c r="A25" i="28" s="1"/>
  <c r="A25" i="27" s="1"/>
  <c r="A25" i="29" s="1"/>
  <c r="A25" i="30" s="1"/>
  <c r="A25" i="31" s="1"/>
  <c r="A25" i="32" s="1"/>
  <c r="A25" i="33" s="1"/>
  <c r="A25" i="34" s="1"/>
  <c r="A25" i="35" s="1"/>
  <c r="A25" i="36" s="1"/>
  <c r="A25" i="37" s="1"/>
  <c r="A25" i="38" s="1"/>
  <c r="A25" i="39" s="1"/>
  <c r="A25" i="40" s="1"/>
  <c r="A25" i="41" s="1"/>
  <c r="A25" i="42" s="1"/>
  <c r="A25" i="43" s="1"/>
  <c r="A25" i="44" s="1"/>
  <c r="A25" i="45" s="1"/>
  <c r="A25" i="46" s="1"/>
  <c r="A25" i="47" s="1"/>
  <c r="A25" i="48" s="1"/>
  <c r="A25" i="49" s="1"/>
  <c r="A25" i="50" s="1"/>
  <c r="A25" i="51" s="1"/>
  <c r="A25" i="52" s="1"/>
  <c r="A25" i="53" s="1"/>
  <c r="A25" i="54" s="1"/>
  <c r="A25" i="55" s="1"/>
  <c r="A25" i="56" s="1"/>
  <c r="A25" i="57" s="1"/>
  <c r="A25" i="58" s="1"/>
  <c r="D24" i="3"/>
  <c r="C24" i="7" s="1"/>
  <c r="C168" i="16"/>
  <c r="E20" i="10"/>
  <c r="D27" i="3"/>
  <c r="C27" i="9" s="1"/>
  <c r="D12" i="12"/>
  <c r="D20" i="12"/>
  <c r="D24" i="12"/>
  <c r="D27" i="12"/>
  <c r="E12" i="10"/>
  <c r="C171" i="16"/>
  <c r="E24" i="10"/>
  <c r="E27" i="10"/>
  <c r="D10" i="3"/>
  <c r="D10" i="4" s="1"/>
  <c r="B20" i="11"/>
  <c r="AA2" i="11" s="1"/>
  <c r="D13" i="3"/>
  <c r="C13" i="6" s="1"/>
  <c r="D20" i="3"/>
  <c r="C20" i="9" s="1"/>
  <c r="B27" i="11"/>
  <c r="AH2" i="11" s="1"/>
  <c r="C164" i="16"/>
  <c r="B5" i="11"/>
  <c r="L2" i="11" s="1"/>
  <c r="D6" i="3"/>
  <c r="D6" i="4" s="1"/>
  <c r="B6" i="11"/>
  <c r="M2" i="11" s="1"/>
  <c r="D43" i="12"/>
  <c r="D43" i="3"/>
  <c r="C43" i="7" s="1"/>
  <c r="C150" i="16"/>
  <c r="D6" i="12"/>
  <c r="E6" i="10"/>
  <c r="D38" i="3"/>
  <c r="C38" i="9" s="1"/>
  <c r="C179" i="16"/>
  <c r="E35" i="10"/>
  <c r="D35" i="3"/>
  <c r="C35" i="6" s="1"/>
  <c r="E38" i="10"/>
  <c r="D9" i="12"/>
  <c r="A1" i="3"/>
  <c r="A1" i="6" s="1"/>
  <c r="D42" i="3"/>
  <c r="C42" i="9" s="1"/>
  <c r="E42" i="10"/>
  <c r="D9" i="3"/>
  <c r="C9" i="6" s="1"/>
  <c r="B12" i="11"/>
  <c r="S2" i="11" s="1"/>
  <c r="D35" i="12"/>
  <c r="D12" i="3"/>
  <c r="C12" i="5" s="1"/>
  <c r="E9" i="10"/>
  <c r="E5" i="10"/>
  <c r="C180" i="16"/>
  <c r="D5" i="12"/>
  <c r="D5" i="3"/>
  <c r="C5" i="7" s="1"/>
  <c r="B9" i="11"/>
  <c r="P2" i="11" s="1"/>
  <c r="D3" i="3"/>
  <c r="C3" i="9" s="1"/>
  <c r="C149" i="16"/>
  <c r="D28" i="12"/>
  <c r="B28" i="11"/>
  <c r="AI2" i="11" s="1"/>
  <c r="E3" i="10"/>
  <c r="B3" i="11"/>
  <c r="J2" i="11" s="1"/>
  <c r="D3" i="12"/>
  <c r="C169" i="16"/>
  <c r="D25" i="3"/>
  <c r="C25" i="9" s="1"/>
  <c r="D28" i="3"/>
  <c r="C28" i="6" s="1"/>
  <c r="E25" i="10"/>
  <c r="B25" i="11"/>
  <c r="AF2" i="11" s="1"/>
  <c r="E28" i="10"/>
  <c r="E14" i="10"/>
  <c r="E21" i="10"/>
  <c r="E3" i="14"/>
  <c r="B21" i="11"/>
  <c r="AB2" i="11" s="1"/>
  <c r="C153" i="16"/>
  <c r="D21" i="12"/>
  <c r="D21" i="3"/>
  <c r="C21" i="8" s="1"/>
  <c r="L5" i="4"/>
  <c r="BD3" i="16"/>
  <c r="BH3" i="16" s="1"/>
  <c r="BL3" i="16" s="1"/>
  <c r="BP3" i="16" s="1"/>
  <c r="BT3" i="16" s="1"/>
  <c r="BX3" i="16" s="1"/>
  <c r="CB3" i="16" s="1"/>
  <c r="CF3" i="16" s="1"/>
  <c r="CJ3" i="16" s="1"/>
  <c r="CN3" i="16" s="1"/>
  <c r="CR3" i="16" s="1"/>
  <c r="CV3" i="16" s="1"/>
  <c r="CZ3" i="16" s="1"/>
  <c r="DD3" i="16" s="1"/>
  <c r="DH3" i="16" s="1"/>
  <c r="DL3" i="16" s="1"/>
  <c r="DP3" i="16" s="1"/>
  <c r="DT3" i="16" s="1"/>
  <c r="DX3" i="16" s="1"/>
  <c r="EB3" i="16" s="1"/>
  <c r="EF3" i="16" s="1"/>
  <c r="EJ3" i="16" s="1"/>
  <c r="EN3" i="16" s="1"/>
  <c r="ER3" i="16" s="1"/>
  <c r="EV3" i="16" s="1"/>
  <c r="EZ3" i="16" s="1"/>
  <c r="FD3" i="16" s="1"/>
  <c r="FH3" i="16" s="1"/>
  <c r="FL3" i="16" s="1"/>
  <c r="FP3" i="16" s="1"/>
  <c r="FT3" i="16" s="1"/>
  <c r="FX3" i="16" s="1"/>
  <c r="GB3" i="16" s="1"/>
  <c r="GF3" i="16" s="1"/>
  <c r="GJ3" i="16" s="1"/>
  <c r="GN3" i="16" s="1"/>
  <c r="GR3" i="16" s="1"/>
  <c r="GV3" i="16" s="1"/>
  <c r="GZ3" i="16" s="1"/>
  <c r="HD3" i="16" s="1"/>
  <c r="B33" i="11"/>
  <c r="AN2" i="11" s="1"/>
  <c r="D33" i="3"/>
  <c r="C33" i="6" s="1"/>
  <c r="D33" i="12"/>
  <c r="D16" i="12"/>
  <c r="B31" i="11"/>
  <c r="AL2" i="11" s="1"/>
  <c r="C186" i="16"/>
  <c r="D16" i="3"/>
  <c r="C16" i="9" s="1"/>
  <c r="B16" i="11"/>
  <c r="W2" i="11" s="1"/>
  <c r="C160" i="16"/>
  <c r="D42" i="12"/>
  <c r="E31" i="10"/>
  <c r="E13" i="10"/>
  <c r="C182" i="16"/>
  <c r="D14" i="3"/>
  <c r="C14" i="7" s="1"/>
  <c r="D14" i="12"/>
  <c r="D38" i="12"/>
  <c r="C147" i="16"/>
  <c r="C158" i="16"/>
  <c r="Q9" i="17"/>
  <c r="B38" i="11"/>
  <c r="AS2" i="11" s="1"/>
  <c r="C175" i="16"/>
  <c r="C177" i="16"/>
  <c r="D31" i="3"/>
  <c r="C31" i="9" s="1"/>
  <c r="E33" i="10"/>
  <c r="E22" i="10"/>
  <c r="B22" i="11"/>
  <c r="AC2" i="11" s="1"/>
  <c r="D11" i="3"/>
  <c r="C11" i="5" s="1"/>
  <c r="E8" i="10"/>
  <c r="E26" i="10"/>
  <c r="B26" i="11"/>
  <c r="AG2" i="11" s="1"/>
  <c r="D8" i="12"/>
  <c r="B8" i="11"/>
  <c r="O2" i="11" s="1"/>
  <c r="D26" i="12"/>
  <c r="E11" i="10"/>
  <c r="D11" i="12"/>
  <c r="D29" i="12"/>
  <c r="C170" i="16"/>
  <c r="E29" i="10"/>
  <c r="B11" i="11"/>
  <c r="R2" i="11" s="1"/>
  <c r="B29" i="11"/>
  <c r="AJ2" i="11" s="1"/>
  <c r="C166" i="16"/>
  <c r="C173" i="16"/>
  <c r="D22" i="3"/>
  <c r="C22" i="9" s="1"/>
  <c r="D8" i="3"/>
  <c r="C8" i="5" s="1"/>
  <c r="D26" i="3"/>
  <c r="C26" i="9" s="1"/>
  <c r="C184" i="16"/>
  <c r="E40" i="10"/>
  <c r="C152" i="16"/>
  <c r="C163" i="16"/>
  <c r="E19" i="10"/>
  <c r="E4" i="10"/>
  <c r="B19" i="11"/>
  <c r="Z2" i="11" s="1"/>
  <c r="D19" i="12"/>
  <c r="D30" i="3"/>
  <c r="D30" i="4" s="1"/>
  <c r="K2" i="11"/>
  <c r="B4" i="11"/>
  <c r="D4" i="3"/>
  <c r="C4" i="8" s="1"/>
  <c r="D18" i="3"/>
  <c r="D18" i="4" s="1"/>
  <c r="D18" i="12"/>
  <c r="D40" i="3"/>
  <c r="C40" i="9" s="1"/>
  <c r="E18" i="10"/>
  <c r="B18" i="11"/>
  <c r="Y2" i="11" s="1"/>
  <c r="B13" i="11"/>
  <c r="T2" i="11" s="1"/>
  <c r="D37" i="12"/>
  <c r="D10" i="12"/>
  <c r="D37" i="3"/>
  <c r="C37" i="6" s="1"/>
  <c r="E37" i="10"/>
  <c r="B34" i="11"/>
  <c r="AO2" i="11" s="1"/>
  <c r="C157" i="16"/>
  <c r="D13" i="12"/>
  <c r="E34" i="10"/>
  <c r="E10" i="10"/>
  <c r="B37" i="11"/>
  <c r="AR2" i="11" s="1"/>
  <c r="C178" i="16"/>
  <c r="B10" i="11"/>
  <c r="Q2" i="11" s="1"/>
  <c r="D34" i="12"/>
  <c r="C181" i="16"/>
  <c r="D32" i="12"/>
  <c r="C151" i="16"/>
  <c r="C183" i="16"/>
  <c r="E7" i="10"/>
  <c r="D39" i="3"/>
  <c r="C39" i="9" s="1"/>
  <c r="B17" i="11"/>
  <c r="X2" i="11" s="1"/>
  <c r="D7" i="12"/>
  <c r="B32" i="11"/>
  <c r="AM2" i="11" s="1"/>
  <c r="C161" i="16"/>
  <c r="D17" i="3"/>
  <c r="D17" i="4" s="1"/>
  <c r="B7" i="11"/>
  <c r="N2" i="11" s="1"/>
  <c r="C176" i="16"/>
  <c r="D32" i="3"/>
  <c r="C32" i="9" s="1"/>
  <c r="D39" i="12"/>
  <c r="D7" i="3"/>
  <c r="C7" i="9" s="1"/>
  <c r="C148" i="16"/>
  <c r="E17" i="10"/>
  <c r="C154" i="16"/>
  <c r="E39" i="10"/>
  <c r="D4" i="12"/>
  <c r="E15" i="10"/>
  <c r="B15" i="11"/>
  <c r="V2" i="11" s="1"/>
  <c r="D15" i="12"/>
  <c r="C174" i="16"/>
  <c r="C185" i="16"/>
  <c r="D34" i="4"/>
  <c r="E41" i="10"/>
  <c r="D41" i="12"/>
  <c r="E30" i="10"/>
  <c r="B30" i="11"/>
  <c r="AK2" i="11" s="1"/>
  <c r="D23" i="3"/>
  <c r="C23" i="9" s="1"/>
  <c r="C167" i="16"/>
  <c r="D15" i="3"/>
  <c r="C15" i="8" s="1"/>
  <c r="E23" i="10"/>
  <c r="B23" i="11"/>
  <c r="AD2" i="11" s="1"/>
  <c r="C34" i="6"/>
  <c r="V162" i="16"/>
  <c r="Y154" i="16"/>
  <c r="V155" i="16"/>
  <c r="AA155" i="16" s="1"/>
  <c r="V174" i="16"/>
  <c r="V181" i="16"/>
  <c r="V160" i="16"/>
  <c r="V165" i="16"/>
  <c r="V170" i="16"/>
  <c r="V175" i="16"/>
  <c r="V180" i="16"/>
  <c r="V166" i="16"/>
  <c r="V171" i="16"/>
  <c r="V176" i="16"/>
  <c r="V172" i="16"/>
  <c r="V158" i="16"/>
  <c r="V163" i="16"/>
  <c r="V168" i="16"/>
  <c r="V159" i="16"/>
  <c r="V164" i="16"/>
  <c r="V167" i="16"/>
  <c r="V157" i="16"/>
  <c r="V169" i="16"/>
  <c r="V156" i="16"/>
  <c r="AA156" i="16" s="1"/>
  <c r="V161" i="16"/>
  <c r="V173" i="16"/>
  <c r="V188" i="16"/>
  <c r="V190" i="16"/>
  <c r="V192" i="16"/>
  <c r="V194" i="16"/>
  <c r="V196" i="16"/>
  <c r="V198" i="16"/>
  <c r="V200" i="16"/>
  <c r="V202" i="16"/>
  <c r="V204" i="16"/>
  <c r="V206" i="16"/>
  <c r="V208" i="16"/>
  <c r="V183" i="16"/>
  <c r="V178" i="16"/>
  <c r="V185" i="16"/>
  <c r="V187" i="16"/>
  <c r="V182" i="16"/>
  <c r="V189" i="16"/>
  <c r="V191" i="16"/>
  <c r="V193" i="16"/>
  <c r="V195" i="16"/>
  <c r="V197" i="16"/>
  <c r="V199" i="16"/>
  <c r="V201" i="16"/>
  <c r="V203" i="16"/>
  <c r="V205" i="16"/>
  <c r="V207" i="16"/>
  <c r="V209" i="16"/>
  <c r="V177" i="16"/>
  <c r="V184" i="16"/>
  <c r="V179" i="16"/>
  <c r="V186" i="16"/>
  <c r="D11" i="2"/>
  <c r="C12" i="2"/>
  <c r="H11" i="2"/>
  <c r="I11" i="2" s="1"/>
  <c r="E11" i="2"/>
  <c r="B8" i="1"/>
  <c r="M36" i="1"/>
  <c r="D3" i="2"/>
  <c r="E3" i="2"/>
  <c r="B47" i="2"/>
  <c r="B38" i="2"/>
  <c r="B54" i="2"/>
  <c r="B45" i="2"/>
  <c r="B31" i="2"/>
  <c r="B24" i="2"/>
  <c r="B62" i="2"/>
  <c r="B59" i="2"/>
  <c r="B49" i="2"/>
  <c r="B40" i="2"/>
  <c r="B28" i="2"/>
  <c r="B56" i="2"/>
  <c r="B35" i="2"/>
  <c r="B33" i="2"/>
  <c r="B23" i="2"/>
  <c r="D16" i="1"/>
  <c r="B51" i="2"/>
  <c r="B42" i="2"/>
  <c r="B46" i="2"/>
  <c r="B37" i="2"/>
  <c r="B22" i="2"/>
  <c r="B60" i="2"/>
  <c r="B53" i="2"/>
  <c r="B44" i="2"/>
  <c r="B30" i="2"/>
  <c r="B27" i="2"/>
  <c r="B48" i="2"/>
  <c r="B39" i="2"/>
  <c r="B55" i="2"/>
  <c r="B34" i="2"/>
  <c r="B32" i="2"/>
  <c r="B57" i="2"/>
  <c r="B50" i="2"/>
  <c r="B41" i="2"/>
  <c r="B26" i="2"/>
  <c r="B21" i="2"/>
  <c r="B61" i="2"/>
  <c r="B58" i="2"/>
  <c r="B36" i="2"/>
  <c r="B29" i="2"/>
  <c r="B9" i="1"/>
  <c r="B52" i="2"/>
  <c r="B43" i="2"/>
  <c r="B25" i="2"/>
  <c r="O35" i="1"/>
  <c r="P35" i="1" s="1"/>
  <c r="R35" i="1" s="1"/>
  <c r="D10" i="2"/>
  <c r="F10" i="2" s="1"/>
  <c r="T58" i="2"/>
  <c r="T61" i="2"/>
  <c r="E10" i="2"/>
  <c r="H10" i="2"/>
  <c r="I10" i="2" s="1"/>
  <c r="M4" i="4"/>
  <c r="C29" i="9"/>
  <c r="C29" i="6"/>
  <c r="C29" i="8"/>
  <c r="D29" i="4"/>
  <c r="C29" i="5"/>
  <c r="C29" i="7"/>
  <c r="D13" i="4"/>
  <c r="C24" i="6"/>
  <c r="D24" i="4"/>
  <c r="C24" i="5"/>
  <c r="C36" i="9"/>
  <c r="C36" i="6"/>
  <c r="C36" i="5"/>
  <c r="C36" i="7"/>
  <c r="C36" i="8"/>
  <c r="C19" i="9"/>
  <c r="C19" i="6"/>
  <c r="C19" i="5"/>
  <c r="D19" i="4"/>
  <c r="C19" i="8"/>
  <c r="C19" i="7"/>
  <c r="D41" i="4"/>
  <c r="C41" i="7"/>
  <c r="C34" i="7"/>
  <c r="C34" i="5"/>
  <c r="C41" i="9"/>
  <c r="C41" i="8"/>
  <c r="C34" i="8"/>
  <c r="C41" i="6"/>
  <c r="E36" i="14"/>
  <c r="E34" i="14"/>
  <c r="E23" i="14"/>
  <c r="E20" i="14"/>
  <c r="E28" i="14"/>
  <c r="E32" i="14"/>
  <c r="E17" i="14"/>
  <c r="E33" i="14"/>
  <c r="E16" i="14"/>
  <c r="E25" i="14"/>
  <c r="E15" i="14"/>
  <c r="E22" i="14"/>
  <c r="E30" i="14"/>
  <c r="E37" i="14"/>
  <c r="E19" i="14"/>
  <c r="E27" i="14"/>
  <c r="F4" i="14"/>
  <c r="E12" i="14"/>
  <c r="E24" i="14"/>
  <c r="E11" i="14"/>
  <c r="E10" i="14"/>
  <c r="E21" i="14"/>
  <c r="E29" i="14"/>
  <c r="AT31" i="16"/>
  <c r="AT20" i="16"/>
  <c r="AT13" i="16"/>
  <c r="AT38" i="16"/>
  <c r="AT45" i="16"/>
  <c r="AT21" i="16"/>
  <c r="AT18" i="16"/>
  <c r="AT41" i="16"/>
  <c r="AT39" i="16"/>
  <c r="AT12" i="16"/>
  <c r="AT22" i="16"/>
  <c r="AT28" i="16"/>
  <c r="AT19" i="16"/>
  <c r="AT16" i="16"/>
  <c r="AT37" i="16"/>
  <c r="AT44" i="16"/>
  <c r="AT26" i="16"/>
  <c r="AT14" i="16"/>
  <c r="AT9" i="16"/>
  <c r="AT29" i="16"/>
  <c r="AT8" i="16"/>
  <c r="AT17" i="16"/>
  <c r="E9" i="14"/>
  <c r="E18" i="14"/>
  <c r="E26" i="14"/>
  <c r="AT10" i="16"/>
  <c r="AS37" i="16"/>
  <c r="AS43" i="16"/>
  <c r="AS20" i="16"/>
  <c r="AS22" i="16"/>
  <c r="C49" i="18"/>
  <c r="D49" i="18" s="1"/>
  <c r="E49" i="18" s="1"/>
  <c r="F49" i="18" s="1"/>
  <c r="G49" i="18" s="1"/>
  <c r="H49" i="18" s="1"/>
  <c r="I49" i="18" s="1"/>
  <c r="J49" i="18" s="1"/>
  <c r="K49" i="18" s="1"/>
  <c r="L49" i="18" s="1"/>
  <c r="M49" i="18" s="1"/>
  <c r="B49" i="19" s="1"/>
  <c r="AT5" i="16"/>
  <c r="AS42" i="16"/>
  <c r="AQ7" i="16"/>
  <c r="AT7" i="16"/>
  <c r="AS9" i="16"/>
  <c r="AS13" i="16"/>
  <c r="AR7" i="16"/>
  <c r="AS7" i="16" s="1"/>
  <c r="AS15" i="16"/>
  <c r="AW3" i="16"/>
  <c r="BA3" i="16" s="1"/>
  <c r="BE3" i="16" s="1"/>
  <c r="BI3" i="16" s="1"/>
  <c r="BM3" i="16" s="1"/>
  <c r="BQ3" i="16" s="1"/>
  <c r="BU3" i="16" s="1"/>
  <c r="BY3" i="16" s="1"/>
  <c r="CC3" i="16" s="1"/>
  <c r="CG3" i="16" s="1"/>
  <c r="CK3" i="16" s="1"/>
  <c r="CO3" i="16" s="1"/>
  <c r="CS3" i="16" s="1"/>
  <c r="CW3" i="16" s="1"/>
  <c r="DA3" i="16" s="1"/>
  <c r="DE3" i="16" s="1"/>
  <c r="DI3" i="16" s="1"/>
  <c r="DM3" i="16" s="1"/>
  <c r="DQ3" i="16" s="1"/>
  <c r="DU3" i="16" s="1"/>
  <c r="DY3" i="16" s="1"/>
  <c r="EC3" i="16" s="1"/>
  <c r="EG3" i="16" s="1"/>
  <c r="EK3" i="16" s="1"/>
  <c r="EO3" i="16" s="1"/>
  <c r="ES3" i="16" s="1"/>
  <c r="EW3" i="16" s="1"/>
  <c r="FA3" i="16" s="1"/>
  <c r="FE3" i="16" s="1"/>
  <c r="FI3" i="16" s="1"/>
  <c r="FM3" i="16" s="1"/>
  <c r="FQ3" i="16" s="1"/>
  <c r="FU3" i="16" s="1"/>
  <c r="FY3" i="16" s="1"/>
  <c r="GC3" i="16" s="1"/>
  <c r="GG3" i="16" s="1"/>
  <c r="GK3" i="16" s="1"/>
  <c r="GO3" i="16" s="1"/>
  <c r="GS3" i="16" s="1"/>
  <c r="GW3" i="16" s="1"/>
  <c r="HA3" i="16" s="1"/>
  <c r="HE3" i="16" s="1"/>
  <c r="AS14" i="16"/>
  <c r="AS12" i="16"/>
  <c r="AS19" i="16"/>
  <c r="AS40" i="16"/>
  <c r="AR10" i="16"/>
  <c r="AS10" i="16" s="1"/>
  <c r="AT30" i="16"/>
  <c r="AS47" i="16"/>
  <c r="AT25" i="16"/>
  <c r="F32" i="17"/>
  <c r="AS16" i="16"/>
  <c r="AS28" i="16"/>
  <c r="AT35" i="16"/>
  <c r="AR35" i="16"/>
  <c r="AS35" i="16" s="1"/>
  <c r="AT6" i="16"/>
  <c r="AR25" i="16"/>
  <c r="AS25" i="16" s="1"/>
  <c r="AQ35" i="16"/>
  <c r="AT46" i="16"/>
  <c r="AR46" i="16"/>
  <c r="AS46" i="16" s="1"/>
  <c r="AQ46" i="16"/>
  <c r="AS18" i="16"/>
  <c r="AT24" i="16"/>
  <c r="AR41" i="16"/>
  <c r="AS41" i="16" s="1"/>
  <c r="AQ41" i="16"/>
  <c r="AT43" i="16"/>
  <c r="AQ43" i="16"/>
  <c r="AT48" i="16"/>
  <c r="AR48" i="16"/>
  <c r="AS48" i="16" s="1"/>
  <c r="AQ48" i="16"/>
  <c r="Y36" i="17"/>
  <c r="Y35" i="17"/>
  <c r="X35" i="17"/>
  <c r="AS11" i="16"/>
  <c r="AR27" i="16"/>
  <c r="AS27" i="16" s="1"/>
  <c r="AT36" i="16"/>
  <c r="B1" i="58"/>
  <c r="B1" i="56"/>
  <c r="B1" i="57"/>
  <c r="B1" i="55"/>
  <c r="B1" i="54"/>
  <c r="B1" i="53"/>
  <c r="B1" i="52"/>
  <c r="B1" i="51"/>
  <c r="B1" i="48"/>
  <c r="B1" i="50"/>
  <c r="B1" i="45"/>
  <c r="B1" i="47"/>
  <c r="B1" i="49"/>
  <c r="B1" i="46"/>
  <c r="B1" i="42"/>
  <c r="B1" i="44"/>
  <c r="B1" i="43"/>
  <c r="B1" i="41"/>
  <c r="B1" i="40"/>
  <c r="B1" i="39"/>
  <c r="B1" i="36"/>
  <c r="B1" i="38"/>
  <c r="B1" i="37"/>
  <c r="B1" i="35"/>
  <c r="B1" i="34"/>
  <c r="B1" i="33"/>
  <c r="B1" i="29"/>
  <c r="B1" i="32"/>
  <c r="B1" i="28"/>
  <c r="B1" i="31"/>
  <c r="B1" i="30"/>
  <c r="B1" i="25"/>
  <c r="B1" i="24"/>
  <c r="B1" i="27"/>
  <c r="B1" i="23"/>
  <c r="B1" i="20"/>
  <c r="B1" i="26"/>
  <c r="B1" i="19"/>
  <c r="B1" i="17"/>
  <c r="B1" i="18"/>
  <c r="B1" i="21"/>
  <c r="B1" i="22"/>
  <c r="AQ11" i="16"/>
  <c r="AT15" i="16"/>
  <c r="AQ36" i="16"/>
  <c r="AR8" i="16"/>
  <c r="AS8" i="16" s="1"/>
  <c r="AT11" i="16"/>
  <c r="AT27" i="16"/>
  <c r="AS31" i="16"/>
  <c r="AT32" i="16"/>
  <c r="AR32" i="16"/>
  <c r="AS32" i="16" s="1"/>
  <c r="AR36" i="16"/>
  <c r="AS36" i="16" s="1"/>
  <c r="AS45" i="16"/>
  <c r="AT23" i="16"/>
  <c r="AR23" i="16"/>
  <c r="AS23" i="16" s="1"/>
  <c r="AQ23" i="16"/>
  <c r="AQ32" i="16"/>
  <c r="AR33" i="16"/>
  <c r="AS33" i="16" s="1"/>
  <c r="AT33" i="16"/>
  <c r="AS17" i="16"/>
  <c r="AS29" i="16"/>
  <c r="AS30" i="16"/>
  <c r="AT47" i="16"/>
  <c r="AT42" i="16"/>
  <c r="C48" i="18"/>
  <c r="D48" i="18" s="1"/>
  <c r="E48" i="18" s="1"/>
  <c r="F48" i="18" s="1"/>
  <c r="G48" i="18" s="1"/>
  <c r="H48" i="18" s="1"/>
  <c r="I48" i="18" s="1"/>
  <c r="J48" i="18" s="1"/>
  <c r="K48" i="18" s="1"/>
  <c r="L48" i="18" s="1"/>
  <c r="M48" i="18" s="1"/>
  <c r="B48" i="19" s="1"/>
  <c r="N48" i="18"/>
  <c r="C43" i="18"/>
  <c r="D43" i="18" s="1"/>
  <c r="E43" i="18" s="1"/>
  <c r="F43" i="18" s="1"/>
  <c r="G43" i="18" s="1"/>
  <c r="H43" i="18" s="1"/>
  <c r="I43" i="18" s="1"/>
  <c r="J43" i="18" s="1"/>
  <c r="K43" i="18" s="1"/>
  <c r="L43" i="18" s="1"/>
  <c r="M43" i="18" s="1"/>
  <c r="B43" i="19" s="1"/>
  <c r="N43" i="18"/>
  <c r="AT34" i="16"/>
  <c r="AR34" i="16"/>
  <c r="AS34" i="16" s="1"/>
  <c r="C44" i="18"/>
  <c r="D44" i="18" s="1"/>
  <c r="E44" i="18" s="1"/>
  <c r="F44" i="18" s="1"/>
  <c r="G44" i="18" s="1"/>
  <c r="H44" i="18" s="1"/>
  <c r="I44" i="18" s="1"/>
  <c r="J44" i="18" s="1"/>
  <c r="K44" i="18" s="1"/>
  <c r="L44" i="18" s="1"/>
  <c r="M44" i="18" s="1"/>
  <c r="B44" i="19" s="1"/>
  <c r="Q126" i="16"/>
  <c r="R127" i="16" s="1"/>
  <c r="C45" i="18"/>
  <c r="D45" i="18" s="1"/>
  <c r="E45" i="18" s="1"/>
  <c r="F45" i="18" s="1"/>
  <c r="G45" i="18" s="1"/>
  <c r="H45" i="18" s="1"/>
  <c r="I45" i="18" s="1"/>
  <c r="J45" i="18" s="1"/>
  <c r="K45" i="18" s="1"/>
  <c r="L45" i="18" s="1"/>
  <c r="M45" i="18" s="1"/>
  <c r="B45" i="19" s="1"/>
  <c r="C50" i="18"/>
  <c r="D50" i="18" s="1"/>
  <c r="E50" i="18" s="1"/>
  <c r="F50" i="18" s="1"/>
  <c r="G50" i="18" s="1"/>
  <c r="H50" i="18" s="1"/>
  <c r="I50" i="18" s="1"/>
  <c r="J50" i="18" s="1"/>
  <c r="K50" i="18" s="1"/>
  <c r="L50" i="18" s="1"/>
  <c r="M50" i="18" s="1"/>
  <c r="B50" i="19" s="1"/>
  <c r="AT40" i="16"/>
  <c r="C46" i="18"/>
  <c r="D46" i="18" s="1"/>
  <c r="E46" i="18" s="1"/>
  <c r="F46" i="18" s="1"/>
  <c r="G46" i="18" s="1"/>
  <c r="H46" i="18" s="1"/>
  <c r="I46" i="18" s="1"/>
  <c r="J46" i="18" s="1"/>
  <c r="K46" i="18" s="1"/>
  <c r="L46" i="18" s="1"/>
  <c r="M46" i="18" s="1"/>
  <c r="B46" i="19" s="1"/>
  <c r="C51" i="18"/>
  <c r="D51" i="18" s="1"/>
  <c r="E51" i="18" s="1"/>
  <c r="F51" i="18" s="1"/>
  <c r="G51" i="18" s="1"/>
  <c r="H51" i="18" s="1"/>
  <c r="I51" i="18" s="1"/>
  <c r="J51" i="18" s="1"/>
  <c r="K51" i="18" s="1"/>
  <c r="L51" i="18" s="1"/>
  <c r="M51" i="18" s="1"/>
  <c r="B51" i="19" s="1"/>
  <c r="AR39" i="16"/>
  <c r="AS39" i="16" s="1"/>
  <c r="AR21" i="16"/>
  <c r="AS21" i="16" s="1"/>
  <c r="AR44" i="16"/>
  <c r="AS44" i="16" s="1"/>
  <c r="C47" i="18"/>
  <c r="D47" i="18" s="1"/>
  <c r="E47" i="18" s="1"/>
  <c r="F47" i="18" s="1"/>
  <c r="G47" i="18" s="1"/>
  <c r="H47" i="18" s="1"/>
  <c r="I47" i="18" s="1"/>
  <c r="J47" i="18" s="1"/>
  <c r="K47" i="18" s="1"/>
  <c r="L47" i="18" s="1"/>
  <c r="M47" i="18" s="1"/>
  <c r="B47" i="19" s="1"/>
  <c r="C4" i="17"/>
  <c r="C6" i="17" s="1"/>
  <c r="C25" i="17" s="1"/>
  <c r="C5" i="17"/>
  <c r="D5" i="17" s="1"/>
  <c r="N43" i="17"/>
  <c r="N44" i="17"/>
  <c r="N45" i="17"/>
  <c r="N5" i="57"/>
  <c r="N5" i="58"/>
  <c r="N5" i="56"/>
  <c r="N5" i="55"/>
  <c r="N5" i="54"/>
  <c r="N5" i="53"/>
  <c r="N5" i="52"/>
  <c r="N5" i="51"/>
  <c r="N5" i="50"/>
  <c r="N5" i="49"/>
  <c r="N5" i="48"/>
  <c r="N5" i="46"/>
  <c r="N5" i="45"/>
  <c r="N5" i="44"/>
  <c r="N5" i="43"/>
  <c r="N5" i="42"/>
  <c r="N5" i="39"/>
  <c r="N5" i="41"/>
  <c r="N5" i="40"/>
  <c r="N5" i="37"/>
  <c r="N5" i="36"/>
  <c r="N5" i="38"/>
  <c r="N5" i="35"/>
  <c r="N5" i="34"/>
  <c r="N5" i="30"/>
  <c r="N5" i="33"/>
  <c r="N5" i="29"/>
  <c r="N5" i="32"/>
  <c r="N5" i="28"/>
  <c r="N5" i="31"/>
  <c r="N5" i="27"/>
  <c r="N5" i="23"/>
  <c r="N5" i="26"/>
  <c r="N5" i="22"/>
  <c r="N5" i="25"/>
  <c r="N5" i="24"/>
  <c r="Q45" i="17"/>
  <c r="N46" i="17"/>
  <c r="N47" i="17"/>
  <c r="N48" i="17"/>
  <c r="N49" i="17"/>
  <c r="N5" i="19"/>
  <c r="D42" i="17"/>
  <c r="Q49" i="17"/>
  <c r="N50" i="17"/>
  <c r="N51" i="17"/>
  <c r="B6" i="17"/>
  <c r="B7" i="17" s="1"/>
  <c r="A14" i="18"/>
  <c r="Q52" i="17"/>
  <c r="N5" i="20"/>
  <c r="A14" i="17"/>
  <c r="N5" i="21"/>
  <c r="A15" i="25"/>
  <c r="A14" i="25"/>
  <c r="A15" i="22"/>
  <c r="A15" i="26"/>
  <c r="A55" i="33"/>
  <c r="A14" i="23"/>
  <c r="A55" i="25"/>
  <c r="A55" i="29"/>
  <c r="A14" i="24"/>
  <c r="A55" i="26"/>
  <c r="A55" i="28"/>
  <c r="A14" i="30"/>
  <c r="A55" i="32"/>
  <c r="A14" i="31"/>
  <c r="A14" i="28"/>
  <c r="A55" i="30"/>
  <c r="A55" i="31"/>
  <c r="A15" i="37"/>
  <c r="A55" i="35"/>
  <c r="A55" i="36"/>
  <c r="A14" i="35"/>
  <c r="A14" i="36"/>
  <c r="A15" i="36"/>
  <c r="A15" i="41"/>
  <c r="A14" i="41"/>
  <c r="A55" i="37"/>
  <c r="A14" i="39"/>
  <c r="A14" i="40"/>
  <c r="A55" i="39"/>
  <c r="A15" i="42"/>
  <c r="A14" i="42"/>
  <c r="A55" i="42"/>
  <c r="A15" i="48"/>
  <c r="A14" i="48"/>
  <c r="A55" i="43"/>
  <c r="A55" i="44"/>
  <c r="A55" i="45"/>
  <c r="A55" i="46"/>
  <c r="A15" i="47"/>
  <c r="A14" i="47"/>
  <c r="A14" i="45"/>
  <c r="A15" i="49"/>
  <c r="A15" i="51"/>
  <c r="A14" i="51"/>
  <c r="A55" i="48"/>
  <c r="A55" i="50"/>
  <c r="A55" i="49"/>
  <c r="A15" i="50"/>
  <c r="A14" i="50"/>
  <c r="A55" i="54"/>
  <c r="A14" i="52"/>
  <c r="A14" i="53"/>
  <c r="A55" i="55"/>
  <c r="A15" i="56"/>
  <c r="A55" i="57"/>
  <c r="A55" i="58"/>
  <c r="A15" i="57"/>
  <c r="C13" i="9" l="1"/>
  <c r="N51" i="18"/>
  <c r="N46" i="18"/>
  <c r="F11" i="2"/>
  <c r="C13" i="7"/>
  <c r="C13" i="5"/>
  <c r="C13" i="8"/>
  <c r="D20" i="4"/>
  <c r="C20" i="7"/>
  <c r="C24" i="8"/>
  <c r="C24" i="9"/>
  <c r="C27" i="6"/>
  <c r="C20" i="6"/>
  <c r="D27" i="4"/>
  <c r="C27" i="7"/>
  <c r="C20" i="8"/>
  <c r="C27" i="5"/>
  <c r="C20" i="5"/>
  <c r="C27" i="8"/>
  <c r="F3" i="2"/>
  <c r="B25" i="17"/>
  <c r="AA157" i="16"/>
  <c r="AA158" i="16" s="1"/>
  <c r="AA159" i="16" s="1"/>
  <c r="AA160" i="16" s="1"/>
  <c r="AA161" i="16" s="1"/>
  <c r="AA162" i="16" s="1"/>
  <c r="AA163" i="16" s="1"/>
  <c r="AA164" i="16" s="1"/>
  <c r="AA165" i="16" s="1"/>
  <c r="AA166" i="16" s="1"/>
  <c r="AA167" i="16" s="1"/>
  <c r="AA168" i="16" s="1"/>
  <c r="AA169" i="16" s="1"/>
  <c r="AA170" i="16" s="1"/>
  <c r="AA171" i="16" s="1"/>
  <c r="AA172" i="16" s="1"/>
  <c r="AA173" i="16" s="1"/>
  <c r="AA174" i="16" s="1"/>
  <c r="AA175" i="16" s="1"/>
  <c r="AA176" i="16" s="1"/>
  <c r="AA177" i="16" s="1"/>
  <c r="AA178" i="16" s="1"/>
  <c r="AA179" i="16" s="1"/>
  <c r="AA180" i="16" s="1"/>
  <c r="AA181" i="16" s="1"/>
  <c r="AA182" i="16" s="1"/>
  <c r="AA183" i="16" s="1"/>
  <c r="AA184" i="16" s="1"/>
  <c r="AA185" i="16" s="1"/>
  <c r="AA186" i="16" s="1"/>
  <c r="AA187" i="16" s="1"/>
  <c r="AA188" i="16" s="1"/>
  <c r="AA189" i="16" s="1"/>
  <c r="AA190" i="16" s="1"/>
  <c r="AA191" i="16" s="1"/>
  <c r="AA192" i="16" s="1"/>
  <c r="AA193" i="16" s="1"/>
  <c r="AA194" i="16" s="1"/>
  <c r="AA195" i="16" s="1"/>
  <c r="AA196" i="16" s="1"/>
  <c r="AA197" i="16" s="1"/>
  <c r="AA198" i="16" s="1"/>
  <c r="AA199" i="16" s="1"/>
  <c r="AA200" i="16" s="1"/>
  <c r="AA201" i="16" s="1"/>
  <c r="AA202" i="16" s="1"/>
  <c r="AA203" i="16" s="1"/>
  <c r="AA204" i="16" s="1"/>
  <c r="AA205" i="16" s="1"/>
  <c r="AA206" i="16" s="1"/>
  <c r="AA207" i="16" s="1"/>
  <c r="AA208" i="16" s="1"/>
  <c r="AA209" i="16" s="1"/>
  <c r="D5" i="4"/>
  <c r="C5" i="6"/>
  <c r="C5" i="9"/>
  <c r="C5" i="5"/>
  <c r="C6" i="6"/>
  <c r="C6" i="7"/>
  <c r="C6" i="8"/>
  <c r="C6" i="5"/>
  <c r="C6" i="9"/>
  <c r="C5" i="8"/>
  <c r="D4" i="17"/>
  <c r="A1" i="7"/>
  <c r="A1" i="8" s="1"/>
  <c r="A1" i="5"/>
  <c r="C33" i="7"/>
  <c r="D33" i="4"/>
  <c r="C9" i="7"/>
  <c r="C9" i="9"/>
  <c r="C43" i="9"/>
  <c r="C43" i="6"/>
  <c r="N43" i="6" s="1"/>
  <c r="C42" i="8"/>
  <c r="D42" i="4"/>
  <c r="C3" i="6"/>
  <c r="C42" i="6"/>
  <c r="D3" i="4"/>
  <c r="C42" i="7"/>
  <c r="C3" i="7"/>
  <c r="D43" i="4"/>
  <c r="C42" i="5"/>
  <c r="C3" i="5"/>
  <c r="C3" i="8"/>
  <c r="C43" i="5"/>
  <c r="C43" i="8"/>
  <c r="C10" i="8"/>
  <c r="D9" i="4"/>
  <c r="C10" i="5"/>
  <c r="C10" i="6"/>
  <c r="C9" i="5"/>
  <c r="C10" i="9"/>
  <c r="C9" i="8"/>
  <c r="C10" i="7"/>
  <c r="C38" i="7"/>
  <c r="C38" i="5"/>
  <c r="D38" i="4"/>
  <c r="C38" i="6"/>
  <c r="C38" i="8"/>
  <c r="C35" i="7"/>
  <c r="C21" i="6"/>
  <c r="C21" i="7"/>
  <c r="C35" i="5"/>
  <c r="D35" i="4"/>
  <c r="C35" i="8"/>
  <c r="C35" i="9"/>
  <c r="D12" i="4"/>
  <c r="C12" i="6"/>
  <c r="C12" i="8"/>
  <c r="D21" i="4"/>
  <c r="C12" i="9"/>
  <c r="C21" i="9"/>
  <c r="C28" i="8"/>
  <c r="C16" i="5"/>
  <c r="C12" i="7"/>
  <c r="C21" i="5"/>
  <c r="C28" i="7"/>
  <c r="C28" i="9"/>
  <c r="C25" i="8"/>
  <c r="C25" i="6"/>
  <c r="C25" i="7"/>
  <c r="D25" i="4"/>
  <c r="C25" i="5"/>
  <c r="C28" i="5"/>
  <c r="D28" i="4"/>
  <c r="C33" i="8"/>
  <c r="C33" i="9"/>
  <c r="C33" i="5"/>
  <c r="E14" i="14"/>
  <c r="E35" i="14"/>
  <c r="E31" i="14"/>
  <c r="E13" i="14"/>
  <c r="C22" i="7"/>
  <c r="C8" i="9"/>
  <c r="C22" i="6"/>
  <c r="D22" i="4"/>
  <c r="D16" i="4"/>
  <c r="C22" i="5"/>
  <c r="C16" i="6"/>
  <c r="C22" i="8"/>
  <c r="C16" i="8"/>
  <c r="C16" i="7"/>
  <c r="D8" i="4"/>
  <c r="C32" i="8"/>
  <c r="C32" i="7"/>
  <c r="C40" i="6"/>
  <c r="C32" i="6"/>
  <c r="D32" i="4"/>
  <c r="C32" i="5"/>
  <c r="C11" i="8"/>
  <c r="D11" i="4"/>
  <c r="C11" i="6"/>
  <c r="C11" i="7"/>
  <c r="C11" i="9"/>
  <c r="D14" i="4"/>
  <c r="C14" i="5"/>
  <c r="C14" i="6"/>
  <c r="C14" i="8"/>
  <c r="C14" i="9"/>
  <c r="D31" i="4"/>
  <c r="C8" i="6"/>
  <c r="C31" i="6"/>
  <c r="C31" i="7"/>
  <c r="C31" i="5"/>
  <c r="C31" i="8"/>
  <c r="C17" i="6"/>
  <c r="C17" i="9"/>
  <c r="C8" i="7"/>
  <c r="C8" i="8"/>
  <c r="C7" i="7"/>
  <c r="C17" i="8"/>
  <c r="C17" i="7"/>
  <c r="C17" i="5"/>
  <c r="C7" i="5"/>
  <c r="D26" i="4"/>
  <c r="C26" i="7"/>
  <c r="C26" i="5"/>
  <c r="C26" i="6"/>
  <c r="C26" i="8"/>
  <c r="C4" i="7"/>
  <c r="D37" i="4"/>
  <c r="C7" i="8"/>
  <c r="C30" i="6"/>
  <c r="D7" i="4"/>
  <c r="C30" i="5"/>
  <c r="C7" i="6"/>
  <c r="C30" i="9"/>
  <c r="C4" i="5"/>
  <c r="C4" i="9"/>
  <c r="C37" i="7"/>
  <c r="C37" i="8"/>
  <c r="C30" i="8"/>
  <c r="D4" i="4"/>
  <c r="C30" i="7"/>
  <c r="C37" i="5"/>
  <c r="C37" i="9"/>
  <c r="C4" i="6"/>
  <c r="W154" i="16"/>
  <c r="D39" i="4"/>
  <c r="C39" i="6"/>
  <c r="C39" i="7"/>
  <c r="C39" i="5"/>
  <c r="C39" i="8"/>
  <c r="C18" i="6"/>
  <c r="C18" i="7"/>
  <c r="C18" i="8"/>
  <c r="C18" i="5"/>
  <c r="C18" i="9"/>
  <c r="C40" i="8"/>
  <c r="D40" i="4"/>
  <c r="C40" i="5"/>
  <c r="C40" i="7"/>
  <c r="C23" i="5"/>
  <c r="D23" i="4"/>
  <c r="C23" i="6"/>
  <c r="C23" i="8"/>
  <c r="C23" i="7"/>
  <c r="C15" i="6"/>
  <c r="D15" i="4"/>
  <c r="C15" i="7"/>
  <c r="C15" i="5"/>
  <c r="C15" i="9"/>
  <c r="D6" i="17"/>
  <c r="E4" i="17"/>
  <c r="C45" i="19"/>
  <c r="D45" i="19" s="1"/>
  <c r="E45" i="19" s="1"/>
  <c r="F45" i="19" s="1"/>
  <c r="G45" i="19" s="1"/>
  <c r="H45" i="19" s="1"/>
  <c r="I45" i="19" s="1"/>
  <c r="J45" i="19" s="1"/>
  <c r="K45" i="19" s="1"/>
  <c r="L45" i="19" s="1"/>
  <c r="M45" i="19" s="1"/>
  <c r="B45" i="20" s="1"/>
  <c r="AX42" i="16"/>
  <c r="AU42" i="16"/>
  <c r="AV42" i="16"/>
  <c r="AW42" i="16" s="1"/>
  <c r="AV15" i="16"/>
  <c r="AW15" i="16" s="1"/>
  <c r="AX15" i="16"/>
  <c r="AU15" i="16"/>
  <c r="AU37" i="16"/>
  <c r="AX37" i="16"/>
  <c r="AV37" i="16"/>
  <c r="AW37" i="16" s="1"/>
  <c r="AU13" i="16"/>
  <c r="AX13" i="16"/>
  <c r="AV13" i="16"/>
  <c r="AW13" i="16" s="1"/>
  <c r="E38" i="14"/>
  <c r="E39" i="14" s="1"/>
  <c r="E40" i="14" s="1"/>
  <c r="E41" i="14" s="1"/>
  <c r="E42" i="14" s="1"/>
  <c r="E43" i="14" s="1"/>
  <c r="E44" i="14" s="1"/>
  <c r="E45" i="14" s="1"/>
  <c r="E46" i="14" s="1"/>
  <c r="E47" i="14" s="1"/>
  <c r="D17" i="1"/>
  <c r="AV25" i="16"/>
  <c r="AW25" i="16" s="1"/>
  <c r="AX25" i="16"/>
  <c r="AU25" i="16"/>
  <c r="AX16" i="16"/>
  <c r="AV16" i="16"/>
  <c r="AW16" i="16" s="1"/>
  <c r="AU16" i="16"/>
  <c r="E12" i="2"/>
  <c r="D12" i="2"/>
  <c r="C13" i="2"/>
  <c r="H12" i="2"/>
  <c r="I12" i="2" s="1"/>
  <c r="AX46" i="16"/>
  <c r="AV46" i="16"/>
  <c r="AW46" i="16" s="1"/>
  <c r="AU46" i="16"/>
  <c r="B15" i="17"/>
  <c r="B9" i="17"/>
  <c r="B8" i="17"/>
  <c r="B13" i="17"/>
  <c r="B21" i="17"/>
  <c r="B20" i="17"/>
  <c r="B19" i="17"/>
  <c r="B12" i="17"/>
  <c r="B30" i="17"/>
  <c r="B31" i="17" s="1"/>
  <c r="B18" i="17"/>
  <c r="C18" i="17" s="1"/>
  <c r="B11" i="17"/>
  <c r="B17" i="17"/>
  <c r="B10" i="17"/>
  <c r="B16" i="17"/>
  <c r="AV7" i="16"/>
  <c r="AW7" i="16" s="1"/>
  <c r="AU7" i="16"/>
  <c r="AX7" i="16"/>
  <c r="AU19" i="16"/>
  <c r="AX19" i="16"/>
  <c r="AV19" i="16"/>
  <c r="AW19" i="16" s="1"/>
  <c r="AX31" i="16"/>
  <c r="AV31" i="16"/>
  <c r="AW31" i="16" s="1"/>
  <c r="AU31" i="16"/>
  <c r="AX10" i="16"/>
  <c r="AV10" i="16"/>
  <c r="AW10" i="16" s="1"/>
  <c r="AU10" i="16"/>
  <c r="N44" i="18"/>
  <c r="S127" i="16"/>
  <c r="AU30" i="16"/>
  <c r="AX30" i="16"/>
  <c r="AV30" i="16"/>
  <c r="AW30" i="16" s="1"/>
  <c r="E65" i="14"/>
  <c r="E70" i="14"/>
  <c r="E63" i="14"/>
  <c r="E68" i="14"/>
  <c r="E66" i="14"/>
  <c r="E71" i="14"/>
  <c r="E64" i="14"/>
  <c r="E69" i="14"/>
  <c r="E67" i="14"/>
  <c r="E72" i="14"/>
  <c r="AX28" i="16"/>
  <c r="AV28" i="16"/>
  <c r="AW28" i="16" s="1"/>
  <c r="AU28" i="16"/>
  <c r="E53" i="14"/>
  <c r="E58" i="14"/>
  <c r="E51" i="14"/>
  <c r="E56" i="14"/>
  <c r="E61" i="14"/>
  <c r="E54" i="14"/>
  <c r="E59" i="14"/>
  <c r="E52" i="14"/>
  <c r="E57" i="14"/>
  <c r="E62" i="14"/>
  <c r="E55" i="14"/>
  <c r="E60" i="14"/>
  <c r="AU20" i="16"/>
  <c r="AX20" i="16"/>
  <c r="AV20" i="16"/>
  <c r="AW20" i="16" s="1"/>
  <c r="C44" i="19"/>
  <c r="D44" i="19" s="1"/>
  <c r="E44" i="19" s="1"/>
  <c r="F44" i="19" s="1"/>
  <c r="G44" i="19" s="1"/>
  <c r="H44" i="19" s="1"/>
  <c r="I44" i="19" s="1"/>
  <c r="J44" i="19" s="1"/>
  <c r="K44" i="19" s="1"/>
  <c r="L44" i="19" s="1"/>
  <c r="M44" i="19" s="1"/>
  <c r="B44" i="20" s="1"/>
  <c r="AV47" i="16"/>
  <c r="AW47" i="16" s="1"/>
  <c r="AU47" i="16"/>
  <c r="AX47" i="16"/>
  <c r="O1" i="12"/>
  <c r="P1" i="6"/>
  <c r="S1" i="8"/>
  <c r="P1" i="9"/>
  <c r="P1" i="4"/>
  <c r="Q1" i="3"/>
  <c r="AV48" i="16"/>
  <c r="AW48" i="16" s="1"/>
  <c r="AX48" i="16"/>
  <c r="AU48" i="16"/>
  <c r="AV6" i="16"/>
  <c r="AW6" i="16" s="1"/>
  <c r="AU6" i="16"/>
  <c r="AX6" i="16"/>
  <c r="AV22" i="16"/>
  <c r="AW22" i="16" s="1"/>
  <c r="AX22" i="16"/>
  <c r="AU22" i="16"/>
  <c r="AX23" i="16"/>
  <c r="AV23" i="16"/>
  <c r="AW23" i="16" s="1"/>
  <c r="AU23" i="16"/>
  <c r="E5" i="17"/>
  <c r="F5" i="17" s="1"/>
  <c r="C51" i="19"/>
  <c r="D51" i="19" s="1"/>
  <c r="E51" i="19" s="1"/>
  <c r="F51" i="19" s="1"/>
  <c r="G51" i="19" s="1"/>
  <c r="H51" i="19" s="1"/>
  <c r="I51" i="19" s="1"/>
  <c r="J51" i="19" s="1"/>
  <c r="K51" i="19" s="1"/>
  <c r="L51" i="19" s="1"/>
  <c r="M51" i="19" s="1"/>
  <c r="B51" i="20" s="1"/>
  <c r="AX17" i="16"/>
  <c r="AV17" i="16"/>
  <c r="AW17" i="16" s="1"/>
  <c r="AU17" i="16"/>
  <c r="AU12" i="16"/>
  <c r="AX12" i="16"/>
  <c r="AV12" i="16"/>
  <c r="AW12" i="16" s="1"/>
  <c r="AV32" i="16"/>
  <c r="AW32" i="16" s="1"/>
  <c r="AU32" i="16"/>
  <c r="AX32" i="16"/>
  <c r="AU43" i="16"/>
  <c r="AV43" i="16"/>
  <c r="AW43" i="16" s="1"/>
  <c r="AX43" i="16"/>
  <c r="AX5" i="16"/>
  <c r="AV5" i="16"/>
  <c r="AW5" i="16" s="1"/>
  <c r="AU5" i="16"/>
  <c r="AX8" i="16"/>
  <c r="AV8" i="16"/>
  <c r="AW8" i="16" s="1"/>
  <c r="AU8" i="16"/>
  <c r="AU39" i="16"/>
  <c r="AX39" i="16"/>
  <c r="AV39" i="16"/>
  <c r="AW39" i="16" s="1"/>
  <c r="D52" i="17"/>
  <c r="E42" i="17"/>
  <c r="C46" i="19"/>
  <c r="D46" i="19" s="1"/>
  <c r="E46" i="19" s="1"/>
  <c r="F46" i="19" s="1"/>
  <c r="G46" i="19" s="1"/>
  <c r="H46" i="19" s="1"/>
  <c r="I46" i="19" s="1"/>
  <c r="J46" i="19" s="1"/>
  <c r="K46" i="19" s="1"/>
  <c r="L46" i="19" s="1"/>
  <c r="M46" i="19" s="1"/>
  <c r="B46" i="20" s="1"/>
  <c r="AX34" i="16"/>
  <c r="AV34" i="16"/>
  <c r="AW34" i="16" s="1"/>
  <c r="AU34" i="16"/>
  <c r="AX35" i="16"/>
  <c r="AV35" i="16"/>
  <c r="AW35" i="16" s="1"/>
  <c r="AU35" i="16"/>
  <c r="N49" i="18"/>
  <c r="AX29" i="16"/>
  <c r="AV29" i="16"/>
  <c r="AW29" i="16" s="1"/>
  <c r="AU29" i="16"/>
  <c r="AU41" i="16"/>
  <c r="AX41" i="16"/>
  <c r="AV41" i="16"/>
  <c r="AW41" i="16" s="1"/>
  <c r="C47" i="19"/>
  <c r="D47" i="19" s="1"/>
  <c r="E47" i="19" s="1"/>
  <c r="F47" i="19" s="1"/>
  <c r="G47" i="19" s="1"/>
  <c r="H47" i="19" s="1"/>
  <c r="I47" i="19" s="1"/>
  <c r="J47" i="19" s="1"/>
  <c r="K47" i="19" s="1"/>
  <c r="L47" i="19" s="1"/>
  <c r="M47" i="19" s="1"/>
  <c r="B47" i="20" s="1"/>
  <c r="N47" i="19"/>
  <c r="AX40" i="16"/>
  <c r="AU40" i="16"/>
  <c r="AV40" i="16"/>
  <c r="AW40" i="16" s="1"/>
  <c r="AV33" i="16"/>
  <c r="AW33" i="16" s="1"/>
  <c r="AX33" i="16"/>
  <c r="AU33" i="16"/>
  <c r="AX27" i="16"/>
  <c r="AV27" i="16"/>
  <c r="AW27" i="16" s="1"/>
  <c r="AU27" i="16"/>
  <c r="AV36" i="16"/>
  <c r="AW36" i="16" s="1"/>
  <c r="AU36" i="16"/>
  <c r="AX36" i="16"/>
  <c r="C49" i="19"/>
  <c r="D49" i="19" s="1"/>
  <c r="E49" i="19" s="1"/>
  <c r="F49" i="19" s="1"/>
  <c r="G49" i="19" s="1"/>
  <c r="H49" i="19" s="1"/>
  <c r="I49" i="19" s="1"/>
  <c r="J49" i="19" s="1"/>
  <c r="K49" i="19" s="1"/>
  <c r="L49" i="19" s="1"/>
  <c r="M49" i="19" s="1"/>
  <c r="B49" i="20" s="1"/>
  <c r="AX9" i="16"/>
  <c r="AV9" i="16"/>
  <c r="AW9" i="16" s="1"/>
  <c r="AU9" i="16"/>
  <c r="AU18" i="16"/>
  <c r="AX18" i="16"/>
  <c r="AV18" i="16"/>
  <c r="AW18" i="16" s="1"/>
  <c r="B4" i="2"/>
  <c r="C4" i="1"/>
  <c r="L9" i="1"/>
  <c r="P14" i="1"/>
  <c r="S5" i="2"/>
  <c r="Q30" i="17" s="1"/>
  <c r="N47" i="18"/>
  <c r="N50" i="18"/>
  <c r="C43" i="19"/>
  <c r="D43" i="19" s="1"/>
  <c r="E43" i="19" s="1"/>
  <c r="F43" i="19" s="1"/>
  <c r="G43" i="19" s="1"/>
  <c r="H43" i="19" s="1"/>
  <c r="I43" i="19" s="1"/>
  <c r="J43" i="19" s="1"/>
  <c r="K43" i="19" s="1"/>
  <c r="L43" i="19" s="1"/>
  <c r="M43" i="19" s="1"/>
  <c r="B43" i="20" s="1"/>
  <c r="AU11" i="16"/>
  <c r="AV11" i="16"/>
  <c r="AW11" i="16" s="1"/>
  <c r="AX11" i="16"/>
  <c r="AX24" i="16"/>
  <c r="AV24" i="16"/>
  <c r="AW24" i="16" s="1"/>
  <c r="AU24" i="16"/>
  <c r="AX14" i="16"/>
  <c r="AV14" i="16"/>
  <c r="AW14" i="16" s="1"/>
  <c r="AU14" i="16"/>
  <c r="AV21" i="16"/>
  <c r="AW21" i="16" s="1"/>
  <c r="AU21" i="16"/>
  <c r="AX21" i="16"/>
  <c r="F50" i="14"/>
  <c r="G4" i="14"/>
  <c r="Q35" i="1"/>
  <c r="N33" i="1" s="1"/>
  <c r="R29" i="1" s="1"/>
  <c r="R30" i="1" s="1"/>
  <c r="O21" i="1"/>
  <c r="N14" i="1" s="1"/>
  <c r="C8" i="17"/>
  <c r="D155" i="16"/>
  <c r="P155" i="16" s="1"/>
  <c r="C14" i="17"/>
  <c r="C13" i="17"/>
  <c r="C24" i="17"/>
  <c r="C23" i="17"/>
  <c r="C21" i="17"/>
  <c r="C20" i="17"/>
  <c r="C19" i="17"/>
  <c r="C12" i="17"/>
  <c r="C30" i="17"/>
  <c r="C31" i="17" s="1"/>
  <c r="E152" i="16" s="1"/>
  <c r="C11" i="17"/>
  <c r="C39" i="17"/>
  <c r="C38" i="17"/>
  <c r="C17" i="17"/>
  <c r="C10" i="17"/>
  <c r="C16" i="17"/>
  <c r="C15" i="17"/>
  <c r="C9" i="17"/>
  <c r="C50" i="19"/>
  <c r="D50" i="19" s="1"/>
  <c r="E50" i="19" s="1"/>
  <c r="F50" i="19" s="1"/>
  <c r="G50" i="19" s="1"/>
  <c r="H50" i="19" s="1"/>
  <c r="I50" i="19" s="1"/>
  <c r="J50" i="19" s="1"/>
  <c r="K50" i="19" s="1"/>
  <c r="L50" i="19" s="1"/>
  <c r="M50" i="19" s="1"/>
  <c r="B50" i="20" s="1"/>
  <c r="N50" i="19"/>
  <c r="AV26" i="16"/>
  <c r="AW26" i="16" s="1"/>
  <c r="AX26" i="16"/>
  <c r="AU26" i="16"/>
  <c r="AU45" i="16"/>
  <c r="AV45" i="16"/>
  <c r="AW45" i="16" s="1"/>
  <c r="AX45" i="16"/>
  <c r="E86" i="14"/>
  <c r="E87" i="14"/>
  <c r="E77" i="14"/>
  <c r="E75" i="14"/>
  <c r="E73" i="14"/>
  <c r="E85" i="14"/>
  <c r="E84" i="14"/>
  <c r="E83" i="14"/>
  <c r="E82" i="14"/>
  <c r="E93" i="14"/>
  <c r="E92" i="14"/>
  <c r="E91" i="14"/>
  <c r="E90" i="14"/>
  <c r="E89" i="14"/>
  <c r="E88" i="14"/>
  <c r="E81" i="14"/>
  <c r="E80" i="14"/>
  <c r="E79" i="14"/>
  <c r="E78" i="14"/>
  <c r="E76" i="14"/>
  <c r="E74" i="14"/>
  <c r="N8" i="1"/>
  <c r="B10" i="1"/>
  <c r="O23" i="1" s="1"/>
  <c r="X154" i="16"/>
  <c r="N45" i="18"/>
  <c r="C48" i="19"/>
  <c r="D48" i="19" s="1"/>
  <c r="E48" i="19" s="1"/>
  <c r="F48" i="19" s="1"/>
  <c r="G48" i="19" s="1"/>
  <c r="H48" i="19" s="1"/>
  <c r="I48" i="19" s="1"/>
  <c r="J48" i="19" s="1"/>
  <c r="K48" i="19" s="1"/>
  <c r="L48" i="19" s="1"/>
  <c r="M48" i="19" s="1"/>
  <c r="B48" i="20" s="1"/>
  <c r="N48" i="19"/>
  <c r="G32" i="17"/>
  <c r="AV44" i="16"/>
  <c r="AW44" i="16" s="1"/>
  <c r="AX44" i="16"/>
  <c r="AU44" i="16"/>
  <c r="AX38" i="16"/>
  <c r="AV38" i="16"/>
  <c r="AW38" i="16" s="1"/>
  <c r="AU38" i="16"/>
  <c r="H3" i="6"/>
  <c r="G3" i="6"/>
  <c r="F3" i="6"/>
  <c r="F3" i="14"/>
  <c r="O22" i="1" l="1"/>
  <c r="Q14" i="1" s="1"/>
  <c r="Q15" i="1" s="1"/>
  <c r="Q16" i="1" s="1"/>
  <c r="N44" i="19"/>
  <c r="D21" i="17"/>
  <c r="E151" i="16" s="1"/>
  <c r="D25" i="17"/>
  <c r="A1" i="9"/>
  <c r="X155" i="16"/>
  <c r="X156" i="16" s="1"/>
  <c r="X157" i="16" s="1"/>
  <c r="X158" i="16" s="1"/>
  <c r="X159" i="16" s="1"/>
  <c r="X160" i="16" s="1"/>
  <c r="X161" i="16" s="1"/>
  <c r="X162" i="16" s="1"/>
  <c r="X163" i="16" s="1"/>
  <c r="X164" i="16" s="1"/>
  <c r="X165" i="16" s="1"/>
  <c r="X166" i="16" s="1"/>
  <c r="X167" i="16" s="1"/>
  <c r="X168" i="16" s="1"/>
  <c r="X169" i="16" s="1"/>
  <c r="X170" i="16" s="1"/>
  <c r="X171" i="16" s="1"/>
  <c r="X172" i="16" s="1"/>
  <c r="X173" i="16" s="1"/>
  <c r="X174" i="16" s="1"/>
  <c r="X175" i="16" s="1"/>
  <c r="X176" i="16" s="1"/>
  <c r="X177" i="16" s="1"/>
  <c r="X178" i="16" s="1"/>
  <c r="X179" i="16" s="1"/>
  <c r="X180" i="16" s="1"/>
  <c r="X181" i="16" s="1"/>
  <c r="X182" i="16" s="1"/>
  <c r="X183" i="16" s="1"/>
  <c r="X184" i="16" s="1"/>
  <c r="X185" i="16" s="1"/>
  <c r="X186" i="16" s="1"/>
  <c r="X187" i="16" s="1"/>
  <c r="X188" i="16" s="1"/>
  <c r="X189" i="16" s="1"/>
  <c r="X190" i="16" s="1"/>
  <c r="X191" i="16" s="1"/>
  <c r="X192" i="16" s="1"/>
  <c r="X193" i="16" s="1"/>
  <c r="X194" i="16" s="1"/>
  <c r="X195" i="16" s="1"/>
  <c r="X196" i="16" s="1"/>
  <c r="X197" i="16" s="1"/>
  <c r="X198" i="16" s="1"/>
  <c r="X199" i="16" s="1"/>
  <c r="X200" i="16" s="1"/>
  <c r="X201" i="16" s="1"/>
  <c r="X202" i="16" s="1"/>
  <c r="X203" i="16" s="1"/>
  <c r="X204" i="16" s="1"/>
  <c r="X205" i="16" s="1"/>
  <c r="X206" i="16" s="1"/>
  <c r="X207" i="16" s="1"/>
  <c r="X208" i="16" s="1"/>
  <c r="X209" i="16" s="1"/>
  <c r="C26" i="17"/>
  <c r="Y155" i="16"/>
  <c r="Y156" i="16" s="1"/>
  <c r="Y157" i="16" s="1"/>
  <c r="Y158" i="16" s="1"/>
  <c r="Y159" i="16" s="1"/>
  <c r="Y160" i="16" s="1"/>
  <c r="Y161" i="16" s="1"/>
  <c r="Y162" i="16" s="1"/>
  <c r="Y163" i="16" s="1"/>
  <c r="Y164" i="16" s="1"/>
  <c r="Y165" i="16" s="1"/>
  <c r="Y166" i="16" s="1"/>
  <c r="Y167" i="16" s="1"/>
  <c r="Y168" i="16" s="1"/>
  <c r="Y169" i="16" s="1"/>
  <c r="Y170" i="16" s="1"/>
  <c r="Y171" i="16" s="1"/>
  <c r="Y172" i="16" s="1"/>
  <c r="Y173" i="16" s="1"/>
  <c r="Y174" i="16" s="1"/>
  <c r="Y175" i="16" s="1"/>
  <c r="Y176" i="16" s="1"/>
  <c r="Y177" i="16" s="1"/>
  <c r="Y178" i="16" s="1"/>
  <c r="Y179" i="16" s="1"/>
  <c r="Y180" i="16" s="1"/>
  <c r="Y181" i="16" s="1"/>
  <c r="Y182" i="16" s="1"/>
  <c r="Y183" i="16" s="1"/>
  <c r="Y184" i="16" s="1"/>
  <c r="Y185" i="16" s="1"/>
  <c r="Y186" i="16" s="1"/>
  <c r="Y187" i="16" s="1"/>
  <c r="Y188" i="16" s="1"/>
  <c r="Y189" i="16" s="1"/>
  <c r="Y190" i="16" s="1"/>
  <c r="Y191" i="16" s="1"/>
  <c r="Y192" i="16" s="1"/>
  <c r="Y193" i="16" s="1"/>
  <c r="Y194" i="16" s="1"/>
  <c r="Y195" i="16" s="1"/>
  <c r="Y196" i="16" s="1"/>
  <c r="Y197" i="16" s="1"/>
  <c r="Y198" i="16" s="1"/>
  <c r="Y199" i="16" s="1"/>
  <c r="Y200" i="16" s="1"/>
  <c r="Y201" i="16" s="1"/>
  <c r="Y202" i="16" s="1"/>
  <c r="Y203" i="16" s="1"/>
  <c r="Y204" i="16" s="1"/>
  <c r="Y205" i="16" s="1"/>
  <c r="Y206" i="16" s="1"/>
  <c r="Y207" i="16" s="1"/>
  <c r="Y208" i="16" s="1"/>
  <c r="Y209" i="16" s="1"/>
  <c r="F7" i="14"/>
  <c r="F6" i="14"/>
  <c r="F5" i="14"/>
  <c r="F14" i="14"/>
  <c r="F31" i="14"/>
  <c r="F35" i="14"/>
  <c r="L6" i="4"/>
  <c r="F13" i="14"/>
  <c r="F8" i="14"/>
  <c r="F37" i="14"/>
  <c r="F29" i="14"/>
  <c r="F9" i="14"/>
  <c r="F11" i="14"/>
  <c r="F34" i="14"/>
  <c r="F15" i="14"/>
  <c r="F10" i="14"/>
  <c r="F33" i="14"/>
  <c r="M5" i="4"/>
  <c r="F16" i="14"/>
  <c r="F19" i="14"/>
  <c r="F30" i="14"/>
  <c r="F23" i="14"/>
  <c r="F21" i="14"/>
  <c r="F25" i="14"/>
  <c r="F24" i="14"/>
  <c r="F20" i="14"/>
  <c r="F28" i="14"/>
  <c r="F22" i="14"/>
  <c r="F17" i="14"/>
  <c r="F18" i="14"/>
  <c r="F36" i="14"/>
  <c r="F26" i="14"/>
  <c r="F12" i="14"/>
  <c r="F32" i="14"/>
  <c r="F27" i="14"/>
  <c r="AZ34" i="16"/>
  <c r="BA34" i="16" s="1"/>
  <c r="BB34" i="16"/>
  <c r="AY34" i="16"/>
  <c r="BB38" i="16"/>
  <c r="AZ38" i="16"/>
  <c r="BA38" i="16" s="1"/>
  <c r="AY38" i="16"/>
  <c r="N43" i="19"/>
  <c r="AZ29" i="16"/>
  <c r="BA29" i="16" s="1"/>
  <c r="BB29" i="16"/>
  <c r="AY29" i="16"/>
  <c r="N46" i="19"/>
  <c r="BB12" i="16"/>
  <c r="AZ12" i="16"/>
  <c r="BA12" i="16" s="1"/>
  <c r="AY12" i="16"/>
  <c r="AY6" i="16"/>
  <c r="BB6" i="16"/>
  <c r="AZ6" i="16"/>
  <c r="BA6" i="16" s="1"/>
  <c r="C43" i="20"/>
  <c r="D43" i="20" s="1"/>
  <c r="E43" i="20" s="1"/>
  <c r="F43" i="20" s="1"/>
  <c r="G43" i="20" s="1"/>
  <c r="H43" i="20" s="1"/>
  <c r="I43" i="20" s="1"/>
  <c r="J43" i="20" s="1"/>
  <c r="K43" i="20" s="1"/>
  <c r="L43" i="20" s="1"/>
  <c r="M43" i="20" s="1"/>
  <c r="B43" i="21" s="1"/>
  <c r="AZ40" i="16"/>
  <c r="BA40" i="16" s="1"/>
  <c r="BB40" i="16"/>
  <c r="AY40" i="16"/>
  <c r="C46" i="20"/>
  <c r="D46" i="20" s="1"/>
  <c r="E46" i="20" s="1"/>
  <c r="F46" i="20" s="1"/>
  <c r="G46" i="20" s="1"/>
  <c r="H46" i="20" s="1"/>
  <c r="I46" i="20" s="1"/>
  <c r="J46" i="20" s="1"/>
  <c r="K46" i="20" s="1"/>
  <c r="L46" i="20" s="1"/>
  <c r="M46" i="20" s="1"/>
  <c r="B46" i="21" s="1"/>
  <c r="N46" i="20"/>
  <c r="BB39" i="16"/>
  <c r="AZ39" i="16"/>
  <c r="BA39" i="16" s="1"/>
  <c r="AY39" i="16"/>
  <c r="Q1" i="5"/>
  <c r="Q1" i="7"/>
  <c r="BB20" i="16"/>
  <c r="AZ20" i="16"/>
  <c r="BA20" i="16" s="1"/>
  <c r="AY20" i="16"/>
  <c r="AZ7" i="16"/>
  <c r="BA7" i="16" s="1"/>
  <c r="BB7" i="16"/>
  <c r="AY7" i="16"/>
  <c r="BB46" i="16"/>
  <c r="AY46" i="16"/>
  <c r="AZ46" i="16"/>
  <c r="BA46" i="16" s="1"/>
  <c r="BB25" i="16"/>
  <c r="AZ25" i="16"/>
  <c r="BA25" i="16" s="1"/>
  <c r="AY25" i="16"/>
  <c r="E52" i="17"/>
  <c r="F42" i="17"/>
  <c r="BB28" i="16"/>
  <c r="AZ28" i="16"/>
  <c r="BA28" i="16" s="1"/>
  <c r="AY28" i="16"/>
  <c r="BB13" i="16"/>
  <c r="AZ13" i="16"/>
  <c r="BA13" i="16" s="1"/>
  <c r="AY13" i="16"/>
  <c r="C50" i="20"/>
  <c r="D50" i="20" s="1"/>
  <c r="E50" i="20" s="1"/>
  <c r="F50" i="20" s="1"/>
  <c r="G50" i="20" s="1"/>
  <c r="H50" i="20" s="1"/>
  <c r="I50" i="20" s="1"/>
  <c r="J50" i="20" s="1"/>
  <c r="K50" i="20" s="1"/>
  <c r="L50" i="20" s="1"/>
  <c r="M50" i="20" s="1"/>
  <c r="B50" i="21" s="1"/>
  <c r="C47" i="20"/>
  <c r="D47" i="20" s="1"/>
  <c r="E47" i="20" s="1"/>
  <c r="F47" i="20" s="1"/>
  <c r="G47" i="20" s="1"/>
  <c r="H47" i="20" s="1"/>
  <c r="I47" i="20" s="1"/>
  <c r="J47" i="20" s="1"/>
  <c r="K47" i="20" s="1"/>
  <c r="L47" i="20" s="1"/>
  <c r="M47" i="20" s="1"/>
  <c r="B47" i="21" s="1"/>
  <c r="N47" i="20"/>
  <c r="C44" i="20"/>
  <c r="D44" i="20" s="1"/>
  <c r="E44" i="20" s="1"/>
  <c r="F44" i="20" s="1"/>
  <c r="G44" i="20" s="1"/>
  <c r="H44" i="20" s="1"/>
  <c r="I44" i="20" s="1"/>
  <c r="J44" i="20" s="1"/>
  <c r="K44" i="20" s="1"/>
  <c r="L44" i="20" s="1"/>
  <c r="M44" i="20" s="1"/>
  <c r="B44" i="21" s="1"/>
  <c r="AZ30" i="16"/>
  <c r="BA30" i="16" s="1"/>
  <c r="BB30" i="16"/>
  <c r="AY30" i="16"/>
  <c r="W155" i="16"/>
  <c r="W156" i="16" s="1"/>
  <c r="W157" i="16" s="1"/>
  <c r="W158" i="16" s="1"/>
  <c r="W159" i="16" s="1"/>
  <c r="W160" i="16" s="1"/>
  <c r="W161" i="16" s="1"/>
  <c r="W162" i="16" s="1"/>
  <c r="W163" i="16" s="1"/>
  <c r="W164" i="16" s="1"/>
  <c r="W165" i="16" s="1"/>
  <c r="W166" i="16" s="1"/>
  <c r="W167" i="16" s="1"/>
  <c r="W168" i="16" s="1"/>
  <c r="W169" i="16" s="1"/>
  <c r="W170" i="16" s="1"/>
  <c r="W171" i="16" s="1"/>
  <c r="W172" i="16" s="1"/>
  <c r="W173" i="16" s="1"/>
  <c r="W174" i="16" s="1"/>
  <c r="W175" i="16" s="1"/>
  <c r="W176" i="16" s="1"/>
  <c r="W177" i="16" s="1"/>
  <c r="W178" i="16" s="1"/>
  <c r="W179" i="16" s="1"/>
  <c r="W180" i="16" s="1"/>
  <c r="W181" i="16" s="1"/>
  <c r="W182" i="16" s="1"/>
  <c r="W183" i="16" s="1"/>
  <c r="W184" i="16" s="1"/>
  <c r="W185" i="16" s="1"/>
  <c r="W186" i="16" s="1"/>
  <c r="W187" i="16" s="1"/>
  <c r="W188" i="16" s="1"/>
  <c r="W189" i="16" s="1"/>
  <c r="W190" i="16" s="1"/>
  <c r="W191" i="16" s="1"/>
  <c r="W192" i="16" s="1"/>
  <c r="W193" i="16" s="1"/>
  <c r="W194" i="16" s="1"/>
  <c r="W195" i="16" s="1"/>
  <c r="W196" i="16" s="1"/>
  <c r="W197" i="16" s="1"/>
  <c r="W198" i="16" s="1"/>
  <c r="W199" i="16" s="1"/>
  <c r="W200" i="16" s="1"/>
  <c r="W201" i="16" s="1"/>
  <c r="W202" i="16" s="1"/>
  <c r="W203" i="16" s="1"/>
  <c r="W204" i="16" s="1"/>
  <c r="W205" i="16" s="1"/>
  <c r="W206" i="16" s="1"/>
  <c r="W207" i="16" s="1"/>
  <c r="W208" i="16" s="1"/>
  <c r="W209" i="16" s="1"/>
  <c r="BB42" i="16"/>
  <c r="AZ42" i="16"/>
  <c r="BA42" i="16" s="1"/>
  <c r="AY42" i="16"/>
  <c r="AY35" i="16"/>
  <c r="BB35" i="16"/>
  <c r="AZ35" i="16"/>
  <c r="BA35" i="16" s="1"/>
  <c r="BB32" i="16"/>
  <c r="AZ32" i="16"/>
  <c r="BA32" i="16" s="1"/>
  <c r="AY32" i="16"/>
  <c r="AZ17" i="16"/>
  <c r="BA17" i="16" s="1"/>
  <c r="BB17" i="16"/>
  <c r="AY17" i="16"/>
  <c r="AZ48" i="16"/>
  <c r="BA48" i="16" s="1"/>
  <c r="AY48" i="16"/>
  <c r="BB48" i="16"/>
  <c r="AZ10" i="16"/>
  <c r="BA10" i="16" s="1"/>
  <c r="BB10" i="16"/>
  <c r="AY10" i="16"/>
  <c r="N45" i="19"/>
  <c r="BB44" i="16"/>
  <c r="AZ44" i="16"/>
  <c r="BA44" i="16" s="1"/>
  <c r="AY44" i="16"/>
  <c r="BB14" i="16"/>
  <c r="AZ14" i="16"/>
  <c r="BA14" i="16" s="1"/>
  <c r="AY14" i="16"/>
  <c r="AY24" i="16"/>
  <c r="BB24" i="16"/>
  <c r="AZ24" i="16"/>
  <c r="BA24" i="16" s="1"/>
  <c r="BB8" i="16"/>
  <c r="AZ8" i="16"/>
  <c r="BA8" i="16" s="1"/>
  <c r="AY8" i="16"/>
  <c r="AY23" i="16"/>
  <c r="BB23" i="16"/>
  <c r="AZ23" i="16"/>
  <c r="BA23" i="16" s="1"/>
  <c r="B26" i="17"/>
  <c r="B57" i="17" s="1"/>
  <c r="E13" i="2"/>
  <c r="D13" i="2"/>
  <c r="C14" i="2"/>
  <c r="H13" i="2"/>
  <c r="I13" i="2" s="1"/>
  <c r="BB37" i="16"/>
  <c r="AZ37" i="16"/>
  <c r="BA37" i="16" s="1"/>
  <c r="AY37" i="16"/>
  <c r="C45" i="20"/>
  <c r="D45" i="20" s="1"/>
  <c r="E45" i="20" s="1"/>
  <c r="F45" i="20" s="1"/>
  <c r="G45" i="20" s="1"/>
  <c r="H45" i="20" s="1"/>
  <c r="I45" i="20" s="1"/>
  <c r="J45" i="20" s="1"/>
  <c r="K45" i="20" s="1"/>
  <c r="L45" i="20" s="1"/>
  <c r="M45" i="20" s="1"/>
  <c r="B45" i="21" s="1"/>
  <c r="D154" i="16"/>
  <c r="P154" i="16" s="1"/>
  <c r="BB9" i="16"/>
  <c r="AZ9" i="16"/>
  <c r="BA9" i="16" s="1"/>
  <c r="AY9" i="16"/>
  <c r="D151" i="16"/>
  <c r="P151" i="16" s="1"/>
  <c r="F12" i="2"/>
  <c r="G5" i="17"/>
  <c r="F4" i="17"/>
  <c r="E6" i="17"/>
  <c r="E25" i="17" s="1"/>
  <c r="N49" i="19"/>
  <c r="AY27" i="16"/>
  <c r="BB27" i="16"/>
  <c r="AZ27" i="16"/>
  <c r="BA27" i="16" s="1"/>
  <c r="N51" i="19"/>
  <c r="D14" i="17"/>
  <c r="D13" i="17"/>
  <c r="D24" i="17"/>
  <c r="E154" i="16" s="1"/>
  <c r="D23" i="17"/>
  <c r="E153" i="16" s="1"/>
  <c r="D20" i="17"/>
  <c r="D19" i="17"/>
  <c r="D30" i="17"/>
  <c r="D31" i="17" s="1"/>
  <c r="F152" i="16" s="1"/>
  <c r="D18" i="17"/>
  <c r="E18" i="17" s="1"/>
  <c r="F18" i="17" s="1"/>
  <c r="G18" i="17" s="1"/>
  <c r="H18" i="17" s="1"/>
  <c r="I18" i="17" s="1"/>
  <c r="J18" i="17" s="1"/>
  <c r="K18" i="17" s="1"/>
  <c r="L18" i="17" s="1"/>
  <c r="M18" i="17" s="1"/>
  <c r="D11" i="17"/>
  <c r="D39" i="17"/>
  <c r="D38" i="17"/>
  <c r="D17" i="17"/>
  <c r="D10" i="17"/>
  <c r="D16" i="17"/>
  <c r="D15" i="17"/>
  <c r="D9" i="17"/>
  <c r="D8" i="17"/>
  <c r="G50" i="14"/>
  <c r="H4" i="14"/>
  <c r="C49" i="20"/>
  <c r="D49" i="20" s="1"/>
  <c r="E49" i="20" s="1"/>
  <c r="F49" i="20" s="1"/>
  <c r="G49" i="20" s="1"/>
  <c r="H49" i="20" s="1"/>
  <c r="I49" i="20" s="1"/>
  <c r="J49" i="20" s="1"/>
  <c r="K49" i="20" s="1"/>
  <c r="L49" i="20" s="1"/>
  <c r="M49" i="20" s="1"/>
  <c r="B49" i="21" s="1"/>
  <c r="AY41" i="16"/>
  <c r="BB41" i="16"/>
  <c r="AZ41" i="16"/>
  <c r="BA41" i="16" s="1"/>
  <c r="AY5" i="16"/>
  <c r="AZ5" i="16"/>
  <c r="BA5" i="16" s="1"/>
  <c r="BB5" i="16"/>
  <c r="C51" i="20"/>
  <c r="D51" i="20" s="1"/>
  <c r="E51" i="20" s="1"/>
  <c r="F51" i="20" s="1"/>
  <c r="G51" i="20" s="1"/>
  <c r="H51" i="20" s="1"/>
  <c r="I51" i="20" s="1"/>
  <c r="J51" i="20" s="1"/>
  <c r="K51" i="20" s="1"/>
  <c r="L51" i="20" s="1"/>
  <c r="M51" i="20" s="1"/>
  <c r="B51" i="21" s="1"/>
  <c r="N51" i="20"/>
  <c r="BB31" i="16"/>
  <c r="AZ31" i="16"/>
  <c r="BA31" i="16" s="1"/>
  <c r="AY31" i="16"/>
  <c r="AZ18" i="16"/>
  <c r="BA18" i="16" s="1"/>
  <c r="AY18" i="16"/>
  <c r="BB18" i="16"/>
  <c r="C48" i="20"/>
  <c r="D48" i="20" s="1"/>
  <c r="E48" i="20" s="1"/>
  <c r="F48" i="20" s="1"/>
  <c r="G48" i="20" s="1"/>
  <c r="H48" i="20" s="1"/>
  <c r="I48" i="20" s="1"/>
  <c r="J48" i="20" s="1"/>
  <c r="K48" i="20" s="1"/>
  <c r="L48" i="20" s="1"/>
  <c r="M48" i="20" s="1"/>
  <c r="B48" i="21" s="1"/>
  <c r="AZ26" i="16"/>
  <c r="BA26" i="16" s="1"/>
  <c r="BB26" i="16"/>
  <c r="AY26" i="16"/>
  <c r="BB21" i="16"/>
  <c r="AZ21" i="16"/>
  <c r="BA21" i="16" s="1"/>
  <c r="AY21" i="16"/>
  <c r="AZ11" i="16"/>
  <c r="BA11" i="16" s="1"/>
  <c r="BB11" i="16"/>
  <c r="AY11" i="16"/>
  <c r="AZ36" i="16"/>
  <c r="BA36" i="16" s="1"/>
  <c r="BB36" i="16"/>
  <c r="AY36" i="16"/>
  <c r="AZ33" i="16"/>
  <c r="BA33" i="16" s="1"/>
  <c r="BB33" i="16"/>
  <c r="AY33" i="16"/>
  <c r="BB43" i="16"/>
  <c r="AZ43" i="16"/>
  <c r="BA43" i="16" s="1"/>
  <c r="AY43" i="16"/>
  <c r="AY22" i="16"/>
  <c r="BB22" i="16"/>
  <c r="AZ22" i="16"/>
  <c r="BA22" i="16" s="1"/>
  <c r="H32" i="17"/>
  <c r="BB19" i="16"/>
  <c r="AZ19" i="16"/>
  <c r="BA19" i="16" s="1"/>
  <c r="AY19" i="16"/>
  <c r="D152" i="16"/>
  <c r="P152" i="16" s="1"/>
  <c r="O8" i="1"/>
  <c r="P8" i="1" s="1"/>
  <c r="Q8" i="1" s="1"/>
  <c r="AY45" i="16"/>
  <c r="AZ45" i="16"/>
  <c r="BA45" i="16" s="1"/>
  <c r="BB45" i="16"/>
  <c r="D153" i="16"/>
  <c r="P153" i="16" s="1"/>
  <c r="AY47" i="16"/>
  <c r="AZ47" i="16"/>
  <c r="BA47" i="16" s="1"/>
  <c r="BB47" i="16"/>
  <c r="BB16" i="16"/>
  <c r="AZ16" i="16"/>
  <c r="BA16" i="16" s="1"/>
  <c r="AY16" i="16"/>
  <c r="AY15" i="16"/>
  <c r="AZ15" i="16"/>
  <c r="BA15" i="16" s="1"/>
  <c r="BB15" i="16"/>
  <c r="G43" i="6"/>
  <c r="O43" i="6"/>
  <c r="H43" i="6"/>
  <c r="L43" i="6"/>
  <c r="K43" i="6"/>
  <c r="Q43" i="6"/>
  <c r="M43" i="6"/>
  <c r="F43" i="6"/>
  <c r="J43" i="6"/>
  <c r="I43" i="6"/>
  <c r="P43" i="6"/>
  <c r="G3" i="14"/>
  <c r="I3" i="6"/>
  <c r="F13" i="2" l="1"/>
  <c r="N50" i="20"/>
  <c r="O14" i="1"/>
  <c r="C57" i="17"/>
  <c r="D156" i="16"/>
  <c r="P156" i="16" s="1"/>
  <c r="D26" i="17"/>
  <c r="E156" i="16" s="1"/>
  <c r="BD31" i="16"/>
  <c r="BE31" i="16" s="1"/>
  <c r="BC31" i="16"/>
  <c r="BF31" i="16"/>
  <c r="H5" i="17"/>
  <c r="G4" i="17"/>
  <c r="F6" i="17"/>
  <c r="BC28" i="16"/>
  <c r="BD28" i="16"/>
  <c r="BE28" i="16" s="1"/>
  <c r="BF28" i="16"/>
  <c r="BC12" i="16"/>
  <c r="BF12" i="16"/>
  <c r="BD12" i="16"/>
  <c r="BE12" i="16" s="1"/>
  <c r="BF34" i="16"/>
  <c r="BD34" i="16"/>
  <c r="BE34" i="16" s="1"/>
  <c r="BC34" i="16"/>
  <c r="G12" i="14"/>
  <c r="G30" i="14"/>
  <c r="G8" i="14"/>
  <c r="BF48" i="16"/>
  <c r="BC48" i="16"/>
  <c r="BD48" i="16"/>
  <c r="BE48" i="16" s="1"/>
  <c r="BF35" i="16"/>
  <c r="BD35" i="16"/>
  <c r="BE35" i="16" s="1"/>
  <c r="BC35" i="16"/>
  <c r="G23" i="14"/>
  <c r="BF47" i="16"/>
  <c r="BD47" i="16"/>
  <c r="BE47" i="16" s="1"/>
  <c r="BC47" i="16"/>
  <c r="BD18" i="16"/>
  <c r="BE18" i="16" s="1"/>
  <c r="BF18" i="16"/>
  <c r="BC18" i="16"/>
  <c r="BC37" i="16"/>
  <c r="BF37" i="16"/>
  <c r="BD37" i="16"/>
  <c r="BE37" i="16" s="1"/>
  <c r="BD44" i="16"/>
  <c r="BE44" i="16" s="1"/>
  <c r="BF44" i="16"/>
  <c r="BC44" i="16"/>
  <c r="C50" i="21"/>
  <c r="D50" i="21" s="1"/>
  <c r="E50" i="21" s="1"/>
  <c r="F50" i="21" s="1"/>
  <c r="G50" i="21" s="1"/>
  <c r="H50" i="21" s="1"/>
  <c r="I50" i="21" s="1"/>
  <c r="J50" i="21" s="1"/>
  <c r="K50" i="21" s="1"/>
  <c r="L50" i="21" s="1"/>
  <c r="M50" i="21" s="1"/>
  <c r="B50" i="22" s="1"/>
  <c r="F52" i="17"/>
  <c r="G42" i="17"/>
  <c r="BC39" i="16"/>
  <c r="BF39" i="16"/>
  <c r="BD39" i="16"/>
  <c r="BE39" i="16" s="1"/>
  <c r="G26" i="14"/>
  <c r="G19" i="14"/>
  <c r="G13" i="14"/>
  <c r="C48" i="21"/>
  <c r="D48" i="21" s="1"/>
  <c r="E48" i="21" s="1"/>
  <c r="F48" i="21" s="1"/>
  <c r="G48" i="21" s="1"/>
  <c r="H48" i="21" s="1"/>
  <c r="I48" i="21" s="1"/>
  <c r="J48" i="21" s="1"/>
  <c r="K48" i="21" s="1"/>
  <c r="L48" i="21" s="1"/>
  <c r="M48" i="21" s="1"/>
  <c r="B48" i="22" s="1"/>
  <c r="G32" i="14"/>
  <c r="G37" i="14"/>
  <c r="F38" i="14"/>
  <c r="F39" i="14" s="1"/>
  <c r="F40" i="14" s="1"/>
  <c r="F41" i="14" s="1"/>
  <c r="F42" i="14" s="1"/>
  <c r="F43" i="14" s="1"/>
  <c r="F44" i="14" s="1"/>
  <c r="F45" i="14" s="1"/>
  <c r="F46" i="14" s="1"/>
  <c r="F47" i="14" s="1"/>
  <c r="BD22" i="16"/>
  <c r="BE22" i="16" s="1"/>
  <c r="BC22" i="16"/>
  <c r="BF22" i="16"/>
  <c r="BD15" i="16"/>
  <c r="BE15" i="16" s="1"/>
  <c r="BF15" i="16"/>
  <c r="BC15" i="16"/>
  <c r="BD11" i="16"/>
  <c r="BE11" i="16" s="1"/>
  <c r="BF11" i="16"/>
  <c r="BC11" i="16"/>
  <c r="N51" i="21"/>
  <c r="C51" i="21"/>
  <c r="D51" i="21" s="1"/>
  <c r="E51" i="21" s="1"/>
  <c r="F51" i="21" s="1"/>
  <c r="G51" i="21" s="1"/>
  <c r="H51" i="21" s="1"/>
  <c r="I51" i="21" s="1"/>
  <c r="J51" i="21" s="1"/>
  <c r="K51" i="21" s="1"/>
  <c r="L51" i="21" s="1"/>
  <c r="M51" i="21" s="1"/>
  <c r="B51" i="22" s="1"/>
  <c r="BD30" i="16"/>
  <c r="BE30" i="16" s="1"/>
  <c r="BF30" i="16"/>
  <c r="BC30" i="16"/>
  <c r="G36" i="14"/>
  <c r="G16" i="14"/>
  <c r="L7" i="4"/>
  <c r="H14" i="2"/>
  <c r="E14" i="2"/>
  <c r="D14" i="2"/>
  <c r="C15" i="2"/>
  <c r="BC8" i="16"/>
  <c r="BF8" i="16"/>
  <c r="BD8" i="16"/>
  <c r="BE8" i="16" s="1"/>
  <c r="E155" i="16"/>
  <c r="C46" i="21"/>
  <c r="D46" i="21" s="1"/>
  <c r="E46" i="21" s="1"/>
  <c r="F46" i="21" s="1"/>
  <c r="G46" i="21" s="1"/>
  <c r="H46" i="21" s="1"/>
  <c r="I46" i="21" s="1"/>
  <c r="J46" i="21" s="1"/>
  <c r="K46" i="21" s="1"/>
  <c r="L46" i="21" s="1"/>
  <c r="M46" i="21" s="1"/>
  <c r="B46" i="22" s="1"/>
  <c r="BF29" i="16"/>
  <c r="BD29" i="16"/>
  <c r="BE29" i="16" s="1"/>
  <c r="BC29" i="16"/>
  <c r="F70" i="14"/>
  <c r="F63" i="14"/>
  <c r="F68" i="14"/>
  <c r="F66" i="14"/>
  <c r="F71" i="14"/>
  <c r="F64" i="14"/>
  <c r="F69" i="14"/>
  <c r="F67" i="14"/>
  <c r="F72" i="14"/>
  <c r="F65" i="14"/>
  <c r="G18" i="14"/>
  <c r="M6" i="4"/>
  <c r="G35" i="14"/>
  <c r="BC9" i="16"/>
  <c r="BF9" i="16"/>
  <c r="BD9" i="16"/>
  <c r="BE9" i="16" s="1"/>
  <c r="BF17" i="16"/>
  <c r="BD17" i="16"/>
  <c r="BE17" i="16" s="1"/>
  <c r="BC17" i="16"/>
  <c r="BC7" i="16"/>
  <c r="BD7" i="16"/>
  <c r="BE7" i="16" s="1"/>
  <c r="BF7" i="16"/>
  <c r="Q17" i="1"/>
  <c r="Q18" i="1"/>
  <c r="O24" i="1" s="1"/>
  <c r="G17" i="14"/>
  <c r="G33" i="14"/>
  <c r="G31" i="14"/>
  <c r="E13" i="17"/>
  <c r="E24" i="17"/>
  <c r="F154" i="16" s="1"/>
  <c r="E23" i="17"/>
  <c r="E20" i="17"/>
  <c r="E19" i="17"/>
  <c r="E30" i="17"/>
  <c r="E31" i="17" s="1"/>
  <c r="E11" i="17"/>
  <c r="E39" i="17"/>
  <c r="E38" i="17"/>
  <c r="E17" i="17"/>
  <c r="E10" i="17"/>
  <c r="E16" i="17"/>
  <c r="E15" i="17"/>
  <c r="E9" i="17"/>
  <c r="E8" i="17"/>
  <c r="E14" i="17"/>
  <c r="BF23" i="16"/>
  <c r="BD23" i="16"/>
  <c r="BE23" i="16" s="1"/>
  <c r="BC23" i="16"/>
  <c r="BC45" i="16"/>
  <c r="BF45" i="16"/>
  <c r="BD45" i="16"/>
  <c r="BE45" i="16" s="1"/>
  <c r="BD19" i="16"/>
  <c r="BE19" i="16" s="1"/>
  <c r="BC19" i="16"/>
  <c r="BF19" i="16"/>
  <c r="I32" i="17"/>
  <c r="BF5" i="16"/>
  <c r="BC5" i="16"/>
  <c r="BD5" i="16"/>
  <c r="BE5" i="16" s="1"/>
  <c r="BF24" i="16"/>
  <c r="BD24" i="16"/>
  <c r="BE24" i="16" s="1"/>
  <c r="BC24" i="16"/>
  <c r="N44" i="20"/>
  <c r="BF13" i="16"/>
  <c r="BD13" i="16"/>
  <c r="BE13" i="16" s="1"/>
  <c r="BC13" i="16"/>
  <c r="G22" i="14"/>
  <c r="G10" i="14"/>
  <c r="G14" i="14"/>
  <c r="BF42" i="16"/>
  <c r="BC42" i="16"/>
  <c r="BD42" i="16"/>
  <c r="BE42" i="16" s="1"/>
  <c r="C44" i="21"/>
  <c r="D44" i="21" s="1"/>
  <c r="E44" i="21" s="1"/>
  <c r="F44" i="21" s="1"/>
  <c r="G44" i="21" s="1"/>
  <c r="H44" i="21" s="1"/>
  <c r="I44" i="21" s="1"/>
  <c r="J44" i="21" s="1"/>
  <c r="K44" i="21" s="1"/>
  <c r="L44" i="21" s="1"/>
  <c r="M44" i="21" s="1"/>
  <c r="B44" i="22" s="1"/>
  <c r="BD40" i="16"/>
  <c r="BE40" i="16" s="1"/>
  <c r="BF40" i="16"/>
  <c r="BC40" i="16"/>
  <c r="E147" i="16"/>
  <c r="G28" i="14"/>
  <c r="F58" i="14"/>
  <c r="F51" i="14"/>
  <c r="F56" i="14"/>
  <c r="F61" i="14"/>
  <c r="F54" i="14"/>
  <c r="F59" i="14"/>
  <c r="F52" i="14"/>
  <c r="F57" i="14"/>
  <c r="F62" i="14"/>
  <c r="F55" i="14"/>
  <c r="F60" i="14"/>
  <c r="G15" i="14"/>
  <c r="F53" i="14"/>
  <c r="G5" i="14"/>
  <c r="BF25" i="16"/>
  <c r="BC25" i="16"/>
  <c r="BD25" i="16"/>
  <c r="BE25" i="16" s="1"/>
  <c r="BF6" i="16"/>
  <c r="BD6" i="16"/>
  <c r="BE6" i="16" s="1"/>
  <c r="BC6" i="16"/>
  <c r="F91" i="14"/>
  <c r="F79" i="14"/>
  <c r="F92" i="14"/>
  <c r="F80" i="14"/>
  <c r="F75" i="14"/>
  <c r="F73" i="14"/>
  <c r="F85" i="14"/>
  <c r="F84" i="14"/>
  <c r="F83" i="14"/>
  <c r="F82" i="14"/>
  <c r="F93" i="14"/>
  <c r="F90" i="14"/>
  <c r="F89" i="14"/>
  <c r="F88" i="14"/>
  <c r="F87" i="14"/>
  <c r="F86" i="14"/>
  <c r="F81" i="14"/>
  <c r="F78" i="14"/>
  <c r="F76" i="14"/>
  <c r="F74" i="14"/>
  <c r="F77" i="14"/>
  <c r="G20" i="14"/>
  <c r="G34" i="14"/>
  <c r="G6" i="14"/>
  <c r="BC16" i="16"/>
  <c r="BD16" i="16"/>
  <c r="BE16" i="16" s="1"/>
  <c r="BF16" i="16"/>
  <c r="H50" i="14"/>
  <c r="I4" i="14"/>
  <c r="E21" i="17"/>
  <c r="F151" i="16" s="1"/>
  <c r="BD33" i="16"/>
  <c r="BE33" i="16" s="1"/>
  <c r="BC33" i="16"/>
  <c r="BF33" i="16"/>
  <c r="BC26" i="16"/>
  <c r="BF26" i="16"/>
  <c r="BD26" i="16"/>
  <c r="BE26" i="16" s="1"/>
  <c r="BC41" i="16"/>
  <c r="BF41" i="16"/>
  <c r="BD41" i="16"/>
  <c r="BE41" i="16" s="1"/>
  <c r="BC27" i="16"/>
  <c r="BF27" i="16"/>
  <c r="BD27" i="16"/>
  <c r="BE27" i="16" s="1"/>
  <c r="D147" i="16"/>
  <c r="BC32" i="16"/>
  <c r="BF32" i="16"/>
  <c r="BD32" i="16"/>
  <c r="BE32" i="16" s="1"/>
  <c r="BF20" i="16"/>
  <c r="BD20" i="16"/>
  <c r="BE20" i="16" s="1"/>
  <c r="BC20" i="16"/>
  <c r="N43" i="20"/>
  <c r="G24" i="14"/>
  <c r="G11" i="14"/>
  <c r="G7" i="14"/>
  <c r="BF36" i="16"/>
  <c r="BD36" i="16"/>
  <c r="BE36" i="16" s="1"/>
  <c r="BC36" i="16"/>
  <c r="S8" i="1"/>
  <c r="Q11" i="1" s="1"/>
  <c r="N45" i="20"/>
  <c r="N18" i="17"/>
  <c r="BF10" i="16"/>
  <c r="BD10" i="16"/>
  <c r="BE10" i="16" s="1"/>
  <c r="BC10" i="16"/>
  <c r="C43" i="21"/>
  <c r="D43" i="21" s="1"/>
  <c r="E43" i="21" s="1"/>
  <c r="F43" i="21" s="1"/>
  <c r="G43" i="21" s="1"/>
  <c r="H43" i="21" s="1"/>
  <c r="I43" i="21" s="1"/>
  <c r="J43" i="21" s="1"/>
  <c r="K43" i="21" s="1"/>
  <c r="L43" i="21" s="1"/>
  <c r="M43" i="21" s="1"/>
  <c r="B43" i="22" s="1"/>
  <c r="G25" i="14"/>
  <c r="G9" i="14"/>
  <c r="C49" i="21"/>
  <c r="D49" i="21" s="1"/>
  <c r="E49" i="21" s="1"/>
  <c r="F49" i="21" s="1"/>
  <c r="G49" i="21" s="1"/>
  <c r="H49" i="21" s="1"/>
  <c r="I49" i="21" s="1"/>
  <c r="J49" i="21" s="1"/>
  <c r="K49" i="21" s="1"/>
  <c r="L49" i="21" s="1"/>
  <c r="M49" i="21" s="1"/>
  <c r="B49" i="22" s="1"/>
  <c r="BD43" i="16"/>
  <c r="BE43" i="16" s="1"/>
  <c r="BF43" i="16"/>
  <c r="BC43" i="16"/>
  <c r="BD21" i="16"/>
  <c r="BE21" i="16" s="1"/>
  <c r="BF21" i="16"/>
  <c r="BC21" i="16"/>
  <c r="N48" i="20"/>
  <c r="N49" i="20"/>
  <c r="C45" i="21"/>
  <c r="D45" i="21" s="1"/>
  <c r="E45" i="21" s="1"/>
  <c r="F45" i="21" s="1"/>
  <c r="G45" i="21" s="1"/>
  <c r="H45" i="21" s="1"/>
  <c r="I45" i="21" s="1"/>
  <c r="J45" i="21" s="1"/>
  <c r="K45" i="21" s="1"/>
  <c r="L45" i="21" s="1"/>
  <c r="M45" i="21" s="1"/>
  <c r="B45" i="22" s="1"/>
  <c r="BD14" i="16"/>
  <c r="BE14" i="16" s="1"/>
  <c r="BF14" i="16"/>
  <c r="BC14" i="16"/>
  <c r="C47" i="21"/>
  <c r="D47" i="21" s="1"/>
  <c r="E47" i="21" s="1"/>
  <c r="F47" i="21" s="1"/>
  <c r="G47" i="21" s="1"/>
  <c r="H47" i="21" s="1"/>
  <c r="I47" i="21" s="1"/>
  <c r="J47" i="21" s="1"/>
  <c r="K47" i="21" s="1"/>
  <c r="L47" i="21" s="1"/>
  <c r="M47" i="21" s="1"/>
  <c r="B47" i="22" s="1"/>
  <c r="BF46" i="16"/>
  <c r="BD46" i="16"/>
  <c r="BE46" i="16" s="1"/>
  <c r="BC46" i="16"/>
  <c r="BD38" i="16"/>
  <c r="BE38" i="16" s="1"/>
  <c r="BF38" i="16"/>
  <c r="BC38" i="16"/>
  <c r="G27" i="14"/>
  <c r="G21" i="14"/>
  <c r="G29" i="14"/>
  <c r="J3" i="6"/>
  <c r="H3" i="14"/>
  <c r="O3" i="8"/>
  <c r="N49" i="21" l="1"/>
  <c r="N44" i="21"/>
  <c r="N46" i="21"/>
  <c r="F21" i="17"/>
  <c r="G151" i="16" s="1"/>
  <c r="F25" i="17"/>
  <c r="G155" i="16" s="1"/>
  <c r="D57" i="17"/>
  <c r="G51" i="14"/>
  <c r="G56" i="14"/>
  <c r="H15" i="14"/>
  <c r="G61" i="14"/>
  <c r="G54" i="14"/>
  <c r="G59" i="14"/>
  <c r="G57" i="14"/>
  <c r="G62" i="14"/>
  <c r="G55" i="14"/>
  <c r="G60" i="14"/>
  <c r="G53" i="14"/>
  <c r="G52" i="14"/>
  <c r="G58" i="14"/>
  <c r="H28" i="14"/>
  <c r="H22" i="14"/>
  <c r="G152" i="16"/>
  <c r="BH7" i="16"/>
  <c r="BI7" i="16" s="1"/>
  <c r="BJ7" i="16"/>
  <c r="BG7" i="16"/>
  <c r="G63" i="14"/>
  <c r="G68" i="14"/>
  <c r="G66" i="14"/>
  <c r="G71" i="14"/>
  <c r="G64" i="14"/>
  <c r="G69" i="14"/>
  <c r="G67" i="14"/>
  <c r="G72" i="14"/>
  <c r="G65" i="14"/>
  <c r="G70" i="14"/>
  <c r="H18" i="14"/>
  <c r="AP154" i="16"/>
  <c r="H32" i="14"/>
  <c r="C50" i="22"/>
  <c r="D50" i="22" s="1"/>
  <c r="E50" i="22" s="1"/>
  <c r="F50" i="22" s="1"/>
  <c r="G50" i="22" s="1"/>
  <c r="H50" i="22" s="1"/>
  <c r="I50" i="22" s="1"/>
  <c r="J50" i="22" s="1"/>
  <c r="K50" i="22" s="1"/>
  <c r="L50" i="22" s="1"/>
  <c r="M50" i="22" s="1"/>
  <c r="B50" i="23" s="1"/>
  <c r="N50" i="22"/>
  <c r="BJ31" i="16"/>
  <c r="BH31" i="16"/>
  <c r="BI31" i="16" s="1"/>
  <c r="BG31" i="16"/>
  <c r="BH36" i="16"/>
  <c r="BI36" i="16" s="1"/>
  <c r="BJ36" i="16"/>
  <c r="BG36" i="16"/>
  <c r="H25" i="14"/>
  <c r="BJ33" i="16"/>
  <c r="BH33" i="16"/>
  <c r="BI33" i="16" s="1"/>
  <c r="BG33" i="16"/>
  <c r="F153" i="16"/>
  <c r="BJ38" i="16"/>
  <c r="BH38" i="16"/>
  <c r="BI38" i="16" s="1"/>
  <c r="BG38" i="16"/>
  <c r="BJ14" i="16"/>
  <c r="BH14" i="16"/>
  <c r="BI14" i="16" s="1"/>
  <c r="BG14" i="16"/>
  <c r="C49" i="22"/>
  <c r="D49" i="22" s="1"/>
  <c r="E49" i="22" s="1"/>
  <c r="F49" i="22" s="1"/>
  <c r="G49" i="22" s="1"/>
  <c r="H49" i="22" s="1"/>
  <c r="I49" i="22" s="1"/>
  <c r="J49" i="22" s="1"/>
  <c r="K49" i="22" s="1"/>
  <c r="L49" i="22" s="1"/>
  <c r="M49" i="22" s="1"/>
  <c r="B49" i="23" s="1"/>
  <c r="BH32" i="16"/>
  <c r="BI32" i="16" s="1"/>
  <c r="BG32" i="16"/>
  <c r="BJ32" i="16"/>
  <c r="BJ5" i="16"/>
  <c r="BH5" i="16"/>
  <c r="BI5" i="16" s="1"/>
  <c r="BG5" i="16"/>
  <c r="BJ29" i="16"/>
  <c r="BH29" i="16"/>
  <c r="BI29" i="16" s="1"/>
  <c r="BG29" i="16"/>
  <c r="L8" i="4"/>
  <c r="N48" i="21"/>
  <c r="BJ47" i="16"/>
  <c r="BH47" i="16"/>
  <c r="BI47" i="16" s="1"/>
  <c r="BG47" i="16"/>
  <c r="C45" i="22"/>
  <c r="D45" i="22" s="1"/>
  <c r="E45" i="22" s="1"/>
  <c r="F45" i="22" s="1"/>
  <c r="G45" i="22" s="1"/>
  <c r="H45" i="22" s="1"/>
  <c r="I45" i="22" s="1"/>
  <c r="J45" i="22" s="1"/>
  <c r="K45" i="22" s="1"/>
  <c r="L45" i="22" s="1"/>
  <c r="M45" i="22" s="1"/>
  <c r="B45" i="23" s="1"/>
  <c r="BH26" i="16"/>
  <c r="BI26" i="16" s="1"/>
  <c r="BG26" i="16"/>
  <c r="BJ26" i="16"/>
  <c r="F155" i="16"/>
  <c r="BJ23" i="16"/>
  <c r="BH23" i="16"/>
  <c r="BI23" i="16" s="1"/>
  <c r="BG23" i="16"/>
  <c r="H16" i="14"/>
  <c r="BG11" i="16"/>
  <c r="BJ11" i="16"/>
  <c r="BH11" i="16"/>
  <c r="BI11" i="16" s="1"/>
  <c r="C48" i="22"/>
  <c r="D48" i="22" s="1"/>
  <c r="E48" i="22" s="1"/>
  <c r="F48" i="22" s="1"/>
  <c r="G48" i="22" s="1"/>
  <c r="H48" i="22" s="1"/>
  <c r="I48" i="22" s="1"/>
  <c r="J48" i="22" s="1"/>
  <c r="K48" i="22" s="1"/>
  <c r="L48" i="22" s="1"/>
  <c r="M48" i="22" s="1"/>
  <c r="B48" i="23" s="1"/>
  <c r="BH44" i="16"/>
  <c r="BI44" i="16" s="1"/>
  <c r="BJ44" i="16"/>
  <c r="BG44" i="16"/>
  <c r="H23" i="14"/>
  <c r="BJ34" i="16"/>
  <c r="BH34" i="16"/>
  <c r="BI34" i="16" s="1"/>
  <c r="BG34" i="16"/>
  <c r="J32" i="17"/>
  <c r="C46" i="22"/>
  <c r="D46" i="22" s="1"/>
  <c r="E46" i="22" s="1"/>
  <c r="F46" i="22" s="1"/>
  <c r="G46" i="22" s="1"/>
  <c r="H46" i="22" s="1"/>
  <c r="I46" i="22" s="1"/>
  <c r="J46" i="22" s="1"/>
  <c r="K46" i="22" s="1"/>
  <c r="L46" i="22" s="1"/>
  <c r="M46" i="22" s="1"/>
  <c r="B46" i="23" s="1"/>
  <c r="H36" i="14"/>
  <c r="H13" i="14"/>
  <c r="BG19" i="16"/>
  <c r="BJ19" i="16"/>
  <c r="BH19" i="16"/>
  <c r="BI19" i="16" s="1"/>
  <c r="H19" i="14"/>
  <c r="BG12" i="16"/>
  <c r="BJ12" i="16"/>
  <c r="BH12" i="16"/>
  <c r="BI12" i="16" s="1"/>
  <c r="H11" i="14"/>
  <c r="BH6" i="16"/>
  <c r="BI6" i="16" s="1"/>
  <c r="BJ6" i="16"/>
  <c r="BG6" i="16"/>
  <c r="BJ17" i="16"/>
  <c r="BH17" i="16"/>
  <c r="BI17" i="16" s="1"/>
  <c r="BG17" i="16"/>
  <c r="BH15" i="16"/>
  <c r="BI15" i="16" s="1"/>
  <c r="BJ15" i="16"/>
  <c r="BG15" i="16"/>
  <c r="H26" i="14"/>
  <c r="BG37" i="16"/>
  <c r="BJ37" i="16"/>
  <c r="BH37" i="16"/>
  <c r="BI37" i="16" s="1"/>
  <c r="BH35" i="16"/>
  <c r="BI35" i="16" s="1"/>
  <c r="BG35" i="16"/>
  <c r="BJ35" i="16"/>
  <c r="N43" i="21"/>
  <c r="H24" i="14"/>
  <c r="C44" i="22"/>
  <c r="D44" i="22" s="1"/>
  <c r="E44" i="22" s="1"/>
  <c r="F44" i="22" s="1"/>
  <c r="G44" i="22" s="1"/>
  <c r="H44" i="22" s="1"/>
  <c r="I44" i="22" s="1"/>
  <c r="J44" i="22" s="1"/>
  <c r="K44" i="22" s="1"/>
  <c r="L44" i="22" s="1"/>
  <c r="M44" i="22" s="1"/>
  <c r="B44" i="23" s="1"/>
  <c r="BJ8" i="16"/>
  <c r="BH8" i="16"/>
  <c r="BI8" i="16" s="1"/>
  <c r="BG8" i="16"/>
  <c r="BJ28" i="16"/>
  <c r="BH28" i="16"/>
  <c r="BI28" i="16" s="1"/>
  <c r="BG28" i="16"/>
  <c r="F147" i="16"/>
  <c r="E26" i="17"/>
  <c r="H31" i="14"/>
  <c r="BJ9" i="16"/>
  <c r="BH9" i="16"/>
  <c r="BI9" i="16" s="1"/>
  <c r="BG9" i="16"/>
  <c r="BH22" i="16"/>
  <c r="BI22" i="16" s="1"/>
  <c r="BJ22" i="16"/>
  <c r="BG22" i="16"/>
  <c r="BH39" i="16"/>
  <c r="BI39" i="16" s="1"/>
  <c r="BG39" i="16"/>
  <c r="BJ39" i="16"/>
  <c r="BJ40" i="16"/>
  <c r="BH40" i="16"/>
  <c r="BI40" i="16" s="1"/>
  <c r="BG40" i="16"/>
  <c r="H34" i="14"/>
  <c r="BG13" i="16"/>
  <c r="BH13" i="16"/>
  <c r="BI13" i="16" s="1"/>
  <c r="BJ13" i="16"/>
  <c r="BJ21" i="16"/>
  <c r="BH21" i="16"/>
  <c r="BI21" i="16" s="1"/>
  <c r="BG21" i="16"/>
  <c r="BJ27" i="16"/>
  <c r="BH27" i="16"/>
  <c r="BI27" i="16" s="1"/>
  <c r="BG27" i="16"/>
  <c r="BH25" i="16"/>
  <c r="BI25" i="16" s="1"/>
  <c r="BJ25" i="16"/>
  <c r="BG25" i="16"/>
  <c r="BH45" i="16"/>
  <c r="BI45" i="16" s="1"/>
  <c r="BG45" i="16"/>
  <c r="BJ45" i="16"/>
  <c r="H33" i="14"/>
  <c r="H15" i="2"/>
  <c r="I16" i="2" s="1"/>
  <c r="E15" i="2"/>
  <c r="D15" i="2"/>
  <c r="F15" i="2" s="1"/>
  <c r="C16" i="2"/>
  <c r="BG30" i="16"/>
  <c r="BJ30" i="16"/>
  <c r="BH30" i="16"/>
  <c r="BI30" i="16" s="1"/>
  <c r="BH48" i="16"/>
  <c r="BI48" i="16" s="1"/>
  <c r="BG48" i="16"/>
  <c r="BJ48" i="16"/>
  <c r="H9" i="14"/>
  <c r="C43" i="22"/>
  <c r="D43" i="22" s="1"/>
  <c r="E43" i="22" s="1"/>
  <c r="F43" i="22" s="1"/>
  <c r="G43" i="22" s="1"/>
  <c r="H43" i="22" s="1"/>
  <c r="I43" i="22" s="1"/>
  <c r="J43" i="22" s="1"/>
  <c r="K43" i="22" s="1"/>
  <c r="L43" i="22" s="1"/>
  <c r="M43" i="22" s="1"/>
  <c r="B43" i="23" s="1"/>
  <c r="N43" i="22"/>
  <c r="G84" i="14"/>
  <c r="G85" i="14"/>
  <c r="G75" i="14"/>
  <c r="G73" i="14"/>
  <c r="G83" i="14"/>
  <c r="G82" i="14"/>
  <c r="G93" i="14"/>
  <c r="G90" i="14"/>
  <c r="G89" i="14"/>
  <c r="G88" i="14"/>
  <c r="G87" i="14"/>
  <c r="G86" i="14"/>
  <c r="G81" i="14"/>
  <c r="G78" i="14"/>
  <c r="G92" i="14"/>
  <c r="G91" i="14"/>
  <c r="G80" i="14"/>
  <c r="G79" i="14"/>
  <c r="G76" i="14"/>
  <c r="G74" i="14"/>
  <c r="G77" i="14"/>
  <c r="H20" i="14"/>
  <c r="I50" i="14"/>
  <c r="J4" i="14"/>
  <c r="BJ42" i="16"/>
  <c r="BH42" i="16"/>
  <c r="BI42" i="16" s="1"/>
  <c r="BG42" i="16"/>
  <c r="BJ24" i="16"/>
  <c r="BH24" i="16"/>
  <c r="BI24" i="16" s="1"/>
  <c r="BG24" i="16"/>
  <c r="H17" i="14"/>
  <c r="H35" i="14"/>
  <c r="F14" i="2"/>
  <c r="G52" i="17"/>
  <c r="H42" i="17"/>
  <c r="BG18" i="16"/>
  <c r="BJ18" i="16"/>
  <c r="BH18" i="16"/>
  <c r="BI18" i="16" s="1"/>
  <c r="H8" i="14"/>
  <c r="F24" i="17"/>
  <c r="G154" i="16" s="1"/>
  <c r="F23" i="17"/>
  <c r="G153" i="16" s="1"/>
  <c r="F20" i="17"/>
  <c r="F19" i="17"/>
  <c r="F30" i="17"/>
  <c r="F11" i="17"/>
  <c r="F39" i="17"/>
  <c r="F38" i="17"/>
  <c r="F17" i="17"/>
  <c r="F10" i="17"/>
  <c r="F16" i="17"/>
  <c r="F15" i="17"/>
  <c r="F9" i="17"/>
  <c r="F8" i="17"/>
  <c r="F14" i="17"/>
  <c r="F13" i="17"/>
  <c r="N45" i="21"/>
  <c r="H6" i="14"/>
  <c r="H7" i="14"/>
  <c r="H29" i="14"/>
  <c r="BJ46" i="16"/>
  <c r="BH46" i="16"/>
  <c r="BI46" i="16" s="1"/>
  <c r="BG46" i="16"/>
  <c r="BJ10" i="16"/>
  <c r="BG10" i="16"/>
  <c r="BH10" i="16"/>
  <c r="BI10" i="16" s="1"/>
  <c r="H21" i="14"/>
  <c r="N47" i="21"/>
  <c r="H5" i="14"/>
  <c r="H14" i="14"/>
  <c r="H30" i="14"/>
  <c r="H4" i="17"/>
  <c r="I5" i="17"/>
  <c r="G6" i="17"/>
  <c r="AK154" i="16"/>
  <c r="H27" i="14"/>
  <c r="C47" i="22"/>
  <c r="D47" i="22" s="1"/>
  <c r="E47" i="22" s="1"/>
  <c r="F47" i="22" s="1"/>
  <c r="G47" i="22" s="1"/>
  <c r="H47" i="22" s="1"/>
  <c r="I47" i="22" s="1"/>
  <c r="J47" i="22" s="1"/>
  <c r="K47" i="22" s="1"/>
  <c r="L47" i="22" s="1"/>
  <c r="M47" i="22" s="1"/>
  <c r="B47" i="23" s="1"/>
  <c r="BG43" i="16"/>
  <c r="BJ43" i="16"/>
  <c r="BH43" i="16"/>
  <c r="BI43" i="16" s="1"/>
  <c r="BG20" i="16"/>
  <c r="BJ20" i="16"/>
  <c r="BH20" i="16"/>
  <c r="BI20" i="16" s="1"/>
  <c r="BG41" i="16"/>
  <c r="BH41" i="16"/>
  <c r="BI41" i="16" s="1"/>
  <c r="BJ41" i="16"/>
  <c r="BJ16" i="16"/>
  <c r="BH16" i="16"/>
  <c r="BI16" i="16" s="1"/>
  <c r="BG16" i="16"/>
  <c r="H10" i="14"/>
  <c r="M7" i="4"/>
  <c r="I15" i="2"/>
  <c r="I14" i="2"/>
  <c r="C51" i="22"/>
  <c r="D51" i="22" s="1"/>
  <c r="E51" i="22" s="1"/>
  <c r="F51" i="22" s="1"/>
  <c r="G51" i="22" s="1"/>
  <c r="H51" i="22" s="1"/>
  <c r="I51" i="22" s="1"/>
  <c r="J51" i="22" s="1"/>
  <c r="K51" i="22" s="1"/>
  <c r="L51" i="22" s="1"/>
  <c r="M51" i="22" s="1"/>
  <c r="B51" i="23" s="1"/>
  <c r="H37" i="14"/>
  <c r="G38" i="14"/>
  <c r="G39" i="14" s="1"/>
  <c r="G40" i="14" s="1"/>
  <c r="G41" i="14" s="1"/>
  <c r="G42" i="14" s="1"/>
  <c r="G43" i="14" s="1"/>
  <c r="G44" i="14" s="1"/>
  <c r="G45" i="14" s="1"/>
  <c r="G46" i="14" s="1"/>
  <c r="G47" i="14" s="1"/>
  <c r="N50" i="21"/>
  <c r="AF154" i="16"/>
  <c r="H12" i="14"/>
  <c r="I3" i="14"/>
  <c r="K3" i="6"/>
  <c r="F26" i="17" l="1"/>
  <c r="G156" i="16" s="1"/>
  <c r="N49" i="22"/>
  <c r="N44" i="22"/>
  <c r="N46" i="22"/>
  <c r="N51" i="22"/>
  <c r="G21" i="17"/>
  <c r="H151" i="16" s="1"/>
  <c r="G25" i="17"/>
  <c r="H155" i="16" s="1"/>
  <c r="BL40" i="16"/>
  <c r="BM40" i="16" s="1"/>
  <c r="BN40" i="16"/>
  <c r="BK40" i="16"/>
  <c r="I16" i="14"/>
  <c r="AP155" i="16"/>
  <c r="I32" i="14"/>
  <c r="I10" i="14"/>
  <c r="I35" i="14"/>
  <c r="BN27" i="16"/>
  <c r="BL27" i="16"/>
  <c r="BM27" i="16" s="1"/>
  <c r="BK27" i="16"/>
  <c r="BK39" i="16"/>
  <c r="BN39" i="16"/>
  <c r="BL39" i="16"/>
  <c r="BM39" i="16" s="1"/>
  <c r="BK47" i="16"/>
  <c r="BN47" i="16"/>
  <c r="BL47" i="16"/>
  <c r="BM47" i="16" s="1"/>
  <c r="AN154" i="16"/>
  <c r="AL154" i="16"/>
  <c r="AM154" i="16"/>
  <c r="BL43" i="16"/>
  <c r="BM43" i="16" s="1"/>
  <c r="BK43" i="16"/>
  <c r="BN43" i="16"/>
  <c r="J50" i="14"/>
  <c r="K4" i="14"/>
  <c r="I19" i="14"/>
  <c r="N47" i="22"/>
  <c r="I21" i="14"/>
  <c r="I17" i="14"/>
  <c r="BK35" i="16"/>
  <c r="BN35" i="16"/>
  <c r="BL35" i="16"/>
  <c r="BM35" i="16" s="1"/>
  <c r="BL17" i="16"/>
  <c r="BM17" i="16" s="1"/>
  <c r="BK17" i="16"/>
  <c r="BN17" i="16"/>
  <c r="BN19" i="16"/>
  <c r="BL19" i="16"/>
  <c r="BM19" i="16" s="1"/>
  <c r="BK19" i="16"/>
  <c r="BL34" i="16"/>
  <c r="BM34" i="16" s="1"/>
  <c r="BN34" i="16"/>
  <c r="BK34" i="16"/>
  <c r="BL33" i="16"/>
  <c r="BM33" i="16" s="1"/>
  <c r="BN33" i="16"/>
  <c r="BK33" i="16"/>
  <c r="H68" i="14"/>
  <c r="H66" i="14"/>
  <c r="H71" i="14"/>
  <c r="H64" i="14"/>
  <c r="H69" i="14"/>
  <c r="I18" i="14"/>
  <c r="H67" i="14"/>
  <c r="H72" i="14"/>
  <c r="H65" i="14"/>
  <c r="H70" i="14"/>
  <c r="H63" i="14"/>
  <c r="BL7" i="16"/>
  <c r="BM7" i="16" s="1"/>
  <c r="BN7" i="16"/>
  <c r="BK7" i="16"/>
  <c r="C47" i="23"/>
  <c r="D47" i="23" s="1"/>
  <c r="E47" i="23" s="1"/>
  <c r="F47" i="23" s="1"/>
  <c r="G47" i="23" s="1"/>
  <c r="H47" i="23" s="1"/>
  <c r="I47" i="23" s="1"/>
  <c r="J47" i="23" s="1"/>
  <c r="K47" i="23" s="1"/>
  <c r="L47" i="23" s="1"/>
  <c r="M47" i="23" s="1"/>
  <c r="B47" i="24" s="1"/>
  <c r="H89" i="14"/>
  <c r="H90" i="14"/>
  <c r="H78" i="14"/>
  <c r="H73" i="14"/>
  <c r="H83" i="14"/>
  <c r="H82" i="14"/>
  <c r="H93" i="14"/>
  <c r="H88" i="14"/>
  <c r="H87" i="14"/>
  <c r="H86" i="14"/>
  <c r="H85" i="14"/>
  <c r="H84" i="14"/>
  <c r="H81" i="14"/>
  <c r="H92" i="14"/>
  <c r="H91" i="14"/>
  <c r="H80" i="14"/>
  <c r="H79" i="14"/>
  <c r="H76" i="14"/>
  <c r="H74" i="14"/>
  <c r="I20" i="14"/>
  <c r="H77" i="14"/>
  <c r="H75" i="14"/>
  <c r="C43" i="23"/>
  <c r="D43" i="23" s="1"/>
  <c r="E43" i="23" s="1"/>
  <c r="F43" i="23" s="1"/>
  <c r="G43" i="23" s="1"/>
  <c r="H43" i="23" s="1"/>
  <c r="I43" i="23" s="1"/>
  <c r="J43" i="23" s="1"/>
  <c r="K43" i="23" s="1"/>
  <c r="L43" i="23" s="1"/>
  <c r="M43" i="23" s="1"/>
  <c r="B43" i="24" s="1"/>
  <c r="I33" i="14"/>
  <c r="BN28" i="16"/>
  <c r="BL28" i="16"/>
  <c r="BM28" i="16" s="1"/>
  <c r="BK28" i="16"/>
  <c r="I23" i="14"/>
  <c r="L9" i="4"/>
  <c r="C49" i="23"/>
  <c r="D49" i="23" s="1"/>
  <c r="E49" i="23" s="1"/>
  <c r="F49" i="23" s="1"/>
  <c r="G49" i="23" s="1"/>
  <c r="H49" i="23" s="1"/>
  <c r="I49" i="23" s="1"/>
  <c r="J49" i="23" s="1"/>
  <c r="K49" i="23" s="1"/>
  <c r="L49" i="23" s="1"/>
  <c r="M49" i="23" s="1"/>
  <c r="B49" i="24" s="1"/>
  <c r="I25" i="14"/>
  <c r="M8" i="4"/>
  <c r="BN16" i="16"/>
  <c r="BL16" i="16"/>
  <c r="BM16" i="16" s="1"/>
  <c r="BK16" i="16"/>
  <c r="AK155" i="16"/>
  <c r="I27" i="14"/>
  <c r="I9" i="14"/>
  <c r="BN21" i="16"/>
  <c r="BL21" i="16"/>
  <c r="BM21" i="16" s="1"/>
  <c r="BK21" i="16"/>
  <c r="BN6" i="16"/>
  <c r="BL6" i="16"/>
  <c r="BM6" i="16" s="1"/>
  <c r="BK6" i="16"/>
  <c r="BK23" i="16"/>
  <c r="BN23" i="16"/>
  <c r="BL23" i="16"/>
  <c r="BM23" i="16" s="1"/>
  <c r="BK41" i="16"/>
  <c r="BN41" i="16"/>
  <c r="BL41" i="16"/>
  <c r="BM41" i="16" s="1"/>
  <c r="AG154" i="16"/>
  <c r="AI154" i="16"/>
  <c r="AH154" i="16"/>
  <c r="BL10" i="16"/>
  <c r="BM10" i="16" s="1"/>
  <c r="BN10" i="16"/>
  <c r="BK10" i="16"/>
  <c r="I8" i="14"/>
  <c r="BL48" i="16"/>
  <c r="BM48" i="16" s="1"/>
  <c r="BN48" i="16"/>
  <c r="BK48" i="16"/>
  <c r="BK45" i="16"/>
  <c r="BL45" i="16"/>
  <c r="BM45" i="16" s="1"/>
  <c r="BN45" i="16"/>
  <c r="BK22" i="16"/>
  <c r="BN22" i="16"/>
  <c r="BL22" i="16"/>
  <c r="BM22" i="16" s="1"/>
  <c r="BN44" i="16"/>
  <c r="BL44" i="16"/>
  <c r="BM44" i="16" s="1"/>
  <c r="BK44" i="16"/>
  <c r="BL36" i="16"/>
  <c r="BM36" i="16" s="1"/>
  <c r="BK36" i="16"/>
  <c r="BN36" i="16"/>
  <c r="BN13" i="16"/>
  <c r="BL13" i="16"/>
  <c r="BM13" i="16" s="1"/>
  <c r="BK13" i="16"/>
  <c r="BL8" i="16"/>
  <c r="BM8" i="16" s="1"/>
  <c r="BK8" i="16"/>
  <c r="BN8" i="16"/>
  <c r="BN37" i="16"/>
  <c r="BL37" i="16"/>
  <c r="BM37" i="16" s="1"/>
  <c r="BK37" i="16"/>
  <c r="I11" i="14"/>
  <c r="I13" i="14"/>
  <c r="BL26" i="16"/>
  <c r="BM26" i="16" s="1"/>
  <c r="BN26" i="16"/>
  <c r="BK26" i="16"/>
  <c r="BL29" i="16"/>
  <c r="BM29" i="16" s="1"/>
  <c r="BK29" i="16"/>
  <c r="BN29" i="16"/>
  <c r="BN14" i="16"/>
  <c r="BL14" i="16"/>
  <c r="BM14" i="16" s="1"/>
  <c r="BK14" i="16"/>
  <c r="BL18" i="16"/>
  <c r="BM18" i="16" s="1"/>
  <c r="BN18" i="16"/>
  <c r="BK18" i="16"/>
  <c r="I36" i="14"/>
  <c r="N48" i="22"/>
  <c r="I22" i="14"/>
  <c r="H56" i="14"/>
  <c r="H61" i="14"/>
  <c r="H54" i="14"/>
  <c r="H59" i="14"/>
  <c r="H52" i="14"/>
  <c r="H57" i="14"/>
  <c r="H62" i="14"/>
  <c r="H55" i="14"/>
  <c r="H60" i="14"/>
  <c r="H53" i="14"/>
  <c r="H58" i="14"/>
  <c r="H51" i="14"/>
  <c r="I15" i="14"/>
  <c r="AC154" i="16"/>
  <c r="AB154" i="16"/>
  <c r="AD154" i="16"/>
  <c r="I37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J5" i="17"/>
  <c r="H6" i="17"/>
  <c r="H25" i="17" s="1"/>
  <c r="I4" i="17"/>
  <c r="BL46" i="16"/>
  <c r="BM46" i="16" s="1"/>
  <c r="BK46" i="16"/>
  <c r="BN46" i="16"/>
  <c r="BK24" i="16"/>
  <c r="BN24" i="16"/>
  <c r="BL24" i="16"/>
  <c r="BM24" i="16" s="1"/>
  <c r="I26" i="14"/>
  <c r="C48" i="23"/>
  <c r="D48" i="23" s="1"/>
  <c r="E48" i="23" s="1"/>
  <c r="F48" i="23" s="1"/>
  <c r="G48" i="23" s="1"/>
  <c r="H48" i="23" s="1"/>
  <c r="I48" i="23" s="1"/>
  <c r="J48" i="23" s="1"/>
  <c r="K48" i="23" s="1"/>
  <c r="L48" i="23" s="1"/>
  <c r="M48" i="23" s="1"/>
  <c r="B48" i="24" s="1"/>
  <c r="I28" i="14"/>
  <c r="G20" i="17"/>
  <c r="G19" i="17"/>
  <c r="G30" i="17"/>
  <c r="G11" i="17"/>
  <c r="G39" i="17"/>
  <c r="G38" i="17"/>
  <c r="G17" i="17"/>
  <c r="G10" i="17"/>
  <c r="G16" i="17"/>
  <c r="G15" i="17"/>
  <c r="G9" i="17"/>
  <c r="G8" i="17"/>
  <c r="G14" i="17"/>
  <c r="G13" i="17"/>
  <c r="G24" i="17"/>
  <c r="H154" i="16" s="1"/>
  <c r="G23" i="17"/>
  <c r="H153" i="16" s="1"/>
  <c r="C51" i="23"/>
  <c r="D51" i="23" s="1"/>
  <c r="E51" i="23" s="1"/>
  <c r="F51" i="23" s="1"/>
  <c r="G51" i="23" s="1"/>
  <c r="H51" i="23" s="1"/>
  <c r="I51" i="23" s="1"/>
  <c r="J51" i="23" s="1"/>
  <c r="K51" i="23" s="1"/>
  <c r="L51" i="23" s="1"/>
  <c r="M51" i="23" s="1"/>
  <c r="B51" i="24" s="1"/>
  <c r="BN20" i="16"/>
  <c r="BK20" i="16"/>
  <c r="BL20" i="16"/>
  <c r="BM20" i="16" s="1"/>
  <c r="I30" i="14"/>
  <c r="I29" i="14"/>
  <c r="BL30" i="16"/>
  <c r="BM30" i="16" s="1"/>
  <c r="BN30" i="16"/>
  <c r="BK30" i="16"/>
  <c r="BN25" i="16"/>
  <c r="BL25" i="16"/>
  <c r="BM25" i="16" s="1"/>
  <c r="BK25" i="16"/>
  <c r="I34" i="14"/>
  <c r="BN9" i="16"/>
  <c r="BL9" i="16"/>
  <c r="BM9" i="16" s="1"/>
  <c r="BK9" i="16"/>
  <c r="C44" i="23"/>
  <c r="D44" i="23" s="1"/>
  <c r="E44" i="23" s="1"/>
  <c r="F44" i="23" s="1"/>
  <c r="G44" i="23" s="1"/>
  <c r="H44" i="23" s="1"/>
  <c r="I44" i="23" s="1"/>
  <c r="J44" i="23" s="1"/>
  <c r="K44" i="23" s="1"/>
  <c r="L44" i="23" s="1"/>
  <c r="M44" i="23" s="1"/>
  <c r="B44" i="24" s="1"/>
  <c r="C46" i="23"/>
  <c r="D46" i="23" s="1"/>
  <c r="E46" i="23" s="1"/>
  <c r="F46" i="23" s="1"/>
  <c r="G46" i="23" s="1"/>
  <c r="H46" i="23" s="1"/>
  <c r="I46" i="23" s="1"/>
  <c r="J46" i="23" s="1"/>
  <c r="K46" i="23" s="1"/>
  <c r="L46" i="23" s="1"/>
  <c r="M46" i="23" s="1"/>
  <c r="B46" i="24" s="1"/>
  <c r="N46" i="23"/>
  <c r="N45" i="22"/>
  <c r="BN38" i="16"/>
  <c r="BK38" i="16"/>
  <c r="BL38" i="16"/>
  <c r="BM38" i="16" s="1"/>
  <c r="BN31" i="16"/>
  <c r="BK31" i="16"/>
  <c r="BL31" i="16"/>
  <c r="BM31" i="16" s="1"/>
  <c r="I5" i="14"/>
  <c r="AF155" i="16"/>
  <c r="I12" i="14"/>
  <c r="I42" i="17"/>
  <c r="H52" i="17"/>
  <c r="I31" i="14"/>
  <c r="I24" i="14"/>
  <c r="BK15" i="16"/>
  <c r="BN15" i="16"/>
  <c r="BL15" i="16"/>
  <c r="BM15" i="16" s="1"/>
  <c r="BN12" i="16"/>
  <c r="BL12" i="16"/>
  <c r="BM12" i="16" s="1"/>
  <c r="BK12" i="16"/>
  <c r="BL11" i="16"/>
  <c r="BM11" i="16" s="1"/>
  <c r="BN11" i="16"/>
  <c r="BK11" i="16"/>
  <c r="C45" i="23"/>
  <c r="D45" i="23" s="1"/>
  <c r="E45" i="23" s="1"/>
  <c r="F45" i="23" s="1"/>
  <c r="G45" i="23" s="1"/>
  <c r="H45" i="23" s="1"/>
  <c r="I45" i="23" s="1"/>
  <c r="J45" i="23" s="1"/>
  <c r="K45" i="23" s="1"/>
  <c r="L45" i="23" s="1"/>
  <c r="M45" i="23" s="1"/>
  <c r="B45" i="24" s="1"/>
  <c r="N45" i="23"/>
  <c r="BK5" i="16"/>
  <c r="BL5" i="16"/>
  <c r="BM5" i="16" s="1"/>
  <c r="BN5" i="16"/>
  <c r="I7" i="14"/>
  <c r="I14" i="14"/>
  <c r="I6" i="14"/>
  <c r="F31" i="17"/>
  <c r="BN42" i="16"/>
  <c r="BL42" i="16"/>
  <c r="BM42" i="16" s="1"/>
  <c r="BK42" i="16"/>
  <c r="H16" i="2"/>
  <c r="I17" i="2" s="1"/>
  <c r="E16" i="2"/>
  <c r="D16" i="2"/>
  <c r="C17" i="2"/>
  <c r="G147" i="16"/>
  <c r="F156" i="16"/>
  <c r="E57" i="17"/>
  <c r="K32" i="17"/>
  <c r="BK32" i="16"/>
  <c r="BN32" i="16"/>
  <c r="BL32" i="16"/>
  <c r="BM32" i="16" s="1"/>
  <c r="C50" i="23"/>
  <c r="D50" i="23" s="1"/>
  <c r="E50" i="23" s="1"/>
  <c r="F50" i="23" s="1"/>
  <c r="G50" i="23" s="1"/>
  <c r="H50" i="23" s="1"/>
  <c r="I50" i="23" s="1"/>
  <c r="J50" i="23" s="1"/>
  <c r="K50" i="23" s="1"/>
  <c r="L50" i="23" s="1"/>
  <c r="M50" i="23" s="1"/>
  <c r="B50" i="24" s="1"/>
  <c r="J3" i="14"/>
  <c r="L3" i="6"/>
  <c r="F57" i="17" l="1"/>
  <c r="H147" i="16"/>
  <c r="N48" i="23"/>
  <c r="F16" i="2"/>
  <c r="AM155" i="16"/>
  <c r="AL155" i="16"/>
  <c r="AN155" i="16"/>
  <c r="H21" i="17"/>
  <c r="I151" i="16" s="1"/>
  <c r="H7" i="17"/>
  <c r="N7" i="17" s="1"/>
  <c r="AH155" i="16"/>
  <c r="AI155" i="16"/>
  <c r="AG155" i="16"/>
  <c r="G26" i="17"/>
  <c r="H156" i="16" s="1"/>
  <c r="K5" i="17"/>
  <c r="J4" i="17"/>
  <c r="I6" i="17"/>
  <c r="N49" i="23"/>
  <c r="BO7" i="16"/>
  <c r="BR7" i="16"/>
  <c r="BP7" i="16"/>
  <c r="BQ7" i="16" s="1"/>
  <c r="BP40" i="16"/>
  <c r="BQ40" i="16" s="1"/>
  <c r="BR40" i="16"/>
  <c r="BO40" i="16"/>
  <c r="L32" i="17"/>
  <c r="BO45" i="16"/>
  <c r="BP45" i="16"/>
  <c r="BQ45" i="16" s="1"/>
  <c r="BR45" i="16"/>
  <c r="C49" i="24"/>
  <c r="D49" i="24" s="1"/>
  <c r="E49" i="24" s="1"/>
  <c r="F49" i="24" s="1"/>
  <c r="G49" i="24" s="1"/>
  <c r="H49" i="24" s="1"/>
  <c r="I49" i="24" s="1"/>
  <c r="J49" i="24" s="1"/>
  <c r="K49" i="24" s="1"/>
  <c r="L49" i="24" s="1"/>
  <c r="M49" i="24" s="1"/>
  <c r="B49" i="25" s="1"/>
  <c r="I82" i="14"/>
  <c r="I83" i="14"/>
  <c r="I73" i="14"/>
  <c r="I93" i="14"/>
  <c r="I88" i="14"/>
  <c r="I87" i="14"/>
  <c r="I86" i="14"/>
  <c r="I85" i="14"/>
  <c r="I84" i="14"/>
  <c r="I81" i="14"/>
  <c r="I92" i="14"/>
  <c r="I91" i="14"/>
  <c r="I90" i="14"/>
  <c r="I89" i="14"/>
  <c r="I80" i="14"/>
  <c r="I79" i="14"/>
  <c r="I78" i="14"/>
  <c r="I76" i="14"/>
  <c r="I74" i="14"/>
  <c r="I77" i="14"/>
  <c r="I75" i="14"/>
  <c r="J20" i="14"/>
  <c r="BO27" i="16"/>
  <c r="BP27" i="16"/>
  <c r="BQ27" i="16" s="1"/>
  <c r="BR27" i="16"/>
  <c r="BR42" i="16"/>
  <c r="BP42" i="16"/>
  <c r="BQ42" i="16" s="1"/>
  <c r="BO42" i="16"/>
  <c r="H152" i="16"/>
  <c r="J6" i="14"/>
  <c r="BP11" i="16"/>
  <c r="BQ11" i="16" s="1"/>
  <c r="BR11" i="16"/>
  <c r="BO11" i="16"/>
  <c r="AF156" i="16"/>
  <c r="J12" i="14"/>
  <c r="N44" i="23"/>
  <c r="J29" i="14"/>
  <c r="C48" i="24"/>
  <c r="D48" i="24" s="1"/>
  <c r="E48" i="24" s="1"/>
  <c r="F48" i="24" s="1"/>
  <c r="G48" i="24" s="1"/>
  <c r="H48" i="24" s="1"/>
  <c r="I48" i="24" s="1"/>
  <c r="J48" i="24" s="1"/>
  <c r="K48" i="24" s="1"/>
  <c r="L48" i="24" s="1"/>
  <c r="M48" i="24" s="1"/>
  <c r="B48" i="25" s="1"/>
  <c r="N48" i="24"/>
  <c r="BO26" i="16"/>
  <c r="BR26" i="16"/>
  <c r="BP26" i="16"/>
  <c r="BQ26" i="16" s="1"/>
  <c r="BR13" i="16"/>
  <c r="BP13" i="16"/>
  <c r="BQ13" i="16" s="1"/>
  <c r="BO13" i="16"/>
  <c r="BP21" i="16"/>
  <c r="BQ21" i="16" s="1"/>
  <c r="BO21" i="16"/>
  <c r="BR21" i="16"/>
  <c r="BP33" i="16"/>
  <c r="BQ33" i="16" s="1"/>
  <c r="BR33" i="16"/>
  <c r="BO33" i="16"/>
  <c r="BR35" i="16"/>
  <c r="BO35" i="16"/>
  <c r="BP35" i="16"/>
  <c r="BQ35" i="16" s="1"/>
  <c r="C46" i="24"/>
  <c r="D46" i="24" s="1"/>
  <c r="E46" i="24" s="1"/>
  <c r="F46" i="24" s="1"/>
  <c r="G46" i="24" s="1"/>
  <c r="H46" i="24" s="1"/>
  <c r="I46" i="24" s="1"/>
  <c r="J46" i="24" s="1"/>
  <c r="K46" i="24" s="1"/>
  <c r="L46" i="24" s="1"/>
  <c r="M46" i="24" s="1"/>
  <c r="B46" i="25" s="1"/>
  <c r="J14" i="14"/>
  <c r="C44" i="24"/>
  <c r="D44" i="24" s="1"/>
  <c r="E44" i="24" s="1"/>
  <c r="F44" i="24" s="1"/>
  <c r="G44" i="24" s="1"/>
  <c r="H44" i="24" s="1"/>
  <c r="I44" i="24" s="1"/>
  <c r="J44" i="24" s="1"/>
  <c r="K44" i="24" s="1"/>
  <c r="L44" i="24" s="1"/>
  <c r="M44" i="24" s="1"/>
  <c r="B44" i="25" s="1"/>
  <c r="J30" i="14"/>
  <c r="BR36" i="16"/>
  <c r="BP36" i="16"/>
  <c r="BQ36" i="16" s="1"/>
  <c r="BO36" i="16"/>
  <c r="BP41" i="16"/>
  <c r="BQ41" i="16" s="1"/>
  <c r="BR41" i="16"/>
  <c r="BO41" i="16"/>
  <c r="J9" i="14"/>
  <c r="L10" i="4"/>
  <c r="J31" i="14"/>
  <c r="BR6" i="16"/>
  <c r="BP6" i="16"/>
  <c r="BQ6" i="16" s="1"/>
  <c r="BO6" i="16"/>
  <c r="BP30" i="16"/>
  <c r="BQ30" i="16" s="1"/>
  <c r="BR30" i="16"/>
  <c r="BO30" i="16"/>
  <c r="J5" i="14"/>
  <c r="J26" i="14"/>
  <c r="I38" i="14"/>
  <c r="I39" i="14" s="1"/>
  <c r="I40" i="14" s="1"/>
  <c r="I41" i="14" s="1"/>
  <c r="I42" i="14" s="1"/>
  <c r="I43" i="14" s="1"/>
  <c r="I44" i="14" s="1"/>
  <c r="I45" i="14" s="1"/>
  <c r="I46" i="14" s="1"/>
  <c r="I47" i="14" s="1"/>
  <c r="J37" i="14"/>
  <c r="J13" i="14"/>
  <c r="AK156" i="16"/>
  <c r="J27" i="14"/>
  <c r="J23" i="14"/>
  <c r="J17" i="14"/>
  <c r="J35" i="14"/>
  <c r="J36" i="14"/>
  <c r="BP22" i="16"/>
  <c r="BQ22" i="16" s="1"/>
  <c r="BR22" i="16"/>
  <c r="BO22" i="16"/>
  <c r="N50" i="23"/>
  <c r="J7" i="14"/>
  <c r="AD155" i="16"/>
  <c r="J11" i="14"/>
  <c r="BR48" i="16"/>
  <c r="BP48" i="16"/>
  <c r="BQ48" i="16" s="1"/>
  <c r="BO48" i="16"/>
  <c r="BR34" i="16"/>
  <c r="BP34" i="16"/>
  <c r="BQ34" i="16" s="1"/>
  <c r="BO34" i="16"/>
  <c r="J21" i="14"/>
  <c r="J25" i="14"/>
  <c r="J42" i="17"/>
  <c r="I52" i="17"/>
  <c r="C50" i="24"/>
  <c r="D50" i="24" s="1"/>
  <c r="E50" i="24" s="1"/>
  <c r="F50" i="24" s="1"/>
  <c r="G50" i="24" s="1"/>
  <c r="H50" i="24" s="1"/>
  <c r="I50" i="24" s="1"/>
  <c r="J50" i="24" s="1"/>
  <c r="K50" i="24" s="1"/>
  <c r="L50" i="24" s="1"/>
  <c r="M50" i="24" s="1"/>
  <c r="B50" i="25" s="1"/>
  <c r="H17" i="2"/>
  <c r="I18" i="2" s="1"/>
  <c r="E17" i="2"/>
  <c r="D17" i="2"/>
  <c r="C18" i="2"/>
  <c r="BR12" i="16"/>
  <c r="BP12" i="16"/>
  <c r="BQ12" i="16" s="1"/>
  <c r="BO12" i="16"/>
  <c r="BO9" i="16"/>
  <c r="BR9" i="16"/>
  <c r="BP9" i="16"/>
  <c r="BQ9" i="16" s="1"/>
  <c r="BR20" i="16"/>
  <c r="BP20" i="16"/>
  <c r="BQ20" i="16" s="1"/>
  <c r="BO20" i="16"/>
  <c r="BR24" i="16"/>
  <c r="BP24" i="16"/>
  <c r="BQ24" i="16" s="1"/>
  <c r="BO24" i="16"/>
  <c r="AB155" i="16"/>
  <c r="BP47" i="16"/>
  <c r="BQ47" i="16" s="1"/>
  <c r="BR47" i="16"/>
  <c r="BO47" i="16"/>
  <c r="BP18" i="16"/>
  <c r="BQ18" i="16" s="1"/>
  <c r="BR18" i="16"/>
  <c r="BO18" i="16"/>
  <c r="BR31" i="16"/>
  <c r="BP31" i="16"/>
  <c r="BQ31" i="16" s="1"/>
  <c r="BO31" i="16"/>
  <c r="J34" i="14"/>
  <c r="N51" i="23"/>
  <c r="AC155" i="16"/>
  <c r="J8" i="14"/>
  <c r="BR23" i="16"/>
  <c r="BP23" i="16"/>
  <c r="BQ23" i="16" s="1"/>
  <c r="BO23" i="16"/>
  <c r="BO28" i="16"/>
  <c r="BR28" i="16"/>
  <c r="BP28" i="16"/>
  <c r="BQ28" i="16" s="1"/>
  <c r="I66" i="14"/>
  <c r="I71" i="14"/>
  <c r="I64" i="14"/>
  <c r="I69" i="14"/>
  <c r="I67" i="14"/>
  <c r="I72" i="14"/>
  <c r="I65" i="14"/>
  <c r="I70" i="14"/>
  <c r="I63" i="14"/>
  <c r="I68" i="14"/>
  <c r="J18" i="14"/>
  <c r="J19" i="14"/>
  <c r="J10" i="14"/>
  <c r="C45" i="24"/>
  <c r="D45" i="24" s="1"/>
  <c r="E45" i="24" s="1"/>
  <c r="F45" i="24" s="1"/>
  <c r="G45" i="24" s="1"/>
  <c r="H45" i="24" s="1"/>
  <c r="I45" i="24" s="1"/>
  <c r="J45" i="24" s="1"/>
  <c r="K45" i="24" s="1"/>
  <c r="L45" i="24" s="1"/>
  <c r="M45" i="24" s="1"/>
  <c r="B45" i="25" s="1"/>
  <c r="N45" i="24"/>
  <c r="H20" i="17"/>
  <c r="H19" i="17"/>
  <c r="H30" i="17"/>
  <c r="H31" i="17" s="1"/>
  <c r="J152" i="16" s="1"/>
  <c r="H11" i="17"/>
  <c r="H39" i="17"/>
  <c r="H38" i="17"/>
  <c r="H17" i="17"/>
  <c r="H10" i="17"/>
  <c r="H16" i="17"/>
  <c r="H15" i="17"/>
  <c r="H9" i="17"/>
  <c r="H8" i="17"/>
  <c r="H14" i="17"/>
  <c r="H13" i="17"/>
  <c r="H24" i="17"/>
  <c r="I154" i="16" s="1"/>
  <c r="H23" i="17"/>
  <c r="BP15" i="16"/>
  <c r="BQ15" i="16" s="1"/>
  <c r="BO15" i="16"/>
  <c r="BR15" i="16"/>
  <c r="C51" i="24"/>
  <c r="D51" i="24" s="1"/>
  <c r="E51" i="24" s="1"/>
  <c r="F51" i="24" s="1"/>
  <c r="G51" i="24" s="1"/>
  <c r="H51" i="24" s="1"/>
  <c r="I51" i="24" s="1"/>
  <c r="J51" i="24" s="1"/>
  <c r="K51" i="24" s="1"/>
  <c r="L51" i="24" s="1"/>
  <c r="M51" i="24" s="1"/>
  <c r="B51" i="25" s="1"/>
  <c r="N51" i="24"/>
  <c r="I61" i="14"/>
  <c r="I54" i="14"/>
  <c r="I59" i="14"/>
  <c r="I52" i="14"/>
  <c r="I57" i="14"/>
  <c r="I62" i="14"/>
  <c r="I55" i="14"/>
  <c r="I60" i="14"/>
  <c r="I53" i="14"/>
  <c r="I58" i="14"/>
  <c r="I51" i="14"/>
  <c r="J15" i="14"/>
  <c r="I56" i="14"/>
  <c r="BO37" i="16"/>
  <c r="BR37" i="16"/>
  <c r="BP37" i="16"/>
  <c r="BQ37" i="16" s="1"/>
  <c r="BP44" i="16"/>
  <c r="BQ44" i="16" s="1"/>
  <c r="BR44" i="16"/>
  <c r="BO44" i="16"/>
  <c r="BO16" i="16"/>
  <c r="BR16" i="16"/>
  <c r="BP16" i="16"/>
  <c r="BQ16" i="16" s="1"/>
  <c r="J33" i="14"/>
  <c r="K50" i="14"/>
  <c r="L4" i="14"/>
  <c r="AP156" i="16"/>
  <c r="J32" i="14"/>
  <c r="I155" i="16"/>
  <c r="BP43" i="16"/>
  <c r="BQ43" i="16" s="1"/>
  <c r="BR43" i="16"/>
  <c r="BO43" i="16"/>
  <c r="BR32" i="16"/>
  <c r="BP32" i="16"/>
  <c r="BQ32" i="16" s="1"/>
  <c r="BO32" i="16"/>
  <c r="BR5" i="16"/>
  <c r="BP5" i="16"/>
  <c r="BQ5" i="16" s="1"/>
  <c r="BO5" i="16"/>
  <c r="G31" i="17"/>
  <c r="I152" i="16" s="1"/>
  <c r="BR46" i="16"/>
  <c r="BP46" i="16"/>
  <c r="BQ46" i="16" s="1"/>
  <c r="BO46" i="16"/>
  <c r="J22" i="14"/>
  <c r="BP14" i="16"/>
  <c r="BQ14" i="16" s="1"/>
  <c r="BR14" i="16"/>
  <c r="BO14" i="16"/>
  <c r="BO8" i="16"/>
  <c r="BR8" i="16"/>
  <c r="BP8" i="16"/>
  <c r="BQ8" i="16" s="1"/>
  <c r="BP10" i="16"/>
  <c r="BQ10" i="16" s="1"/>
  <c r="BO10" i="16"/>
  <c r="BR10" i="16"/>
  <c r="N43" i="23"/>
  <c r="N47" i="23"/>
  <c r="BR19" i="16"/>
  <c r="BP19" i="16"/>
  <c r="BQ19" i="16" s="1"/>
  <c r="BO19" i="16"/>
  <c r="BO39" i="16"/>
  <c r="BR39" i="16"/>
  <c r="BP39" i="16"/>
  <c r="BQ39" i="16" s="1"/>
  <c r="J28" i="14"/>
  <c r="J24" i="14"/>
  <c r="BP38" i="16"/>
  <c r="BQ38" i="16" s="1"/>
  <c r="BO38" i="16"/>
  <c r="BR38" i="16"/>
  <c r="BR25" i="16"/>
  <c r="BP25" i="16"/>
  <c r="BQ25" i="16" s="1"/>
  <c r="BO25" i="16"/>
  <c r="BR29" i="16"/>
  <c r="BP29" i="16"/>
  <c r="BQ29" i="16" s="1"/>
  <c r="BO29" i="16"/>
  <c r="M9" i="4"/>
  <c r="C43" i="24"/>
  <c r="D43" i="24" s="1"/>
  <c r="E43" i="24" s="1"/>
  <c r="F43" i="24" s="1"/>
  <c r="G43" i="24" s="1"/>
  <c r="H43" i="24" s="1"/>
  <c r="I43" i="24" s="1"/>
  <c r="J43" i="24" s="1"/>
  <c r="K43" i="24" s="1"/>
  <c r="L43" i="24" s="1"/>
  <c r="M43" i="24" s="1"/>
  <c r="B43" i="25" s="1"/>
  <c r="C47" i="24"/>
  <c r="D47" i="24" s="1"/>
  <c r="E47" i="24" s="1"/>
  <c r="F47" i="24" s="1"/>
  <c r="G47" i="24" s="1"/>
  <c r="H47" i="24" s="1"/>
  <c r="I47" i="24" s="1"/>
  <c r="J47" i="24" s="1"/>
  <c r="K47" i="24" s="1"/>
  <c r="L47" i="24" s="1"/>
  <c r="M47" i="24" s="1"/>
  <c r="B47" i="25" s="1"/>
  <c r="BR17" i="16"/>
  <c r="BP17" i="16"/>
  <c r="BQ17" i="16" s="1"/>
  <c r="BO17" i="16"/>
  <c r="J16" i="14"/>
  <c r="M3" i="6"/>
  <c r="K3" i="14"/>
  <c r="AL156" i="16" l="1"/>
  <c r="F17" i="2"/>
  <c r="N46" i="24"/>
  <c r="AI156" i="16"/>
  <c r="I147" i="16"/>
  <c r="I21" i="17"/>
  <c r="J151" i="16" s="1"/>
  <c r="I25" i="17"/>
  <c r="J155" i="16" s="1"/>
  <c r="AC156" i="16"/>
  <c r="AB156" i="16"/>
  <c r="AD156" i="16"/>
  <c r="G57" i="17"/>
  <c r="AH156" i="16"/>
  <c r="AG156" i="16"/>
  <c r="K24" i="14"/>
  <c r="BV10" i="16"/>
  <c r="BT10" i="16"/>
  <c r="BU10" i="16" s="1"/>
  <c r="BS10" i="16"/>
  <c r="BS37" i="16"/>
  <c r="BV37" i="16"/>
  <c r="BT37" i="16"/>
  <c r="BU37" i="16" s="1"/>
  <c r="K21" i="14"/>
  <c r="BV29" i="16"/>
  <c r="BT29" i="16"/>
  <c r="BU29" i="16" s="1"/>
  <c r="BS29" i="16"/>
  <c r="BV8" i="16"/>
  <c r="BT8" i="16"/>
  <c r="BU8" i="16" s="1"/>
  <c r="BS8" i="16"/>
  <c r="K10" i="14"/>
  <c r="BV24" i="16"/>
  <c r="BT24" i="16"/>
  <c r="BU24" i="16" s="1"/>
  <c r="BS24" i="16"/>
  <c r="BS12" i="16"/>
  <c r="BT12" i="16"/>
  <c r="BU12" i="16" s="1"/>
  <c r="BV12" i="16"/>
  <c r="BT22" i="16"/>
  <c r="BU22" i="16" s="1"/>
  <c r="BV22" i="16"/>
  <c r="BS22" i="16"/>
  <c r="K26" i="14"/>
  <c r="AM156" i="16"/>
  <c r="BS13" i="16"/>
  <c r="BV13" i="16"/>
  <c r="BT13" i="16"/>
  <c r="BU13" i="16" s="1"/>
  <c r="I20" i="17"/>
  <c r="I19" i="17"/>
  <c r="I30" i="17"/>
  <c r="I31" i="17" s="1"/>
  <c r="K152" i="16" s="1"/>
  <c r="I11" i="17"/>
  <c r="I39" i="17"/>
  <c r="I38" i="17"/>
  <c r="I17" i="17"/>
  <c r="I10" i="17"/>
  <c r="I16" i="17"/>
  <c r="I15" i="17"/>
  <c r="I9" i="17"/>
  <c r="I8" i="17"/>
  <c r="I14" i="17"/>
  <c r="I13" i="17"/>
  <c r="I24" i="17"/>
  <c r="J154" i="16" s="1"/>
  <c r="I23" i="17"/>
  <c r="J153" i="16" s="1"/>
  <c r="BS39" i="16"/>
  <c r="BV39" i="16"/>
  <c r="BT39" i="16"/>
  <c r="BU39" i="16" s="1"/>
  <c r="H26" i="17"/>
  <c r="K6" i="14"/>
  <c r="C51" i="25"/>
  <c r="D51" i="25" s="1"/>
  <c r="E51" i="25" s="1"/>
  <c r="F51" i="25" s="1"/>
  <c r="G51" i="25" s="1"/>
  <c r="H51" i="25" s="1"/>
  <c r="I51" i="25" s="1"/>
  <c r="J51" i="25" s="1"/>
  <c r="K51" i="25" s="1"/>
  <c r="L51" i="25" s="1"/>
  <c r="M51" i="25" s="1"/>
  <c r="B51" i="26" s="1"/>
  <c r="J66" i="14"/>
  <c r="J71" i="14"/>
  <c r="J64" i="14"/>
  <c r="J69" i="14"/>
  <c r="J67" i="14"/>
  <c r="J72" i="14"/>
  <c r="J65" i="14"/>
  <c r="J70" i="14"/>
  <c r="J63" i="14"/>
  <c r="J68" i="14"/>
  <c r="K18" i="14"/>
  <c r="BV28" i="16"/>
  <c r="BT28" i="16"/>
  <c r="BU28" i="16" s="1"/>
  <c r="BS28" i="16"/>
  <c r="BV31" i="16"/>
  <c r="BT31" i="16"/>
  <c r="BU31" i="16" s="1"/>
  <c r="BS31" i="16"/>
  <c r="K36" i="14"/>
  <c r="BT26" i="16"/>
  <c r="BU26" i="16" s="1"/>
  <c r="BV26" i="16"/>
  <c r="BS26" i="16"/>
  <c r="BV14" i="16"/>
  <c r="BT14" i="16"/>
  <c r="BU14" i="16" s="1"/>
  <c r="BS14" i="16"/>
  <c r="BT15" i="16"/>
  <c r="BU15" i="16" s="1"/>
  <c r="BV15" i="16"/>
  <c r="BS15" i="16"/>
  <c r="K35" i="14"/>
  <c r="BS30" i="16"/>
  <c r="BV30" i="16"/>
  <c r="BT30" i="16"/>
  <c r="BU30" i="16" s="1"/>
  <c r="BV35" i="16"/>
  <c r="BT35" i="16"/>
  <c r="BU35" i="16" s="1"/>
  <c r="BS35" i="16"/>
  <c r="M32" i="17"/>
  <c r="K33" i="14"/>
  <c r="BV17" i="16"/>
  <c r="BT17" i="16"/>
  <c r="BU17" i="16" s="1"/>
  <c r="BS17" i="16"/>
  <c r="BT25" i="16"/>
  <c r="BU25" i="16" s="1"/>
  <c r="BV25" i="16"/>
  <c r="BS25" i="16"/>
  <c r="BV32" i="16"/>
  <c r="BS32" i="16"/>
  <c r="BT32" i="16"/>
  <c r="BU32" i="16" s="1"/>
  <c r="BV16" i="16"/>
  <c r="BT16" i="16"/>
  <c r="BU16" i="16" s="1"/>
  <c r="BS16" i="16"/>
  <c r="BS18" i="16"/>
  <c r="BV18" i="16"/>
  <c r="BT18" i="16"/>
  <c r="BU18" i="16" s="1"/>
  <c r="BT48" i="16"/>
  <c r="BU48" i="16" s="1"/>
  <c r="BS48" i="16"/>
  <c r="BV48" i="16"/>
  <c r="AN156" i="16"/>
  <c r="J54" i="14"/>
  <c r="J59" i="14"/>
  <c r="J52" i="14"/>
  <c r="J57" i="14"/>
  <c r="J62" i="14"/>
  <c r="J55" i="14"/>
  <c r="J60" i="14"/>
  <c r="J53" i="14"/>
  <c r="J58" i="14"/>
  <c r="J51" i="14"/>
  <c r="J56" i="14"/>
  <c r="K15" i="14"/>
  <c r="J61" i="14"/>
  <c r="H18" i="2"/>
  <c r="I19" i="2" s="1"/>
  <c r="E18" i="2"/>
  <c r="D18" i="2"/>
  <c r="F18" i="2" s="1"/>
  <c r="C19" i="2"/>
  <c r="BV34" i="16"/>
  <c r="BS34" i="16"/>
  <c r="BT34" i="16"/>
  <c r="BU34" i="16" s="1"/>
  <c r="K5" i="14"/>
  <c r="BS41" i="16"/>
  <c r="BT41" i="16"/>
  <c r="BU41" i="16" s="1"/>
  <c r="BV41" i="16"/>
  <c r="L5" i="17"/>
  <c r="K4" i="17"/>
  <c r="J6" i="17"/>
  <c r="N47" i="24"/>
  <c r="BV38" i="16"/>
  <c r="BT38" i="16"/>
  <c r="BU38" i="16" s="1"/>
  <c r="BS38" i="16"/>
  <c r="BS19" i="16"/>
  <c r="BV19" i="16"/>
  <c r="BT19" i="16"/>
  <c r="BU19" i="16" s="1"/>
  <c r="K22" i="14"/>
  <c r="N50" i="24"/>
  <c r="K11" i="14"/>
  <c r="K17" i="14"/>
  <c r="BT36" i="16"/>
  <c r="BU36" i="16" s="1"/>
  <c r="BV36" i="16"/>
  <c r="BS36" i="16"/>
  <c r="BV33" i="16"/>
  <c r="BT33" i="16"/>
  <c r="BU33" i="16" s="1"/>
  <c r="BS33" i="16"/>
  <c r="C48" i="25"/>
  <c r="D48" i="25" s="1"/>
  <c r="E48" i="25" s="1"/>
  <c r="F48" i="25" s="1"/>
  <c r="G48" i="25" s="1"/>
  <c r="H48" i="25" s="1"/>
  <c r="I48" i="25" s="1"/>
  <c r="J48" i="25" s="1"/>
  <c r="K48" i="25" s="1"/>
  <c r="L48" i="25" s="1"/>
  <c r="M48" i="25" s="1"/>
  <c r="B48" i="26" s="1"/>
  <c r="BV40" i="16"/>
  <c r="BT40" i="16"/>
  <c r="BU40" i="16" s="1"/>
  <c r="BS40" i="16"/>
  <c r="BV5" i="16"/>
  <c r="BT5" i="16"/>
  <c r="BU5" i="16" s="1"/>
  <c r="BS5" i="16"/>
  <c r="BV23" i="16"/>
  <c r="BT23" i="16"/>
  <c r="BU23" i="16" s="1"/>
  <c r="BS23" i="16"/>
  <c r="BS20" i="16"/>
  <c r="BV20" i="16"/>
  <c r="BT20" i="16"/>
  <c r="BU20" i="16" s="1"/>
  <c r="C50" i="25"/>
  <c r="D50" i="25" s="1"/>
  <c r="E50" i="25" s="1"/>
  <c r="F50" i="25" s="1"/>
  <c r="G50" i="25" s="1"/>
  <c r="H50" i="25" s="1"/>
  <c r="I50" i="25" s="1"/>
  <c r="J50" i="25" s="1"/>
  <c r="K50" i="25" s="1"/>
  <c r="L50" i="25" s="1"/>
  <c r="M50" i="25" s="1"/>
  <c r="B50" i="26" s="1"/>
  <c r="K23" i="14"/>
  <c r="K30" i="14"/>
  <c r="K29" i="14"/>
  <c r="BS42" i="16"/>
  <c r="BV42" i="16"/>
  <c r="BT42" i="16"/>
  <c r="BU42" i="16" s="1"/>
  <c r="K16" i="14"/>
  <c r="K19" i="14"/>
  <c r="C47" i="25"/>
  <c r="D47" i="25" s="1"/>
  <c r="E47" i="25" s="1"/>
  <c r="F47" i="25" s="1"/>
  <c r="G47" i="25" s="1"/>
  <c r="H47" i="25" s="1"/>
  <c r="I47" i="25" s="1"/>
  <c r="J47" i="25" s="1"/>
  <c r="K47" i="25" s="1"/>
  <c r="L47" i="25" s="1"/>
  <c r="M47" i="25" s="1"/>
  <c r="B47" i="26" s="1"/>
  <c r="BS43" i="16"/>
  <c r="BT43" i="16"/>
  <c r="BU43" i="16" s="1"/>
  <c r="BV43" i="16"/>
  <c r="N43" i="24"/>
  <c r="BT44" i="16"/>
  <c r="BU44" i="16" s="1"/>
  <c r="BV44" i="16"/>
  <c r="BS44" i="16"/>
  <c r="I153" i="16"/>
  <c r="K8" i="14"/>
  <c r="BT47" i="16"/>
  <c r="BU47" i="16" s="1"/>
  <c r="BV47" i="16"/>
  <c r="BS47" i="16"/>
  <c r="K7" i="14"/>
  <c r="AK157" i="16"/>
  <c r="K27" i="14"/>
  <c r="BT6" i="16"/>
  <c r="BU6" i="16" s="1"/>
  <c r="BS6" i="16"/>
  <c r="BV6" i="16"/>
  <c r="N44" i="24"/>
  <c r="BV21" i="16"/>
  <c r="BT21" i="16"/>
  <c r="BU21" i="16" s="1"/>
  <c r="BS21" i="16"/>
  <c r="BV27" i="16"/>
  <c r="BT27" i="16"/>
  <c r="BU27" i="16" s="1"/>
  <c r="BS27" i="16"/>
  <c r="C43" i="25"/>
  <c r="D43" i="25" s="1"/>
  <c r="E43" i="25" s="1"/>
  <c r="F43" i="25" s="1"/>
  <c r="G43" i="25" s="1"/>
  <c r="H43" i="25" s="1"/>
  <c r="I43" i="25" s="1"/>
  <c r="J43" i="25" s="1"/>
  <c r="K43" i="25" s="1"/>
  <c r="L43" i="25" s="1"/>
  <c r="M43" i="25" s="1"/>
  <c r="B43" i="26" s="1"/>
  <c r="N43" i="25"/>
  <c r="BV9" i="16"/>
  <c r="BS9" i="16"/>
  <c r="BT9" i="16"/>
  <c r="BU9" i="16" s="1"/>
  <c r="J52" i="17"/>
  <c r="K42" i="17"/>
  <c r="K31" i="14"/>
  <c r="C44" i="25"/>
  <c r="D44" i="25" s="1"/>
  <c r="E44" i="25" s="1"/>
  <c r="F44" i="25" s="1"/>
  <c r="G44" i="25" s="1"/>
  <c r="H44" i="25" s="1"/>
  <c r="I44" i="25" s="1"/>
  <c r="J44" i="25" s="1"/>
  <c r="K44" i="25" s="1"/>
  <c r="L44" i="25" s="1"/>
  <c r="M44" i="25" s="1"/>
  <c r="B44" i="26" s="1"/>
  <c r="N44" i="25"/>
  <c r="AF157" i="16"/>
  <c r="K12" i="14"/>
  <c r="N49" i="24"/>
  <c r="BT7" i="16"/>
  <c r="BU7" i="16" s="1"/>
  <c r="BV7" i="16"/>
  <c r="BS7" i="16"/>
  <c r="M10" i="4"/>
  <c r="K28" i="14"/>
  <c r="AP157" i="16"/>
  <c r="K32" i="14"/>
  <c r="K25" i="14"/>
  <c r="K13" i="14"/>
  <c r="K14" i="14"/>
  <c r="C49" i="25"/>
  <c r="D49" i="25" s="1"/>
  <c r="E49" i="25" s="1"/>
  <c r="F49" i="25" s="1"/>
  <c r="G49" i="25" s="1"/>
  <c r="H49" i="25" s="1"/>
  <c r="I49" i="25" s="1"/>
  <c r="J49" i="25" s="1"/>
  <c r="K49" i="25" s="1"/>
  <c r="L49" i="25" s="1"/>
  <c r="M49" i="25" s="1"/>
  <c r="B49" i="26" s="1"/>
  <c r="J87" i="14"/>
  <c r="J88" i="14"/>
  <c r="J93" i="14"/>
  <c r="J86" i="14"/>
  <c r="J85" i="14"/>
  <c r="J84" i="14"/>
  <c r="J83" i="14"/>
  <c r="J82" i="14"/>
  <c r="J81" i="14"/>
  <c r="J92" i="14"/>
  <c r="J91" i="14"/>
  <c r="J90" i="14"/>
  <c r="J89" i="14"/>
  <c r="J80" i="14"/>
  <c r="J79" i="14"/>
  <c r="J78" i="14"/>
  <c r="J76" i="14"/>
  <c r="J74" i="14"/>
  <c r="J77" i="14"/>
  <c r="J75" i="14"/>
  <c r="J73" i="14"/>
  <c r="K20" i="14"/>
  <c r="BV45" i="16"/>
  <c r="BT45" i="16"/>
  <c r="BU45" i="16" s="1"/>
  <c r="BS45" i="16"/>
  <c r="BV46" i="16"/>
  <c r="BT46" i="16"/>
  <c r="BU46" i="16" s="1"/>
  <c r="BS46" i="16"/>
  <c r="K37" i="14"/>
  <c r="J38" i="14"/>
  <c r="J39" i="14" s="1"/>
  <c r="J40" i="14" s="1"/>
  <c r="J41" i="14" s="1"/>
  <c r="J42" i="14" s="1"/>
  <c r="J43" i="14" s="1"/>
  <c r="J44" i="14" s="1"/>
  <c r="J45" i="14" s="1"/>
  <c r="J46" i="14" s="1"/>
  <c r="J47" i="14" s="1"/>
  <c r="L11" i="4"/>
  <c r="L50" i="14"/>
  <c r="M4" i="14"/>
  <c r="C45" i="25"/>
  <c r="D45" i="25" s="1"/>
  <c r="E45" i="25" s="1"/>
  <c r="F45" i="25" s="1"/>
  <c r="G45" i="25" s="1"/>
  <c r="H45" i="25" s="1"/>
  <c r="I45" i="25" s="1"/>
  <c r="J45" i="25" s="1"/>
  <c r="K45" i="25" s="1"/>
  <c r="L45" i="25" s="1"/>
  <c r="M45" i="25" s="1"/>
  <c r="B45" i="26" s="1"/>
  <c r="K34" i="14"/>
  <c r="K9" i="14"/>
  <c r="C46" i="25"/>
  <c r="D46" i="25" s="1"/>
  <c r="E46" i="25" s="1"/>
  <c r="F46" i="25" s="1"/>
  <c r="G46" i="25" s="1"/>
  <c r="H46" i="25" s="1"/>
  <c r="I46" i="25" s="1"/>
  <c r="J46" i="25" s="1"/>
  <c r="K46" i="25" s="1"/>
  <c r="L46" i="25" s="1"/>
  <c r="M46" i="25" s="1"/>
  <c r="B46" i="26" s="1"/>
  <c r="N46" i="25"/>
  <c r="BS11" i="16"/>
  <c r="BV11" i="16"/>
  <c r="BT11" i="16"/>
  <c r="BU11" i="16" s="1"/>
  <c r="N3" i="6"/>
  <c r="L3" i="14"/>
  <c r="AL157" i="16" l="1"/>
  <c r="AI157" i="16"/>
  <c r="AB157" i="16"/>
  <c r="N47" i="25"/>
  <c r="N50" i="25"/>
  <c r="J25" i="17"/>
  <c r="K155" i="16" s="1"/>
  <c r="AG157" i="16"/>
  <c r="I26" i="17"/>
  <c r="J156" i="16" s="1"/>
  <c r="AC157" i="16"/>
  <c r="AD157" i="16"/>
  <c r="C49" i="26"/>
  <c r="D49" i="26" s="1"/>
  <c r="E49" i="26" s="1"/>
  <c r="F49" i="26" s="1"/>
  <c r="G49" i="26" s="1"/>
  <c r="H49" i="26" s="1"/>
  <c r="I49" i="26" s="1"/>
  <c r="J49" i="26" s="1"/>
  <c r="K49" i="26" s="1"/>
  <c r="L49" i="26" s="1"/>
  <c r="M49" i="26" s="1"/>
  <c r="B49" i="27" s="1"/>
  <c r="BZ44" i="16"/>
  <c r="BX44" i="16"/>
  <c r="BY44" i="16" s="1"/>
  <c r="BW44" i="16"/>
  <c r="BW23" i="16"/>
  <c r="BZ23" i="16"/>
  <c r="BX23" i="16"/>
  <c r="BY23" i="16" s="1"/>
  <c r="BZ38" i="16"/>
  <c r="BX38" i="16"/>
  <c r="BY38" i="16" s="1"/>
  <c r="BW38" i="16"/>
  <c r="H19" i="2"/>
  <c r="I20" i="2" s="1"/>
  <c r="E19" i="2"/>
  <c r="D19" i="2"/>
  <c r="C20" i="2"/>
  <c r="L35" i="14"/>
  <c r="L21" i="14"/>
  <c r="L14" i="14"/>
  <c r="BX36" i="16"/>
  <c r="BY36" i="16" s="1"/>
  <c r="BW36" i="16"/>
  <c r="BZ36" i="16"/>
  <c r="AF158" i="16"/>
  <c r="L12" i="14"/>
  <c r="AK158" i="16"/>
  <c r="L27" i="14"/>
  <c r="L30" i="14"/>
  <c r="J19" i="17"/>
  <c r="J30" i="17"/>
  <c r="J31" i="17" s="1"/>
  <c r="L152" i="16" s="1"/>
  <c r="J11" i="17"/>
  <c r="J39" i="17"/>
  <c r="J17" i="17"/>
  <c r="J10" i="17"/>
  <c r="J16" i="17"/>
  <c r="J15" i="17"/>
  <c r="J9" i="17"/>
  <c r="J8" i="17"/>
  <c r="J14" i="17"/>
  <c r="J12" i="17"/>
  <c r="J13" i="17"/>
  <c r="J24" i="17"/>
  <c r="K154" i="16" s="1"/>
  <c r="J23" i="17"/>
  <c r="K153" i="16" s="1"/>
  <c r="J20" i="17"/>
  <c r="L33" i="14"/>
  <c r="BW15" i="16"/>
  <c r="BZ15" i="16"/>
  <c r="BX15" i="16"/>
  <c r="BY15" i="16" s="1"/>
  <c r="BZ31" i="16"/>
  <c r="BW31" i="16"/>
  <c r="BX31" i="16"/>
  <c r="BY31" i="16" s="1"/>
  <c r="BZ37" i="16"/>
  <c r="BX37" i="16"/>
  <c r="BY37" i="16" s="1"/>
  <c r="BW37" i="16"/>
  <c r="L13" i="14"/>
  <c r="L12" i="4"/>
  <c r="L25" i="14"/>
  <c r="C43" i="26"/>
  <c r="D43" i="26" s="1"/>
  <c r="E43" i="26" s="1"/>
  <c r="F43" i="26" s="1"/>
  <c r="G43" i="26" s="1"/>
  <c r="H43" i="26" s="1"/>
  <c r="I43" i="26" s="1"/>
  <c r="J43" i="26" s="1"/>
  <c r="K43" i="26" s="1"/>
  <c r="L43" i="26" s="1"/>
  <c r="M43" i="26" s="1"/>
  <c r="B43" i="27" s="1"/>
  <c r="BW43" i="16"/>
  <c r="BZ43" i="16"/>
  <c r="BX43" i="16"/>
  <c r="BY43" i="16" s="1"/>
  <c r="L23" i="14"/>
  <c r="BW5" i="16"/>
  <c r="BZ5" i="16"/>
  <c r="BX5" i="16"/>
  <c r="BY5" i="16" s="1"/>
  <c r="L17" i="14"/>
  <c r="M5" i="17"/>
  <c r="B5" i="18" s="1"/>
  <c r="C5" i="18" s="1"/>
  <c r="D5" i="18" s="1"/>
  <c r="E5" i="18" s="1"/>
  <c r="F5" i="18" s="1"/>
  <c r="G5" i="18" s="1"/>
  <c r="H5" i="18" s="1"/>
  <c r="I5" i="18" s="1"/>
  <c r="J5" i="18" s="1"/>
  <c r="K5" i="18" s="1"/>
  <c r="L5" i="18" s="1"/>
  <c r="M5" i="18" s="1"/>
  <c r="B5" i="19" s="1"/>
  <c r="C5" i="19" s="1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B5" i="20" s="1"/>
  <c r="C5" i="20" s="1"/>
  <c r="D5" i="20" s="1"/>
  <c r="E5" i="20" s="1"/>
  <c r="F5" i="20" s="1"/>
  <c r="G5" i="20" s="1"/>
  <c r="H5" i="20" s="1"/>
  <c r="I5" i="20" s="1"/>
  <c r="J5" i="20" s="1"/>
  <c r="K5" i="20" s="1"/>
  <c r="L5" i="20" s="1"/>
  <c r="M5" i="20" s="1"/>
  <c r="B5" i="21" s="1"/>
  <c r="C5" i="21" s="1"/>
  <c r="D5" i="21" s="1"/>
  <c r="E5" i="21" s="1"/>
  <c r="F5" i="21" s="1"/>
  <c r="G5" i="21" s="1"/>
  <c r="H5" i="21" s="1"/>
  <c r="I5" i="21" s="1"/>
  <c r="J5" i="21" s="1"/>
  <c r="K5" i="21" s="1"/>
  <c r="L5" i="21" s="1"/>
  <c r="M5" i="21" s="1"/>
  <c r="B5" i="22" s="1"/>
  <c r="C5" i="22" s="1"/>
  <c r="D5" i="22" s="1"/>
  <c r="E5" i="22" s="1"/>
  <c r="F5" i="22" s="1"/>
  <c r="G5" i="22" s="1"/>
  <c r="H5" i="22" s="1"/>
  <c r="I5" i="22" s="1"/>
  <c r="J5" i="22" s="1"/>
  <c r="K5" i="22" s="1"/>
  <c r="L5" i="22" s="1"/>
  <c r="M5" i="22" s="1"/>
  <c r="B5" i="23" s="1"/>
  <c r="C5" i="23" s="1"/>
  <c r="D5" i="23" s="1"/>
  <c r="E5" i="23" s="1"/>
  <c r="F5" i="23" s="1"/>
  <c r="G5" i="23" s="1"/>
  <c r="H5" i="23" s="1"/>
  <c r="I5" i="23" s="1"/>
  <c r="J5" i="23" s="1"/>
  <c r="K5" i="23" s="1"/>
  <c r="L5" i="23" s="1"/>
  <c r="M5" i="23" s="1"/>
  <c r="B5" i="24" s="1"/>
  <c r="C5" i="24" s="1"/>
  <c r="D5" i="24" s="1"/>
  <c r="E5" i="24" s="1"/>
  <c r="F5" i="24" s="1"/>
  <c r="G5" i="24" s="1"/>
  <c r="H5" i="24" s="1"/>
  <c r="I5" i="24" s="1"/>
  <c r="J5" i="24" s="1"/>
  <c r="K5" i="24" s="1"/>
  <c r="L5" i="24" s="1"/>
  <c r="M5" i="24" s="1"/>
  <c r="B5" i="25" s="1"/>
  <c r="C5" i="25" s="1"/>
  <c r="D5" i="25" s="1"/>
  <c r="E5" i="25" s="1"/>
  <c r="F5" i="25" s="1"/>
  <c r="G5" i="25" s="1"/>
  <c r="H5" i="25" s="1"/>
  <c r="I5" i="25" s="1"/>
  <c r="J5" i="25" s="1"/>
  <c r="K5" i="25" s="1"/>
  <c r="L5" i="25" s="1"/>
  <c r="M5" i="25" s="1"/>
  <c r="B5" i="26" s="1"/>
  <c r="C5" i="26" s="1"/>
  <c r="D5" i="26" s="1"/>
  <c r="E5" i="26" s="1"/>
  <c r="F5" i="26" s="1"/>
  <c r="G5" i="26" s="1"/>
  <c r="H5" i="26" s="1"/>
  <c r="I5" i="26" s="1"/>
  <c r="J5" i="26" s="1"/>
  <c r="K5" i="26" s="1"/>
  <c r="L5" i="26" s="1"/>
  <c r="M5" i="26" s="1"/>
  <c r="B5" i="27" s="1"/>
  <c r="C5" i="27" s="1"/>
  <c r="D5" i="27" s="1"/>
  <c r="E5" i="27" s="1"/>
  <c r="F5" i="27" s="1"/>
  <c r="G5" i="27" s="1"/>
  <c r="H5" i="27" s="1"/>
  <c r="I5" i="27" s="1"/>
  <c r="J5" i="27" s="1"/>
  <c r="K5" i="27" s="1"/>
  <c r="L5" i="27" s="1"/>
  <c r="M5" i="27" s="1"/>
  <c r="B5" i="28" s="1"/>
  <c r="C5" i="28" s="1"/>
  <c r="D5" i="28" s="1"/>
  <c r="E5" i="28" s="1"/>
  <c r="F5" i="28" s="1"/>
  <c r="G5" i="28" s="1"/>
  <c r="H5" i="28" s="1"/>
  <c r="I5" i="28" s="1"/>
  <c r="J5" i="28" s="1"/>
  <c r="K5" i="28" s="1"/>
  <c r="L5" i="28" s="1"/>
  <c r="M5" i="28" s="1"/>
  <c r="B5" i="29" s="1"/>
  <c r="C5" i="29" s="1"/>
  <c r="D5" i="29" s="1"/>
  <c r="E5" i="29" s="1"/>
  <c r="F5" i="29" s="1"/>
  <c r="G5" i="29" s="1"/>
  <c r="H5" i="29" s="1"/>
  <c r="I5" i="29" s="1"/>
  <c r="J5" i="29" s="1"/>
  <c r="K5" i="29" s="1"/>
  <c r="L5" i="29" s="1"/>
  <c r="M5" i="29" s="1"/>
  <c r="B5" i="30" s="1"/>
  <c r="C5" i="30" s="1"/>
  <c r="D5" i="30" s="1"/>
  <c r="E5" i="30" s="1"/>
  <c r="F5" i="30" s="1"/>
  <c r="G5" i="30" s="1"/>
  <c r="H5" i="30" s="1"/>
  <c r="I5" i="30" s="1"/>
  <c r="J5" i="30" s="1"/>
  <c r="K5" i="30" s="1"/>
  <c r="L5" i="30" s="1"/>
  <c r="M5" i="30" s="1"/>
  <c r="B5" i="31" s="1"/>
  <c r="C5" i="31" s="1"/>
  <c r="D5" i="31" s="1"/>
  <c r="E5" i="31" s="1"/>
  <c r="F5" i="31" s="1"/>
  <c r="G5" i="31" s="1"/>
  <c r="H5" i="31" s="1"/>
  <c r="I5" i="31" s="1"/>
  <c r="J5" i="31" s="1"/>
  <c r="K5" i="31" s="1"/>
  <c r="L5" i="31" s="1"/>
  <c r="M5" i="31" s="1"/>
  <c r="B5" i="32" s="1"/>
  <c r="C5" i="32" s="1"/>
  <c r="D5" i="32" s="1"/>
  <c r="E5" i="32" s="1"/>
  <c r="F5" i="32" s="1"/>
  <c r="G5" i="32" s="1"/>
  <c r="H5" i="32" s="1"/>
  <c r="I5" i="32" s="1"/>
  <c r="J5" i="32" s="1"/>
  <c r="K5" i="32" s="1"/>
  <c r="L5" i="32" s="1"/>
  <c r="M5" i="32" s="1"/>
  <c r="B5" i="33" s="1"/>
  <c r="C5" i="33" s="1"/>
  <c r="D5" i="33" s="1"/>
  <c r="E5" i="33" s="1"/>
  <c r="F5" i="33" s="1"/>
  <c r="G5" i="33" s="1"/>
  <c r="H5" i="33" s="1"/>
  <c r="I5" i="33" s="1"/>
  <c r="J5" i="33" s="1"/>
  <c r="K5" i="33" s="1"/>
  <c r="L5" i="33" s="1"/>
  <c r="M5" i="33" s="1"/>
  <c r="B5" i="34" s="1"/>
  <c r="C5" i="34" s="1"/>
  <c r="D5" i="34" s="1"/>
  <c r="E5" i="34" s="1"/>
  <c r="F5" i="34" s="1"/>
  <c r="G5" i="34" s="1"/>
  <c r="H5" i="34" s="1"/>
  <c r="I5" i="34" s="1"/>
  <c r="J5" i="34" s="1"/>
  <c r="K5" i="34" s="1"/>
  <c r="L5" i="34" s="1"/>
  <c r="M5" i="34" s="1"/>
  <c r="B5" i="35" s="1"/>
  <c r="C5" i="35" s="1"/>
  <c r="D5" i="35" s="1"/>
  <c r="E5" i="35" s="1"/>
  <c r="F5" i="35" s="1"/>
  <c r="G5" i="35" s="1"/>
  <c r="H5" i="35" s="1"/>
  <c r="I5" i="35" s="1"/>
  <c r="J5" i="35" s="1"/>
  <c r="K5" i="35" s="1"/>
  <c r="L5" i="35" s="1"/>
  <c r="M5" i="35" s="1"/>
  <c r="B5" i="36" s="1"/>
  <c r="C5" i="36" s="1"/>
  <c r="D5" i="36" s="1"/>
  <c r="E5" i="36" s="1"/>
  <c r="F5" i="36" s="1"/>
  <c r="G5" i="36" s="1"/>
  <c r="H5" i="36" s="1"/>
  <c r="I5" i="36" s="1"/>
  <c r="J5" i="36" s="1"/>
  <c r="K5" i="36" s="1"/>
  <c r="L5" i="36" s="1"/>
  <c r="M5" i="36" s="1"/>
  <c r="B5" i="37" s="1"/>
  <c r="C5" i="37" s="1"/>
  <c r="D5" i="37" s="1"/>
  <c r="E5" i="37" s="1"/>
  <c r="F5" i="37" s="1"/>
  <c r="G5" i="37" s="1"/>
  <c r="H5" i="37" s="1"/>
  <c r="I5" i="37" s="1"/>
  <c r="J5" i="37" s="1"/>
  <c r="K5" i="37" s="1"/>
  <c r="L5" i="37" s="1"/>
  <c r="M5" i="37" s="1"/>
  <c r="B5" i="38" s="1"/>
  <c r="C5" i="38" s="1"/>
  <c r="D5" i="38" s="1"/>
  <c r="E5" i="38" s="1"/>
  <c r="F5" i="38" s="1"/>
  <c r="G5" i="38" s="1"/>
  <c r="H5" i="38" s="1"/>
  <c r="I5" i="38" s="1"/>
  <c r="J5" i="38" s="1"/>
  <c r="K5" i="38" s="1"/>
  <c r="L5" i="38" s="1"/>
  <c r="M5" i="38" s="1"/>
  <c r="B5" i="39" s="1"/>
  <c r="C5" i="39" s="1"/>
  <c r="D5" i="39" s="1"/>
  <c r="E5" i="39" s="1"/>
  <c r="F5" i="39" s="1"/>
  <c r="G5" i="39" s="1"/>
  <c r="H5" i="39" s="1"/>
  <c r="I5" i="39" s="1"/>
  <c r="J5" i="39" s="1"/>
  <c r="K5" i="39" s="1"/>
  <c r="L5" i="39" s="1"/>
  <c r="M5" i="39" s="1"/>
  <c r="B5" i="40" s="1"/>
  <c r="C5" i="40" s="1"/>
  <c r="D5" i="40" s="1"/>
  <c r="E5" i="40" s="1"/>
  <c r="F5" i="40" s="1"/>
  <c r="G5" i="40" s="1"/>
  <c r="H5" i="40" s="1"/>
  <c r="I5" i="40" s="1"/>
  <c r="J5" i="40" s="1"/>
  <c r="K5" i="40" s="1"/>
  <c r="L5" i="40" s="1"/>
  <c r="M5" i="40" s="1"/>
  <c r="B5" i="41" s="1"/>
  <c r="C5" i="41" s="1"/>
  <c r="D5" i="41" s="1"/>
  <c r="E5" i="41" s="1"/>
  <c r="F5" i="41" s="1"/>
  <c r="G5" i="41" s="1"/>
  <c r="H5" i="41" s="1"/>
  <c r="I5" i="41" s="1"/>
  <c r="J5" i="41" s="1"/>
  <c r="K5" i="41" s="1"/>
  <c r="L5" i="41" s="1"/>
  <c r="M5" i="41" s="1"/>
  <c r="B5" i="42" s="1"/>
  <c r="C5" i="42" s="1"/>
  <c r="D5" i="42" s="1"/>
  <c r="E5" i="42" s="1"/>
  <c r="F5" i="42" s="1"/>
  <c r="G5" i="42" s="1"/>
  <c r="H5" i="42" s="1"/>
  <c r="I5" i="42" s="1"/>
  <c r="J5" i="42" s="1"/>
  <c r="K5" i="42" s="1"/>
  <c r="L5" i="42" s="1"/>
  <c r="M5" i="42" s="1"/>
  <c r="B5" i="43" s="1"/>
  <c r="C5" i="43" s="1"/>
  <c r="D5" i="43" s="1"/>
  <c r="E5" i="43" s="1"/>
  <c r="F5" i="43" s="1"/>
  <c r="G5" i="43" s="1"/>
  <c r="H5" i="43" s="1"/>
  <c r="I5" i="43" s="1"/>
  <c r="J5" i="43" s="1"/>
  <c r="K5" i="43" s="1"/>
  <c r="L5" i="43" s="1"/>
  <c r="M5" i="43" s="1"/>
  <c r="B5" i="44" s="1"/>
  <c r="C5" i="44" s="1"/>
  <c r="D5" i="44" s="1"/>
  <c r="E5" i="44" s="1"/>
  <c r="F5" i="44" s="1"/>
  <c r="G5" i="44" s="1"/>
  <c r="H5" i="44" s="1"/>
  <c r="I5" i="44" s="1"/>
  <c r="J5" i="44" s="1"/>
  <c r="K5" i="44" s="1"/>
  <c r="L5" i="44" s="1"/>
  <c r="M5" i="44" s="1"/>
  <c r="B5" i="45" s="1"/>
  <c r="C5" i="45" s="1"/>
  <c r="D5" i="45" s="1"/>
  <c r="E5" i="45" s="1"/>
  <c r="F5" i="45" s="1"/>
  <c r="G5" i="45" s="1"/>
  <c r="H5" i="45" s="1"/>
  <c r="I5" i="45" s="1"/>
  <c r="J5" i="45" s="1"/>
  <c r="K5" i="45" s="1"/>
  <c r="L5" i="45" s="1"/>
  <c r="M5" i="45" s="1"/>
  <c r="B5" i="46" s="1"/>
  <c r="C5" i="46" s="1"/>
  <c r="D5" i="46" s="1"/>
  <c r="E5" i="46" s="1"/>
  <c r="F5" i="46" s="1"/>
  <c r="G5" i="46" s="1"/>
  <c r="H5" i="46" s="1"/>
  <c r="I5" i="46" s="1"/>
  <c r="J5" i="46" s="1"/>
  <c r="K5" i="46" s="1"/>
  <c r="L5" i="46" s="1"/>
  <c r="M5" i="46" s="1"/>
  <c r="B5" i="47" s="1"/>
  <c r="C5" i="47" s="1"/>
  <c r="D5" i="47" s="1"/>
  <c r="E5" i="47" s="1"/>
  <c r="F5" i="47" s="1"/>
  <c r="G5" i="47" s="1"/>
  <c r="H5" i="47" s="1"/>
  <c r="I5" i="47" s="1"/>
  <c r="J5" i="47" s="1"/>
  <c r="K5" i="47" s="1"/>
  <c r="L5" i="47" s="1"/>
  <c r="M5" i="47" s="1"/>
  <c r="B5" i="48" s="1"/>
  <c r="C5" i="48" s="1"/>
  <c r="D5" i="48" s="1"/>
  <c r="E5" i="48" s="1"/>
  <c r="F5" i="48" s="1"/>
  <c r="G5" i="48" s="1"/>
  <c r="H5" i="48" s="1"/>
  <c r="I5" i="48" s="1"/>
  <c r="J5" i="48" s="1"/>
  <c r="K5" i="48" s="1"/>
  <c r="L5" i="48" s="1"/>
  <c r="M5" i="48" s="1"/>
  <c r="B5" i="49" s="1"/>
  <c r="C5" i="49" s="1"/>
  <c r="D5" i="49" s="1"/>
  <c r="E5" i="49" s="1"/>
  <c r="F5" i="49" s="1"/>
  <c r="G5" i="49" s="1"/>
  <c r="H5" i="49" s="1"/>
  <c r="I5" i="49" s="1"/>
  <c r="J5" i="49" s="1"/>
  <c r="K5" i="49" s="1"/>
  <c r="L5" i="49" s="1"/>
  <c r="M5" i="49" s="1"/>
  <c r="B5" i="50" s="1"/>
  <c r="C5" i="50" s="1"/>
  <c r="D5" i="50" s="1"/>
  <c r="E5" i="50" s="1"/>
  <c r="F5" i="50" s="1"/>
  <c r="G5" i="50" s="1"/>
  <c r="H5" i="50" s="1"/>
  <c r="I5" i="50" s="1"/>
  <c r="J5" i="50" s="1"/>
  <c r="K5" i="50" s="1"/>
  <c r="L5" i="50" s="1"/>
  <c r="M5" i="50" s="1"/>
  <c r="B5" i="51" s="1"/>
  <c r="C5" i="51" s="1"/>
  <c r="D5" i="51" s="1"/>
  <c r="E5" i="51" s="1"/>
  <c r="F5" i="51" s="1"/>
  <c r="G5" i="51" s="1"/>
  <c r="H5" i="51" s="1"/>
  <c r="I5" i="51" s="1"/>
  <c r="J5" i="51" s="1"/>
  <c r="K5" i="51" s="1"/>
  <c r="L5" i="51" s="1"/>
  <c r="M5" i="51" s="1"/>
  <c r="B5" i="52" s="1"/>
  <c r="C5" i="52" s="1"/>
  <c r="D5" i="52" s="1"/>
  <c r="E5" i="52" s="1"/>
  <c r="F5" i="52" s="1"/>
  <c r="G5" i="52" s="1"/>
  <c r="H5" i="52" s="1"/>
  <c r="I5" i="52" s="1"/>
  <c r="J5" i="52" s="1"/>
  <c r="K5" i="52" s="1"/>
  <c r="L5" i="52" s="1"/>
  <c r="M5" i="52" s="1"/>
  <c r="B5" i="53" s="1"/>
  <c r="C5" i="53" s="1"/>
  <c r="D5" i="53" s="1"/>
  <c r="E5" i="53" s="1"/>
  <c r="F5" i="53" s="1"/>
  <c r="G5" i="53" s="1"/>
  <c r="H5" i="53" s="1"/>
  <c r="I5" i="53" s="1"/>
  <c r="J5" i="53" s="1"/>
  <c r="K5" i="53" s="1"/>
  <c r="L5" i="53" s="1"/>
  <c r="M5" i="53" s="1"/>
  <c r="B5" i="54" s="1"/>
  <c r="C5" i="54" s="1"/>
  <c r="D5" i="54" s="1"/>
  <c r="E5" i="54" s="1"/>
  <c r="F5" i="54" s="1"/>
  <c r="G5" i="54" s="1"/>
  <c r="H5" i="54" s="1"/>
  <c r="I5" i="54" s="1"/>
  <c r="J5" i="54" s="1"/>
  <c r="K5" i="54" s="1"/>
  <c r="L5" i="54" s="1"/>
  <c r="M5" i="54" s="1"/>
  <c r="B5" i="55" s="1"/>
  <c r="C5" i="55" s="1"/>
  <c r="D5" i="55" s="1"/>
  <c r="E5" i="55" s="1"/>
  <c r="F5" i="55" s="1"/>
  <c r="G5" i="55" s="1"/>
  <c r="H5" i="55" s="1"/>
  <c r="I5" i="55" s="1"/>
  <c r="J5" i="55" s="1"/>
  <c r="K5" i="55" s="1"/>
  <c r="L5" i="55" s="1"/>
  <c r="M5" i="55" s="1"/>
  <c r="B5" i="56" s="1"/>
  <c r="C5" i="56" s="1"/>
  <c r="D5" i="56" s="1"/>
  <c r="E5" i="56" s="1"/>
  <c r="F5" i="56" s="1"/>
  <c r="G5" i="56" s="1"/>
  <c r="H5" i="56" s="1"/>
  <c r="I5" i="56" s="1"/>
  <c r="J5" i="56" s="1"/>
  <c r="K5" i="56" s="1"/>
  <c r="L5" i="56" s="1"/>
  <c r="M5" i="56" s="1"/>
  <c r="B5" i="57" s="1"/>
  <c r="C5" i="57" s="1"/>
  <c r="D5" i="57" s="1"/>
  <c r="E5" i="57" s="1"/>
  <c r="F5" i="57" s="1"/>
  <c r="G5" i="57" s="1"/>
  <c r="H5" i="57" s="1"/>
  <c r="I5" i="57" s="1"/>
  <c r="J5" i="57" s="1"/>
  <c r="K5" i="57" s="1"/>
  <c r="L5" i="57" s="1"/>
  <c r="M5" i="57" s="1"/>
  <c r="B5" i="58" s="1"/>
  <c r="C5" i="58" s="1"/>
  <c r="D5" i="58" s="1"/>
  <c r="E5" i="58" s="1"/>
  <c r="F5" i="58" s="1"/>
  <c r="G5" i="58" s="1"/>
  <c r="H5" i="58" s="1"/>
  <c r="I5" i="58" s="1"/>
  <c r="J5" i="58" s="1"/>
  <c r="K5" i="58" s="1"/>
  <c r="L5" i="58" s="1"/>
  <c r="M5" i="58" s="1"/>
  <c r="L4" i="17"/>
  <c r="K6" i="17"/>
  <c r="AH157" i="16"/>
  <c r="BZ16" i="16"/>
  <c r="BX16" i="16"/>
  <c r="BY16" i="16" s="1"/>
  <c r="BW16" i="16"/>
  <c r="BZ13" i="16"/>
  <c r="BX13" i="16"/>
  <c r="BY13" i="16" s="1"/>
  <c r="BW13" i="16"/>
  <c r="BW24" i="16"/>
  <c r="BZ24" i="16"/>
  <c r="BX24" i="16"/>
  <c r="BY24" i="16" s="1"/>
  <c r="L37" i="14"/>
  <c r="K38" i="14"/>
  <c r="K39" i="14" s="1"/>
  <c r="K40" i="14" s="1"/>
  <c r="K41" i="14" s="1"/>
  <c r="K42" i="14" s="1"/>
  <c r="K43" i="14" s="1"/>
  <c r="K44" i="14" s="1"/>
  <c r="K45" i="14" s="1"/>
  <c r="K46" i="14" s="1"/>
  <c r="K47" i="14" s="1"/>
  <c r="N32" i="17"/>
  <c r="BZ28" i="16"/>
  <c r="BX28" i="16"/>
  <c r="BY28" i="16" s="1"/>
  <c r="BW28" i="16"/>
  <c r="C51" i="26"/>
  <c r="D51" i="26" s="1"/>
  <c r="E51" i="26" s="1"/>
  <c r="F51" i="26" s="1"/>
  <c r="G51" i="26" s="1"/>
  <c r="H51" i="26" s="1"/>
  <c r="I51" i="26" s="1"/>
  <c r="J51" i="26" s="1"/>
  <c r="K51" i="26" s="1"/>
  <c r="L51" i="26" s="1"/>
  <c r="M51" i="26" s="1"/>
  <c r="B51" i="27" s="1"/>
  <c r="L10" i="14"/>
  <c r="M50" i="14"/>
  <c r="N4" i="14"/>
  <c r="K92" i="14"/>
  <c r="K80" i="14"/>
  <c r="K93" i="14"/>
  <c r="K81" i="14"/>
  <c r="K86" i="14"/>
  <c r="K85" i="14"/>
  <c r="K84" i="14"/>
  <c r="K83" i="14"/>
  <c r="K82" i="14"/>
  <c r="K91" i="14"/>
  <c r="K90" i="14"/>
  <c r="K89" i="14"/>
  <c r="K88" i="14"/>
  <c r="K87" i="14"/>
  <c r="K79" i="14"/>
  <c r="K78" i="14"/>
  <c r="K76" i="14"/>
  <c r="K74" i="14"/>
  <c r="K77" i="14"/>
  <c r="K75" i="14"/>
  <c r="K73" i="14"/>
  <c r="L20" i="14"/>
  <c r="L29" i="14"/>
  <c r="BX17" i="16"/>
  <c r="BY17" i="16" s="1"/>
  <c r="BZ17" i="16"/>
  <c r="BW17" i="16"/>
  <c r="K59" i="14"/>
  <c r="K52" i="14"/>
  <c r="K57" i="14"/>
  <c r="K62" i="14"/>
  <c r="K55" i="14"/>
  <c r="K60" i="14"/>
  <c r="K53" i="14"/>
  <c r="K58" i="14"/>
  <c r="K51" i="14"/>
  <c r="K56" i="14"/>
  <c r="K61" i="14"/>
  <c r="L15" i="14"/>
  <c r="K54" i="14"/>
  <c r="AP158" i="16"/>
  <c r="AL158" i="16" s="1"/>
  <c r="L32" i="14"/>
  <c r="L31" i="14"/>
  <c r="BZ27" i="16"/>
  <c r="BX27" i="16"/>
  <c r="BY27" i="16" s="1"/>
  <c r="BW27" i="16"/>
  <c r="BW47" i="16"/>
  <c r="BZ47" i="16"/>
  <c r="BX47" i="16"/>
  <c r="BY47" i="16" s="1"/>
  <c r="C50" i="26"/>
  <c r="D50" i="26" s="1"/>
  <c r="E50" i="26" s="1"/>
  <c r="F50" i="26" s="1"/>
  <c r="G50" i="26" s="1"/>
  <c r="H50" i="26" s="1"/>
  <c r="I50" i="26" s="1"/>
  <c r="J50" i="26" s="1"/>
  <c r="K50" i="26" s="1"/>
  <c r="L50" i="26" s="1"/>
  <c r="M50" i="26" s="1"/>
  <c r="B50" i="27" s="1"/>
  <c r="BX40" i="16"/>
  <c r="BY40" i="16" s="1"/>
  <c r="BZ40" i="16"/>
  <c r="BW40" i="16"/>
  <c r="L22" i="14"/>
  <c r="AN157" i="16"/>
  <c r="BZ14" i="16"/>
  <c r="BX14" i="16"/>
  <c r="BY14" i="16" s="1"/>
  <c r="BW14" i="16"/>
  <c r="K71" i="14"/>
  <c r="K64" i="14"/>
  <c r="K69" i="14"/>
  <c r="K67" i="14"/>
  <c r="K72" i="14"/>
  <c r="K65" i="14"/>
  <c r="K70" i="14"/>
  <c r="K63" i="14"/>
  <c r="K68" i="14"/>
  <c r="L18" i="14"/>
  <c r="K66" i="14"/>
  <c r="N51" i="25"/>
  <c r="AM157" i="16"/>
  <c r="BX10" i="16"/>
  <c r="BY10" i="16" s="1"/>
  <c r="BZ10" i="16"/>
  <c r="BW10" i="16"/>
  <c r="L7" i="14"/>
  <c r="C44" i="26"/>
  <c r="D44" i="26" s="1"/>
  <c r="E44" i="26" s="1"/>
  <c r="F44" i="26" s="1"/>
  <c r="G44" i="26" s="1"/>
  <c r="H44" i="26" s="1"/>
  <c r="I44" i="26" s="1"/>
  <c r="J44" i="26" s="1"/>
  <c r="K44" i="26" s="1"/>
  <c r="L44" i="26" s="1"/>
  <c r="M44" i="26" s="1"/>
  <c r="B44" i="27" s="1"/>
  <c r="N44" i="26"/>
  <c r="BW41" i="16"/>
  <c r="BX41" i="16"/>
  <c r="BY41" i="16" s="1"/>
  <c r="BZ41" i="16"/>
  <c r="C46" i="26"/>
  <c r="D46" i="26" s="1"/>
  <c r="E46" i="26" s="1"/>
  <c r="F46" i="26" s="1"/>
  <c r="G46" i="26" s="1"/>
  <c r="H46" i="26" s="1"/>
  <c r="I46" i="26" s="1"/>
  <c r="J46" i="26" s="1"/>
  <c r="K46" i="26" s="1"/>
  <c r="L46" i="26" s="1"/>
  <c r="M46" i="26" s="1"/>
  <c r="B46" i="27" s="1"/>
  <c r="K52" i="17"/>
  <c r="L42" i="17"/>
  <c r="C47" i="26"/>
  <c r="D47" i="26" s="1"/>
  <c r="E47" i="26" s="1"/>
  <c r="F47" i="26" s="1"/>
  <c r="G47" i="26" s="1"/>
  <c r="H47" i="26" s="1"/>
  <c r="I47" i="26" s="1"/>
  <c r="J47" i="26" s="1"/>
  <c r="K47" i="26" s="1"/>
  <c r="L47" i="26" s="1"/>
  <c r="M47" i="26" s="1"/>
  <c r="B47" i="27" s="1"/>
  <c r="N48" i="25"/>
  <c r="BX48" i="16"/>
  <c r="BY48" i="16" s="1"/>
  <c r="BW48" i="16"/>
  <c r="BZ48" i="16"/>
  <c r="BW32" i="16"/>
  <c r="BZ32" i="16"/>
  <c r="BX32" i="16"/>
  <c r="BY32" i="16" s="1"/>
  <c r="L6" i="14"/>
  <c r="L26" i="14"/>
  <c r="L24" i="14"/>
  <c r="BX11" i="16"/>
  <c r="BY11" i="16" s="1"/>
  <c r="BZ11" i="16"/>
  <c r="BW11" i="16"/>
  <c r="L9" i="14"/>
  <c r="L8" i="14"/>
  <c r="L19" i="14"/>
  <c r="BZ20" i="16"/>
  <c r="BX20" i="16"/>
  <c r="BY20" i="16" s="1"/>
  <c r="BW20" i="16"/>
  <c r="C48" i="26"/>
  <c r="D48" i="26" s="1"/>
  <c r="E48" i="26" s="1"/>
  <c r="F48" i="26" s="1"/>
  <c r="G48" i="26" s="1"/>
  <c r="H48" i="26" s="1"/>
  <c r="I48" i="26" s="1"/>
  <c r="J48" i="26" s="1"/>
  <c r="K48" i="26" s="1"/>
  <c r="L48" i="26" s="1"/>
  <c r="M48" i="26" s="1"/>
  <c r="B48" i="27" s="1"/>
  <c r="N48" i="26"/>
  <c r="BZ19" i="16"/>
  <c r="BX19" i="16"/>
  <c r="BY19" i="16" s="1"/>
  <c r="BW19" i="16"/>
  <c r="L5" i="14"/>
  <c r="BW35" i="16"/>
  <c r="BZ35" i="16"/>
  <c r="BX35" i="16"/>
  <c r="BY35" i="16" s="1"/>
  <c r="I156" i="16"/>
  <c r="J147" i="16"/>
  <c r="H57" i="17"/>
  <c r="BZ8" i="16"/>
  <c r="BX8" i="16"/>
  <c r="BY8" i="16" s="1"/>
  <c r="BW8" i="16"/>
  <c r="L28" i="14"/>
  <c r="L34" i="14"/>
  <c r="BZ46" i="16"/>
  <c r="BX46" i="16"/>
  <c r="BY46" i="16" s="1"/>
  <c r="BW46" i="16"/>
  <c r="M11" i="4"/>
  <c r="BZ21" i="16"/>
  <c r="BX21" i="16"/>
  <c r="BY21" i="16" s="1"/>
  <c r="BW21" i="16"/>
  <c r="L16" i="14"/>
  <c r="BZ25" i="16"/>
  <c r="BX25" i="16"/>
  <c r="BY25" i="16" s="1"/>
  <c r="BW25" i="16"/>
  <c r="BX26" i="16"/>
  <c r="BY26" i="16" s="1"/>
  <c r="BZ26" i="16"/>
  <c r="BW26" i="16"/>
  <c r="K151" i="16"/>
  <c r="BW22" i="16"/>
  <c r="BZ22" i="16"/>
  <c r="BX22" i="16"/>
  <c r="BY22" i="16" s="1"/>
  <c r="L11" i="14"/>
  <c r="BX30" i="16"/>
  <c r="BY30" i="16" s="1"/>
  <c r="BZ30" i="16"/>
  <c r="BW30" i="16"/>
  <c r="BZ39" i="16"/>
  <c r="BX39" i="16"/>
  <c r="BY39" i="16" s="1"/>
  <c r="BW39" i="16"/>
  <c r="BW45" i="16"/>
  <c r="BX45" i="16"/>
  <c r="BY45" i="16" s="1"/>
  <c r="BZ45" i="16"/>
  <c r="C45" i="26"/>
  <c r="D45" i="26" s="1"/>
  <c r="E45" i="26" s="1"/>
  <c r="F45" i="26" s="1"/>
  <c r="G45" i="26" s="1"/>
  <c r="H45" i="26" s="1"/>
  <c r="I45" i="26" s="1"/>
  <c r="J45" i="26" s="1"/>
  <c r="K45" i="26" s="1"/>
  <c r="L45" i="26" s="1"/>
  <c r="M45" i="26" s="1"/>
  <c r="B45" i="27" s="1"/>
  <c r="N45" i="25"/>
  <c r="N49" i="25"/>
  <c r="BX7" i="16"/>
  <c r="BY7" i="16" s="1"/>
  <c r="BZ7" i="16"/>
  <c r="BW7" i="16"/>
  <c r="BZ9" i="16"/>
  <c r="BX9" i="16"/>
  <c r="BY9" i="16" s="1"/>
  <c r="BW9" i="16"/>
  <c r="BZ6" i="16"/>
  <c r="BX6" i="16"/>
  <c r="BY6" i="16" s="1"/>
  <c r="BW6" i="16"/>
  <c r="BZ42" i="16"/>
  <c r="BX42" i="16"/>
  <c r="BY42" i="16" s="1"/>
  <c r="BW42" i="16"/>
  <c r="BX33" i="16"/>
  <c r="BY33" i="16" s="1"/>
  <c r="BZ33" i="16"/>
  <c r="BW33" i="16"/>
  <c r="BX34" i="16"/>
  <c r="BY34" i="16" s="1"/>
  <c r="BW34" i="16"/>
  <c r="BZ34" i="16"/>
  <c r="BX18" i="16"/>
  <c r="BY18" i="16" s="1"/>
  <c r="BZ18" i="16"/>
  <c r="BW18" i="16"/>
  <c r="L36" i="14"/>
  <c r="BZ12" i="16"/>
  <c r="BX12" i="16"/>
  <c r="BY12" i="16" s="1"/>
  <c r="BW12" i="16"/>
  <c r="BX29" i="16"/>
  <c r="BY29" i="16" s="1"/>
  <c r="BZ29" i="16"/>
  <c r="BW29" i="16"/>
  <c r="M3" i="14"/>
  <c r="O3" i="6"/>
  <c r="AI158" i="16" l="1"/>
  <c r="N45" i="26"/>
  <c r="N46" i="26"/>
  <c r="N50" i="26"/>
  <c r="F19" i="2"/>
  <c r="AG158" i="16"/>
  <c r="K147" i="16"/>
  <c r="K21" i="17"/>
  <c r="L151" i="16" s="1"/>
  <c r="K25" i="17"/>
  <c r="L155" i="16" s="1"/>
  <c r="AC158" i="16"/>
  <c r="AB158" i="16"/>
  <c r="AD158" i="16"/>
  <c r="I57" i="17"/>
  <c r="AH158" i="16"/>
  <c r="J26" i="17"/>
  <c r="K156" i="16" s="1"/>
  <c r="AP159" i="16"/>
  <c r="AL159" i="16" s="1"/>
  <c r="M32" i="14"/>
  <c r="CD13" i="16"/>
  <c r="CB13" i="16"/>
  <c r="CC13" i="16" s="1"/>
  <c r="CA13" i="16"/>
  <c r="M23" i="14"/>
  <c r="H20" i="2"/>
  <c r="C21" i="2"/>
  <c r="E20" i="2"/>
  <c r="D20" i="2"/>
  <c r="AI20" i="2"/>
  <c r="AG20" i="2"/>
  <c r="CB44" i="16"/>
  <c r="CC44" i="16" s="1"/>
  <c r="CD44" i="16"/>
  <c r="CA44" i="16"/>
  <c r="CB18" i="16"/>
  <c r="CC18" i="16" s="1"/>
  <c r="CD18" i="16"/>
  <c r="CA18" i="16"/>
  <c r="CA45" i="16"/>
  <c r="CB45" i="16"/>
  <c r="CC45" i="16" s="1"/>
  <c r="CD45" i="16"/>
  <c r="CB11" i="16"/>
  <c r="CC11" i="16" s="1"/>
  <c r="CD11" i="16"/>
  <c r="CA11" i="16"/>
  <c r="M7" i="14"/>
  <c r="CA28" i="16"/>
  <c r="CD28" i="16"/>
  <c r="CB28" i="16"/>
  <c r="CC28" i="16" s="1"/>
  <c r="CB43" i="16"/>
  <c r="CC43" i="16" s="1"/>
  <c r="CA43" i="16"/>
  <c r="CD43" i="16"/>
  <c r="AK159" i="16"/>
  <c r="AI159" i="16" s="1"/>
  <c r="M27" i="14"/>
  <c r="N49" i="26"/>
  <c r="C44" i="27"/>
  <c r="D44" i="27" s="1"/>
  <c r="E44" i="27" s="1"/>
  <c r="F44" i="27" s="1"/>
  <c r="G44" i="27" s="1"/>
  <c r="H44" i="27" s="1"/>
  <c r="I44" i="27" s="1"/>
  <c r="J44" i="27" s="1"/>
  <c r="K44" i="27" s="1"/>
  <c r="L44" i="27" s="1"/>
  <c r="M44" i="27" s="1"/>
  <c r="B44" i="28" s="1"/>
  <c r="CB21" i="16"/>
  <c r="CC21" i="16" s="1"/>
  <c r="CD21" i="16"/>
  <c r="CA21" i="16"/>
  <c r="CA8" i="16"/>
  <c r="CB8" i="16"/>
  <c r="CC8" i="16" s="1"/>
  <c r="CD8" i="16"/>
  <c r="N47" i="26"/>
  <c r="CA16" i="16"/>
  <c r="CD16" i="16"/>
  <c r="CB16" i="16"/>
  <c r="CC16" i="16" s="1"/>
  <c r="CD31" i="16"/>
  <c r="CB31" i="16"/>
  <c r="CC31" i="16" s="1"/>
  <c r="CA31" i="16"/>
  <c r="C49" i="27"/>
  <c r="D49" i="27" s="1"/>
  <c r="E49" i="27" s="1"/>
  <c r="F49" i="27" s="1"/>
  <c r="G49" i="27" s="1"/>
  <c r="H49" i="27" s="1"/>
  <c r="I49" i="27" s="1"/>
  <c r="J49" i="27" s="1"/>
  <c r="K49" i="27" s="1"/>
  <c r="L49" i="27" s="1"/>
  <c r="M49" i="27" s="1"/>
  <c r="B49" i="28" s="1"/>
  <c r="M36" i="14"/>
  <c r="M12" i="4"/>
  <c r="N47" i="27"/>
  <c r="C47" i="27"/>
  <c r="D47" i="27" s="1"/>
  <c r="E47" i="27" s="1"/>
  <c r="F47" i="27" s="1"/>
  <c r="G47" i="27" s="1"/>
  <c r="H47" i="27" s="1"/>
  <c r="I47" i="27" s="1"/>
  <c r="J47" i="27" s="1"/>
  <c r="K47" i="27" s="1"/>
  <c r="L47" i="27" s="1"/>
  <c r="M47" i="27" s="1"/>
  <c r="B47" i="28" s="1"/>
  <c r="CD10" i="16"/>
  <c r="CB10" i="16"/>
  <c r="CC10" i="16" s="1"/>
  <c r="CA10" i="16"/>
  <c r="C50" i="27"/>
  <c r="D50" i="27" s="1"/>
  <c r="E50" i="27" s="1"/>
  <c r="F50" i="27" s="1"/>
  <c r="G50" i="27" s="1"/>
  <c r="H50" i="27" s="1"/>
  <c r="I50" i="27" s="1"/>
  <c r="J50" i="27" s="1"/>
  <c r="K50" i="27" s="1"/>
  <c r="L50" i="27" s="1"/>
  <c r="M50" i="27" s="1"/>
  <c r="B50" i="28" s="1"/>
  <c r="N50" i="27"/>
  <c r="L52" i="14"/>
  <c r="L57" i="14"/>
  <c r="L62" i="14"/>
  <c r="L55" i="14"/>
  <c r="L60" i="14"/>
  <c r="L58" i="14"/>
  <c r="L51" i="14"/>
  <c r="L56" i="14"/>
  <c r="L61" i="14"/>
  <c r="L54" i="14"/>
  <c r="L59" i="14"/>
  <c r="L53" i="14"/>
  <c r="M15" i="14"/>
  <c r="N43" i="26"/>
  <c r="AF159" i="16"/>
  <c r="M12" i="14"/>
  <c r="CD42" i="16"/>
  <c r="CA42" i="16"/>
  <c r="CB42" i="16"/>
  <c r="CC42" i="16" s="1"/>
  <c r="M9" i="14"/>
  <c r="M26" i="14"/>
  <c r="L52" i="17"/>
  <c r="M42" i="17"/>
  <c r="CB17" i="16"/>
  <c r="CC17" i="16" s="1"/>
  <c r="CA17" i="16"/>
  <c r="CD17" i="16"/>
  <c r="K30" i="17"/>
  <c r="K31" i="17" s="1"/>
  <c r="M152" i="16" s="1"/>
  <c r="K11" i="17"/>
  <c r="K39" i="17"/>
  <c r="K38" i="17"/>
  <c r="K17" i="17"/>
  <c r="K10" i="17"/>
  <c r="K16" i="17"/>
  <c r="K15" i="17"/>
  <c r="K9" i="17"/>
  <c r="K8" i="17"/>
  <c r="K14" i="17"/>
  <c r="K12" i="17"/>
  <c r="N12" i="17" s="1"/>
  <c r="K13" i="17"/>
  <c r="K24" i="17"/>
  <c r="K23" i="17"/>
  <c r="L153" i="16" s="1"/>
  <c r="K20" i="17"/>
  <c r="K19" i="17"/>
  <c r="C43" i="27"/>
  <c r="D43" i="27" s="1"/>
  <c r="E43" i="27" s="1"/>
  <c r="F43" i="27" s="1"/>
  <c r="G43" i="27" s="1"/>
  <c r="H43" i="27" s="1"/>
  <c r="I43" i="27" s="1"/>
  <c r="J43" i="27" s="1"/>
  <c r="K43" i="27" s="1"/>
  <c r="L43" i="27" s="1"/>
  <c r="M43" i="27" s="1"/>
  <c r="B43" i="28" s="1"/>
  <c r="CB15" i="16"/>
  <c r="CC15" i="16" s="1"/>
  <c r="CD15" i="16"/>
  <c r="CA15" i="16"/>
  <c r="M30" i="14"/>
  <c r="CD6" i="16"/>
  <c r="CB6" i="16"/>
  <c r="CC6" i="16" s="1"/>
  <c r="CA6" i="16"/>
  <c r="CD34" i="16"/>
  <c r="CB34" i="16"/>
  <c r="CC34" i="16" s="1"/>
  <c r="CA34" i="16"/>
  <c r="CD19" i="16"/>
  <c r="CB19" i="16"/>
  <c r="CC19" i="16" s="1"/>
  <c r="CA19" i="16"/>
  <c r="CA9" i="16"/>
  <c r="CB9" i="16"/>
  <c r="CC9" i="16" s="1"/>
  <c r="CD9" i="16"/>
  <c r="CA26" i="16"/>
  <c r="CB26" i="16"/>
  <c r="CC26" i="16" s="1"/>
  <c r="CD26" i="16"/>
  <c r="C48" i="27"/>
  <c r="D48" i="27" s="1"/>
  <c r="E48" i="27" s="1"/>
  <c r="F48" i="27" s="1"/>
  <c r="G48" i="27" s="1"/>
  <c r="H48" i="27" s="1"/>
  <c r="I48" i="27" s="1"/>
  <c r="J48" i="27" s="1"/>
  <c r="K48" i="27" s="1"/>
  <c r="L48" i="27" s="1"/>
  <c r="M48" i="27" s="1"/>
  <c r="B48" i="28" s="1"/>
  <c r="M6" i="14"/>
  <c r="AM158" i="16"/>
  <c r="CD47" i="16"/>
  <c r="CB47" i="16"/>
  <c r="CC47" i="16" s="1"/>
  <c r="CA47" i="16"/>
  <c r="N50" i="14"/>
  <c r="O4" i="14"/>
  <c r="M37" i="14"/>
  <c r="L38" i="14"/>
  <c r="L39" i="14" s="1"/>
  <c r="L40" i="14" s="1"/>
  <c r="L41" i="14" s="1"/>
  <c r="L42" i="14" s="1"/>
  <c r="L43" i="14" s="1"/>
  <c r="L44" i="14" s="1"/>
  <c r="L45" i="14" s="1"/>
  <c r="L46" i="14" s="1"/>
  <c r="L47" i="14" s="1"/>
  <c r="M4" i="17"/>
  <c r="L6" i="17"/>
  <c r="L25" i="17" s="1"/>
  <c r="M25" i="14"/>
  <c r="CD36" i="16"/>
  <c r="CB36" i="16"/>
  <c r="CC36" i="16" s="1"/>
  <c r="CA36" i="16"/>
  <c r="CD38" i="16"/>
  <c r="CA38" i="16"/>
  <c r="CB38" i="16"/>
  <c r="CC38" i="16" s="1"/>
  <c r="L13" i="4"/>
  <c r="M33" i="14"/>
  <c r="CB22" i="16"/>
  <c r="CC22" i="16" s="1"/>
  <c r="CD22" i="16"/>
  <c r="CA22" i="16"/>
  <c r="CB29" i="16"/>
  <c r="CC29" i="16" s="1"/>
  <c r="CA29" i="16"/>
  <c r="CD29" i="16"/>
  <c r="CD46" i="16"/>
  <c r="CB46" i="16"/>
  <c r="CC46" i="16" s="1"/>
  <c r="CA46" i="16"/>
  <c r="M29" i="14"/>
  <c r="C46" i="27"/>
  <c r="D46" i="27" s="1"/>
  <c r="E46" i="27" s="1"/>
  <c r="F46" i="27" s="1"/>
  <c r="G46" i="27" s="1"/>
  <c r="H46" i="27" s="1"/>
  <c r="I46" i="27" s="1"/>
  <c r="J46" i="27" s="1"/>
  <c r="K46" i="27" s="1"/>
  <c r="L46" i="27" s="1"/>
  <c r="M46" i="27" s="1"/>
  <c r="B46" i="28" s="1"/>
  <c r="N46" i="27"/>
  <c r="L85" i="14"/>
  <c r="L86" i="14"/>
  <c r="L93" i="14"/>
  <c r="L91" i="14"/>
  <c r="L90" i="14"/>
  <c r="L89" i="14"/>
  <c r="L88" i="14"/>
  <c r="L87" i="14"/>
  <c r="L81" i="14"/>
  <c r="L79" i="14"/>
  <c r="L78" i="14"/>
  <c r="L76" i="14"/>
  <c r="L92" i="14"/>
  <c r="L80" i="14"/>
  <c r="L74" i="14"/>
  <c r="L77" i="14"/>
  <c r="L75" i="14"/>
  <c r="L73" i="14"/>
  <c r="L84" i="14"/>
  <c r="M20" i="14"/>
  <c r="L83" i="14"/>
  <c r="L82" i="14"/>
  <c r="CD24" i="16"/>
  <c r="CB24" i="16"/>
  <c r="CC24" i="16" s="1"/>
  <c r="CA24" i="16"/>
  <c r="M17" i="14"/>
  <c r="M13" i="14"/>
  <c r="CD23" i="16"/>
  <c r="CB23" i="16"/>
  <c r="CC23" i="16" s="1"/>
  <c r="CA23" i="16"/>
  <c r="M5" i="14"/>
  <c r="CB40" i="16"/>
  <c r="CC40" i="16" s="1"/>
  <c r="CD40" i="16"/>
  <c r="CA40" i="16"/>
  <c r="M24" i="14"/>
  <c r="CA39" i="16"/>
  <c r="CD39" i="16"/>
  <c r="CB39" i="16"/>
  <c r="CC39" i="16" s="1"/>
  <c r="CB33" i="16"/>
  <c r="CC33" i="16" s="1"/>
  <c r="CD33" i="16"/>
  <c r="CA33" i="16"/>
  <c r="CA7" i="16"/>
  <c r="CD7" i="16"/>
  <c r="CB7" i="16"/>
  <c r="CC7" i="16" s="1"/>
  <c r="M34" i="14"/>
  <c r="CB30" i="16"/>
  <c r="CC30" i="16" s="1"/>
  <c r="CD30" i="16"/>
  <c r="CA30" i="16"/>
  <c r="M28" i="14"/>
  <c r="CD20" i="16"/>
  <c r="CB20" i="16"/>
  <c r="CC20" i="16" s="1"/>
  <c r="CA20" i="16"/>
  <c r="CD32" i="16"/>
  <c r="CB32" i="16"/>
  <c r="CC32" i="16" s="1"/>
  <c r="CA32" i="16"/>
  <c r="CD41" i="16"/>
  <c r="CB41" i="16"/>
  <c r="CC41" i="16" s="1"/>
  <c r="CA41" i="16"/>
  <c r="L64" i="14"/>
  <c r="L69" i="14"/>
  <c r="L67" i="14"/>
  <c r="L72" i="14"/>
  <c r="L65" i="14"/>
  <c r="L70" i="14"/>
  <c r="L63" i="14"/>
  <c r="L68" i="14"/>
  <c r="L66" i="14"/>
  <c r="M18" i="14"/>
  <c r="L71" i="14"/>
  <c r="CB14" i="16"/>
  <c r="CC14" i="16" s="1"/>
  <c r="CA14" i="16"/>
  <c r="CD14" i="16"/>
  <c r="M10" i="14"/>
  <c r="L154" i="16"/>
  <c r="M14" i="14"/>
  <c r="C45" i="27"/>
  <c r="D45" i="27" s="1"/>
  <c r="E45" i="27" s="1"/>
  <c r="F45" i="27" s="1"/>
  <c r="G45" i="27" s="1"/>
  <c r="H45" i="27" s="1"/>
  <c r="I45" i="27" s="1"/>
  <c r="J45" i="27" s="1"/>
  <c r="K45" i="27" s="1"/>
  <c r="L45" i="27" s="1"/>
  <c r="M45" i="27" s="1"/>
  <c r="B45" i="28" s="1"/>
  <c r="CD25" i="16"/>
  <c r="CB25" i="16"/>
  <c r="CC25" i="16" s="1"/>
  <c r="CA25" i="16"/>
  <c r="M19" i="14"/>
  <c r="AN158" i="16"/>
  <c r="CA27" i="16"/>
  <c r="CD27" i="16"/>
  <c r="CB27" i="16"/>
  <c r="CC27" i="16" s="1"/>
  <c r="N51" i="26"/>
  <c r="CD5" i="16"/>
  <c r="CB5" i="16"/>
  <c r="CC5" i="16" s="1"/>
  <c r="CA5" i="16"/>
  <c r="M21" i="14"/>
  <c r="CD12" i="16"/>
  <c r="CB12" i="16"/>
  <c r="CC12" i="16" s="1"/>
  <c r="CA12" i="16"/>
  <c r="M11" i="14"/>
  <c r="M16" i="14"/>
  <c r="CD35" i="16"/>
  <c r="CB35" i="16"/>
  <c r="CC35" i="16" s="1"/>
  <c r="CA35" i="16"/>
  <c r="M8" i="14"/>
  <c r="CD48" i="16"/>
  <c r="CB48" i="16"/>
  <c r="CC48" i="16" s="1"/>
  <c r="CA48" i="16"/>
  <c r="M22" i="14"/>
  <c r="M31" i="14"/>
  <c r="C51" i="27"/>
  <c r="D51" i="27" s="1"/>
  <c r="E51" i="27" s="1"/>
  <c r="F51" i="27" s="1"/>
  <c r="G51" i="27" s="1"/>
  <c r="H51" i="27" s="1"/>
  <c r="I51" i="27" s="1"/>
  <c r="J51" i="27" s="1"/>
  <c r="K51" i="27" s="1"/>
  <c r="L51" i="27" s="1"/>
  <c r="M51" i="27" s="1"/>
  <c r="B51" i="28" s="1"/>
  <c r="CA37" i="16"/>
  <c r="CD37" i="16"/>
  <c r="CB37" i="16"/>
  <c r="CC37" i="16" s="1"/>
  <c r="M35" i="14"/>
  <c r="I3" i="9"/>
  <c r="N3" i="14"/>
  <c r="H3" i="9"/>
  <c r="P3" i="6"/>
  <c r="AC159" i="16" l="1"/>
  <c r="N45" i="27"/>
  <c r="F20" i="2"/>
  <c r="AN159" i="16"/>
  <c r="AD159" i="16"/>
  <c r="AM159" i="16"/>
  <c r="L147" i="16"/>
  <c r="AB159" i="16"/>
  <c r="J57" i="17"/>
  <c r="AH159" i="16"/>
  <c r="K26" i="17"/>
  <c r="L156" i="16" s="1"/>
  <c r="C44" i="28"/>
  <c r="D44" i="28" s="1"/>
  <c r="E44" i="28" s="1"/>
  <c r="F44" i="28" s="1"/>
  <c r="G44" i="28" s="1"/>
  <c r="H44" i="28" s="1"/>
  <c r="I44" i="28" s="1"/>
  <c r="J44" i="28" s="1"/>
  <c r="K44" i="28" s="1"/>
  <c r="L44" i="28" s="1"/>
  <c r="M44" i="28" s="1"/>
  <c r="B44" i="29" s="1"/>
  <c r="CE37" i="16"/>
  <c r="CH37" i="16"/>
  <c r="CF37" i="16"/>
  <c r="CG37" i="16" s="1"/>
  <c r="CE35" i="16"/>
  <c r="CH35" i="16"/>
  <c r="CF35" i="16"/>
  <c r="CG35" i="16" s="1"/>
  <c r="N31" i="14"/>
  <c r="N35" i="14"/>
  <c r="N8" i="14"/>
  <c r="CF25" i="16"/>
  <c r="CG25" i="16" s="1"/>
  <c r="CH25" i="16"/>
  <c r="CE25" i="16"/>
  <c r="CH29" i="16"/>
  <c r="CF29" i="16"/>
  <c r="CG29" i="16" s="1"/>
  <c r="CE29" i="16"/>
  <c r="CF47" i="16"/>
  <c r="CG47" i="16" s="1"/>
  <c r="CH47" i="16"/>
  <c r="CE47" i="16"/>
  <c r="CF15" i="16"/>
  <c r="CG15" i="16" s="1"/>
  <c r="CH15" i="16"/>
  <c r="CE15" i="16"/>
  <c r="M57" i="14"/>
  <c r="M62" i="14"/>
  <c r="M55" i="14"/>
  <c r="M60" i="14"/>
  <c r="M53" i="14"/>
  <c r="M58" i="14"/>
  <c r="M51" i="14"/>
  <c r="M56" i="14"/>
  <c r="M61" i="14"/>
  <c r="M54" i="14"/>
  <c r="M59" i="14"/>
  <c r="M52" i="14"/>
  <c r="N15" i="14"/>
  <c r="AG159" i="16"/>
  <c r="CE13" i="16"/>
  <c r="CH13" i="16"/>
  <c r="CF13" i="16"/>
  <c r="CG13" i="16" s="1"/>
  <c r="AP160" i="16"/>
  <c r="AL160" i="16" s="1"/>
  <c r="N32" i="14"/>
  <c r="C45" i="28"/>
  <c r="D45" i="28" s="1"/>
  <c r="E45" i="28" s="1"/>
  <c r="F45" i="28" s="1"/>
  <c r="G45" i="28" s="1"/>
  <c r="H45" i="28" s="1"/>
  <c r="I45" i="28" s="1"/>
  <c r="J45" i="28" s="1"/>
  <c r="K45" i="28" s="1"/>
  <c r="L45" i="28" s="1"/>
  <c r="M45" i="28" s="1"/>
  <c r="B45" i="29" s="1"/>
  <c r="N45" i="28"/>
  <c r="CF33" i="16"/>
  <c r="CG33" i="16" s="1"/>
  <c r="CE33" i="16"/>
  <c r="CH33" i="16"/>
  <c r="CH23" i="16"/>
  <c r="CF23" i="16"/>
  <c r="CG23" i="16" s="1"/>
  <c r="CE23" i="16"/>
  <c r="N25" i="14"/>
  <c r="N6" i="14"/>
  <c r="N43" i="27"/>
  <c r="C50" i="28"/>
  <c r="D50" i="28" s="1"/>
  <c r="E50" i="28" s="1"/>
  <c r="F50" i="28" s="1"/>
  <c r="G50" i="28" s="1"/>
  <c r="H50" i="28" s="1"/>
  <c r="I50" i="28" s="1"/>
  <c r="J50" i="28" s="1"/>
  <c r="K50" i="28" s="1"/>
  <c r="L50" i="28" s="1"/>
  <c r="M50" i="28" s="1"/>
  <c r="B50" i="29" s="1"/>
  <c r="CH31" i="16"/>
  <c r="CF31" i="16"/>
  <c r="CG31" i="16" s="1"/>
  <c r="CE31" i="16"/>
  <c r="N44" i="27"/>
  <c r="N26" i="14"/>
  <c r="CH5" i="16"/>
  <c r="CF5" i="16"/>
  <c r="CG5" i="16" s="1"/>
  <c r="CE5" i="16"/>
  <c r="N14" i="14"/>
  <c r="N13" i="14"/>
  <c r="L39" i="17"/>
  <c r="L38" i="17"/>
  <c r="L17" i="17"/>
  <c r="L10" i="17"/>
  <c r="L16" i="17"/>
  <c r="L15" i="17"/>
  <c r="L9" i="17"/>
  <c r="L8" i="17"/>
  <c r="M155" i="16"/>
  <c r="L14" i="17"/>
  <c r="L13" i="17"/>
  <c r="L24" i="17"/>
  <c r="M154" i="16" s="1"/>
  <c r="L23" i="17"/>
  <c r="M153" i="16" s="1"/>
  <c r="L20" i="17"/>
  <c r="L19" i="17"/>
  <c r="L11" i="17"/>
  <c r="L30" i="17"/>
  <c r="N48" i="27"/>
  <c r="C43" i="28"/>
  <c r="D43" i="28" s="1"/>
  <c r="E43" i="28" s="1"/>
  <c r="F43" i="28" s="1"/>
  <c r="G43" i="28" s="1"/>
  <c r="H43" i="28" s="1"/>
  <c r="I43" i="28" s="1"/>
  <c r="J43" i="28" s="1"/>
  <c r="K43" i="28" s="1"/>
  <c r="L43" i="28" s="1"/>
  <c r="M43" i="28" s="1"/>
  <c r="B43" i="29" s="1"/>
  <c r="CE11" i="16"/>
  <c r="CF11" i="16"/>
  <c r="CG11" i="16" s="1"/>
  <c r="CH11" i="16"/>
  <c r="N7" i="14"/>
  <c r="CE20" i="16"/>
  <c r="CH20" i="16"/>
  <c r="CF20" i="16"/>
  <c r="CG20" i="16" s="1"/>
  <c r="N17" i="14"/>
  <c r="CF22" i="16"/>
  <c r="CG22" i="16" s="1"/>
  <c r="CH22" i="16"/>
  <c r="CE22" i="16"/>
  <c r="B4" i="18"/>
  <c r="M6" i="17"/>
  <c r="M25" i="17" s="1"/>
  <c r="C48" i="28"/>
  <c r="D48" i="28" s="1"/>
  <c r="E48" i="28" s="1"/>
  <c r="F48" i="28" s="1"/>
  <c r="G48" i="28" s="1"/>
  <c r="H48" i="28" s="1"/>
  <c r="I48" i="28" s="1"/>
  <c r="J48" i="28" s="1"/>
  <c r="K48" i="28" s="1"/>
  <c r="L48" i="28" s="1"/>
  <c r="M48" i="28" s="1"/>
  <c r="B48" i="29" s="1"/>
  <c r="CH34" i="16"/>
  <c r="CF34" i="16"/>
  <c r="CG34" i="16" s="1"/>
  <c r="CE34" i="16"/>
  <c r="N9" i="14"/>
  <c r="CH16" i="16"/>
  <c r="CF16" i="16"/>
  <c r="CG16" i="16" s="1"/>
  <c r="CE16" i="16"/>
  <c r="AK160" i="16"/>
  <c r="AI160" i="16" s="1"/>
  <c r="N27" i="14"/>
  <c r="N16" i="14"/>
  <c r="N10" i="14"/>
  <c r="N28" i="14"/>
  <c r="CH39" i="16"/>
  <c r="CF39" i="16"/>
  <c r="CG39" i="16" s="1"/>
  <c r="CE39" i="16"/>
  <c r="CF26" i="16"/>
  <c r="CG26" i="16" s="1"/>
  <c r="CH26" i="16"/>
  <c r="CE26" i="16"/>
  <c r="CH10" i="16"/>
  <c r="CF10" i="16"/>
  <c r="CG10" i="16" s="1"/>
  <c r="CE10" i="16"/>
  <c r="CF45" i="16"/>
  <c r="CG45" i="16" s="1"/>
  <c r="CE45" i="16"/>
  <c r="CH45" i="16"/>
  <c r="N11" i="14"/>
  <c r="N33" i="14"/>
  <c r="M38" i="14"/>
  <c r="M39" i="14" s="1"/>
  <c r="M40" i="14" s="1"/>
  <c r="M41" i="14" s="1"/>
  <c r="M42" i="14" s="1"/>
  <c r="M43" i="14" s="1"/>
  <c r="M44" i="14" s="1"/>
  <c r="M45" i="14" s="1"/>
  <c r="M46" i="14" s="1"/>
  <c r="M47" i="14" s="1"/>
  <c r="N37" i="14"/>
  <c r="C47" i="28"/>
  <c r="D47" i="28" s="1"/>
  <c r="E47" i="28" s="1"/>
  <c r="F47" i="28" s="1"/>
  <c r="G47" i="28" s="1"/>
  <c r="H47" i="28" s="1"/>
  <c r="I47" i="28" s="1"/>
  <c r="J47" i="28" s="1"/>
  <c r="K47" i="28" s="1"/>
  <c r="L47" i="28" s="1"/>
  <c r="M47" i="28" s="1"/>
  <c r="B47" i="29" s="1"/>
  <c r="CE43" i="16"/>
  <c r="CH43" i="16"/>
  <c r="CF43" i="16"/>
  <c r="CG43" i="16" s="1"/>
  <c r="CE30" i="16"/>
  <c r="CF30" i="16"/>
  <c r="CG30" i="16" s="1"/>
  <c r="CH30" i="16"/>
  <c r="C46" i="28"/>
  <c r="D46" i="28" s="1"/>
  <c r="E46" i="28" s="1"/>
  <c r="F46" i="28" s="1"/>
  <c r="G46" i="28" s="1"/>
  <c r="H46" i="28" s="1"/>
  <c r="I46" i="28" s="1"/>
  <c r="J46" i="28" s="1"/>
  <c r="K46" i="28" s="1"/>
  <c r="L46" i="28" s="1"/>
  <c r="M46" i="28" s="1"/>
  <c r="B46" i="29" s="1"/>
  <c r="L14" i="4"/>
  <c r="P4" i="14"/>
  <c r="O50" i="14"/>
  <c r="CF6" i="16"/>
  <c r="CG6" i="16" s="1"/>
  <c r="CH6" i="16"/>
  <c r="CE6" i="16"/>
  <c r="CH42" i="16"/>
  <c r="CF42" i="16"/>
  <c r="CG42" i="16" s="1"/>
  <c r="CE42" i="16"/>
  <c r="CH8" i="16"/>
  <c r="CF8" i="16"/>
  <c r="CG8" i="16" s="1"/>
  <c r="CE8" i="16"/>
  <c r="C22" i="2"/>
  <c r="H21" i="2"/>
  <c r="I21" i="2" s="1"/>
  <c r="E21" i="2"/>
  <c r="AI21" i="2"/>
  <c r="D21" i="2"/>
  <c r="AG21" i="2"/>
  <c r="CF36" i="16"/>
  <c r="CG36" i="16" s="1"/>
  <c r="CH36" i="16"/>
  <c r="CE36" i="16"/>
  <c r="CF44" i="16"/>
  <c r="CG44" i="16" s="1"/>
  <c r="CH44" i="16"/>
  <c r="CE44" i="16"/>
  <c r="CH14" i="16"/>
  <c r="CF14" i="16"/>
  <c r="CG14" i="16" s="1"/>
  <c r="CE14" i="16"/>
  <c r="N24" i="14"/>
  <c r="CH24" i="16"/>
  <c r="CF24" i="16"/>
  <c r="CG24" i="16" s="1"/>
  <c r="CE24" i="16"/>
  <c r="N29" i="14"/>
  <c r="CH9" i="16"/>
  <c r="CF9" i="16"/>
  <c r="CG9" i="16" s="1"/>
  <c r="CE9" i="16"/>
  <c r="N30" i="14"/>
  <c r="CH17" i="16"/>
  <c r="CF17" i="16"/>
  <c r="CG17" i="16" s="1"/>
  <c r="CE17" i="16"/>
  <c r="AF160" i="16"/>
  <c r="N12" i="14"/>
  <c r="M13" i="4"/>
  <c r="C51" i="28"/>
  <c r="D51" i="28" s="1"/>
  <c r="E51" i="28" s="1"/>
  <c r="F51" i="28" s="1"/>
  <c r="G51" i="28" s="1"/>
  <c r="H51" i="28" s="1"/>
  <c r="I51" i="28" s="1"/>
  <c r="J51" i="28" s="1"/>
  <c r="K51" i="28" s="1"/>
  <c r="L51" i="28" s="1"/>
  <c r="M51" i="28" s="1"/>
  <c r="B51" i="29" s="1"/>
  <c r="N22" i="14"/>
  <c r="CE12" i="16"/>
  <c r="CH12" i="16"/>
  <c r="CF12" i="16"/>
  <c r="CG12" i="16" s="1"/>
  <c r="N19" i="14"/>
  <c r="N34" i="14"/>
  <c r="CH40" i="16"/>
  <c r="CF40" i="16"/>
  <c r="CG40" i="16" s="1"/>
  <c r="CE40" i="16"/>
  <c r="L21" i="17"/>
  <c r="M151" i="16" s="1"/>
  <c r="N36" i="14"/>
  <c r="CE18" i="16"/>
  <c r="CH18" i="16"/>
  <c r="CF18" i="16"/>
  <c r="CG18" i="16" s="1"/>
  <c r="N23" i="14"/>
  <c r="CF32" i="16"/>
  <c r="CG32" i="16" s="1"/>
  <c r="CE32" i="16"/>
  <c r="CH32" i="16"/>
  <c r="CE19" i="16"/>
  <c r="CH19" i="16"/>
  <c r="CF19" i="16"/>
  <c r="CG19" i="16" s="1"/>
  <c r="M90" i="14"/>
  <c r="M78" i="14"/>
  <c r="M91" i="14"/>
  <c r="M79" i="14"/>
  <c r="M92" i="14"/>
  <c r="M80" i="14"/>
  <c r="M74" i="14"/>
  <c r="N20" i="14"/>
  <c r="M77" i="14"/>
  <c r="M75" i="14"/>
  <c r="M73" i="14"/>
  <c r="M84" i="14"/>
  <c r="M83" i="14"/>
  <c r="M82" i="14"/>
  <c r="M93" i="14"/>
  <c r="M87" i="14"/>
  <c r="M81" i="14"/>
  <c r="M89" i="14"/>
  <c r="M86" i="14"/>
  <c r="M88" i="14"/>
  <c r="M85" i="14"/>
  <c r="M76" i="14"/>
  <c r="N49" i="27"/>
  <c r="CH28" i="16"/>
  <c r="CF28" i="16"/>
  <c r="CG28" i="16" s="1"/>
  <c r="CE28" i="16"/>
  <c r="N51" i="27"/>
  <c r="CH27" i="16"/>
  <c r="CF27" i="16"/>
  <c r="CG27" i="16" s="1"/>
  <c r="CE27" i="16"/>
  <c r="M69" i="14"/>
  <c r="N18" i="14"/>
  <c r="M67" i="14"/>
  <c r="M72" i="14"/>
  <c r="M65" i="14"/>
  <c r="M70" i="14"/>
  <c r="M63" i="14"/>
  <c r="M68" i="14"/>
  <c r="M66" i="14"/>
  <c r="M71" i="14"/>
  <c r="M64" i="14"/>
  <c r="CE41" i="16"/>
  <c r="CH41" i="16"/>
  <c r="CF41" i="16"/>
  <c r="CG41" i="16" s="1"/>
  <c r="CH38" i="16"/>
  <c r="CF38" i="16"/>
  <c r="CG38" i="16" s="1"/>
  <c r="CE38" i="16"/>
  <c r="CF48" i="16"/>
  <c r="CG48" i="16" s="1"/>
  <c r="CE48" i="16"/>
  <c r="CH48" i="16"/>
  <c r="N21" i="14"/>
  <c r="CF7" i="16"/>
  <c r="CG7" i="16" s="1"/>
  <c r="CE7" i="16"/>
  <c r="CH7" i="16"/>
  <c r="N5" i="14"/>
  <c r="CH46" i="16"/>
  <c r="CE46" i="16"/>
  <c r="CF46" i="16"/>
  <c r="CG46" i="16" s="1"/>
  <c r="M52" i="17"/>
  <c r="B42" i="18"/>
  <c r="N42" i="17"/>
  <c r="C49" i="28"/>
  <c r="D49" i="28" s="1"/>
  <c r="E49" i="28" s="1"/>
  <c r="F49" i="28" s="1"/>
  <c r="G49" i="28" s="1"/>
  <c r="H49" i="28" s="1"/>
  <c r="I49" i="28" s="1"/>
  <c r="J49" i="28" s="1"/>
  <c r="K49" i="28" s="1"/>
  <c r="L49" i="28" s="1"/>
  <c r="M49" i="28" s="1"/>
  <c r="B49" i="29" s="1"/>
  <c r="CF21" i="16"/>
  <c r="CG21" i="16" s="1"/>
  <c r="CE21" i="16"/>
  <c r="CH21" i="16"/>
  <c r="Q3" i="6"/>
  <c r="O3" i="14"/>
  <c r="AB160" i="16" l="1"/>
  <c r="N47" i="28"/>
  <c r="N43" i="28"/>
  <c r="N50" i="28"/>
  <c r="F21" i="2"/>
  <c r="AH160" i="16"/>
  <c r="M147" i="16"/>
  <c r="AN160" i="16"/>
  <c r="AM160" i="16"/>
  <c r="K57" i="17"/>
  <c r="L26" i="17"/>
  <c r="M156" i="16" s="1"/>
  <c r="AK161" i="16"/>
  <c r="AI161" i="16" s="1"/>
  <c r="O27" i="14"/>
  <c r="CJ7" i="16"/>
  <c r="CK7" i="16" s="1"/>
  <c r="CL7" i="16"/>
  <c r="CI7" i="16"/>
  <c r="O23" i="14"/>
  <c r="CL12" i="16"/>
  <c r="CJ12" i="16"/>
  <c r="CK12" i="16" s="1"/>
  <c r="CI12" i="16"/>
  <c r="CL14" i="16"/>
  <c r="CJ14" i="16"/>
  <c r="CK14" i="16" s="1"/>
  <c r="CI14" i="16"/>
  <c r="CI6" i="16"/>
  <c r="CL6" i="16"/>
  <c r="CJ6" i="16"/>
  <c r="CK6" i="16" s="1"/>
  <c r="CJ43" i="16"/>
  <c r="CK43" i="16" s="1"/>
  <c r="CL43" i="16"/>
  <c r="CI43" i="16"/>
  <c r="M16" i="17"/>
  <c r="N16" i="17" s="1"/>
  <c r="M15" i="17"/>
  <c r="N15" i="17" s="1"/>
  <c r="M9" i="17"/>
  <c r="N9" i="17" s="1"/>
  <c r="M8" i="17"/>
  <c r="N8" i="17" s="1"/>
  <c r="N25" i="17"/>
  <c r="M14" i="17"/>
  <c r="N14" i="17" s="1"/>
  <c r="M13" i="17"/>
  <c r="N13" i="17" s="1"/>
  <c r="M24" i="17"/>
  <c r="N24" i="17" s="1"/>
  <c r="M23" i="17"/>
  <c r="M20" i="17"/>
  <c r="N20" i="17" s="1"/>
  <c r="M19" i="17"/>
  <c r="N19" i="17" s="1"/>
  <c r="M30" i="17"/>
  <c r="M11" i="17"/>
  <c r="N11" i="17" s="1"/>
  <c r="M17" i="17"/>
  <c r="N17" i="17" s="1"/>
  <c r="M39" i="17"/>
  <c r="N39" i="17" s="1"/>
  <c r="M38" i="17"/>
  <c r="N38" i="17" s="1"/>
  <c r="M10" i="17"/>
  <c r="N10" i="17" s="1"/>
  <c r="N6" i="17"/>
  <c r="O26" i="14"/>
  <c r="CI23" i="16"/>
  <c r="CL23" i="16"/>
  <c r="CJ23" i="16"/>
  <c r="CK23" i="16" s="1"/>
  <c r="N62" i="14"/>
  <c r="N55" i="14"/>
  <c r="N60" i="14"/>
  <c r="N53" i="14"/>
  <c r="N58" i="14"/>
  <c r="N56" i="14"/>
  <c r="O15" i="14"/>
  <c r="N61" i="14"/>
  <c r="N54" i="14"/>
  <c r="N59" i="14"/>
  <c r="N52" i="14"/>
  <c r="N51" i="14"/>
  <c r="N57" i="14"/>
  <c r="N44" i="29"/>
  <c r="C44" i="29"/>
  <c r="D44" i="29" s="1"/>
  <c r="E44" i="29" s="1"/>
  <c r="F44" i="29" s="1"/>
  <c r="G44" i="29" s="1"/>
  <c r="H44" i="29" s="1"/>
  <c r="I44" i="29" s="1"/>
  <c r="J44" i="29" s="1"/>
  <c r="K44" i="29" s="1"/>
  <c r="L44" i="29" s="1"/>
  <c r="M44" i="29" s="1"/>
  <c r="B44" i="30" s="1"/>
  <c r="CI27" i="16"/>
  <c r="CL27" i="16"/>
  <c r="CJ27" i="16"/>
  <c r="CK27" i="16" s="1"/>
  <c r="CJ18" i="16"/>
  <c r="CK18" i="16" s="1"/>
  <c r="CI18" i="16"/>
  <c r="CL18" i="16"/>
  <c r="CL44" i="16"/>
  <c r="CJ44" i="16"/>
  <c r="CK44" i="16" s="1"/>
  <c r="CI44" i="16"/>
  <c r="CJ10" i="16"/>
  <c r="CK10" i="16" s="1"/>
  <c r="CL10" i="16"/>
  <c r="CI10" i="16"/>
  <c r="C43" i="29"/>
  <c r="D43" i="29" s="1"/>
  <c r="E43" i="29" s="1"/>
  <c r="F43" i="29" s="1"/>
  <c r="G43" i="29" s="1"/>
  <c r="H43" i="29" s="1"/>
  <c r="I43" i="29" s="1"/>
  <c r="J43" i="29" s="1"/>
  <c r="K43" i="29" s="1"/>
  <c r="L43" i="29" s="1"/>
  <c r="M43" i="29" s="1"/>
  <c r="B43" i="30" s="1"/>
  <c r="CI15" i="16"/>
  <c r="CJ15" i="16"/>
  <c r="CK15" i="16" s="1"/>
  <c r="CL15" i="16"/>
  <c r="O35" i="14"/>
  <c r="B6" i="18"/>
  <c r="B7" i="18" s="1"/>
  <c r="C4" i="18"/>
  <c r="O22" i="14"/>
  <c r="P50" i="14"/>
  <c r="Q4" i="14"/>
  <c r="C47" i="29"/>
  <c r="D47" i="29" s="1"/>
  <c r="E47" i="29" s="1"/>
  <c r="F47" i="29" s="1"/>
  <c r="G47" i="29" s="1"/>
  <c r="H47" i="29" s="1"/>
  <c r="I47" i="29" s="1"/>
  <c r="J47" i="29" s="1"/>
  <c r="K47" i="29" s="1"/>
  <c r="L47" i="29" s="1"/>
  <c r="M47" i="29" s="1"/>
  <c r="B47" i="30" s="1"/>
  <c r="N47" i="29"/>
  <c r="CI22" i="16"/>
  <c r="CL22" i="16"/>
  <c r="CJ22" i="16"/>
  <c r="CK22" i="16" s="1"/>
  <c r="AD160" i="16"/>
  <c r="CJ48" i="16"/>
  <c r="CK48" i="16" s="1"/>
  <c r="CI48" i="16"/>
  <c r="CL48" i="16"/>
  <c r="O36" i="14"/>
  <c r="N51" i="28"/>
  <c r="CL9" i="16"/>
  <c r="CJ9" i="16"/>
  <c r="CK9" i="16" s="1"/>
  <c r="CI9" i="16"/>
  <c r="CL8" i="16"/>
  <c r="CJ8" i="16"/>
  <c r="CK8" i="16" s="1"/>
  <c r="CI8" i="16"/>
  <c r="N38" i="14"/>
  <c r="N39" i="14" s="1"/>
  <c r="N40" i="14" s="1"/>
  <c r="N41" i="14" s="1"/>
  <c r="N42" i="14" s="1"/>
  <c r="N43" i="14" s="1"/>
  <c r="N44" i="14" s="1"/>
  <c r="N45" i="14" s="1"/>
  <c r="N46" i="14" s="1"/>
  <c r="N47" i="14" s="1"/>
  <c r="O37" i="14"/>
  <c r="CJ26" i="16"/>
  <c r="CK26" i="16" s="1"/>
  <c r="CL26" i="16"/>
  <c r="CI26" i="16"/>
  <c r="CL31" i="16"/>
  <c r="CJ31" i="16"/>
  <c r="CK31" i="16" s="1"/>
  <c r="CI31" i="16"/>
  <c r="O31" i="14"/>
  <c r="O30" i="14"/>
  <c r="CJ33" i="16"/>
  <c r="CK33" i="16" s="1"/>
  <c r="CI33" i="16"/>
  <c r="CL33" i="16"/>
  <c r="N49" i="28"/>
  <c r="C51" i="29"/>
  <c r="D51" i="29" s="1"/>
  <c r="E51" i="29" s="1"/>
  <c r="F51" i="29" s="1"/>
  <c r="G51" i="29" s="1"/>
  <c r="H51" i="29" s="1"/>
  <c r="I51" i="29" s="1"/>
  <c r="J51" i="29" s="1"/>
  <c r="K51" i="29" s="1"/>
  <c r="L51" i="29" s="1"/>
  <c r="M51" i="29" s="1"/>
  <c r="B51" i="30" s="1"/>
  <c r="O29" i="14"/>
  <c r="L15" i="4"/>
  <c r="CL16" i="16"/>
  <c r="CJ16" i="16"/>
  <c r="CK16" i="16" s="1"/>
  <c r="CI16" i="16"/>
  <c r="O17" i="14"/>
  <c r="C45" i="29"/>
  <c r="D45" i="29" s="1"/>
  <c r="E45" i="29" s="1"/>
  <c r="F45" i="29" s="1"/>
  <c r="G45" i="29" s="1"/>
  <c r="H45" i="29" s="1"/>
  <c r="I45" i="29" s="1"/>
  <c r="J45" i="29" s="1"/>
  <c r="K45" i="29" s="1"/>
  <c r="L45" i="29" s="1"/>
  <c r="M45" i="29" s="1"/>
  <c r="B45" i="30" s="1"/>
  <c r="CI47" i="16"/>
  <c r="CL47" i="16"/>
  <c r="CJ47" i="16"/>
  <c r="CK47" i="16" s="1"/>
  <c r="C49" i="29"/>
  <c r="D49" i="29" s="1"/>
  <c r="E49" i="29" s="1"/>
  <c r="F49" i="29" s="1"/>
  <c r="G49" i="29" s="1"/>
  <c r="H49" i="29" s="1"/>
  <c r="I49" i="29" s="1"/>
  <c r="J49" i="29" s="1"/>
  <c r="K49" i="29" s="1"/>
  <c r="L49" i="29" s="1"/>
  <c r="M49" i="29" s="1"/>
  <c r="B49" i="30" s="1"/>
  <c r="CL28" i="16"/>
  <c r="CJ28" i="16"/>
  <c r="CK28" i="16" s="1"/>
  <c r="CI28" i="16"/>
  <c r="M14" i="4"/>
  <c r="CJ36" i="16"/>
  <c r="CK36" i="16" s="1"/>
  <c r="CL36" i="16"/>
  <c r="CI36" i="16"/>
  <c r="N46" i="28"/>
  <c r="O33" i="14"/>
  <c r="O9" i="14"/>
  <c r="N50" i="29"/>
  <c r="C50" i="29"/>
  <c r="D50" i="29" s="1"/>
  <c r="E50" i="29" s="1"/>
  <c r="F50" i="29" s="1"/>
  <c r="G50" i="29" s="1"/>
  <c r="H50" i="29" s="1"/>
  <c r="I50" i="29" s="1"/>
  <c r="J50" i="29" s="1"/>
  <c r="K50" i="29" s="1"/>
  <c r="L50" i="29" s="1"/>
  <c r="M50" i="29" s="1"/>
  <c r="B50" i="30" s="1"/>
  <c r="AP161" i="16"/>
  <c r="AL161" i="16" s="1"/>
  <c r="O32" i="14"/>
  <c r="CI35" i="16"/>
  <c r="CJ35" i="16"/>
  <c r="CK35" i="16" s="1"/>
  <c r="CL35" i="16"/>
  <c r="O8" i="14"/>
  <c r="AF161" i="16"/>
  <c r="AB161" i="16" s="1"/>
  <c r="O12" i="14"/>
  <c r="CL42" i="16"/>
  <c r="CJ42" i="16"/>
  <c r="CK42" i="16" s="1"/>
  <c r="CI42" i="16"/>
  <c r="C46" i="29"/>
  <c r="D46" i="29" s="1"/>
  <c r="E46" i="29" s="1"/>
  <c r="F46" i="29" s="1"/>
  <c r="G46" i="29" s="1"/>
  <c r="H46" i="29" s="1"/>
  <c r="I46" i="29" s="1"/>
  <c r="J46" i="29" s="1"/>
  <c r="K46" i="29" s="1"/>
  <c r="L46" i="29" s="1"/>
  <c r="M46" i="29" s="1"/>
  <c r="B46" i="30" s="1"/>
  <c r="O11" i="14"/>
  <c r="CL20" i="16"/>
  <c r="CJ20" i="16"/>
  <c r="CK20" i="16" s="1"/>
  <c r="CI20" i="16"/>
  <c r="O13" i="14"/>
  <c r="AC160" i="16"/>
  <c r="B52" i="18"/>
  <c r="C42" i="18"/>
  <c r="CL19" i="16"/>
  <c r="CJ19" i="16"/>
  <c r="CK19" i="16" s="1"/>
  <c r="CI19" i="16"/>
  <c r="CJ40" i="16"/>
  <c r="CK40" i="16" s="1"/>
  <c r="CL40" i="16"/>
  <c r="CI40" i="16"/>
  <c r="CI24" i="16"/>
  <c r="CL24" i="16"/>
  <c r="CJ24" i="16"/>
  <c r="CK24" i="16" s="1"/>
  <c r="CJ30" i="16"/>
  <c r="CK30" i="16" s="1"/>
  <c r="CL30" i="16"/>
  <c r="CI30" i="16"/>
  <c r="CL39" i="16"/>
  <c r="CI39" i="16"/>
  <c r="CJ39" i="16"/>
  <c r="CK39" i="16" s="1"/>
  <c r="L31" i="17"/>
  <c r="N152" i="16" s="1"/>
  <c r="O14" i="14"/>
  <c r="O6" i="14"/>
  <c r="H22" i="2"/>
  <c r="I22" i="2" s="1"/>
  <c r="C23" i="2"/>
  <c r="E22" i="2"/>
  <c r="D22" i="2"/>
  <c r="AI22" i="2"/>
  <c r="AG22" i="2"/>
  <c r="N52" i="17"/>
  <c r="CL38" i="16"/>
  <c r="CJ38" i="16"/>
  <c r="CK38" i="16" s="1"/>
  <c r="CI38" i="16"/>
  <c r="CI45" i="16"/>
  <c r="CL45" i="16"/>
  <c r="CJ45" i="16"/>
  <c r="CK45" i="16" s="1"/>
  <c r="O28" i="14"/>
  <c r="CL34" i="16"/>
  <c r="CJ34" i="16"/>
  <c r="CK34" i="16" s="1"/>
  <c r="CI34" i="16"/>
  <c r="O7" i="14"/>
  <c r="O25" i="14"/>
  <c r="CL13" i="16"/>
  <c r="CJ13" i="16"/>
  <c r="CK13" i="16" s="1"/>
  <c r="CI13" i="16"/>
  <c r="CJ29" i="16"/>
  <c r="CK29" i="16" s="1"/>
  <c r="CL29" i="16"/>
  <c r="CI29" i="16"/>
  <c r="CL37" i="16"/>
  <c r="CI37" i="16"/>
  <c r="CJ37" i="16"/>
  <c r="CK37" i="16" s="1"/>
  <c r="CJ32" i="16"/>
  <c r="CK32" i="16" s="1"/>
  <c r="CL32" i="16"/>
  <c r="CI32" i="16"/>
  <c r="O34" i="14"/>
  <c r="O24" i="14"/>
  <c r="CJ46" i="16"/>
  <c r="CK46" i="16" s="1"/>
  <c r="CI46" i="16"/>
  <c r="CL46" i="16"/>
  <c r="O18" i="14"/>
  <c r="N67" i="14"/>
  <c r="N72" i="14"/>
  <c r="N65" i="14"/>
  <c r="N70" i="14"/>
  <c r="N63" i="14"/>
  <c r="N68" i="14"/>
  <c r="N66" i="14"/>
  <c r="N71" i="14"/>
  <c r="N64" i="14"/>
  <c r="N69" i="14"/>
  <c r="N83" i="14"/>
  <c r="N84" i="14"/>
  <c r="N74" i="14"/>
  <c r="O20" i="14"/>
  <c r="N77" i="14"/>
  <c r="N75" i="14"/>
  <c r="N73" i="14"/>
  <c r="N82" i="14"/>
  <c r="N93" i="14"/>
  <c r="N89" i="14"/>
  <c r="N88" i="14"/>
  <c r="N87" i="14"/>
  <c r="N86" i="14"/>
  <c r="N85" i="14"/>
  <c r="N81" i="14"/>
  <c r="N76" i="14"/>
  <c r="N90" i="14"/>
  <c r="N78" i="14"/>
  <c r="N92" i="14"/>
  <c r="N80" i="14"/>
  <c r="N91" i="14"/>
  <c r="N79" i="14"/>
  <c r="O19" i="14"/>
  <c r="O10" i="14"/>
  <c r="N48" i="28"/>
  <c r="CJ11" i="16"/>
  <c r="CK11" i="16" s="1"/>
  <c r="CL11" i="16"/>
  <c r="CI11" i="16"/>
  <c r="N155" i="16"/>
  <c r="O21" i="14"/>
  <c r="CL21" i="16"/>
  <c r="CJ21" i="16"/>
  <c r="CK21" i="16" s="1"/>
  <c r="CI21" i="16"/>
  <c r="O5" i="14"/>
  <c r="CI41" i="16"/>
  <c r="CJ41" i="16"/>
  <c r="CK41" i="16" s="1"/>
  <c r="CL41" i="16"/>
  <c r="CJ17" i="16"/>
  <c r="CK17" i="16" s="1"/>
  <c r="CL17" i="16"/>
  <c r="CI17" i="16"/>
  <c r="O16" i="14"/>
  <c r="C48" i="29"/>
  <c r="D48" i="29" s="1"/>
  <c r="E48" i="29" s="1"/>
  <c r="F48" i="29" s="1"/>
  <c r="G48" i="29" s="1"/>
  <c r="H48" i="29" s="1"/>
  <c r="I48" i="29" s="1"/>
  <c r="J48" i="29" s="1"/>
  <c r="K48" i="29" s="1"/>
  <c r="L48" i="29" s="1"/>
  <c r="M48" i="29" s="1"/>
  <c r="B48" i="30" s="1"/>
  <c r="M21" i="17"/>
  <c r="N21" i="17" s="1"/>
  <c r="CI5" i="16"/>
  <c r="CL5" i="16"/>
  <c r="CJ5" i="16"/>
  <c r="CK5" i="16" s="1"/>
  <c r="AG160" i="16"/>
  <c r="CL25" i="16"/>
  <c r="CJ25" i="16"/>
  <c r="CK25" i="16" s="1"/>
  <c r="CI25" i="16"/>
  <c r="N44" i="28"/>
  <c r="F4" i="6"/>
  <c r="I3" i="8"/>
  <c r="L3" i="8"/>
  <c r="F3" i="9"/>
  <c r="G3" i="9"/>
  <c r="K3" i="9"/>
  <c r="J3" i="9"/>
  <c r="M3" i="9"/>
  <c r="F3" i="8"/>
  <c r="L3" i="9"/>
  <c r="P3" i="14"/>
  <c r="N3" i="9"/>
  <c r="N154" i="16" l="1"/>
  <c r="F22" i="2"/>
  <c r="AG161" i="16"/>
  <c r="AH161" i="16"/>
  <c r="B9" i="18"/>
  <c r="AC161" i="16"/>
  <c r="AD161" i="16"/>
  <c r="B8" i="18"/>
  <c r="AM161" i="16"/>
  <c r="L57" i="17"/>
  <c r="M26" i="17"/>
  <c r="M57" i="17" s="1"/>
  <c r="O3" i="9"/>
  <c r="P3" i="9" s="1"/>
  <c r="R3" i="8"/>
  <c r="S3" i="8" s="1"/>
  <c r="CP35" i="16"/>
  <c r="CN35" i="16"/>
  <c r="CO35" i="16" s="1"/>
  <c r="CM35" i="16"/>
  <c r="P14" i="14"/>
  <c r="CN40" i="16"/>
  <c r="CO40" i="16" s="1"/>
  <c r="CP40" i="16"/>
  <c r="CM40" i="16"/>
  <c r="CP20" i="16"/>
  <c r="CN20" i="16"/>
  <c r="CO20" i="16" s="1"/>
  <c r="CM20" i="16"/>
  <c r="CN22" i="16"/>
  <c r="CO22" i="16" s="1"/>
  <c r="CM22" i="16"/>
  <c r="CP22" i="16"/>
  <c r="P10" i="14"/>
  <c r="O151" i="16"/>
  <c r="N30" i="17"/>
  <c r="P24" i="14"/>
  <c r="P11" i="14"/>
  <c r="AP162" i="16"/>
  <c r="P32" i="14"/>
  <c r="CM16" i="16"/>
  <c r="CN16" i="16"/>
  <c r="CO16" i="16" s="1"/>
  <c r="CP16" i="16"/>
  <c r="CN44" i="16"/>
  <c r="CO44" i="16" s="1"/>
  <c r="CP44" i="16"/>
  <c r="CM44" i="16"/>
  <c r="CP23" i="16"/>
  <c r="CN23" i="16"/>
  <c r="CO23" i="16" s="1"/>
  <c r="CM23" i="16"/>
  <c r="P5" i="14"/>
  <c r="CM45" i="16"/>
  <c r="CN45" i="16"/>
  <c r="CO45" i="16" s="1"/>
  <c r="CP45" i="16"/>
  <c r="CP6" i="16"/>
  <c r="CM6" i="16"/>
  <c r="CN6" i="16"/>
  <c r="CO6" i="16" s="1"/>
  <c r="N48" i="29"/>
  <c r="CN21" i="16"/>
  <c r="CO21" i="16" s="1"/>
  <c r="CP21" i="16"/>
  <c r="CM21" i="16"/>
  <c r="P34" i="14"/>
  <c r="CP13" i="16"/>
  <c r="CN13" i="16"/>
  <c r="CO13" i="16" s="1"/>
  <c r="CM13" i="16"/>
  <c r="N46" i="29"/>
  <c r="CM28" i="16"/>
  <c r="CN28" i="16"/>
  <c r="CO28" i="16" s="1"/>
  <c r="CP28" i="16"/>
  <c r="L16" i="4"/>
  <c r="CN31" i="16"/>
  <c r="CO31" i="16" s="1"/>
  <c r="CP31" i="16"/>
  <c r="CM31" i="16"/>
  <c r="P35" i="14"/>
  <c r="AN161" i="16"/>
  <c r="M31" i="17"/>
  <c r="P17" i="14"/>
  <c r="C46" i="30"/>
  <c r="D46" i="30" s="1"/>
  <c r="E46" i="30" s="1"/>
  <c r="F46" i="30" s="1"/>
  <c r="G46" i="30" s="1"/>
  <c r="H46" i="30" s="1"/>
  <c r="I46" i="30" s="1"/>
  <c r="J46" i="30" s="1"/>
  <c r="K46" i="30" s="1"/>
  <c r="L46" i="30" s="1"/>
  <c r="M46" i="30" s="1"/>
  <c r="B46" i="31" s="1"/>
  <c r="C50" i="30"/>
  <c r="D50" i="30" s="1"/>
  <c r="E50" i="30" s="1"/>
  <c r="F50" i="30" s="1"/>
  <c r="G50" i="30" s="1"/>
  <c r="H50" i="30" s="1"/>
  <c r="I50" i="30" s="1"/>
  <c r="J50" i="30" s="1"/>
  <c r="K50" i="30" s="1"/>
  <c r="L50" i="30" s="1"/>
  <c r="M50" i="30" s="1"/>
  <c r="B50" i="31" s="1"/>
  <c r="N49" i="29"/>
  <c r="P29" i="14"/>
  <c r="N151" i="16"/>
  <c r="CM9" i="16"/>
  <c r="CP9" i="16"/>
  <c r="CN9" i="16"/>
  <c r="CO9" i="16" s="1"/>
  <c r="C47" i="30"/>
  <c r="D47" i="30" s="1"/>
  <c r="E47" i="30" s="1"/>
  <c r="F47" i="30" s="1"/>
  <c r="G47" i="30" s="1"/>
  <c r="H47" i="30" s="1"/>
  <c r="I47" i="30" s="1"/>
  <c r="J47" i="30" s="1"/>
  <c r="K47" i="30" s="1"/>
  <c r="L47" i="30" s="1"/>
  <c r="M47" i="30" s="1"/>
  <c r="B47" i="31" s="1"/>
  <c r="CN15" i="16"/>
  <c r="CO15" i="16" s="1"/>
  <c r="CP15" i="16"/>
  <c r="CM15" i="16"/>
  <c r="CN18" i="16"/>
  <c r="CO18" i="16" s="1"/>
  <c r="CP18" i="16"/>
  <c r="CM18" i="16"/>
  <c r="P26" i="14"/>
  <c r="O154" i="16"/>
  <c r="N33" i="17"/>
  <c r="CN14" i="16"/>
  <c r="CO14" i="16" s="1"/>
  <c r="CP14" i="16"/>
  <c r="CM14" i="16"/>
  <c r="CP46" i="16"/>
  <c r="CN46" i="16"/>
  <c r="CO46" i="16" s="1"/>
  <c r="CM46" i="16"/>
  <c r="P6" i="14"/>
  <c r="CM8" i="16"/>
  <c r="CP8" i="16"/>
  <c r="CN8" i="16"/>
  <c r="CO8" i="16" s="1"/>
  <c r="AK162" i="16"/>
  <c r="AI162" i="16" s="1"/>
  <c r="P27" i="14"/>
  <c r="C48" i="30"/>
  <c r="D48" i="30" s="1"/>
  <c r="E48" i="30" s="1"/>
  <c r="F48" i="30" s="1"/>
  <c r="G48" i="30" s="1"/>
  <c r="H48" i="30" s="1"/>
  <c r="I48" i="30" s="1"/>
  <c r="J48" i="30" s="1"/>
  <c r="K48" i="30" s="1"/>
  <c r="L48" i="30" s="1"/>
  <c r="M48" i="30" s="1"/>
  <c r="B48" i="31" s="1"/>
  <c r="N48" i="30"/>
  <c r="P21" i="14"/>
  <c r="P25" i="14"/>
  <c r="CN38" i="16"/>
  <c r="CO38" i="16" s="1"/>
  <c r="CP38" i="16"/>
  <c r="CM38" i="16"/>
  <c r="P16" i="14"/>
  <c r="CM32" i="16"/>
  <c r="CP32" i="16"/>
  <c r="CN32" i="16"/>
  <c r="CO32" i="16" s="1"/>
  <c r="CM39" i="16"/>
  <c r="CN39" i="16"/>
  <c r="CO39" i="16" s="1"/>
  <c r="CP39" i="16"/>
  <c r="CN19" i="16"/>
  <c r="CO19" i="16" s="1"/>
  <c r="CM19" i="16"/>
  <c r="CP19" i="16"/>
  <c r="C49" i="30"/>
  <c r="D49" i="30" s="1"/>
  <c r="E49" i="30" s="1"/>
  <c r="F49" i="30" s="1"/>
  <c r="G49" i="30" s="1"/>
  <c r="H49" i="30" s="1"/>
  <c r="I49" i="30" s="1"/>
  <c r="J49" i="30" s="1"/>
  <c r="K49" i="30" s="1"/>
  <c r="L49" i="30" s="1"/>
  <c r="M49" i="30" s="1"/>
  <c r="B49" i="31" s="1"/>
  <c r="N49" i="30"/>
  <c r="N51" i="29"/>
  <c r="O155" i="16"/>
  <c r="N34" i="17"/>
  <c r="N147" i="16"/>
  <c r="P30" i="14"/>
  <c r="P19" i="14"/>
  <c r="P7" i="14"/>
  <c r="P9" i="14"/>
  <c r="C51" i="30"/>
  <c r="D51" i="30" s="1"/>
  <c r="E51" i="30" s="1"/>
  <c r="F51" i="30" s="1"/>
  <c r="G51" i="30" s="1"/>
  <c r="H51" i="30" s="1"/>
  <c r="I51" i="30" s="1"/>
  <c r="J51" i="30" s="1"/>
  <c r="K51" i="30" s="1"/>
  <c r="L51" i="30" s="1"/>
  <c r="M51" i="30" s="1"/>
  <c r="B51" i="31" s="1"/>
  <c r="N51" i="30"/>
  <c r="CM26" i="16"/>
  <c r="CP26" i="16"/>
  <c r="CN26" i="16"/>
  <c r="CO26" i="16" s="1"/>
  <c r="P36" i="14"/>
  <c r="Q50" i="14"/>
  <c r="R4" i="14"/>
  <c r="O55" i="14"/>
  <c r="O60" i="14"/>
  <c r="O53" i="14"/>
  <c r="O58" i="14"/>
  <c r="O51" i="14"/>
  <c r="O56" i="14"/>
  <c r="O61" i="14"/>
  <c r="O54" i="14"/>
  <c r="O59" i="14"/>
  <c r="O52" i="14"/>
  <c r="O57" i="14"/>
  <c r="O62" i="14"/>
  <c r="P15" i="14"/>
  <c r="N153" i="16"/>
  <c r="N23" i="17"/>
  <c r="O153" i="16" s="1"/>
  <c r="M15" i="4"/>
  <c r="CN30" i="16"/>
  <c r="CO30" i="16" s="1"/>
  <c r="CP30" i="16"/>
  <c r="CM30" i="16"/>
  <c r="C52" i="18"/>
  <c r="D42" i="18"/>
  <c r="CP42" i="16"/>
  <c r="CN42" i="16"/>
  <c r="CO42" i="16" s="1"/>
  <c r="CM42" i="16"/>
  <c r="P33" i="14"/>
  <c r="CP47" i="16"/>
  <c r="CN47" i="16"/>
  <c r="CO47" i="16" s="1"/>
  <c r="CM47" i="16"/>
  <c r="CP48" i="16"/>
  <c r="CN48" i="16"/>
  <c r="CO48" i="16" s="1"/>
  <c r="CM48" i="16"/>
  <c r="N43" i="29"/>
  <c r="CM12" i="16"/>
  <c r="CP12" i="16"/>
  <c r="CN12" i="16"/>
  <c r="CO12" i="16" s="1"/>
  <c r="O88" i="14"/>
  <c r="O89" i="14"/>
  <c r="O77" i="14"/>
  <c r="O75" i="14"/>
  <c r="O73" i="14"/>
  <c r="O82" i="14"/>
  <c r="O93" i="14"/>
  <c r="O87" i="14"/>
  <c r="O86" i="14"/>
  <c r="O85" i="14"/>
  <c r="O84" i="14"/>
  <c r="O83" i="14"/>
  <c r="O81" i="14"/>
  <c r="O76" i="14"/>
  <c r="O92" i="14"/>
  <c r="O91" i="14"/>
  <c r="O90" i="14"/>
  <c r="O80" i="14"/>
  <c r="O79" i="14"/>
  <c r="O78" i="14"/>
  <c r="P20" i="14"/>
  <c r="O74" i="14"/>
  <c r="CN33" i="16"/>
  <c r="CO33" i="16" s="1"/>
  <c r="CM33" i="16"/>
  <c r="CP33" i="16"/>
  <c r="O38" i="14"/>
  <c r="O39" i="14" s="1"/>
  <c r="O40" i="14" s="1"/>
  <c r="O41" i="14" s="1"/>
  <c r="O42" i="14" s="1"/>
  <c r="O43" i="14" s="1"/>
  <c r="O44" i="14" s="1"/>
  <c r="O45" i="14" s="1"/>
  <c r="O46" i="14" s="1"/>
  <c r="O47" i="14" s="1"/>
  <c r="P37" i="14"/>
  <c r="P22" i="14"/>
  <c r="C43" i="30"/>
  <c r="D43" i="30" s="1"/>
  <c r="E43" i="30" s="1"/>
  <c r="F43" i="30" s="1"/>
  <c r="G43" i="30" s="1"/>
  <c r="H43" i="30" s="1"/>
  <c r="I43" i="30" s="1"/>
  <c r="J43" i="30" s="1"/>
  <c r="K43" i="30" s="1"/>
  <c r="L43" i="30" s="1"/>
  <c r="M43" i="30" s="1"/>
  <c r="B43" i="31" s="1"/>
  <c r="CM27" i="16"/>
  <c r="CP27" i="16"/>
  <c r="CN27" i="16"/>
  <c r="CO27" i="16" s="1"/>
  <c r="P23" i="14"/>
  <c r="CP29" i="16"/>
  <c r="CN29" i="16"/>
  <c r="CO29" i="16" s="1"/>
  <c r="CM29" i="16"/>
  <c r="P31" i="14"/>
  <c r="CP17" i="16"/>
  <c r="CN17" i="16"/>
  <c r="CO17" i="16" s="1"/>
  <c r="CM17" i="16"/>
  <c r="AF162" i="16"/>
  <c r="AB162" i="16" s="1"/>
  <c r="P12" i="14"/>
  <c r="CP25" i="16"/>
  <c r="CM25" i="16"/>
  <c r="CN25" i="16"/>
  <c r="CO25" i="16" s="1"/>
  <c r="CN41" i="16"/>
  <c r="CO41" i="16" s="1"/>
  <c r="CM41" i="16"/>
  <c r="CP41" i="16"/>
  <c r="CN11" i="16"/>
  <c r="CO11" i="16" s="1"/>
  <c r="CP11" i="16"/>
  <c r="CM11" i="16"/>
  <c r="CM37" i="16"/>
  <c r="CP37" i="16"/>
  <c r="CN37" i="16"/>
  <c r="CO37" i="16" s="1"/>
  <c r="CP34" i="16"/>
  <c r="CN34" i="16"/>
  <c r="CO34" i="16" s="1"/>
  <c r="CM34" i="16"/>
  <c r="N45" i="29"/>
  <c r="C6" i="18"/>
  <c r="C9" i="18" s="1"/>
  <c r="D4" i="18"/>
  <c r="CP43" i="16"/>
  <c r="CM43" i="16"/>
  <c r="CN43" i="16"/>
  <c r="CO43" i="16" s="1"/>
  <c r="CP5" i="16"/>
  <c r="CM5" i="16"/>
  <c r="CN5" i="16"/>
  <c r="CO5" i="16" s="1"/>
  <c r="O67" i="14"/>
  <c r="O72" i="14"/>
  <c r="O65" i="14"/>
  <c r="O70" i="14"/>
  <c r="O63" i="14"/>
  <c r="O68" i="14"/>
  <c r="O66" i="14"/>
  <c r="O71" i="14"/>
  <c r="O64" i="14"/>
  <c r="O69" i="14"/>
  <c r="P18" i="14"/>
  <c r="P28" i="14"/>
  <c r="C24" i="2"/>
  <c r="E23" i="2"/>
  <c r="D23" i="2"/>
  <c r="AI23" i="2"/>
  <c r="AG23" i="2"/>
  <c r="H23" i="2"/>
  <c r="I23" i="2" s="1"/>
  <c r="CP24" i="16"/>
  <c r="CN24" i="16"/>
  <c r="CO24" i="16" s="1"/>
  <c r="CM24" i="16"/>
  <c r="P13" i="14"/>
  <c r="P8" i="14"/>
  <c r="CP36" i="16"/>
  <c r="CN36" i="16"/>
  <c r="CO36" i="16" s="1"/>
  <c r="CM36" i="16"/>
  <c r="C45" i="30"/>
  <c r="D45" i="30" s="1"/>
  <c r="E45" i="30" s="1"/>
  <c r="F45" i="30" s="1"/>
  <c r="G45" i="30" s="1"/>
  <c r="H45" i="30" s="1"/>
  <c r="I45" i="30" s="1"/>
  <c r="J45" i="30" s="1"/>
  <c r="K45" i="30" s="1"/>
  <c r="L45" i="30" s="1"/>
  <c r="M45" i="30" s="1"/>
  <c r="B45" i="31" s="1"/>
  <c r="B17" i="18"/>
  <c r="B11" i="18"/>
  <c r="B16" i="18"/>
  <c r="B10" i="18"/>
  <c r="B39" i="18"/>
  <c r="B15" i="18"/>
  <c r="B38" i="18"/>
  <c r="B25" i="18"/>
  <c r="B14" i="18"/>
  <c r="B24" i="18"/>
  <c r="B13" i="18"/>
  <c r="B34" i="18"/>
  <c r="B23" i="18"/>
  <c r="B21" i="18"/>
  <c r="B32" i="18"/>
  <c r="B20" i="18"/>
  <c r="B19" i="18"/>
  <c r="B30" i="18"/>
  <c r="B31" i="18" s="1"/>
  <c r="B18" i="18"/>
  <c r="B12" i="18"/>
  <c r="CP10" i="16"/>
  <c r="CN10" i="16"/>
  <c r="CO10" i="16" s="1"/>
  <c r="CM10" i="16"/>
  <c r="C44" i="30"/>
  <c r="D44" i="30" s="1"/>
  <c r="E44" i="30" s="1"/>
  <c r="F44" i="30" s="1"/>
  <c r="G44" i="30" s="1"/>
  <c r="H44" i="30" s="1"/>
  <c r="I44" i="30" s="1"/>
  <c r="J44" i="30" s="1"/>
  <c r="K44" i="30" s="1"/>
  <c r="L44" i="30" s="1"/>
  <c r="M44" i="30" s="1"/>
  <c r="B44" i="31" s="1"/>
  <c r="CM7" i="16"/>
  <c r="CN7" i="16"/>
  <c r="CO7" i="16" s="1"/>
  <c r="CP7" i="16"/>
  <c r="E3" i="9"/>
  <c r="B3" i="9"/>
  <c r="Q3" i="14"/>
  <c r="B3" i="8"/>
  <c r="G4" i="6"/>
  <c r="E3" i="8"/>
  <c r="N47" i="30" l="1"/>
  <c r="F23" i="2"/>
  <c r="N50" i="30"/>
  <c r="AH162" i="16"/>
  <c r="AG162" i="16"/>
  <c r="AM162" i="16"/>
  <c r="N57" i="17"/>
  <c r="N26" i="17"/>
  <c r="I27" i="17" s="1"/>
  <c r="O147" i="16"/>
  <c r="P147" i="16" s="1"/>
  <c r="N156" i="16"/>
  <c r="B26" i="18"/>
  <c r="B57" i="18" s="1"/>
  <c r="CR26" i="16"/>
  <c r="CS26" i="16" s="1"/>
  <c r="CQ26" i="16"/>
  <c r="CT26" i="16"/>
  <c r="CR7" i="16"/>
  <c r="CS7" i="16" s="1"/>
  <c r="CT7" i="16"/>
  <c r="CQ7" i="16"/>
  <c r="N45" i="30"/>
  <c r="D6" i="18"/>
  <c r="E4" i="18"/>
  <c r="N43" i="30"/>
  <c r="CR48" i="16"/>
  <c r="CS48" i="16" s="1"/>
  <c r="CT48" i="16"/>
  <c r="CQ48" i="16"/>
  <c r="CT9" i="16"/>
  <c r="CR9" i="16"/>
  <c r="CS9" i="16" s="1"/>
  <c r="CQ9" i="16"/>
  <c r="AN162" i="16"/>
  <c r="CQ13" i="16"/>
  <c r="CR13" i="16"/>
  <c r="CS13" i="16" s="1"/>
  <c r="CT13" i="16"/>
  <c r="Q5" i="14"/>
  <c r="Q11" i="14"/>
  <c r="CQ20" i="16"/>
  <c r="CT20" i="16"/>
  <c r="CR20" i="16"/>
  <c r="CS20" i="16" s="1"/>
  <c r="C45" i="31"/>
  <c r="D45" i="31" s="1"/>
  <c r="E45" i="31" s="1"/>
  <c r="F45" i="31" s="1"/>
  <c r="G45" i="31" s="1"/>
  <c r="H45" i="31" s="1"/>
  <c r="I45" i="31" s="1"/>
  <c r="J45" i="31" s="1"/>
  <c r="K45" i="31" s="1"/>
  <c r="L45" i="31" s="1"/>
  <c r="M45" i="31" s="1"/>
  <c r="B45" i="32" s="1"/>
  <c r="C16" i="18"/>
  <c r="C10" i="18"/>
  <c r="C39" i="18"/>
  <c r="C15" i="18"/>
  <c r="C38" i="18"/>
  <c r="C25" i="18"/>
  <c r="C14" i="18"/>
  <c r="C24" i="18"/>
  <c r="C13" i="18"/>
  <c r="C34" i="18"/>
  <c r="C23" i="18"/>
  <c r="C22" i="18"/>
  <c r="C21" i="18"/>
  <c r="C32" i="18"/>
  <c r="C20" i="18"/>
  <c r="C19" i="18"/>
  <c r="C30" i="18"/>
  <c r="C31" i="18" s="1"/>
  <c r="C18" i="18"/>
  <c r="C12" i="18"/>
  <c r="C11" i="18"/>
  <c r="C17" i="18"/>
  <c r="C43" i="31"/>
  <c r="D43" i="31" s="1"/>
  <c r="E43" i="31" s="1"/>
  <c r="F43" i="31" s="1"/>
  <c r="G43" i="31" s="1"/>
  <c r="H43" i="31" s="1"/>
  <c r="I43" i="31" s="1"/>
  <c r="J43" i="31" s="1"/>
  <c r="K43" i="31" s="1"/>
  <c r="L43" i="31" s="1"/>
  <c r="M43" i="31" s="1"/>
  <c r="B43" i="32" s="1"/>
  <c r="M16" i="4"/>
  <c r="CT32" i="16"/>
  <c r="CQ32" i="16"/>
  <c r="CR32" i="16"/>
  <c r="CS32" i="16" s="1"/>
  <c r="Q35" i="14"/>
  <c r="Q34" i="14"/>
  <c r="Q24" i="14"/>
  <c r="AL162" i="16"/>
  <c r="CQ11" i="16"/>
  <c r="CT11" i="16"/>
  <c r="CR11" i="16"/>
  <c r="CS11" i="16" s="1"/>
  <c r="Q22" i="14"/>
  <c r="C51" i="31"/>
  <c r="D51" i="31" s="1"/>
  <c r="E51" i="31" s="1"/>
  <c r="F51" i="31" s="1"/>
  <c r="G51" i="31" s="1"/>
  <c r="H51" i="31" s="1"/>
  <c r="I51" i="31" s="1"/>
  <c r="J51" i="31" s="1"/>
  <c r="K51" i="31" s="1"/>
  <c r="L51" i="31" s="1"/>
  <c r="M51" i="31" s="1"/>
  <c r="B51" i="32" s="1"/>
  <c r="CT8" i="16"/>
  <c r="CR8" i="16"/>
  <c r="CS8" i="16" s="1"/>
  <c r="CQ8" i="16"/>
  <c r="Q26" i="14"/>
  <c r="CT40" i="16"/>
  <c r="CQ40" i="16"/>
  <c r="CR40" i="16"/>
  <c r="CS40" i="16" s="1"/>
  <c r="CQ30" i="16"/>
  <c r="CR30" i="16"/>
  <c r="CS30" i="16" s="1"/>
  <c r="CT30" i="16"/>
  <c r="AI24" i="2"/>
  <c r="AG24" i="2"/>
  <c r="H24" i="2"/>
  <c r="I24" i="2" s="1"/>
  <c r="C25" i="2"/>
  <c r="E24" i="2"/>
  <c r="D24" i="2"/>
  <c r="C8" i="18"/>
  <c r="CT17" i="16"/>
  <c r="CR17" i="16"/>
  <c r="CS17" i="16" s="1"/>
  <c r="CQ17" i="16"/>
  <c r="P38" i="14"/>
  <c r="P39" i="14" s="1"/>
  <c r="P40" i="14" s="1"/>
  <c r="P41" i="14" s="1"/>
  <c r="P42" i="14" s="1"/>
  <c r="P43" i="14" s="1"/>
  <c r="P44" i="14" s="1"/>
  <c r="P45" i="14" s="1"/>
  <c r="P46" i="14" s="1"/>
  <c r="P47" i="14" s="1"/>
  <c r="Q37" i="14"/>
  <c r="CR47" i="16"/>
  <c r="CS47" i="16" s="1"/>
  <c r="CQ47" i="16"/>
  <c r="CT47" i="16"/>
  <c r="Q9" i="14"/>
  <c r="Q16" i="14"/>
  <c r="Q29" i="14"/>
  <c r="CT31" i="16"/>
  <c r="CR31" i="16"/>
  <c r="CS31" i="16" s="1"/>
  <c r="CQ31" i="16"/>
  <c r="CT21" i="16"/>
  <c r="CR21" i="16"/>
  <c r="CS21" i="16" s="1"/>
  <c r="CQ21" i="16"/>
  <c r="CT23" i="16"/>
  <c r="CR23" i="16"/>
  <c r="CS23" i="16" s="1"/>
  <c r="CQ23" i="16"/>
  <c r="CQ37" i="16"/>
  <c r="CT37" i="16"/>
  <c r="CR37" i="16"/>
  <c r="CS37" i="16" s="1"/>
  <c r="Q28" i="14"/>
  <c r="Q7" i="14"/>
  <c r="Q6" i="14"/>
  <c r="CQ18" i="16"/>
  <c r="CT18" i="16"/>
  <c r="CR18" i="16"/>
  <c r="CS18" i="16" s="1"/>
  <c r="Q10" i="14"/>
  <c r="Q14" i="14"/>
  <c r="Q30" i="14"/>
  <c r="Q33" i="14"/>
  <c r="Q8" i="14"/>
  <c r="CT38" i="16"/>
  <c r="CR38" i="16"/>
  <c r="CS38" i="16" s="1"/>
  <c r="CQ38" i="16"/>
  <c r="CR44" i="16"/>
  <c r="CS44" i="16" s="1"/>
  <c r="CT44" i="16"/>
  <c r="CQ44" i="16"/>
  <c r="AK163" i="16"/>
  <c r="AI163" i="16" s="1"/>
  <c r="Q27" i="14"/>
  <c r="N44" i="30"/>
  <c r="CQ41" i="16"/>
  <c r="CT41" i="16"/>
  <c r="CR41" i="16"/>
  <c r="CS41" i="16" s="1"/>
  <c r="C49" i="31"/>
  <c r="D49" i="31" s="1"/>
  <c r="E49" i="31" s="1"/>
  <c r="F49" i="31" s="1"/>
  <c r="G49" i="31" s="1"/>
  <c r="H49" i="31" s="1"/>
  <c r="I49" i="31" s="1"/>
  <c r="J49" i="31" s="1"/>
  <c r="K49" i="31" s="1"/>
  <c r="L49" i="31" s="1"/>
  <c r="M49" i="31" s="1"/>
  <c r="B49" i="32" s="1"/>
  <c r="L17" i="4"/>
  <c r="Q13" i="14"/>
  <c r="AC162" i="16"/>
  <c r="CQ19" i="16"/>
  <c r="CT19" i="16"/>
  <c r="CR19" i="16"/>
  <c r="CS19" i="16" s="1"/>
  <c r="C50" i="31"/>
  <c r="D50" i="31" s="1"/>
  <c r="E50" i="31" s="1"/>
  <c r="F50" i="31" s="1"/>
  <c r="G50" i="31" s="1"/>
  <c r="H50" i="31" s="1"/>
  <c r="I50" i="31" s="1"/>
  <c r="J50" i="31" s="1"/>
  <c r="K50" i="31" s="1"/>
  <c r="L50" i="31" s="1"/>
  <c r="M50" i="31" s="1"/>
  <c r="B50" i="32" s="1"/>
  <c r="N50" i="31"/>
  <c r="CT28" i="16"/>
  <c r="CR28" i="16"/>
  <c r="CS28" i="16" s="1"/>
  <c r="CQ28" i="16"/>
  <c r="CR22" i="16"/>
  <c r="CS22" i="16" s="1"/>
  <c r="CT22" i="16"/>
  <c r="CQ22" i="16"/>
  <c r="C44" i="31"/>
  <c r="D44" i="31" s="1"/>
  <c r="E44" i="31" s="1"/>
  <c r="F44" i="31" s="1"/>
  <c r="G44" i="31" s="1"/>
  <c r="H44" i="31" s="1"/>
  <c r="I44" i="31" s="1"/>
  <c r="J44" i="31" s="1"/>
  <c r="K44" i="31" s="1"/>
  <c r="L44" i="31" s="1"/>
  <c r="M44" i="31" s="1"/>
  <c r="B44" i="32" s="1"/>
  <c r="N44" i="31"/>
  <c r="Q31" i="14"/>
  <c r="CT5" i="16"/>
  <c r="CQ5" i="16"/>
  <c r="CR5" i="16"/>
  <c r="CS5" i="16" s="1"/>
  <c r="CT29" i="16"/>
  <c r="CR29" i="16"/>
  <c r="CS29" i="16" s="1"/>
  <c r="CQ29" i="16"/>
  <c r="CQ12" i="16"/>
  <c r="CT12" i="16"/>
  <c r="CR12" i="16"/>
  <c r="CS12" i="16" s="1"/>
  <c r="CT42" i="16"/>
  <c r="CQ42" i="16"/>
  <c r="CR42" i="16"/>
  <c r="CS42" i="16" s="1"/>
  <c r="R50" i="14"/>
  <c r="S4" i="14"/>
  <c r="Q25" i="14"/>
  <c r="CR15" i="16"/>
  <c r="CS15" i="16" s="1"/>
  <c r="CT15" i="16"/>
  <c r="CQ15" i="16"/>
  <c r="N46" i="30"/>
  <c r="CT16" i="16"/>
  <c r="CR16" i="16"/>
  <c r="CS16" i="16" s="1"/>
  <c r="CQ16" i="16"/>
  <c r="CR36" i="16"/>
  <c r="CS36" i="16" s="1"/>
  <c r="CQ36" i="16"/>
  <c r="CT36" i="16"/>
  <c r="CT33" i="16"/>
  <c r="CR33" i="16"/>
  <c r="CS33" i="16" s="1"/>
  <c r="CQ33" i="16"/>
  <c r="Q19" i="14"/>
  <c r="AD162" i="16"/>
  <c r="CT10" i="16"/>
  <c r="CQ10" i="16"/>
  <c r="CR10" i="16"/>
  <c r="CS10" i="16" s="1"/>
  <c r="Q23" i="14"/>
  <c r="D52" i="18"/>
  <c r="E42" i="18"/>
  <c r="Q21" i="14"/>
  <c r="CT46" i="16"/>
  <c r="CR46" i="16"/>
  <c r="CS46" i="16" s="1"/>
  <c r="CQ46" i="16"/>
  <c r="C46" i="31"/>
  <c r="D46" i="31" s="1"/>
  <c r="E46" i="31" s="1"/>
  <c r="F46" i="31" s="1"/>
  <c r="G46" i="31" s="1"/>
  <c r="H46" i="31" s="1"/>
  <c r="I46" i="31" s="1"/>
  <c r="J46" i="31" s="1"/>
  <c r="K46" i="31" s="1"/>
  <c r="L46" i="31" s="1"/>
  <c r="M46" i="31" s="1"/>
  <c r="B46" i="32" s="1"/>
  <c r="CR6" i="16"/>
  <c r="CS6" i="16" s="1"/>
  <c r="CT6" i="16"/>
  <c r="CQ6" i="16"/>
  <c r="CT35" i="16"/>
  <c r="CR35" i="16"/>
  <c r="CS35" i="16" s="1"/>
  <c r="CQ35" i="16"/>
  <c r="O152" i="16"/>
  <c r="N31" i="17"/>
  <c r="P72" i="14"/>
  <c r="P65" i="14"/>
  <c r="P70" i="14"/>
  <c r="P63" i="14"/>
  <c r="P68" i="14"/>
  <c r="P66" i="14"/>
  <c r="P71" i="14"/>
  <c r="P64" i="14"/>
  <c r="P69" i="14"/>
  <c r="Q18" i="14"/>
  <c r="P67" i="14"/>
  <c r="CT24" i="16"/>
  <c r="CR24" i="16"/>
  <c r="CS24" i="16" s="1"/>
  <c r="CQ24" i="16"/>
  <c r="CT34" i="16"/>
  <c r="CR34" i="16"/>
  <c r="CS34" i="16" s="1"/>
  <c r="CQ34" i="16"/>
  <c r="CR25" i="16"/>
  <c r="CS25" i="16" s="1"/>
  <c r="CT25" i="16"/>
  <c r="CQ25" i="16"/>
  <c r="P93" i="14"/>
  <c r="P81" i="14"/>
  <c r="P82" i="14"/>
  <c r="P77" i="14"/>
  <c r="P75" i="14"/>
  <c r="P73" i="14"/>
  <c r="P87" i="14"/>
  <c r="P86" i="14"/>
  <c r="P85" i="14"/>
  <c r="P84" i="14"/>
  <c r="P83" i="14"/>
  <c r="P76" i="14"/>
  <c r="P92" i="14"/>
  <c r="P91" i="14"/>
  <c r="P90" i="14"/>
  <c r="P89" i="14"/>
  <c r="P88" i="14"/>
  <c r="P80" i="14"/>
  <c r="P79" i="14"/>
  <c r="P78" i="14"/>
  <c r="P74" i="14"/>
  <c r="Q20" i="14"/>
  <c r="Q36" i="14"/>
  <c r="CQ39" i="16"/>
  <c r="CT39" i="16"/>
  <c r="CR39" i="16"/>
  <c r="CS39" i="16" s="1"/>
  <c r="Q17" i="14"/>
  <c r="CQ45" i="16"/>
  <c r="CT45" i="16"/>
  <c r="CR45" i="16"/>
  <c r="CS45" i="16" s="1"/>
  <c r="P60" i="14"/>
  <c r="P53" i="14"/>
  <c r="P58" i="14"/>
  <c r="P51" i="14"/>
  <c r="P56" i="14"/>
  <c r="P61" i="14"/>
  <c r="P54" i="14"/>
  <c r="P59" i="14"/>
  <c r="P52" i="14"/>
  <c r="P57" i="14"/>
  <c r="P62" i="14"/>
  <c r="Q15" i="14"/>
  <c r="P55" i="14"/>
  <c r="CQ43" i="16"/>
  <c r="CR43" i="16"/>
  <c r="CS43" i="16" s="1"/>
  <c r="CT43" i="16"/>
  <c r="AF163" i="16"/>
  <c r="AB163" i="16" s="1"/>
  <c r="Q12" i="14"/>
  <c r="CT27" i="16"/>
  <c r="CR27" i="16"/>
  <c r="CS27" i="16" s="1"/>
  <c r="CQ27" i="16"/>
  <c r="C48" i="31"/>
  <c r="D48" i="31" s="1"/>
  <c r="E48" i="31" s="1"/>
  <c r="F48" i="31" s="1"/>
  <c r="G48" i="31" s="1"/>
  <c r="H48" i="31" s="1"/>
  <c r="I48" i="31" s="1"/>
  <c r="J48" i="31" s="1"/>
  <c r="K48" i="31" s="1"/>
  <c r="L48" i="31" s="1"/>
  <c r="M48" i="31" s="1"/>
  <c r="B48" i="32" s="1"/>
  <c r="CT14" i="16"/>
  <c r="CR14" i="16"/>
  <c r="CS14" i="16" s="1"/>
  <c r="CQ14" i="16"/>
  <c r="C47" i="31"/>
  <c r="D47" i="31" s="1"/>
  <c r="E47" i="31" s="1"/>
  <c r="F47" i="31" s="1"/>
  <c r="G47" i="31" s="1"/>
  <c r="H47" i="31" s="1"/>
  <c r="I47" i="31" s="1"/>
  <c r="J47" i="31" s="1"/>
  <c r="K47" i="31" s="1"/>
  <c r="L47" i="31" s="1"/>
  <c r="M47" i="31" s="1"/>
  <c r="B47" i="32" s="1"/>
  <c r="AP163" i="16"/>
  <c r="Q32" i="14"/>
  <c r="G3" i="10"/>
  <c r="F3" i="12"/>
  <c r="F3" i="3"/>
  <c r="H4" i="6"/>
  <c r="R3" i="14"/>
  <c r="F3" i="4"/>
  <c r="AM163" i="16" l="1"/>
  <c r="H60" i="17"/>
  <c r="M27" i="17"/>
  <c r="O148" i="16" s="1"/>
  <c r="H27" i="17"/>
  <c r="J148" i="16" s="1"/>
  <c r="O156" i="16"/>
  <c r="F24" i="2"/>
  <c r="G27" i="17"/>
  <c r="G28" i="17" s="1"/>
  <c r="I149" i="16" s="1"/>
  <c r="F27" i="17"/>
  <c r="H148" i="16" s="1"/>
  <c r="E27" i="17"/>
  <c r="G148" i="16" s="1"/>
  <c r="D27" i="17"/>
  <c r="F148" i="16" s="1"/>
  <c r="B60" i="17"/>
  <c r="L27" i="17"/>
  <c r="N148" i="16" s="1"/>
  <c r="K27" i="17"/>
  <c r="K28" i="17" s="1"/>
  <c r="M149" i="16" s="1"/>
  <c r="J27" i="17"/>
  <c r="L148" i="16" s="1"/>
  <c r="B27" i="17"/>
  <c r="C27" i="17"/>
  <c r="CX46" i="16"/>
  <c r="CU46" i="16"/>
  <c r="CV46" i="16"/>
  <c r="CW46" i="16" s="1"/>
  <c r="CV10" i="16"/>
  <c r="CW10" i="16" s="1"/>
  <c r="CX10" i="16"/>
  <c r="CU10" i="16"/>
  <c r="CX42" i="16"/>
  <c r="CV42" i="16"/>
  <c r="CW42" i="16" s="1"/>
  <c r="CU42" i="16"/>
  <c r="N48" i="31"/>
  <c r="R19" i="14"/>
  <c r="CX12" i="16"/>
  <c r="CV12" i="16"/>
  <c r="CW12" i="16" s="1"/>
  <c r="CU12" i="16"/>
  <c r="CU22" i="16"/>
  <c r="CX22" i="16"/>
  <c r="CV22" i="16"/>
  <c r="CW22" i="16" s="1"/>
  <c r="R33" i="14"/>
  <c r="CX31" i="16"/>
  <c r="CU31" i="16"/>
  <c r="CV31" i="16"/>
  <c r="CW31" i="16" s="1"/>
  <c r="C43" i="32"/>
  <c r="D43" i="32" s="1"/>
  <c r="E43" i="32" s="1"/>
  <c r="F43" i="32" s="1"/>
  <c r="G43" i="32" s="1"/>
  <c r="H43" i="32" s="1"/>
  <c r="I43" i="32" s="1"/>
  <c r="J43" i="32" s="1"/>
  <c r="K43" i="32" s="1"/>
  <c r="L43" i="32" s="1"/>
  <c r="M43" i="32" s="1"/>
  <c r="B43" i="33" s="1"/>
  <c r="D39" i="18"/>
  <c r="D15" i="18"/>
  <c r="D38" i="18"/>
  <c r="D25" i="18"/>
  <c r="D14" i="18"/>
  <c r="D24" i="18"/>
  <c r="D13" i="18"/>
  <c r="D34" i="18"/>
  <c r="D23" i="18"/>
  <c r="D22" i="18"/>
  <c r="D32" i="18"/>
  <c r="D20" i="18"/>
  <c r="D19" i="18"/>
  <c r="D30" i="18"/>
  <c r="D18" i="18"/>
  <c r="D17" i="18"/>
  <c r="D11" i="18"/>
  <c r="D16" i="18"/>
  <c r="D10" i="18"/>
  <c r="D21" i="18"/>
  <c r="R36" i="14"/>
  <c r="E52" i="18"/>
  <c r="F42" i="18"/>
  <c r="R30" i="14"/>
  <c r="C48" i="32"/>
  <c r="D48" i="32" s="1"/>
  <c r="E48" i="32" s="1"/>
  <c r="F48" i="32" s="1"/>
  <c r="G48" i="32" s="1"/>
  <c r="H48" i="32" s="1"/>
  <c r="I48" i="32" s="1"/>
  <c r="J48" i="32" s="1"/>
  <c r="K48" i="32" s="1"/>
  <c r="L48" i="32" s="1"/>
  <c r="M48" i="32" s="1"/>
  <c r="B48" i="33" s="1"/>
  <c r="CX25" i="16"/>
  <c r="CV25" i="16"/>
  <c r="CW25" i="16" s="1"/>
  <c r="CU25" i="16"/>
  <c r="CX37" i="16"/>
  <c r="CV37" i="16"/>
  <c r="CW37" i="16" s="1"/>
  <c r="CU37" i="16"/>
  <c r="R29" i="14"/>
  <c r="Q86" i="14"/>
  <c r="Q87" i="14"/>
  <c r="Q77" i="14"/>
  <c r="Q75" i="14"/>
  <c r="Q73" i="14"/>
  <c r="Q85" i="14"/>
  <c r="Q84" i="14"/>
  <c r="Q83" i="14"/>
  <c r="Q82" i="14"/>
  <c r="Q76" i="14"/>
  <c r="Q93" i="14"/>
  <c r="Q92" i="14"/>
  <c r="Q91" i="14"/>
  <c r="Q90" i="14"/>
  <c r="Q89" i="14"/>
  <c r="Q88" i="14"/>
  <c r="Q81" i="14"/>
  <c r="Q80" i="14"/>
  <c r="Q79" i="14"/>
  <c r="Q78" i="14"/>
  <c r="Q74" i="14"/>
  <c r="R20" i="14"/>
  <c r="CU35" i="16"/>
  <c r="CX35" i="16"/>
  <c r="CV35" i="16"/>
  <c r="CW35" i="16" s="1"/>
  <c r="CU15" i="16"/>
  <c r="CX15" i="16"/>
  <c r="CV15" i="16"/>
  <c r="CW15" i="16" s="1"/>
  <c r="K148" i="16"/>
  <c r="I28" i="17"/>
  <c r="K149" i="16" s="1"/>
  <c r="AC163" i="16"/>
  <c r="AK164" i="16"/>
  <c r="AI164" i="16" s="1"/>
  <c r="R27" i="14"/>
  <c r="R16" i="14"/>
  <c r="CV40" i="16"/>
  <c r="CW40" i="16" s="1"/>
  <c r="CX40" i="16"/>
  <c r="CU40" i="16"/>
  <c r="AN163" i="16"/>
  <c r="D8" i="18"/>
  <c r="CV33" i="16"/>
  <c r="CW33" i="16" s="1"/>
  <c r="CX33" i="16"/>
  <c r="CU33" i="16"/>
  <c r="R26" i="14"/>
  <c r="AL163" i="16"/>
  <c r="D9" i="18"/>
  <c r="R13" i="14"/>
  <c r="AH163" i="16"/>
  <c r="R9" i="14"/>
  <c r="H25" i="2"/>
  <c r="I25" i="2" s="1"/>
  <c r="C26" i="2"/>
  <c r="E25" i="2"/>
  <c r="D25" i="2"/>
  <c r="AI25" i="2"/>
  <c r="AG25" i="2"/>
  <c r="CX27" i="16"/>
  <c r="CV27" i="16"/>
  <c r="CW27" i="16" s="1"/>
  <c r="CU27" i="16"/>
  <c r="Q53" i="14"/>
  <c r="Q58" i="14"/>
  <c r="Q51" i="14"/>
  <c r="Q56" i="14"/>
  <c r="Q61" i="14"/>
  <c r="Q54" i="14"/>
  <c r="Q59" i="14"/>
  <c r="Q52" i="14"/>
  <c r="Q57" i="14"/>
  <c r="Q62" i="14"/>
  <c r="Q55" i="14"/>
  <c r="R15" i="14"/>
  <c r="Q60" i="14"/>
  <c r="CX6" i="16"/>
  <c r="CV6" i="16"/>
  <c r="CW6" i="16" s="1"/>
  <c r="CU6" i="16"/>
  <c r="CV36" i="16"/>
  <c r="CW36" i="16" s="1"/>
  <c r="CX36" i="16"/>
  <c r="CU36" i="16"/>
  <c r="R25" i="14"/>
  <c r="CV29" i="16"/>
  <c r="CW29" i="16" s="1"/>
  <c r="CU29" i="16"/>
  <c r="CX29" i="16"/>
  <c r="CX28" i="16"/>
  <c r="CV28" i="16"/>
  <c r="CW28" i="16" s="1"/>
  <c r="CU28" i="16"/>
  <c r="R10" i="14"/>
  <c r="CU47" i="16"/>
  <c r="CV47" i="16"/>
  <c r="CW47" i="16" s="1"/>
  <c r="CX47" i="16"/>
  <c r="R24" i="14"/>
  <c r="N45" i="31"/>
  <c r="R34" i="14"/>
  <c r="C45" i="32"/>
  <c r="D45" i="32" s="1"/>
  <c r="E45" i="32" s="1"/>
  <c r="F45" i="32" s="1"/>
  <c r="G45" i="32" s="1"/>
  <c r="H45" i="32" s="1"/>
  <c r="I45" i="32" s="1"/>
  <c r="J45" i="32" s="1"/>
  <c r="K45" i="32" s="1"/>
  <c r="L45" i="32" s="1"/>
  <c r="M45" i="32" s="1"/>
  <c r="B45" i="33" s="1"/>
  <c r="CX9" i="16"/>
  <c r="CV9" i="16"/>
  <c r="CW9" i="16" s="1"/>
  <c r="CU9" i="16"/>
  <c r="R14" i="14"/>
  <c r="AP164" i="16"/>
  <c r="R32" i="14"/>
  <c r="AF164" i="16"/>
  <c r="AB164" i="16" s="1"/>
  <c r="R12" i="14"/>
  <c r="AG163" i="16"/>
  <c r="CV34" i="16"/>
  <c r="CW34" i="16" s="1"/>
  <c r="CU34" i="16"/>
  <c r="CX34" i="16"/>
  <c r="N46" i="31"/>
  <c r="S50" i="14"/>
  <c r="T4" i="14"/>
  <c r="C50" i="32"/>
  <c r="D50" i="32" s="1"/>
  <c r="E50" i="32" s="1"/>
  <c r="F50" i="32" s="1"/>
  <c r="G50" i="32" s="1"/>
  <c r="H50" i="32" s="1"/>
  <c r="I50" i="32" s="1"/>
  <c r="J50" i="32" s="1"/>
  <c r="K50" i="32" s="1"/>
  <c r="L50" i="32" s="1"/>
  <c r="M50" i="32" s="1"/>
  <c r="B50" i="33" s="1"/>
  <c r="L18" i="4"/>
  <c r="CX44" i="16"/>
  <c r="CV44" i="16"/>
  <c r="CW44" i="16" s="1"/>
  <c r="CU44" i="16"/>
  <c r="CV18" i="16"/>
  <c r="CW18" i="16" s="1"/>
  <c r="CX18" i="16"/>
  <c r="CU18" i="16"/>
  <c r="CU23" i="16"/>
  <c r="CX23" i="16"/>
  <c r="CV23" i="16"/>
  <c r="CW23" i="16" s="1"/>
  <c r="CV8" i="16"/>
  <c r="CW8" i="16" s="1"/>
  <c r="CU8" i="16"/>
  <c r="CX8" i="16"/>
  <c r="R35" i="14"/>
  <c r="R23" i="14"/>
  <c r="CU45" i="16"/>
  <c r="CV45" i="16"/>
  <c r="CW45" i="16" s="1"/>
  <c r="CX45" i="16"/>
  <c r="C46" i="32"/>
  <c r="D46" i="32" s="1"/>
  <c r="E46" i="32" s="1"/>
  <c r="F46" i="32" s="1"/>
  <c r="G46" i="32" s="1"/>
  <c r="H46" i="32" s="1"/>
  <c r="I46" i="32" s="1"/>
  <c r="J46" i="32" s="1"/>
  <c r="K46" i="32" s="1"/>
  <c r="L46" i="32" s="1"/>
  <c r="M46" i="32" s="1"/>
  <c r="B46" i="33" s="1"/>
  <c r="CU5" i="16"/>
  <c r="CV5" i="16"/>
  <c r="CW5" i="16" s="1"/>
  <c r="CX5" i="16"/>
  <c r="N49" i="31"/>
  <c r="Q38" i="14"/>
  <c r="Q39" i="14" s="1"/>
  <c r="Q40" i="14" s="1"/>
  <c r="Q41" i="14" s="1"/>
  <c r="Q42" i="14" s="1"/>
  <c r="Q43" i="14" s="1"/>
  <c r="Q44" i="14" s="1"/>
  <c r="Q45" i="14" s="1"/>
  <c r="Q46" i="14" s="1"/>
  <c r="Q47" i="14" s="1"/>
  <c r="R37" i="14"/>
  <c r="N51" i="31"/>
  <c r="CX20" i="16"/>
  <c r="CU20" i="16"/>
  <c r="CV20" i="16"/>
  <c r="CW20" i="16" s="1"/>
  <c r="CV48" i="16"/>
  <c r="CW48" i="16" s="1"/>
  <c r="CU48" i="16"/>
  <c r="CX48" i="16"/>
  <c r="R17" i="14"/>
  <c r="C47" i="32"/>
  <c r="D47" i="32" s="1"/>
  <c r="E47" i="32" s="1"/>
  <c r="F47" i="32" s="1"/>
  <c r="G47" i="32" s="1"/>
  <c r="H47" i="32" s="1"/>
  <c r="I47" i="32" s="1"/>
  <c r="J47" i="32" s="1"/>
  <c r="K47" i="32" s="1"/>
  <c r="L47" i="32" s="1"/>
  <c r="M47" i="32" s="1"/>
  <c r="B47" i="33" s="1"/>
  <c r="N47" i="32"/>
  <c r="CX43" i="16"/>
  <c r="CV43" i="16"/>
  <c r="CW43" i="16" s="1"/>
  <c r="CU43" i="16"/>
  <c r="N47" i="31"/>
  <c r="CU24" i="16"/>
  <c r="CX24" i="16"/>
  <c r="CV24" i="16"/>
  <c r="CW24" i="16" s="1"/>
  <c r="R31" i="14"/>
  <c r="CX19" i="16"/>
  <c r="CV19" i="16"/>
  <c r="CW19" i="16" s="1"/>
  <c r="CU19" i="16"/>
  <c r="C49" i="32"/>
  <c r="D49" i="32" s="1"/>
  <c r="E49" i="32" s="1"/>
  <c r="F49" i="32" s="1"/>
  <c r="G49" i="32" s="1"/>
  <c r="H49" i="32" s="1"/>
  <c r="I49" i="32" s="1"/>
  <c r="J49" i="32" s="1"/>
  <c r="K49" i="32" s="1"/>
  <c r="L49" i="32" s="1"/>
  <c r="M49" i="32" s="1"/>
  <c r="B49" i="33" s="1"/>
  <c r="N49" i="32"/>
  <c r="R6" i="14"/>
  <c r="C51" i="32"/>
  <c r="D51" i="32" s="1"/>
  <c r="E51" i="32" s="1"/>
  <c r="F51" i="32" s="1"/>
  <c r="G51" i="32" s="1"/>
  <c r="H51" i="32" s="1"/>
  <c r="I51" i="32" s="1"/>
  <c r="J51" i="32" s="1"/>
  <c r="K51" i="32" s="1"/>
  <c r="L51" i="32" s="1"/>
  <c r="M51" i="32" s="1"/>
  <c r="B51" i="33" s="1"/>
  <c r="C26" i="18"/>
  <c r="CV7" i="16"/>
  <c r="CW7" i="16" s="1"/>
  <c r="CX7" i="16"/>
  <c r="CU7" i="16"/>
  <c r="R7" i="14"/>
  <c r="CX21" i="16"/>
  <c r="CV21" i="16"/>
  <c r="CW21" i="16" s="1"/>
  <c r="CU21" i="16"/>
  <c r="CX30" i="16"/>
  <c r="CV30" i="16"/>
  <c r="CW30" i="16" s="1"/>
  <c r="CU30" i="16"/>
  <c r="R22" i="14"/>
  <c r="CX32" i="16"/>
  <c r="CU32" i="16"/>
  <c r="CV32" i="16"/>
  <c r="CW32" i="16" s="1"/>
  <c r="R11" i="14"/>
  <c r="M17" i="4"/>
  <c r="R5" i="14"/>
  <c r="C44" i="32"/>
  <c r="D44" i="32" s="1"/>
  <c r="E44" i="32" s="1"/>
  <c r="F44" i="32" s="1"/>
  <c r="G44" i="32" s="1"/>
  <c r="H44" i="32" s="1"/>
  <c r="I44" i="32" s="1"/>
  <c r="J44" i="32" s="1"/>
  <c r="K44" i="32" s="1"/>
  <c r="L44" i="32" s="1"/>
  <c r="M44" i="32" s="1"/>
  <c r="B44" i="33" s="1"/>
  <c r="N44" i="32"/>
  <c r="CX38" i="16"/>
  <c r="CV38" i="16"/>
  <c r="CW38" i="16" s="1"/>
  <c r="CU38" i="16"/>
  <c r="R28" i="14"/>
  <c r="CX14" i="16"/>
  <c r="CV14" i="16"/>
  <c r="CW14" i="16" s="1"/>
  <c r="CU14" i="16"/>
  <c r="CX39" i="16"/>
  <c r="CV39" i="16"/>
  <c r="CW39" i="16" s="1"/>
  <c r="CU39" i="16"/>
  <c r="Q65" i="14"/>
  <c r="Q70" i="14"/>
  <c r="Q63" i="14"/>
  <c r="Q68" i="14"/>
  <c r="Q66" i="14"/>
  <c r="Q71" i="14"/>
  <c r="Q64" i="14"/>
  <c r="Q69" i="14"/>
  <c r="Q67" i="14"/>
  <c r="R18" i="14"/>
  <c r="Q72" i="14"/>
  <c r="R21" i="14"/>
  <c r="AD163" i="16"/>
  <c r="CX16" i="16"/>
  <c r="CV16" i="16"/>
  <c r="CW16" i="16" s="1"/>
  <c r="CU16" i="16"/>
  <c r="CU41" i="16"/>
  <c r="CX41" i="16"/>
  <c r="CV41" i="16"/>
  <c r="CW41" i="16" s="1"/>
  <c r="R8" i="14"/>
  <c r="CV17" i="16"/>
  <c r="CW17" i="16" s="1"/>
  <c r="CU17" i="16"/>
  <c r="CX17" i="16"/>
  <c r="CV11" i="16"/>
  <c r="CW11" i="16" s="1"/>
  <c r="CX11" i="16"/>
  <c r="CU11" i="16"/>
  <c r="N43" i="31"/>
  <c r="CX13" i="16"/>
  <c r="CV13" i="16"/>
  <c r="CW13" i="16" s="1"/>
  <c r="CU13" i="16"/>
  <c r="E6" i="18"/>
  <c r="E8" i="18" s="1"/>
  <c r="F4" i="18"/>
  <c r="CV26" i="16"/>
  <c r="CW26" i="16" s="1"/>
  <c r="CX26" i="16"/>
  <c r="CU26" i="16"/>
  <c r="E3" i="12"/>
  <c r="I3" i="4"/>
  <c r="S3" i="14"/>
  <c r="O3" i="3"/>
  <c r="K3" i="4"/>
  <c r="B3" i="4"/>
  <c r="B3" i="3"/>
  <c r="E3" i="4"/>
  <c r="G3" i="4"/>
  <c r="E3" i="3"/>
  <c r="I4" i="6"/>
  <c r="B3" i="12"/>
  <c r="J3" i="4"/>
  <c r="H3" i="4"/>
  <c r="F3" i="10"/>
  <c r="C3" i="10"/>
  <c r="M28" i="17" l="1"/>
  <c r="O149" i="16" s="1"/>
  <c r="I148" i="16"/>
  <c r="AM164" i="16"/>
  <c r="D28" i="17"/>
  <c r="D58" i="17" s="1"/>
  <c r="D59" i="17" s="1"/>
  <c r="H28" i="17"/>
  <c r="J149" i="16" s="1"/>
  <c r="F28" i="17"/>
  <c r="H149" i="16" s="1"/>
  <c r="N43" i="32"/>
  <c r="N45" i="32"/>
  <c r="L28" i="17"/>
  <c r="N149" i="16" s="1"/>
  <c r="M148" i="16"/>
  <c r="N27" i="17"/>
  <c r="E28" i="17"/>
  <c r="G149" i="16" s="1"/>
  <c r="J28" i="17"/>
  <c r="L149" i="16" s="1"/>
  <c r="C28" i="17"/>
  <c r="E149" i="16" s="1"/>
  <c r="E148" i="16"/>
  <c r="B28" i="17"/>
  <c r="D149" i="16" s="1"/>
  <c r="P149" i="16" s="1"/>
  <c r="D148" i="16"/>
  <c r="P148" i="16" s="1"/>
  <c r="B3" i="5"/>
  <c r="C3" i="3"/>
  <c r="D3" i="5" s="1"/>
  <c r="D3" i="6" s="1"/>
  <c r="B3" i="7"/>
  <c r="B3" i="6"/>
  <c r="O3" i="4"/>
  <c r="P3" i="4" s="1"/>
  <c r="E3" i="6"/>
  <c r="E3" i="7"/>
  <c r="E3" i="5"/>
  <c r="C3" i="4"/>
  <c r="AD164" i="16"/>
  <c r="M58" i="17"/>
  <c r="M59" i="17" s="1"/>
  <c r="AG164" i="16"/>
  <c r="K58" i="17"/>
  <c r="K59" i="17" s="1"/>
  <c r="G58" i="17"/>
  <c r="G59" i="17" s="1"/>
  <c r="AH164" i="16"/>
  <c r="D26" i="18"/>
  <c r="D57" i="18" s="1"/>
  <c r="C51" i="33"/>
  <c r="D51" i="33" s="1"/>
  <c r="E51" i="33" s="1"/>
  <c r="F51" i="33" s="1"/>
  <c r="G51" i="33" s="1"/>
  <c r="H51" i="33" s="1"/>
  <c r="I51" i="33" s="1"/>
  <c r="J51" i="33" s="1"/>
  <c r="K51" i="33" s="1"/>
  <c r="L51" i="33" s="1"/>
  <c r="M51" i="33" s="1"/>
  <c r="B51" i="34" s="1"/>
  <c r="N46" i="32"/>
  <c r="N50" i="32"/>
  <c r="AP165" i="16"/>
  <c r="S32" i="14"/>
  <c r="S10" i="14"/>
  <c r="F25" i="2"/>
  <c r="S6" i="14"/>
  <c r="C46" i="33"/>
  <c r="D46" i="33" s="1"/>
  <c r="E46" i="33" s="1"/>
  <c r="F46" i="33" s="1"/>
  <c r="G46" i="33" s="1"/>
  <c r="H46" i="33" s="1"/>
  <c r="I46" i="33" s="1"/>
  <c r="J46" i="33" s="1"/>
  <c r="K46" i="33" s="1"/>
  <c r="L46" i="33" s="1"/>
  <c r="M46" i="33" s="1"/>
  <c r="B46" i="34" s="1"/>
  <c r="C50" i="33"/>
  <c r="D50" i="33" s="1"/>
  <c r="E50" i="33" s="1"/>
  <c r="F50" i="33" s="1"/>
  <c r="G50" i="33" s="1"/>
  <c r="H50" i="33" s="1"/>
  <c r="I50" i="33" s="1"/>
  <c r="J50" i="33" s="1"/>
  <c r="K50" i="33" s="1"/>
  <c r="L50" i="33" s="1"/>
  <c r="M50" i="33" s="1"/>
  <c r="B50" i="34" s="1"/>
  <c r="DB36" i="16"/>
  <c r="CZ36" i="16"/>
  <c r="DA36" i="16" s="1"/>
  <c r="CY36" i="16"/>
  <c r="CZ10" i="16"/>
  <c r="DA10" i="16" s="1"/>
  <c r="CY10" i="16"/>
  <c r="DB10" i="16"/>
  <c r="CZ43" i="16"/>
  <c r="DA43" i="16" s="1"/>
  <c r="DB43" i="16"/>
  <c r="CY43" i="16"/>
  <c r="S14" i="14"/>
  <c r="H26" i="2"/>
  <c r="C27" i="2"/>
  <c r="E26" i="2"/>
  <c r="D26" i="2"/>
  <c r="AI26" i="2"/>
  <c r="AG26" i="2"/>
  <c r="AN164" i="16"/>
  <c r="CZ22" i="16"/>
  <c r="DA22" i="16" s="1"/>
  <c r="DB22" i="16"/>
  <c r="CY22" i="16"/>
  <c r="CY39" i="16"/>
  <c r="DB39" i="16"/>
  <c r="CZ39" i="16"/>
  <c r="DA39" i="16" s="1"/>
  <c r="CY45" i="16"/>
  <c r="DB45" i="16"/>
  <c r="CZ45" i="16"/>
  <c r="DA45" i="16" s="1"/>
  <c r="T50" i="14"/>
  <c r="U4" i="14"/>
  <c r="CZ15" i="16"/>
  <c r="DA15" i="16" s="1"/>
  <c r="CY15" i="16"/>
  <c r="DB15" i="16"/>
  <c r="C43" i="33"/>
  <c r="D43" i="33" s="1"/>
  <c r="E43" i="33" s="1"/>
  <c r="F43" i="33" s="1"/>
  <c r="G43" i="33" s="1"/>
  <c r="H43" i="33" s="1"/>
  <c r="I43" i="33" s="1"/>
  <c r="J43" i="33" s="1"/>
  <c r="K43" i="33" s="1"/>
  <c r="L43" i="33" s="1"/>
  <c r="M43" i="33" s="1"/>
  <c r="B43" i="34" s="1"/>
  <c r="N43" i="33"/>
  <c r="CZ14" i="16"/>
  <c r="DA14" i="16" s="1"/>
  <c r="DB14" i="16"/>
  <c r="CY14" i="16"/>
  <c r="S5" i="14"/>
  <c r="C47" i="33"/>
  <c r="D47" i="33" s="1"/>
  <c r="E47" i="33" s="1"/>
  <c r="F47" i="33" s="1"/>
  <c r="G47" i="33" s="1"/>
  <c r="H47" i="33" s="1"/>
  <c r="I47" i="33" s="1"/>
  <c r="J47" i="33" s="1"/>
  <c r="K47" i="33" s="1"/>
  <c r="L47" i="33" s="1"/>
  <c r="M47" i="33" s="1"/>
  <c r="B47" i="34" s="1"/>
  <c r="S9" i="14"/>
  <c r="CZ40" i="16"/>
  <c r="DA40" i="16" s="1"/>
  <c r="DB40" i="16"/>
  <c r="CY40" i="16"/>
  <c r="DB25" i="16"/>
  <c r="CZ25" i="16"/>
  <c r="DA25" i="16" s="1"/>
  <c r="CY25" i="16"/>
  <c r="S17" i="14"/>
  <c r="S23" i="14"/>
  <c r="DB6" i="16"/>
  <c r="CZ6" i="16"/>
  <c r="DA6" i="16" s="1"/>
  <c r="CY6" i="16"/>
  <c r="N48" i="32"/>
  <c r="DB46" i="16"/>
  <c r="CZ46" i="16"/>
  <c r="DA46" i="16" s="1"/>
  <c r="CY46" i="16"/>
  <c r="CY41" i="16"/>
  <c r="DB41" i="16"/>
  <c r="CZ41" i="16"/>
  <c r="DA41" i="16" s="1"/>
  <c r="S35" i="14"/>
  <c r="CZ44" i="16"/>
  <c r="DA44" i="16" s="1"/>
  <c r="DB44" i="16"/>
  <c r="CY44" i="16"/>
  <c r="DB34" i="16"/>
  <c r="CZ34" i="16"/>
  <c r="DA34" i="16" s="1"/>
  <c r="CY34" i="16"/>
  <c r="S13" i="14"/>
  <c r="S16" i="14"/>
  <c r="DB35" i="16"/>
  <c r="CZ35" i="16"/>
  <c r="DA35" i="16" s="1"/>
  <c r="CY35" i="16"/>
  <c r="S29" i="14"/>
  <c r="C48" i="33"/>
  <c r="D48" i="33" s="1"/>
  <c r="E48" i="33" s="1"/>
  <c r="F48" i="33" s="1"/>
  <c r="G48" i="33" s="1"/>
  <c r="H48" i="33" s="1"/>
  <c r="I48" i="33" s="1"/>
  <c r="J48" i="33" s="1"/>
  <c r="K48" i="33" s="1"/>
  <c r="L48" i="33" s="1"/>
  <c r="M48" i="33" s="1"/>
  <c r="B48" i="34" s="1"/>
  <c r="DB12" i="16"/>
  <c r="CZ12" i="16"/>
  <c r="DA12" i="16" s="1"/>
  <c r="CY12" i="16"/>
  <c r="R70" i="14"/>
  <c r="R63" i="14"/>
  <c r="R68" i="14"/>
  <c r="R66" i="14"/>
  <c r="R71" i="14"/>
  <c r="R64" i="14"/>
  <c r="R69" i="14"/>
  <c r="R67" i="14"/>
  <c r="R72" i="14"/>
  <c r="R65" i="14"/>
  <c r="S18" i="14"/>
  <c r="DB13" i="16"/>
  <c r="CZ13" i="16"/>
  <c r="DA13" i="16" s="1"/>
  <c r="CY13" i="16"/>
  <c r="S28" i="14"/>
  <c r="CZ11" i="16"/>
  <c r="DA11" i="16" s="1"/>
  <c r="DB11" i="16"/>
  <c r="CY11" i="16"/>
  <c r="DB19" i="16"/>
  <c r="CZ19" i="16"/>
  <c r="DA19" i="16" s="1"/>
  <c r="CY19" i="16"/>
  <c r="DB48" i="16"/>
  <c r="CY48" i="16"/>
  <c r="CZ48" i="16"/>
  <c r="DA48" i="16" s="1"/>
  <c r="S11" i="14"/>
  <c r="S31" i="14"/>
  <c r="CY8" i="16"/>
  <c r="DB8" i="16"/>
  <c r="CZ8" i="16"/>
  <c r="DA8" i="16" s="1"/>
  <c r="L19" i="4"/>
  <c r="CY9" i="16"/>
  <c r="DB9" i="16"/>
  <c r="CZ9" i="16"/>
  <c r="DA9" i="16" s="1"/>
  <c r="CY28" i="16"/>
  <c r="DB28" i="16"/>
  <c r="CZ28" i="16"/>
  <c r="DA28" i="16" s="1"/>
  <c r="R58" i="14"/>
  <c r="R51" i="14"/>
  <c r="R56" i="14"/>
  <c r="R61" i="14"/>
  <c r="R54" i="14"/>
  <c r="R59" i="14"/>
  <c r="R52" i="14"/>
  <c r="R57" i="14"/>
  <c r="R62" i="14"/>
  <c r="R55" i="14"/>
  <c r="R60" i="14"/>
  <c r="S15" i="14"/>
  <c r="R53" i="14"/>
  <c r="AK165" i="16"/>
  <c r="S27" i="14"/>
  <c r="DB31" i="16"/>
  <c r="CZ31" i="16"/>
  <c r="DA31" i="16" s="1"/>
  <c r="CY31" i="16"/>
  <c r="S19" i="14"/>
  <c r="S8" i="14"/>
  <c r="S37" i="14"/>
  <c r="R38" i="14"/>
  <c r="R39" i="14" s="1"/>
  <c r="R40" i="14" s="1"/>
  <c r="R41" i="14" s="1"/>
  <c r="R42" i="14" s="1"/>
  <c r="R43" i="14" s="1"/>
  <c r="R44" i="14" s="1"/>
  <c r="R45" i="14" s="1"/>
  <c r="R46" i="14" s="1"/>
  <c r="R47" i="14" s="1"/>
  <c r="C49" i="33"/>
  <c r="D49" i="33" s="1"/>
  <c r="E49" i="33" s="1"/>
  <c r="F49" i="33" s="1"/>
  <c r="G49" i="33" s="1"/>
  <c r="H49" i="33" s="1"/>
  <c r="I49" i="33" s="1"/>
  <c r="J49" i="33" s="1"/>
  <c r="K49" i="33" s="1"/>
  <c r="L49" i="33" s="1"/>
  <c r="M49" i="33" s="1"/>
  <c r="B49" i="34" s="1"/>
  <c r="CY26" i="16"/>
  <c r="DB26" i="16"/>
  <c r="CZ26" i="16"/>
  <c r="DA26" i="16" s="1"/>
  <c r="M18" i="4"/>
  <c r="CZ21" i="16"/>
  <c r="DA21" i="16" s="1"/>
  <c r="CY21" i="16"/>
  <c r="DB21" i="16"/>
  <c r="S7" i="14"/>
  <c r="E9" i="18"/>
  <c r="DB17" i="16"/>
  <c r="CZ17" i="16"/>
  <c r="DA17" i="16" s="1"/>
  <c r="CY17" i="16"/>
  <c r="CZ38" i="16"/>
  <c r="DA38" i="16" s="1"/>
  <c r="DB38" i="16"/>
  <c r="CY38" i="16"/>
  <c r="CY7" i="16"/>
  <c r="DB7" i="16"/>
  <c r="CZ7" i="16"/>
  <c r="DA7" i="16" s="1"/>
  <c r="S24" i="14"/>
  <c r="DB29" i="16"/>
  <c r="CZ29" i="16"/>
  <c r="DA29" i="16" s="1"/>
  <c r="CY29" i="16"/>
  <c r="AL164" i="16"/>
  <c r="R91" i="14"/>
  <c r="R79" i="14"/>
  <c r="R92" i="14"/>
  <c r="R80" i="14"/>
  <c r="R75" i="14"/>
  <c r="R73" i="14"/>
  <c r="R85" i="14"/>
  <c r="R84" i="14"/>
  <c r="R83" i="14"/>
  <c r="R82" i="14"/>
  <c r="R76" i="14"/>
  <c r="R93" i="14"/>
  <c r="R90" i="14"/>
  <c r="R89" i="14"/>
  <c r="R88" i="14"/>
  <c r="R87" i="14"/>
  <c r="R86" i="14"/>
  <c r="R81" i="14"/>
  <c r="R78" i="14"/>
  <c r="R74" i="14"/>
  <c r="R77" i="14"/>
  <c r="S20" i="14"/>
  <c r="S30" i="14"/>
  <c r="S33" i="14"/>
  <c r="F6" i="18"/>
  <c r="F8" i="18" s="1"/>
  <c r="G4" i="18"/>
  <c r="CY16" i="16"/>
  <c r="DB16" i="16"/>
  <c r="CZ16" i="16"/>
  <c r="DA16" i="16" s="1"/>
  <c r="DB24" i="16"/>
  <c r="CZ24" i="16"/>
  <c r="DA24" i="16" s="1"/>
  <c r="CY24" i="16"/>
  <c r="DB5" i="16"/>
  <c r="CZ5" i="16"/>
  <c r="DA5" i="16" s="1"/>
  <c r="CY5" i="16"/>
  <c r="C45" i="33"/>
  <c r="D45" i="33" s="1"/>
  <c r="E45" i="33" s="1"/>
  <c r="F45" i="33" s="1"/>
  <c r="G45" i="33" s="1"/>
  <c r="H45" i="33" s="1"/>
  <c r="I45" i="33" s="1"/>
  <c r="J45" i="33" s="1"/>
  <c r="K45" i="33" s="1"/>
  <c r="L45" i="33" s="1"/>
  <c r="M45" i="33" s="1"/>
  <c r="B45" i="34" s="1"/>
  <c r="DB47" i="16"/>
  <c r="CZ47" i="16"/>
  <c r="DA47" i="16" s="1"/>
  <c r="CY47" i="16"/>
  <c r="CY27" i="16"/>
  <c r="CZ27" i="16"/>
  <c r="DA27" i="16" s="1"/>
  <c r="DB27" i="16"/>
  <c r="S26" i="14"/>
  <c r="AC164" i="16"/>
  <c r="CY37" i="16"/>
  <c r="DB37" i="16"/>
  <c r="CZ37" i="16"/>
  <c r="DA37" i="16" s="1"/>
  <c r="G42" i="18"/>
  <c r="F52" i="18"/>
  <c r="C44" i="33"/>
  <c r="D44" i="33" s="1"/>
  <c r="E44" i="33" s="1"/>
  <c r="F44" i="33" s="1"/>
  <c r="G44" i="33" s="1"/>
  <c r="H44" i="33" s="1"/>
  <c r="I44" i="33" s="1"/>
  <c r="J44" i="33" s="1"/>
  <c r="K44" i="33" s="1"/>
  <c r="L44" i="33" s="1"/>
  <c r="M44" i="33" s="1"/>
  <c r="B44" i="34" s="1"/>
  <c r="N44" i="33"/>
  <c r="DB30" i="16"/>
  <c r="CZ30" i="16"/>
  <c r="DA30" i="16" s="1"/>
  <c r="CY30" i="16"/>
  <c r="CZ18" i="16"/>
  <c r="DA18" i="16" s="1"/>
  <c r="DB18" i="16"/>
  <c r="CY18" i="16"/>
  <c r="E38" i="18"/>
  <c r="E25" i="18"/>
  <c r="E14" i="18"/>
  <c r="E24" i="18"/>
  <c r="E13" i="18"/>
  <c r="E34" i="18"/>
  <c r="E23" i="18"/>
  <c r="E22" i="18"/>
  <c r="E32" i="18"/>
  <c r="E20" i="18"/>
  <c r="E19" i="18"/>
  <c r="E30" i="18"/>
  <c r="E31" i="18" s="1"/>
  <c r="E18" i="18"/>
  <c r="E17" i="18"/>
  <c r="E11" i="18"/>
  <c r="E16" i="18"/>
  <c r="E10" i="18"/>
  <c r="E15" i="18"/>
  <c r="E39" i="18"/>
  <c r="E21" i="18"/>
  <c r="DB32" i="16"/>
  <c r="CY32" i="16"/>
  <c r="CZ32" i="16"/>
  <c r="DA32" i="16" s="1"/>
  <c r="C57" i="18"/>
  <c r="AF165" i="16"/>
  <c r="AB165" i="16" s="1"/>
  <c r="S12" i="14"/>
  <c r="S34" i="14"/>
  <c r="D31" i="18"/>
  <c r="S21" i="14"/>
  <c r="S22" i="14"/>
  <c r="N51" i="32"/>
  <c r="DB20" i="16"/>
  <c r="CZ20" i="16"/>
  <c r="DA20" i="16" s="1"/>
  <c r="CY20" i="16"/>
  <c r="DB23" i="16"/>
  <c r="CZ23" i="16"/>
  <c r="DA23" i="16" s="1"/>
  <c r="CY23" i="16"/>
  <c r="S25" i="14"/>
  <c r="CZ33" i="16"/>
  <c r="DA33" i="16" s="1"/>
  <c r="DB33" i="16"/>
  <c r="CY33" i="16"/>
  <c r="I58" i="17"/>
  <c r="I59" i="17" s="1"/>
  <c r="S36" i="14"/>
  <c r="DB42" i="16"/>
  <c r="CY42" i="16"/>
  <c r="CZ42" i="16"/>
  <c r="DA42" i="16" s="1"/>
  <c r="H3" i="10"/>
  <c r="T3" i="14"/>
  <c r="J4" i="6"/>
  <c r="F149" i="16" l="1"/>
  <c r="AM165" i="16"/>
  <c r="H58" i="17"/>
  <c r="H59" i="17" s="1"/>
  <c r="F58" i="17"/>
  <c r="F59" i="17" s="1"/>
  <c r="L58" i="17"/>
  <c r="L59" i="17" s="1"/>
  <c r="N49" i="33"/>
  <c r="J58" i="17"/>
  <c r="J59" i="17" s="1"/>
  <c r="N50" i="33"/>
  <c r="E58" i="17"/>
  <c r="E59" i="17" s="1"/>
  <c r="N28" i="17"/>
  <c r="AH165" i="16"/>
  <c r="B58" i="17"/>
  <c r="B59" i="17" s="1"/>
  <c r="C58" i="17"/>
  <c r="C59" i="17" s="1"/>
  <c r="AL165" i="16"/>
  <c r="I3" i="10"/>
  <c r="J3" i="10"/>
  <c r="K3" i="10" s="1"/>
  <c r="AN165" i="16"/>
  <c r="AG165" i="16"/>
  <c r="AI165" i="16"/>
  <c r="F9" i="18"/>
  <c r="T21" i="14"/>
  <c r="DC30" i="16"/>
  <c r="DF30" i="16"/>
  <c r="DD30" i="16"/>
  <c r="DE30" i="16" s="1"/>
  <c r="DF24" i="16"/>
  <c r="DD24" i="16"/>
  <c r="DE24" i="16" s="1"/>
  <c r="DC24" i="16"/>
  <c r="T30" i="14"/>
  <c r="C49" i="34"/>
  <c r="D49" i="34" s="1"/>
  <c r="E49" i="34" s="1"/>
  <c r="F49" i="34" s="1"/>
  <c r="G49" i="34" s="1"/>
  <c r="H49" i="34" s="1"/>
  <c r="I49" i="34" s="1"/>
  <c r="J49" i="34" s="1"/>
  <c r="K49" i="34" s="1"/>
  <c r="L49" i="34" s="1"/>
  <c r="M49" i="34" s="1"/>
  <c r="B49" i="35" s="1"/>
  <c r="L20" i="4"/>
  <c r="C48" i="34"/>
  <c r="D48" i="34" s="1"/>
  <c r="E48" i="34" s="1"/>
  <c r="F48" i="34" s="1"/>
  <c r="G48" i="34" s="1"/>
  <c r="H48" i="34" s="1"/>
  <c r="I48" i="34" s="1"/>
  <c r="J48" i="34" s="1"/>
  <c r="K48" i="34" s="1"/>
  <c r="L48" i="34" s="1"/>
  <c r="M48" i="34" s="1"/>
  <c r="B48" i="35" s="1"/>
  <c r="DD45" i="16"/>
  <c r="DE45" i="16" s="1"/>
  <c r="DC45" i="16"/>
  <c r="DF45" i="16"/>
  <c r="S84" i="14"/>
  <c r="S85" i="14"/>
  <c r="S75" i="14"/>
  <c r="S73" i="14"/>
  <c r="S83" i="14"/>
  <c r="S82" i="14"/>
  <c r="S76" i="14"/>
  <c r="S93" i="14"/>
  <c r="S90" i="14"/>
  <c r="S89" i="14"/>
  <c r="S88" i="14"/>
  <c r="S87" i="14"/>
  <c r="S86" i="14"/>
  <c r="S81" i="14"/>
  <c r="S78" i="14"/>
  <c r="S92" i="14"/>
  <c r="S91" i="14"/>
  <c r="S80" i="14"/>
  <c r="S79" i="14"/>
  <c r="S74" i="14"/>
  <c r="S77" i="14"/>
  <c r="T20" i="14"/>
  <c r="DF17" i="16"/>
  <c r="DD17" i="16"/>
  <c r="DE17" i="16" s="1"/>
  <c r="DC17" i="16"/>
  <c r="T29" i="14"/>
  <c r="C28" i="2"/>
  <c r="E27" i="2"/>
  <c r="D27" i="2"/>
  <c r="AC27" i="2"/>
  <c r="AD27" i="2" s="1"/>
  <c r="C44" i="34"/>
  <c r="D44" i="34" s="1"/>
  <c r="E44" i="34" s="1"/>
  <c r="F44" i="34" s="1"/>
  <c r="G44" i="34" s="1"/>
  <c r="H44" i="34" s="1"/>
  <c r="I44" i="34" s="1"/>
  <c r="J44" i="34" s="1"/>
  <c r="K44" i="34" s="1"/>
  <c r="L44" i="34" s="1"/>
  <c r="M44" i="34" s="1"/>
  <c r="B44" i="35" s="1"/>
  <c r="DF16" i="16"/>
  <c r="DD16" i="16"/>
  <c r="DE16" i="16" s="1"/>
  <c r="DC16" i="16"/>
  <c r="DF29" i="16"/>
  <c r="DD29" i="16"/>
  <c r="DE29" i="16" s="1"/>
  <c r="DC29" i="16"/>
  <c r="T37" i="14"/>
  <c r="S38" i="14"/>
  <c r="S39" i="14" s="1"/>
  <c r="S40" i="14" s="1"/>
  <c r="S41" i="14" s="1"/>
  <c r="S42" i="14" s="1"/>
  <c r="S43" i="14" s="1"/>
  <c r="S44" i="14" s="1"/>
  <c r="S45" i="14" s="1"/>
  <c r="S46" i="14" s="1"/>
  <c r="S47" i="14" s="1"/>
  <c r="AK166" i="16"/>
  <c r="T27" i="14"/>
  <c r="DF8" i="16"/>
  <c r="DD8" i="16"/>
  <c r="DE8" i="16" s="1"/>
  <c r="DC8" i="16"/>
  <c r="DD25" i="16"/>
  <c r="DE25" i="16" s="1"/>
  <c r="DF25" i="16"/>
  <c r="DC25" i="16"/>
  <c r="C43" i="34"/>
  <c r="D43" i="34" s="1"/>
  <c r="E43" i="34" s="1"/>
  <c r="F43" i="34" s="1"/>
  <c r="G43" i="34" s="1"/>
  <c r="H43" i="34" s="1"/>
  <c r="I43" i="34" s="1"/>
  <c r="J43" i="34" s="1"/>
  <c r="K43" i="34" s="1"/>
  <c r="L43" i="34" s="1"/>
  <c r="M43" i="34" s="1"/>
  <c r="B43" i="35" s="1"/>
  <c r="I27" i="2"/>
  <c r="I26" i="2"/>
  <c r="DD36" i="16"/>
  <c r="DE36" i="16" s="1"/>
  <c r="DF36" i="16"/>
  <c r="DC36" i="16"/>
  <c r="DC11" i="16"/>
  <c r="DF11" i="16"/>
  <c r="DD11" i="16"/>
  <c r="DE11" i="16" s="1"/>
  <c r="T35" i="14"/>
  <c r="DF47" i="16"/>
  <c r="DD47" i="16"/>
  <c r="DE47" i="16" s="1"/>
  <c r="DC47" i="16"/>
  <c r="T24" i="14"/>
  <c r="T7" i="14"/>
  <c r="T8" i="14"/>
  <c r="T28" i="14"/>
  <c r="DD39" i="16"/>
  <c r="DE39" i="16" s="1"/>
  <c r="DC39" i="16"/>
  <c r="DF39" i="16"/>
  <c r="T14" i="14"/>
  <c r="AP166" i="16"/>
  <c r="AM166" i="16" s="1"/>
  <c r="T32" i="14"/>
  <c r="DF32" i="16"/>
  <c r="DD32" i="16"/>
  <c r="DE32" i="16" s="1"/>
  <c r="DC32" i="16"/>
  <c r="AD165" i="16"/>
  <c r="J3" i="11"/>
  <c r="G3" i="11" s="1"/>
  <c r="T34" i="14"/>
  <c r="H42" i="18"/>
  <c r="G52" i="18"/>
  <c r="N45" i="33"/>
  <c r="DF21" i="16"/>
  <c r="DD21" i="16"/>
  <c r="DE21" i="16" s="1"/>
  <c r="DC21" i="16"/>
  <c r="D3" i="7"/>
  <c r="D3" i="8" s="1"/>
  <c r="D3" i="9" s="1"/>
  <c r="D3" i="10" s="1"/>
  <c r="C3" i="12" s="1"/>
  <c r="R3" i="6"/>
  <c r="T31" i="14"/>
  <c r="DD35" i="16"/>
  <c r="DE35" i="16" s="1"/>
  <c r="DF35" i="16"/>
  <c r="DC35" i="16"/>
  <c r="DD6" i="16"/>
  <c r="DE6" i="16" s="1"/>
  <c r="DF6" i="16"/>
  <c r="DC6" i="16"/>
  <c r="DF40" i="16"/>
  <c r="DD40" i="16"/>
  <c r="DE40" i="16" s="1"/>
  <c r="DC40" i="16"/>
  <c r="C50" i="34"/>
  <c r="D50" i="34" s="1"/>
  <c r="E50" i="34" s="1"/>
  <c r="F50" i="34" s="1"/>
  <c r="G50" i="34" s="1"/>
  <c r="H50" i="34" s="1"/>
  <c r="I50" i="34" s="1"/>
  <c r="J50" i="34" s="1"/>
  <c r="K50" i="34" s="1"/>
  <c r="L50" i="34" s="1"/>
  <c r="M50" i="34" s="1"/>
  <c r="B50" i="35" s="1"/>
  <c r="T25" i="14"/>
  <c r="DF23" i="16"/>
  <c r="DD23" i="16"/>
  <c r="DE23" i="16" s="1"/>
  <c r="DC23" i="16"/>
  <c r="E26" i="18"/>
  <c r="C45" i="34"/>
  <c r="D45" i="34" s="1"/>
  <c r="E45" i="34" s="1"/>
  <c r="F45" i="34" s="1"/>
  <c r="G45" i="34" s="1"/>
  <c r="H45" i="34" s="1"/>
  <c r="I45" i="34" s="1"/>
  <c r="J45" i="34" s="1"/>
  <c r="K45" i="34" s="1"/>
  <c r="L45" i="34" s="1"/>
  <c r="M45" i="34" s="1"/>
  <c r="B45" i="35" s="1"/>
  <c r="T11" i="14"/>
  <c r="T16" i="14"/>
  <c r="DC41" i="16"/>
  <c r="DD41" i="16"/>
  <c r="DE41" i="16" s="1"/>
  <c r="DF41" i="16"/>
  <c r="T23" i="14"/>
  <c r="DD15" i="16"/>
  <c r="DE15" i="16" s="1"/>
  <c r="DF15" i="16"/>
  <c r="DC15" i="16"/>
  <c r="DC43" i="16"/>
  <c r="DF43" i="16"/>
  <c r="DD43" i="16"/>
  <c r="DE43" i="16" s="1"/>
  <c r="N46" i="33"/>
  <c r="N51" i="33"/>
  <c r="AF166" i="16"/>
  <c r="AB166" i="16" s="1"/>
  <c r="T12" i="14"/>
  <c r="T9" i="14"/>
  <c r="DD22" i="16"/>
  <c r="DE22" i="16" s="1"/>
  <c r="DF22" i="16"/>
  <c r="DC22" i="16"/>
  <c r="C46" i="34"/>
  <c r="D46" i="34" s="1"/>
  <c r="E46" i="34" s="1"/>
  <c r="F46" i="34" s="1"/>
  <c r="G46" i="34" s="1"/>
  <c r="H46" i="34" s="1"/>
  <c r="I46" i="34" s="1"/>
  <c r="J46" i="34" s="1"/>
  <c r="K46" i="34" s="1"/>
  <c r="L46" i="34" s="1"/>
  <c r="M46" i="34" s="1"/>
  <c r="B46" i="35" s="1"/>
  <c r="C51" i="34"/>
  <c r="D51" i="34" s="1"/>
  <c r="E51" i="34" s="1"/>
  <c r="F51" i="34" s="1"/>
  <c r="G51" i="34" s="1"/>
  <c r="H51" i="34" s="1"/>
  <c r="I51" i="34" s="1"/>
  <c r="J51" i="34" s="1"/>
  <c r="K51" i="34" s="1"/>
  <c r="L51" i="34" s="1"/>
  <c r="M51" i="34" s="1"/>
  <c r="B51" i="35" s="1"/>
  <c r="S51" i="14"/>
  <c r="S56" i="14"/>
  <c r="T15" i="14"/>
  <c r="S61" i="14"/>
  <c r="S54" i="14"/>
  <c r="S59" i="14"/>
  <c r="S57" i="14"/>
  <c r="S62" i="14"/>
  <c r="S55" i="14"/>
  <c r="S60" i="14"/>
  <c r="S53" i="14"/>
  <c r="S52" i="14"/>
  <c r="S58" i="14"/>
  <c r="DF42" i="16"/>
  <c r="DC42" i="16"/>
  <c r="DD42" i="16"/>
  <c r="DE42" i="16" s="1"/>
  <c r="G6" i="18"/>
  <c r="G9" i="18" s="1"/>
  <c r="H4" i="18"/>
  <c r="M19" i="4"/>
  <c r="DF28" i="16"/>
  <c r="DD28" i="16"/>
  <c r="DE28" i="16" s="1"/>
  <c r="DC28" i="16"/>
  <c r="S63" i="14"/>
  <c r="S68" i="14"/>
  <c r="S66" i="14"/>
  <c r="S71" i="14"/>
  <c r="S64" i="14"/>
  <c r="S69" i="14"/>
  <c r="S67" i="14"/>
  <c r="S72" i="14"/>
  <c r="S65" i="14"/>
  <c r="T18" i="14"/>
  <c r="S70" i="14"/>
  <c r="N47" i="33"/>
  <c r="DF10" i="16"/>
  <c r="DD10" i="16"/>
  <c r="DE10" i="16" s="1"/>
  <c r="DC10" i="16"/>
  <c r="T6" i="14"/>
  <c r="DD7" i="16"/>
  <c r="DE7" i="16" s="1"/>
  <c r="DF7" i="16"/>
  <c r="DC7" i="16"/>
  <c r="F25" i="18"/>
  <c r="F14" i="18"/>
  <c r="F24" i="18"/>
  <c r="F13" i="18"/>
  <c r="F34" i="18"/>
  <c r="F23" i="18"/>
  <c r="F22" i="18"/>
  <c r="F32" i="18"/>
  <c r="F20" i="18"/>
  <c r="F19" i="18"/>
  <c r="F30" i="18"/>
  <c r="F18" i="18"/>
  <c r="F17" i="18"/>
  <c r="F11" i="18"/>
  <c r="F16" i="18"/>
  <c r="F10" i="18"/>
  <c r="F39" i="18"/>
  <c r="F15" i="18"/>
  <c r="F38" i="18"/>
  <c r="F21" i="18"/>
  <c r="T19" i="14"/>
  <c r="DD48" i="16"/>
  <c r="DE48" i="16" s="1"/>
  <c r="DC48" i="16"/>
  <c r="DF48" i="16"/>
  <c r="DC12" i="16"/>
  <c r="DD12" i="16"/>
  <c r="DE12" i="16" s="1"/>
  <c r="DF12" i="16"/>
  <c r="T17" i="14"/>
  <c r="C47" i="34"/>
  <c r="D47" i="34" s="1"/>
  <c r="E47" i="34" s="1"/>
  <c r="F47" i="34" s="1"/>
  <c r="G47" i="34" s="1"/>
  <c r="H47" i="34" s="1"/>
  <c r="I47" i="34" s="1"/>
  <c r="J47" i="34" s="1"/>
  <c r="K47" i="34" s="1"/>
  <c r="L47" i="34" s="1"/>
  <c r="M47" i="34" s="1"/>
  <c r="B47" i="35" s="1"/>
  <c r="DC37" i="16"/>
  <c r="DF37" i="16"/>
  <c r="DD37" i="16"/>
  <c r="DE37" i="16" s="1"/>
  <c r="T13" i="14"/>
  <c r="T36" i="14"/>
  <c r="DC20" i="16"/>
  <c r="DF20" i="16"/>
  <c r="DD20" i="16"/>
  <c r="DE20" i="16" s="1"/>
  <c r="AC165" i="16"/>
  <c r="T26" i="14"/>
  <c r="DF5" i="16"/>
  <c r="DD5" i="16"/>
  <c r="DE5" i="16" s="1"/>
  <c r="DC5" i="16"/>
  <c r="DF38" i="16"/>
  <c r="DD38" i="16"/>
  <c r="DE38" i="16" s="1"/>
  <c r="DC38" i="16"/>
  <c r="DD26" i="16"/>
  <c r="DE26" i="16" s="1"/>
  <c r="DF26" i="16"/>
  <c r="DC26" i="16"/>
  <c r="DF34" i="16"/>
  <c r="DD34" i="16"/>
  <c r="DE34" i="16" s="1"/>
  <c r="DC34" i="16"/>
  <c r="DF46" i="16"/>
  <c r="DD46" i="16"/>
  <c r="DE46" i="16" s="1"/>
  <c r="DC46" i="16"/>
  <c r="T5" i="14"/>
  <c r="U50" i="14"/>
  <c r="V4" i="14"/>
  <c r="DC13" i="16"/>
  <c r="DF13" i="16"/>
  <c r="DD13" i="16"/>
  <c r="DE13" i="16" s="1"/>
  <c r="DC18" i="16"/>
  <c r="DF18" i="16"/>
  <c r="DD18" i="16"/>
  <c r="DE18" i="16" s="1"/>
  <c r="T22" i="14"/>
  <c r="DF27" i="16"/>
  <c r="DD27" i="16"/>
  <c r="DE27" i="16" s="1"/>
  <c r="DC27" i="16"/>
  <c r="T33" i="14"/>
  <c r="DF9" i="16"/>
  <c r="DC9" i="16"/>
  <c r="DD9" i="16"/>
  <c r="DE9" i="16" s="1"/>
  <c r="DF33" i="16"/>
  <c r="DD33" i="16"/>
  <c r="DE33" i="16" s="1"/>
  <c r="DC33" i="16"/>
  <c r="DF31" i="16"/>
  <c r="DD31" i="16"/>
  <c r="DE31" i="16" s="1"/>
  <c r="DC31" i="16"/>
  <c r="DC19" i="16"/>
  <c r="DF19" i="16"/>
  <c r="DD19" i="16"/>
  <c r="DE19" i="16" s="1"/>
  <c r="N48" i="33"/>
  <c r="DD44" i="16"/>
  <c r="DE44" i="16" s="1"/>
  <c r="DF44" i="16"/>
  <c r="DC44" i="16"/>
  <c r="DF14" i="16"/>
  <c r="DD14" i="16"/>
  <c r="DE14" i="16" s="1"/>
  <c r="DC14" i="16"/>
  <c r="F26" i="2"/>
  <c r="T10" i="14"/>
  <c r="K4" i="6"/>
  <c r="U3" i="14"/>
  <c r="F27" i="2" l="1"/>
  <c r="H27" i="2" s="1"/>
  <c r="N47" i="34"/>
  <c r="N51" i="34"/>
  <c r="N45" i="34"/>
  <c r="N58" i="17"/>
  <c r="N59" i="17" s="1"/>
  <c r="F60" i="17" s="1"/>
  <c r="G60" i="17" s="1"/>
  <c r="AG166" i="16"/>
  <c r="AC166" i="16"/>
  <c r="AL166" i="16"/>
  <c r="AN166" i="16"/>
  <c r="AI166" i="16"/>
  <c r="AD166" i="16"/>
  <c r="F26" i="18"/>
  <c r="F57" i="18" s="1"/>
  <c r="AH166" i="16"/>
  <c r="DJ44" i="16"/>
  <c r="DH44" i="16"/>
  <c r="DI44" i="16" s="1"/>
  <c r="DG44" i="16"/>
  <c r="DH33" i="16"/>
  <c r="DI33" i="16" s="1"/>
  <c r="DG33" i="16"/>
  <c r="DJ33" i="16"/>
  <c r="DH18" i="16"/>
  <c r="DI18" i="16" s="1"/>
  <c r="DJ18" i="16"/>
  <c r="DG18" i="16"/>
  <c r="DH46" i="16"/>
  <c r="DI46" i="16" s="1"/>
  <c r="DG46" i="16"/>
  <c r="DJ46" i="16"/>
  <c r="DG5" i="16"/>
  <c r="DJ5" i="16"/>
  <c r="DH5" i="16"/>
  <c r="DI5" i="16" s="1"/>
  <c r="U37" i="14"/>
  <c r="T38" i="14"/>
  <c r="T39" i="14" s="1"/>
  <c r="T40" i="14" s="1"/>
  <c r="T41" i="14" s="1"/>
  <c r="T42" i="14" s="1"/>
  <c r="T43" i="14" s="1"/>
  <c r="T44" i="14" s="1"/>
  <c r="T45" i="14" s="1"/>
  <c r="T46" i="14" s="1"/>
  <c r="T47" i="14" s="1"/>
  <c r="U30" i="14"/>
  <c r="U26" i="14"/>
  <c r="T68" i="14"/>
  <c r="T66" i="14"/>
  <c r="T71" i="14"/>
  <c r="T64" i="14"/>
  <c r="T69" i="14"/>
  <c r="U18" i="14"/>
  <c r="T67" i="14"/>
  <c r="T72" i="14"/>
  <c r="T65" i="14"/>
  <c r="T70" i="14"/>
  <c r="T63" i="14"/>
  <c r="DJ28" i="16"/>
  <c r="DH28" i="16"/>
  <c r="DI28" i="16" s="1"/>
  <c r="DG28" i="16"/>
  <c r="C51" i="35"/>
  <c r="D51" i="35" s="1"/>
  <c r="E51" i="35" s="1"/>
  <c r="F51" i="35" s="1"/>
  <c r="G51" i="35" s="1"/>
  <c r="H51" i="35" s="1"/>
  <c r="I51" i="35" s="1"/>
  <c r="J51" i="35" s="1"/>
  <c r="K51" i="35" s="1"/>
  <c r="L51" i="35" s="1"/>
  <c r="M51" i="35" s="1"/>
  <c r="B51" i="36" s="1"/>
  <c r="N51" i="35"/>
  <c r="DH43" i="16"/>
  <c r="DI43" i="16" s="1"/>
  <c r="DG43" i="16"/>
  <c r="DJ43" i="16"/>
  <c r="C45" i="35"/>
  <c r="D45" i="35" s="1"/>
  <c r="E45" i="35" s="1"/>
  <c r="F45" i="35" s="1"/>
  <c r="G45" i="35" s="1"/>
  <c r="H45" i="35" s="1"/>
  <c r="I45" i="35" s="1"/>
  <c r="J45" i="35" s="1"/>
  <c r="K45" i="35" s="1"/>
  <c r="L45" i="35" s="1"/>
  <c r="M45" i="35" s="1"/>
  <c r="B45" i="36" s="1"/>
  <c r="N45" i="35"/>
  <c r="DJ6" i="16"/>
  <c r="DH6" i="16"/>
  <c r="DI6" i="16" s="1"/>
  <c r="DG6" i="16"/>
  <c r="DG47" i="16"/>
  <c r="DJ47" i="16"/>
  <c r="DH47" i="16"/>
  <c r="DI47" i="16" s="1"/>
  <c r="N43" i="34"/>
  <c r="D28" i="2"/>
  <c r="AC28" i="2"/>
  <c r="AD28" i="2" s="1"/>
  <c r="C29" i="2"/>
  <c r="E28" i="2"/>
  <c r="DJ31" i="16"/>
  <c r="DH31" i="16"/>
  <c r="DI31" i="16" s="1"/>
  <c r="DG31" i="16"/>
  <c r="DH48" i="16"/>
  <c r="DI48" i="16" s="1"/>
  <c r="DJ48" i="16"/>
  <c r="DG48" i="16"/>
  <c r="AF167" i="16"/>
  <c r="U12" i="14"/>
  <c r="E57" i="18"/>
  <c r="U14" i="14"/>
  <c r="C43" i="35"/>
  <c r="D43" i="35" s="1"/>
  <c r="E43" i="35" s="1"/>
  <c r="F43" i="35" s="1"/>
  <c r="G43" i="35" s="1"/>
  <c r="H43" i="35" s="1"/>
  <c r="I43" i="35" s="1"/>
  <c r="J43" i="35" s="1"/>
  <c r="K43" i="35" s="1"/>
  <c r="L43" i="35" s="1"/>
  <c r="M43" i="35" s="1"/>
  <c r="B43" i="36" s="1"/>
  <c r="U29" i="14"/>
  <c r="M20" i="4"/>
  <c r="DH34" i="16"/>
  <c r="DI34" i="16" s="1"/>
  <c r="DJ34" i="16"/>
  <c r="DG34" i="16"/>
  <c r="C47" i="35"/>
  <c r="D47" i="35" s="1"/>
  <c r="E47" i="35" s="1"/>
  <c r="F47" i="35" s="1"/>
  <c r="G47" i="35" s="1"/>
  <c r="H47" i="35" s="1"/>
  <c r="I47" i="35" s="1"/>
  <c r="J47" i="35" s="1"/>
  <c r="K47" i="35" s="1"/>
  <c r="L47" i="35" s="1"/>
  <c r="M47" i="35" s="1"/>
  <c r="B47" i="36" s="1"/>
  <c r="N47" i="35"/>
  <c r="F31" i="18"/>
  <c r="G8" i="18"/>
  <c r="N46" i="34"/>
  <c r="I42" i="18"/>
  <c r="H52" i="18"/>
  <c r="DG39" i="16"/>
  <c r="DJ39" i="16"/>
  <c r="DH39" i="16"/>
  <c r="DI39" i="16" s="1"/>
  <c r="U35" i="14"/>
  <c r="DH29" i="16"/>
  <c r="DI29" i="16" s="1"/>
  <c r="DJ29" i="16"/>
  <c r="DG29" i="16"/>
  <c r="DG24" i="16"/>
  <c r="DJ24" i="16"/>
  <c r="DH24" i="16"/>
  <c r="DI24" i="16" s="1"/>
  <c r="DJ9" i="16"/>
  <c r="DH9" i="16"/>
  <c r="DI9" i="16" s="1"/>
  <c r="DG9" i="16"/>
  <c r="DH26" i="16"/>
  <c r="DI26" i="16" s="1"/>
  <c r="DJ26" i="16"/>
  <c r="DG26" i="16"/>
  <c r="C46" i="35"/>
  <c r="D46" i="35" s="1"/>
  <c r="E46" i="35" s="1"/>
  <c r="F46" i="35" s="1"/>
  <c r="G46" i="35" s="1"/>
  <c r="H46" i="35" s="1"/>
  <c r="I46" i="35" s="1"/>
  <c r="J46" i="35" s="1"/>
  <c r="K46" i="35" s="1"/>
  <c r="L46" i="35" s="1"/>
  <c r="M46" i="35" s="1"/>
  <c r="B46" i="36" s="1"/>
  <c r="N46" i="35"/>
  <c r="DJ13" i="16"/>
  <c r="DH13" i="16"/>
  <c r="DI13" i="16" s="1"/>
  <c r="DG13" i="16"/>
  <c r="DJ19" i="16"/>
  <c r="DH19" i="16"/>
  <c r="DI19" i="16" s="1"/>
  <c r="DG19" i="16"/>
  <c r="DJ20" i="16"/>
  <c r="DH20" i="16"/>
  <c r="DI20" i="16" s="1"/>
  <c r="DG20" i="16"/>
  <c r="U17" i="14"/>
  <c r="DG15" i="16"/>
  <c r="DJ15" i="16"/>
  <c r="DH15" i="16"/>
  <c r="DI15" i="16" s="1"/>
  <c r="DG35" i="16"/>
  <c r="DJ35" i="16"/>
  <c r="DH35" i="16"/>
  <c r="DI35" i="16" s="1"/>
  <c r="U34" i="14"/>
  <c r="DJ25" i="16"/>
  <c r="DH25" i="16"/>
  <c r="DI25" i="16" s="1"/>
  <c r="DG25" i="16"/>
  <c r="DG45" i="16"/>
  <c r="DH45" i="16"/>
  <c r="DI45" i="16" s="1"/>
  <c r="DJ45" i="16"/>
  <c r="DH7" i="16"/>
  <c r="DI7" i="16" s="1"/>
  <c r="DJ7" i="16"/>
  <c r="DG7" i="16"/>
  <c r="H6" i="18"/>
  <c r="H7" i="18" s="1"/>
  <c r="I4" i="18"/>
  <c r="DG22" i="16"/>
  <c r="DJ22" i="16"/>
  <c r="DH22" i="16"/>
  <c r="DI22" i="16" s="1"/>
  <c r="DG23" i="16"/>
  <c r="DJ23" i="16"/>
  <c r="DH23" i="16"/>
  <c r="DI23" i="16" s="1"/>
  <c r="DH11" i="16"/>
  <c r="DI11" i="16" s="1"/>
  <c r="DJ11" i="16"/>
  <c r="DG11" i="16"/>
  <c r="DH17" i="16"/>
  <c r="DI17" i="16" s="1"/>
  <c r="DJ17" i="16"/>
  <c r="DG17" i="16"/>
  <c r="DJ30" i="16"/>
  <c r="DH30" i="16"/>
  <c r="DI30" i="16" s="1"/>
  <c r="DG30" i="16"/>
  <c r="DJ12" i="16"/>
  <c r="DH12" i="16"/>
  <c r="DI12" i="16" s="1"/>
  <c r="DG12" i="16"/>
  <c r="U33" i="14"/>
  <c r="G24" i="18"/>
  <c r="G13" i="18"/>
  <c r="G34" i="18"/>
  <c r="G23" i="18"/>
  <c r="G22" i="18"/>
  <c r="G32" i="18"/>
  <c r="G20" i="18"/>
  <c r="G19" i="18"/>
  <c r="G30" i="18"/>
  <c r="G31" i="18" s="1"/>
  <c r="G18" i="18"/>
  <c r="G17" i="18"/>
  <c r="G11" i="18"/>
  <c r="G16" i="18"/>
  <c r="G10" i="18"/>
  <c r="G39" i="18"/>
  <c r="G15" i="18"/>
  <c r="G38" i="18"/>
  <c r="G14" i="18"/>
  <c r="G25" i="18"/>
  <c r="G21" i="18"/>
  <c r="U23" i="14"/>
  <c r="U25" i="14"/>
  <c r="U31" i="14"/>
  <c r="H3" i="11"/>
  <c r="C3" i="11"/>
  <c r="DJ16" i="16"/>
  <c r="DH16" i="16"/>
  <c r="DI16" i="16" s="1"/>
  <c r="DG16" i="16"/>
  <c r="T89" i="14"/>
  <c r="T90" i="14"/>
  <c r="T78" i="14"/>
  <c r="T73" i="14"/>
  <c r="T83" i="14"/>
  <c r="T82" i="14"/>
  <c r="T76" i="14"/>
  <c r="T93" i="14"/>
  <c r="T88" i="14"/>
  <c r="T87" i="14"/>
  <c r="T86" i="14"/>
  <c r="T85" i="14"/>
  <c r="T84" i="14"/>
  <c r="T81" i="14"/>
  <c r="T92" i="14"/>
  <c r="T91" i="14"/>
  <c r="T80" i="14"/>
  <c r="T79" i="14"/>
  <c r="T74" i="14"/>
  <c r="U20" i="14"/>
  <c r="T77" i="14"/>
  <c r="T75" i="14"/>
  <c r="U10" i="14"/>
  <c r="V50" i="14"/>
  <c r="W4" i="14"/>
  <c r="U36" i="14"/>
  <c r="U13" i="14"/>
  <c r="U6" i="14"/>
  <c r="U9" i="14"/>
  <c r="DG41" i="16"/>
  <c r="DJ41" i="16"/>
  <c r="DH41" i="16"/>
  <c r="DI41" i="16" s="1"/>
  <c r="N50" i="34"/>
  <c r="U28" i="14"/>
  <c r="N44" i="34"/>
  <c r="N48" i="34"/>
  <c r="U21" i="14"/>
  <c r="C48" i="35"/>
  <c r="D48" i="35" s="1"/>
  <c r="E48" i="35" s="1"/>
  <c r="F48" i="35" s="1"/>
  <c r="G48" i="35" s="1"/>
  <c r="H48" i="35" s="1"/>
  <c r="I48" i="35" s="1"/>
  <c r="J48" i="35" s="1"/>
  <c r="K48" i="35" s="1"/>
  <c r="L48" i="35" s="1"/>
  <c r="M48" i="35" s="1"/>
  <c r="B48" i="36" s="1"/>
  <c r="N48" i="35"/>
  <c r="U8" i="14"/>
  <c r="DJ8" i="16"/>
  <c r="DH8" i="16"/>
  <c r="DI8" i="16" s="1"/>
  <c r="DG8" i="16"/>
  <c r="DJ27" i="16"/>
  <c r="DH27" i="16"/>
  <c r="DI27" i="16" s="1"/>
  <c r="DG27" i="16"/>
  <c r="U5" i="14"/>
  <c r="DJ38" i="16"/>
  <c r="DG38" i="16"/>
  <c r="DH38" i="16"/>
  <c r="DI38" i="16" s="1"/>
  <c r="T56" i="14"/>
  <c r="T61" i="14"/>
  <c r="T54" i="14"/>
  <c r="T59" i="14"/>
  <c r="T52" i="14"/>
  <c r="T57" i="14"/>
  <c r="T62" i="14"/>
  <c r="T55" i="14"/>
  <c r="T60" i="14"/>
  <c r="T53" i="14"/>
  <c r="T58" i="14"/>
  <c r="U15" i="14"/>
  <c r="T51" i="14"/>
  <c r="U7" i="14"/>
  <c r="DH36" i="16"/>
  <c r="DI36" i="16" s="1"/>
  <c r="DG36" i="16"/>
  <c r="DJ36" i="16"/>
  <c r="AK167" i="16"/>
  <c r="U27" i="14"/>
  <c r="L21" i="4"/>
  <c r="C44" i="35"/>
  <c r="D44" i="35" s="1"/>
  <c r="E44" i="35" s="1"/>
  <c r="F44" i="35" s="1"/>
  <c r="G44" i="35" s="1"/>
  <c r="H44" i="35" s="1"/>
  <c r="I44" i="35" s="1"/>
  <c r="J44" i="35" s="1"/>
  <c r="K44" i="35" s="1"/>
  <c r="L44" i="35" s="1"/>
  <c r="M44" i="35" s="1"/>
  <c r="B44" i="36" s="1"/>
  <c r="DJ14" i="16"/>
  <c r="DH14" i="16"/>
  <c r="DI14" i="16" s="1"/>
  <c r="DG14" i="16"/>
  <c r="U22" i="14"/>
  <c r="DJ37" i="16"/>
  <c r="DH37" i="16"/>
  <c r="DI37" i="16" s="1"/>
  <c r="DG37" i="16"/>
  <c r="DH10" i="16"/>
  <c r="DI10" i="16" s="1"/>
  <c r="DJ10" i="16"/>
  <c r="DG10" i="16"/>
  <c r="DJ42" i="16"/>
  <c r="DH42" i="16"/>
  <c r="DI42" i="16" s="1"/>
  <c r="DG42" i="16"/>
  <c r="U16" i="14"/>
  <c r="DH32" i="16"/>
  <c r="DI32" i="16" s="1"/>
  <c r="DJ32" i="16"/>
  <c r="DG32" i="16"/>
  <c r="U24" i="14"/>
  <c r="N49" i="34"/>
  <c r="C50" i="35"/>
  <c r="D50" i="35" s="1"/>
  <c r="E50" i="35" s="1"/>
  <c r="F50" i="35" s="1"/>
  <c r="G50" i="35" s="1"/>
  <c r="H50" i="35" s="1"/>
  <c r="I50" i="35" s="1"/>
  <c r="J50" i="35" s="1"/>
  <c r="K50" i="35" s="1"/>
  <c r="L50" i="35" s="1"/>
  <c r="M50" i="35" s="1"/>
  <c r="B50" i="36" s="1"/>
  <c r="U19" i="14"/>
  <c r="U11" i="14"/>
  <c r="DH40" i="16"/>
  <c r="DI40" i="16" s="1"/>
  <c r="DJ40" i="16"/>
  <c r="DG40" i="16"/>
  <c r="DJ21" i="16"/>
  <c r="DH21" i="16"/>
  <c r="DI21" i="16" s="1"/>
  <c r="DG21" i="16"/>
  <c r="AP167" i="16"/>
  <c r="U32" i="14"/>
  <c r="I28" i="2"/>
  <c r="S27" i="2"/>
  <c r="C49" i="35"/>
  <c r="D49" i="35" s="1"/>
  <c r="E49" i="35" s="1"/>
  <c r="F49" i="35" s="1"/>
  <c r="G49" i="35" s="1"/>
  <c r="H49" i="35" s="1"/>
  <c r="I49" i="35" s="1"/>
  <c r="J49" i="35" s="1"/>
  <c r="K49" i="35" s="1"/>
  <c r="L49" i="35" s="1"/>
  <c r="M49" i="35" s="1"/>
  <c r="B49" i="36" s="1"/>
  <c r="L4" i="6"/>
  <c r="V3" i="14"/>
  <c r="I60" i="17" l="1"/>
  <c r="AL167" i="16"/>
  <c r="AC167" i="16"/>
  <c r="N43" i="35"/>
  <c r="N50" i="35"/>
  <c r="AD167" i="16"/>
  <c r="AI167" i="16"/>
  <c r="H8" i="18"/>
  <c r="AG167" i="16"/>
  <c r="G26" i="18"/>
  <c r="G57" i="18" s="1"/>
  <c r="H9" i="18"/>
  <c r="AF168" i="16"/>
  <c r="V12" i="14"/>
  <c r="DL40" i="16"/>
  <c r="DM40" i="16" s="1"/>
  <c r="DN40" i="16"/>
  <c r="DK40" i="16"/>
  <c r="U61" i="14"/>
  <c r="U54" i="14"/>
  <c r="U59" i="14"/>
  <c r="U52" i="14"/>
  <c r="U57" i="14"/>
  <c r="U62" i="14"/>
  <c r="U55" i="14"/>
  <c r="U60" i="14"/>
  <c r="U53" i="14"/>
  <c r="U58" i="14"/>
  <c r="U51" i="14"/>
  <c r="V15" i="14"/>
  <c r="U56" i="14"/>
  <c r="V6" i="14"/>
  <c r="V31" i="14"/>
  <c r="DL22" i="16"/>
  <c r="DM22" i="16" s="1"/>
  <c r="DN22" i="16"/>
  <c r="DK22" i="16"/>
  <c r="DK26" i="16"/>
  <c r="DL26" i="16"/>
  <c r="DM26" i="16" s="1"/>
  <c r="DN26" i="16"/>
  <c r="U38" i="14"/>
  <c r="U39" i="14" s="1"/>
  <c r="U40" i="14" s="1"/>
  <c r="U41" i="14" s="1"/>
  <c r="U42" i="14" s="1"/>
  <c r="U43" i="14" s="1"/>
  <c r="U44" i="14" s="1"/>
  <c r="U45" i="14" s="1"/>
  <c r="U46" i="14" s="1"/>
  <c r="U47" i="14" s="1"/>
  <c r="V37" i="14"/>
  <c r="V16" i="14"/>
  <c r="DL14" i="16"/>
  <c r="DM14" i="16" s="1"/>
  <c r="DK14" i="16"/>
  <c r="DN14" i="16"/>
  <c r="C48" i="36"/>
  <c r="D48" i="36" s="1"/>
  <c r="E48" i="36" s="1"/>
  <c r="F48" i="36" s="1"/>
  <c r="G48" i="36" s="1"/>
  <c r="H48" i="36" s="1"/>
  <c r="I48" i="36" s="1"/>
  <c r="J48" i="36" s="1"/>
  <c r="K48" i="36" s="1"/>
  <c r="L48" i="36" s="1"/>
  <c r="M48" i="36" s="1"/>
  <c r="B48" i="37" s="1"/>
  <c r="N48" i="36"/>
  <c r="V13" i="14"/>
  <c r="V25" i="14"/>
  <c r="DN30" i="16"/>
  <c r="DK30" i="16"/>
  <c r="DL30" i="16"/>
  <c r="DM30" i="16" s="1"/>
  <c r="DK39" i="16"/>
  <c r="DN39" i="16"/>
  <c r="DL39" i="16"/>
  <c r="DM39" i="16" s="1"/>
  <c r="M21" i="4"/>
  <c r="DL47" i="16"/>
  <c r="DM47" i="16" s="1"/>
  <c r="DN47" i="16"/>
  <c r="DK47" i="16"/>
  <c r="C51" i="36"/>
  <c r="D51" i="36" s="1"/>
  <c r="E51" i="36" s="1"/>
  <c r="F51" i="36" s="1"/>
  <c r="G51" i="36" s="1"/>
  <c r="H51" i="36" s="1"/>
  <c r="I51" i="36" s="1"/>
  <c r="J51" i="36" s="1"/>
  <c r="K51" i="36" s="1"/>
  <c r="L51" i="36" s="1"/>
  <c r="M51" i="36" s="1"/>
  <c r="B51" i="37" s="1"/>
  <c r="V35" i="14"/>
  <c r="N49" i="35"/>
  <c r="V11" i="14"/>
  <c r="N44" i="35"/>
  <c r="DL38" i="16"/>
  <c r="DM38" i="16" s="1"/>
  <c r="DK38" i="16"/>
  <c r="DN38" i="16"/>
  <c r="V21" i="14"/>
  <c r="V36" i="14"/>
  <c r="V23" i="14"/>
  <c r="DN20" i="16"/>
  <c r="DL20" i="16"/>
  <c r="DM20" i="16" s="1"/>
  <c r="DK20" i="16"/>
  <c r="V29" i="14"/>
  <c r="DN48" i="16"/>
  <c r="DL48" i="16"/>
  <c r="DM48" i="16" s="1"/>
  <c r="DK48" i="16"/>
  <c r="DN5" i="16"/>
  <c r="DL5" i="16"/>
  <c r="DM5" i="16" s="1"/>
  <c r="DK5" i="16"/>
  <c r="V19" i="14"/>
  <c r="W50" i="14"/>
  <c r="X4" i="14"/>
  <c r="DL17" i="16"/>
  <c r="DM17" i="16" s="1"/>
  <c r="DK17" i="16"/>
  <c r="DN17" i="16"/>
  <c r="DN25" i="16"/>
  <c r="DL25" i="16"/>
  <c r="DM25" i="16" s="1"/>
  <c r="DK25" i="16"/>
  <c r="AH167" i="16"/>
  <c r="DL44" i="16"/>
  <c r="DM44" i="16" s="1"/>
  <c r="DN44" i="16"/>
  <c r="DK44" i="16"/>
  <c r="I6" i="18"/>
  <c r="I9" i="18" s="1"/>
  <c r="J4" i="18"/>
  <c r="V34" i="14"/>
  <c r="DK9" i="16"/>
  <c r="DL9" i="16"/>
  <c r="DM9" i="16" s="1"/>
  <c r="DN9" i="16"/>
  <c r="J42" i="18"/>
  <c r="I52" i="18"/>
  <c r="C43" i="36"/>
  <c r="D43" i="36" s="1"/>
  <c r="E43" i="36" s="1"/>
  <c r="F43" i="36" s="1"/>
  <c r="G43" i="36" s="1"/>
  <c r="H43" i="36" s="1"/>
  <c r="I43" i="36" s="1"/>
  <c r="J43" i="36" s="1"/>
  <c r="K43" i="36" s="1"/>
  <c r="L43" i="36" s="1"/>
  <c r="M43" i="36" s="1"/>
  <c r="B43" i="37" s="1"/>
  <c r="N43" i="36"/>
  <c r="DK28" i="16"/>
  <c r="DN28" i="16"/>
  <c r="DL28" i="16"/>
  <c r="DM28" i="16" s="1"/>
  <c r="DN46" i="16"/>
  <c r="DL46" i="16"/>
  <c r="DM46" i="16" s="1"/>
  <c r="DK46" i="16"/>
  <c r="AM167" i="16"/>
  <c r="V17" i="14"/>
  <c r="C44" i="36"/>
  <c r="D44" i="36" s="1"/>
  <c r="E44" i="36" s="1"/>
  <c r="F44" i="36" s="1"/>
  <c r="G44" i="36" s="1"/>
  <c r="H44" i="36" s="1"/>
  <c r="I44" i="36" s="1"/>
  <c r="J44" i="36" s="1"/>
  <c r="K44" i="36" s="1"/>
  <c r="L44" i="36" s="1"/>
  <c r="M44" i="36" s="1"/>
  <c r="B44" i="37" s="1"/>
  <c r="L22" i="4"/>
  <c r="C50" i="36"/>
  <c r="D50" i="36" s="1"/>
  <c r="E50" i="36" s="1"/>
  <c r="F50" i="36" s="1"/>
  <c r="G50" i="36" s="1"/>
  <c r="H50" i="36" s="1"/>
  <c r="I50" i="36" s="1"/>
  <c r="J50" i="36" s="1"/>
  <c r="K50" i="36" s="1"/>
  <c r="L50" i="36" s="1"/>
  <c r="M50" i="36" s="1"/>
  <c r="B50" i="37" s="1"/>
  <c r="DN10" i="16"/>
  <c r="DL10" i="16"/>
  <c r="DM10" i="16" s="1"/>
  <c r="DK10" i="16"/>
  <c r="AK168" i="16"/>
  <c r="V27" i="14"/>
  <c r="V28" i="14"/>
  <c r="H24" i="18"/>
  <c r="H13" i="18"/>
  <c r="H34" i="18"/>
  <c r="H23" i="18"/>
  <c r="H22" i="18"/>
  <c r="H32" i="18"/>
  <c r="H20" i="18"/>
  <c r="H19" i="18"/>
  <c r="H30" i="18"/>
  <c r="H31" i="18" s="1"/>
  <c r="H18" i="18"/>
  <c r="N7" i="18"/>
  <c r="H17" i="18"/>
  <c r="H11" i="18"/>
  <c r="H16" i="18"/>
  <c r="H10" i="18"/>
  <c r="H39" i="18"/>
  <c r="H15" i="18"/>
  <c r="H38" i="18"/>
  <c r="H25" i="18"/>
  <c r="H14" i="18"/>
  <c r="H21" i="18"/>
  <c r="DN19" i="16"/>
  <c r="DL19" i="16"/>
  <c r="DM19" i="16" s="1"/>
  <c r="DK19" i="16"/>
  <c r="V14" i="14"/>
  <c r="AB167" i="16"/>
  <c r="V8" i="14"/>
  <c r="C49" i="36"/>
  <c r="D49" i="36" s="1"/>
  <c r="E49" i="36" s="1"/>
  <c r="F49" i="36" s="1"/>
  <c r="G49" i="36" s="1"/>
  <c r="H49" i="36" s="1"/>
  <c r="I49" i="36" s="1"/>
  <c r="J49" i="36" s="1"/>
  <c r="K49" i="36" s="1"/>
  <c r="L49" i="36" s="1"/>
  <c r="M49" i="36" s="1"/>
  <c r="B49" i="37" s="1"/>
  <c r="N49" i="36"/>
  <c r="V5" i="14"/>
  <c r="DK27" i="16"/>
  <c r="DN27" i="16"/>
  <c r="DL27" i="16"/>
  <c r="DM27" i="16" s="1"/>
  <c r="V10" i="14"/>
  <c r="DL11" i="16"/>
  <c r="DM11" i="16" s="1"/>
  <c r="DN11" i="16"/>
  <c r="DK11" i="16"/>
  <c r="DN35" i="16"/>
  <c r="DK35" i="16"/>
  <c r="DL35" i="16"/>
  <c r="DM35" i="16" s="1"/>
  <c r="DN24" i="16"/>
  <c r="DL24" i="16"/>
  <c r="DM24" i="16" s="1"/>
  <c r="DK24" i="16"/>
  <c r="DN31" i="16"/>
  <c r="DL31" i="16"/>
  <c r="DM31" i="16" s="1"/>
  <c r="DK31" i="16"/>
  <c r="DN6" i="16"/>
  <c r="DL6" i="16"/>
  <c r="DM6" i="16" s="1"/>
  <c r="DK6" i="16"/>
  <c r="AN167" i="16"/>
  <c r="V9" i="14"/>
  <c r="AP168" i="16"/>
  <c r="V32" i="14"/>
  <c r="V33" i="14"/>
  <c r="V26" i="14"/>
  <c r="DN36" i="16"/>
  <c r="DL36" i="16"/>
  <c r="DM36" i="16" s="1"/>
  <c r="DK36" i="16"/>
  <c r="V24" i="14"/>
  <c r="DK7" i="16"/>
  <c r="DN7" i="16"/>
  <c r="DL7" i="16"/>
  <c r="DM7" i="16" s="1"/>
  <c r="DN13" i="16"/>
  <c r="DL13" i="16"/>
  <c r="DM13" i="16" s="1"/>
  <c r="DK13" i="16"/>
  <c r="C30" i="2"/>
  <c r="E29" i="2"/>
  <c r="D29" i="2"/>
  <c r="F29" i="2" s="1"/>
  <c r="H29" i="2" s="1"/>
  <c r="AC29" i="2"/>
  <c r="AD29" i="2" s="1"/>
  <c r="C45" i="36"/>
  <c r="D45" i="36" s="1"/>
  <c r="E45" i="36" s="1"/>
  <c r="F45" i="36" s="1"/>
  <c r="G45" i="36" s="1"/>
  <c r="H45" i="36" s="1"/>
  <c r="I45" i="36" s="1"/>
  <c r="J45" i="36" s="1"/>
  <c r="K45" i="36" s="1"/>
  <c r="L45" i="36" s="1"/>
  <c r="M45" i="36" s="1"/>
  <c r="B45" i="37" s="1"/>
  <c r="DL18" i="16"/>
  <c r="DM18" i="16" s="1"/>
  <c r="DN18" i="16"/>
  <c r="DK18" i="16"/>
  <c r="DN42" i="16"/>
  <c r="DL42" i="16"/>
  <c r="DM42" i="16" s="1"/>
  <c r="DK42" i="16"/>
  <c r="DK16" i="16"/>
  <c r="DN16" i="16"/>
  <c r="DL16" i="16"/>
  <c r="DM16" i="16" s="1"/>
  <c r="DK37" i="16"/>
  <c r="DN37" i="16"/>
  <c r="DL37" i="16"/>
  <c r="DM37" i="16" s="1"/>
  <c r="DL41" i="16"/>
  <c r="DM41" i="16" s="1"/>
  <c r="DN41" i="16"/>
  <c r="DK41" i="16"/>
  <c r="U82" i="14"/>
  <c r="U83" i="14"/>
  <c r="U73" i="14"/>
  <c r="U76" i="14"/>
  <c r="U93" i="14"/>
  <c r="U88" i="14"/>
  <c r="U87" i="14"/>
  <c r="U86" i="14"/>
  <c r="U85" i="14"/>
  <c r="U84" i="14"/>
  <c r="U81" i="14"/>
  <c r="U92" i="14"/>
  <c r="U91" i="14"/>
  <c r="U90" i="14"/>
  <c r="U89" i="14"/>
  <c r="U80" i="14"/>
  <c r="U79" i="14"/>
  <c r="U78" i="14"/>
  <c r="U74" i="14"/>
  <c r="U77" i="14"/>
  <c r="U75" i="14"/>
  <c r="V20" i="14"/>
  <c r="DN23" i="16"/>
  <c r="DL23" i="16"/>
  <c r="DM23" i="16" s="1"/>
  <c r="DK23" i="16"/>
  <c r="DL15" i="16"/>
  <c r="DM15" i="16" s="1"/>
  <c r="DN15" i="16"/>
  <c r="DK15" i="16"/>
  <c r="DL29" i="16"/>
  <c r="DM29" i="16" s="1"/>
  <c r="DK29" i="16"/>
  <c r="DN29" i="16"/>
  <c r="C47" i="36"/>
  <c r="D47" i="36" s="1"/>
  <c r="E47" i="36" s="1"/>
  <c r="F47" i="36" s="1"/>
  <c r="G47" i="36" s="1"/>
  <c r="H47" i="36" s="1"/>
  <c r="I47" i="36" s="1"/>
  <c r="J47" i="36" s="1"/>
  <c r="K47" i="36" s="1"/>
  <c r="L47" i="36" s="1"/>
  <c r="M47" i="36" s="1"/>
  <c r="B47" i="37" s="1"/>
  <c r="DL43" i="16"/>
  <c r="DM43" i="16" s="1"/>
  <c r="DN43" i="16"/>
  <c r="DK43" i="16"/>
  <c r="V30" i="14"/>
  <c r="DN34" i="16"/>
  <c r="DL34" i="16"/>
  <c r="DM34" i="16" s="1"/>
  <c r="DK34" i="16"/>
  <c r="DL21" i="16"/>
  <c r="DM21" i="16" s="1"/>
  <c r="DN21" i="16"/>
  <c r="DK21" i="16"/>
  <c r="DN32" i="16"/>
  <c r="DL32" i="16"/>
  <c r="DM32" i="16" s="1"/>
  <c r="DK32" i="16"/>
  <c r="V22" i="14"/>
  <c r="V7" i="14"/>
  <c r="DK8" i="16"/>
  <c r="DL8" i="16"/>
  <c r="DM8" i="16" s="1"/>
  <c r="DN8" i="16"/>
  <c r="E3" i="11"/>
  <c r="DN12" i="16"/>
  <c r="DL12" i="16"/>
  <c r="DM12" i="16" s="1"/>
  <c r="DK12" i="16"/>
  <c r="DK45" i="16"/>
  <c r="DL45" i="16"/>
  <c r="DM45" i="16" s="1"/>
  <c r="DN45" i="16"/>
  <c r="C46" i="36"/>
  <c r="D46" i="36" s="1"/>
  <c r="E46" i="36" s="1"/>
  <c r="F46" i="36" s="1"/>
  <c r="G46" i="36" s="1"/>
  <c r="H46" i="36" s="1"/>
  <c r="I46" i="36" s="1"/>
  <c r="J46" i="36" s="1"/>
  <c r="K46" i="36" s="1"/>
  <c r="L46" i="36" s="1"/>
  <c r="M46" i="36" s="1"/>
  <c r="B46" i="37" s="1"/>
  <c r="F28" i="2"/>
  <c r="H28" i="2" s="1"/>
  <c r="U66" i="14"/>
  <c r="U71" i="14"/>
  <c r="U64" i="14"/>
  <c r="U69" i="14"/>
  <c r="U67" i="14"/>
  <c r="U72" i="14"/>
  <c r="U65" i="14"/>
  <c r="U70" i="14"/>
  <c r="U63" i="14"/>
  <c r="V18" i="14"/>
  <c r="U68" i="14"/>
  <c r="DL33" i="16"/>
  <c r="DM33" i="16" s="1"/>
  <c r="DN33" i="16"/>
  <c r="DK33" i="16"/>
  <c r="W3" i="14"/>
  <c r="M4" i="6"/>
  <c r="AL168" i="16" l="1"/>
  <c r="AI168" i="16"/>
  <c r="AC168" i="16"/>
  <c r="N44" i="36"/>
  <c r="N51" i="36"/>
  <c r="N47" i="36"/>
  <c r="AB168" i="16"/>
  <c r="AD168" i="16"/>
  <c r="AG168" i="16"/>
  <c r="AH168" i="16"/>
  <c r="AN168" i="16"/>
  <c r="H26" i="18"/>
  <c r="H57" i="18" s="1"/>
  <c r="AM168" i="16"/>
  <c r="DP32" i="16"/>
  <c r="DQ32" i="16" s="1"/>
  <c r="DR32" i="16"/>
  <c r="DO32" i="16"/>
  <c r="DO37" i="16"/>
  <c r="DR37" i="16"/>
  <c r="DP37" i="16"/>
  <c r="DQ37" i="16" s="1"/>
  <c r="C45" i="37"/>
  <c r="D45" i="37" s="1"/>
  <c r="E45" i="37" s="1"/>
  <c r="F45" i="37" s="1"/>
  <c r="G45" i="37" s="1"/>
  <c r="H45" i="37" s="1"/>
  <c r="I45" i="37" s="1"/>
  <c r="J45" i="37" s="1"/>
  <c r="K45" i="37" s="1"/>
  <c r="L45" i="37" s="1"/>
  <c r="M45" i="37" s="1"/>
  <c r="B45" i="38" s="1"/>
  <c r="N45" i="37"/>
  <c r="W24" i="14"/>
  <c r="DR24" i="16"/>
  <c r="DP24" i="16"/>
  <c r="DQ24" i="16" s="1"/>
  <c r="DO24" i="16"/>
  <c r="K42" i="18"/>
  <c r="J52" i="18"/>
  <c r="W21" i="14"/>
  <c r="DR14" i="16"/>
  <c r="DP14" i="16"/>
  <c r="DQ14" i="16" s="1"/>
  <c r="DO14" i="16"/>
  <c r="W31" i="14"/>
  <c r="I30" i="2"/>
  <c r="S29" i="2"/>
  <c r="W28" i="14"/>
  <c r="DR5" i="16"/>
  <c r="DP5" i="16"/>
  <c r="DQ5" i="16" s="1"/>
  <c r="DO5" i="16"/>
  <c r="W17" i="14"/>
  <c r="DR9" i="16"/>
  <c r="DP9" i="16"/>
  <c r="DQ9" i="16" s="1"/>
  <c r="DO9" i="16"/>
  <c r="DP21" i="16"/>
  <c r="DQ21" i="16" s="1"/>
  <c r="DO21" i="16"/>
  <c r="DR21" i="16"/>
  <c r="DR16" i="16"/>
  <c r="DP16" i="16"/>
  <c r="DQ16" i="16" s="1"/>
  <c r="DO16" i="16"/>
  <c r="DP36" i="16"/>
  <c r="DQ36" i="16" s="1"/>
  <c r="DR36" i="16"/>
  <c r="DO36" i="16"/>
  <c r="DR35" i="16"/>
  <c r="DP35" i="16"/>
  <c r="DQ35" i="16" s="1"/>
  <c r="DO35" i="16"/>
  <c r="C49" i="37"/>
  <c r="D49" i="37" s="1"/>
  <c r="E49" i="37" s="1"/>
  <c r="F49" i="37" s="1"/>
  <c r="G49" i="37" s="1"/>
  <c r="H49" i="37" s="1"/>
  <c r="I49" i="37" s="1"/>
  <c r="J49" i="37" s="1"/>
  <c r="K49" i="37" s="1"/>
  <c r="L49" i="37" s="1"/>
  <c r="M49" i="37" s="1"/>
  <c r="B49" i="38" s="1"/>
  <c r="AK169" i="16"/>
  <c r="W27" i="14"/>
  <c r="DO39" i="16"/>
  <c r="DR39" i="16"/>
  <c r="DP39" i="16"/>
  <c r="DQ39" i="16" s="1"/>
  <c r="W16" i="14"/>
  <c r="V54" i="14"/>
  <c r="V59" i="14"/>
  <c r="V52" i="14"/>
  <c r="V57" i="14"/>
  <c r="V62" i="14"/>
  <c r="V55" i="14"/>
  <c r="V60" i="14"/>
  <c r="V53" i="14"/>
  <c r="V58" i="14"/>
  <c r="V51" i="14"/>
  <c r="V56" i="14"/>
  <c r="W15" i="14"/>
  <c r="V61" i="14"/>
  <c r="W5" i="14"/>
  <c r="DR38" i="16"/>
  <c r="DP38" i="16"/>
  <c r="DQ38" i="16" s="1"/>
  <c r="DO38" i="16"/>
  <c r="C31" i="2"/>
  <c r="E30" i="2"/>
  <c r="AC30" i="2"/>
  <c r="AD30" i="2" s="1"/>
  <c r="D30" i="2"/>
  <c r="F30" i="2" s="1"/>
  <c r="W26" i="14"/>
  <c r="DP6" i="16"/>
  <c r="DQ6" i="16" s="1"/>
  <c r="DR6" i="16"/>
  <c r="DO6" i="16"/>
  <c r="W8" i="14"/>
  <c r="W34" i="14"/>
  <c r="DP25" i="16"/>
  <c r="DQ25" i="16" s="1"/>
  <c r="DR25" i="16"/>
  <c r="DO25" i="16"/>
  <c r="W37" i="14"/>
  <c r="V38" i="14"/>
  <c r="V39" i="14" s="1"/>
  <c r="V40" i="14" s="1"/>
  <c r="V41" i="14" s="1"/>
  <c r="V42" i="14" s="1"/>
  <c r="V43" i="14" s="1"/>
  <c r="V44" i="14" s="1"/>
  <c r="V45" i="14" s="1"/>
  <c r="V46" i="14" s="1"/>
  <c r="V47" i="14" s="1"/>
  <c r="DR40" i="16"/>
  <c r="DP40" i="16"/>
  <c r="DQ40" i="16" s="1"/>
  <c r="DO40" i="16"/>
  <c r="M22" i="4"/>
  <c r="DP33" i="16"/>
  <c r="DQ33" i="16" s="1"/>
  <c r="DO33" i="16"/>
  <c r="DR33" i="16"/>
  <c r="DR8" i="16"/>
  <c r="DP8" i="16"/>
  <c r="DQ8" i="16" s="1"/>
  <c r="DO8" i="16"/>
  <c r="DP15" i="16"/>
  <c r="DQ15" i="16" s="1"/>
  <c r="DR15" i="16"/>
  <c r="DO15" i="16"/>
  <c r="DO11" i="16"/>
  <c r="DP11" i="16"/>
  <c r="DQ11" i="16" s="1"/>
  <c r="DR11" i="16"/>
  <c r="DR46" i="16"/>
  <c r="DP46" i="16"/>
  <c r="DQ46" i="16" s="1"/>
  <c r="DO46" i="16"/>
  <c r="I8" i="18"/>
  <c r="DR17" i="16"/>
  <c r="DP17" i="16"/>
  <c r="DQ17" i="16" s="1"/>
  <c r="DO17" i="16"/>
  <c r="DP48" i="16"/>
  <c r="DQ48" i="16" s="1"/>
  <c r="DO48" i="16"/>
  <c r="DR48" i="16"/>
  <c r="W11" i="14"/>
  <c r="W6" i="14"/>
  <c r="DO12" i="16"/>
  <c r="DR12" i="16"/>
  <c r="DP12" i="16"/>
  <c r="DQ12" i="16" s="1"/>
  <c r="I29" i="2"/>
  <c r="S28" i="2"/>
  <c r="DR34" i="16"/>
  <c r="DP34" i="16"/>
  <c r="DQ34" i="16" s="1"/>
  <c r="DO34" i="16"/>
  <c r="W33" i="14"/>
  <c r="W14" i="14"/>
  <c r="W29" i="14"/>
  <c r="DP26" i="16"/>
  <c r="DQ26" i="16" s="1"/>
  <c r="DR26" i="16"/>
  <c r="DO26" i="16"/>
  <c r="AF169" i="16"/>
  <c r="W12" i="14"/>
  <c r="N46" i="36"/>
  <c r="W30" i="14"/>
  <c r="DO42" i="16"/>
  <c r="DR42" i="16"/>
  <c r="DP42" i="16"/>
  <c r="DQ42" i="16" s="1"/>
  <c r="DO13" i="16"/>
  <c r="DR13" i="16"/>
  <c r="DP13" i="16"/>
  <c r="DQ13" i="16" s="1"/>
  <c r="DR31" i="16"/>
  <c r="DP31" i="16"/>
  <c r="DQ31" i="16" s="1"/>
  <c r="DO31" i="16"/>
  <c r="W10" i="14"/>
  <c r="DR10" i="16"/>
  <c r="DP10" i="16"/>
  <c r="DQ10" i="16" s="1"/>
  <c r="DO10" i="16"/>
  <c r="DR28" i="16"/>
  <c r="DP28" i="16"/>
  <c r="DQ28" i="16" s="1"/>
  <c r="DO28" i="16"/>
  <c r="J6" i="18"/>
  <c r="K4" i="18"/>
  <c r="W35" i="14"/>
  <c r="DO30" i="16"/>
  <c r="DR30" i="16"/>
  <c r="DP30" i="16"/>
  <c r="DQ30" i="16" s="1"/>
  <c r="W25" i="14"/>
  <c r="W7" i="14"/>
  <c r="C50" i="37"/>
  <c r="D50" i="37" s="1"/>
  <c r="E50" i="37" s="1"/>
  <c r="F50" i="37" s="1"/>
  <c r="G50" i="37" s="1"/>
  <c r="H50" i="37" s="1"/>
  <c r="I50" i="37" s="1"/>
  <c r="J50" i="37" s="1"/>
  <c r="K50" i="37" s="1"/>
  <c r="L50" i="37" s="1"/>
  <c r="M50" i="37" s="1"/>
  <c r="B50" i="38" s="1"/>
  <c r="N50" i="37"/>
  <c r="W22" i="14"/>
  <c r="DO43" i="16"/>
  <c r="DP43" i="16"/>
  <c r="DQ43" i="16" s="1"/>
  <c r="DR43" i="16"/>
  <c r="DO41" i="16"/>
  <c r="DP41" i="16"/>
  <c r="DQ41" i="16" s="1"/>
  <c r="DR41" i="16"/>
  <c r="DO18" i="16"/>
  <c r="DR18" i="16"/>
  <c r="DP18" i="16"/>
  <c r="DQ18" i="16" s="1"/>
  <c r="DP7" i="16"/>
  <c r="DQ7" i="16" s="1"/>
  <c r="DO7" i="16"/>
  <c r="DR7" i="16"/>
  <c r="AP169" i="16"/>
  <c r="W32" i="14"/>
  <c r="DO19" i="16"/>
  <c r="DR19" i="16"/>
  <c r="DP19" i="16"/>
  <c r="DQ19" i="16" s="1"/>
  <c r="N50" i="36"/>
  <c r="DO20" i="16"/>
  <c r="DR20" i="16"/>
  <c r="DP20" i="16"/>
  <c r="DQ20" i="16" s="1"/>
  <c r="C51" i="37"/>
  <c r="D51" i="37" s="1"/>
  <c r="E51" i="37" s="1"/>
  <c r="F51" i="37" s="1"/>
  <c r="G51" i="37" s="1"/>
  <c r="H51" i="37" s="1"/>
  <c r="I51" i="37" s="1"/>
  <c r="J51" i="37" s="1"/>
  <c r="K51" i="37" s="1"/>
  <c r="L51" i="37" s="1"/>
  <c r="M51" i="37" s="1"/>
  <c r="B51" i="38" s="1"/>
  <c r="W13" i="14"/>
  <c r="DR29" i="16"/>
  <c r="DP29" i="16"/>
  <c r="DQ29" i="16" s="1"/>
  <c r="DO29" i="16"/>
  <c r="V66" i="14"/>
  <c r="V71" i="14"/>
  <c r="V64" i="14"/>
  <c r="V69" i="14"/>
  <c r="V67" i="14"/>
  <c r="V72" i="14"/>
  <c r="V65" i="14"/>
  <c r="V70" i="14"/>
  <c r="V63" i="14"/>
  <c r="V68" i="14"/>
  <c r="W18" i="14"/>
  <c r="DR45" i="16"/>
  <c r="DP45" i="16"/>
  <c r="DQ45" i="16" s="1"/>
  <c r="DO45" i="16"/>
  <c r="DR23" i="16"/>
  <c r="DP23" i="16"/>
  <c r="DQ23" i="16" s="1"/>
  <c r="DO23" i="16"/>
  <c r="V87" i="14"/>
  <c r="V88" i="14"/>
  <c r="V76" i="14"/>
  <c r="V93" i="14"/>
  <c r="V86" i="14"/>
  <c r="V85" i="14"/>
  <c r="V84" i="14"/>
  <c r="V83" i="14"/>
  <c r="V82" i="14"/>
  <c r="V81" i="14"/>
  <c r="V92" i="14"/>
  <c r="V91" i="14"/>
  <c r="V90" i="14"/>
  <c r="V89" i="14"/>
  <c r="V80" i="14"/>
  <c r="V79" i="14"/>
  <c r="V78" i="14"/>
  <c r="V74" i="14"/>
  <c r="V77" i="14"/>
  <c r="V75" i="14"/>
  <c r="V73" i="14"/>
  <c r="W20" i="14"/>
  <c r="DR27" i="16"/>
  <c r="DP27" i="16"/>
  <c r="DQ27" i="16" s="1"/>
  <c r="DO27" i="16"/>
  <c r="L23" i="4"/>
  <c r="C43" i="37"/>
  <c r="D43" i="37" s="1"/>
  <c r="E43" i="37" s="1"/>
  <c r="F43" i="37" s="1"/>
  <c r="G43" i="37" s="1"/>
  <c r="H43" i="37" s="1"/>
  <c r="I43" i="37" s="1"/>
  <c r="J43" i="37" s="1"/>
  <c r="K43" i="37" s="1"/>
  <c r="L43" i="37" s="1"/>
  <c r="M43" i="37" s="1"/>
  <c r="B43" i="38" s="1"/>
  <c r="W23" i="14"/>
  <c r="DP22" i="16"/>
  <c r="DQ22" i="16" s="1"/>
  <c r="DR22" i="16"/>
  <c r="DO22" i="16"/>
  <c r="C46" i="37"/>
  <c r="D46" i="37" s="1"/>
  <c r="E46" i="37" s="1"/>
  <c r="F46" i="37" s="1"/>
  <c r="G46" i="37" s="1"/>
  <c r="H46" i="37" s="1"/>
  <c r="I46" i="37" s="1"/>
  <c r="J46" i="37" s="1"/>
  <c r="K46" i="37" s="1"/>
  <c r="L46" i="37" s="1"/>
  <c r="M46" i="37" s="1"/>
  <c r="B46" i="38" s="1"/>
  <c r="I34" i="18"/>
  <c r="I23" i="18"/>
  <c r="I22" i="18"/>
  <c r="I32" i="18"/>
  <c r="I20" i="18"/>
  <c r="I19" i="18"/>
  <c r="I30" i="18"/>
  <c r="I31" i="18" s="1"/>
  <c r="I18" i="18"/>
  <c r="I17" i="18"/>
  <c r="I11" i="18"/>
  <c r="I16" i="18"/>
  <c r="I10" i="18"/>
  <c r="I39" i="18"/>
  <c r="I15" i="18"/>
  <c r="I38" i="18"/>
  <c r="I25" i="18"/>
  <c r="I14" i="18"/>
  <c r="I24" i="18"/>
  <c r="I13" i="18"/>
  <c r="I21" i="18"/>
  <c r="X50" i="14"/>
  <c r="Y4" i="14"/>
  <c r="C47" i="37"/>
  <c r="D47" i="37" s="1"/>
  <c r="E47" i="37" s="1"/>
  <c r="F47" i="37" s="1"/>
  <c r="G47" i="37" s="1"/>
  <c r="H47" i="37" s="1"/>
  <c r="I47" i="37" s="1"/>
  <c r="J47" i="37" s="1"/>
  <c r="K47" i="37" s="1"/>
  <c r="L47" i="37" s="1"/>
  <c r="M47" i="37" s="1"/>
  <c r="B47" i="38" s="1"/>
  <c r="N47" i="37"/>
  <c r="N45" i="36"/>
  <c r="W9" i="14"/>
  <c r="C44" i="37"/>
  <c r="D44" i="37" s="1"/>
  <c r="E44" i="37" s="1"/>
  <c r="F44" i="37" s="1"/>
  <c r="G44" i="37" s="1"/>
  <c r="H44" i="37" s="1"/>
  <c r="I44" i="37" s="1"/>
  <c r="J44" i="37" s="1"/>
  <c r="K44" i="37" s="1"/>
  <c r="L44" i="37" s="1"/>
  <c r="M44" i="37" s="1"/>
  <c r="B44" i="38" s="1"/>
  <c r="N44" i="37"/>
  <c r="DP44" i="16"/>
  <c r="DQ44" i="16" s="1"/>
  <c r="DR44" i="16"/>
  <c r="DO44" i="16"/>
  <c r="W19" i="14"/>
  <c r="W36" i="14"/>
  <c r="DP47" i="16"/>
  <c r="DQ47" i="16" s="1"/>
  <c r="DR47" i="16"/>
  <c r="DO47" i="16"/>
  <c r="C48" i="37"/>
  <c r="D48" i="37" s="1"/>
  <c r="E48" i="37" s="1"/>
  <c r="F48" i="37" s="1"/>
  <c r="G48" i="37" s="1"/>
  <c r="H48" i="37" s="1"/>
  <c r="I48" i="37" s="1"/>
  <c r="J48" i="37" s="1"/>
  <c r="K48" i="37" s="1"/>
  <c r="L48" i="37" s="1"/>
  <c r="M48" i="37" s="1"/>
  <c r="B48" i="38" s="1"/>
  <c r="N48" i="37"/>
  <c r="N4" i="6"/>
  <c r="X3" i="14"/>
  <c r="AL169" i="16" l="1"/>
  <c r="AB169" i="16"/>
  <c r="AH169" i="16"/>
  <c r="N46" i="37"/>
  <c r="N51" i="37"/>
  <c r="AG169" i="16"/>
  <c r="I26" i="18"/>
  <c r="I57" i="18" s="1"/>
  <c r="AN169" i="16"/>
  <c r="DT18" i="16"/>
  <c r="DU18" i="16" s="1"/>
  <c r="DS18" i="16"/>
  <c r="DV18" i="16"/>
  <c r="X7" i="14"/>
  <c r="X14" i="14"/>
  <c r="X11" i="14"/>
  <c r="DT11" i="16"/>
  <c r="DU11" i="16" s="1"/>
  <c r="DV11" i="16"/>
  <c r="DS11" i="16"/>
  <c r="M23" i="4"/>
  <c r="X17" i="14"/>
  <c r="X21" i="14"/>
  <c r="C44" i="38"/>
  <c r="D44" i="38" s="1"/>
  <c r="E44" i="38" s="1"/>
  <c r="F44" i="38" s="1"/>
  <c r="G44" i="38" s="1"/>
  <c r="H44" i="38" s="1"/>
  <c r="I44" i="38" s="1"/>
  <c r="J44" i="38" s="1"/>
  <c r="K44" i="38" s="1"/>
  <c r="L44" i="38" s="1"/>
  <c r="M44" i="38" s="1"/>
  <c r="B44" i="39" s="1"/>
  <c r="DS27" i="16"/>
  <c r="DV27" i="16"/>
  <c r="DT27" i="16"/>
  <c r="DU27" i="16" s="1"/>
  <c r="AD169" i="16"/>
  <c r="DV28" i="16"/>
  <c r="DT28" i="16"/>
  <c r="DU28" i="16" s="1"/>
  <c r="DS28" i="16"/>
  <c r="DV42" i="16"/>
  <c r="DT42" i="16"/>
  <c r="DU42" i="16" s="1"/>
  <c r="DS42" i="16"/>
  <c r="L42" i="18"/>
  <c r="K52" i="18"/>
  <c r="DV32" i="16"/>
  <c r="DT32" i="16"/>
  <c r="DU32" i="16" s="1"/>
  <c r="DS32" i="16"/>
  <c r="DS41" i="16"/>
  <c r="DT41" i="16"/>
  <c r="DU41" i="16" s="1"/>
  <c r="DV41" i="16"/>
  <c r="X26" i="14"/>
  <c r="DV39" i="16"/>
  <c r="DT39" i="16"/>
  <c r="DU39" i="16" s="1"/>
  <c r="DS39" i="16"/>
  <c r="DS5" i="16"/>
  <c r="DV5" i="16"/>
  <c r="DT5" i="16"/>
  <c r="DU5" i="16" s="1"/>
  <c r="X25" i="14"/>
  <c r="DT48" i="16"/>
  <c r="DU48" i="16" s="1"/>
  <c r="DS48" i="16"/>
  <c r="DV48" i="16"/>
  <c r="DT36" i="16"/>
  <c r="DU36" i="16" s="1"/>
  <c r="DV36" i="16"/>
  <c r="DS36" i="16"/>
  <c r="DS23" i="16"/>
  <c r="DV23" i="16"/>
  <c r="DT23" i="16"/>
  <c r="DU23" i="16" s="1"/>
  <c r="C46" i="38"/>
  <c r="D46" i="38" s="1"/>
  <c r="E46" i="38" s="1"/>
  <c r="F46" i="38" s="1"/>
  <c r="G46" i="38" s="1"/>
  <c r="H46" i="38" s="1"/>
  <c r="I46" i="38" s="1"/>
  <c r="J46" i="38" s="1"/>
  <c r="K46" i="38" s="1"/>
  <c r="L46" i="38" s="1"/>
  <c r="M46" i="38" s="1"/>
  <c r="B46" i="39" s="1"/>
  <c r="X30" i="14"/>
  <c r="DT34" i="16"/>
  <c r="DU34" i="16" s="1"/>
  <c r="DS34" i="16"/>
  <c r="DV34" i="16"/>
  <c r="DS15" i="16"/>
  <c r="DT15" i="16"/>
  <c r="DU15" i="16" s="1"/>
  <c r="DV15" i="16"/>
  <c r="DT40" i="16"/>
  <c r="DU40" i="16" s="1"/>
  <c r="DV40" i="16"/>
  <c r="DS40" i="16"/>
  <c r="H30" i="2"/>
  <c r="AB30" i="2"/>
  <c r="AM169" i="16"/>
  <c r="AC169" i="16"/>
  <c r="W92" i="14"/>
  <c r="W80" i="14"/>
  <c r="W93" i="14"/>
  <c r="W81" i="14"/>
  <c r="W76" i="14"/>
  <c r="W86" i="14"/>
  <c r="W85" i="14"/>
  <c r="W84" i="14"/>
  <c r="W83" i="14"/>
  <c r="W82" i="14"/>
  <c r="W91" i="14"/>
  <c r="W90" i="14"/>
  <c r="W89" i="14"/>
  <c r="W88" i="14"/>
  <c r="W87" i="14"/>
  <c r="W79" i="14"/>
  <c r="W78" i="14"/>
  <c r="W74" i="14"/>
  <c r="W77" i="14"/>
  <c r="W75" i="14"/>
  <c r="W73" i="14"/>
  <c r="X20" i="14"/>
  <c r="DV30" i="16"/>
  <c r="DT30" i="16"/>
  <c r="DU30" i="16" s="1"/>
  <c r="DS30" i="16"/>
  <c r="DV19" i="16"/>
  <c r="DT19" i="16"/>
  <c r="DU19" i="16" s="1"/>
  <c r="DS19" i="16"/>
  <c r="DT10" i="16"/>
  <c r="DU10" i="16" s="1"/>
  <c r="DV10" i="16"/>
  <c r="DS10" i="16"/>
  <c r="AK170" i="16"/>
  <c r="X27" i="14"/>
  <c r="DV16" i="16"/>
  <c r="DT16" i="16"/>
  <c r="DU16" i="16" s="1"/>
  <c r="DS16" i="16"/>
  <c r="X28" i="14"/>
  <c r="DS22" i="16"/>
  <c r="DV22" i="16"/>
  <c r="DT22" i="16"/>
  <c r="DU22" i="16" s="1"/>
  <c r="DS45" i="16"/>
  <c r="DT45" i="16"/>
  <c r="DU45" i="16" s="1"/>
  <c r="DV45" i="16"/>
  <c r="DS43" i="16"/>
  <c r="DV43" i="16"/>
  <c r="DT43" i="16"/>
  <c r="DU43" i="16" s="1"/>
  <c r="X35" i="14"/>
  <c r="X10" i="14"/>
  <c r="AF170" i="16"/>
  <c r="X12" i="14"/>
  <c r="DT17" i="16"/>
  <c r="DU17" i="16" s="1"/>
  <c r="DV17" i="16"/>
  <c r="DS17" i="16"/>
  <c r="W38" i="14"/>
  <c r="W39" i="14" s="1"/>
  <c r="W40" i="14" s="1"/>
  <c r="W41" i="14" s="1"/>
  <c r="W42" i="14" s="1"/>
  <c r="W43" i="14" s="1"/>
  <c r="W44" i="14" s="1"/>
  <c r="W45" i="14" s="1"/>
  <c r="W46" i="14" s="1"/>
  <c r="W47" i="14" s="1"/>
  <c r="X37" i="14"/>
  <c r="DV21" i="16"/>
  <c r="DT21" i="16"/>
  <c r="DU21" i="16" s="1"/>
  <c r="DS21" i="16"/>
  <c r="DS24" i="16"/>
  <c r="DV24" i="16"/>
  <c r="DT24" i="16"/>
  <c r="DU24" i="16" s="1"/>
  <c r="X16" i="14"/>
  <c r="C47" i="38"/>
  <c r="D47" i="38" s="1"/>
  <c r="E47" i="38" s="1"/>
  <c r="F47" i="38" s="1"/>
  <c r="G47" i="38" s="1"/>
  <c r="H47" i="38" s="1"/>
  <c r="I47" i="38" s="1"/>
  <c r="J47" i="38" s="1"/>
  <c r="K47" i="38" s="1"/>
  <c r="L47" i="38" s="1"/>
  <c r="M47" i="38" s="1"/>
  <c r="B47" i="39" s="1"/>
  <c r="W71" i="14"/>
  <c r="W64" i="14"/>
  <c r="W69" i="14"/>
  <c r="W67" i="14"/>
  <c r="W72" i="14"/>
  <c r="W65" i="14"/>
  <c r="W70" i="14"/>
  <c r="W63" i="14"/>
  <c r="W68" i="14"/>
  <c r="W66" i="14"/>
  <c r="X18" i="14"/>
  <c r="AP170" i="16"/>
  <c r="X32" i="14"/>
  <c r="K6" i="18"/>
  <c r="K9" i="18" s="1"/>
  <c r="L4" i="18"/>
  <c r="C32" i="2"/>
  <c r="E31" i="2"/>
  <c r="AC31" i="2"/>
  <c r="AD31" i="2" s="1"/>
  <c r="D31" i="2"/>
  <c r="F31" i="2" s="1"/>
  <c r="C49" i="38"/>
  <c r="D49" i="38" s="1"/>
  <c r="E49" i="38" s="1"/>
  <c r="F49" i="38" s="1"/>
  <c r="G49" i="38" s="1"/>
  <c r="H49" i="38" s="1"/>
  <c r="I49" i="38" s="1"/>
  <c r="J49" i="38" s="1"/>
  <c r="K49" i="38" s="1"/>
  <c r="L49" i="38" s="1"/>
  <c r="M49" i="38" s="1"/>
  <c r="B49" i="39" s="1"/>
  <c r="N49" i="38"/>
  <c r="X24" i="14"/>
  <c r="DS6" i="16"/>
  <c r="DV6" i="16"/>
  <c r="DT6" i="16"/>
  <c r="DU6" i="16" s="1"/>
  <c r="C48" i="38"/>
  <c r="D48" i="38" s="1"/>
  <c r="E48" i="38" s="1"/>
  <c r="F48" i="38" s="1"/>
  <c r="G48" i="38" s="1"/>
  <c r="H48" i="38" s="1"/>
  <c r="I48" i="38" s="1"/>
  <c r="J48" i="38" s="1"/>
  <c r="K48" i="38" s="1"/>
  <c r="L48" i="38" s="1"/>
  <c r="M48" i="38" s="1"/>
  <c r="B48" i="39" s="1"/>
  <c r="DS47" i="16"/>
  <c r="DV47" i="16"/>
  <c r="DT47" i="16"/>
  <c r="DU47" i="16" s="1"/>
  <c r="X36" i="14"/>
  <c r="Y50" i="14"/>
  <c r="Z4" i="14"/>
  <c r="X23" i="14"/>
  <c r="DT29" i="16"/>
  <c r="DU29" i="16" s="1"/>
  <c r="DV29" i="16"/>
  <c r="DS29" i="16"/>
  <c r="DV12" i="16"/>
  <c r="DT12" i="16"/>
  <c r="DU12" i="16" s="1"/>
  <c r="DS12" i="16"/>
  <c r="DV8" i="16"/>
  <c r="DT8" i="16"/>
  <c r="DU8" i="16" s="1"/>
  <c r="DS8" i="16"/>
  <c r="DV25" i="16"/>
  <c r="DT25" i="16"/>
  <c r="DU25" i="16" s="1"/>
  <c r="DS25" i="16"/>
  <c r="N49" i="37"/>
  <c r="X31" i="14"/>
  <c r="X33" i="14"/>
  <c r="C43" i="38"/>
  <c r="D43" i="38" s="1"/>
  <c r="E43" i="38" s="1"/>
  <c r="F43" i="38" s="1"/>
  <c r="G43" i="38" s="1"/>
  <c r="H43" i="38" s="1"/>
  <c r="I43" i="38" s="1"/>
  <c r="J43" i="38" s="1"/>
  <c r="K43" i="38" s="1"/>
  <c r="L43" i="38" s="1"/>
  <c r="M43" i="38" s="1"/>
  <c r="B43" i="39" s="1"/>
  <c r="X13" i="14"/>
  <c r="DT7" i="16"/>
  <c r="DU7" i="16" s="1"/>
  <c r="DV7" i="16"/>
  <c r="DS7" i="16"/>
  <c r="X22" i="14"/>
  <c r="J22" i="18"/>
  <c r="J32" i="18"/>
  <c r="J20" i="18"/>
  <c r="J19" i="18"/>
  <c r="J30" i="18"/>
  <c r="J31" i="18" s="1"/>
  <c r="J18" i="18"/>
  <c r="J17" i="18"/>
  <c r="J11" i="18"/>
  <c r="J16" i="18"/>
  <c r="J10" i="18"/>
  <c r="J39" i="18"/>
  <c r="J15" i="18"/>
  <c r="J38" i="18"/>
  <c r="J25" i="18"/>
  <c r="J14" i="18"/>
  <c r="J12" i="18"/>
  <c r="J24" i="18"/>
  <c r="J13" i="18"/>
  <c r="J23" i="18"/>
  <c r="J34" i="18"/>
  <c r="J21" i="18"/>
  <c r="DV31" i="16"/>
  <c r="DS31" i="16"/>
  <c r="DT31" i="16"/>
  <c r="DU31" i="16" s="1"/>
  <c r="DT26" i="16"/>
  <c r="DU26" i="16" s="1"/>
  <c r="DV26" i="16"/>
  <c r="DS26" i="16"/>
  <c r="DT33" i="16"/>
  <c r="DU33" i="16" s="1"/>
  <c r="DV33" i="16"/>
  <c r="DS33" i="16"/>
  <c r="C45" i="38"/>
  <c r="D45" i="38" s="1"/>
  <c r="E45" i="38" s="1"/>
  <c r="F45" i="38" s="1"/>
  <c r="G45" i="38" s="1"/>
  <c r="H45" i="38" s="1"/>
  <c r="I45" i="38" s="1"/>
  <c r="J45" i="38" s="1"/>
  <c r="K45" i="38" s="1"/>
  <c r="L45" i="38" s="1"/>
  <c r="M45" i="38" s="1"/>
  <c r="B45" i="39" s="1"/>
  <c r="DV20" i="16"/>
  <c r="DT20" i="16"/>
  <c r="DU20" i="16" s="1"/>
  <c r="DS20" i="16"/>
  <c r="W59" i="14"/>
  <c r="W52" i="14"/>
  <c r="W57" i="14"/>
  <c r="W62" i="14"/>
  <c r="W55" i="14"/>
  <c r="W60" i="14"/>
  <c r="W53" i="14"/>
  <c r="W58" i="14"/>
  <c r="W51" i="14"/>
  <c r="W56" i="14"/>
  <c r="W61" i="14"/>
  <c r="W54" i="14"/>
  <c r="X15" i="14"/>
  <c r="X19" i="14"/>
  <c r="N43" i="37"/>
  <c r="J8" i="18"/>
  <c r="X6" i="14"/>
  <c r="DV46" i="16"/>
  <c r="DT46" i="16"/>
  <c r="DU46" i="16" s="1"/>
  <c r="DS46" i="16"/>
  <c r="X34" i="14"/>
  <c r="DV38" i="16"/>
  <c r="DT38" i="16"/>
  <c r="DU38" i="16" s="1"/>
  <c r="DS38" i="16"/>
  <c r="AI169" i="16"/>
  <c r="X9" i="14"/>
  <c r="DV44" i="16"/>
  <c r="DT44" i="16"/>
  <c r="DU44" i="16" s="1"/>
  <c r="DS44" i="16"/>
  <c r="L24" i="4"/>
  <c r="C51" i="38"/>
  <c r="D51" i="38" s="1"/>
  <c r="E51" i="38" s="1"/>
  <c r="F51" i="38" s="1"/>
  <c r="G51" i="38" s="1"/>
  <c r="H51" i="38" s="1"/>
  <c r="I51" i="38" s="1"/>
  <c r="J51" i="38" s="1"/>
  <c r="K51" i="38" s="1"/>
  <c r="L51" i="38" s="1"/>
  <c r="M51" i="38" s="1"/>
  <c r="B51" i="39" s="1"/>
  <c r="C50" i="38"/>
  <c r="D50" i="38" s="1"/>
  <c r="E50" i="38" s="1"/>
  <c r="F50" i="38" s="1"/>
  <c r="G50" i="38" s="1"/>
  <c r="H50" i="38" s="1"/>
  <c r="I50" i="38" s="1"/>
  <c r="J50" i="38" s="1"/>
  <c r="K50" i="38" s="1"/>
  <c r="L50" i="38" s="1"/>
  <c r="M50" i="38" s="1"/>
  <c r="B50" i="39" s="1"/>
  <c r="N50" i="38"/>
  <c r="J9" i="18"/>
  <c r="DV13" i="16"/>
  <c r="DT13" i="16"/>
  <c r="DU13" i="16" s="1"/>
  <c r="DS13" i="16"/>
  <c r="X29" i="14"/>
  <c r="X8" i="14"/>
  <c r="X5" i="14"/>
  <c r="DS35" i="16"/>
  <c r="DV35" i="16"/>
  <c r="DT35" i="16"/>
  <c r="DU35" i="16" s="1"/>
  <c r="DV9" i="16"/>
  <c r="DT9" i="16"/>
  <c r="DU9" i="16" s="1"/>
  <c r="DS9" i="16"/>
  <c r="DV14" i="16"/>
  <c r="DT14" i="16"/>
  <c r="DU14" i="16" s="1"/>
  <c r="DS14" i="16"/>
  <c r="DT37" i="16"/>
  <c r="DU37" i="16" s="1"/>
  <c r="DV37" i="16"/>
  <c r="DS37" i="16"/>
  <c r="Y3" i="14"/>
  <c r="O4" i="6"/>
  <c r="AH170" i="16" l="1"/>
  <c r="AB170" i="16"/>
  <c r="AN170" i="16"/>
  <c r="N51" i="38"/>
  <c r="K8" i="18"/>
  <c r="AM170" i="16"/>
  <c r="J26" i="18"/>
  <c r="J57" i="18" s="1"/>
  <c r="Y34" i="14"/>
  <c r="DZ6" i="16"/>
  <c r="DX6" i="16"/>
  <c r="DY6" i="16" s="1"/>
  <c r="DW6" i="16"/>
  <c r="X38" i="14"/>
  <c r="X39" i="14" s="1"/>
  <c r="X40" i="14" s="1"/>
  <c r="X41" i="14" s="1"/>
  <c r="X42" i="14" s="1"/>
  <c r="X43" i="14" s="1"/>
  <c r="X44" i="14" s="1"/>
  <c r="X45" i="14" s="1"/>
  <c r="X46" i="14" s="1"/>
  <c r="X47" i="14" s="1"/>
  <c r="Y37" i="14"/>
  <c r="DW45" i="16"/>
  <c r="DX45" i="16"/>
  <c r="DY45" i="16" s="1"/>
  <c r="DZ45" i="16"/>
  <c r="AK171" i="16"/>
  <c r="AH171" i="16" s="1"/>
  <c r="Y27" i="14"/>
  <c r="N46" i="38"/>
  <c r="AG170" i="16"/>
  <c r="DW27" i="16"/>
  <c r="DZ27" i="16"/>
  <c r="DX27" i="16"/>
  <c r="DY27" i="16" s="1"/>
  <c r="Y7" i="14"/>
  <c r="C46" i="39"/>
  <c r="D46" i="39" s="1"/>
  <c r="E46" i="39" s="1"/>
  <c r="F46" i="39" s="1"/>
  <c r="G46" i="39" s="1"/>
  <c r="H46" i="39" s="1"/>
  <c r="I46" i="39" s="1"/>
  <c r="J46" i="39" s="1"/>
  <c r="K46" i="39" s="1"/>
  <c r="L46" i="39" s="1"/>
  <c r="M46" i="39" s="1"/>
  <c r="B46" i="40" s="1"/>
  <c r="DW32" i="16"/>
  <c r="DZ32" i="16"/>
  <c r="DX32" i="16"/>
  <c r="DY32" i="16" s="1"/>
  <c r="DX18" i="16"/>
  <c r="DY18" i="16" s="1"/>
  <c r="DZ18" i="16"/>
  <c r="DW18" i="16"/>
  <c r="X85" i="14"/>
  <c r="X86" i="14"/>
  <c r="X76" i="14"/>
  <c r="X84" i="14"/>
  <c r="X83" i="14"/>
  <c r="X82" i="14"/>
  <c r="X93" i="14"/>
  <c r="X91" i="14"/>
  <c r="X90" i="14"/>
  <c r="X89" i="14"/>
  <c r="X88" i="14"/>
  <c r="X87" i="14"/>
  <c r="X81" i="14"/>
  <c r="X79" i="14"/>
  <c r="X78" i="14"/>
  <c r="X74" i="14"/>
  <c r="X92" i="14"/>
  <c r="X80" i="14"/>
  <c r="X77" i="14"/>
  <c r="X75" i="14"/>
  <c r="X73" i="14"/>
  <c r="Y20" i="14"/>
  <c r="C50" i="39"/>
  <c r="D50" i="39" s="1"/>
  <c r="E50" i="39" s="1"/>
  <c r="F50" i="39" s="1"/>
  <c r="G50" i="39" s="1"/>
  <c r="H50" i="39" s="1"/>
  <c r="I50" i="39" s="1"/>
  <c r="J50" i="39" s="1"/>
  <c r="K50" i="39" s="1"/>
  <c r="L50" i="39" s="1"/>
  <c r="M50" i="39" s="1"/>
  <c r="B50" i="40" s="1"/>
  <c r="N50" i="39"/>
  <c r="N45" i="38"/>
  <c r="I31" i="2"/>
  <c r="U30" i="2"/>
  <c r="S30" i="2"/>
  <c r="DZ35" i="16"/>
  <c r="DX35" i="16"/>
  <c r="DY35" i="16" s="1"/>
  <c r="DW35" i="16"/>
  <c r="C51" i="39"/>
  <c r="D51" i="39" s="1"/>
  <c r="E51" i="39" s="1"/>
  <c r="F51" i="39" s="1"/>
  <c r="G51" i="39" s="1"/>
  <c r="H51" i="39" s="1"/>
  <c r="I51" i="39" s="1"/>
  <c r="J51" i="39" s="1"/>
  <c r="K51" i="39" s="1"/>
  <c r="L51" i="39" s="1"/>
  <c r="M51" i="39" s="1"/>
  <c r="B51" i="40" s="1"/>
  <c r="Z50" i="14"/>
  <c r="AA4" i="14"/>
  <c r="Y24" i="14"/>
  <c r="AP171" i="16"/>
  <c r="Y32" i="14"/>
  <c r="DZ5" i="16"/>
  <c r="DW5" i="16"/>
  <c r="DX5" i="16"/>
  <c r="DY5" i="16" s="1"/>
  <c r="N44" i="38"/>
  <c r="Y25" i="14"/>
  <c r="DX40" i="16"/>
  <c r="DY40" i="16" s="1"/>
  <c r="DZ40" i="16"/>
  <c r="DW40" i="16"/>
  <c r="C49" i="39"/>
  <c r="D49" i="39" s="1"/>
  <c r="E49" i="39" s="1"/>
  <c r="F49" i="39" s="1"/>
  <c r="G49" i="39" s="1"/>
  <c r="H49" i="39" s="1"/>
  <c r="I49" i="39" s="1"/>
  <c r="J49" i="39" s="1"/>
  <c r="K49" i="39" s="1"/>
  <c r="L49" i="39" s="1"/>
  <c r="M49" i="39" s="1"/>
  <c r="B49" i="40" s="1"/>
  <c r="X64" i="14"/>
  <c r="X69" i="14"/>
  <c r="X67" i="14"/>
  <c r="X72" i="14"/>
  <c r="X65" i="14"/>
  <c r="X70" i="14"/>
  <c r="X63" i="14"/>
  <c r="X68" i="14"/>
  <c r="X66" i="14"/>
  <c r="Y18" i="14"/>
  <c r="X71" i="14"/>
  <c r="N47" i="38"/>
  <c r="DX22" i="16"/>
  <c r="DY22" i="16" s="1"/>
  <c r="DW22" i="16"/>
  <c r="DZ22" i="16"/>
  <c r="Y21" i="14"/>
  <c r="AL170" i="16"/>
  <c r="DW16" i="16"/>
  <c r="DX16" i="16"/>
  <c r="DY16" i="16" s="1"/>
  <c r="DZ16" i="16"/>
  <c r="C45" i="39"/>
  <c r="D45" i="39" s="1"/>
  <c r="E45" i="39" s="1"/>
  <c r="F45" i="39" s="1"/>
  <c r="G45" i="39" s="1"/>
  <c r="H45" i="39" s="1"/>
  <c r="I45" i="39" s="1"/>
  <c r="J45" i="39" s="1"/>
  <c r="K45" i="39" s="1"/>
  <c r="L45" i="39" s="1"/>
  <c r="M45" i="39" s="1"/>
  <c r="B45" i="40" s="1"/>
  <c r="N45" i="39"/>
  <c r="DZ46" i="16"/>
  <c r="DX46" i="16"/>
  <c r="DY46" i="16" s="1"/>
  <c r="DW46" i="16"/>
  <c r="C47" i="39"/>
  <c r="D47" i="39" s="1"/>
  <c r="E47" i="39" s="1"/>
  <c r="F47" i="39" s="1"/>
  <c r="G47" i="39" s="1"/>
  <c r="H47" i="39" s="1"/>
  <c r="I47" i="39" s="1"/>
  <c r="J47" i="39" s="1"/>
  <c r="K47" i="39" s="1"/>
  <c r="L47" i="39" s="1"/>
  <c r="M47" i="39" s="1"/>
  <c r="B47" i="40" s="1"/>
  <c r="DZ10" i="16"/>
  <c r="DX10" i="16"/>
  <c r="DY10" i="16" s="1"/>
  <c r="DW10" i="16"/>
  <c r="DW7" i="16"/>
  <c r="DX7" i="16"/>
  <c r="DY7" i="16" s="1"/>
  <c r="DZ7" i="16"/>
  <c r="Y36" i="14"/>
  <c r="AB31" i="2"/>
  <c r="H31" i="2"/>
  <c r="Y16" i="14"/>
  <c r="AF171" i="16"/>
  <c r="Y12" i="14"/>
  <c r="DX15" i="16"/>
  <c r="DY15" i="16" s="1"/>
  <c r="DZ15" i="16"/>
  <c r="DW15" i="16"/>
  <c r="Y17" i="14"/>
  <c r="DX21" i="16"/>
  <c r="DY21" i="16" s="1"/>
  <c r="DZ21" i="16"/>
  <c r="DW21" i="16"/>
  <c r="Y30" i="14"/>
  <c r="DW26" i="16"/>
  <c r="DZ26" i="16"/>
  <c r="DX26" i="16"/>
  <c r="DY26" i="16" s="1"/>
  <c r="DW8" i="16"/>
  <c r="DZ8" i="16"/>
  <c r="DX8" i="16"/>
  <c r="DY8" i="16" s="1"/>
  <c r="DZ36" i="16"/>
  <c r="DX36" i="16"/>
  <c r="DY36" i="16" s="1"/>
  <c r="DW36" i="16"/>
  <c r="DW39" i="16"/>
  <c r="DZ39" i="16"/>
  <c r="DX39" i="16"/>
  <c r="DY39" i="16" s="1"/>
  <c r="DZ42" i="16"/>
  <c r="DW42" i="16"/>
  <c r="DX42" i="16"/>
  <c r="DY42" i="16" s="1"/>
  <c r="M24" i="4"/>
  <c r="DZ29" i="16"/>
  <c r="DX29" i="16"/>
  <c r="DY29" i="16" s="1"/>
  <c r="DW29" i="16"/>
  <c r="DW9" i="16"/>
  <c r="DZ9" i="16"/>
  <c r="DX9" i="16"/>
  <c r="DY9" i="16" s="1"/>
  <c r="Y22" i="14"/>
  <c r="C44" i="39"/>
  <c r="D44" i="39" s="1"/>
  <c r="E44" i="39" s="1"/>
  <c r="F44" i="39" s="1"/>
  <c r="G44" i="39" s="1"/>
  <c r="H44" i="39" s="1"/>
  <c r="I44" i="39" s="1"/>
  <c r="J44" i="39" s="1"/>
  <c r="K44" i="39" s="1"/>
  <c r="L44" i="39" s="1"/>
  <c r="M44" i="39" s="1"/>
  <c r="B44" i="40" s="1"/>
  <c r="N44" i="39"/>
  <c r="Y5" i="14"/>
  <c r="Y8" i="14"/>
  <c r="Y29" i="14"/>
  <c r="Y9" i="14"/>
  <c r="Y19" i="14"/>
  <c r="Y13" i="14"/>
  <c r="DZ47" i="16"/>
  <c r="DX47" i="16"/>
  <c r="DY47" i="16" s="1"/>
  <c r="DW47" i="16"/>
  <c r="DZ24" i="16"/>
  <c r="DX24" i="16"/>
  <c r="DY24" i="16" s="1"/>
  <c r="DW24" i="16"/>
  <c r="Y10" i="14"/>
  <c r="DX19" i="16"/>
  <c r="DY19" i="16" s="1"/>
  <c r="DW19" i="16"/>
  <c r="DZ19" i="16"/>
  <c r="Y26" i="14"/>
  <c r="Y31" i="14"/>
  <c r="L25" i="4"/>
  <c r="DX44" i="16"/>
  <c r="DY44" i="16" s="1"/>
  <c r="DZ44" i="16"/>
  <c r="DW44" i="16"/>
  <c r="AI170" i="16"/>
  <c r="X52" i="14"/>
  <c r="X57" i="14"/>
  <c r="X62" i="14"/>
  <c r="X55" i="14"/>
  <c r="X60" i="14"/>
  <c r="X58" i="14"/>
  <c r="X51" i="14"/>
  <c r="X56" i="14"/>
  <c r="X61" i="14"/>
  <c r="X54" i="14"/>
  <c r="Y15" i="14"/>
  <c r="X59" i="14"/>
  <c r="X53" i="14"/>
  <c r="N43" i="38"/>
  <c r="C33" i="2"/>
  <c r="E32" i="2"/>
  <c r="AC32" i="2"/>
  <c r="AD32" i="2" s="1"/>
  <c r="D32" i="2"/>
  <c r="Y35" i="14"/>
  <c r="Y28" i="14"/>
  <c r="DZ34" i="16"/>
  <c r="DX34" i="16"/>
  <c r="DY34" i="16" s="1"/>
  <c r="DW34" i="16"/>
  <c r="DZ48" i="16"/>
  <c r="DX48" i="16"/>
  <c r="DY48" i="16" s="1"/>
  <c r="DW48" i="16"/>
  <c r="DZ41" i="16"/>
  <c r="DX41" i="16"/>
  <c r="DY41" i="16" s="1"/>
  <c r="DW41" i="16"/>
  <c r="DX11" i="16"/>
  <c r="DY11" i="16" s="1"/>
  <c r="DZ11" i="16"/>
  <c r="DW11" i="16"/>
  <c r="DZ38" i="16"/>
  <c r="DW38" i="16"/>
  <c r="DX38" i="16"/>
  <c r="DY38" i="16" s="1"/>
  <c r="DZ20" i="16"/>
  <c r="DX20" i="16"/>
  <c r="DY20" i="16" s="1"/>
  <c r="DW20" i="16"/>
  <c r="DX33" i="16"/>
  <c r="DY33" i="16" s="1"/>
  <c r="DW33" i="16"/>
  <c r="DZ33" i="16"/>
  <c r="DZ17" i="16"/>
  <c r="DX17" i="16"/>
  <c r="DY17" i="16" s="1"/>
  <c r="DW17" i="16"/>
  <c r="L52" i="18"/>
  <c r="M42" i="18"/>
  <c r="Y6" i="14"/>
  <c r="C43" i="39"/>
  <c r="D43" i="39" s="1"/>
  <c r="E43" i="39" s="1"/>
  <c r="F43" i="39" s="1"/>
  <c r="G43" i="39" s="1"/>
  <c r="H43" i="39" s="1"/>
  <c r="I43" i="39" s="1"/>
  <c r="J43" i="39" s="1"/>
  <c r="K43" i="39" s="1"/>
  <c r="L43" i="39" s="1"/>
  <c r="M43" i="39" s="1"/>
  <c r="B43" i="40" s="1"/>
  <c r="DW12" i="16"/>
  <c r="DZ12" i="16"/>
  <c r="DX12" i="16"/>
  <c r="DY12" i="16" s="1"/>
  <c r="N48" i="39"/>
  <c r="C48" i="39"/>
  <c r="D48" i="39" s="1"/>
  <c r="E48" i="39" s="1"/>
  <c r="F48" i="39" s="1"/>
  <c r="G48" i="39" s="1"/>
  <c r="H48" i="39" s="1"/>
  <c r="I48" i="39" s="1"/>
  <c r="J48" i="39" s="1"/>
  <c r="K48" i="39" s="1"/>
  <c r="L48" i="39" s="1"/>
  <c r="M48" i="39" s="1"/>
  <c r="B48" i="40" s="1"/>
  <c r="L6" i="18"/>
  <c r="M4" i="18"/>
  <c r="DW28" i="16"/>
  <c r="DX28" i="16"/>
  <c r="DY28" i="16" s="1"/>
  <c r="DZ28" i="16"/>
  <c r="Y14" i="14"/>
  <c r="Y23" i="14"/>
  <c r="DZ25" i="16"/>
  <c r="DW25" i="16"/>
  <c r="DX25" i="16"/>
  <c r="DY25" i="16" s="1"/>
  <c r="DZ23" i="16"/>
  <c r="DX23" i="16"/>
  <c r="DY23" i="16" s="1"/>
  <c r="DW23" i="16"/>
  <c r="DW37" i="16"/>
  <c r="DZ37" i="16"/>
  <c r="DX37" i="16"/>
  <c r="DY37" i="16" s="1"/>
  <c r="DX14" i="16"/>
  <c r="DY14" i="16" s="1"/>
  <c r="DZ14" i="16"/>
  <c r="DW14" i="16"/>
  <c r="DZ13" i="16"/>
  <c r="DX13" i="16"/>
  <c r="DY13" i="16" s="1"/>
  <c r="DW13" i="16"/>
  <c r="DX31" i="16"/>
  <c r="DY31" i="16" s="1"/>
  <c r="DW31" i="16"/>
  <c r="DZ31" i="16"/>
  <c r="Y33" i="14"/>
  <c r="N48" i="38"/>
  <c r="K32" i="18"/>
  <c r="K20" i="18"/>
  <c r="K19" i="18"/>
  <c r="K30" i="18"/>
  <c r="K31" i="18" s="1"/>
  <c r="K18" i="18"/>
  <c r="K17" i="18"/>
  <c r="K11" i="18"/>
  <c r="K16" i="18"/>
  <c r="K10" i="18"/>
  <c r="K39" i="18"/>
  <c r="K15" i="18"/>
  <c r="K38" i="18"/>
  <c r="K25" i="18"/>
  <c r="K14" i="18"/>
  <c r="K12" i="18"/>
  <c r="N12" i="18" s="1"/>
  <c r="K24" i="18"/>
  <c r="K13" i="18"/>
  <c r="K34" i="18"/>
  <c r="K23" i="18"/>
  <c r="K22" i="18"/>
  <c r="K21" i="18"/>
  <c r="DX43" i="16"/>
  <c r="DY43" i="16" s="1"/>
  <c r="DW43" i="16"/>
  <c r="DZ43" i="16"/>
  <c r="DW30" i="16"/>
  <c r="DX30" i="16"/>
  <c r="DY30" i="16" s="1"/>
  <c r="DZ30" i="16"/>
  <c r="AC170" i="16"/>
  <c r="AD170" i="16"/>
  <c r="Y11" i="14"/>
  <c r="H4" i="9"/>
  <c r="Z3" i="14"/>
  <c r="P4" i="6"/>
  <c r="I4" i="9"/>
  <c r="AN171" i="16" l="1"/>
  <c r="AB171" i="16"/>
  <c r="AC171" i="16"/>
  <c r="AD171" i="16"/>
  <c r="AI171" i="16"/>
  <c r="AG171" i="16"/>
  <c r="K26" i="18"/>
  <c r="K57" i="18" s="1"/>
  <c r="Z11" i="14"/>
  <c r="ED28" i="16"/>
  <c r="EB28" i="16"/>
  <c r="EC28" i="16" s="1"/>
  <c r="EA28" i="16"/>
  <c r="Z10" i="14"/>
  <c r="Z5" i="14"/>
  <c r="EB26" i="16"/>
  <c r="EC26" i="16" s="1"/>
  <c r="EA26" i="16"/>
  <c r="ED26" i="16"/>
  <c r="C47" i="40"/>
  <c r="D47" i="40" s="1"/>
  <c r="E47" i="40" s="1"/>
  <c r="F47" i="40" s="1"/>
  <c r="G47" i="40" s="1"/>
  <c r="H47" i="40" s="1"/>
  <c r="I47" i="40" s="1"/>
  <c r="J47" i="40" s="1"/>
  <c r="K47" i="40" s="1"/>
  <c r="L47" i="40" s="1"/>
  <c r="M47" i="40" s="1"/>
  <c r="B47" i="41" s="1"/>
  <c r="N47" i="40"/>
  <c r="AP172" i="16"/>
  <c r="AN172" i="16" s="1"/>
  <c r="Z32" i="14"/>
  <c r="EA12" i="16"/>
  <c r="ED12" i="16"/>
  <c r="EB12" i="16"/>
  <c r="EC12" i="16" s="1"/>
  <c r="EA37" i="16"/>
  <c r="ED37" i="16"/>
  <c r="EB37" i="16"/>
  <c r="EC37" i="16" s="1"/>
  <c r="N43" i="39"/>
  <c r="ED42" i="16"/>
  <c r="EB42" i="16"/>
  <c r="EC42" i="16" s="1"/>
  <c r="EA42" i="16"/>
  <c r="Z16" i="14"/>
  <c r="ED27" i="16"/>
  <c r="EB27" i="16"/>
  <c r="EC27" i="16" s="1"/>
  <c r="EA27" i="16"/>
  <c r="Z33" i="14"/>
  <c r="C43" i="40"/>
  <c r="D43" i="40" s="1"/>
  <c r="E43" i="40" s="1"/>
  <c r="F43" i="40" s="1"/>
  <c r="G43" i="40" s="1"/>
  <c r="H43" i="40" s="1"/>
  <c r="I43" i="40" s="1"/>
  <c r="J43" i="40" s="1"/>
  <c r="K43" i="40" s="1"/>
  <c r="L43" i="40" s="1"/>
  <c r="M43" i="40" s="1"/>
  <c r="B43" i="41" s="1"/>
  <c r="EA20" i="16"/>
  <c r="ED20" i="16"/>
  <c r="EB20" i="16"/>
  <c r="EC20" i="16" s="1"/>
  <c r="EB48" i="16"/>
  <c r="EC48" i="16" s="1"/>
  <c r="EA48" i="16"/>
  <c r="ED48" i="16"/>
  <c r="C44" i="40"/>
  <c r="D44" i="40" s="1"/>
  <c r="E44" i="40" s="1"/>
  <c r="F44" i="40" s="1"/>
  <c r="G44" i="40" s="1"/>
  <c r="H44" i="40" s="1"/>
  <c r="I44" i="40" s="1"/>
  <c r="J44" i="40" s="1"/>
  <c r="K44" i="40" s="1"/>
  <c r="L44" i="40" s="1"/>
  <c r="M44" i="40" s="1"/>
  <c r="B44" i="41" s="1"/>
  <c r="Z30" i="14"/>
  <c r="I32" i="2"/>
  <c r="U31" i="2"/>
  <c r="S31" i="2"/>
  <c r="N49" i="39"/>
  <c r="Z24" i="14"/>
  <c r="EB6" i="16"/>
  <c r="EC6" i="16" s="1"/>
  <c r="ED6" i="16"/>
  <c r="EA6" i="16"/>
  <c r="EA41" i="16"/>
  <c r="ED41" i="16"/>
  <c r="EB41" i="16"/>
  <c r="EC41" i="16" s="1"/>
  <c r="EA30" i="16"/>
  <c r="ED30" i="16"/>
  <c r="EB30" i="16"/>
  <c r="EC30" i="16" s="1"/>
  <c r="ED39" i="16"/>
  <c r="EB39" i="16"/>
  <c r="EC39" i="16" s="1"/>
  <c r="EA39" i="16"/>
  <c r="Z34" i="14"/>
  <c r="L19" i="18"/>
  <c r="L30" i="18"/>
  <c r="L31" i="18" s="1"/>
  <c r="L18" i="18"/>
  <c r="L17" i="18"/>
  <c r="L11" i="18"/>
  <c r="L16" i="18"/>
  <c r="L10" i="18"/>
  <c r="L39" i="18"/>
  <c r="L15" i="18"/>
  <c r="L38" i="18"/>
  <c r="L25" i="18"/>
  <c r="L14" i="18"/>
  <c r="L24" i="18"/>
  <c r="L13" i="18"/>
  <c r="L34" i="18"/>
  <c r="L23" i="18"/>
  <c r="L22" i="18"/>
  <c r="L20" i="18"/>
  <c r="L32" i="18"/>
  <c r="L21" i="18"/>
  <c r="EB44" i="16"/>
  <c r="EC44" i="16" s="1"/>
  <c r="ED44" i="16"/>
  <c r="EA44" i="16"/>
  <c r="ED21" i="16"/>
  <c r="EB21" i="16"/>
  <c r="EC21" i="16" s="1"/>
  <c r="EA21" i="16"/>
  <c r="Z36" i="14"/>
  <c r="Y69" i="14"/>
  <c r="Z18" i="14"/>
  <c r="Y67" i="14"/>
  <c r="Y72" i="14"/>
  <c r="Y65" i="14"/>
  <c r="Y70" i="14"/>
  <c r="Y63" i="14"/>
  <c r="Y68" i="14"/>
  <c r="Y66" i="14"/>
  <c r="Y71" i="14"/>
  <c r="Y64" i="14"/>
  <c r="C50" i="40"/>
  <c r="D50" i="40" s="1"/>
  <c r="E50" i="40" s="1"/>
  <c r="F50" i="40" s="1"/>
  <c r="G50" i="40" s="1"/>
  <c r="H50" i="40" s="1"/>
  <c r="I50" i="40" s="1"/>
  <c r="J50" i="40" s="1"/>
  <c r="K50" i="40" s="1"/>
  <c r="L50" i="40" s="1"/>
  <c r="M50" i="40" s="1"/>
  <c r="B50" i="41" s="1"/>
  <c r="N50" i="40"/>
  <c r="EA18" i="16"/>
  <c r="ED18" i="16"/>
  <c r="EB18" i="16"/>
  <c r="EC18" i="16" s="1"/>
  <c r="AM171" i="16"/>
  <c r="Z22" i="14"/>
  <c r="ED38" i="16"/>
  <c r="EB38" i="16"/>
  <c r="EC38" i="16" s="1"/>
  <c r="EA38" i="16"/>
  <c r="ED34" i="16"/>
  <c r="EB34" i="16"/>
  <c r="EC34" i="16" s="1"/>
  <c r="EA34" i="16"/>
  <c r="ED9" i="16"/>
  <c r="EB9" i="16"/>
  <c r="EC9" i="16" s="1"/>
  <c r="EA9" i="16"/>
  <c r="EB7" i="16"/>
  <c r="EC7" i="16" s="1"/>
  <c r="ED7" i="16"/>
  <c r="EA7" i="16"/>
  <c r="C45" i="40"/>
  <c r="D45" i="40" s="1"/>
  <c r="E45" i="40" s="1"/>
  <c r="F45" i="40" s="1"/>
  <c r="G45" i="40" s="1"/>
  <c r="H45" i="40" s="1"/>
  <c r="I45" i="40" s="1"/>
  <c r="J45" i="40" s="1"/>
  <c r="K45" i="40" s="1"/>
  <c r="L45" i="40" s="1"/>
  <c r="M45" i="40" s="1"/>
  <c r="B45" i="41" s="1"/>
  <c r="ED40" i="16"/>
  <c r="EB40" i="16"/>
  <c r="EC40" i="16" s="1"/>
  <c r="EA40" i="16"/>
  <c r="Y90" i="14"/>
  <c r="Y78" i="14"/>
  <c r="Y91" i="14"/>
  <c r="Y79" i="14"/>
  <c r="Y84" i="14"/>
  <c r="Y83" i="14"/>
  <c r="Y82" i="14"/>
  <c r="Y93" i="14"/>
  <c r="Y89" i="14"/>
  <c r="Y88" i="14"/>
  <c r="Y87" i="14"/>
  <c r="Y86" i="14"/>
  <c r="Y85" i="14"/>
  <c r="Y81" i="14"/>
  <c r="Y74" i="14"/>
  <c r="Z20" i="14"/>
  <c r="Y92" i="14"/>
  <c r="Y80" i="14"/>
  <c r="Y77" i="14"/>
  <c r="Y75" i="14"/>
  <c r="Y73" i="14"/>
  <c r="Y76" i="14"/>
  <c r="AK172" i="16"/>
  <c r="AH172" i="16" s="1"/>
  <c r="Z27" i="14"/>
  <c r="ED46" i="16"/>
  <c r="EA46" i="16"/>
  <c r="EB46" i="16"/>
  <c r="EC46" i="16" s="1"/>
  <c r="ED23" i="16"/>
  <c r="EB23" i="16"/>
  <c r="EC23" i="16" s="1"/>
  <c r="EA23" i="16"/>
  <c r="L8" i="18"/>
  <c r="Z28" i="14"/>
  <c r="L26" i="4"/>
  <c r="EB47" i="16"/>
  <c r="EC47" i="16" s="1"/>
  <c r="ED47" i="16"/>
  <c r="EA47" i="16"/>
  <c r="ED16" i="16"/>
  <c r="EB16" i="16"/>
  <c r="EC16" i="16" s="1"/>
  <c r="EA16" i="16"/>
  <c r="N51" i="39"/>
  <c r="ED31" i="16"/>
  <c r="EB31" i="16"/>
  <c r="EC31" i="16" s="1"/>
  <c r="EA31" i="16"/>
  <c r="Y57" i="14"/>
  <c r="Y62" i="14"/>
  <c r="Y55" i="14"/>
  <c r="Y60" i="14"/>
  <c r="Y53" i="14"/>
  <c r="Y58" i="14"/>
  <c r="Y51" i="14"/>
  <c r="Y56" i="14"/>
  <c r="Y61" i="14"/>
  <c r="Y54" i="14"/>
  <c r="Y59" i="14"/>
  <c r="Z15" i="14"/>
  <c r="Y52" i="14"/>
  <c r="AB4" i="14"/>
  <c r="AA50" i="14"/>
  <c r="L9" i="18"/>
  <c r="EA11" i="16"/>
  <c r="ED11" i="16"/>
  <c r="EB11" i="16"/>
  <c r="EC11" i="16" s="1"/>
  <c r="Z35" i="14"/>
  <c r="Z31" i="14"/>
  <c r="Z13" i="14"/>
  <c r="EB36" i="16"/>
  <c r="EC36" i="16" s="1"/>
  <c r="ED36" i="16"/>
  <c r="EA36" i="16"/>
  <c r="Z17" i="14"/>
  <c r="Z25" i="14"/>
  <c r="C51" i="40"/>
  <c r="D51" i="40" s="1"/>
  <c r="E51" i="40" s="1"/>
  <c r="F51" i="40" s="1"/>
  <c r="G51" i="40" s="1"/>
  <c r="H51" i="40" s="1"/>
  <c r="I51" i="40" s="1"/>
  <c r="J51" i="40" s="1"/>
  <c r="K51" i="40" s="1"/>
  <c r="L51" i="40" s="1"/>
  <c r="M51" i="40" s="1"/>
  <c r="B51" i="41" s="1"/>
  <c r="N51" i="40"/>
  <c r="EB32" i="16"/>
  <c r="EC32" i="16" s="1"/>
  <c r="EA32" i="16"/>
  <c r="ED32" i="16"/>
  <c r="EB45" i="16"/>
  <c r="EC45" i="16" s="1"/>
  <c r="EA45" i="16"/>
  <c r="ED45" i="16"/>
  <c r="Z14" i="14"/>
  <c r="B4" i="19"/>
  <c r="M6" i="18"/>
  <c r="C49" i="40"/>
  <c r="D49" i="40" s="1"/>
  <c r="E49" i="40" s="1"/>
  <c r="F49" i="40" s="1"/>
  <c r="G49" i="40" s="1"/>
  <c r="H49" i="40" s="1"/>
  <c r="I49" i="40" s="1"/>
  <c r="J49" i="40" s="1"/>
  <c r="K49" i="40" s="1"/>
  <c r="L49" i="40" s="1"/>
  <c r="M49" i="40" s="1"/>
  <c r="B49" i="41" s="1"/>
  <c r="M52" i="18"/>
  <c r="B42" i="19"/>
  <c r="N42" i="18"/>
  <c r="EA43" i="16"/>
  <c r="ED43" i="16"/>
  <c r="EB43" i="16"/>
  <c r="EC43" i="16" s="1"/>
  <c r="EA13" i="16"/>
  <c r="EB13" i="16"/>
  <c r="EC13" i="16" s="1"/>
  <c r="ED13" i="16"/>
  <c r="C48" i="40"/>
  <c r="D48" i="40" s="1"/>
  <c r="E48" i="40" s="1"/>
  <c r="F48" i="40" s="1"/>
  <c r="G48" i="40" s="1"/>
  <c r="H48" i="40" s="1"/>
  <c r="I48" i="40" s="1"/>
  <c r="J48" i="40" s="1"/>
  <c r="K48" i="40" s="1"/>
  <c r="L48" i="40" s="1"/>
  <c r="M48" i="40" s="1"/>
  <c r="B48" i="41" s="1"/>
  <c r="ED17" i="16"/>
  <c r="EB17" i="16"/>
  <c r="EC17" i="16" s="1"/>
  <c r="EA17" i="16"/>
  <c r="F32" i="2"/>
  <c r="Z26" i="14"/>
  <c r="Z19" i="14"/>
  <c r="ED24" i="16"/>
  <c r="EB24" i="16"/>
  <c r="EC24" i="16" s="1"/>
  <c r="EA24" i="16"/>
  <c r="EB25" i="16"/>
  <c r="EC25" i="16" s="1"/>
  <c r="ED25" i="16"/>
  <c r="EA25" i="16"/>
  <c r="ED33" i="16"/>
  <c r="EB33" i="16"/>
  <c r="EC33" i="16" s="1"/>
  <c r="EA33" i="16"/>
  <c r="EA19" i="16"/>
  <c r="ED19" i="16"/>
  <c r="EB19" i="16"/>
  <c r="EC19" i="16" s="1"/>
  <c r="Z9" i="14"/>
  <c r="ED29" i="16"/>
  <c r="EB29" i="16"/>
  <c r="EC29" i="16" s="1"/>
  <c r="EA29" i="16"/>
  <c r="ED8" i="16"/>
  <c r="EB8" i="16"/>
  <c r="EC8" i="16" s="1"/>
  <c r="EA8" i="16"/>
  <c r="EB15" i="16"/>
  <c r="EC15" i="16" s="1"/>
  <c r="ED15" i="16"/>
  <c r="EA15" i="16"/>
  <c r="AL171" i="16"/>
  <c r="N46" i="39"/>
  <c r="Z6" i="14"/>
  <c r="ED14" i="16"/>
  <c r="EB14" i="16"/>
  <c r="EC14" i="16" s="1"/>
  <c r="EA14" i="16"/>
  <c r="Z23" i="14"/>
  <c r="Z29" i="14"/>
  <c r="M25" i="4"/>
  <c r="ED10" i="16"/>
  <c r="EA10" i="16"/>
  <c r="EB10" i="16"/>
  <c r="EC10" i="16" s="1"/>
  <c r="Z21" i="14"/>
  <c r="EA35" i="16"/>
  <c r="ED35" i="16"/>
  <c r="EB35" i="16"/>
  <c r="EC35" i="16" s="1"/>
  <c r="C46" i="40"/>
  <c r="D46" i="40" s="1"/>
  <c r="E46" i="40" s="1"/>
  <c r="F46" i="40" s="1"/>
  <c r="G46" i="40" s="1"/>
  <c r="H46" i="40" s="1"/>
  <c r="I46" i="40" s="1"/>
  <c r="J46" i="40" s="1"/>
  <c r="K46" i="40" s="1"/>
  <c r="L46" i="40" s="1"/>
  <c r="M46" i="40" s="1"/>
  <c r="B46" i="41" s="1"/>
  <c r="N46" i="40"/>
  <c r="Y38" i="14"/>
  <c r="Y39" i="14" s="1"/>
  <c r="Y40" i="14" s="1"/>
  <c r="Y41" i="14" s="1"/>
  <c r="Y42" i="14" s="1"/>
  <c r="Y43" i="14" s="1"/>
  <c r="Y44" i="14" s="1"/>
  <c r="Y45" i="14" s="1"/>
  <c r="Y46" i="14" s="1"/>
  <c r="Y47" i="14" s="1"/>
  <c r="Z37" i="14"/>
  <c r="AC33" i="2"/>
  <c r="AD33" i="2" s="1"/>
  <c r="E33" i="2"/>
  <c r="D33" i="2"/>
  <c r="F33" i="2" s="1"/>
  <c r="C34" i="2"/>
  <c r="Z8" i="14"/>
  <c r="AF172" i="16"/>
  <c r="Z12" i="14"/>
  <c r="N47" i="39"/>
  <c r="EB22" i="16"/>
  <c r="EC22" i="16" s="1"/>
  <c r="ED22" i="16"/>
  <c r="EA22" i="16"/>
  <c r="ED5" i="16"/>
  <c r="EB5" i="16"/>
  <c r="EC5" i="16" s="1"/>
  <c r="EA5" i="16"/>
  <c r="Z7" i="14"/>
  <c r="AA3" i="14"/>
  <c r="Q4" i="6"/>
  <c r="AL172" i="16" l="1"/>
  <c r="AD172" i="16"/>
  <c r="N48" i="40"/>
  <c r="AM172" i="16"/>
  <c r="N43" i="40"/>
  <c r="L26" i="18"/>
  <c r="L57" i="18" s="1"/>
  <c r="EH28" i="16"/>
  <c r="EF28" i="16"/>
  <c r="EG28" i="16" s="1"/>
  <c r="EE28" i="16"/>
  <c r="Z38" i="14"/>
  <c r="Z39" i="14" s="1"/>
  <c r="Z40" i="14" s="1"/>
  <c r="Z41" i="14" s="1"/>
  <c r="Z42" i="14" s="1"/>
  <c r="Z43" i="14" s="1"/>
  <c r="Z44" i="14" s="1"/>
  <c r="Z45" i="14" s="1"/>
  <c r="Z46" i="14" s="1"/>
  <c r="Z47" i="14" s="1"/>
  <c r="AA37" i="14"/>
  <c r="AA7" i="14"/>
  <c r="EF10" i="16"/>
  <c r="EG10" i="16" s="1"/>
  <c r="EH10" i="16"/>
  <c r="EE10" i="16"/>
  <c r="EE15" i="16"/>
  <c r="EH15" i="16"/>
  <c r="EF15" i="16"/>
  <c r="EG15" i="16" s="1"/>
  <c r="B52" i="19"/>
  <c r="C42" i="19"/>
  <c r="D42" i="19" s="1"/>
  <c r="E42" i="19" s="1"/>
  <c r="F42" i="19" s="1"/>
  <c r="G42" i="19" s="1"/>
  <c r="H42" i="19" s="1"/>
  <c r="I42" i="19" s="1"/>
  <c r="J42" i="19" s="1"/>
  <c r="K42" i="19" s="1"/>
  <c r="L42" i="19" s="1"/>
  <c r="M42" i="19" s="1"/>
  <c r="B42" i="20" s="1"/>
  <c r="EE32" i="16"/>
  <c r="EH32" i="16"/>
  <c r="EF32" i="16"/>
  <c r="EG32" i="16" s="1"/>
  <c r="AA35" i="14"/>
  <c r="AC172" i="16"/>
  <c r="AA22" i="14"/>
  <c r="N44" i="40"/>
  <c r="EH12" i="16"/>
  <c r="EF12" i="16"/>
  <c r="EG12" i="16" s="1"/>
  <c r="EE12" i="16"/>
  <c r="EE5" i="16"/>
  <c r="EF5" i="16"/>
  <c r="EG5" i="16" s="1"/>
  <c r="EH5" i="16"/>
  <c r="AA29" i="14"/>
  <c r="EF33" i="16"/>
  <c r="EG33" i="16" s="1"/>
  <c r="EH33" i="16"/>
  <c r="EE33" i="16"/>
  <c r="EF17" i="16"/>
  <c r="EG17" i="16" s="1"/>
  <c r="EE17" i="16"/>
  <c r="EH17" i="16"/>
  <c r="N49" i="40"/>
  <c r="EF11" i="16"/>
  <c r="EG11" i="16" s="1"/>
  <c r="EH11" i="16"/>
  <c r="EE11" i="16"/>
  <c r="AI172" i="16"/>
  <c r="EH27" i="16"/>
  <c r="EF27" i="16"/>
  <c r="EG27" i="16" s="1"/>
  <c r="EE27" i="16"/>
  <c r="AP173" i="16"/>
  <c r="AN173" i="16" s="1"/>
  <c r="AA32" i="14"/>
  <c r="AA11" i="14"/>
  <c r="Z83" i="14"/>
  <c r="Z84" i="14"/>
  <c r="Z93" i="14"/>
  <c r="Z89" i="14"/>
  <c r="Z88" i="14"/>
  <c r="Z87" i="14"/>
  <c r="Z86" i="14"/>
  <c r="Z85" i="14"/>
  <c r="Z81" i="14"/>
  <c r="Z74" i="14"/>
  <c r="AA20" i="14"/>
  <c r="Z92" i="14"/>
  <c r="Z91" i="14"/>
  <c r="Z90" i="14"/>
  <c r="Z80" i="14"/>
  <c r="Z79" i="14"/>
  <c r="Z78" i="14"/>
  <c r="Z77" i="14"/>
  <c r="Z75" i="14"/>
  <c r="Z73" i="14"/>
  <c r="Z76" i="14"/>
  <c r="Z82" i="14"/>
  <c r="EF18" i="16"/>
  <c r="EG18" i="16" s="1"/>
  <c r="EH18" i="16"/>
  <c r="EE18" i="16"/>
  <c r="EF48" i="16"/>
  <c r="EG48" i="16" s="1"/>
  <c r="EE48" i="16"/>
  <c r="EH48" i="16"/>
  <c r="AA16" i="14"/>
  <c r="M26" i="4"/>
  <c r="EE23" i="16"/>
  <c r="EH23" i="16"/>
  <c r="EF23" i="16"/>
  <c r="EG23" i="16" s="1"/>
  <c r="EE41" i="16"/>
  <c r="EF41" i="16"/>
  <c r="EG41" i="16" s="1"/>
  <c r="EH41" i="16"/>
  <c r="EF8" i="16"/>
  <c r="EG8" i="16" s="1"/>
  <c r="EE8" i="16"/>
  <c r="EH8" i="16"/>
  <c r="EH25" i="16"/>
  <c r="EF25" i="16"/>
  <c r="EG25" i="16" s="1"/>
  <c r="EE25" i="16"/>
  <c r="M30" i="18"/>
  <c r="N30" i="18" s="1"/>
  <c r="M18" i="18"/>
  <c r="N18" i="18" s="1"/>
  <c r="M17" i="18"/>
  <c r="N17" i="18" s="1"/>
  <c r="M11" i="18"/>
  <c r="N11" i="18" s="1"/>
  <c r="M16" i="18"/>
  <c r="N16" i="18" s="1"/>
  <c r="M10" i="18"/>
  <c r="N10" i="18" s="1"/>
  <c r="M39" i="18"/>
  <c r="N39" i="18" s="1"/>
  <c r="M15" i="18"/>
  <c r="N15" i="18" s="1"/>
  <c r="M38" i="18"/>
  <c r="N38" i="18" s="1"/>
  <c r="M25" i="18"/>
  <c r="N25" i="18" s="1"/>
  <c r="M14" i="18"/>
  <c r="N14" i="18" s="1"/>
  <c r="M24" i="18"/>
  <c r="N24" i="18" s="1"/>
  <c r="M13" i="18"/>
  <c r="N13" i="18" s="1"/>
  <c r="M34" i="18"/>
  <c r="N34" i="18" s="1"/>
  <c r="M23" i="18"/>
  <c r="N23" i="18" s="1"/>
  <c r="M22" i="18"/>
  <c r="N22" i="18" s="1"/>
  <c r="M32" i="18"/>
  <c r="N32" i="18" s="1"/>
  <c r="M20" i="18"/>
  <c r="N20" i="18" s="1"/>
  <c r="M19" i="18"/>
  <c r="N19" i="18" s="1"/>
  <c r="N6" i="18"/>
  <c r="M21" i="18"/>
  <c r="N21" i="18" s="1"/>
  <c r="C51" i="41"/>
  <c r="D51" i="41" s="1"/>
  <c r="E51" i="41" s="1"/>
  <c r="F51" i="41" s="1"/>
  <c r="G51" i="41" s="1"/>
  <c r="H51" i="41" s="1"/>
  <c r="I51" i="41" s="1"/>
  <c r="J51" i="41" s="1"/>
  <c r="K51" i="41" s="1"/>
  <c r="L51" i="41" s="1"/>
  <c r="M51" i="41" s="1"/>
  <c r="B51" i="42" s="1"/>
  <c r="EH16" i="16"/>
  <c r="EF16" i="16"/>
  <c r="EG16" i="16" s="1"/>
  <c r="EE16" i="16"/>
  <c r="EF46" i="16"/>
  <c r="EG46" i="16" s="1"/>
  <c r="EE46" i="16"/>
  <c r="EH46" i="16"/>
  <c r="AA18" i="14"/>
  <c r="Z67" i="14"/>
  <c r="Z72" i="14"/>
  <c r="Z65" i="14"/>
  <c r="Z70" i="14"/>
  <c r="Z63" i="14"/>
  <c r="Z68" i="14"/>
  <c r="Z66" i="14"/>
  <c r="Z71" i="14"/>
  <c r="Z64" i="14"/>
  <c r="Z69" i="14"/>
  <c r="AA34" i="14"/>
  <c r="EF6" i="16"/>
  <c r="EG6" i="16" s="1"/>
  <c r="EE6" i="16"/>
  <c r="EH6" i="16"/>
  <c r="C49" i="41"/>
  <c r="D49" i="41" s="1"/>
  <c r="E49" i="41" s="1"/>
  <c r="F49" i="41" s="1"/>
  <c r="G49" i="41" s="1"/>
  <c r="H49" i="41" s="1"/>
  <c r="I49" i="41" s="1"/>
  <c r="J49" i="41" s="1"/>
  <c r="K49" i="41" s="1"/>
  <c r="L49" i="41" s="1"/>
  <c r="M49" i="41" s="1"/>
  <c r="B49" i="42" s="1"/>
  <c r="EE22" i="16"/>
  <c r="EH22" i="16"/>
  <c r="EF22" i="16"/>
  <c r="EG22" i="16" s="1"/>
  <c r="C48" i="41"/>
  <c r="D48" i="41" s="1"/>
  <c r="E48" i="41" s="1"/>
  <c r="F48" i="41" s="1"/>
  <c r="G48" i="41" s="1"/>
  <c r="H48" i="41" s="1"/>
  <c r="I48" i="41" s="1"/>
  <c r="J48" i="41" s="1"/>
  <c r="K48" i="41" s="1"/>
  <c r="L48" i="41" s="1"/>
  <c r="M48" i="41" s="1"/>
  <c r="B48" i="42" s="1"/>
  <c r="B6" i="19"/>
  <c r="B7" i="19" s="1"/>
  <c r="C4" i="19"/>
  <c r="AA25" i="14"/>
  <c r="EH9" i="16"/>
  <c r="EF9" i="16"/>
  <c r="EG9" i="16" s="1"/>
  <c r="EE9" i="16"/>
  <c r="AG172" i="16"/>
  <c r="C47" i="41"/>
  <c r="D47" i="41" s="1"/>
  <c r="E47" i="41" s="1"/>
  <c r="F47" i="41" s="1"/>
  <c r="G47" i="41" s="1"/>
  <c r="H47" i="41" s="1"/>
  <c r="I47" i="41" s="1"/>
  <c r="J47" i="41" s="1"/>
  <c r="K47" i="41" s="1"/>
  <c r="L47" i="41" s="1"/>
  <c r="M47" i="41" s="1"/>
  <c r="B47" i="42" s="1"/>
  <c r="EF7" i="16"/>
  <c r="EG7" i="16" s="1"/>
  <c r="EH7" i="16"/>
  <c r="EE7" i="16"/>
  <c r="C46" i="41"/>
  <c r="D46" i="41" s="1"/>
  <c r="E46" i="41" s="1"/>
  <c r="F46" i="41" s="1"/>
  <c r="G46" i="41" s="1"/>
  <c r="H46" i="41" s="1"/>
  <c r="I46" i="41" s="1"/>
  <c r="J46" i="41" s="1"/>
  <c r="K46" i="41" s="1"/>
  <c r="L46" i="41" s="1"/>
  <c r="M46" i="41" s="1"/>
  <c r="B46" i="42" s="1"/>
  <c r="N46" i="41"/>
  <c r="EH13" i="16"/>
  <c r="EF13" i="16"/>
  <c r="EG13" i="16" s="1"/>
  <c r="EE13" i="16"/>
  <c r="EH14" i="16"/>
  <c r="EF14" i="16"/>
  <c r="EG14" i="16" s="1"/>
  <c r="EE14" i="16"/>
  <c r="M8" i="18"/>
  <c r="N8" i="18" s="1"/>
  <c r="AA17" i="14"/>
  <c r="AB50" i="14"/>
  <c r="AC4" i="14"/>
  <c r="EE47" i="16"/>
  <c r="EH47" i="16"/>
  <c r="EF47" i="16"/>
  <c r="EG47" i="16" s="1"/>
  <c r="C50" i="41"/>
  <c r="D50" i="41" s="1"/>
  <c r="E50" i="41" s="1"/>
  <c r="F50" i="41" s="1"/>
  <c r="G50" i="41" s="1"/>
  <c r="H50" i="41" s="1"/>
  <c r="I50" i="41" s="1"/>
  <c r="J50" i="41" s="1"/>
  <c r="K50" i="41" s="1"/>
  <c r="L50" i="41" s="1"/>
  <c r="M50" i="41" s="1"/>
  <c r="B50" i="42" s="1"/>
  <c r="AA36" i="14"/>
  <c r="AA24" i="14"/>
  <c r="EH42" i="16"/>
  <c r="EF42" i="16"/>
  <c r="EG42" i="16" s="1"/>
  <c r="EE42" i="16"/>
  <c r="EF26" i="16"/>
  <c r="EG26" i="16" s="1"/>
  <c r="EH26" i="16"/>
  <c r="EE26" i="16"/>
  <c r="EE35" i="16"/>
  <c r="EH35" i="16"/>
  <c r="EF35" i="16"/>
  <c r="EG35" i="16" s="1"/>
  <c r="AA6" i="14"/>
  <c r="EF29" i="16"/>
  <c r="EG29" i="16" s="1"/>
  <c r="EE29" i="16"/>
  <c r="EH29" i="16"/>
  <c r="M9" i="18"/>
  <c r="N9" i="18" s="1"/>
  <c r="AK173" i="16"/>
  <c r="AH173" i="16" s="1"/>
  <c r="AA27" i="14"/>
  <c r="EH20" i="16"/>
  <c r="EE20" i="16"/>
  <c r="EF20" i="16"/>
  <c r="EG20" i="16" s="1"/>
  <c r="AA9" i="14"/>
  <c r="EF36" i="16"/>
  <c r="EG36" i="16" s="1"/>
  <c r="EH36" i="16"/>
  <c r="EE36" i="16"/>
  <c r="EH34" i="16"/>
  <c r="EF34" i="16"/>
  <c r="EG34" i="16" s="1"/>
  <c r="EE34" i="16"/>
  <c r="EH39" i="16"/>
  <c r="EE39" i="16"/>
  <c r="EF39" i="16"/>
  <c r="EG39" i="16" s="1"/>
  <c r="AB172" i="16"/>
  <c r="EE24" i="16"/>
  <c r="EH24" i="16"/>
  <c r="EF24" i="16"/>
  <c r="EG24" i="16" s="1"/>
  <c r="AA14" i="14"/>
  <c r="AA8" i="14"/>
  <c r="AA21" i="14"/>
  <c r="EE45" i="16"/>
  <c r="EH45" i="16"/>
  <c r="EF45" i="16"/>
  <c r="EG45" i="16" s="1"/>
  <c r="Z62" i="14"/>
  <c r="Z55" i="14"/>
  <c r="Z60" i="14"/>
  <c r="Z53" i="14"/>
  <c r="Z58" i="14"/>
  <c r="Z56" i="14"/>
  <c r="AA15" i="14"/>
  <c r="Z61" i="14"/>
  <c r="Z54" i="14"/>
  <c r="Z59" i="14"/>
  <c r="Z52" i="14"/>
  <c r="Z57" i="14"/>
  <c r="Z51" i="14"/>
  <c r="AA28" i="14"/>
  <c r="EF40" i="16"/>
  <c r="EG40" i="16" s="1"/>
  <c r="EH40" i="16"/>
  <c r="EE40" i="16"/>
  <c r="EH21" i="16"/>
  <c r="EF21" i="16"/>
  <c r="EG21" i="16" s="1"/>
  <c r="EE21" i="16"/>
  <c r="EH37" i="16"/>
  <c r="EE37" i="16"/>
  <c r="EF37" i="16"/>
  <c r="EG37" i="16" s="1"/>
  <c r="AA5" i="14"/>
  <c r="C44" i="41"/>
  <c r="D44" i="41" s="1"/>
  <c r="E44" i="41" s="1"/>
  <c r="F44" i="41" s="1"/>
  <c r="G44" i="41" s="1"/>
  <c r="H44" i="41" s="1"/>
  <c r="I44" i="41" s="1"/>
  <c r="J44" i="41" s="1"/>
  <c r="K44" i="41" s="1"/>
  <c r="L44" i="41" s="1"/>
  <c r="M44" i="41" s="1"/>
  <c r="B44" i="42" s="1"/>
  <c r="N44" i="41"/>
  <c r="AA23" i="14"/>
  <c r="L27" i="4"/>
  <c r="AA19" i="14"/>
  <c r="EF43" i="16"/>
  <c r="EG43" i="16" s="1"/>
  <c r="EH43" i="16"/>
  <c r="EE43" i="16"/>
  <c r="C35" i="2"/>
  <c r="E34" i="2"/>
  <c r="AC34" i="2"/>
  <c r="AD34" i="2" s="1"/>
  <c r="D34" i="2"/>
  <c r="EH19" i="16"/>
  <c r="EF19" i="16"/>
  <c r="EG19" i="16" s="1"/>
  <c r="EE19" i="16"/>
  <c r="AA26" i="14"/>
  <c r="AA13" i="14"/>
  <c r="N45" i="40"/>
  <c r="EF30" i="16"/>
  <c r="EG30" i="16" s="1"/>
  <c r="EH30" i="16"/>
  <c r="EE30" i="16"/>
  <c r="C43" i="41"/>
  <c r="D43" i="41" s="1"/>
  <c r="E43" i="41" s="1"/>
  <c r="F43" i="41" s="1"/>
  <c r="G43" i="41" s="1"/>
  <c r="H43" i="41" s="1"/>
  <c r="I43" i="41" s="1"/>
  <c r="J43" i="41" s="1"/>
  <c r="K43" i="41" s="1"/>
  <c r="L43" i="41" s="1"/>
  <c r="M43" i="41" s="1"/>
  <c r="B43" i="42" s="1"/>
  <c r="AA10" i="14"/>
  <c r="N52" i="18"/>
  <c r="AF173" i="16"/>
  <c r="AA12" i="14"/>
  <c r="AB33" i="2"/>
  <c r="H33" i="2"/>
  <c r="H32" i="2"/>
  <c r="AB32" i="2"/>
  <c r="AA31" i="14"/>
  <c r="EH31" i="16"/>
  <c r="EE31" i="16"/>
  <c r="EF31" i="16"/>
  <c r="EG31" i="16" s="1"/>
  <c r="C45" i="41"/>
  <c r="D45" i="41" s="1"/>
  <c r="E45" i="41" s="1"/>
  <c r="F45" i="41" s="1"/>
  <c r="G45" i="41" s="1"/>
  <c r="H45" i="41" s="1"/>
  <c r="I45" i="41" s="1"/>
  <c r="J45" i="41" s="1"/>
  <c r="K45" i="41" s="1"/>
  <c r="L45" i="41" s="1"/>
  <c r="M45" i="41" s="1"/>
  <c r="B45" i="42" s="1"/>
  <c r="EH38" i="16"/>
  <c r="EF38" i="16"/>
  <c r="EG38" i="16" s="1"/>
  <c r="EE38" i="16"/>
  <c r="EH44" i="16"/>
  <c r="EF44" i="16"/>
  <c r="EG44" i="16" s="1"/>
  <c r="EE44" i="16"/>
  <c r="AA30" i="14"/>
  <c r="AA33" i="14"/>
  <c r="F5" i="6"/>
  <c r="N4" i="9"/>
  <c r="J4" i="9"/>
  <c r="L4" i="8"/>
  <c r="M4" i="9"/>
  <c r="AB3" i="14"/>
  <c r="K4" i="9"/>
  <c r="I4" i="8"/>
  <c r="O4" i="8"/>
  <c r="F4" i="8"/>
  <c r="G4" i="9"/>
  <c r="F4" i="9"/>
  <c r="L4" i="9"/>
  <c r="AD173" i="16" l="1"/>
  <c r="N50" i="41"/>
  <c r="N49" i="41"/>
  <c r="N48" i="41"/>
  <c r="Q4" i="8"/>
  <c r="K4" i="8"/>
  <c r="N4" i="8"/>
  <c r="B8" i="19"/>
  <c r="AL173" i="16"/>
  <c r="AM173" i="16"/>
  <c r="B9" i="19"/>
  <c r="M31" i="18"/>
  <c r="N31" i="18" s="1"/>
  <c r="AI173" i="16"/>
  <c r="AG173" i="16"/>
  <c r="M4" i="8"/>
  <c r="J4" i="8"/>
  <c r="O4" i="9"/>
  <c r="R4" i="8"/>
  <c r="S4" i="8" s="1"/>
  <c r="H4" i="8"/>
  <c r="G4" i="8"/>
  <c r="P4" i="8"/>
  <c r="AB33" i="14"/>
  <c r="EL31" i="16"/>
  <c r="EJ31" i="16"/>
  <c r="EK31" i="16" s="1"/>
  <c r="EI31" i="16"/>
  <c r="C43" i="42"/>
  <c r="D43" i="42" s="1"/>
  <c r="E43" i="42" s="1"/>
  <c r="F43" i="42" s="1"/>
  <c r="G43" i="42" s="1"/>
  <c r="H43" i="42" s="1"/>
  <c r="I43" i="42" s="1"/>
  <c r="J43" i="42" s="1"/>
  <c r="K43" i="42" s="1"/>
  <c r="L43" i="42" s="1"/>
  <c r="M43" i="42" s="1"/>
  <c r="B43" i="43" s="1"/>
  <c r="EI45" i="16"/>
  <c r="EJ45" i="16"/>
  <c r="EK45" i="16" s="1"/>
  <c r="EL45" i="16"/>
  <c r="AB17" i="14"/>
  <c r="AA67" i="14"/>
  <c r="AA72" i="14"/>
  <c r="AA65" i="14"/>
  <c r="AA70" i="14"/>
  <c r="AA63" i="14"/>
  <c r="AA68" i="14"/>
  <c r="AA66" i="14"/>
  <c r="AA71" i="14"/>
  <c r="AA64" i="14"/>
  <c r="AA69" i="14"/>
  <c r="AB18" i="14"/>
  <c r="EI27" i="16"/>
  <c r="EJ27" i="16"/>
  <c r="EK27" i="16" s="1"/>
  <c r="EL27" i="16"/>
  <c r="AB29" i="14"/>
  <c r="EL32" i="16"/>
  <c r="EJ32" i="16"/>
  <c r="EK32" i="16" s="1"/>
  <c r="EI32" i="16"/>
  <c r="AA38" i="14"/>
  <c r="AA39" i="14" s="1"/>
  <c r="AA40" i="14" s="1"/>
  <c r="AA41" i="14" s="1"/>
  <c r="AA42" i="14" s="1"/>
  <c r="AA43" i="14" s="1"/>
  <c r="AA44" i="14" s="1"/>
  <c r="AA45" i="14" s="1"/>
  <c r="AA46" i="14" s="1"/>
  <c r="AA47" i="14" s="1"/>
  <c r="AB37" i="14"/>
  <c r="C47" i="42"/>
  <c r="D47" i="42" s="1"/>
  <c r="E47" i="42" s="1"/>
  <c r="F47" i="42" s="1"/>
  <c r="G47" i="42" s="1"/>
  <c r="H47" i="42" s="1"/>
  <c r="I47" i="42" s="1"/>
  <c r="J47" i="42" s="1"/>
  <c r="K47" i="42" s="1"/>
  <c r="L47" i="42" s="1"/>
  <c r="M47" i="42" s="1"/>
  <c r="B47" i="43" s="1"/>
  <c r="M27" i="4"/>
  <c r="EI30" i="16"/>
  <c r="EL30" i="16"/>
  <c r="EJ30" i="16"/>
  <c r="EK30" i="16" s="1"/>
  <c r="EI37" i="16"/>
  <c r="EL37" i="16"/>
  <c r="EJ37" i="16"/>
  <c r="EK37" i="16" s="1"/>
  <c r="AB21" i="14"/>
  <c r="EL34" i="16"/>
  <c r="EJ34" i="16"/>
  <c r="EK34" i="16" s="1"/>
  <c r="EI34" i="16"/>
  <c r="AB24" i="14"/>
  <c r="N47" i="41"/>
  <c r="AB16" i="14"/>
  <c r="N42" i="19"/>
  <c r="EL46" i="16"/>
  <c r="EJ46" i="16"/>
  <c r="EK46" i="16" s="1"/>
  <c r="EI46" i="16"/>
  <c r="AB8" i="14"/>
  <c r="AB36" i="14"/>
  <c r="C48" i="42"/>
  <c r="D48" i="42" s="1"/>
  <c r="E48" i="42" s="1"/>
  <c r="F48" i="42" s="1"/>
  <c r="G48" i="42" s="1"/>
  <c r="H48" i="42" s="1"/>
  <c r="I48" i="42" s="1"/>
  <c r="J48" i="42" s="1"/>
  <c r="K48" i="42" s="1"/>
  <c r="L48" i="42" s="1"/>
  <c r="M48" i="42" s="1"/>
  <c r="B48" i="43" s="1"/>
  <c r="EL25" i="16"/>
  <c r="EJ25" i="16"/>
  <c r="EK25" i="16" s="1"/>
  <c r="EI25" i="16"/>
  <c r="EL48" i="16"/>
  <c r="EJ48" i="16"/>
  <c r="EK48" i="16" s="1"/>
  <c r="EI48" i="16"/>
  <c r="EJ11" i="16"/>
  <c r="EK11" i="16" s="1"/>
  <c r="EL11" i="16"/>
  <c r="EI11" i="16"/>
  <c r="C42" i="20"/>
  <c r="D42" i="20" s="1"/>
  <c r="E42" i="20" s="1"/>
  <c r="F42" i="20" s="1"/>
  <c r="G42" i="20" s="1"/>
  <c r="H42" i="20" s="1"/>
  <c r="I42" i="20" s="1"/>
  <c r="J42" i="20" s="1"/>
  <c r="K42" i="20" s="1"/>
  <c r="L42" i="20" s="1"/>
  <c r="M42" i="20" s="1"/>
  <c r="B42" i="21" s="1"/>
  <c r="N42" i="20"/>
  <c r="B52" i="20"/>
  <c r="AB34" i="14"/>
  <c r="EL5" i="16"/>
  <c r="EI5" i="16"/>
  <c r="EJ5" i="16"/>
  <c r="EK5" i="16" s="1"/>
  <c r="E35" i="2"/>
  <c r="AC35" i="2"/>
  <c r="AD35" i="2" s="1"/>
  <c r="D35" i="2"/>
  <c r="C36" i="2"/>
  <c r="AB14" i="14"/>
  <c r="EL36" i="16"/>
  <c r="EJ36" i="16"/>
  <c r="EK36" i="16" s="1"/>
  <c r="EI36" i="16"/>
  <c r="AB6" i="14"/>
  <c r="EJ14" i="16"/>
  <c r="EK14" i="16" s="1"/>
  <c r="EL14" i="16"/>
  <c r="EI14" i="16"/>
  <c r="EI8" i="16"/>
  <c r="EL8" i="16"/>
  <c r="EJ8" i="16"/>
  <c r="EK8" i="16" s="1"/>
  <c r="C52" i="19"/>
  <c r="EI28" i="16"/>
  <c r="EL28" i="16"/>
  <c r="EJ28" i="16"/>
  <c r="EK28" i="16" s="1"/>
  <c r="EJ44" i="16"/>
  <c r="EK44" i="16" s="1"/>
  <c r="EL44" i="16"/>
  <c r="EI44" i="16"/>
  <c r="AA55" i="14"/>
  <c r="AA60" i="14"/>
  <c r="AA53" i="14"/>
  <c r="AA58" i="14"/>
  <c r="AA51" i="14"/>
  <c r="AA56" i="14"/>
  <c r="AA61" i="14"/>
  <c r="AA54" i="14"/>
  <c r="AA59" i="14"/>
  <c r="AA52" i="14"/>
  <c r="AA57" i="14"/>
  <c r="AA62" i="14"/>
  <c r="AB15" i="14"/>
  <c r="AB13" i="14"/>
  <c r="EJ21" i="16"/>
  <c r="EK21" i="16" s="1"/>
  <c r="EI21" i="16"/>
  <c r="EL21" i="16"/>
  <c r="C50" i="42"/>
  <c r="D50" i="42" s="1"/>
  <c r="E50" i="42" s="1"/>
  <c r="F50" i="42" s="1"/>
  <c r="G50" i="42" s="1"/>
  <c r="H50" i="42" s="1"/>
  <c r="I50" i="42" s="1"/>
  <c r="J50" i="42" s="1"/>
  <c r="K50" i="42" s="1"/>
  <c r="L50" i="42" s="1"/>
  <c r="M50" i="42" s="1"/>
  <c r="B50" i="43" s="1"/>
  <c r="EJ22" i="16"/>
  <c r="EK22" i="16" s="1"/>
  <c r="EL22" i="16"/>
  <c r="EI22" i="16"/>
  <c r="AB31" i="14"/>
  <c r="EL29" i="16"/>
  <c r="EJ29" i="16"/>
  <c r="EK29" i="16" s="1"/>
  <c r="EI29" i="16"/>
  <c r="EL42" i="16"/>
  <c r="EI42" i="16"/>
  <c r="EJ42" i="16"/>
  <c r="EK42" i="16" s="1"/>
  <c r="I33" i="2"/>
  <c r="U32" i="2"/>
  <c r="S32" i="2"/>
  <c r="U33" i="2"/>
  <c r="S33" i="2"/>
  <c r="EL43" i="16"/>
  <c r="EI43" i="16"/>
  <c r="EJ43" i="16"/>
  <c r="EK43" i="16" s="1"/>
  <c r="AF174" i="16"/>
  <c r="AB12" i="14"/>
  <c r="AB26" i="14"/>
  <c r="AB19" i="14"/>
  <c r="EL24" i="16"/>
  <c r="EJ24" i="16"/>
  <c r="EK24" i="16" s="1"/>
  <c r="EI24" i="16"/>
  <c r="AB9" i="14"/>
  <c r="EL35" i="16"/>
  <c r="EJ35" i="16"/>
  <c r="EK35" i="16" s="1"/>
  <c r="EI35" i="16"/>
  <c r="EI9" i="16"/>
  <c r="EL9" i="16"/>
  <c r="EJ9" i="16"/>
  <c r="EK9" i="16" s="1"/>
  <c r="EI16" i="16"/>
  <c r="EL16" i="16"/>
  <c r="EJ16" i="16"/>
  <c r="EK16" i="16" s="1"/>
  <c r="EL17" i="16"/>
  <c r="EJ17" i="16"/>
  <c r="EK17" i="16" s="1"/>
  <c r="EI17" i="16"/>
  <c r="EL12" i="16"/>
  <c r="EJ12" i="16"/>
  <c r="EK12" i="16" s="1"/>
  <c r="EI12" i="16"/>
  <c r="EJ15" i="16"/>
  <c r="EK15" i="16" s="1"/>
  <c r="EI15" i="16"/>
  <c r="EL15" i="16"/>
  <c r="EJ38" i="16"/>
  <c r="EK38" i="16" s="1"/>
  <c r="EL38" i="16"/>
  <c r="EI38" i="16"/>
  <c r="L28" i="4"/>
  <c r="EJ40" i="16"/>
  <c r="EK40" i="16" s="1"/>
  <c r="EL40" i="16"/>
  <c r="EI40" i="16"/>
  <c r="EL47" i="16"/>
  <c r="EJ47" i="16"/>
  <c r="EK47" i="16" s="1"/>
  <c r="EI47" i="16"/>
  <c r="EL13" i="16"/>
  <c r="EJ13" i="16"/>
  <c r="EK13" i="16" s="1"/>
  <c r="EI13" i="16"/>
  <c r="AB25" i="14"/>
  <c r="N51" i="41"/>
  <c r="EJ41" i="16"/>
  <c r="EK41" i="16" s="1"/>
  <c r="EI41" i="16"/>
  <c r="EL41" i="16"/>
  <c r="EJ18" i="16"/>
  <c r="EK18" i="16" s="1"/>
  <c r="EL18" i="16"/>
  <c r="EI18" i="16"/>
  <c r="AB11" i="14"/>
  <c r="AB23" i="14"/>
  <c r="AB173" i="16"/>
  <c r="C49" i="42"/>
  <c r="D49" i="42" s="1"/>
  <c r="E49" i="42" s="1"/>
  <c r="F49" i="42" s="1"/>
  <c r="G49" i="42" s="1"/>
  <c r="H49" i="42" s="1"/>
  <c r="I49" i="42" s="1"/>
  <c r="J49" i="42" s="1"/>
  <c r="K49" i="42" s="1"/>
  <c r="L49" i="42" s="1"/>
  <c r="M49" i="42" s="1"/>
  <c r="B49" i="43" s="1"/>
  <c r="N49" i="42"/>
  <c r="N51" i="42"/>
  <c r="C51" i="42"/>
  <c r="D51" i="42" s="1"/>
  <c r="E51" i="42" s="1"/>
  <c r="F51" i="42" s="1"/>
  <c r="G51" i="42" s="1"/>
  <c r="H51" i="42" s="1"/>
  <c r="I51" i="42" s="1"/>
  <c r="J51" i="42" s="1"/>
  <c r="K51" i="42" s="1"/>
  <c r="L51" i="42" s="1"/>
  <c r="M51" i="42" s="1"/>
  <c r="B51" i="43" s="1"/>
  <c r="AA88" i="14"/>
  <c r="AA89" i="14"/>
  <c r="AA92" i="14"/>
  <c r="AA91" i="14"/>
  <c r="AA90" i="14"/>
  <c r="AA80" i="14"/>
  <c r="AA79" i="14"/>
  <c r="AA78" i="14"/>
  <c r="AA77" i="14"/>
  <c r="AA75" i="14"/>
  <c r="AA73" i="14"/>
  <c r="AA76" i="14"/>
  <c r="AA82" i="14"/>
  <c r="AA93" i="14"/>
  <c r="AA87" i="14"/>
  <c r="AA84" i="14"/>
  <c r="AA81" i="14"/>
  <c r="AB20" i="14"/>
  <c r="AA86" i="14"/>
  <c r="AA83" i="14"/>
  <c r="AA74" i="14"/>
  <c r="AA85" i="14"/>
  <c r="AP174" i="16"/>
  <c r="AN174" i="16" s="1"/>
  <c r="AB32" i="14"/>
  <c r="AB22" i="14"/>
  <c r="N45" i="41"/>
  <c r="EL19" i="16"/>
  <c r="EJ19" i="16"/>
  <c r="EK19" i="16" s="1"/>
  <c r="EI19" i="16"/>
  <c r="EL20" i="16"/>
  <c r="EJ20" i="16"/>
  <c r="EK20" i="16" s="1"/>
  <c r="EI20" i="16"/>
  <c r="EI26" i="16"/>
  <c r="EL26" i="16"/>
  <c r="EJ26" i="16"/>
  <c r="EK26" i="16" s="1"/>
  <c r="C46" i="42"/>
  <c r="D46" i="42" s="1"/>
  <c r="E46" i="42" s="1"/>
  <c r="F46" i="42" s="1"/>
  <c r="G46" i="42" s="1"/>
  <c r="H46" i="42" s="1"/>
  <c r="I46" i="42" s="1"/>
  <c r="J46" i="42" s="1"/>
  <c r="K46" i="42" s="1"/>
  <c r="L46" i="42" s="1"/>
  <c r="M46" i="42" s="1"/>
  <c r="B46" i="43" s="1"/>
  <c r="C6" i="19"/>
  <c r="D4" i="19"/>
  <c r="AC173" i="16"/>
  <c r="EJ10" i="16"/>
  <c r="EK10" i="16" s="1"/>
  <c r="EI10" i="16"/>
  <c r="EL10" i="16"/>
  <c r="AB30" i="14"/>
  <c r="AB28" i="14"/>
  <c r="AB10" i="14"/>
  <c r="B38" i="19"/>
  <c r="B16" i="19"/>
  <c r="B10" i="19"/>
  <c r="B15" i="19"/>
  <c r="B25" i="19"/>
  <c r="B14" i="19"/>
  <c r="B34" i="19"/>
  <c r="B33" i="19"/>
  <c r="B24" i="19"/>
  <c r="B13" i="19"/>
  <c r="B23" i="19"/>
  <c r="B32" i="19"/>
  <c r="B21" i="19"/>
  <c r="B20" i="19"/>
  <c r="B19" i="19"/>
  <c r="B30" i="19"/>
  <c r="B31" i="19" s="1"/>
  <c r="B18" i="19"/>
  <c r="B12" i="19"/>
  <c r="B39" i="19"/>
  <c r="B17" i="19"/>
  <c r="B11" i="19"/>
  <c r="EL6" i="16"/>
  <c r="EJ6" i="16"/>
  <c r="EK6" i="16" s="1"/>
  <c r="EI6" i="16"/>
  <c r="EJ33" i="16"/>
  <c r="EK33" i="16" s="1"/>
  <c r="EL33" i="16"/>
  <c r="EI33" i="16"/>
  <c r="AB35" i="14"/>
  <c r="C45" i="42"/>
  <c r="D45" i="42" s="1"/>
  <c r="E45" i="42" s="1"/>
  <c r="F45" i="42" s="1"/>
  <c r="G45" i="42" s="1"/>
  <c r="H45" i="42" s="1"/>
  <c r="I45" i="42" s="1"/>
  <c r="J45" i="42" s="1"/>
  <c r="K45" i="42" s="1"/>
  <c r="L45" i="42" s="1"/>
  <c r="M45" i="42" s="1"/>
  <c r="B45" i="43" s="1"/>
  <c r="C44" i="42"/>
  <c r="D44" i="42" s="1"/>
  <c r="E44" i="42" s="1"/>
  <c r="F44" i="42" s="1"/>
  <c r="G44" i="42" s="1"/>
  <c r="H44" i="42" s="1"/>
  <c r="I44" i="42" s="1"/>
  <c r="J44" i="42" s="1"/>
  <c r="K44" i="42" s="1"/>
  <c r="L44" i="42" s="1"/>
  <c r="M44" i="42" s="1"/>
  <c r="B44" i="43" s="1"/>
  <c r="AK174" i="16"/>
  <c r="AB27" i="14"/>
  <c r="AC50" i="14"/>
  <c r="AD4" i="14"/>
  <c r="N43" i="41"/>
  <c r="F34" i="2"/>
  <c r="AB5" i="14"/>
  <c r="EI39" i="16"/>
  <c r="EJ39" i="16"/>
  <c r="EK39" i="16" s="1"/>
  <c r="EL39" i="16"/>
  <c r="EI7" i="16"/>
  <c r="EJ7" i="16"/>
  <c r="EK7" i="16" s="1"/>
  <c r="EL7" i="16"/>
  <c r="M26" i="18"/>
  <c r="EL23" i="16"/>
  <c r="EJ23" i="16"/>
  <c r="EK23" i="16" s="1"/>
  <c r="EI23" i="16"/>
  <c r="AB7" i="14"/>
  <c r="AC3" i="14"/>
  <c r="B4" i="9"/>
  <c r="F6" i="6"/>
  <c r="E4" i="8"/>
  <c r="G5" i="6"/>
  <c r="B4" i="8"/>
  <c r="E4" i="9"/>
  <c r="AD174" i="16" l="1"/>
  <c r="N48" i="42"/>
  <c r="N47" i="42"/>
  <c r="C9" i="19"/>
  <c r="C17" i="19"/>
  <c r="AG174" i="16"/>
  <c r="D6" i="19"/>
  <c r="E4" i="19"/>
  <c r="EM20" i="16"/>
  <c r="EP20" i="16"/>
  <c r="EN20" i="16"/>
  <c r="EO20" i="16" s="1"/>
  <c r="AB93" i="14"/>
  <c r="AB81" i="14"/>
  <c r="AB82" i="14"/>
  <c r="AB77" i="14"/>
  <c r="AB75" i="14"/>
  <c r="AB73" i="14"/>
  <c r="AB76" i="14"/>
  <c r="AB87" i="14"/>
  <c r="AB86" i="14"/>
  <c r="AB85" i="14"/>
  <c r="AB84" i="14"/>
  <c r="AB83" i="14"/>
  <c r="AB74" i="14"/>
  <c r="AB90" i="14"/>
  <c r="AB78" i="14"/>
  <c r="AC20" i="14"/>
  <c r="AB92" i="14"/>
  <c r="AB89" i="14"/>
  <c r="AB80" i="14"/>
  <c r="AB91" i="14"/>
  <c r="AB88" i="14"/>
  <c r="AB79" i="14"/>
  <c r="AC11" i="14"/>
  <c r="EN15" i="16"/>
  <c r="EO15" i="16" s="1"/>
  <c r="EP15" i="16"/>
  <c r="EM15" i="16"/>
  <c r="AF175" i="16"/>
  <c r="AC12" i="14"/>
  <c r="F35" i="2"/>
  <c r="AI174" i="16"/>
  <c r="EP8" i="16"/>
  <c r="EN8" i="16"/>
  <c r="EO8" i="16" s="1"/>
  <c r="EM8" i="16"/>
  <c r="EM37" i="16"/>
  <c r="EP37" i="16"/>
  <c r="EN37" i="16"/>
  <c r="EO37" i="16" s="1"/>
  <c r="EP31" i="16"/>
  <c r="EN31" i="16"/>
  <c r="EO31" i="16" s="1"/>
  <c r="EM31" i="16"/>
  <c r="EM18" i="16"/>
  <c r="EP18" i="16"/>
  <c r="EN18" i="16"/>
  <c r="EO18" i="16" s="1"/>
  <c r="EN47" i="16"/>
  <c r="EO47" i="16" s="1"/>
  <c r="EM47" i="16"/>
  <c r="EP47" i="16"/>
  <c r="AC13" i="14"/>
  <c r="AC29" i="14"/>
  <c r="AC33" i="14"/>
  <c r="EP9" i="16"/>
  <c r="EM9" i="16"/>
  <c r="EN9" i="16"/>
  <c r="EO9" i="16" s="1"/>
  <c r="EP42" i="16"/>
  <c r="EM42" i="16"/>
  <c r="EN42" i="16"/>
  <c r="EO42" i="16" s="1"/>
  <c r="EP32" i="16"/>
  <c r="EN32" i="16"/>
  <c r="EO32" i="16" s="1"/>
  <c r="EM32" i="16"/>
  <c r="C45" i="43"/>
  <c r="D45" i="43" s="1"/>
  <c r="E45" i="43" s="1"/>
  <c r="F45" i="43" s="1"/>
  <c r="G45" i="43" s="1"/>
  <c r="H45" i="43" s="1"/>
  <c r="I45" i="43" s="1"/>
  <c r="J45" i="43" s="1"/>
  <c r="K45" i="43" s="1"/>
  <c r="L45" i="43" s="1"/>
  <c r="M45" i="43" s="1"/>
  <c r="B45" i="44" s="1"/>
  <c r="N45" i="42"/>
  <c r="AL174" i="16"/>
  <c r="C8" i="19"/>
  <c r="EM19" i="16"/>
  <c r="EP19" i="16"/>
  <c r="EN19" i="16"/>
  <c r="EO19" i="16" s="1"/>
  <c r="AB60" i="14"/>
  <c r="AB53" i="14"/>
  <c r="AB58" i="14"/>
  <c r="AB51" i="14"/>
  <c r="AB56" i="14"/>
  <c r="AB61" i="14"/>
  <c r="AB54" i="14"/>
  <c r="AB59" i="14"/>
  <c r="AB52" i="14"/>
  <c r="AB57" i="14"/>
  <c r="AB62" i="14"/>
  <c r="AB55" i="14"/>
  <c r="AC15" i="14"/>
  <c r="EN48" i="16"/>
  <c r="EO48" i="16" s="1"/>
  <c r="EP48" i="16"/>
  <c r="EM48" i="16"/>
  <c r="EP46" i="16"/>
  <c r="EN46" i="16"/>
  <c r="EO46" i="16" s="1"/>
  <c r="EM46" i="16"/>
  <c r="EP27" i="16"/>
  <c r="EN27" i="16"/>
  <c r="EO27" i="16" s="1"/>
  <c r="EM27" i="16"/>
  <c r="AM174" i="16"/>
  <c r="P4" i="9"/>
  <c r="N44" i="42"/>
  <c r="AC7" i="14"/>
  <c r="AC5" i="14"/>
  <c r="AC35" i="14"/>
  <c r="AC10" i="14"/>
  <c r="EM41" i="16"/>
  <c r="EP41" i="16"/>
  <c r="EN41" i="16"/>
  <c r="EO41" i="16" s="1"/>
  <c r="EP40" i="16"/>
  <c r="EM40" i="16"/>
  <c r="EN40" i="16"/>
  <c r="EO40" i="16" s="1"/>
  <c r="EM43" i="16"/>
  <c r="EN43" i="16"/>
  <c r="EO43" i="16" s="1"/>
  <c r="EP43" i="16"/>
  <c r="EP29" i="16"/>
  <c r="EN29" i="16"/>
  <c r="EO29" i="16" s="1"/>
  <c r="EM29" i="16"/>
  <c r="EP14" i="16"/>
  <c r="EN14" i="16"/>
  <c r="EO14" i="16" s="1"/>
  <c r="EM14" i="16"/>
  <c r="EM30" i="16"/>
  <c r="EN30" i="16"/>
  <c r="EO30" i="16" s="1"/>
  <c r="EP30" i="16"/>
  <c r="AH174" i="16"/>
  <c r="EM39" i="16"/>
  <c r="EP39" i="16"/>
  <c r="EN39" i="16"/>
  <c r="EO39" i="16" s="1"/>
  <c r="H34" i="2"/>
  <c r="AB34" i="2"/>
  <c r="AC28" i="14"/>
  <c r="N46" i="42"/>
  <c r="AC22" i="14"/>
  <c r="EM12" i="16"/>
  <c r="EN12" i="16"/>
  <c r="EO12" i="16" s="1"/>
  <c r="EP12" i="16"/>
  <c r="EP35" i="16"/>
  <c r="EM35" i="16"/>
  <c r="EN35" i="16"/>
  <c r="EO35" i="16" s="1"/>
  <c r="AC31" i="14"/>
  <c r="EN44" i="16"/>
  <c r="EO44" i="16" s="1"/>
  <c r="EP44" i="16"/>
  <c r="EM44" i="16"/>
  <c r="EP5" i="16"/>
  <c r="EN5" i="16"/>
  <c r="EO5" i="16" s="1"/>
  <c r="EM5" i="16"/>
  <c r="AC16" i="14"/>
  <c r="AC17" i="14"/>
  <c r="C44" i="43"/>
  <c r="D44" i="43" s="1"/>
  <c r="E44" i="43" s="1"/>
  <c r="F44" i="43" s="1"/>
  <c r="G44" i="43" s="1"/>
  <c r="H44" i="43" s="1"/>
  <c r="I44" i="43" s="1"/>
  <c r="J44" i="43" s="1"/>
  <c r="K44" i="43" s="1"/>
  <c r="L44" i="43" s="1"/>
  <c r="M44" i="43" s="1"/>
  <c r="B44" i="44" s="1"/>
  <c r="AC30" i="14"/>
  <c r="C46" i="43"/>
  <c r="D46" i="43" s="1"/>
  <c r="E46" i="43" s="1"/>
  <c r="F46" i="43" s="1"/>
  <c r="G46" i="43" s="1"/>
  <c r="H46" i="43" s="1"/>
  <c r="I46" i="43" s="1"/>
  <c r="J46" i="43" s="1"/>
  <c r="K46" i="43" s="1"/>
  <c r="L46" i="43" s="1"/>
  <c r="M46" i="43" s="1"/>
  <c r="B46" i="44" s="1"/>
  <c r="AP175" i="16"/>
  <c r="AN175" i="16" s="1"/>
  <c r="AC32" i="14"/>
  <c r="C51" i="43"/>
  <c r="D51" i="43" s="1"/>
  <c r="E51" i="43" s="1"/>
  <c r="F51" i="43" s="1"/>
  <c r="G51" i="43" s="1"/>
  <c r="H51" i="43" s="1"/>
  <c r="I51" i="43" s="1"/>
  <c r="J51" i="43" s="1"/>
  <c r="K51" i="43" s="1"/>
  <c r="L51" i="43" s="1"/>
  <c r="M51" i="43" s="1"/>
  <c r="B51" i="44" s="1"/>
  <c r="N51" i="43"/>
  <c r="L29" i="4"/>
  <c r="AC9" i="14"/>
  <c r="AC6" i="14"/>
  <c r="AC34" i="14"/>
  <c r="EN25" i="16"/>
  <c r="EO25" i="16" s="1"/>
  <c r="EP25" i="16"/>
  <c r="EM25" i="16"/>
  <c r="M28" i="4"/>
  <c r="AB72" i="14"/>
  <c r="AB65" i="14"/>
  <c r="AB70" i="14"/>
  <c r="AB63" i="14"/>
  <c r="AB68" i="14"/>
  <c r="AB66" i="14"/>
  <c r="AB71" i="14"/>
  <c r="AB64" i="14"/>
  <c r="AB69" i="14"/>
  <c r="AB67" i="14"/>
  <c r="AC18" i="14"/>
  <c r="EM45" i="16"/>
  <c r="EP45" i="16"/>
  <c r="EN45" i="16"/>
  <c r="EO45" i="16" s="1"/>
  <c r="EP10" i="16"/>
  <c r="EN10" i="16"/>
  <c r="EO10" i="16" s="1"/>
  <c r="EM10" i="16"/>
  <c r="EN22" i="16"/>
  <c r="EO22" i="16" s="1"/>
  <c r="EP22" i="16"/>
  <c r="EM22" i="16"/>
  <c r="C52" i="20"/>
  <c r="AC24" i="14"/>
  <c r="C15" i="19"/>
  <c r="C25" i="19"/>
  <c r="C14" i="19"/>
  <c r="C34" i="19"/>
  <c r="C33" i="19"/>
  <c r="C24" i="19"/>
  <c r="C13" i="19"/>
  <c r="C23" i="19"/>
  <c r="C32" i="19"/>
  <c r="C22" i="19"/>
  <c r="C21" i="19"/>
  <c r="C20" i="19"/>
  <c r="C19" i="19"/>
  <c r="C30" i="19"/>
  <c r="C31" i="19" s="1"/>
  <c r="C18" i="19"/>
  <c r="C12" i="19"/>
  <c r="C39" i="19"/>
  <c r="C11" i="19"/>
  <c r="C38" i="19"/>
  <c r="C16" i="19"/>
  <c r="C10" i="19"/>
  <c r="N26" i="18"/>
  <c r="M57" i="18"/>
  <c r="AD50" i="14"/>
  <c r="AE4" i="14"/>
  <c r="EP38" i="16"/>
  <c r="EN38" i="16"/>
  <c r="EO38" i="16" s="1"/>
  <c r="EM38" i="16"/>
  <c r="EP17" i="16"/>
  <c r="EN17" i="16"/>
  <c r="EO17" i="16" s="1"/>
  <c r="EM17" i="16"/>
  <c r="EP28" i="16"/>
  <c r="EN28" i="16"/>
  <c r="EO28" i="16" s="1"/>
  <c r="EM28" i="16"/>
  <c r="C48" i="43"/>
  <c r="D48" i="43" s="1"/>
  <c r="E48" i="43" s="1"/>
  <c r="F48" i="43" s="1"/>
  <c r="G48" i="43" s="1"/>
  <c r="H48" i="43" s="1"/>
  <c r="I48" i="43" s="1"/>
  <c r="J48" i="43" s="1"/>
  <c r="K48" i="43" s="1"/>
  <c r="L48" i="43" s="1"/>
  <c r="M48" i="43" s="1"/>
  <c r="B48" i="44" s="1"/>
  <c r="C47" i="43"/>
  <c r="D47" i="43" s="1"/>
  <c r="E47" i="43" s="1"/>
  <c r="F47" i="43" s="1"/>
  <c r="G47" i="43" s="1"/>
  <c r="H47" i="43" s="1"/>
  <c r="I47" i="43" s="1"/>
  <c r="J47" i="43" s="1"/>
  <c r="K47" i="43" s="1"/>
  <c r="L47" i="43" s="1"/>
  <c r="M47" i="43" s="1"/>
  <c r="B47" i="44" s="1"/>
  <c r="B26" i="19"/>
  <c r="EN26" i="16"/>
  <c r="EO26" i="16" s="1"/>
  <c r="EP26" i="16"/>
  <c r="EM26" i="16"/>
  <c r="AC25" i="14"/>
  <c r="C49" i="43"/>
  <c r="D49" i="43" s="1"/>
  <c r="E49" i="43" s="1"/>
  <c r="F49" i="43" s="1"/>
  <c r="G49" i="43" s="1"/>
  <c r="H49" i="43" s="1"/>
  <c r="I49" i="43" s="1"/>
  <c r="J49" i="43" s="1"/>
  <c r="K49" i="43" s="1"/>
  <c r="L49" i="43" s="1"/>
  <c r="M49" i="43" s="1"/>
  <c r="B49" i="44" s="1"/>
  <c r="EP24" i="16"/>
  <c r="EN24" i="16"/>
  <c r="EO24" i="16" s="1"/>
  <c r="EM24" i="16"/>
  <c r="N50" i="42"/>
  <c r="EN36" i="16"/>
  <c r="EO36" i="16" s="1"/>
  <c r="EM36" i="16"/>
  <c r="EP36" i="16"/>
  <c r="C42" i="21"/>
  <c r="D42" i="21" s="1"/>
  <c r="E42" i="21" s="1"/>
  <c r="F42" i="21" s="1"/>
  <c r="G42" i="21" s="1"/>
  <c r="H42" i="21" s="1"/>
  <c r="I42" i="21" s="1"/>
  <c r="J42" i="21" s="1"/>
  <c r="K42" i="21" s="1"/>
  <c r="L42" i="21" s="1"/>
  <c r="M42" i="21" s="1"/>
  <c r="B42" i="22" s="1"/>
  <c r="B52" i="21"/>
  <c r="AC37" i="14"/>
  <c r="AB38" i="14"/>
  <c r="AB39" i="14" s="1"/>
  <c r="AB40" i="14" s="1"/>
  <c r="AB41" i="14" s="1"/>
  <c r="AB42" i="14" s="1"/>
  <c r="AB43" i="14" s="1"/>
  <c r="AB44" i="14" s="1"/>
  <c r="AB45" i="14" s="1"/>
  <c r="AB46" i="14" s="1"/>
  <c r="AB47" i="14" s="1"/>
  <c r="N43" i="42"/>
  <c r="EP33" i="16"/>
  <c r="EM33" i="16"/>
  <c r="EN33" i="16"/>
  <c r="EO33" i="16" s="1"/>
  <c r="EP23" i="16"/>
  <c r="EN23" i="16"/>
  <c r="EO23" i="16" s="1"/>
  <c r="EM23" i="16"/>
  <c r="EN7" i="16"/>
  <c r="EO7" i="16" s="1"/>
  <c r="EP7" i="16"/>
  <c r="EM7" i="16"/>
  <c r="EN6" i="16"/>
  <c r="EO6" i="16" s="1"/>
  <c r="EP6" i="16"/>
  <c r="EM6" i="16"/>
  <c r="AC174" i="16"/>
  <c r="AB174" i="16"/>
  <c r="EP16" i="16"/>
  <c r="EN16" i="16"/>
  <c r="EO16" i="16" s="1"/>
  <c r="EM16" i="16"/>
  <c r="AC19" i="14"/>
  <c r="C50" i="43"/>
  <c r="D50" i="43" s="1"/>
  <c r="E50" i="43" s="1"/>
  <c r="F50" i="43" s="1"/>
  <c r="G50" i="43" s="1"/>
  <c r="H50" i="43" s="1"/>
  <c r="I50" i="43" s="1"/>
  <c r="J50" i="43" s="1"/>
  <c r="K50" i="43" s="1"/>
  <c r="L50" i="43" s="1"/>
  <c r="M50" i="43" s="1"/>
  <c r="B50" i="44" s="1"/>
  <c r="D52" i="19"/>
  <c r="AC14" i="14"/>
  <c r="AC36" i="14"/>
  <c r="EP34" i="16"/>
  <c r="EN34" i="16"/>
  <c r="EO34" i="16" s="1"/>
  <c r="EM34" i="16"/>
  <c r="C43" i="43"/>
  <c r="D43" i="43" s="1"/>
  <c r="E43" i="43" s="1"/>
  <c r="F43" i="43" s="1"/>
  <c r="G43" i="43" s="1"/>
  <c r="H43" i="43" s="1"/>
  <c r="I43" i="43" s="1"/>
  <c r="J43" i="43" s="1"/>
  <c r="K43" i="43" s="1"/>
  <c r="L43" i="43" s="1"/>
  <c r="M43" i="43" s="1"/>
  <c r="B43" i="44" s="1"/>
  <c r="AK175" i="16"/>
  <c r="AC27" i="14"/>
  <c r="AC23" i="14"/>
  <c r="EM13" i="16"/>
  <c r="EP13" i="16"/>
  <c r="EN13" i="16"/>
  <c r="EO13" i="16" s="1"/>
  <c r="AC26" i="14"/>
  <c r="EP21" i="16"/>
  <c r="EN21" i="16"/>
  <c r="EO21" i="16" s="1"/>
  <c r="EM21" i="16"/>
  <c r="C37" i="2"/>
  <c r="E36" i="2"/>
  <c r="AC36" i="2"/>
  <c r="AD36" i="2" s="1"/>
  <c r="D36" i="2"/>
  <c r="EM11" i="16"/>
  <c r="EP11" i="16"/>
  <c r="EN11" i="16"/>
  <c r="EO11" i="16" s="1"/>
  <c r="AC8" i="14"/>
  <c r="AC21" i="14"/>
  <c r="H5" i="6"/>
  <c r="G4" i="10"/>
  <c r="F4" i="4"/>
  <c r="F4" i="12"/>
  <c r="F4" i="3"/>
  <c r="F7" i="6"/>
  <c r="G6" i="6"/>
  <c r="AD3" i="14"/>
  <c r="AD175" i="16" l="1"/>
  <c r="AG175" i="16"/>
  <c r="N46" i="43"/>
  <c r="AB175" i="16"/>
  <c r="AC175" i="16"/>
  <c r="AI175" i="16"/>
  <c r="C26" i="19"/>
  <c r="C57" i="19" s="1"/>
  <c r="H4" i="12"/>
  <c r="G4" i="12"/>
  <c r="H4" i="3"/>
  <c r="G4" i="3"/>
  <c r="ER26" i="16"/>
  <c r="ES26" i="16" s="1"/>
  <c r="ET26" i="16"/>
  <c r="EQ26" i="16"/>
  <c r="AD9" i="14"/>
  <c r="C50" i="44"/>
  <c r="D50" i="44" s="1"/>
  <c r="E50" i="44" s="1"/>
  <c r="F50" i="44" s="1"/>
  <c r="G50" i="44" s="1"/>
  <c r="H50" i="44" s="1"/>
  <c r="I50" i="44" s="1"/>
  <c r="J50" i="44" s="1"/>
  <c r="K50" i="44" s="1"/>
  <c r="L50" i="44" s="1"/>
  <c r="M50" i="44" s="1"/>
  <c r="B50" i="45" s="1"/>
  <c r="N50" i="44"/>
  <c r="M29" i="4"/>
  <c r="AD6" i="14"/>
  <c r="N44" i="43"/>
  <c r="ET27" i="16"/>
  <c r="ER27" i="16"/>
  <c r="ES27" i="16" s="1"/>
  <c r="EQ27" i="16"/>
  <c r="AL175" i="16"/>
  <c r="ET8" i="16"/>
  <c r="ER8" i="16"/>
  <c r="ES8" i="16" s="1"/>
  <c r="EQ8" i="16"/>
  <c r="E6" i="19"/>
  <c r="F4" i="19"/>
  <c r="ET42" i="16"/>
  <c r="ER42" i="16"/>
  <c r="ES42" i="16" s="1"/>
  <c r="EQ42" i="16"/>
  <c r="ER18" i="16"/>
  <c r="ES18" i="16" s="1"/>
  <c r="ET18" i="16"/>
  <c r="EQ18" i="16"/>
  <c r="D25" i="19"/>
  <c r="D14" i="19"/>
  <c r="D34" i="19"/>
  <c r="D33" i="19"/>
  <c r="D24" i="19"/>
  <c r="D13" i="19"/>
  <c r="D23" i="19"/>
  <c r="D32" i="19"/>
  <c r="D22" i="19"/>
  <c r="D20" i="19"/>
  <c r="D19" i="19"/>
  <c r="D30" i="19"/>
  <c r="D31" i="19" s="1"/>
  <c r="D18" i="19"/>
  <c r="D39" i="19"/>
  <c r="D17" i="19"/>
  <c r="D11" i="19"/>
  <c r="D38" i="19"/>
  <c r="D16" i="19"/>
  <c r="D10" i="19"/>
  <c r="D15" i="19"/>
  <c r="D21" i="19"/>
  <c r="ER34" i="16"/>
  <c r="ES34" i="16" s="1"/>
  <c r="ET34" i="16"/>
  <c r="EQ34" i="16"/>
  <c r="ER33" i="16"/>
  <c r="ES33" i="16" s="1"/>
  <c r="ET33" i="16"/>
  <c r="EQ33" i="16"/>
  <c r="L30" i="4"/>
  <c r="AD17" i="14"/>
  <c r="ET12" i="16"/>
  <c r="ER12" i="16"/>
  <c r="ES12" i="16" s="1"/>
  <c r="EQ12" i="16"/>
  <c r="ET43" i="16"/>
  <c r="ER43" i="16"/>
  <c r="ES43" i="16" s="1"/>
  <c r="EQ43" i="16"/>
  <c r="AD35" i="14"/>
  <c r="AB35" i="2"/>
  <c r="H35" i="2"/>
  <c r="I35" i="2" s="1"/>
  <c r="AD23" i="14"/>
  <c r="B57" i="19"/>
  <c r="AD16" i="14"/>
  <c r="AD5" i="14"/>
  <c r="ET46" i="16"/>
  <c r="EQ46" i="16"/>
  <c r="ER46" i="16"/>
  <c r="ES46" i="16" s="1"/>
  <c r="AF176" i="16"/>
  <c r="AD176" i="16" s="1"/>
  <c r="AD12" i="14"/>
  <c r="AC86" i="14"/>
  <c r="AC87" i="14"/>
  <c r="AC77" i="14"/>
  <c r="AC75" i="14"/>
  <c r="AC73" i="14"/>
  <c r="AC76" i="14"/>
  <c r="AC85" i="14"/>
  <c r="AC84" i="14"/>
  <c r="AC83" i="14"/>
  <c r="AC82" i="14"/>
  <c r="AC74" i="14"/>
  <c r="AC93" i="14"/>
  <c r="AC92" i="14"/>
  <c r="AC91" i="14"/>
  <c r="AC90" i="14"/>
  <c r="AC89" i="14"/>
  <c r="AC88" i="14"/>
  <c r="AC81" i="14"/>
  <c r="AC80" i="14"/>
  <c r="AC79" i="14"/>
  <c r="AC78" i="14"/>
  <c r="AD20" i="14"/>
  <c r="D8" i="19"/>
  <c r="C44" i="44"/>
  <c r="D44" i="44" s="1"/>
  <c r="E44" i="44" s="1"/>
  <c r="F44" i="44" s="1"/>
  <c r="G44" i="44" s="1"/>
  <c r="H44" i="44" s="1"/>
  <c r="I44" i="44" s="1"/>
  <c r="J44" i="44" s="1"/>
  <c r="K44" i="44" s="1"/>
  <c r="L44" i="44" s="1"/>
  <c r="M44" i="44" s="1"/>
  <c r="B44" i="45" s="1"/>
  <c r="F36" i="2"/>
  <c r="AD36" i="14"/>
  <c r="AD14" i="14"/>
  <c r="ET6" i="16"/>
  <c r="EQ6" i="16"/>
  <c r="ER6" i="16"/>
  <c r="ES6" i="16" s="1"/>
  <c r="N47" i="43"/>
  <c r="ET38" i="16"/>
  <c r="ER38" i="16"/>
  <c r="ES38" i="16" s="1"/>
  <c r="EQ38" i="16"/>
  <c r="C51" i="44"/>
  <c r="D51" i="44" s="1"/>
  <c r="E51" i="44" s="1"/>
  <c r="F51" i="44" s="1"/>
  <c r="G51" i="44" s="1"/>
  <c r="H51" i="44" s="1"/>
  <c r="I51" i="44" s="1"/>
  <c r="J51" i="44" s="1"/>
  <c r="K51" i="44" s="1"/>
  <c r="L51" i="44" s="1"/>
  <c r="M51" i="44" s="1"/>
  <c r="B51" i="45" s="1"/>
  <c r="N51" i="44"/>
  <c r="AH175" i="16"/>
  <c r="AD7" i="14"/>
  <c r="ET9" i="16"/>
  <c r="ER9" i="16"/>
  <c r="ES9" i="16" s="1"/>
  <c r="EQ9" i="16"/>
  <c r="C47" i="44"/>
  <c r="D47" i="44" s="1"/>
  <c r="E47" i="44" s="1"/>
  <c r="F47" i="44" s="1"/>
  <c r="G47" i="44" s="1"/>
  <c r="H47" i="44" s="1"/>
  <c r="I47" i="44" s="1"/>
  <c r="J47" i="44" s="1"/>
  <c r="K47" i="44" s="1"/>
  <c r="L47" i="44" s="1"/>
  <c r="M47" i="44" s="1"/>
  <c r="B47" i="45" s="1"/>
  <c r="AD24" i="14"/>
  <c r="AP176" i="16"/>
  <c r="AN176" i="16" s="1"/>
  <c r="AD32" i="14"/>
  <c r="AD22" i="14"/>
  <c r="ET30" i="16"/>
  <c r="ER30" i="16"/>
  <c r="ES30" i="16" s="1"/>
  <c r="EQ30" i="16"/>
  <c r="ER48" i="16"/>
  <c r="ES48" i="16" s="1"/>
  <c r="EQ48" i="16"/>
  <c r="ET48" i="16"/>
  <c r="ER29" i="16"/>
  <c r="ES29" i="16" s="1"/>
  <c r="ET29" i="16"/>
  <c r="EQ29" i="16"/>
  <c r="E37" i="2"/>
  <c r="AC37" i="2"/>
  <c r="AD37" i="2" s="1"/>
  <c r="D37" i="2"/>
  <c r="C38" i="2"/>
  <c r="N50" i="43"/>
  <c r="N49" i="43"/>
  <c r="N48" i="43"/>
  <c r="AE50" i="14"/>
  <c r="AF4" i="14"/>
  <c r="EQ45" i="16"/>
  <c r="ER45" i="16"/>
  <c r="ES45" i="16" s="1"/>
  <c r="ET45" i="16"/>
  <c r="EQ5" i="16"/>
  <c r="ET5" i="16"/>
  <c r="ER5" i="16"/>
  <c r="ES5" i="16" s="1"/>
  <c r="N45" i="43"/>
  <c r="AD33" i="14"/>
  <c r="ET31" i="16"/>
  <c r="EQ31" i="16"/>
  <c r="ER31" i="16"/>
  <c r="ES31" i="16" s="1"/>
  <c r="EQ15" i="16"/>
  <c r="ET15" i="16"/>
  <c r="ER15" i="16"/>
  <c r="ES15" i="16" s="1"/>
  <c r="AD29" i="14"/>
  <c r="C46" i="44"/>
  <c r="D46" i="44" s="1"/>
  <c r="E46" i="44" s="1"/>
  <c r="F46" i="44" s="1"/>
  <c r="G46" i="44" s="1"/>
  <c r="H46" i="44" s="1"/>
  <c r="I46" i="44" s="1"/>
  <c r="J46" i="44" s="1"/>
  <c r="K46" i="44" s="1"/>
  <c r="L46" i="44" s="1"/>
  <c r="M46" i="44" s="1"/>
  <c r="B46" i="45" s="1"/>
  <c r="ET44" i="16"/>
  <c r="ER44" i="16"/>
  <c r="ES44" i="16" s="1"/>
  <c r="EQ44" i="16"/>
  <c r="AD13" i="14"/>
  <c r="ET37" i="16"/>
  <c r="ER37" i="16"/>
  <c r="ES37" i="16" s="1"/>
  <c r="EQ37" i="16"/>
  <c r="AD11" i="14"/>
  <c r="ET20" i="16"/>
  <c r="ER20" i="16"/>
  <c r="ES20" i="16" s="1"/>
  <c r="EQ20" i="16"/>
  <c r="ER11" i="16"/>
  <c r="ES11" i="16" s="1"/>
  <c r="ET11" i="16"/>
  <c r="EQ11" i="16"/>
  <c r="ER10" i="16"/>
  <c r="ES10" i="16" s="1"/>
  <c r="ET10" i="16"/>
  <c r="EQ10" i="16"/>
  <c r="C49" i="44"/>
  <c r="D49" i="44" s="1"/>
  <c r="E49" i="44" s="1"/>
  <c r="F49" i="44" s="1"/>
  <c r="G49" i="44" s="1"/>
  <c r="H49" i="44" s="1"/>
  <c r="I49" i="44" s="1"/>
  <c r="J49" i="44" s="1"/>
  <c r="K49" i="44" s="1"/>
  <c r="L49" i="44" s="1"/>
  <c r="M49" i="44" s="1"/>
  <c r="B49" i="45" s="1"/>
  <c r="AD28" i="14"/>
  <c r="ER40" i="16"/>
  <c r="ES40" i="16" s="1"/>
  <c r="ET40" i="16"/>
  <c r="EQ40" i="16"/>
  <c r="AC53" i="14"/>
  <c r="AC58" i="14"/>
  <c r="AC51" i="14"/>
  <c r="AC56" i="14"/>
  <c r="AC61" i="14"/>
  <c r="AC54" i="14"/>
  <c r="AC59" i="14"/>
  <c r="AC52" i="14"/>
  <c r="AC57" i="14"/>
  <c r="AC62" i="14"/>
  <c r="AC55" i="14"/>
  <c r="AD15" i="14"/>
  <c r="AC60" i="14"/>
  <c r="AD19" i="14"/>
  <c r="C52" i="21"/>
  <c r="AC65" i="14"/>
  <c r="AC70" i="14"/>
  <c r="AC63" i="14"/>
  <c r="AC68" i="14"/>
  <c r="AC66" i="14"/>
  <c r="AC71" i="14"/>
  <c r="AC64" i="14"/>
  <c r="AC69" i="14"/>
  <c r="AC67" i="14"/>
  <c r="AC72" i="14"/>
  <c r="AD18" i="14"/>
  <c r="N42" i="21"/>
  <c r="H60" i="18"/>
  <c r="B60" i="18"/>
  <c r="B27" i="18"/>
  <c r="C27" i="18"/>
  <c r="D27" i="18"/>
  <c r="E27" i="18"/>
  <c r="F27" i="18"/>
  <c r="G27" i="18"/>
  <c r="H27" i="18"/>
  <c r="I27" i="18"/>
  <c r="J27" i="18"/>
  <c r="K27" i="18"/>
  <c r="L27" i="18"/>
  <c r="M27" i="18"/>
  <c r="EQ22" i="16"/>
  <c r="ET22" i="16"/>
  <c r="ER22" i="16"/>
  <c r="ES22" i="16" s="1"/>
  <c r="ET25" i="16"/>
  <c r="ER25" i="16"/>
  <c r="ES25" i="16" s="1"/>
  <c r="EQ25" i="16"/>
  <c r="AD30" i="14"/>
  <c r="EQ41" i="16"/>
  <c r="ET41" i="16"/>
  <c r="ER41" i="16"/>
  <c r="ES41" i="16" s="1"/>
  <c r="AM175" i="16"/>
  <c r="ET19" i="16"/>
  <c r="ER19" i="16"/>
  <c r="ES19" i="16" s="1"/>
  <c r="EQ19" i="16"/>
  <c r="EQ47" i="16"/>
  <c r="ER47" i="16"/>
  <c r="ES47" i="16" s="1"/>
  <c r="ET47" i="16"/>
  <c r="ET13" i="16"/>
  <c r="ER13" i="16"/>
  <c r="ES13" i="16" s="1"/>
  <c r="EQ13" i="16"/>
  <c r="ER17" i="16"/>
  <c r="ES17" i="16" s="1"/>
  <c r="ET17" i="16"/>
  <c r="EQ17" i="16"/>
  <c r="ET39" i="16"/>
  <c r="ER39" i="16"/>
  <c r="ES39" i="16" s="1"/>
  <c r="EQ39" i="16"/>
  <c r="AK176" i="16"/>
  <c r="AD27" i="14"/>
  <c r="C48" i="44"/>
  <c r="D48" i="44" s="1"/>
  <c r="E48" i="44" s="1"/>
  <c r="F48" i="44" s="1"/>
  <c r="G48" i="44" s="1"/>
  <c r="H48" i="44" s="1"/>
  <c r="I48" i="44" s="1"/>
  <c r="J48" i="44" s="1"/>
  <c r="K48" i="44" s="1"/>
  <c r="L48" i="44" s="1"/>
  <c r="M48" i="44" s="1"/>
  <c r="B48" i="45" s="1"/>
  <c r="D52" i="20"/>
  <c r="C45" i="44"/>
  <c r="D45" i="44" s="1"/>
  <c r="E45" i="44" s="1"/>
  <c r="F45" i="44" s="1"/>
  <c r="G45" i="44" s="1"/>
  <c r="H45" i="44" s="1"/>
  <c r="I45" i="44" s="1"/>
  <c r="J45" i="44" s="1"/>
  <c r="K45" i="44" s="1"/>
  <c r="L45" i="44" s="1"/>
  <c r="M45" i="44" s="1"/>
  <c r="B45" i="45" s="1"/>
  <c r="N57" i="18"/>
  <c r="AD21" i="14"/>
  <c r="ET21" i="16"/>
  <c r="ER21" i="16"/>
  <c r="ES21" i="16" s="1"/>
  <c r="EQ21" i="16"/>
  <c r="N43" i="43"/>
  <c r="C42" i="22"/>
  <c r="D42" i="22" s="1"/>
  <c r="E42" i="22" s="1"/>
  <c r="F42" i="22" s="1"/>
  <c r="G42" i="22" s="1"/>
  <c r="H42" i="22" s="1"/>
  <c r="I42" i="22" s="1"/>
  <c r="J42" i="22" s="1"/>
  <c r="K42" i="22" s="1"/>
  <c r="L42" i="22" s="1"/>
  <c r="M42" i="22" s="1"/>
  <c r="B42" i="23" s="1"/>
  <c r="B52" i="22"/>
  <c r="ET28" i="16"/>
  <c r="ER28" i="16"/>
  <c r="ES28" i="16" s="1"/>
  <c r="EQ28" i="16"/>
  <c r="AD31" i="14"/>
  <c r="ET14" i="16"/>
  <c r="ER14" i="16"/>
  <c r="ES14" i="16" s="1"/>
  <c r="EQ14" i="16"/>
  <c r="EQ32" i="16"/>
  <c r="ET32" i="16"/>
  <c r="ER32" i="16"/>
  <c r="ES32" i="16" s="1"/>
  <c r="D9" i="19"/>
  <c r="EQ35" i="16"/>
  <c r="ET35" i="16"/>
  <c r="ER35" i="16"/>
  <c r="ES35" i="16" s="1"/>
  <c r="E52" i="19"/>
  <c r="EQ24" i="16"/>
  <c r="ET24" i="16"/>
  <c r="ER24" i="16"/>
  <c r="ES24" i="16" s="1"/>
  <c r="ER7" i="16"/>
  <c r="ES7" i="16" s="1"/>
  <c r="ET7" i="16"/>
  <c r="EQ7" i="16"/>
  <c r="AC38" i="14"/>
  <c r="AC39" i="14" s="1"/>
  <c r="AC40" i="14" s="1"/>
  <c r="AC41" i="14" s="1"/>
  <c r="AC42" i="14" s="1"/>
  <c r="AC43" i="14" s="1"/>
  <c r="AC44" i="14" s="1"/>
  <c r="AC45" i="14" s="1"/>
  <c r="AC46" i="14" s="1"/>
  <c r="AC47" i="14" s="1"/>
  <c r="AD37" i="14"/>
  <c r="AD8" i="14"/>
  <c r="AD26" i="14"/>
  <c r="C43" i="44"/>
  <c r="D43" i="44" s="1"/>
  <c r="E43" i="44" s="1"/>
  <c r="F43" i="44" s="1"/>
  <c r="G43" i="44" s="1"/>
  <c r="H43" i="44" s="1"/>
  <c r="I43" i="44" s="1"/>
  <c r="J43" i="44" s="1"/>
  <c r="K43" i="44" s="1"/>
  <c r="L43" i="44" s="1"/>
  <c r="M43" i="44" s="1"/>
  <c r="B43" i="45" s="1"/>
  <c r="ET16" i="16"/>
  <c r="ER16" i="16"/>
  <c r="ES16" i="16" s="1"/>
  <c r="EQ16" i="16"/>
  <c r="EQ23" i="16"/>
  <c r="ET23" i="16"/>
  <c r="ER23" i="16"/>
  <c r="ES23" i="16" s="1"/>
  <c r="ER36" i="16"/>
  <c r="ES36" i="16" s="1"/>
  <c r="ET36" i="16"/>
  <c r="EQ36" i="16"/>
  <c r="AD25" i="14"/>
  <c r="AD34" i="14"/>
  <c r="U34" i="2"/>
  <c r="S34" i="2"/>
  <c r="I34" i="2"/>
  <c r="AD10" i="14"/>
  <c r="J4" i="4"/>
  <c r="AE3" i="14"/>
  <c r="K4" i="4"/>
  <c r="E4" i="12"/>
  <c r="B4" i="12"/>
  <c r="C4" i="10"/>
  <c r="G7" i="6"/>
  <c r="E4" i="4"/>
  <c r="G4" i="4"/>
  <c r="B4" i="3"/>
  <c r="H6" i="6"/>
  <c r="F8" i="6"/>
  <c r="I5" i="6"/>
  <c r="H4" i="4"/>
  <c r="I4" i="4"/>
  <c r="F4" i="10"/>
  <c r="E4" i="3"/>
  <c r="B4" i="4"/>
  <c r="O4" i="3"/>
  <c r="AI176" i="16" l="1"/>
  <c r="F37" i="2"/>
  <c r="N44" i="44"/>
  <c r="N46" i="44"/>
  <c r="AM176" i="16"/>
  <c r="AC176" i="16"/>
  <c r="D26" i="19"/>
  <c r="D57" i="19" s="1"/>
  <c r="O4" i="4"/>
  <c r="P4" i="4" s="1"/>
  <c r="B4" i="7"/>
  <c r="B4" i="6"/>
  <c r="C4" i="3"/>
  <c r="B4" i="5"/>
  <c r="E4" i="6"/>
  <c r="E4" i="5"/>
  <c r="E4" i="7"/>
  <c r="C4" i="4"/>
  <c r="AE37" i="14"/>
  <c r="AD38" i="14"/>
  <c r="AD39" i="14" s="1"/>
  <c r="AD40" i="14" s="1"/>
  <c r="AD41" i="14" s="1"/>
  <c r="AD42" i="14" s="1"/>
  <c r="AD43" i="14" s="1"/>
  <c r="AD44" i="14" s="1"/>
  <c r="AD45" i="14" s="1"/>
  <c r="AD46" i="14" s="1"/>
  <c r="AD47" i="14" s="1"/>
  <c r="N42" i="22"/>
  <c r="N48" i="44"/>
  <c r="EX13" i="16"/>
  <c r="EV13" i="16"/>
  <c r="EW13" i="16" s="1"/>
  <c r="EU13" i="16"/>
  <c r="G28" i="18"/>
  <c r="G58" i="18" s="1"/>
  <c r="G59" i="18" s="1"/>
  <c r="AD70" i="14"/>
  <c r="AD63" i="14"/>
  <c r="AD68" i="14"/>
  <c r="AD66" i="14"/>
  <c r="AD71" i="14"/>
  <c r="AD64" i="14"/>
  <c r="AD69" i="14"/>
  <c r="AD67" i="14"/>
  <c r="AD72" i="14"/>
  <c r="AE18" i="14"/>
  <c r="AD65" i="14"/>
  <c r="EU9" i="16"/>
  <c r="EV9" i="16"/>
  <c r="EW9" i="16" s="1"/>
  <c r="EX9" i="16"/>
  <c r="AE14" i="14"/>
  <c r="F6" i="19"/>
  <c r="F9" i="19" s="1"/>
  <c r="G4" i="19"/>
  <c r="AB176" i="16"/>
  <c r="C43" i="45"/>
  <c r="D43" i="45" s="1"/>
  <c r="E43" i="45" s="1"/>
  <c r="F43" i="45" s="1"/>
  <c r="G43" i="45" s="1"/>
  <c r="H43" i="45" s="1"/>
  <c r="I43" i="45" s="1"/>
  <c r="J43" i="45" s="1"/>
  <c r="K43" i="45" s="1"/>
  <c r="L43" i="45" s="1"/>
  <c r="M43" i="45" s="1"/>
  <c r="B43" i="46" s="1"/>
  <c r="B52" i="23"/>
  <c r="C42" i="23"/>
  <c r="D42" i="23" s="1"/>
  <c r="E42" i="23" s="1"/>
  <c r="F42" i="23" s="1"/>
  <c r="G42" i="23" s="1"/>
  <c r="H42" i="23" s="1"/>
  <c r="I42" i="23" s="1"/>
  <c r="J42" i="23" s="1"/>
  <c r="K42" i="23" s="1"/>
  <c r="L42" i="23" s="1"/>
  <c r="M42" i="23" s="1"/>
  <c r="B42" i="24" s="1"/>
  <c r="C48" i="45"/>
  <c r="D48" i="45" s="1"/>
  <c r="E48" i="45" s="1"/>
  <c r="F48" i="45" s="1"/>
  <c r="G48" i="45" s="1"/>
  <c r="H48" i="45" s="1"/>
  <c r="I48" i="45" s="1"/>
  <c r="J48" i="45" s="1"/>
  <c r="K48" i="45" s="1"/>
  <c r="L48" i="45" s="1"/>
  <c r="M48" i="45" s="1"/>
  <c r="B48" i="46" s="1"/>
  <c r="EX47" i="16"/>
  <c r="EV47" i="16"/>
  <c r="EW47" i="16" s="1"/>
  <c r="EU47" i="16"/>
  <c r="F28" i="18"/>
  <c r="F58" i="18" s="1"/>
  <c r="F59" i="18" s="1"/>
  <c r="AE19" i="14"/>
  <c r="EV11" i="16"/>
  <c r="EW11" i="16" s="1"/>
  <c r="EX11" i="16"/>
  <c r="EU11" i="16"/>
  <c r="EV44" i="16"/>
  <c r="EW44" i="16" s="1"/>
  <c r="EX44" i="16"/>
  <c r="EU44" i="16"/>
  <c r="C39" i="2"/>
  <c r="E38" i="2"/>
  <c r="AC38" i="2"/>
  <c r="AD38" i="2" s="1"/>
  <c r="D38" i="2"/>
  <c r="AE7" i="14"/>
  <c r="AE36" i="14"/>
  <c r="E25" i="19"/>
  <c r="E14" i="19"/>
  <c r="E34" i="19"/>
  <c r="E33" i="19"/>
  <c r="E24" i="19"/>
  <c r="E13" i="19"/>
  <c r="E23" i="19"/>
  <c r="E32" i="19"/>
  <c r="E22" i="19"/>
  <c r="E20" i="19"/>
  <c r="E19" i="19"/>
  <c r="E30" i="19"/>
  <c r="E31" i="19" s="1"/>
  <c r="E18" i="19"/>
  <c r="E39" i="19"/>
  <c r="E17" i="19"/>
  <c r="E11" i="19"/>
  <c r="E38" i="19"/>
  <c r="E16" i="19"/>
  <c r="E10" i="19"/>
  <c r="E15" i="19"/>
  <c r="E21" i="19"/>
  <c r="M30" i="4"/>
  <c r="AG176" i="16"/>
  <c r="EX32" i="16"/>
  <c r="EV32" i="16"/>
  <c r="EW32" i="16" s="1"/>
  <c r="EU32" i="16"/>
  <c r="E28" i="18"/>
  <c r="E58" i="18" s="1"/>
  <c r="E59" i="18" s="1"/>
  <c r="C46" i="45"/>
  <c r="D46" i="45" s="1"/>
  <c r="E46" i="45" s="1"/>
  <c r="F46" i="45" s="1"/>
  <c r="G46" i="45" s="1"/>
  <c r="H46" i="45" s="1"/>
  <c r="I46" i="45" s="1"/>
  <c r="J46" i="45" s="1"/>
  <c r="K46" i="45" s="1"/>
  <c r="L46" i="45" s="1"/>
  <c r="M46" i="45" s="1"/>
  <c r="B46" i="46" s="1"/>
  <c r="N46" i="45"/>
  <c r="EX5" i="16"/>
  <c r="EV5" i="16"/>
  <c r="EW5" i="16" s="1"/>
  <c r="EU5" i="16"/>
  <c r="H37" i="2"/>
  <c r="AB37" i="2"/>
  <c r="EU30" i="16"/>
  <c r="EV30" i="16"/>
  <c r="EW30" i="16" s="1"/>
  <c r="EX30" i="16"/>
  <c r="AH176" i="16"/>
  <c r="H36" i="2"/>
  <c r="I36" i="2" s="1"/>
  <c r="AB36" i="2"/>
  <c r="EX12" i="16"/>
  <c r="EV12" i="16"/>
  <c r="EW12" i="16" s="1"/>
  <c r="EU12" i="16"/>
  <c r="EX25" i="16"/>
  <c r="EV25" i="16"/>
  <c r="EW25" i="16" s="1"/>
  <c r="EU25" i="16"/>
  <c r="D28" i="18"/>
  <c r="D58" i="18" s="1"/>
  <c r="D59" i="18" s="1"/>
  <c r="AD58" i="14"/>
  <c r="AD51" i="14"/>
  <c r="AD56" i="14"/>
  <c r="AD61" i="14"/>
  <c r="AD54" i="14"/>
  <c r="AD59" i="14"/>
  <c r="AD52" i="14"/>
  <c r="AD57" i="14"/>
  <c r="AD62" i="14"/>
  <c r="AD55" i="14"/>
  <c r="AD60" i="14"/>
  <c r="AD53" i="14"/>
  <c r="AE15" i="14"/>
  <c r="AE22" i="14"/>
  <c r="AE17" i="14"/>
  <c r="C50" i="45"/>
  <c r="D50" i="45" s="1"/>
  <c r="E50" i="45" s="1"/>
  <c r="F50" i="45" s="1"/>
  <c r="G50" i="45" s="1"/>
  <c r="H50" i="45" s="1"/>
  <c r="I50" i="45" s="1"/>
  <c r="J50" i="45" s="1"/>
  <c r="K50" i="45" s="1"/>
  <c r="L50" i="45" s="1"/>
  <c r="M50" i="45" s="1"/>
  <c r="B50" i="46" s="1"/>
  <c r="EX23" i="16"/>
  <c r="EV23" i="16"/>
  <c r="EW23" i="16" s="1"/>
  <c r="EU23" i="16"/>
  <c r="AK177" i="16"/>
  <c r="AI177" i="16" s="1"/>
  <c r="AE27" i="14"/>
  <c r="AE10" i="14"/>
  <c r="EV22" i="16"/>
  <c r="EW22" i="16" s="1"/>
  <c r="EX22" i="16"/>
  <c r="EU22" i="16"/>
  <c r="C28" i="18"/>
  <c r="C58" i="18" s="1"/>
  <c r="C59" i="18" s="1"/>
  <c r="EV40" i="16"/>
  <c r="EW40" i="16" s="1"/>
  <c r="EX40" i="16"/>
  <c r="EU40" i="16"/>
  <c r="AE29" i="14"/>
  <c r="EU45" i="16"/>
  <c r="EX45" i="16"/>
  <c r="EV45" i="16"/>
  <c r="EW45" i="16" s="1"/>
  <c r="AP177" i="16"/>
  <c r="AE32" i="14"/>
  <c r="C51" i="45"/>
  <c r="D51" i="45" s="1"/>
  <c r="E51" i="45" s="1"/>
  <c r="F51" i="45" s="1"/>
  <c r="G51" i="45" s="1"/>
  <c r="H51" i="45" s="1"/>
  <c r="I51" i="45" s="1"/>
  <c r="J51" i="45" s="1"/>
  <c r="K51" i="45" s="1"/>
  <c r="L51" i="45" s="1"/>
  <c r="M51" i="45" s="1"/>
  <c r="B51" i="46" s="1"/>
  <c r="C44" i="45"/>
  <c r="D44" i="45" s="1"/>
  <c r="E44" i="45" s="1"/>
  <c r="F44" i="45" s="1"/>
  <c r="G44" i="45" s="1"/>
  <c r="H44" i="45" s="1"/>
  <c r="I44" i="45" s="1"/>
  <c r="J44" i="45" s="1"/>
  <c r="K44" i="45" s="1"/>
  <c r="L44" i="45" s="1"/>
  <c r="M44" i="45" s="1"/>
  <c r="B44" i="46" s="1"/>
  <c r="L31" i="4"/>
  <c r="EV18" i="16"/>
  <c r="EW18" i="16" s="1"/>
  <c r="EX18" i="16"/>
  <c r="EU18" i="16"/>
  <c r="AE9" i="14"/>
  <c r="F52" i="19"/>
  <c r="EU7" i="16"/>
  <c r="EX7" i="16"/>
  <c r="EV7" i="16"/>
  <c r="EW7" i="16" s="1"/>
  <c r="N27" i="18"/>
  <c r="B28" i="18"/>
  <c r="B58" i="18" s="1"/>
  <c r="EX20" i="16"/>
  <c r="EV20" i="16"/>
  <c r="EW20" i="16" s="1"/>
  <c r="EU20" i="16"/>
  <c r="AF177" i="16"/>
  <c r="AD177" i="16" s="1"/>
  <c r="AE12" i="14"/>
  <c r="AE23" i="14"/>
  <c r="EU8" i="16"/>
  <c r="EV8" i="16"/>
  <c r="EW8" i="16" s="1"/>
  <c r="EX8" i="16"/>
  <c r="EV21" i="16"/>
  <c r="EW21" i="16" s="1"/>
  <c r="EX21" i="16"/>
  <c r="EU21" i="16"/>
  <c r="EU16" i="16"/>
  <c r="EX16" i="16"/>
  <c r="EV16" i="16"/>
  <c r="EW16" i="16" s="1"/>
  <c r="EX24" i="16"/>
  <c r="EV24" i="16"/>
  <c r="EW24" i="16" s="1"/>
  <c r="EU24" i="16"/>
  <c r="EV14" i="16"/>
  <c r="EW14" i="16" s="1"/>
  <c r="EU14" i="16"/>
  <c r="EX14" i="16"/>
  <c r="AE21" i="14"/>
  <c r="EU39" i="16"/>
  <c r="EX39" i="16"/>
  <c r="EV39" i="16"/>
  <c r="EW39" i="16" s="1"/>
  <c r="EX19" i="16"/>
  <c r="EV19" i="16"/>
  <c r="EW19" i="16" s="1"/>
  <c r="EU19" i="16"/>
  <c r="M28" i="18"/>
  <c r="M58" i="18" s="1"/>
  <c r="M59" i="18" s="1"/>
  <c r="AE28" i="14"/>
  <c r="AE11" i="14"/>
  <c r="EV15" i="16"/>
  <c r="EW15" i="16" s="1"/>
  <c r="EX15" i="16"/>
  <c r="EU15" i="16"/>
  <c r="EX29" i="16"/>
  <c r="EV29" i="16"/>
  <c r="EW29" i="16" s="1"/>
  <c r="EU29" i="16"/>
  <c r="AE24" i="14"/>
  <c r="U35" i="2"/>
  <c r="S35" i="2"/>
  <c r="EV33" i="16"/>
  <c r="EW33" i="16" s="1"/>
  <c r="EX33" i="16"/>
  <c r="EU33" i="16"/>
  <c r="AL176" i="16"/>
  <c r="EU26" i="16"/>
  <c r="EV26" i="16"/>
  <c r="EW26" i="16" s="1"/>
  <c r="EX26" i="16"/>
  <c r="N43" i="44"/>
  <c r="AE31" i="14"/>
  <c r="L28" i="18"/>
  <c r="L58" i="18" s="1"/>
  <c r="L59" i="18" s="1"/>
  <c r="N49" i="44"/>
  <c r="N47" i="44"/>
  <c r="EV38" i="16"/>
  <c r="EW38" i="16" s="1"/>
  <c r="EX38" i="16"/>
  <c r="EU38" i="16"/>
  <c r="AD91" i="14"/>
  <c r="AD79" i="14"/>
  <c r="AD92" i="14"/>
  <c r="AD80" i="14"/>
  <c r="AD75" i="14"/>
  <c r="AD73" i="14"/>
  <c r="AD76" i="14"/>
  <c r="AD85" i="14"/>
  <c r="AD84" i="14"/>
  <c r="AD83" i="14"/>
  <c r="AD82" i="14"/>
  <c r="AD74" i="14"/>
  <c r="AD93" i="14"/>
  <c r="AD90" i="14"/>
  <c r="AD89" i="14"/>
  <c r="AD88" i="14"/>
  <c r="AD87" i="14"/>
  <c r="AD86" i="14"/>
  <c r="AD81" i="14"/>
  <c r="AD78" i="14"/>
  <c r="AE20" i="14"/>
  <c r="AD77" i="14"/>
  <c r="EX42" i="16"/>
  <c r="EU42" i="16"/>
  <c r="EV42" i="16"/>
  <c r="EW42" i="16" s="1"/>
  <c r="C49" i="45"/>
  <c r="D49" i="45" s="1"/>
  <c r="E49" i="45" s="1"/>
  <c r="F49" i="45" s="1"/>
  <c r="G49" i="45" s="1"/>
  <c r="H49" i="45" s="1"/>
  <c r="I49" i="45" s="1"/>
  <c r="J49" i="45" s="1"/>
  <c r="K49" i="45" s="1"/>
  <c r="L49" i="45" s="1"/>
  <c r="M49" i="45" s="1"/>
  <c r="B49" i="46" s="1"/>
  <c r="N49" i="45"/>
  <c r="AF50" i="14"/>
  <c r="AG4" i="14"/>
  <c r="AE35" i="14"/>
  <c r="AE25" i="14"/>
  <c r="AE26" i="14"/>
  <c r="N45" i="44"/>
  <c r="EU41" i="16"/>
  <c r="EX41" i="16"/>
  <c r="EV41" i="16"/>
  <c r="EW41" i="16" s="1"/>
  <c r="J28" i="18"/>
  <c r="J58" i="18" s="1"/>
  <c r="J59" i="18" s="1"/>
  <c r="EU37" i="16"/>
  <c r="EX37" i="16"/>
  <c r="EV37" i="16"/>
  <c r="EW37" i="16" s="1"/>
  <c r="EX48" i="16"/>
  <c r="EU48" i="16"/>
  <c r="EV48" i="16"/>
  <c r="EW48" i="16" s="1"/>
  <c r="EX46" i="16"/>
  <c r="EV46" i="16"/>
  <c r="EW46" i="16" s="1"/>
  <c r="EU46" i="16"/>
  <c r="EX34" i="16"/>
  <c r="EV34" i="16"/>
  <c r="EW34" i="16" s="1"/>
  <c r="EU34" i="16"/>
  <c r="E8" i="19"/>
  <c r="EU27" i="16"/>
  <c r="EX27" i="16"/>
  <c r="EV27" i="16"/>
  <c r="EW27" i="16" s="1"/>
  <c r="EV17" i="16"/>
  <c r="EW17" i="16" s="1"/>
  <c r="EU17" i="16"/>
  <c r="EX17" i="16"/>
  <c r="K28" i="18"/>
  <c r="K58" i="18" s="1"/>
  <c r="K59" i="18" s="1"/>
  <c r="C47" i="45"/>
  <c r="D47" i="45" s="1"/>
  <c r="E47" i="45" s="1"/>
  <c r="F47" i="45" s="1"/>
  <c r="G47" i="45" s="1"/>
  <c r="H47" i="45" s="1"/>
  <c r="I47" i="45" s="1"/>
  <c r="J47" i="45" s="1"/>
  <c r="K47" i="45" s="1"/>
  <c r="L47" i="45" s="1"/>
  <c r="M47" i="45" s="1"/>
  <c r="B47" i="46" s="1"/>
  <c r="N47" i="45"/>
  <c r="AE8" i="14"/>
  <c r="EX35" i="16"/>
  <c r="EV35" i="16"/>
  <c r="EW35" i="16" s="1"/>
  <c r="EU35" i="16"/>
  <c r="EU28" i="16"/>
  <c r="EX28" i="16"/>
  <c r="EV28" i="16"/>
  <c r="EW28" i="16" s="1"/>
  <c r="C45" i="45"/>
  <c r="D45" i="45" s="1"/>
  <c r="E45" i="45" s="1"/>
  <c r="F45" i="45" s="1"/>
  <c r="G45" i="45" s="1"/>
  <c r="H45" i="45" s="1"/>
  <c r="I45" i="45" s="1"/>
  <c r="J45" i="45" s="1"/>
  <c r="K45" i="45" s="1"/>
  <c r="L45" i="45" s="1"/>
  <c r="M45" i="45" s="1"/>
  <c r="B45" i="46" s="1"/>
  <c r="I28" i="18"/>
  <c r="I58" i="18" s="1"/>
  <c r="I59" i="18" s="1"/>
  <c r="EX10" i="16"/>
  <c r="EV10" i="16"/>
  <c r="EW10" i="16" s="1"/>
  <c r="EU10" i="16"/>
  <c r="AE13" i="14"/>
  <c r="EX31" i="16"/>
  <c r="EV31" i="16"/>
  <c r="EW31" i="16" s="1"/>
  <c r="EU31" i="16"/>
  <c r="AE5" i="14"/>
  <c r="E9" i="19"/>
  <c r="AE34" i="14"/>
  <c r="EX36" i="16"/>
  <c r="EV36" i="16"/>
  <c r="EW36" i="16" s="1"/>
  <c r="EU36" i="16"/>
  <c r="C52" i="22"/>
  <c r="E52" i="20"/>
  <c r="AE30" i="14"/>
  <c r="H28" i="18"/>
  <c r="H58" i="18" s="1"/>
  <c r="H59" i="18" s="1"/>
  <c r="D52" i="21"/>
  <c r="AE33" i="14"/>
  <c r="EX6" i="16"/>
  <c r="EV6" i="16"/>
  <c r="EW6" i="16" s="1"/>
  <c r="EU6" i="16"/>
  <c r="AE16" i="14"/>
  <c r="EV43" i="16"/>
  <c r="EW43" i="16" s="1"/>
  <c r="EX43" i="16"/>
  <c r="EU43" i="16"/>
  <c r="AE6" i="14"/>
  <c r="H4" i="10"/>
  <c r="J5" i="6"/>
  <c r="AF3" i="14"/>
  <c r="G8" i="6"/>
  <c r="F9" i="6"/>
  <c r="H7" i="6"/>
  <c r="I6" i="6"/>
  <c r="AM177" i="16" l="1"/>
  <c r="N45" i="45"/>
  <c r="F38" i="2"/>
  <c r="AL177" i="16"/>
  <c r="AC177" i="16"/>
  <c r="J4" i="10"/>
  <c r="I4" i="10"/>
  <c r="AF178" i="16"/>
  <c r="AD178" i="16" s="1"/>
  <c r="AF12" i="14"/>
  <c r="AP178" i="16"/>
  <c r="AF32" i="14"/>
  <c r="AF17" i="14"/>
  <c r="EY12" i="16"/>
  <c r="FB12" i="16"/>
  <c r="EZ12" i="16"/>
  <c r="FA12" i="16" s="1"/>
  <c r="C48" i="46"/>
  <c r="D48" i="46" s="1"/>
  <c r="E48" i="46" s="1"/>
  <c r="F48" i="46" s="1"/>
  <c r="G48" i="46" s="1"/>
  <c r="H48" i="46" s="1"/>
  <c r="I48" i="46" s="1"/>
  <c r="J48" i="46" s="1"/>
  <c r="K48" i="46" s="1"/>
  <c r="L48" i="46" s="1"/>
  <c r="M48" i="46" s="1"/>
  <c r="B48" i="47" s="1"/>
  <c r="F52" i="20"/>
  <c r="FB28" i="16"/>
  <c r="EZ28" i="16"/>
  <c r="FA28" i="16" s="1"/>
  <c r="EY28" i="16"/>
  <c r="AF26" i="14"/>
  <c r="FB42" i="16"/>
  <c r="EZ42" i="16"/>
  <c r="FA42" i="16" s="1"/>
  <c r="EY42" i="16"/>
  <c r="AF24" i="14"/>
  <c r="FB24" i="16"/>
  <c r="EZ24" i="16"/>
  <c r="FA24" i="16" s="1"/>
  <c r="EY24" i="16"/>
  <c r="G52" i="19"/>
  <c r="EZ22" i="16"/>
  <c r="FA22" i="16" s="1"/>
  <c r="FB22" i="16"/>
  <c r="EY22" i="16"/>
  <c r="AF22" i="14"/>
  <c r="C46" i="46"/>
  <c r="D46" i="46" s="1"/>
  <c r="E46" i="46" s="1"/>
  <c r="F46" i="46" s="1"/>
  <c r="G46" i="46" s="1"/>
  <c r="H46" i="46" s="1"/>
  <c r="I46" i="46" s="1"/>
  <c r="J46" i="46" s="1"/>
  <c r="K46" i="46" s="1"/>
  <c r="L46" i="46" s="1"/>
  <c r="M46" i="46" s="1"/>
  <c r="B46" i="47" s="1"/>
  <c r="B52" i="24"/>
  <c r="C42" i="24"/>
  <c r="D42" i="24" s="1"/>
  <c r="E42" i="24" s="1"/>
  <c r="F42" i="24" s="1"/>
  <c r="G42" i="24" s="1"/>
  <c r="H42" i="24" s="1"/>
  <c r="I42" i="24" s="1"/>
  <c r="J42" i="24" s="1"/>
  <c r="K42" i="24" s="1"/>
  <c r="L42" i="24" s="1"/>
  <c r="M42" i="24" s="1"/>
  <c r="B42" i="25" s="1"/>
  <c r="N42" i="24"/>
  <c r="EY43" i="16"/>
  <c r="FB43" i="16"/>
  <c r="EZ43" i="16"/>
  <c r="FA43" i="16" s="1"/>
  <c r="AF31" i="14"/>
  <c r="D52" i="22"/>
  <c r="AE51" i="14"/>
  <c r="AE56" i="14"/>
  <c r="AF15" i="14"/>
  <c r="AE61" i="14"/>
  <c r="AE54" i="14"/>
  <c r="AE59" i="14"/>
  <c r="AE57" i="14"/>
  <c r="AE62" i="14"/>
  <c r="AE55" i="14"/>
  <c r="AE60" i="14"/>
  <c r="AE53" i="14"/>
  <c r="AE52" i="14"/>
  <c r="AE58" i="14"/>
  <c r="C52" i="23"/>
  <c r="AF14" i="14"/>
  <c r="AF30" i="14"/>
  <c r="EZ26" i="16"/>
  <c r="FA26" i="16" s="1"/>
  <c r="FB26" i="16"/>
  <c r="EY26" i="16"/>
  <c r="S36" i="2"/>
  <c r="I37" i="2"/>
  <c r="U36" i="2"/>
  <c r="EY11" i="16"/>
  <c r="EZ11" i="16"/>
  <c r="FA11" i="16" s="1"/>
  <c r="FB11" i="16"/>
  <c r="FB27" i="16"/>
  <c r="EZ27" i="16"/>
  <c r="FA27" i="16" s="1"/>
  <c r="EY27" i="16"/>
  <c r="AF35" i="14"/>
  <c r="FB38" i="16"/>
  <c r="EZ38" i="16"/>
  <c r="FA38" i="16" s="1"/>
  <c r="EY38" i="16"/>
  <c r="EY19" i="16"/>
  <c r="FB19" i="16"/>
  <c r="EZ19" i="16"/>
  <c r="FA19" i="16" s="1"/>
  <c r="FB16" i="16"/>
  <c r="EZ16" i="16"/>
  <c r="FA16" i="16" s="1"/>
  <c r="EY16" i="16"/>
  <c r="EZ45" i="16"/>
  <c r="FA45" i="16" s="1"/>
  <c r="EY45" i="16"/>
  <c r="FB45" i="16"/>
  <c r="AF10" i="14"/>
  <c r="AH177" i="16"/>
  <c r="N42" i="23"/>
  <c r="FB9" i="16"/>
  <c r="EZ9" i="16"/>
  <c r="FA9" i="16" s="1"/>
  <c r="EY9" i="16"/>
  <c r="AF37" i="14"/>
  <c r="AE38" i="14"/>
  <c r="AE39" i="14" s="1"/>
  <c r="AE40" i="14" s="1"/>
  <c r="AE41" i="14" s="1"/>
  <c r="AE42" i="14" s="1"/>
  <c r="AE43" i="14" s="1"/>
  <c r="AE44" i="14" s="1"/>
  <c r="AE45" i="14" s="1"/>
  <c r="AE46" i="14" s="1"/>
  <c r="AE47" i="14" s="1"/>
  <c r="FB31" i="16"/>
  <c r="EZ31" i="16"/>
  <c r="FA31" i="16" s="1"/>
  <c r="EY31" i="16"/>
  <c r="AF16" i="14"/>
  <c r="AF13" i="14"/>
  <c r="EZ48" i="16"/>
  <c r="FA48" i="16" s="1"/>
  <c r="EY48" i="16"/>
  <c r="FB48" i="16"/>
  <c r="AF25" i="14"/>
  <c r="AF9" i="14"/>
  <c r="EZ35" i="16"/>
  <c r="FA35" i="16" s="1"/>
  <c r="FB35" i="16"/>
  <c r="EY35" i="16"/>
  <c r="EY37" i="16"/>
  <c r="FB37" i="16"/>
  <c r="EZ37" i="16"/>
  <c r="FA37" i="16" s="1"/>
  <c r="FB29" i="16"/>
  <c r="EY29" i="16"/>
  <c r="EZ29" i="16"/>
  <c r="FA29" i="16" s="1"/>
  <c r="EY18" i="16"/>
  <c r="FB18" i="16"/>
  <c r="EZ18" i="16"/>
  <c r="FA18" i="16" s="1"/>
  <c r="AK178" i="16"/>
  <c r="AI178" i="16" s="1"/>
  <c r="AF27" i="14"/>
  <c r="EY30" i="16"/>
  <c r="FB30" i="16"/>
  <c r="EZ30" i="16"/>
  <c r="FA30" i="16" s="1"/>
  <c r="AF36" i="14"/>
  <c r="AF19" i="14"/>
  <c r="N43" i="45"/>
  <c r="AF7" i="14"/>
  <c r="C43" i="46"/>
  <c r="D43" i="46" s="1"/>
  <c r="E43" i="46" s="1"/>
  <c r="F43" i="46" s="1"/>
  <c r="G43" i="46" s="1"/>
  <c r="H43" i="46" s="1"/>
  <c r="I43" i="46" s="1"/>
  <c r="J43" i="46" s="1"/>
  <c r="K43" i="46" s="1"/>
  <c r="L43" i="46" s="1"/>
  <c r="M43" i="46" s="1"/>
  <c r="B43" i="47" s="1"/>
  <c r="K4" i="11"/>
  <c r="AE84" i="14"/>
  <c r="AE85" i="14"/>
  <c r="AE75" i="14"/>
  <c r="AE73" i="14"/>
  <c r="AE76" i="14"/>
  <c r="AE83" i="14"/>
  <c r="AE82" i="14"/>
  <c r="AE74" i="14"/>
  <c r="AE93" i="14"/>
  <c r="AE90" i="14"/>
  <c r="AE89" i="14"/>
  <c r="AE88" i="14"/>
  <c r="AE87" i="14"/>
  <c r="AE86" i="14"/>
  <c r="AE81" i="14"/>
  <c r="AE78" i="14"/>
  <c r="AE92" i="14"/>
  <c r="AE91" i="14"/>
  <c r="AE80" i="14"/>
  <c r="AE79" i="14"/>
  <c r="AE77" i="14"/>
  <c r="AF20" i="14"/>
  <c r="EZ39" i="16"/>
  <c r="FA39" i="16" s="1"/>
  <c r="EY39" i="16"/>
  <c r="FB39" i="16"/>
  <c r="AF29" i="14"/>
  <c r="AF34" i="14"/>
  <c r="EZ15" i="16"/>
  <c r="FA15" i="16" s="1"/>
  <c r="FB15" i="16"/>
  <c r="EY15" i="16"/>
  <c r="EZ21" i="16"/>
  <c r="FA21" i="16" s="1"/>
  <c r="EY21" i="16"/>
  <c r="FB21" i="16"/>
  <c r="H38" i="2"/>
  <c r="AB38" i="2"/>
  <c r="AB177" i="16"/>
  <c r="AF6" i="14"/>
  <c r="FB17" i="16"/>
  <c r="EZ17" i="16"/>
  <c r="FA17" i="16" s="1"/>
  <c r="EY17" i="16"/>
  <c r="FB46" i="16"/>
  <c r="EZ46" i="16"/>
  <c r="FA46" i="16" s="1"/>
  <c r="EY46" i="16"/>
  <c r="EZ6" i="16"/>
  <c r="FA6" i="16" s="1"/>
  <c r="FB6" i="16"/>
  <c r="EY6" i="16"/>
  <c r="EZ36" i="16"/>
  <c r="FA36" i="16" s="1"/>
  <c r="FB36" i="16"/>
  <c r="EY36" i="16"/>
  <c r="AF8" i="14"/>
  <c r="EY20" i="16"/>
  <c r="FB20" i="16"/>
  <c r="EZ20" i="16"/>
  <c r="FA20" i="16" s="1"/>
  <c r="AF33" i="14"/>
  <c r="E52" i="21"/>
  <c r="C47" i="46"/>
  <c r="D47" i="46" s="1"/>
  <c r="E47" i="46" s="1"/>
  <c r="F47" i="46" s="1"/>
  <c r="G47" i="46" s="1"/>
  <c r="H47" i="46" s="1"/>
  <c r="I47" i="46" s="1"/>
  <c r="J47" i="46" s="1"/>
  <c r="K47" i="46" s="1"/>
  <c r="L47" i="46" s="1"/>
  <c r="M47" i="46" s="1"/>
  <c r="B47" i="47" s="1"/>
  <c r="AF21" i="14"/>
  <c r="N58" i="18"/>
  <c r="N59" i="18" s="1"/>
  <c r="F60" i="18" s="1"/>
  <c r="B59" i="18"/>
  <c r="L32" i="4"/>
  <c r="FB40" i="16"/>
  <c r="EZ40" i="16"/>
  <c r="FA40" i="16" s="1"/>
  <c r="EY40" i="16"/>
  <c r="EZ32" i="16"/>
  <c r="FA32" i="16" s="1"/>
  <c r="EY32" i="16"/>
  <c r="FB32" i="16"/>
  <c r="F8" i="19"/>
  <c r="AE63" i="14"/>
  <c r="AE68" i="14"/>
  <c r="AE66" i="14"/>
  <c r="AE71" i="14"/>
  <c r="AE64" i="14"/>
  <c r="AE69" i="14"/>
  <c r="AE67" i="14"/>
  <c r="AE72" i="14"/>
  <c r="AE65" i="14"/>
  <c r="AE70" i="14"/>
  <c r="AF18" i="14"/>
  <c r="D4" i="11"/>
  <c r="J4" i="11" s="1"/>
  <c r="D4" i="5"/>
  <c r="D4" i="6" s="1"/>
  <c r="FB10" i="16"/>
  <c r="EZ10" i="16"/>
  <c r="FA10" i="16" s="1"/>
  <c r="EY10" i="16"/>
  <c r="AG50" i="14"/>
  <c r="AH4" i="14"/>
  <c r="FB34" i="16"/>
  <c r="EZ34" i="16"/>
  <c r="FA34" i="16" s="1"/>
  <c r="EY34" i="16"/>
  <c r="C49" i="46"/>
  <c r="D49" i="46" s="1"/>
  <c r="E49" i="46" s="1"/>
  <c r="F49" i="46" s="1"/>
  <c r="G49" i="46" s="1"/>
  <c r="H49" i="46" s="1"/>
  <c r="I49" i="46" s="1"/>
  <c r="J49" i="46" s="1"/>
  <c r="K49" i="46" s="1"/>
  <c r="L49" i="46" s="1"/>
  <c r="M49" i="46" s="1"/>
  <c r="B49" i="47" s="1"/>
  <c r="EZ33" i="16"/>
  <c r="FA33" i="16" s="1"/>
  <c r="EY33" i="16"/>
  <c r="FB33" i="16"/>
  <c r="AF11" i="14"/>
  <c r="FB14" i="16"/>
  <c r="EZ14" i="16"/>
  <c r="FA14" i="16" s="1"/>
  <c r="EY14" i="16"/>
  <c r="FB8" i="16"/>
  <c r="EZ8" i="16"/>
  <c r="FA8" i="16" s="1"/>
  <c r="EY8" i="16"/>
  <c r="N28" i="18"/>
  <c r="N44" i="45"/>
  <c r="FB23" i="16"/>
  <c r="EZ23" i="16"/>
  <c r="FA23" i="16" s="1"/>
  <c r="EY23" i="16"/>
  <c r="EZ25" i="16"/>
  <c r="FA25" i="16" s="1"/>
  <c r="FB25" i="16"/>
  <c r="EY25" i="16"/>
  <c r="I38" i="2"/>
  <c r="U37" i="2"/>
  <c r="S37" i="2"/>
  <c r="AG177" i="16"/>
  <c r="AF28" i="14"/>
  <c r="C44" i="46"/>
  <c r="D44" i="46" s="1"/>
  <c r="E44" i="46" s="1"/>
  <c r="F44" i="46" s="1"/>
  <c r="G44" i="46" s="1"/>
  <c r="H44" i="46" s="1"/>
  <c r="I44" i="46" s="1"/>
  <c r="J44" i="46" s="1"/>
  <c r="K44" i="46" s="1"/>
  <c r="L44" i="46" s="1"/>
  <c r="M44" i="46" s="1"/>
  <c r="B44" i="47" s="1"/>
  <c r="M31" i="4"/>
  <c r="C40" i="2"/>
  <c r="E39" i="2"/>
  <c r="AC39" i="2"/>
  <c r="AD39" i="2" s="1"/>
  <c r="D39" i="2"/>
  <c r="F39" i="2" s="1"/>
  <c r="AF5" i="14"/>
  <c r="C45" i="46"/>
  <c r="D45" i="46" s="1"/>
  <c r="E45" i="46" s="1"/>
  <c r="F45" i="46" s="1"/>
  <c r="G45" i="46" s="1"/>
  <c r="H45" i="46" s="1"/>
  <c r="I45" i="46" s="1"/>
  <c r="J45" i="46" s="1"/>
  <c r="K45" i="46" s="1"/>
  <c r="L45" i="46" s="1"/>
  <c r="M45" i="46" s="1"/>
  <c r="B45" i="47" s="1"/>
  <c r="N45" i="46"/>
  <c r="EY41" i="16"/>
  <c r="EZ41" i="16"/>
  <c r="FA41" i="16" s="1"/>
  <c r="FB41" i="16"/>
  <c r="AN177" i="16"/>
  <c r="N51" i="45"/>
  <c r="N50" i="45"/>
  <c r="FB47" i="16"/>
  <c r="EY47" i="16"/>
  <c r="EZ47" i="16"/>
  <c r="FA47" i="16" s="1"/>
  <c r="G6" i="19"/>
  <c r="H4" i="19"/>
  <c r="EY13" i="16"/>
  <c r="FB13" i="16"/>
  <c r="EZ13" i="16"/>
  <c r="FA13" i="16" s="1"/>
  <c r="AF23" i="14"/>
  <c r="EZ7" i="16"/>
  <c r="FA7" i="16" s="1"/>
  <c r="EY7" i="16"/>
  <c r="FB7" i="16"/>
  <c r="C51" i="46"/>
  <c r="D51" i="46" s="1"/>
  <c r="E51" i="46" s="1"/>
  <c r="F51" i="46" s="1"/>
  <c r="G51" i="46" s="1"/>
  <c r="H51" i="46" s="1"/>
  <c r="I51" i="46" s="1"/>
  <c r="J51" i="46" s="1"/>
  <c r="K51" i="46" s="1"/>
  <c r="L51" i="46" s="1"/>
  <c r="M51" i="46" s="1"/>
  <c r="B51" i="47" s="1"/>
  <c r="C50" i="46"/>
  <c r="D50" i="46" s="1"/>
  <c r="E50" i="46" s="1"/>
  <c r="F50" i="46" s="1"/>
  <c r="G50" i="46" s="1"/>
  <c r="H50" i="46" s="1"/>
  <c r="I50" i="46" s="1"/>
  <c r="J50" i="46" s="1"/>
  <c r="K50" i="46" s="1"/>
  <c r="L50" i="46" s="1"/>
  <c r="M50" i="46" s="1"/>
  <c r="B50" i="47" s="1"/>
  <c r="N50" i="46"/>
  <c r="FB5" i="16"/>
  <c r="EZ5" i="16"/>
  <c r="FA5" i="16" s="1"/>
  <c r="EY5" i="16"/>
  <c r="E26" i="19"/>
  <c r="EZ44" i="16"/>
  <c r="FA44" i="16" s="1"/>
  <c r="EY44" i="16"/>
  <c r="FB44" i="16"/>
  <c r="N48" i="45"/>
  <c r="F34" i="19"/>
  <c r="F33" i="19"/>
  <c r="F24" i="19"/>
  <c r="F13" i="19"/>
  <c r="F23" i="19"/>
  <c r="F32" i="19"/>
  <c r="F22" i="19"/>
  <c r="F20" i="19"/>
  <c r="F19" i="19"/>
  <c r="F30" i="19"/>
  <c r="F31" i="19" s="1"/>
  <c r="F18" i="19"/>
  <c r="F39" i="19"/>
  <c r="F17" i="19"/>
  <c r="F11" i="19"/>
  <c r="F38" i="19"/>
  <c r="F16" i="19"/>
  <c r="F10" i="19"/>
  <c r="F15" i="19"/>
  <c r="F25" i="19"/>
  <c r="F14" i="19"/>
  <c r="F21" i="19"/>
  <c r="F10" i="6"/>
  <c r="K5" i="6"/>
  <c r="G9" i="6"/>
  <c r="I7" i="6"/>
  <c r="AG3" i="14"/>
  <c r="J6" i="6"/>
  <c r="H8" i="6"/>
  <c r="AM178" i="16" l="1"/>
  <c r="AG178" i="16"/>
  <c r="G4" i="11"/>
  <c r="C4" i="11" s="1"/>
  <c r="E4" i="11" s="1"/>
  <c r="N49" i="46"/>
  <c r="N43" i="46"/>
  <c r="N46" i="46"/>
  <c r="N47" i="46"/>
  <c r="N44" i="46"/>
  <c r="AB178" i="16"/>
  <c r="AC178" i="16"/>
  <c r="AL178" i="16"/>
  <c r="AN178" i="16"/>
  <c r="F26" i="19"/>
  <c r="F57" i="19" s="1"/>
  <c r="C51" i="47"/>
  <c r="D51" i="47" s="1"/>
  <c r="E51" i="47" s="1"/>
  <c r="F51" i="47" s="1"/>
  <c r="G51" i="47" s="1"/>
  <c r="H51" i="47" s="1"/>
  <c r="I51" i="47" s="1"/>
  <c r="J51" i="47" s="1"/>
  <c r="K51" i="47" s="1"/>
  <c r="L51" i="47" s="1"/>
  <c r="M51" i="47" s="1"/>
  <c r="B51" i="48" s="1"/>
  <c r="N51" i="47"/>
  <c r="FC45" i="16"/>
  <c r="FD45" i="16"/>
  <c r="FE45" i="16" s="1"/>
  <c r="FF45" i="16"/>
  <c r="N51" i="46"/>
  <c r="H6" i="19"/>
  <c r="H7" i="19" s="1"/>
  <c r="I4" i="19"/>
  <c r="AG28" i="14"/>
  <c r="FD10" i="16"/>
  <c r="FE10" i="16" s="1"/>
  <c r="FF10" i="16"/>
  <c r="FC10" i="16"/>
  <c r="AG34" i="14"/>
  <c r="AG36" i="14"/>
  <c r="AG16" i="14"/>
  <c r="AG10" i="14"/>
  <c r="FF38" i="16"/>
  <c r="FC38" i="16"/>
  <c r="FD38" i="16"/>
  <c r="FE38" i="16" s="1"/>
  <c r="N48" i="46"/>
  <c r="FD40" i="16"/>
  <c r="FE40" i="16" s="1"/>
  <c r="FF40" i="16"/>
  <c r="FC40" i="16"/>
  <c r="FD7" i="16"/>
  <c r="FE7" i="16" s="1"/>
  <c r="FF7" i="16"/>
  <c r="FC7" i="16"/>
  <c r="C45" i="47"/>
  <c r="D45" i="47" s="1"/>
  <c r="E45" i="47" s="1"/>
  <c r="F45" i="47" s="1"/>
  <c r="G45" i="47" s="1"/>
  <c r="H45" i="47" s="1"/>
  <c r="I45" i="47" s="1"/>
  <c r="J45" i="47" s="1"/>
  <c r="K45" i="47" s="1"/>
  <c r="L45" i="47" s="1"/>
  <c r="M45" i="47" s="1"/>
  <c r="B45" i="48" s="1"/>
  <c r="N45" i="47"/>
  <c r="L33" i="4"/>
  <c r="AG6" i="14"/>
  <c r="FC39" i="16"/>
  <c r="FF39" i="16"/>
  <c r="FD39" i="16"/>
  <c r="FE39" i="16" s="1"/>
  <c r="FF30" i="16"/>
  <c r="FD30" i="16"/>
  <c r="FE30" i="16" s="1"/>
  <c r="FC30" i="16"/>
  <c r="C42" i="25"/>
  <c r="D42" i="25" s="1"/>
  <c r="E42" i="25" s="1"/>
  <c r="F42" i="25" s="1"/>
  <c r="G42" i="25" s="1"/>
  <c r="H42" i="25" s="1"/>
  <c r="I42" i="25" s="1"/>
  <c r="J42" i="25" s="1"/>
  <c r="K42" i="25" s="1"/>
  <c r="L42" i="25" s="1"/>
  <c r="M42" i="25" s="1"/>
  <c r="B42" i="26" s="1"/>
  <c r="B52" i="25"/>
  <c r="AG24" i="14"/>
  <c r="AG30" i="14"/>
  <c r="C52" i="24"/>
  <c r="FF12" i="16"/>
  <c r="FD12" i="16"/>
  <c r="FE12" i="16" s="1"/>
  <c r="FC12" i="16"/>
  <c r="AG29" i="14"/>
  <c r="H39" i="2"/>
  <c r="I39" i="2" s="1"/>
  <c r="AB39" i="2"/>
  <c r="I60" i="18"/>
  <c r="G60" i="18"/>
  <c r="AK179" i="16"/>
  <c r="AI179" i="16" s="1"/>
  <c r="AG27" i="14"/>
  <c r="FC35" i="16"/>
  <c r="FF35" i="16"/>
  <c r="FD35" i="16"/>
  <c r="FE35" i="16" s="1"/>
  <c r="FC27" i="16"/>
  <c r="FF27" i="16"/>
  <c r="FD27" i="16"/>
  <c r="FE27" i="16" s="1"/>
  <c r="AG14" i="14"/>
  <c r="AG21" i="14"/>
  <c r="U38" i="2"/>
  <c r="S38" i="2"/>
  <c r="AF89" i="14"/>
  <c r="AF90" i="14"/>
  <c r="AF78" i="14"/>
  <c r="AF73" i="14"/>
  <c r="AF76" i="14"/>
  <c r="AF83" i="14"/>
  <c r="AF82" i="14"/>
  <c r="AF74" i="14"/>
  <c r="AG20" i="14"/>
  <c r="AF93" i="14"/>
  <c r="AF88" i="14"/>
  <c r="AF87" i="14"/>
  <c r="AF86" i="14"/>
  <c r="AF85" i="14"/>
  <c r="AF84" i="14"/>
  <c r="AF81" i="14"/>
  <c r="AF92" i="14"/>
  <c r="AF91" i="14"/>
  <c r="AF80" i="14"/>
  <c r="AF79" i="14"/>
  <c r="AF77" i="14"/>
  <c r="AF75" i="14"/>
  <c r="FD11" i="16"/>
  <c r="FE11" i="16" s="1"/>
  <c r="FF11" i="16"/>
  <c r="FC11" i="16"/>
  <c r="AF56" i="14"/>
  <c r="AF61" i="14"/>
  <c r="AF54" i="14"/>
  <c r="AF59" i="14"/>
  <c r="AF52" i="14"/>
  <c r="AF57" i="14"/>
  <c r="AF62" i="14"/>
  <c r="AF55" i="14"/>
  <c r="AF60" i="14"/>
  <c r="AF53" i="14"/>
  <c r="AF58" i="14"/>
  <c r="AG15" i="14"/>
  <c r="AF51" i="14"/>
  <c r="C46" i="47"/>
  <c r="D46" i="47" s="1"/>
  <c r="E46" i="47" s="1"/>
  <c r="F46" i="47" s="1"/>
  <c r="G46" i="47" s="1"/>
  <c r="H46" i="47" s="1"/>
  <c r="I46" i="47" s="1"/>
  <c r="J46" i="47" s="1"/>
  <c r="K46" i="47" s="1"/>
  <c r="L46" i="47" s="1"/>
  <c r="M46" i="47" s="1"/>
  <c r="B46" i="48" s="1"/>
  <c r="N46" i="47"/>
  <c r="FF42" i="16"/>
  <c r="FD42" i="16"/>
  <c r="FE42" i="16" s="1"/>
  <c r="FC42" i="16"/>
  <c r="AG17" i="14"/>
  <c r="D4" i="7"/>
  <c r="D4" i="8" s="1"/>
  <c r="D4" i="9" s="1"/>
  <c r="D4" i="10" s="1"/>
  <c r="C4" i="12" s="1"/>
  <c r="R4" i="6"/>
  <c r="FD36" i="16"/>
  <c r="FE36" i="16" s="1"/>
  <c r="FC36" i="16"/>
  <c r="FF36" i="16"/>
  <c r="E57" i="19"/>
  <c r="FF25" i="16"/>
  <c r="FD25" i="16"/>
  <c r="FE25" i="16" s="1"/>
  <c r="FC25" i="16"/>
  <c r="FF14" i="16"/>
  <c r="FD14" i="16"/>
  <c r="FE14" i="16" s="1"/>
  <c r="FC14" i="16"/>
  <c r="FC6" i="16"/>
  <c r="FF6" i="16"/>
  <c r="FD6" i="16"/>
  <c r="FE6" i="16" s="1"/>
  <c r="FF21" i="16"/>
  <c r="FD21" i="16"/>
  <c r="FE21" i="16" s="1"/>
  <c r="FC21" i="16"/>
  <c r="AG9" i="14"/>
  <c r="AG37" i="14"/>
  <c r="AF38" i="14"/>
  <c r="AF39" i="14" s="1"/>
  <c r="AF40" i="14" s="1"/>
  <c r="AF41" i="14" s="1"/>
  <c r="AF42" i="14" s="1"/>
  <c r="AF43" i="14" s="1"/>
  <c r="AF44" i="14" s="1"/>
  <c r="AF45" i="14" s="1"/>
  <c r="AF46" i="14" s="1"/>
  <c r="AF47" i="14" s="1"/>
  <c r="FF16" i="16"/>
  <c r="FD16" i="16"/>
  <c r="FE16" i="16" s="1"/>
  <c r="FC16" i="16"/>
  <c r="D52" i="23"/>
  <c r="AG22" i="14"/>
  <c r="AG26" i="14"/>
  <c r="AP179" i="16"/>
  <c r="AG32" i="14"/>
  <c r="AG8" i="14"/>
  <c r="AG35" i="14"/>
  <c r="FD34" i="16"/>
  <c r="FE34" i="16" s="1"/>
  <c r="FF34" i="16"/>
  <c r="FC34" i="16"/>
  <c r="AC40" i="2"/>
  <c r="AD40" i="2" s="1"/>
  <c r="D40" i="2"/>
  <c r="C41" i="2"/>
  <c r="E40" i="2"/>
  <c r="AG11" i="14"/>
  <c r="AH50" i="14"/>
  <c r="AI4" i="14"/>
  <c r="AF68" i="14"/>
  <c r="AF66" i="14"/>
  <c r="AF71" i="14"/>
  <c r="AF64" i="14"/>
  <c r="AF69" i="14"/>
  <c r="AG18" i="14"/>
  <c r="AF67" i="14"/>
  <c r="AF72" i="14"/>
  <c r="AF65" i="14"/>
  <c r="AF70" i="14"/>
  <c r="AF63" i="14"/>
  <c r="C47" i="47"/>
  <c r="D47" i="47" s="1"/>
  <c r="E47" i="47" s="1"/>
  <c r="F47" i="47" s="1"/>
  <c r="G47" i="47" s="1"/>
  <c r="H47" i="47" s="1"/>
  <c r="I47" i="47" s="1"/>
  <c r="J47" i="47" s="1"/>
  <c r="K47" i="47" s="1"/>
  <c r="L47" i="47" s="1"/>
  <c r="M47" i="47" s="1"/>
  <c r="B47" i="48" s="1"/>
  <c r="C43" i="47"/>
  <c r="D43" i="47" s="1"/>
  <c r="E43" i="47" s="1"/>
  <c r="F43" i="47" s="1"/>
  <c r="G43" i="47" s="1"/>
  <c r="H43" i="47" s="1"/>
  <c r="I43" i="47" s="1"/>
  <c r="J43" i="47" s="1"/>
  <c r="K43" i="47" s="1"/>
  <c r="L43" i="47" s="1"/>
  <c r="M43" i="47" s="1"/>
  <c r="B43" i="48" s="1"/>
  <c r="N43" i="47"/>
  <c r="FD18" i="16"/>
  <c r="FE18" i="16" s="1"/>
  <c r="FC18" i="16"/>
  <c r="FF18" i="16"/>
  <c r="AG25" i="14"/>
  <c r="K4" i="10"/>
  <c r="FF37" i="16"/>
  <c r="FD37" i="16"/>
  <c r="FE37" i="16" s="1"/>
  <c r="FC37" i="16"/>
  <c r="FC24" i="16"/>
  <c r="FF24" i="16"/>
  <c r="FD24" i="16"/>
  <c r="FE24" i="16" s="1"/>
  <c r="FF44" i="16"/>
  <c r="FD44" i="16"/>
  <c r="FE44" i="16" s="1"/>
  <c r="FC44" i="16"/>
  <c r="AG23" i="14"/>
  <c r="FC47" i="16"/>
  <c r="FF47" i="16"/>
  <c r="FD47" i="16"/>
  <c r="FE47" i="16" s="1"/>
  <c r="FF13" i="16"/>
  <c r="FD13" i="16"/>
  <c r="FE13" i="16" s="1"/>
  <c r="FC13" i="16"/>
  <c r="FD33" i="16"/>
  <c r="FE33" i="16" s="1"/>
  <c r="FC33" i="16"/>
  <c r="FF33" i="16"/>
  <c r="FD32" i="16"/>
  <c r="FE32" i="16" s="1"/>
  <c r="FF32" i="16"/>
  <c r="FC32" i="16"/>
  <c r="F52" i="21"/>
  <c r="FD48" i="16"/>
  <c r="FE48" i="16" s="1"/>
  <c r="FF48" i="16"/>
  <c r="FC48" i="16"/>
  <c r="FF19" i="16"/>
  <c r="FD19" i="16"/>
  <c r="FE19" i="16" s="1"/>
  <c r="FC19" i="16"/>
  <c r="E52" i="22"/>
  <c r="FC22" i="16"/>
  <c r="FF22" i="16"/>
  <c r="FD22" i="16"/>
  <c r="FE22" i="16" s="1"/>
  <c r="AF179" i="16"/>
  <c r="AD179" i="16" s="1"/>
  <c r="AG12" i="14"/>
  <c r="G33" i="19"/>
  <c r="G24" i="19"/>
  <c r="G13" i="19"/>
  <c r="G23" i="19"/>
  <c r="G32" i="19"/>
  <c r="G22" i="19"/>
  <c r="G20" i="19"/>
  <c r="G19" i="19"/>
  <c r="G30" i="19"/>
  <c r="G31" i="19" s="1"/>
  <c r="G18" i="19"/>
  <c r="G39" i="19"/>
  <c r="G17" i="19"/>
  <c r="G11" i="19"/>
  <c r="G38" i="19"/>
  <c r="G16" i="19"/>
  <c r="G10" i="19"/>
  <c r="G15" i="19"/>
  <c r="G25" i="19"/>
  <c r="G14" i="19"/>
  <c r="G34" i="19"/>
  <c r="G21" i="19"/>
  <c r="FC5" i="16"/>
  <c r="FD5" i="16"/>
  <c r="FE5" i="16" s="1"/>
  <c r="FF5" i="16"/>
  <c r="M32" i="4"/>
  <c r="AG33" i="14"/>
  <c r="AG7" i="14"/>
  <c r="FF9" i="16"/>
  <c r="FD9" i="16"/>
  <c r="FE9" i="16" s="1"/>
  <c r="FC9" i="16"/>
  <c r="AG31" i="14"/>
  <c r="FF28" i="16"/>
  <c r="FD28" i="16"/>
  <c r="FE28" i="16" s="1"/>
  <c r="FC28" i="16"/>
  <c r="FD17" i="16"/>
  <c r="FE17" i="16" s="1"/>
  <c r="FF17" i="16"/>
  <c r="FC17" i="16"/>
  <c r="FD26" i="16"/>
  <c r="FE26" i="16" s="1"/>
  <c r="FF26" i="16"/>
  <c r="FC26" i="16"/>
  <c r="FF31" i="16"/>
  <c r="FD31" i="16"/>
  <c r="FE31" i="16" s="1"/>
  <c r="FC31" i="16"/>
  <c r="G8" i="19"/>
  <c r="FC41" i="16"/>
  <c r="FF41" i="16"/>
  <c r="FD41" i="16"/>
  <c r="FE41" i="16" s="1"/>
  <c r="FC23" i="16"/>
  <c r="FF23" i="16"/>
  <c r="FD23" i="16"/>
  <c r="FE23" i="16" s="1"/>
  <c r="FD46" i="16"/>
  <c r="FE46" i="16" s="1"/>
  <c r="FC46" i="16"/>
  <c r="FF46" i="16"/>
  <c r="FC15" i="16"/>
  <c r="FD15" i="16"/>
  <c r="FE15" i="16" s="1"/>
  <c r="FF15" i="16"/>
  <c r="H52" i="19"/>
  <c r="G52" i="20"/>
  <c r="C48" i="47"/>
  <c r="D48" i="47" s="1"/>
  <c r="E48" i="47" s="1"/>
  <c r="F48" i="47" s="1"/>
  <c r="G48" i="47" s="1"/>
  <c r="H48" i="47" s="1"/>
  <c r="I48" i="47" s="1"/>
  <c r="J48" i="47" s="1"/>
  <c r="K48" i="47" s="1"/>
  <c r="L48" i="47" s="1"/>
  <c r="M48" i="47" s="1"/>
  <c r="B48" i="48" s="1"/>
  <c r="AG5" i="14"/>
  <c r="FF8" i="16"/>
  <c r="FD8" i="16"/>
  <c r="FE8" i="16" s="1"/>
  <c r="FC8" i="16"/>
  <c r="C50" i="47"/>
  <c r="D50" i="47" s="1"/>
  <c r="E50" i="47" s="1"/>
  <c r="F50" i="47" s="1"/>
  <c r="G50" i="47" s="1"/>
  <c r="H50" i="47" s="1"/>
  <c r="I50" i="47" s="1"/>
  <c r="J50" i="47" s="1"/>
  <c r="K50" i="47" s="1"/>
  <c r="L50" i="47" s="1"/>
  <c r="M50" i="47" s="1"/>
  <c r="B50" i="48" s="1"/>
  <c r="N50" i="47"/>
  <c r="G9" i="19"/>
  <c r="C44" i="47"/>
  <c r="D44" i="47" s="1"/>
  <c r="E44" i="47" s="1"/>
  <c r="F44" i="47" s="1"/>
  <c r="G44" i="47" s="1"/>
  <c r="H44" i="47" s="1"/>
  <c r="I44" i="47" s="1"/>
  <c r="J44" i="47" s="1"/>
  <c r="K44" i="47" s="1"/>
  <c r="L44" i="47" s="1"/>
  <c r="M44" i="47" s="1"/>
  <c r="B44" i="48" s="1"/>
  <c r="C49" i="47"/>
  <c r="D49" i="47" s="1"/>
  <c r="E49" i="47" s="1"/>
  <c r="F49" i="47" s="1"/>
  <c r="G49" i="47" s="1"/>
  <c r="H49" i="47" s="1"/>
  <c r="I49" i="47" s="1"/>
  <c r="J49" i="47" s="1"/>
  <c r="K49" i="47" s="1"/>
  <c r="L49" i="47" s="1"/>
  <c r="M49" i="47" s="1"/>
  <c r="B49" i="48" s="1"/>
  <c r="FF20" i="16"/>
  <c r="FD20" i="16"/>
  <c r="FE20" i="16" s="1"/>
  <c r="FC20" i="16"/>
  <c r="AG19" i="14"/>
  <c r="FD29" i="16"/>
  <c r="FE29" i="16" s="1"/>
  <c r="FF29" i="16"/>
  <c r="FC29" i="16"/>
  <c r="AG13" i="14"/>
  <c r="AH178" i="16"/>
  <c r="FD43" i="16"/>
  <c r="FE43" i="16" s="1"/>
  <c r="FC43" i="16"/>
  <c r="FF43" i="16"/>
  <c r="AH3" i="14"/>
  <c r="L5" i="6"/>
  <c r="K6" i="6"/>
  <c r="F11" i="6"/>
  <c r="J7" i="6"/>
  <c r="I8" i="6"/>
  <c r="G10" i="6"/>
  <c r="H9" i="6"/>
  <c r="AM179" i="16" l="1"/>
  <c r="H4" i="11"/>
  <c r="N49" i="47"/>
  <c r="N44" i="47"/>
  <c r="AH179" i="16"/>
  <c r="H9" i="19"/>
  <c r="AG179" i="16"/>
  <c r="AL179" i="16"/>
  <c r="AN179" i="16"/>
  <c r="AB179" i="16"/>
  <c r="G26" i="19"/>
  <c r="G57" i="19" s="1"/>
  <c r="AC179" i="16"/>
  <c r="AF180" i="16"/>
  <c r="AH12" i="14"/>
  <c r="FJ42" i="16"/>
  <c r="FH42" i="16"/>
  <c r="FI42" i="16" s="1"/>
  <c r="FG42" i="16"/>
  <c r="FJ10" i="16"/>
  <c r="FH10" i="16"/>
  <c r="FI10" i="16" s="1"/>
  <c r="FG10" i="16"/>
  <c r="H52" i="20"/>
  <c r="FH22" i="16"/>
  <c r="FI22" i="16" s="1"/>
  <c r="FG22" i="16"/>
  <c r="FJ22" i="16"/>
  <c r="AH22" i="14"/>
  <c r="FJ6" i="16"/>
  <c r="FH6" i="16"/>
  <c r="FI6" i="16" s="1"/>
  <c r="FG6" i="16"/>
  <c r="FG30" i="16"/>
  <c r="FJ30" i="16"/>
  <c r="FH30" i="16"/>
  <c r="FI30" i="16" s="1"/>
  <c r="FH40" i="16"/>
  <c r="FI40" i="16" s="1"/>
  <c r="FJ40" i="16"/>
  <c r="FG40" i="16"/>
  <c r="C51" i="48"/>
  <c r="D51" i="48" s="1"/>
  <c r="E51" i="48" s="1"/>
  <c r="F51" i="48" s="1"/>
  <c r="G51" i="48" s="1"/>
  <c r="H51" i="48" s="1"/>
  <c r="I51" i="48" s="1"/>
  <c r="J51" i="48" s="1"/>
  <c r="K51" i="48" s="1"/>
  <c r="L51" i="48" s="1"/>
  <c r="M51" i="48" s="1"/>
  <c r="B51" i="49" s="1"/>
  <c r="AH5" i="14"/>
  <c r="FG32" i="16"/>
  <c r="FJ32" i="16"/>
  <c r="FH32" i="16"/>
  <c r="FI32" i="16" s="1"/>
  <c r="FH18" i="16"/>
  <c r="FI18" i="16" s="1"/>
  <c r="FJ18" i="16"/>
  <c r="FG18" i="16"/>
  <c r="AH13" i="14"/>
  <c r="I52" i="19"/>
  <c r="FJ5" i="16"/>
  <c r="FG5" i="16"/>
  <c r="FH5" i="16"/>
  <c r="FI5" i="16" s="1"/>
  <c r="FH33" i="16"/>
  <c r="FI33" i="16" s="1"/>
  <c r="FG33" i="16"/>
  <c r="FJ33" i="16"/>
  <c r="FH44" i="16"/>
  <c r="FI44" i="16" s="1"/>
  <c r="FJ44" i="16"/>
  <c r="FG44" i="16"/>
  <c r="E52" i="23"/>
  <c r="C46" i="48"/>
  <c r="D46" i="48" s="1"/>
  <c r="E46" i="48" s="1"/>
  <c r="F46" i="48" s="1"/>
  <c r="G46" i="48" s="1"/>
  <c r="H46" i="48" s="1"/>
  <c r="I46" i="48" s="1"/>
  <c r="J46" i="48" s="1"/>
  <c r="K46" i="48" s="1"/>
  <c r="L46" i="48" s="1"/>
  <c r="M46" i="48" s="1"/>
  <c r="B46" i="49" s="1"/>
  <c r="FJ35" i="16"/>
  <c r="FG35" i="16"/>
  <c r="FH35" i="16"/>
  <c r="FI35" i="16" s="1"/>
  <c r="FG12" i="16"/>
  <c r="FJ12" i="16"/>
  <c r="FH12" i="16"/>
  <c r="FI12" i="16" s="1"/>
  <c r="AH28" i="14"/>
  <c r="C44" i="48"/>
  <c r="D44" i="48" s="1"/>
  <c r="E44" i="48" s="1"/>
  <c r="F44" i="48" s="1"/>
  <c r="G44" i="48" s="1"/>
  <c r="H44" i="48" s="1"/>
  <c r="I44" i="48" s="1"/>
  <c r="J44" i="48" s="1"/>
  <c r="K44" i="48" s="1"/>
  <c r="L44" i="48" s="1"/>
  <c r="M44" i="48" s="1"/>
  <c r="B44" i="49" s="1"/>
  <c r="N44" i="48"/>
  <c r="FH41" i="16"/>
  <c r="FI41" i="16" s="1"/>
  <c r="FJ41" i="16"/>
  <c r="FG41" i="16"/>
  <c r="FJ36" i="16"/>
  <c r="FH36" i="16"/>
  <c r="FI36" i="16" s="1"/>
  <c r="FG36" i="16"/>
  <c r="FG39" i="16"/>
  <c r="FJ39" i="16"/>
  <c r="FH39" i="16"/>
  <c r="FI39" i="16" s="1"/>
  <c r="H8" i="19"/>
  <c r="G52" i="21"/>
  <c r="F52" i="22"/>
  <c r="FJ24" i="16"/>
  <c r="FH24" i="16"/>
  <c r="FI24" i="16" s="1"/>
  <c r="FG24" i="16"/>
  <c r="C43" i="48"/>
  <c r="D43" i="48" s="1"/>
  <c r="E43" i="48" s="1"/>
  <c r="F43" i="48" s="1"/>
  <c r="G43" i="48" s="1"/>
  <c r="H43" i="48" s="1"/>
  <c r="I43" i="48" s="1"/>
  <c r="J43" i="48" s="1"/>
  <c r="K43" i="48" s="1"/>
  <c r="L43" i="48" s="1"/>
  <c r="M43" i="48" s="1"/>
  <c r="B43" i="49" s="1"/>
  <c r="N43" i="48"/>
  <c r="FJ34" i="16"/>
  <c r="FH34" i="16"/>
  <c r="FI34" i="16" s="1"/>
  <c r="FG34" i="16"/>
  <c r="AG61" i="14"/>
  <c r="AG54" i="14"/>
  <c r="AG59" i="14"/>
  <c r="AG52" i="14"/>
  <c r="AG57" i="14"/>
  <c r="AG62" i="14"/>
  <c r="AG55" i="14"/>
  <c r="AG60" i="14"/>
  <c r="AG53" i="14"/>
  <c r="AG58" i="14"/>
  <c r="AG51" i="14"/>
  <c r="AG56" i="14"/>
  <c r="AH15" i="14"/>
  <c r="AK180" i="16"/>
  <c r="AH27" i="14"/>
  <c r="D52" i="24"/>
  <c r="FJ17" i="16"/>
  <c r="FH17" i="16"/>
  <c r="FI17" i="16" s="1"/>
  <c r="FG17" i="16"/>
  <c r="FJ29" i="16"/>
  <c r="FH29" i="16"/>
  <c r="FI29" i="16" s="1"/>
  <c r="FG29" i="16"/>
  <c r="C50" i="48"/>
  <c r="D50" i="48" s="1"/>
  <c r="E50" i="48" s="1"/>
  <c r="F50" i="48" s="1"/>
  <c r="G50" i="48" s="1"/>
  <c r="H50" i="48" s="1"/>
  <c r="I50" i="48" s="1"/>
  <c r="J50" i="48" s="1"/>
  <c r="K50" i="48" s="1"/>
  <c r="L50" i="48" s="1"/>
  <c r="M50" i="48" s="1"/>
  <c r="B50" i="49" s="1"/>
  <c r="N50" i="48"/>
  <c r="FG28" i="16"/>
  <c r="FH28" i="16"/>
  <c r="FI28" i="16" s="1"/>
  <c r="FJ28" i="16"/>
  <c r="N47" i="47"/>
  <c r="FG16" i="16"/>
  <c r="FH16" i="16"/>
  <c r="FI16" i="16" s="1"/>
  <c r="FJ16" i="16"/>
  <c r="FH11" i="16"/>
  <c r="FI11" i="16" s="1"/>
  <c r="FJ11" i="16"/>
  <c r="FG11" i="16"/>
  <c r="AH30" i="14"/>
  <c r="AH6" i="14"/>
  <c r="I6" i="19"/>
  <c r="I9" i="19" s="1"/>
  <c r="J4" i="19"/>
  <c r="C48" i="48"/>
  <c r="D48" i="48" s="1"/>
  <c r="E48" i="48" s="1"/>
  <c r="F48" i="48" s="1"/>
  <c r="G48" i="48" s="1"/>
  <c r="H48" i="48" s="1"/>
  <c r="I48" i="48" s="1"/>
  <c r="J48" i="48" s="1"/>
  <c r="K48" i="48" s="1"/>
  <c r="L48" i="48" s="1"/>
  <c r="M48" i="48" s="1"/>
  <c r="B48" i="49" s="1"/>
  <c r="N48" i="48"/>
  <c r="AH26" i="14"/>
  <c r="AH19" i="14"/>
  <c r="FH31" i="16"/>
  <c r="FI31" i="16" s="1"/>
  <c r="FJ31" i="16"/>
  <c r="FG31" i="16"/>
  <c r="FH19" i="16"/>
  <c r="FI19" i="16" s="1"/>
  <c r="FG19" i="16"/>
  <c r="FJ19" i="16"/>
  <c r="C47" i="48"/>
  <c r="D47" i="48" s="1"/>
  <c r="E47" i="48" s="1"/>
  <c r="F47" i="48" s="1"/>
  <c r="G47" i="48" s="1"/>
  <c r="H47" i="48" s="1"/>
  <c r="I47" i="48" s="1"/>
  <c r="J47" i="48" s="1"/>
  <c r="K47" i="48" s="1"/>
  <c r="L47" i="48" s="1"/>
  <c r="M47" i="48" s="1"/>
  <c r="B47" i="49" s="1"/>
  <c r="N47" i="48"/>
  <c r="AI50" i="14"/>
  <c r="AJ4" i="14"/>
  <c r="AH35" i="14"/>
  <c r="FH14" i="16"/>
  <c r="FI14" i="16" s="1"/>
  <c r="FJ14" i="16"/>
  <c r="FG14" i="16"/>
  <c r="L34" i="4"/>
  <c r="FH38" i="16"/>
  <c r="FI38" i="16" s="1"/>
  <c r="FG38" i="16"/>
  <c r="FJ38" i="16"/>
  <c r="H23" i="19"/>
  <c r="H32" i="19"/>
  <c r="H22" i="19"/>
  <c r="H20" i="19"/>
  <c r="H19" i="19"/>
  <c r="H30" i="19"/>
  <c r="H31" i="19" s="1"/>
  <c r="H18" i="19"/>
  <c r="N7" i="19"/>
  <c r="H39" i="19"/>
  <c r="H17" i="19"/>
  <c r="H11" i="19"/>
  <c r="H38" i="19"/>
  <c r="H16" i="19"/>
  <c r="H10" i="19"/>
  <c r="H15" i="19"/>
  <c r="H25" i="19"/>
  <c r="H14" i="19"/>
  <c r="H34" i="19"/>
  <c r="H33" i="19"/>
  <c r="H24" i="19"/>
  <c r="H13" i="19"/>
  <c r="H21" i="19"/>
  <c r="AH7" i="14"/>
  <c r="AG66" i="14"/>
  <c r="AG71" i="14"/>
  <c r="AG64" i="14"/>
  <c r="AG69" i="14"/>
  <c r="AG67" i="14"/>
  <c r="AG72" i="14"/>
  <c r="AG65" i="14"/>
  <c r="AG70" i="14"/>
  <c r="AG63" i="14"/>
  <c r="AH18" i="14"/>
  <c r="AG68" i="14"/>
  <c r="FH15" i="16"/>
  <c r="FI15" i="16" s="1"/>
  <c r="FJ15" i="16"/>
  <c r="FG15" i="16"/>
  <c r="FJ46" i="16"/>
  <c r="FH46" i="16"/>
  <c r="FI46" i="16" s="1"/>
  <c r="FG46" i="16"/>
  <c r="FJ13" i="16"/>
  <c r="FH13" i="16"/>
  <c r="FI13" i="16" s="1"/>
  <c r="FG13" i="16"/>
  <c r="AH8" i="14"/>
  <c r="AG38" i="14"/>
  <c r="AG39" i="14" s="1"/>
  <c r="AG40" i="14" s="1"/>
  <c r="AG41" i="14" s="1"/>
  <c r="AG42" i="14" s="1"/>
  <c r="AG43" i="14" s="1"/>
  <c r="AG44" i="14" s="1"/>
  <c r="AG45" i="14" s="1"/>
  <c r="AG46" i="14" s="1"/>
  <c r="AG47" i="14" s="1"/>
  <c r="AH37" i="14"/>
  <c r="AH24" i="14"/>
  <c r="AH10" i="14"/>
  <c r="FJ48" i="16"/>
  <c r="FH48" i="16"/>
  <c r="FI48" i="16" s="1"/>
  <c r="FG48" i="16"/>
  <c r="AG82" i="14"/>
  <c r="AG83" i="14"/>
  <c r="AG73" i="14"/>
  <c r="AG76" i="14"/>
  <c r="AG74" i="14"/>
  <c r="AG93" i="14"/>
  <c r="AG88" i="14"/>
  <c r="AG87" i="14"/>
  <c r="AG86" i="14"/>
  <c r="AG85" i="14"/>
  <c r="AG84" i="14"/>
  <c r="AG81" i="14"/>
  <c r="AG92" i="14"/>
  <c r="AG91" i="14"/>
  <c r="AG90" i="14"/>
  <c r="AG89" i="14"/>
  <c r="AG80" i="14"/>
  <c r="AG79" i="14"/>
  <c r="AG78" i="14"/>
  <c r="AG77" i="14"/>
  <c r="AG75" i="14"/>
  <c r="AH20" i="14"/>
  <c r="AH21" i="14"/>
  <c r="C52" i="25"/>
  <c r="C45" i="48"/>
  <c r="D45" i="48" s="1"/>
  <c r="E45" i="48" s="1"/>
  <c r="F45" i="48" s="1"/>
  <c r="G45" i="48" s="1"/>
  <c r="H45" i="48" s="1"/>
  <c r="I45" i="48" s="1"/>
  <c r="J45" i="48" s="1"/>
  <c r="K45" i="48" s="1"/>
  <c r="L45" i="48" s="1"/>
  <c r="M45" i="48" s="1"/>
  <c r="B45" i="49" s="1"/>
  <c r="AH16" i="14"/>
  <c r="M33" i="4"/>
  <c r="F40" i="2"/>
  <c r="AH31" i="14"/>
  <c r="FG37" i="16"/>
  <c r="FJ37" i="16"/>
  <c r="FH37" i="16"/>
  <c r="FI37" i="16" s="1"/>
  <c r="AH9" i="14"/>
  <c r="FH43" i="16"/>
  <c r="FI43" i="16" s="1"/>
  <c r="FJ43" i="16"/>
  <c r="FG43" i="16"/>
  <c r="FJ20" i="16"/>
  <c r="FH20" i="16"/>
  <c r="FI20" i="16" s="1"/>
  <c r="FG20" i="16"/>
  <c r="FG8" i="16"/>
  <c r="FJ8" i="16"/>
  <c r="FH8" i="16"/>
  <c r="FI8" i="16" s="1"/>
  <c r="FG26" i="16"/>
  <c r="FJ26" i="16"/>
  <c r="FH26" i="16"/>
  <c r="FI26" i="16" s="1"/>
  <c r="FG9" i="16"/>
  <c r="FJ9" i="16"/>
  <c r="FH9" i="16"/>
  <c r="FI9" i="16" s="1"/>
  <c r="FH47" i="16"/>
  <c r="FI47" i="16" s="1"/>
  <c r="FJ47" i="16"/>
  <c r="FG47" i="16"/>
  <c r="AH11" i="14"/>
  <c r="FJ25" i="16"/>
  <c r="FG25" i="16"/>
  <c r="FH25" i="16"/>
  <c r="FI25" i="16" s="1"/>
  <c r="AH17" i="14"/>
  <c r="AH14" i="14"/>
  <c r="N42" i="25"/>
  <c r="AH36" i="14"/>
  <c r="FG45" i="16"/>
  <c r="FH45" i="16"/>
  <c r="FI45" i="16" s="1"/>
  <c r="FJ45" i="16"/>
  <c r="FJ23" i="16"/>
  <c r="FH23" i="16"/>
  <c r="FI23" i="16" s="1"/>
  <c r="FG23" i="16"/>
  <c r="AP180" i="16"/>
  <c r="AM180" i="16" s="1"/>
  <c r="AH32" i="14"/>
  <c r="U39" i="2"/>
  <c r="S39" i="2"/>
  <c r="C42" i="26"/>
  <c r="D42" i="26" s="1"/>
  <c r="E42" i="26" s="1"/>
  <c r="F42" i="26" s="1"/>
  <c r="G42" i="26" s="1"/>
  <c r="H42" i="26" s="1"/>
  <c r="I42" i="26" s="1"/>
  <c r="J42" i="26" s="1"/>
  <c r="K42" i="26" s="1"/>
  <c r="L42" i="26" s="1"/>
  <c r="M42" i="26" s="1"/>
  <c r="B42" i="27" s="1"/>
  <c r="B52" i="26"/>
  <c r="FG7" i="16"/>
  <c r="FH7" i="16"/>
  <c r="FI7" i="16" s="1"/>
  <c r="FJ7" i="16"/>
  <c r="AH34" i="14"/>
  <c r="C49" i="48"/>
  <c r="D49" i="48" s="1"/>
  <c r="E49" i="48" s="1"/>
  <c r="F49" i="48" s="1"/>
  <c r="G49" i="48" s="1"/>
  <c r="H49" i="48" s="1"/>
  <c r="I49" i="48" s="1"/>
  <c r="J49" i="48" s="1"/>
  <c r="K49" i="48" s="1"/>
  <c r="L49" i="48" s="1"/>
  <c r="M49" i="48" s="1"/>
  <c r="B49" i="49" s="1"/>
  <c r="N48" i="47"/>
  <c r="AH33" i="14"/>
  <c r="AH23" i="14"/>
  <c r="AH25" i="14"/>
  <c r="C42" i="2"/>
  <c r="E41" i="2"/>
  <c r="AC41" i="2"/>
  <c r="AD41" i="2" s="1"/>
  <c r="D41" i="2"/>
  <c r="FH21" i="16"/>
  <c r="FI21" i="16" s="1"/>
  <c r="FJ21" i="16"/>
  <c r="FG21" i="16"/>
  <c r="FG27" i="16"/>
  <c r="FJ27" i="16"/>
  <c r="FH27" i="16"/>
  <c r="FI27" i="16" s="1"/>
  <c r="AH29" i="14"/>
  <c r="G11" i="6"/>
  <c r="I9" i="6"/>
  <c r="H10" i="6"/>
  <c r="M5" i="6"/>
  <c r="AI3" i="14"/>
  <c r="K7" i="6"/>
  <c r="F12" i="6"/>
  <c r="L6" i="6"/>
  <c r="J8" i="6"/>
  <c r="AH180" i="16" l="1"/>
  <c r="F41" i="2"/>
  <c r="N45" i="48"/>
  <c r="AB180" i="16"/>
  <c r="AC180" i="16"/>
  <c r="AG180" i="16"/>
  <c r="FK11" i="16"/>
  <c r="FN11" i="16"/>
  <c r="FL11" i="16"/>
  <c r="FM11" i="16" s="1"/>
  <c r="AH66" i="14"/>
  <c r="AH71" i="14"/>
  <c r="AH64" i="14"/>
  <c r="AH69" i="14"/>
  <c r="AH67" i="14"/>
  <c r="AH72" i="14"/>
  <c r="AH65" i="14"/>
  <c r="AH70" i="14"/>
  <c r="AH63" i="14"/>
  <c r="AH68" i="14"/>
  <c r="AI18" i="14"/>
  <c r="AJ50" i="14"/>
  <c r="AK4" i="14"/>
  <c r="AI26" i="14"/>
  <c r="FN29" i="16"/>
  <c r="FL29" i="16"/>
  <c r="FM29" i="16" s="1"/>
  <c r="FK29" i="16"/>
  <c r="FN32" i="16"/>
  <c r="FL32" i="16"/>
  <c r="FM32" i="16" s="1"/>
  <c r="FK32" i="16"/>
  <c r="AI14" i="14"/>
  <c r="N49" i="48"/>
  <c r="AI17" i="14"/>
  <c r="AI9" i="14"/>
  <c r="D52" i="25"/>
  <c r="AI8" i="14"/>
  <c r="FN16" i="16"/>
  <c r="FL16" i="16"/>
  <c r="FM16" i="16" s="1"/>
  <c r="FK16" i="16"/>
  <c r="C43" i="49"/>
  <c r="D43" i="49" s="1"/>
  <c r="E43" i="49" s="1"/>
  <c r="F43" i="49" s="1"/>
  <c r="G43" i="49" s="1"/>
  <c r="H43" i="49" s="1"/>
  <c r="I43" i="49" s="1"/>
  <c r="J43" i="49" s="1"/>
  <c r="K43" i="49" s="1"/>
  <c r="L43" i="49" s="1"/>
  <c r="M43" i="49" s="1"/>
  <c r="B43" i="50" s="1"/>
  <c r="N43" i="49"/>
  <c r="FL6" i="16"/>
  <c r="FM6" i="16" s="1"/>
  <c r="FN6" i="16"/>
  <c r="FK6" i="16"/>
  <c r="FK42" i="16"/>
  <c r="FN42" i="16"/>
  <c r="FL42" i="16"/>
  <c r="FM42" i="16" s="1"/>
  <c r="AI19" i="14"/>
  <c r="C49" i="49"/>
  <c r="D49" i="49" s="1"/>
  <c r="E49" i="49" s="1"/>
  <c r="F49" i="49" s="1"/>
  <c r="G49" i="49" s="1"/>
  <c r="H49" i="49" s="1"/>
  <c r="I49" i="49" s="1"/>
  <c r="J49" i="49" s="1"/>
  <c r="K49" i="49" s="1"/>
  <c r="L49" i="49" s="1"/>
  <c r="M49" i="49" s="1"/>
  <c r="B49" i="50" s="1"/>
  <c r="AP181" i="16"/>
  <c r="AM181" i="16" s="1"/>
  <c r="AI32" i="14"/>
  <c r="FL26" i="16"/>
  <c r="FM26" i="16" s="1"/>
  <c r="FK26" i="16"/>
  <c r="FN26" i="16"/>
  <c r="AI21" i="14"/>
  <c r="C48" i="49"/>
  <c r="D48" i="49" s="1"/>
  <c r="E48" i="49" s="1"/>
  <c r="F48" i="49" s="1"/>
  <c r="G48" i="49" s="1"/>
  <c r="H48" i="49" s="1"/>
  <c r="I48" i="49" s="1"/>
  <c r="J48" i="49" s="1"/>
  <c r="K48" i="49" s="1"/>
  <c r="L48" i="49" s="1"/>
  <c r="M48" i="49" s="1"/>
  <c r="B48" i="50" s="1"/>
  <c r="FL36" i="16"/>
  <c r="FM36" i="16" s="1"/>
  <c r="FN36" i="16"/>
  <c r="FK36" i="16"/>
  <c r="AI5" i="14"/>
  <c r="AI22" i="14"/>
  <c r="AF181" i="16"/>
  <c r="AI12" i="14"/>
  <c r="FN17" i="16"/>
  <c r="FL17" i="16"/>
  <c r="FM17" i="16" s="1"/>
  <c r="FK17" i="16"/>
  <c r="C51" i="49"/>
  <c r="D51" i="49" s="1"/>
  <c r="E51" i="49" s="1"/>
  <c r="F51" i="49" s="1"/>
  <c r="G51" i="49" s="1"/>
  <c r="H51" i="49" s="1"/>
  <c r="I51" i="49" s="1"/>
  <c r="J51" i="49" s="1"/>
  <c r="K51" i="49" s="1"/>
  <c r="L51" i="49" s="1"/>
  <c r="M51" i="49" s="1"/>
  <c r="B51" i="50" s="1"/>
  <c r="FL22" i="16"/>
  <c r="FM22" i="16" s="1"/>
  <c r="FN22" i="16"/>
  <c r="FK22" i="16"/>
  <c r="FL7" i="16"/>
  <c r="FM7" i="16" s="1"/>
  <c r="FN7" i="16"/>
  <c r="FK7" i="16"/>
  <c r="FL25" i="16"/>
  <c r="FM25" i="16" s="1"/>
  <c r="FN25" i="16"/>
  <c r="FK25" i="16"/>
  <c r="FL48" i="16"/>
  <c r="FM48" i="16" s="1"/>
  <c r="FK48" i="16"/>
  <c r="FN48" i="16"/>
  <c r="FK13" i="16"/>
  <c r="FL13" i="16"/>
  <c r="FM13" i="16" s="1"/>
  <c r="FN13" i="16"/>
  <c r="FN38" i="16"/>
  <c r="FL38" i="16"/>
  <c r="FM38" i="16" s="1"/>
  <c r="FK38" i="16"/>
  <c r="C47" i="49"/>
  <c r="D47" i="49" s="1"/>
  <c r="E47" i="49" s="1"/>
  <c r="F47" i="49" s="1"/>
  <c r="G47" i="49" s="1"/>
  <c r="H47" i="49" s="1"/>
  <c r="I47" i="49" s="1"/>
  <c r="J47" i="49" s="1"/>
  <c r="K47" i="49" s="1"/>
  <c r="L47" i="49" s="1"/>
  <c r="M47" i="49" s="1"/>
  <c r="B47" i="50" s="1"/>
  <c r="J6" i="19"/>
  <c r="J9" i="19" s="1"/>
  <c r="K4" i="19"/>
  <c r="FN24" i="16"/>
  <c r="FL24" i="16"/>
  <c r="FM24" i="16" s="1"/>
  <c r="FK24" i="16"/>
  <c r="N46" i="48"/>
  <c r="FN5" i="16"/>
  <c r="FL5" i="16"/>
  <c r="FM5" i="16" s="1"/>
  <c r="FK5" i="16"/>
  <c r="N51" i="48"/>
  <c r="AD180" i="16"/>
  <c r="FK12" i="16"/>
  <c r="FN12" i="16"/>
  <c r="FL12" i="16"/>
  <c r="FM12" i="16" s="1"/>
  <c r="AI34" i="14"/>
  <c r="AH87" i="14"/>
  <c r="AH88" i="14"/>
  <c r="AH76" i="14"/>
  <c r="AH74" i="14"/>
  <c r="AH93" i="14"/>
  <c r="AH86" i="14"/>
  <c r="AH85" i="14"/>
  <c r="AH84" i="14"/>
  <c r="AH83" i="14"/>
  <c r="AH82" i="14"/>
  <c r="AH81" i="14"/>
  <c r="AH92" i="14"/>
  <c r="AH91" i="14"/>
  <c r="AH90" i="14"/>
  <c r="AH89" i="14"/>
  <c r="AH80" i="14"/>
  <c r="AH79" i="14"/>
  <c r="AH78" i="14"/>
  <c r="AH77" i="14"/>
  <c r="AH75" i="14"/>
  <c r="AI20" i="14"/>
  <c r="AH73" i="14"/>
  <c r="AL180" i="16"/>
  <c r="AI11" i="14"/>
  <c r="FK19" i="16"/>
  <c r="FN19" i="16"/>
  <c r="FL19" i="16"/>
  <c r="FM19" i="16" s="1"/>
  <c r="I32" i="19"/>
  <c r="I22" i="19"/>
  <c r="I20" i="19"/>
  <c r="I19" i="19"/>
  <c r="I30" i="19"/>
  <c r="I31" i="19" s="1"/>
  <c r="I18" i="19"/>
  <c r="I39" i="19"/>
  <c r="I17" i="19"/>
  <c r="I11" i="19"/>
  <c r="I38" i="19"/>
  <c r="I16" i="19"/>
  <c r="I10" i="19"/>
  <c r="I15" i="19"/>
  <c r="I25" i="19"/>
  <c r="I14" i="19"/>
  <c r="I34" i="19"/>
  <c r="I33" i="19"/>
  <c r="I24" i="19"/>
  <c r="I13" i="19"/>
  <c r="I23" i="19"/>
  <c r="I21" i="19"/>
  <c r="FN28" i="16"/>
  <c r="FL28" i="16"/>
  <c r="FM28" i="16" s="1"/>
  <c r="FK28" i="16"/>
  <c r="E52" i="24"/>
  <c r="FK41" i="16"/>
  <c r="FL41" i="16"/>
  <c r="FM41" i="16" s="1"/>
  <c r="FN41" i="16"/>
  <c r="C46" i="49"/>
  <c r="D46" i="49" s="1"/>
  <c r="E46" i="49" s="1"/>
  <c r="F46" i="49" s="1"/>
  <c r="G46" i="49" s="1"/>
  <c r="H46" i="49" s="1"/>
  <c r="I46" i="49" s="1"/>
  <c r="J46" i="49" s="1"/>
  <c r="K46" i="49" s="1"/>
  <c r="L46" i="49" s="1"/>
  <c r="M46" i="49" s="1"/>
  <c r="B46" i="50" s="1"/>
  <c r="J52" i="19"/>
  <c r="AI180" i="16"/>
  <c r="FN8" i="16"/>
  <c r="FL8" i="16"/>
  <c r="FM8" i="16" s="1"/>
  <c r="FK8" i="16"/>
  <c r="FN23" i="16"/>
  <c r="FL23" i="16"/>
  <c r="FM23" i="16" s="1"/>
  <c r="FK23" i="16"/>
  <c r="AI31" i="14"/>
  <c r="H26" i="19"/>
  <c r="I8" i="19"/>
  <c r="AK181" i="16"/>
  <c r="AI27" i="14"/>
  <c r="G52" i="22"/>
  <c r="AI13" i="14"/>
  <c r="FN40" i="16"/>
  <c r="FL40" i="16"/>
  <c r="FM40" i="16" s="1"/>
  <c r="FK40" i="16"/>
  <c r="AN180" i="16"/>
  <c r="AI33" i="14"/>
  <c r="FK43" i="16"/>
  <c r="FL43" i="16"/>
  <c r="FM43" i="16" s="1"/>
  <c r="FN43" i="16"/>
  <c r="H41" i="2"/>
  <c r="AB41" i="2"/>
  <c r="AB40" i="2"/>
  <c r="H40" i="2"/>
  <c r="FN46" i="16"/>
  <c r="FL46" i="16"/>
  <c r="FM46" i="16" s="1"/>
  <c r="FK46" i="16"/>
  <c r="L35" i="4"/>
  <c r="H52" i="21"/>
  <c r="F52" i="23"/>
  <c r="I52" i="20"/>
  <c r="AI37" i="14"/>
  <c r="AH38" i="14"/>
  <c r="AH39" i="14" s="1"/>
  <c r="AH40" i="14" s="1"/>
  <c r="AH41" i="14" s="1"/>
  <c r="AH42" i="14" s="1"/>
  <c r="AH43" i="14" s="1"/>
  <c r="AH44" i="14" s="1"/>
  <c r="AH45" i="14" s="1"/>
  <c r="AH46" i="14" s="1"/>
  <c r="AH47" i="14" s="1"/>
  <c r="FN34" i="16"/>
  <c r="FL34" i="16"/>
  <c r="FM34" i="16" s="1"/>
  <c r="FK34" i="16"/>
  <c r="C52" i="26"/>
  <c r="FN45" i="16"/>
  <c r="FL45" i="16"/>
  <c r="FM45" i="16" s="1"/>
  <c r="FK45" i="16"/>
  <c r="AI29" i="14"/>
  <c r="E42" i="2"/>
  <c r="AC42" i="2"/>
  <c r="AD42" i="2" s="1"/>
  <c r="D42" i="2"/>
  <c r="F42" i="2" s="1"/>
  <c r="C43" i="2"/>
  <c r="N42" i="26"/>
  <c r="FL47" i="16"/>
  <c r="FM47" i="16" s="1"/>
  <c r="FN47" i="16"/>
  <c r="FK47" i="16"/>
  <c r="M34" i="4"/>
  <c r="AI6" i="14"/>
  <c r="AH54" i="14"/>
  <c r="AH59" i="14"/>
  <c r="AH52" i="14"/>
  <c r="AH57" i="14"/>
  <c r="AH62" i="14"/>
  <c r="AH55" i="14"/>
  <c r="AH60" i="14"/>
  <c r="AH53" i="14"/>
  <c r="AH58" i="14"/>
  <c r="AH51" i="14"/>
  <c r="AH56" i="14"/>
  <c r="AH61" i="14"/>
  <c r="AI15" i="14"/>
  <c r="C44" i="49"/>
  <c r="D44" i="49" s="1"/>
  <c r="E44" i="49" s="1"/>
  <c r="F44" i="49" s="1"/>
  <c r="G44" i="49" s="1"/>
  <c r="H44" i="49" s="1"/>
  <c r="I44" i="49" s="1"/>
  <c r="J44" i="49" s="1"/>
  <c r="K44" i="49" s="1"/>
  <c r="L44" i="49" s="1"/>
  <c r="M44" i="49" s="1"/>
  <c r="B44" i="50" s="1"/>
  <c r="FN33" i="16"/>
  <c r="FK33" i="16"/>
  <c r="FL33" i="16"/>
  <c r="FM33" i="16" s="1"/>
  <c r="FN21" i="16"/>
  <c r="FL21" i="16"/>
  <c r="FM21" i="16" s="1"/>
  <c r="FK21" i="16"/>
  <c r="FK37" i="16"/>
  <c r="FN37" i="16"/>
  <c r="FL37" i="16"/>
  <c r="FM37" i="16" s="1"/>
  <c r="B52" i="27"/>
  <c r="C42" i="27"/>
  <c r="D42" i="27" s="1"/>
  <c r="E42" i="27" s="1"/>
  <c r="F42" i="27" s="1"/>
  <c r="G42" i="27" s="1"/>
  <c r="H42" i="27" s="1"/>
  <c r="I42" i="27" s="1"/>
  <c r="J42" i="27" s="1"/>
  <c r="K42" i="27" s="1"/>
  <c r="L42" i="27" s="1"/>
  <c r="M42" i="27" s="1"/>
  <c r="B42" i="28" s="1"/>
  <c r="FK20" i="16"/>
  <c r="FN20" i="16"/>
  <c r="FL20" i="16"/>
  <c r="FM20" i="16" s="1"/>
  <c r="AI16" i="14"/>
  <c r="AI10" i="14"/>
  <c r="FL15" i="16"/>
  <c r="FM15" i="16" s="1"/>
  <c r="FN15" i="16"/>
  <c r="FK15" i="16"/>
  <c r="FN14" i="16"/>
  <c r="FL14" i="16"/>
  <c r="FM14" i="16" s="1"/>
  <c r="FK14" i="16"/>
  <c r="FN31" i="16"/>
  <c r="FL31" i="16"/>
  <c r="FM31" i="16" s="1"/>
  <c r="FK31" i="16"/>
  <c r="AI30" i="14"/>
  <c r="C50" i="49"/>
  <c r="D50" i="49" s="1"/>
  <c r="E50" i="49" s="1"/>
  <c r="F50" i="49" s="1"/>
  <c r="G50" i="49" s="1"/>
  <c r="H50" i="49" s="1"/>
  <c r="I50" i="49" s="1"/>
  <c r="J50" i="49" s="1"/>
  <c r="K50" i="49" s="1"/>
  <c r="L50" i="49" s="1"/>
  <c r="M50" i="49" s="1"/>
  <c r="B50" i="50" s="1"/>
  <c r="N50" i="49"/>
  <c r="AI28" i="14"/>
  <c r="FL44" i="16"/>
  <c r="FM44" i="16" s="1"/>
  <c r="FN44" i="16"/>
  <c r="FK44" i="16"/>
  <c r="FK18" i="16"/>
  <c r="FN18" i="16"/>
  <c r="FL18" i="16"/>
  <c r="FM18" i="16" s="1"/>
  <c r="FK30" i="16"/>
  <c r="FN30" i="16"/>
  <c r="FL30" i="16"/>
  <c r="FM30" i="16" s="1"/>
  <c r="FN9" i="16"/>
  <c r="FL9" i="16"/>
  <c r="FM9" i="16" s="1"/>
  <c r="FK9" i="16"/>
  <c r="AI35" i="14"/>
  <c r="FL35" i="16"/>
  <c r="FM35" i="16" s="1"/>
  <c r="FK35" i="16"/>
  <c r="FN35" i="16"/>
  <c r="AI25" i="14"/>
  <c r="FN27" i="16"/>
  <c r="FL27" i="16"/>
  <c r="FM27" i="16" s="1"/>
  <c r="FK27" i="16"/>
  <c r="AI23" i="14"/>
  <c r="AI36" i="14"/>
  <c r="C45" i="49"/>
  <c r="D45" i="49" s="1"/>
  <c r="E45" i="49" s="1"/>
  <c r="F45" i="49" s="1"/>
  <c r="G45" i="49" s="1"/>
  <c r="H45" i="49" s="1"/>
  <c r="I45" i="49" s="1"/>
  <c r="J45" i="49" s="1"/>
  <c r="K45" i="49" s="1"/>
  <c r="L45" i="49" s="1"/>
  <c r="M45" i="49" s="1"/>
  <c r="B45" i="50" s="1"/>
  <c r="AI24" i="14"/>
  <c r="AI7" i="14"/>
  <c r="FK39" i="16"/>
  <c r="FN39" i="16"/>
  <c r="FL39" i="16"/>
  <c r="FM39" i="16" s="1"/>
  <c r="FN10" i="16"/>
  <c r="FK10" i="16"/>
  <c r="FL10" i="16"/>
  <c r="FM10" i="16" s="1"/>
  <c r="L7" i="6"/>
  <c r="K8" i="6"/>
  <c r="F13" i="6"/>
  <c r="N5" i="6"/>
  <c r="H11" i="6"/>
  <c r="J9" i="6"/>
  <c r="AJ3" i="14"/>
  <c r="G12" i="6"/>
  <c r="M6" i="6"/>
  <c r="I10" i="6"/>
  <c r="AG181" i="16" l="1"/>
  <c r="N49" i="49"/>
  <c r="AC181" i="16"/>
  <c r="AL181" i="16"/>
  <c r="AN181" i="16"/>
  <c r="AD181" i="16"/>
  <c r="I26" i="19"/>
  <c r="I57" i="19" s="1"/>
  <c r="J8" i="19"/>
  <c r="AB181" i="16"/>
  <c r="AI181" i="16"/>
  <c r="N45" i="49"/>
  <c r="AJ28" i="14"/>
  <c r="FO47" i="16"/>
  <c r="FR47" i="16"/>
  <c r="FP47" i="16"/>
  <c r="FQ47" i="16" s="1"/>
  <c r="D52" i="26"/>
  <c r="FR46" i="16"/>
  <c r="FP46" i="16"/>
  <c r="FQ46" i="16" s="1"/>
  <c r="FO46" i="16"/>
  <c r="FP40" i="16"/>
  <c r="FQ40" i="16" s="1"/>
  <c r="FR40" i="16"/>
  <c r="FO40" i="16"/>
  <c r="FR12" i="16"/>
  <c r="FP12" i="16"/>
  <c r="FQ12" i="16" s="1"/>
  <c r="FO12" i="16"/>
  <c r="J20" i="19"/>
  <c r="J19" i="19"/>
  <c r="J30" i="19"/>
  <c r="J31" i="19" s="1"/>
  <c r="J18" i="19"/>
  <c r="J39" i="19"/>
  <c r="J17" i="19"/>
  <c r="J11" i="19"/>
  <c r="J38" i="19"/>
  <c r="J16" i="19"/>
  <c r="J10" i="19"/>
  <c r="J15" i="19"/>
  <c r="J25" i="19"/>
  <c r="J14" i="19"/>
  <c r="J34" i="19"/>
  <c r="J12" i="19"/>
  <c r="J33" i="19"/>
  <c r="J24" i="19"/>
  <c r="J13" i="19"/>
  <c r="J23" i="19"/>
  <c r="J32" i="19"/>
  <c r="J22" i="19"/>
  <c r="J21" i="19"/>
  <c r="FP48" i="16"/>
  <c r="FQ48" i="16" s="1"/>
  <c r="FO48" i="16"/>
  <c r="FR48" i="16"/>
  <c r="N51" i="49"/>
  <c r="N48" i="49"/>
  <c r="FR42" i="16"/>
  <c r="FP42" i="16"/>
  <c r="FQ42" i="16" s="1"/>
  <c r="FO42" i="16"/>
  <c r="E52" i="25"/>
  <c r="AK50" i="14"/>
  <c r="AL4" i="14"/>
  <c r="AJ10" i="14"/>
  <c r="I41" i="2"/>
  <c r="U40" i="2"/>
  <c r="S40" i="2"/>
  <c r="I40" i="2"/>
  <c r="AJ13" i="14"/>
  <c r="FP8" i="16"/>
  <c r="FQ8" i="16" s="1"/>
  <c r="FO8" i="16"/>
  <c r="FR8" i="16"/>
  <c r="FR28" i="16"/>
  <c r="FP28" i="16"/>
  <c r="FQ28" i="16" s="1"/>
  <c r="FO28" i="16"/>
  <c r="AI92" i="14"/>
  <c r="AI80" i="14"/>
  <c r="AI93" i="14"/>
  <c r="AI81" i="14"/>
  <c r="AI76" i="14"/>
  <c r="AI74" i="14"/>
  <c r="AI86" i="14"/>
  <c r="AI85" i="14"/>
  <c r="AI84" i="14"/>
  <c r="AI83" i="14"/>
  <c r="AI82" i="14"/>
  <c r="AI91" i="14"/>
  <c r="AI90" i="14"/>
  <c r="AI89" i="14"/>
  <c r="AI88" i="14"/>
  <c r="AI87" i="14"/>
  <c r="AI79" i="14"/>
  <c r="AI78" i="14"/>
  <c r="AI77" i="14"/>
  <c r="AI75" i="14"/>
  <c r="AI73" i="14"/>
  <c r="AJ20" i="14"/>
  <c r="C51" i="50"/>
  <c r="D51" i="50" s="1"/>
  <c r="E51" i="50" s="1"/>
  <c r="F51" i="50" s="1"/>
  <c r="G51" i="50" s="1"/>
  <c r="H51" i="50" s="1"/>
  <c r="I51" i="50" s="1"/>
  <c r="J51" i="50" s="1"/>
  <c r="K51" i="50" s="1"/>
  <c r="L51" i="50" s="1"/>
  <c r="M51" i="50" s="1"/>
  <c r="B51" i="51" s="1"/>
  <c r="N51" i="50"/>
  <c r="C48" i="50"/>
  <c r="D48" i="50" s="1"/>
  <c r="E48" i="50" s="1"/>
  <c r="F48" i="50" s="1"/>
  <c r="G48" i="50" s="1"/>
  <c r="H48" i="50" s="1"/>
  <c r="I48" i="50" s="1"/>
  <c r="J48" i="50" s="1"/>
  <c r="K48" i="50" s="1"/>
  <c r="L48" i="50" s="1"/>
  <c r="M48" i="50" s="1"/>
  <c r="B48" i="51" s="1"/>
  <c r="N48" i="50"/>
  <c r="AJ9" i="14"/>
  <c r="AJ35" i="14"/>
  <c r="C50" i="50"/>
  <c r="D50" i="50" s="1"/>
  <c r="E50" i="50" s="1"/>
  <c r="F50" i="50" s="1"/>
  <c r="G50" i="50" s="1"/>
  <c r="H50" i="50" s="1"/>
  <c r="I50" i="50" s="1"/>
  <c r="J50" i="50" s="1"/>
  <c r="K50" i="50" s="1"/>
  <c r="L50" i="50" s="1"/>
  <c r="M50" i="50" s="1"/>
  <c r="B50" i="51" s="1"/>
  <c r="FP26" i="16"/>
  <c r="FQ26" i="16" s="1"/>
  <c r="FR26" i="16"/>
  <c r="FO26" i="16"/>
  <c r="FR6" i="16"/>
  <c r="FP6" i="16"/>
  <c r="FQ6" i="16" s="1"/>
  <c r="FO6" i="16"/>
  <c r="AI71" i="14"/>
  <c r="AI64" i="14"/>
  <c r="AI69" i="14"/>
  <c r="AI67" i="14"/>
  <c r="AI72" i="14"/>
  <c r="AI65" i="14"/>
  <c r="AI70" i="14"/>
  <c r="AI63" i="14"/>
  <c r="AI68" i="14"/>
  <c r="AJ18" i="14"/>
  <c r="AI66" i="14"/>
  <c r="FP11" i="16"/>
  <c r="FQ11" i="16" s="1"/>
  <c r="FR11" i="16"/>
  <c r="FO11" i="16"/>
  <c r="AJ17" i="14"/>
  <c r="C44" i="2"/>
  <c r="E43" i="2"/>
  <c r="AC43" i="2"/>
  <c r="AD43" i="2" s="1"/>
  <c r="D43" i="2"/>
  <c r="AK182" i="16"/>
  <c r="AJ27" i="14"/>
  <c r="K52" i="19"/>
  <c r="FP30" i="16"/>
  <c r="FQ30" i="16" s="1"/>
  <c r="FO30" i="16"/>
  <c r="FR30" i="16"/>
  <c r="FR20" i="16"/>
  <c r="FO20" i="16"/>
  <c r="FP20" i="16"/>
  <c r="FQ20" i="16" s="1"/>
  <c r="AB42" i="2"/>
  <c r="H42" i="2"/>
  <c r="I42" i="2" s="1"/>
  <c r="U41" i="2"/>
  <c r="S41" i="2"/>
  <c r="N46" i="49"/>
  <c r="N47" i="49"/>
  <c r="FR25" i="16"/>
  <c r="FP25" i="16"/>
  <c r="FQ25" i="16" s="1"/>
  <c r="FO25" i="16"/>
  <c r="FP17" i="16"/>
  <c r="FQ17" i="16" s="1"/>
  <c r="FO17" i="16"/>
  <c r="FR17" i="16"/>
  <c r="AJ14" i="14"/>
  <c r="FP33" i="16"/>
  <c r="FQ33" i="16" s="1"/>
  <c r="FR33" i="16"/>
  <c r="FO33" i="16"/>
  <c r="AJ37" i="14"/>
  <c r="AI38" i="14"/>
  <c r="AI39" i="14" s="1"/>
  <c r="AI40" i="14" s="1"/>
  <c r="AI41" i="14" s="1"/>
  <c r="AI42" i="14" s="1"/>
  <c r="AI43" i="14" s="1"/>
  <c r="AI44" i="14" s="1"/>
  <c r="AI45" i="14" s="1"/>
  <c r="AI46" i="14" s="1"/>
  <c r="AI47" i="14" s="1"/>
  <c r="FO43" i="16"/>
  <c r="FR43" i="16"/>
  <c r="FP43" i="16"/>
  <c r="FQ43" i="16" s="1"/>
  <c r="C46" i="50"/>
  <c r="D46" i="50" s="1"/>
  <c r="E46" i="50" s="1"/>
  <c r="F46" i="50" s="1"/>
  <c r="G46" i="50" s="1"/>
  <c r="H46" i="50" s="1"/>
  <c r="I46" i="50" s="1"/>
  <c r="J46" i="50" s="1"/>
  <c r="K46" i="50" s="1"/>
  <c r="L46" i="50" s="1"/>
  <c r="M46" i="50" s="1"/>
  <c r="B46" i="51" s="1"/>
  <c r="C47" i="50"/>
  <c r="D47" i="50" s="1"/>
  <c r="E47" i="50" s="1"/>
  <c r="F47" i="50" s="1"/>
  <c r="G47" i="50" s="1"/>
  <c r="H47" i="50" s="1"/>
  <c r="I47" i="50" s="1"/>
  <c r="J47" i="50" s="1"/>
  <c r="K47" i="50" s="1"/>
  <c r="L47" i="50" s="1"/>
  <c r="M47" i="50" s="1"/>
  <c r="B47" i="51" s="1"/>
  <c r="AF182" i="16"/>
  <c r="AJ12" i="14"/>
  <c r="H52" i="22"/>
  <c r="AJ21" i="14"/>
  <c r="AJ30" i="14"/>
  <c r="FP34" i="16"/>
  <c r="FQ34" i="16" s="1"/>
  <c r="FO34" i="16"/>
  <c r="FR34" i="16"/>
  <c r="FP10" i="16"/>
  <c r="FQ10" i="16" s="1"/>
  <c r="FR10" i="16"/>
  <c r="FO10" i="16"/>
  <c r="FR27" i="16"/>
  <c r="FP27" i="16"/>
  <c r="FQ27" i="16" s="1"/>
  <c r="FO27" i="16"/>
  <c r="FR31" i="16"/>
  <c r="FO31" i="16"/>
  <c r="FP31" i="16"/>
  <c r="FQ31" i="16" s="1"/>
  <c r="N42" i="27"/>
  <c r="N44" i="49"/>
  <c r="J52" i="20"/>
  <c r="H57" i="19"/>
  <c r="FO41" i="16"/>
  <c r="FP41" i="16"/>
  <c r="FQ41" i="16" s="1"/>
  <c r="FR41" i="16"/>
  <c r="FO5" i="16"/>
  <c r="FP5" i="16"/>
  <c r="FQ5" i="16" s="1"/>
  <c r="FR5" i="16"/>
  <c r="AP182" i="16"/>
  <c r="AM182" i="16" s="1"/>
  <c r="AJ32" i="14"/>
  <c r="C43" i="50"/>
  <c r="D43" i="50" s="1"/>
  <c r="E43" i="50" s="1"/>
  <c r="F43" i="50" s="1"/>
  <c r="G43" i="50" s="1"/>
  <c r="H43" i="50" s="1"/>
  <c r="I43" i="50" s="1"/>
  <c r="J43" i="50" s="1"/>
  <c r="K43" i="50" s="1"/>
  <c r="L43" i="50" s="1"/>
  <c r="M43" i="50" s="1"/>
  <c r="B43" i="51" s="1"/>
  <c r="AJ16" i="14"/>
  <c r="B52" i="28"/>
  <c r="C42" i="28"/>
  <c r="D42" i="28" s="1"/>
  <c r="E42" i="28" s="1"/>
  <c r="F42" i="28" s="1"/>
  <c r="G42" i="28" s="1"/>
  <c r="H42" i="28" s="1"/>
  <c r="I42" i="28" s="1"/>
  <c r="J42" i="28" s="1"/>
  <c r="K42" i="28" s="1"/>
  <c r="L42" i="28" s="1"/>
  <c r="M42" i="28" s="1"/>
  <c r="B42" i="29" s="1"/>
  <c r="C44" i="50"/>
  <c r="D44" i="50" s="1"/>
  <c r="E44" i="50" s="1"/>
  <c r="F44" i="50" s="1"/>
  <c r="G44" i="50" s="1"/>
  <c r="H44" i="50" s="1"/>
  <c r="I44" i="50" s="1"/>
  <c r="J44" i="50" s="1"/>
  <c r="K44" i="50" s="1"/>
  <c r="L44" i="50" s="1"/>
  <c r="M44" i="50" s="1"/>
  <c r="B44" i="51" s="1"/>
  <c r="AJ29" i="14"/>
  <c r="G52" i="23"/>
  <c r="AJ31" i="14"/>
  <c r="FR19" i="16"/>
  <c r="FP19" i="16"/>
  <c r="FQ19" i="16" s="1"/>
  <c r="FO19" i="16"/>
  <c r="FP7" i="16"/>
  <c r="FQ7" i="16" s="1"/>
  <c r="FR7" i="16"/>
  <c r="FO7" i="16"/>
  <c r="AJ22" i="14"/>
  <c r="FR32" i="16"/>
  <c r="FO32" i="16"/>
  <c r="FP32" i="16"/>
  <c r="FQ32" i="16" s="1"/>
  <c r="AH181" i="16"/>
  <c r="AJ24" i="14"/>
  <c r="FO15" i="16"/>
  <c r="FR15" i="16"/>
  <c r="FP15" i="16"/>
  <c r="FQ15" i="16" s="1"/>
  <c r="C52" i="27"/>
  <c r="AI59" i="14"/>
  <c r="AI52" i="14"/>
  <c r="AI57" i="14"/>
  <c r="AI62" i="14"/>
  <c r="AI55" i="14"/>
  <c r="AI60" i="14"/>
  <c r="AI53" i="14"/>
  <c r="AI58" i="14"/>
  <c r="AI51" i="14"/>
  <c r="AI56" i="14"/>
  <c r="AI61" i="14"/>
  <c r="AI54" i="14"/>
  <c r="AJ15" i="14"/>
  <c r="I52" i="21"/>
  <c r="AJ33" i="14"/>
  <c r="FR38" i="16"/>
  <c r="FP38" i="16"/>
  <c r="FQ38" i="16" s="1"/>
  <c r="FO38" i="16"/>
  <c r="AJ5" i="14"/>
  <c r="AJ23" i="14"/>
  <c r="AJ25" i="14"/>
  <c r="AJ6" i="14"/>
  <c r="FR13" i="16"/>
  <c r="FP13" i="16"/>
  <c r="FQ13" i="16" s="1"/>
  <c r="FO13" i="16"/>
  <c r="C49" i="50"/>
  <c r="D49" i="50" s="1"/>
  <c r="E49" i="50" s="1"/>
  <c r="F49" i="50" s="1"/>
  <c r="G49" i="50" s="1"/>
  <c r="H49" i="50" s="1"/>
  <c r="I49" i="50" s="1"/>
  <c r="J49" i="50" s="1"/>
  <c r="K49" i="50" s="1"/>
  <c r="L49" i="50" s="1"/>
  <c r="M49" i="50" s="1"/>
  <c r="B49" i="51" s="1"/>
  <c r="N49" i="50"/>
  <c r="FR16" i="16"/>
  <c r="FP16" i="16"/>
  <c r="FQ16" i="16" s="1"/>
  <c r="FO16" i="16"/>
  <c r="C45" i="50"/>
  <c r="D45" i="50" s="1"/>
  <c r="E45" i="50" s="1"/>
  <c r="F45" i="50" s="1"/>
  <c r="G45" i="50" s="1"/>
  <c r="H45" i="50" s="1"/>
  <c r="I45" i="50" s="1"/>
  <c r="J45" i="50" s="1"/>
  <c r="K45" i="50" s="1"/>
  <c r="L45" i="50" s="1"/>
  <c r="M45" i="50" s="1"/>
  <c r="B45" i="51" s="1"/>
  <c r="AJ36" i="14"/>
  <c r="FR9" i="16"/>
  <c r="FP9" i="16"/>
  <c r="FQ9" i="16" s="1"/>
  <c r="FO9" i="16"/>
  <c r="FR21" i="16"/>
  <c r="FP21" i="16"/>
  <c r="FQ21" i="16" s="1"/>
  <c r="FO21" i="16"/>
  <c r="FP18" i="16"/>
  <c r="FQ18" i="16" s="1"/>
  <c r="FR18" i="16"/>
  <c r="FO18" i="16"/>
  <c r="FR39" i="16"/>
  <c r="FP39" i="16"/>
  <c r="FQ39" i="16" s="1"/>
  <c r="FO39" i="16"/>
  <c r="FO35" i="16"/>
  <c r="FR35" i="16"/>
  <c r="FP35" i="16"/>
  <c r="FQ35" i="16" s="1"/>
  <c r="FR14" i="16"/>
  <c r="FP14" i="16"/>
  <c r="FQ14" i="16" s="1"/>
  <c r="FO14" i="16"/>
  <c r="L36" i="4"/>
  <c r="AJ7" i="14"/>
  <c r="FR44" i="16"/>
  <c r="FP44" i="16"/>
  <c r="FQ44" i="16" s="1"/>
  <c r="FO44" i="16"/>
  <c r="FP37" i="16"/>
  <c r="FQ37" i="16" s="1"/>
  <c r="FR37" i="16"/>
  <c r="FO37" i="16"/>
  <c r="M35" i="4"/>
  <c r="FO45" i="16"/>
  <c r="FP45" i="16"/>
  <c r="FQ45" i="16" s="1"/>
  <c r="FR45" i="16"/>
  <c r="FO23" i="16"/>
  <c r="FR23" i="16"/>
  <c r="FP23" i="16"/>
  <c r="FQ23" i="16" s="1"/>
  <c r="F52" i="24"/>
  <c r="AJ11" i="14"/>
  <c r="AJ34" i="14"/>
  <c r="FO24" i="16"/>
  <c r="FR24" i="16"/>
  <c r="FP24" i="16"/>
  <c r="FQ24" i="16" s="1"/>
  <c r="FO22" i="16"/>
  <c r="FR22" i="16"/>
  <c r="FP22" i="16"/>
  <c r="FQ22" i="16" s="1"/>
  <c r="FP36" i="16"/>
  <c r="FQ36" i="16" s="1"/>
  <c r="FR36" i="16"/>
  <c r="FO36" i="16"/>
  <c r="AJ19" i="14"/>
  <c r="AJ8" i="14"/>
  <c r="FP29" i="16"/>
  <c r="FQ29" i="16" s="1"/>
  <c r="FR29" i="16"/>
  <c r="FO29" i="16"/>
  <c r="K6" i="19"/>
  <c r="K9" i="19" s="1"/>
  <c r="L4" i="19"/>
  <c r="AJ26" i="14"/>
  <c r="L8" i="6"/>
  <c r="AK3" i="14"/>
  <c r="O5" i="6"/>
  <c r="I11" i="6"/>
  <c r="J10" i="6"/>
  <c r="G13" i="6"/>
  <c r="H12" i="6"/>
  <c r="F14" i="6"/>
  <c r="K9" i="6"/>
  <c r="N6" i="6"/>
  <c r="M7" i="6"/>
  <c r="AC182" i="16" l="1"/>
  <c r="N50" i="50"/>
  <c r="N46" i="50"/>
  <c r="N42" i="28"/>
  <c r="AH182" i="16"/>
  <c r="AL182" i="16"/>
  <c r="AN182" i="16"/>
  <c r="AI182" i="16"/>
  <c r="AB182" i="16"/>
  <c r="K8" i="19"/>
  <c r="J26" i="19"/>
  <c r="J57" i="19" s="1"/>
  <c r="AD182" i="16"/>
  <c r="FT44" i="16"/>
  <c r="FU44" i="16" s="1"/>
  <c r="FV44" i="16"/>
  <c r="FS44" i="16"/>
  <c r="C47" i="51"/>
  <c r="D47" i="51" s="1"/>
  <c r="E47" i="51" s="1"/>
  <c r="F47" i="51" s="1"/>
  <c r="G47" i="51" s="1"/>
  <c r="H47" i="51" s="1"/>
  <c r="I47" i="51" s="1"/>
  <c r="J47" i="51" s="1"/>
  <c r="K47" i="51" s="1"/>
  <c r="L47" i="51" s="1"/>
  <c r="M47" i="51" s="1"/>
  <c r="B47" i="52" s="1"/>
  <c r="N47" i="51"/>
  <c r="L6" i="19"/>
  <c r="M4" i="19"/>
  <c r="FV36" i="16"/>
  <c r="FT36" i="16"/>
  <c r="FU36" i="16" s="1"/>
  <c r="FS36" i="16"/>
  <c r="FV23" i="16"/>
  <c r="FT23" i="16"/>
  <c r="FU23" i="16" s="1"/>
  <c r="FS23" i="16"/>
  <c r="AK7" i="14"/>
  <c r="FV19" i="16"/>
  <c r="FT19" i="16"/>
  <c r="FU19" i="16" s="1"/>
  <c r="FS19" i="16"/>
  <c r="AP183" i="16"/>
  <c r="AM183" i="16" s="1"/>
  <c r="AK32" i="14"/>
  <c r="K52" i="20"/>
  <c r="FV34" i="16"/>
  <c r="FT34" i="16"/>
  <c r="FU34" i="16" s="1"/>
  <c r="FS34" i="16"/>
  <c r="C45" i="2"/>
  <c r="E44" i="2"/>
  <c r="AC44" i="2"/>
  <c r="AD44" i="2" s="1"/>
  <c r="D44" i="2"/>
  <c r="C50" i="51"/>
  <c r="D50" i="51" s="1"/>
  <c r="E50" i="51" s="1"/>
  <c r="F50" i="51" s="1"/>
  <c r="G50" i="51" s="1"/>
  <c r="H50" i="51" s="1"/>
  <c r="I50" i="51" s="1"/>
  <c r="J50" i="51" s="1"/>
  <c r="K50" i="51" s="1"/>
  <c r="L50" i="51" s="1"/>
  <c r="M50" i="51" s="1"/>
  <c r="B50" i="52" s="1"/>
  <c r="FV42" i="16"/>
  <c r="FS42" i="16"/>
  <c r="FT42" i="16"/>
  <c r="FU42" i="16" s="1"/>
  <c r="AK28" i="14"/>
  <c r="C45" i="51"/>
  <c r="D45" i="51" s="1"/>
  <c r="E45" i="51" s="1"/>
  <c r="F45" i="51" s="1"/>
  <c r="G45" i="51" s="1"/>
  <c r="H45" i="51" s="1"/>
  <c r="I45" i="51" s="1"/>
  <c r="J45" i="51" s="1"/>
  <c r="K45" i="51" s="1"/>
  <c r="L45" i="51" s="1"/>
  <c r="M45" i="51" s="1"/>
  <c r="B45" i="52" s="1"/>
  <c r="AK13" i="14"/>
  <c r="K19" i="19"/>
  <c r="K30" i="19"/>
  <c r="K31" i="19" s="1"/>
  <c r="K18" i="19"/>
  <c r="K39" i="19"/>
  <c r="K17" i="19"/>
  <c r="K11" i="19"/>
  <c r="K38" i="19"/>
  <c r="K16" i="19"/>
  <c r="K10" i="19"/>
  <c r="K15" i="19"/>
  <c r="K25" i="19"/>
  <c r="K14" i="19"/>
  <c r="K34" i="19"/>
  <c r="K12" i="19"/>
  <c r="N12" i="19" s="1"/>
  <c r="K33" i="19"/>
  <c r="K24" i="19"/>
  <c r="K13" i="19"/>
  <c r="K23" i="19"/>
  <c r="K32" i="19"/>
  <c r="K22" i="19"/>
  <c r="K20" i="19"/>
  <c r="K21" i="19"/>
  <c r="FT18" i="16"/>
  <c r="FU18" i="16" s="1"/>
  <c r="FV18" i="16"/>
  <c r="FS18" i="16"/>
  <c r="AK5" i="14"/>
  <c r="AK24" i="14"/>
  <c r="AK31" i="14"/>
  <c r="C46" i="51"/>
  <c r="D46" i="51" s="1"/>
  <c r="E46" i="51" s="1"/>
  <c r="F46" i="51" s="1"/>
  <c r="G46" i="51" s="1"/>
  <c r="H46" i="51" s="1"/>
  <c r="I46" i="51" s="1"/>
  <c r="J46" i="51" s="1"/>
  <c r="K46" i="51" s="1"/>
  <c r="L46" i="51" s="1"/>
  <c r="M46" i="51" s="1"/>
  <c r="B46" i="52" s="1"/>
  <c r="N46" i="51"/>
  <c r="AK17" i="14"/>
  <c r="AK35" i="14"/>
  <c r="FV12" i="16"/>
  <c r="FT12" i="16"/>
  <c r="FU12" i="16" s="1"/>
  <c r="FS12" i="16"/>
  <c r="FV17" i="16"/>
  <c r="FT17" i="16"/>
  <c r="FU17" i="16" s="1"/>
  <c r="FS17" i="16"/>
  <c r="FS45" i="16"/>
  <c r="FT45" i="16"/>
  <c r="FU45" i="16" s="1"/>
  <c r="FV45" i="16"/>
  <c r="L37" i="4"/>
  <c r="FS16" i="16"/>
  <c r="FV16" i="16"/>
  <c r="FT16" i="16"/>
  <c r="FU16" i="16" s="1"/>
  <c r="H52" i="23"/>
  <c r="FV5" i="16"/>
  <c r="FT5" i="16"/>
  <c r="FU5" i="16" s="1"/>
  <c r="FS5" i="16"/>
  <c r="FV20" i="16"/>
  <c r="FT20" i="16"/>
  <c r="FU20" i="16" s="1"/>
  <c r="FS20" i="16"/>
  <c r="AK9" i="14"/>
  <c r="FS39" i="16"/>
  <c r="FV39" i="16"/>
  <c r="FT39" i="16"/>
  <c r="FU39" i="16" s="1"/>
  <c r="AK29" i="14"/>
  <c r="AK30" i="14"/>
  <c r="FT43" i="16"/>
  <c r="FU43" i="16" s="1"/>
  <c r="FS43" i="16"/>
  <c r="FV43" i="16"/>
  <c r="FS30" i="16"/>
  <c r="FT30" i="16"/>
  <c r="FU30" i="16" s="1"/>
  <c r="FV30" i="16"/>
  <c r="FT11" i="16"/>
  <c r="FU11" i="16" s="1"/>
  <c r="FV11" i="16"/>
  <c r="FS11" i="16"/>
  <c r="FV48" i="16"/>
  <c r="FT48" i="16"/>
  <c r="FU48" i="16" s="1"/>
  <c r="FS48" i="16"/>
  <c r="FT40" i="16"/>
  <c r="FU40" i="16" s="1"/>
  <c r="FV40" i="16"/>
  <c r="FS40" i="16"/>
  <c r="C49" i="51"/>
  <c r="D49" i="51" s="1"/>
  <c r="E49" i="51" s="1"/>
  <c r="F49" i="51" s="1"/>
  <c r="G49" i="51" s="1"/>
  <c r="H49" i="51" s="1"/>
  <c r="I49" i="51" s="1"/>
  <c r="J49" i="51" s="1"/>
  <c r="K49" i="51" s="1"/>
  <c r="L49" i="51" s="1"/>
  <c r="M49" i="51" s="1"/>
  <c r="B49" i="52" s="1"/>
  <c r="FV38" i="16"/>
  <c r="FS38" i="16"/>
  <c r="FT38" i="16"/>
  <c r="FU38" i="16" s="1"/>
  <c r="N44" i="50"/>
  <c r="AK21" i="14"/>
  <c r="FV25" i="16"/>
  <c r="FT25" i="16"/>
  <c r="FU25" i="16" s="1"/>
  <c r="FS25" i="16"/>
  <c r="C48" i="51"/>
  <c r="D48" i="51" s="1"/>
  <c r="E48" i="51" s="1"/>
  <c r="F48" i="51" s="1"/>
  <c r="G48" i="51" s="1"/>
  <c r="H48" i="51" s="1"/>
  <c r="I48" i="51" s="1"/>
  <c r="J48" i="51" s="1"/>
  <c r="K48" i="51" s="1"/>
  <c r="L48" i="51" s="1"/>
  <c r="M48" i="51" s="1"/>
  <c r="B48" i="52" s="1"/>
  <c r="AK10" i="14"/>
  <c r="AL50" i="14"/>
  <c r="AM4" i="14"/>
  <c r="AK26" i="14"/>
  <c r="C44" i="51"/>
  <c r="D44" i="51" s="1"/>
  <c r="E44" i="51" s="1"/>
  <c r="F44" i="51" s="1"/>
  <c r="G44" i="51" s="1"/>
  <c r="H44" i="51" s="1"/>
  <c r="I44" i="51" s="1"/>
  <c r="J44" i="51" s="1"/>
  <c r="K44" i="51" s="1"/>
  <c r="L44" i="51" s="1"/>
  <c r="M44" i="51" s="1"/>
  <c r="B44" i="52" s="1"/>
  <c r="N44" i="51"/>
  <c r="J52" i="21"/>
  <c r="AK22" i="14"/>
  <c r="AK37" i="14"/>
  <c r="AJ38" i="14"/>
  <c r="AJ39" i="14" s="1"/>
  <c r="AJ40" i="14" s="1"/>
  <c r="AJ41" i="14" s="1"/>
  <c r="AJ42" i="14" s="1"/>
  <c r="AJ43" i="14" s="1"/>
  <c r="AJ44" i="14" s="1"/>
  <c r="AJ45" i="14" s="1"/>
  <c r="AJ46" i="14" s="1"/>
  <c r="AJ47" i="14" s="1"/>
  <c r="L52" i="19"/>
  <c r="AJ64" i="14"/>
  <c r="AJ69" i="14"/>
  <c r="AJ67" i="14"/>
  <c r="AJ72" i="14"/>
  <c r="AJ65" i="14"/>
  <c r="AJ70" i="14"/>
  <c r="AJ63" i="14"/>
  <c r="AJ68" i="14"/>
  <c r="AJ66" i="14"/>
  <c r="AJ71" i="14"/>
  <c r="AK18" i="14"/>
  <c r="FV6" i="16"/>
  <c r="FT6" i="16"/>
  <c r="FU6" i="16" s="1"/>
  <c r="FS6" i="16"/>
  <c r="C51" i="51"/>
  <c r="D51" i="51" s="1"/>
  <c r="E51" i="51" s="1"/>
  <c r="F51" i="51" s="1"/>
  <c r="G51" i="51" s="1"/>
  <c r="H51" i="51" s="1"/>
  <c r="I51" i="51" s="1"/>
  <c r="J51" i="51" s="1"/>
  <c r="K51" i="51" s="1"/>
  <c r="L51" i="51" s="1"/>
  <c r="M51" i="51" s="1"/>
  <c r="B51" i="52" s="1"/>
  <c r="AK33" i="14"/>
  <c r="FV41" i="16"/>
  <c r="FT41" i="16"/>
  <c r="FU41" i="16" s="1"/>
  <c r="FS41" i="16"/>
  <c r="FV24" i="16"/>
  <c r="FT24" i="16"/>
  <c r="FU24" i="16" s="1"/>
  <c r="FS24" i="16"/>
  <c r="FV29" i="16"/>
  <c r="FS29" i="16"/>
  <c r="FT29" i="16"/>
  <c r="FU29" i="16" s="1"/>
  <c r="FS37" i="16"/>
  <c r="FV37" i="16"/>
  <c r="FT37" i="16"/>
  <c r="FU37" i="16" s="1"/>
  <c r="FV35" i="16"/>
  <c r="FT35" i="16"/>
  <c r="FU35" i="16" s="1"/>
  <c r="FS35" i="16"/>
  <c r="FV13" i="16"/>
  <c r="FT13" i="16"/>
  <c r="FU13" i="16" s="1"/>
  <c r="FS13" i="16"/>
  <c r="AJ52" i="14"/>
  <c r="AJ57" i="14"/>
  <c r="AJ62" i="14"/>
  <c r="AJ55" i="14"/>
  <c r="AJ60" i="14"/>
  <c r="AJ53" i="14"/>
  <c r="AJ58" i="14"/>
  <c r="AJ51" i="14"/>
  <c r="AJ56" i="14"/>
  <c r="AJ61" i="14"/>
  <c r="AJ54" i="14"/>
  <c r="AJ59" i="14"/>
  <c r="AK15" i="14"/>
  <c r="C42" i="29"/>
  <c r="D42" i="29" s="1"/>
  <c r="E42" i="29" s="1"/>
  <c r="F42" i="29" s="1"/>
  <c r="G42" i="29" s="1"/>
  <c r="H42" i="29" s="1"/>
  <c r="I42" i="29" s="1"/>
  <c r="J42" i="29" s="1"/>
  <c r="K42" i="29" s="1"/>
  <c r="L42" i="29" s="1"/>
  <c r="M42" i="29" s="1"/>
  <c r="B42" i="30" s="1"/>
  <c r="B52" i="29"/>
  <c r="I52" i="22"/>
  <c r="AK183" i="16"/>
  <c r="AK27" i="14"/>
  <c r="AJ85" i="14"/>
  <c r="AJ86" i="14"/>
  <c r="AJ76" i="14"/>
  <c r="AJ74" i="14"/>
  <c r="AJ84" i="14"/>
  <c r="AJ83" i="14"/>
  <c r="AJ82" i="14"/>
  <c r="AJ93" i="14"/>
  <c r="AJ91" i="14"/>
  <c r="AJ90" i="14"/>
  <c r="AJ89" i="14"/>
  <c r="AJ88" i="14"/>
  <c r="AJ87" i="14"/>
  <c r="AJ81" i="14"/>
  <c r="AJ79" i="14"/>
  <c r="AJ78" i="14"/>
  <c r="AJ92" i="14"/>
  <c r="AJ80" i="14"/>
  <c r="AJ77" i="14"/>
  <c r="AJ75" i="14"/>
  <c r="AJ73" i="14"/>
  <c r="AK20" i="14"/>
  <c r="FS28" i="16"/>
  <c r="FV28" i="16"/>
  <c r="FT28" i="16"/>
  <c r="FU28" i="16" s="1"/>
  <c r="FV46" i="16"/>
  <c r="FT46" i="16"/>
  <c r="FU46" i="16" s="1"/>
  <c r="FS46" i="16"/>
  <c r="AG182" i="16"/>
  <c r="C43" i="51"/>
  <c r="D43" i="51" s="1"/>
  <c r="E43" i="51" s="1"/>
  <c r="F43" i="51" s="1"/>
  <c r="G43" i="51" s="1"/>
  <c r="H43" i="51" s="1"/>
  <c r="I43" i="51" s="1"/>
  <c r="J43" i="51" s="1"/>
  <c r="K43" i="51" s="1"/>
  <c r="L43" i="51" s="1"/>
  <c r="M43" i="51" s="1"/>
  <c r="B43" i="52" s="1"/>
  <c r="AK34" i="14"/>
  <c r="FS9" i="16"/>
  <c r="FV9" i="16"/>
  <c r="FT9" i="16"/>
  <c r="FU9" i="16" s="1"/>
  <c r="FS7" i="16"/>
  <c r="FV7" i="16"/>
  <c r="FT7" i="16"/>
  <c r="FU7" i="16" s="1"/>
  <c r="C52" i="28"/>
  <c r="FS27" i="16"/>
  <c r="FT27" i="16"/>
  <c r="FU27" i="16" s="1"/>
  <c r="FV27" i="16"/>
  <c r="AF183" i="16"/>
  <c r="AK12" i="14"/>
  <c r="FT33" i="16"/>
  <c r="FU33" i="16" s="1"/>
  <c r="FV33" i="16"/>
  <c r="FS33" i="16"/>
  <c r="FS26" i="16"/>
  <c r="FV26" i="16"/>
  <c r="FT26" i="16"/>
  <c r="FU26" i="16" s="1"/>
  <c r="FS8" i="16"/>
  <c r="FV8" i="16"/>
  <c r="FT8" i="16"/>
  <c r="FU8" i="16" s="1"/>
  <c r="E52" i="26"/>
  <c r="AK23" i="14"/>
  <c r="FT15" i="16"/>
  <c r="FU15" i="16" s="1"/>
  <c r="FS15" i="16"/>
  <c r="FV15" i="16"/>
  <c r="M36" i="4"/>
  <c r="FT14" i="16"/>
  <c r="FU14" i="16" s="1"/>
  <c r="FV14" i="16"/>
  <c r="FS14" i="16"/>
  <c r="FT21" i="16"/>
  <c r="FU21" i="16" s="1"/>
  <c r="FS21" i="16"/>
  <c r="FV21" i="16"/>
  <c r="FV32" i="16"/>
  <c r="FS32" i="16"/>
  <c r="FT32" i="16"/>
  <c r="FU32" i="16" s="1"/>
  <c r="FV31" i="16"/>
  <c r="FT31" i="16"/>
  <c r="FU31" i="16" s="1"/>
  <c r="FS31" i="16"/>
  <c r="AK16" i="14"/>
  <c r="F43" i="2"/>
  <c r="F52" i="25"/>
  <c r="FT22" i="16"/>
  <c r="FU22" i="16" s="1"/>
  <c r="FV22" i="16"/>
  <c r="FS22" i="16"/>
  <c r="AK8" i="14"/>
  <c r="AK11" i="14"/>
  <c r="AK36" i="14"/>
  <c r="AK6" i="14"/>
  <c r="D52" i="27"/>
  <c r="AK19" i="14"/>
  <c r="G52" i="24"/>
  <c r="N45" i="50"/>
  <c r="AK25" i="14"/>
  <c r="N43" i="50"/>
  <c r="FT10" i="16"/>
  <c r="FU10" i="16" s="1"/>
  <c r="FS10" i="16"/>
  <c r="FV10" i="16"/>
  <c r="N47" i="50"/>
  <c r="AK14" i="14"/>
  <c r="U42" i="2"/>
  <c r="S42" i="2"/>
  <c r="FV47" i="16"/>
  <c r="FT47" i="16"/>
  <c r="FU47" i="16" s="1"/>
  <c r="FS47" i="16"/>
  <c r="L9" i="6"/>
  <c r="AL3" i="14"/>
  <c r="N7" i="6"/>
  <c r="G14" i="6"/>
  <c r="I12" i="6"/>
  <c r="H13" i="6"/>
  <c r="K10" i="6"/>
  <c r="O6" i="6"/>
  <c r="I5" i="9"/>
  <c r="P5" i="6"/>
  <c r="J11" i="6"/>
  <c r="H5" i="9"/>
  <c r="M8" i="6"/>
  <c r="F15" i="6"/>
  <c r="AC183" i="16" l="1"/>
  <c r="AI183" i="16"/>
  <c r="N49" i="51"/>
  <c r="K26" i="19"/>
  <c r="K57" i="19" s="1"/>
  <c r="AN183" i="16"/>
  <c r="AL183" i="16"/>
  <c r="C48" i="52"/>
  <c r="D48" i="52" s="1"/>
  <c r="E48" i="52" s="1"/>
  <c r="F48" i="52" s="1"/>
  <c r="G48" i="52" s="1"/>
  <c r="H48" i="52" s="1"/>
  <c r="I48" i="52" s="1"/>
  <c r="J48" i="52" s="1"/>
  <c r="K48" i="52" s="1"/>
  <c r="L48" i="52" s="1"/>
  <c r="M48" i="52" s="1"/>
  <c r="B48" i="53" s="1"/>
  <c r="FZ40" i="16"/>
  <c r="FX40" i="16"/>
  <c r="FY40" i="16" s="1"/>
  <c r="FW40" i="16"/>
  <c r="AL5" i="14"/>
  <c r="C45" i="52"/>
  <c r="D45" i="52" s="1"/>
  <c r="E45" i="52" s="1"/>
  <c r="F45" i="52" s="1"/>
  <c r="G45" i="52" s="1"/>
  <c r="H45" i="52" s="1"/>
  <c r="I45" i="52" s="1"/>
  <c r="J45" i="52" s="1"/>
  <c r="K45" i="52" s="1"/>
  <c r="L45" i="52" s="1"/>
  <c r="M45" i="52" s="1"/>
  <c r="B45" i="53" s="1"/>
  <c r="K52" i="21"/>
  <c r="FZ34" i="16"/>
  <c r="FX34" i="16"/>
  <c r="FY34" i="16" s="1"/>
  <c r="FW34" i="16"/>
  <c r="AD183" i="16"/>
  <c r="AL30" i="14"/>
  <c r="FZ5" i="16"/>
  <c r="FX5" i="16"/>
  <c r="FY5" i="16" s="1"/>
  <c r="FW5" i="16"/>
  <c r="FZ17" i="16"/>
  <c r="FX17" i="16"/>
  <c r="FY17" i="16" s="1"/>
  <c r="FW17" i="16"/>
  <c r="FW18" i="16"/>
  <c r="FZ18" i="16"/>
  <c r="FX18" i="16"/>
  <c r="FY18" i="16" s="1"/>
  <c r="L52" i="20"/>
  <c r="FX36" i="16"/>
  <c r="FY36" i="16" s="1"/>
  <c r="FZ36" i="16"/>
  <c r="FW36" i="16"/>
  <c r="AL28" i="14"/>
  <c r="FW35" i="16"/>
  <c r="FZ35" i="16"/>
  <c r="FX35" i="16"/>
  <c r="FY35" i="16" s="1"/>
  <c r="FW41" i="16"/>
  <c r="FZ41" i="16"/>
  <c r="FX41" i="16"/>
  <c r="FY41" i="16" s="1"/>
  <c r="FX25" i="16"/>
  <c r="FY25" i="16" s="1"/>
  <c r="FZ25" i="16"/>
  <c r="FW25" i="16"/>
  <c r="AL29" i="14"/>
  <c r="I52" i="23"/>
  <c r="AP184" i="16"/>
  <c r="AL32" i="14"/>
  <c r="B4" i="20"/>
  <c r="M6" i="19"/>
  <c r="FX26" i="16"/>
  <c r="FY26" i="16" s="1"/>
  <c r="FZ26" i="16"/>
  <c r="FW26" i="16"/>
  <c r="AL36" i="14"/>
  <c r="FX7" i="16"/>
  <c r="FY7" i="16" s="1"/>
  <c r="FZ7" i="16"/>
  <c r="FW7" i="16"/>
  <c r="C44" i="52"/>
  <c r="D44" i="52" s="1"/>
  <c r="E44" i="52" s="1"/>
  <c r="F44" i="52" s="1"/>
  <c r="G44" i="52" s="1"/>
  <c r="H44" i="52" s="1"/>
  <c r="I44" i="52" s="1"/>
  <c r="J44" i="52" s="1"/>
  <c r="K44" i="52" s="1"/>
  <c r="L44" i="52" s="1"/>
  <c r="M44" i="52" s="1"/>
  <c r="B44" i="53" s="1"/>
  <c r="AL21" i="14"/>
  <c r="FX48" i="16"/>
  <c r="FY48" i="16" s="1"/>
  <c r="FW48" i="16"/>
  <c r="FZ48" i="16"/>
  <c r="AH183" i="16"/>
  <c r="AB183" i="16"/>
  <c r="FZ42" i="16"/>
  <c r="FX42" i="16"/>
  <c r="FY42" i="16" s="1"/>
  <c r="FW42" i="16"/>
  <c r="L30" i="19"/>
  <c r="L31" i="19" s="1"/>
  <c r="L18" i="19"/>
  <c r="L39" i="19"/>
  <c r="L17" i="19"/>
  <c r="L11" i="19"/>
  <c r="L38" i="19"/>
  <c r="L16" i="19"/>
  <c r="L10" i="19"/>
  <c r="L15" i="19"/>
  <c r="L25" i="19"/>
  <c r="L14" i="19"/>
  <c r="L34" i="19"/>
  <c r="L33" i="19"/>
  <c r="L24" i="19"/>
  <c r="L13" i="19"/>
  <c r="L23" i="19"/>
  <c r="L32" i="19"/>
  <c r="L22" i="19"/>
  <c r="L20" i="19"/>
  <c r="L19" i="19"/>
  <c r="L21" i="19"/>
  <c r="AL8" i="14"/>
  <c r="FZ33" i="16"/>
  <c r="FX33" i="16"/>
  <c r="FY33" i="16" s="1"/>
  <c r="FW33" i="16"/>
  <c r="FZ28" i="16"/>
  <c r="FX28" i="16"/>
  <c r="FY28" i="16" s="1"/>
  <c r="FW28" i="16"/>
  <c r="AK184" i="16"/>
  <c r="AI184" i="16" s="1"/>
  <c r="AL27" i="14"/>
  <c r="AL33" i="14"/>
  <c r="FX22" i="16"/>
  <c r="FY22" i="16" s="1"/>
  <c r="FZ22" i="16"/>
  <c r="FW22" i="16"/>
  <c r="FZ32" i="16"/>
  <c r="FX32" i="16"/>
  <c r="FY32" i="16" s="1"/>
  <c r="FW32" i="16"/>
  <c r="AL23" i="14"/>
  <c r="AF184" i="16"/>
  <c r="AC184" i="16" s="1"/>
  <c r="AL12" i="14"/>
  <c r="FZ9" i="16"/>
  <c r="FW9" i="16"/>
  <c r="FX9" i="16"/>
  <c r="FY9" i="16" s="1"/>
  <c r="AK90" i="14"/>
  <c r="AK78" i="14"/>
  <c r="AK91" i="14"/>
  <c r="AK79" i="14"/>
  <c r="AK74" i="14"/>
  <c r="AL20" i="14"/>
  <c r="AK84" i="14"/>
  <c r="AK83" i="14"/>
  <c r="AK82" i="14"/>
  <c r="AK93" i="14"/>
  <c r="AK89" i="14"/>
  <c r="AK88" i="14"/>
  <c r="AK87" i="14"/>
  <c r="AK86" i="14"/>
  <c r="AK85" i="14"/>
  <c r="AK81" i="14"/>
  <c r="AK92" i="14"/>
  <c r="AK80" i="14"/>
  <c r="AK77" i="14"/>
  <c r="AK75" i="14"/>
  <c r="AK73" i="14"/>
  <c r="AK76" i="14"/>
  <c r="J52" i="22"/>
  <c r="FW37" i="16"/>
  <c r="FZ37" i="16"/>
  <c r="FX37" i="16"/>
  <c r="FY37" i="16" s="1"/>
  <c r="N51" i="51"/>
  <c r="AL26" i="14"/>
  <c r="FZ39" i="16"/>
  <c r="FX39" i="16"/>
  <c r="FY39" i="16" s="1"/>
  <c r="FW39" i="16"/>
  <c r="FW12" i="16"/>
  <c r="FX12" i="16"/>
  <c r="FY12" i="16" s="1"/>
  <c r="FZ12" i="16"/>
  <c r="N50" i="51"/>
  <c r="AL11" i="14"/>
  <c r="C52" i="29"/>
  <c r="C51" i="52"/>
  <c r="D51" i="52" s="1"/>
  <c r="E51" i="52" s="1"/>
  <c r="F51" i="52" s="1"/>
  <c r="G51" i="52" s="1"/>
  <c r="H51" i="52" s="1"/>
  <c r="I51" i="52" s="1"/>
  <c r="J51" i="52" s="1"/>
  <c r="K51" i="52" s="1"/>
  <c r="L51" i="52" s="1"/>
  <c r="M51" i="52" s="1"/>
  <c r="B51" i="53" s="1"/>
  <c r="AM50" i="14"/>
  <c r="AN4" i="14"/>
  <c r="FW11" i="16"/>
  <c r="FZ11" i="16"/>
  <c r="FX11" i="16"/>
  <c r="FY11" i="16" s="1"/>
  <c r="FZ16" i="16"/>
  <c r="FX16" i="16"/>
  <c r="FY16" i="16" s="1"/>
  <c r="FW16" i="16"/>
  <c r="AL35" i="14"/>
  <c r="N50" i="52"/>
  <c r="C50" i="52"/>
  <c r="D50" i="52" s="1"/>
  <c r="E50" i="52" s="1"/>
  <c r="F50" i="52" s="1"/>
  <c r="G50" i="52" s="1"/>
  <c r="H50" i="52" s="1"/>
  <c r="I50" i="52" s="1"/>
  <c r="J50" i="52" s="1"/>
  <c r="K50" i="52" s="1"/>
  <c r="L50" i="52" s="1"/>
  <c r="M50" i="52" s="1"/>
  <c r="B50" i="53" s="1"/>
  <c r="L8" i="19"/>
  <c r="AL25" i="14"/>
  <c r="FZ21" i="16"/>
  <c r="FX21" i="16"/>
  <c r="FY21" i="16" s="1"/>
  <c r="FW21" i="16"/>
  <c r="G52" i="25"/>
  <c r="F52" i="26"/>
  <c r="FZ27" i="16"/>
  <c r="FX27" i="16"/>
  <c r="FY27" i="16" s="1"/>
  <c r="FW27" i="16"/>
  <c r="AL34" i="14"/>
  <c r="N42" i="29"/>
  <c r="AL17" i="14"/>
  <c r="F44" i="2"/>
  <c r="FW19" i="16"/>
  <c r="FZ19" i="16"/>
  <c r="FX19" i="16"/>
  <c r="FY19" i="16" s="1"/>
  <c r="L9" i="19"/>
  <c r="AL6" i="14"/>
  <c r="FZ24" i="16"/>
  <c r="FX24" i="16"/>
  <c r="FY24" i="16" s="1"/>
  <c r="FW24" i="16"/>
  <c r="FZ46" i="16"/>
  <c r="FW46" i="16"/>
  <c r="FX46" i="16"/>
  <c r="FY46" i="16" s="1"/>
  <c r="FZ10" i="16"/>
  <c r="FX10" i="16"/>
  <c r="FY10" i="16" s="1"/>
  <c r="FW10" i="16"/>
  <c r="FZ31" i="16"/>
  <c r="FX31" i="16"/>
  <c r="FY31" i="16" s="1"/>
  <c r="FW31" i="16"/>
  <c r="FX15" i="16"/>
  <c r="FY15" i="16" s="1"/>
  <c r="FZ15" i="16"/>
  <c r="FW15" i="16"/>
  <c r="FX47" i="16"/>
  <c r="FY47" i="16" s="1"/>
  <c r="FZ47" i="16"/>
  <c r="FW47" i="16"/>
  <c r="FZ38" i="16"/>
  <c r="FX38" i="16"/>
  <c r="FY38" i="16" s="1"/>
  <c r="FW38" i="16"/>
  <c r="FW30" i="16"/>
  <c r="FX30" i="16"/>
  <c r="FY30" i="16" s="1"/>
  <c r="FZ30" i="16"/>
  <c r="AL9" i="14"/>
  <c r="L38" i="4"/>
  <c r="L44" i="4" s="1"/>
  <c r="AL7" i="14"/>
  <c r="M37" i="4"/>
  <c r="AL22" i="14"/>
  <c r="C42" i="30"/>
  <c r="D42" i="30" s="1"/>
  <c r="E42" i="30" s="1"/>
  <c r="F42" i="30" s="1"/>
  <c r="G42" i="30" s="1"/>
  <c r="H42" i="30" s="1"/>
  <c r="I42" i="30" s="1"/>
  <c r="J42" i="30" s="1"/>
  <c r="K42" i="30" s="1"/>
  <c r="L42" i="30" s="1"/>
  <c r="M42" i="30" s="1"/>
  <c r="B42" i="31" s="1"/>
  <c r="B52" i="30"/>
  <c r="H52" i="24"/>
  <c r="FZ8" i="16"/>
  <c r="FX8" i="16"/>
  <c r="FY8" i="16" s="1"/>
  <c r="FW8" i="16"/>
  <c r="N43" i="51"/>
  <c r="AK57" i="14"/>
  <c r="AK62" i="14"/>
  <c r="AK55" i="14"/>
  <c r="AK60" i="14"/>
  <c r="AK53" i="14"/>
  <c r="AK58" i="14"/>
  <c r="AK51" i="14"/>
  <c r="AK56" i="14"/>
  <c r="AK61" i="14"/>
  <c r="AK54" i="14"/>
  <c r="AK59" i="14"/>
  <c r="AK52" i="14"/>
  <c r="AL15" i="14"/>
  <c r="FZ29" i="16"/>
  <c r="FX29" i="16"/>
  <c r="FY29" i="16" s="1"/>
  <c r="FW29" i="16"/>
  <c r="FX6" i="16"/>
  <c r="FY6" i="16" s="1"/>
  <c r="FZ6" i="16"/>
  <c r="FW6" i="16"/>
  <c r="M52" i="19"/>
  <c r="C49" i="52"/>
  <c r="D49" i="52" s="1"/>
  <c r="E49" i="52" s="1"/>
  <c r="F49" i="52" s="1"/>
  <c r="G49" i="52" s="1"/>
  <c r="H49" i="52" s="1"/>
  <c r="I49" i="52" s="1"/>
  <c r="J49" i="52" s="1"/>
  <c r="K49" i="52" s="1"/>
  <c r="L49" i="52" s="1"/>
  <c r="M49" i="52" s="1"/>
  <c r="B49" i="53" s="1"/>
  <c r="FX45" i="16"/>
  <c r="FY45" i="16" s="1"/>
  <c r="FW45" i="16"/>
  <c r="FZ45" i="16"/>
  <c r="C46" i="52"/>
  <c r="D46" i="52" s="1"/>
  <c r="E46" i="52" s="1"/>
  <c r="F46" i="52" s="1"/>
  <c r="G46" i="52" s="1"/>
  <c r="H46" i="52" s="1"/>
  <c r="I46" i="52" s="1"/>
  <c r="J46" i="52" s="1"/>
  <c r="K46" i="52" s="1"/>
  <c r="L46" i="52" s="1"/>
  <c r="M46" i="52" s="1"/>
  <c r="B46" i="53" s="1"/>
  <c r="C47" i="52"/>
  <c r="D47" i="52" s="1"/>
  <c r="E47" i="52" s="1"/>
  <c r="F47" i="52" s="1"/>
  <c r="G47" i="52" s="1"/>
  <c r="H47" i="52" s="1"/>
  <c r="I47" i="52" s="1"/>
  <c r="J47" i="52" s="1"/>
  <c r="K47" i="52" s="1"/>
  <c r="L47" i="52" s="1"/>
  <c r="M47" i="52" s="1"/>
  <c r="B47" i="53" s="1"/>
  <c r="AL14" i="14"/>
  <c r="FW13" i="16"/>
  <c r="FZ13" i="16"/>
  <c r="FX13" i="16"/>
  <c r="FY13" i="16" s="1"/>
  <c r="D52" i="28"/>
  <c r="AG183" i="16"/>
  <c r="AK69" i="14"/>
  <c r="AL18" i="14"/>
  <c r="AK67" i="14"/>
  <c r="AK72" i="14"/>
  <c r="AK65" i="14"/>
  <c r="AK70" i="14"/>
  <c r="AK63" i="14"/>
  <c r="AK68" i="14"/>
  <c r="AK66" i="14"/>
  <c r="AK71" i="14"/>
  <c r="AK64" i="14"/>
  <c r="AL10" i="14"/>
  <c r="AL31" i="14"/>
  <c r="AL13" i="14"/>
  <c r="C46" i="2"/>
  <c r="AC45" i="2"/>
  <c r="AD45" i="2" s="1"/>
  <c r="E45" i="2"/>
  <c r="D45" i="2"/>
  <c r="H43" i="2"/>
  <c r="AB43" i="2"/>
  <c r="C43" i="52"/>
  <c r="D43" i="52" s="1"/>
  <c r="E43" i="52" s="1"/>
  <c r="F43" i="52" s="1"/>
  <c r="G43" i="52" s="1"/>
  <c r="H43" i="52" s="1"/>
  <c r="I43" i="52" s="1"/>
  <c r="J43" i="52" s="1"/>
  <c r="K43" i="52" s="1"/>
  <c r="L43" i="52" s="1"/>
  <c r="M43" i="52" s="1"/>
  <c r="B43" i="53" s="1"/>
  <c r="N43" i="52"/>
  <c r="AL19" i="14"/>
  <c r="FZ14" i="16"/>
  <c r="FX14" i="16"/>
  <c r="FY14" i="16" s="1"/>
  <c r="FW14" i="16"/>
  <c r="E52" i="27"/>
  <c r="AL16" i="14"/>
  <c r="AK38" i="14"/>
  <c r="AK39" i="14" s="1"/>
  <c r="AK40" i="14" s="1"/>
  <c r="AK41" i="14" s="1"/>
  <c r="AK42" i="14" s="1"/>
  <c r="AK43" i="14" s="1"/>
  <c r="AK44" i="14" s="1"/>
  <c r="AK45" i="14" s="1"/>
  <c r="AK46" i="14" s="1"/>
  <c r="AK47" i="14" s="1"/>
  <c r="AL37" i="14"/>
  <c r="N48" i="51"/>
  <c r="FW43" i="16"/>
  <c r="FZ43" i="16"/>
  <c r="FX43" i="16"/>
  <c r="FY43" i="16" s="1"/>
  <c r="FW20" i="16"/>
  <c r="FZ20" i="16"/>
  <c r="FX20" i="16"/>
  <c r="FY20" i="16" s="1"/>
  <c r="AL24" i="14"/>
  <c r="N45" i="51"/>
  <c r="FZ23" i="16"/>
  <c r="FX23" i="16"/>
  <c r="FY23" i="16" s="1"/>
  <c r="FW23" i="16"/>
  <c r="FX44" i="16"/>
  <c r="FY44" i="16" s="1"/>
  <c r="FZ44" i="16"/>
  <c r="FW44" i="16"/>
  <c r="F16" i="6"/>
  <c r="I13" i="6"/>
  <c r="J12" i="6"/>
  <c r="Q5" i="6"/>
  <c r="L10" i="6"/>
  <c r="H14" i="6"/>
  <c r="P6" i="6"/>
  <c r="G15" i="6"/>
  <c r="K11" i="6"/>
  <c r="O7" i="6"/>
  <c r="M9" i="6"/>
  <c r="N8" i="6"/>
  <c r="AM3" i="14"/>
  <c r="N47" i="52" l="1"/>
  <c r="N42" i="30"/>
  <c r="N48" i="52"/>
  <c r="N51" i="52"/>
  <c r="AN184" i="16"/>
  <c r="AL184" i="16"/>
  <c r="AG184" i="16"/>
  <c r="AH184" i="16"/>
  <c r="AD184" i="16"/>
  <c r="L26" i="19"/>
  <c r="L57" i="19" s="1"/>
  <c r="AL83" i="14"/>
  <c r="AL84" i="14"/>
  <c r="AL74" i="14"/>
  <c r="AM20" i="14"/>
  <c r="AL82" i="14"/>
  <c r="AL93" i="14"/>
  <c r="AL89" i="14"/>
  <c r="AL88" i="14"/>
  <c r="AL87" i="14"/>
  <c r="AL86" i="14"/>
  <c r="AL85" i="14"/>
  <c r="AL81" i="14"/>
  <c r="AL92" i="14"/>
  <c r="AL91" i="14"/>
  <c r="AL90" i="14"/>
  <c r="AL80" i="14"/>
  <c r="AL79" i="14"/>
  <c r="AL78" i="14"/>
  <c r="AL77" i="14"/>
  <c r="AL75" i="14"/>
  <c r="AL73" i="14"/>
  <c r="AL76" i="14"/>
  <c r="AM24" i="14"/>
  <c r="N46" i="52"/>
  <c r="M38" i="4"/>
  <c r="M44" i="4" s="1"/>
  <c r="GB46" i="16"/>
  <c r="GC46" i="16" s="1"/>
  <c r="GA46" i="16"/>
  <c r="GD46" i="16"/>
  <c r="C50" i="53"/>
  <c r="D50" i="53" s="1"/>
  <c r="E50" i="53" s="1"/>
  <c r="F50" i="53" s="1"/>
  <c r="G50" i="53" s="1"/>
  <c r="H50" i="53" s="1"/>
  <c r="I50" i="53" s="1"/>
  <c r="J50" i="53" s="1"/>
  <c r="K50" i="53" s="1"/>
  <c r="L50" i="53" s="1"/>
  <c r="M50" i="53" s="1"/>
  <c r="B50" i="54" s="1"/>
  <c r="C51" i="53"/>
  <c r="D51" i="53" s="1"/>
  <c r="E51" i="53" s="1"/>
  <c r="F51" i="53" s="1"/>
  <c r="G51" i="53" s="1"/>
  <c r="H51" i="53" s="1"/>
  <c r="I51" i="53" s="1"/>
  <c r="J51" i="53" s="1"/>
  <c r="K51" i="53" s="1"/>
  <c r="L51" i="53" s="1"/>
  <c r="M51" i="53" s="1"/>
  <c r="B51" i="54" s="1"/>
  <c r="AM26" i="14"/>
  <c r="GB48" i="16"/>
  <c r="GC48" i="16" s="1"/>
  <c r="GA48" i="16"/>
  <c r="GD48" i="16"/>
  <c r="M52" i="20"/>
  <c r="GB29" i="16"/>
  <c r="GC29" i="16" s="1"/>
  <c r="GD29" i="16"/>
  <c r="GA29" i="16"/>
  <c r="AM34" i="14"/>
  <c r="GB32" i="16"/>
  <c r="GC32" i="16" s="1"/>
  <c r="GD32" i="16"/>
  <c r="GA32" i="16"/>
  <c r="GB33" i="16"/>
  <c r="GC33" i="16" s="1"/>
  <c r="GD33" i="16"/>
  <c r="GA33" i="16"/>
  <c r="M39" i="19"/>
  <c r="N39" i="19" s="1"/>
  <c r="M17" i="19"/>
  <c r="N17" i="19" s="1"/>
  <c r="M11" i="19"/>
  <c r="N11" i="19" s="1"/>
  <c r="M38" i="19"/>
  <c r="N38" i="19" s="1"/>
  <c r="M16" i="19"/>
  <c r="N16" i="19" s="1"/>
  <c r="M10" i="19"/>
  <c r="N10" i="19" s="1"/>
  <c r="M15" i="19"/>
  <c r="N15" i="19" s="1"/>
  <c r="M25" i="19"/>
  <c r="N25" i="19" s="1"/>
  <c r="M14" i="19"/>
  <c r="N14" i="19" s="1"/>
  <c r="M34" i="19"/>
  <c r="N34" i="19" s="1"/>
  <c r="M33" i="19"/>
  <c r="N33" i="19" s="1"/>
  <c r="M24" i="19"/>
  <c r="N24" i="19" s="1"/>
  <c r="M13" i="19"/>
  <c r="N13" i="19" s="1"/>
  <c r="M23" i="19"/>
  <c r="N23" i="19" s="1"/>
  <c r="M32" i="19"/>
  <c r="N32" i="19" s="1"/>
  <c r="M22" i="19"/>
  <c r="N22" i="19" s="1"/>
  <c r="M20" i="19"/>
  <c r="N20" i="19" s="1"/>
  <c r="M19" i="19"/>
  <c r="N19" i="19" s="1"/>
  <c r="M30" i="19"/>
  <c r="N30" i="19" s="1"/>
  <c r="M18" i="19"/>
  <c r="N18" i="19" s="1"/>
  <c r="N6" i="19"/>
  <c r="M21" i="19"/>
  <c r="N21" i="19" s="1"/>
  <c r="GA41" i="16"/>
  <c r="GB41" i="16"/>
  <c r="GC41" i="16" s="1"/>
  <c r="GD41" i="16"/>
  <c r="AM184" i="16"/>
  <c r="AM13" i="14"/>
  <c r="GA45" i="16"/>
  <c r="GD45" i="16"/>
  <c r="GB45" i="16"/>
  <c r="GC45" i="16" s="1"/>
  <c r="GA15" i="16"/>
  <c r="GD15" i="16"/>
  <c r="GB15" i="16"/>
  <c r="GC15" i="16" s="1"/>
  <c r="AM35" i="14"/>
  <c r="AM8" i="14"/>
  <c r="B6" i="20"/>
  <c r="B7" i="20" s="1"/>
  <c r="C4" i="20"/>
  <c r="GB18" i="16"/>
  <c r="GC18" i="16" s="1"/>
  <c r="GD18" i="16"/>
  <c r="GA18" i="16"/>
  <c r="GD34" i="16"/>
  <c r="GB34" i="16"/>
  <c r="GC34" i="16" s="1"/>
  <c r="GA34" i="16"/>
  <c r="GD39" i="16"/>
  <c r="GA39" i="16"/>
  <c r="GB39" i="16"/>
  <c r="GC39" i="16" s="1"/>
  <c r="C46" i="53"/>
  <c r="D46" i="53" s="1"/>
  <c r="E46" i="53" s="1"/>
  <c r="F46" i="53" s="1"/>
  <c r="G46" i="53" s="1"/>
  <c r="H46" i="53" s="1"/>
  <c r="I46" i="53" s="1"/>
  <c r="J46" i="53" s="1"/>
  <c r="K46" i="53" s="1"/>
  <c r="L46" i="53" s="1"/>
  <c r="M46" i="53" s="1"/>
  <c r="B46" i="54" s="1"/>
  <c r="GD20" i="16"/>
  <c r="GB20" i="16"/>
  <c r="GC20" i="16" s="1"/>
  <c r="GA20" i="16"/>
  <c r="AM18" i="14"/>
  <c r="AL67" i="14"/>
  <c r="AL72" i="14"/>
  <c r="AL65" i="14"/>
  <c r="AL70" i="14"/>
  <c r="AL63" i="14"/>
  <c r="AL68" i="14"/>
  <c r="AL66" i="14"/>
  <c r="AL71" i="14"/>
  <c r="AL64" i="14"/>
  <c r="AL69" i="14"/>
  <c r="GD14" i="16"/>
  <c r="GB14" i="16"/>
  <c r="GC14" i="16" s="1"/>
  <c r="GA14" i="16"/>
  <c r="AM31" i="14"/>
  <c r="AM9" i="14"/>
  <c r="GA24" i="16"/>
  <c r="GD24" i="16"/>
  <c r="GB24" i="16"/>
  <c r="GC24" i="16" s="1"/>
  <c r="D52" i="29"/>
  <c r="GD37" i="16"/>
  <c r="GA37" i="16"/>
  <c r="GB37" i="16"/>
  <c r="GC37" i="16" s="1"/>
  <c r="GA22" i="16"/>
  <c r="GD22" i="16"/>
  <c r="GB22" i="16"/>
  <c r="GC22" i="16" s="1"/>
  <c r="AM21" i="14"/>
  <c r="M8" i="19"/>
  <c r="N8" i="19" s="1"/>
  <c r="L52" i="21"/>
  <c r="AM16" i="14"/>
  <c r="AM17" i="14"/>
  <c r="E46" i="2"/>
  <c r="AC46" i="2"/>
  <c r="AD46" i="2" s="1"/>
  <c r="D46" i="2"/>
  <c r="C47" i="2"/>
  <c r="AM7" i="14"/>
  <c r="AL62" i="14"/>
  <c r="AL55" i="14"/>
  <c r="AL60" i="14"/>
  <c r="AL53" i="14"/>
  <c r="AL58" i="14"/>
  <c r="AL56" i="14"/>
  <c r="AM15" i="14"/>
  <c r="AL61" i="14"/>
  <c r="AL54" i="14"/>
  <c r="AL59" i="14"/>
  <c r="AL52" i="14"/>
  <c r="AL51" i="14"/>
  <c r="AL57" i="14"/>
  <c r="AM19" i="14"/>
  <c r="AM10" i="14"/>
  <c r="GD30" i="16"/>
  <c r="GB30" i="16"/>
  <c r="GC30" i="16" s="1"/>
  <c r="GA30" i="16"/>
  <c r="AM6" i="14"/>
  <c r="GD27" i="16"/>
  <c r="GB27" i="16"/>
  <c r="GC27" i="16" s="1"/>
  <c r="GA27" i="16"/>
  <c r="AM11" i="14"/>
  <c r="N44" i="52"/>
  <c r="M9" i="19"/>
  <c r="N9" i="19" s="1"/>
  <c r="GA35" i="16"/>
  <c r="GD35" i="16"/>
  <c r="GB35" i="16"/>
  <c r="GC35" i="16" s="1"/>
  <c r="N45" i="52"/>
  <c r="G52" i="26"/>
  <c r="GD16" i="16"/>
  <c r="GB16" i="16"/>
  <c r="GC16" i="16" s="1"/>
  <c r="GA16" i="16"/>
  <c r="AM33" i="14"/>
  <c r="C44" i="53"/>
  <c r="D44" i="53" s="1"/>
  <c r="E44" i="53" s="1"/>
  <c r="F44" i="53" s="1"/>
  <c r="G44" i="53" s="1"/>
  <c r="H44" i="53" s="1"/>
  <c r="I44" i="53" s="1"/>
  <c r="J44" i="53" s="1"/>
  <c r="K44" i="53" s="1"/>
  <c r="L44" i="53" s="1"/>
  <c r="M44" i="53" s="1"/>
  <c r="B44" i="54" s="1"/>
  <c r="N44" i="53"/>
  <c r="AP185" i="16"/>
  <c r="AM32" i="14"/>
  <c r="C45" i="53"/>
  <c r="D45" i="53" s="1"/>
  <c r="E45" i="53" s="1"/>
  <c r="F45" i="53" s="1"/>
  <c r="G45" i="53" s="1"/>
  <c r="H45" i="53" s="1"/>
  <c r="I45" i="53" s="1"/>
  <c r="J45" i="53" s="1"/>
  <c r="K45" i="53" s="1"/>
  <c r="L45" i="53" s="1"/>
  <c r="M45" i="53" s="1"/>
  <c r="B45" i="54" s="1"/>
  <c r="N45" i="53"/>
  <c r="C43" i="53"/>
  <c r="D43" i="53" s="1"/>
  <c r="E43" i="53" s="1"/>
  <c r="F43" i="53" s="1"/>
  <c r="G43" i="53" s="1"/>
  <c r="H43" i="53" s="1"/>
  <c r="I43" i="53" s="1"/>
  <c r="J43" i="53" s="1"/>
  <c r="K43" i="53" s="1"/>
  <c r="L43" i="53" s="1"/>
  <c r="M43" i="53" s="1"/>
  <c r="B43" i="54" s="1"/>
  <c r="N49" i="52"/>
  <c r="GD8" i="16"/>
  <c r="GA8" i="16"/>
  <c r="GB8" i="16"/>
  <c r="GC8" i="16" s="1"/>
  <c r="GD31" i="16"/>
  <c r="GB31" i="16"/>
  <c r="GC31" i="16" s="1"/>
  <c r="GA31" i="16"/>
  <c r="H52" i="25"/>
  <c r="GD12" i="16"/>
  <c r="GB12" i="16"/>
  <c r="GC12" i="16" s="1"/>
  <c r="GA12" i="16"/>
  <c r="K52" i="22"/>
  <c r="AK185" i="16"/>
  <c r="AI185" i="16" s="1"/>
  <c r="AM27" i="14"/>
  <c r="GB17" i="16"/>
  <c r="GC17" i="16" s="1"/>
  <c r="GD17" i="16"/>
  <c r="GA17" i="16"/>
  <c r="AM5" i="14"/>
  <c r="AM22" i="14"/>
  <c r="E52" i="28"/>
  <c r="GD44" i="16"/>
  <c r="GB44" i="16"/>
  <c r="GC44" i="16" s="1"/>
  <c r="GA44" i="16"/>
  <c r="GD13" i="16"/>
  <c r="GB13" i="16"/>
  <c r="GC13" i="16" s="1"/>
  <c r="GA13" i="16"/>
  <c r="N52" i="19"/>
  <c r="I52" i="24"/>
  <c r="GB11" i="16"/>
  <c r="GC11" i="16" s="1"/>
  <c r="GD11" i="16"/>
  <c r="GA11" i="16"/>
  <c r="GD9" i="16"/>
  <c r="GB9" i="16"/>
  <c r="GC9" i="16" s="1"/>
  <c r="GA9" i="16"/>
  <c r="GB7" i="16"/>
  <c r="GC7" i="16" s="1"/>
  <c r="GD7" i="16"/>
  <c r="GA7" i="16"/>
  <c r="J52" i="23"/>
  <c r="AM28" i="14"/>
  <c r="GB26" i="16"/>
  <c r="GC26" i="16" s="1"/>
  <c r="GD26" i="16"/>
  <c r="GA26" i="16"/>
  <c r="C49" i="53"/>
  <c r="D49" i="53" s="1"/>
  <c r="E49" i="53" s="1"/>
  <c r="F49" i="53" s="1"/>
  <c r="G49" i="53" s="1"/>
  <c r="H49" i="53" s="1"/>
  <c r="I49" i="53" s="1"/>
  <c r="J49" i="53" s="1"/>
  <c r="K49" i="53" s="1"/>
  <c r="L49" i="53" s="1"/>
  <c r="M49" i="53" s="1"/>
  <c r="B49" i="54" s="1"/>
  <c r="C52" i="30"/>
  <c r="GD19" i="16"/>
  <c r="GB19" i="16"/>
  <c r="GC19" i="16" s="1"/>
  <c r="GA19" i="16"/>
  <c r="AF185" i="16"/>
  <c r="AM12" i="14"/>
  <c r="AM29" i="14"/>
  <c r="F52" i="27"/>
  <c r="GB43" i="16"/>
  <c r="GC43" i="16" s="1"/>
  <c r="GD43" i="16"/>
  <c r="GA43" i="16"/>
  <c r="AL38" i="14"/>
  <c r="AL39" i="14" s="1"/>
  <c r="AL40" i="14" s="1"/>
  <c r="AL41" i="14" s="1"/>
  <c r="AL42" i="14" s="1"/>
  <c r="AL43" i="14" s="1"/>
  <c r="AL44" i="14" s="1"/>
  <c r="AL45" i="14" s="1"/>
  <c r="AL46" i="14" s="1"/>
  <c r="AL47" i="14" s="1"/>
  <c r="AM37" i="14"/>
  <c r="AM14" i="14"/>
  <c r="GD6" i="16"/>
  <c r="GA6" i="16"/>
  <c r="GB6" i="16"/>
  <c r="GC6" i="16" s="1"/>
  <c r="GD38" i="16"/>
  <c r="GB38" i="16"/>
  <c r="GC38" i="16" s="1"/>
  <c r="GA38" i="16"/>
  <c r="GB10" i="16"/>
  <c r="GC10" i="16" s="1"/>
  <c r="GD10" i="16"/>
  <c r="GA10" i="16"/>
  <c r="GD21" i="16"/>
  <c r="GB21" i="16"/>
  <c r="GC21" i="16" s="1"/>
  <c r="GA21" i="16"/>
  <c r="AN50" i="14"/>
  <c r="AO4" i="14"/>
  <c r="GD42" i="16"/>
  <c r="GB42" i="16"/>
  <c r="GC42" i="16" s="1"/>
  <c r="GA42" i="16"/>
  <c r="AM36" i="14"/>
  <c r="GA5" i="16"/>
  <c r="GD5" i="16"/>
  <c r="GB5" i="16"/>
  <c r="GC5" i="16" s="1"/>
  <c r="GB40" i="16"/>
  <c r="GC40" i="16" s="1"/>
  <c r="GD40" i="16"/>
  <c r="GA40" i="16"/>
  <c r="GA47" i="16"/>
  <c r="GD47" i="16"/>
  <c r="GB47" i="16"/>
  <c r="GC47" i="16" s="1"/>
  <c r="U43" i="2"/>
  <c r="S43" i="2"/>
  <c r="I43" i="2"/>
  <c r="GA23" i="16"/>
  <c r="GD23" i="16"/>
  <c r="GB23" i="16"/>
  <c r="GC23" i="16" s="1"/>
  <c r="F45" i="2"/>
  <c r="C47" i="53"/>
  <c r="D47" i="53" s="1"/>
  <c r="E47" i="53" s="1"/>
  <c r="F47" i="53" s="1"/>
  <c r="G47" i="53" s="1"/>
  <c r="H47" i="53" s="1"/>
  <c r="I47" i="53" s="1"/>
  <c r="J47" i="53" s="1"/>
  <c r="K47" i="53" s="1"/>
  <c r="L47" i="53" s="1"/>
  <c r="M47" i="53" s="1"/>
  <c r="B47" i="54" s="1"/>
  <c r="N47" i="53"/>
  <c r="B52" i="31"/>
  <c r="C42" i="31"/>
  <c r="D42" i="31" s="1"/>
  <c r="E42" i="31" s="1"/>
  <c r="F42" i="31" s="1"/>
  <c r="G42" i="31" s="1"/>
  <c r="H42" i="31" s="1"/>
  <c r="I42" i="31" s="1"/>
  <c r="J42" i="31" s="1"/>
  <c r="K42" i="31" s="1"/>
  <c r="L42" i="31" s="1"/>
  <c r="M42" i="31" s="1"/>
  <c r="B42" i="32" s="1"/>
  <c r="H44" i="2"/>
  <c r="AB44" i="2"/>
  <c r="AM25" i="14"/>
  <c r="AM23" i="14"/>
  <c r="GD28" i="16"/>
  <c r="GB28" i="16"/>
  <c r="GC28" i="16" s="1"/>
  <c r="GA28" i="16"/>
  <c r="AB184" i="16"/>
  <c r="GD25" i="16"/>
  <c r="GB25" i="16"/>
  <c r="GC25" i="16" s="1"/>
  <c r="GA25" i="16"/>
  <c r="GB36" i="16"/>
  <c r="GC36" i="16" s="1"/>
  <c r="GD36" i="16"/>
  <c r="GA36" i="16"/>
  <c r="AM30" i="14"/>
  <c r="C48" i="53"/>
  <c r="D48" i="53" s="1"/>
  <c r="E48" i="53" s="1"/>
  <c r="F48" i="53" s="1"/>
  <c r="G48" i="53" s="1"/>
  <c r="H48" i="53" s="1"/>
  <c r="I48" i="53" s="1"/>
  <c r="J48" i="53" s="1"/>
  <c r="K48" i="53" s="1"/>
  <c r="L48" i="53" s="1"/>
  <c r="M48" i="53" s="1"/>
  <c r="B48" i="54" s="1"/>
  <c r="H15" i="6"/>
  <c r="J5" i="9"/>
  <c r="I14" i="6"/>
  <c r="K5" i="9"/>
  <c r="N9" i="6"/>
  <c r="F17" i="6"/>
  <c r="O5" i="8"/>
  <c r="L5" i="8"/>
  <c r="P7" i="6"/>
  <c r="F5" i="9"/>
  <c r="O8" i="6"/>
  <c r="K12" i="6"/>
  <c r="J13" i="6"/>
  <c r="M10" i="6"/>
  <c r="I5" i="8"/>
  <c r="G5" i="9"/>
  <c r="AN3" i="14"/>
  <c r="M5" i="9"/>
  <c r="G16" i="6"/>
  <c r="L11" i="6"/>
  <c r="F5" i="8"/>
  <c r="N5" i="9"/>
  <c r="Q6" i="6"/>
  <c r="L5" i="9"/>
  <c r="AN185" i="16" l="1"/>
  <c r="AD185" i="16"/>
  <c r="N42" i="31"/>
  <c r="N43" i="53"/>
  <c r="N51" i="53"/>
  <c r="Q5" i="8"/>
  <c r="K5" i="8"/>
  <c r="N5" i="8"/>
  <c r="B9" i="20"/>
  <c r="AL185" i="16"/>
  <c r="AB185" i="16"/>
  <c r="M31" i="19"/>
  <c r="N31" i="19" s="1"/>
  <c r="B8" i="20"/>
  <c r="AM185" i="16"/>
  <c r="AC185" i="16"/>
  <c r="H5" i="8"/>
  <c r="G5" i="8"/>
  <c r="R5" i="8"/>
  <c r="J5" i="8"/>
  <c r="M5" i="8"/>
  <c r="O5" i="9"/>
  <c r="P5" i="8"/>
  <c r="N48" i="53"/>
  <c r="GE28" i="16"/>
  <c r="GH28" i="16"/>
  <c r="GF28" i="16"/>
  <c r="GG28" i="16" s="1"/>
  <c r="GE7" i="16"/>
  <c r="GH7" i="16"/>
  <c r="GF7" i="16"/>
  <c r="GG7" i="16" s="1"/>
  <c r="AK186" i="16"/>
  <c r="AI186" i="16" s="1"/>
  <c r="AN27" i="14"/>
  <c r="GE8" i="16"/>
  <c r="GH8" i="16"/>
  <c r="GF8" i="16"/>
  <c r="GG8" i="16" s="1"/>
  <c r="F46" i="2"/>
  <c r="GH20" i="16"/>
  <c r="GF20" i="16"/>
  <c r="GG20" i="16" s="1"/>
  <c r="GE20" i="16"/>
  <c r="GF18" i="16"/>
  <c r="GG18" i="16" s="1"/>
  <c r="GH18" i="16"/>
  <c r="GE18" i="16"/>
  <c r="N52" i="20"/>
  <c r="GF21" i="16"/>
  <c r="GG21" i="16" s="1"/>
  <c r="GH21" i="16"/>
  <c r="GE21" i="16"/>
  <c r="AM38" i="14"/>
  <c r="AM39" i="14" s="1"/>
  <c r="AM40" i="14" s="1"/>
  <c r="AM41" i="14" s="1"/>
  <c r="AM42" i="14" s="1"/>
  <c r="AM43" i="14" s="1"/>
  <c r="AM44" i="14" s="1"/>
  <c r="AM45" i="14" s="1"/>
  <c r="AM46" i="14" s="1"/>
  <c r="AM47" i="14" s="1"/>
  <c r="AN37" i="14"/>
  <c r="GH19" i="16"/>
  <c r="GF19" i="16"/>
  <c r="GG19" i="16" s="1"/>
  <c r="GE19" i="16"/>
  <c r="GH13" i="16"/>
  <c r="GF13" i="16"/>
  <c r="GG13" i="16" s="1"/>
  <c r="GE13" i="16"/>
  <c r="GE16" i="16"/>
  <c r="GH16" i="16"/>
  <c r="GF16" i="16"/>
  <c r="GG16" i="16" s="1"/>
  <c r="GE27" i="16"/>
  <c r="GH27" i="16"/>
  <c r="GF27" i="16"/>
  <c r="GG27" i="16" s="1"/>
  <c r="GE37" i="16"/>
  <c r="GH37" i="16"/>
  <c r="GF37" i="16"/>
  <c r="GG37" i="16" s="1"/>
  <c r="N46" i="53"/>
  <c r="GH48" i="16"/>
  <c r="GF48" i="16"/>
  <c r="GG48" i="16" s="1"/>
  <c r="GE48" i="16"/>
  <c r="GE45" i="16"/>
  <c r="GF45" i="16"/>
  <c r="GG45" i="16" s="1"/>
  <c r="GH45" i="16"/>
  <c r="M26" i="19"/>
  <c r="GF33" i="16"/>
  <c r="GG33" i="16" s="1"/>
  <c r="GH33" i="16"/>
  <c r="GE33" i="16"/>
  <c r="C48" i="54"/>
  <c r="D48" i="54" s="1"/>
  <c r="E48" i="54" s="1"/>
  <c r="F48" i="54" s="1"/>
  <c r="G48" i="54" s="1"/>
  <c r="H48" i="54" s="1"/>
  <c r="I48" i="54" s="1"/>
  <c r="J48" i="54" s="1"/>
  <c r="K48" i="54" s="1"/>
  <c r="L48" i="54" s="1"/>
  <c r="M48" i="54" s="1"/>
  <c r="B48" i="55" s="1"/>
  <c r="GH23" i="16"/>
  <c r="GF23" i="16"/>
  <c r="GG23" i="16" s="1"/>
  <c r="GE23" i="16"/>
  <c r="AN16" i="14"/>
  <c r="GH24" i="16"/>
  <c r="GF24" i="16"/>
  <c r="GG24" i="16" s="1"/>
  <c r="GE24" i="16"/>
  <c r="AN13" i="14"/>
  <c r="AN26" i="14"/>
  <c r="L52" i="22"/>
  <c r="AN6" i="14"/>
  <c r="AM55" i="14"/>
  <c r="AM60" i="14"/>
  <c r="AM53" i="14"/>
  <c r="AM58" i="14"/>
  <c r="AM51" i="14"/>
  <c r="AM56" i="14"/>
  <c r="AM61" i="14"/>
  <c r="AM54" i="14"/>
  <c r="AM59" i="14"/>
  <c r="AM52" i="14"/>
  <c r="AM57" i="14"/>
  <c r="AM62" i="14"/>
  <c r="AN15" i="14"/>
  <c r="C49" i="54"/>
  <c r="D49" i="54" s="1"/>
  <c r="E49" i="54" s="1"/>
  <c r="F49" i="54" s="1"/>
  <c r="G49" i="54" s="1"/>
  <c r="H49" i="54" s="1"/>
  <c r="I49" i="54" s="1"/>
  <c r="J49" i="54" s="1"/>
  <c r="K49" i="54" s="1"/>
  <c r="L49" i="54" s="1"/>
  <c r="M49" i="54" s="1"/>
  <c r="B49" i="55" s="1"/>
  <c r="M52" i="21"/>
  <c r="GE39" i="16"/>
  <c r="GF39" i="16"/>
  <c r="GG39" i="16" s="1"/>
  <c r="GH39" i="16"/>
  <c r="C6" i="20"/>
  <c r="C8" i="20" s="1"/>
  <c r="D4" i="20"/>
  <c r="E52" i="29"/>
  <c r="C43" i="54"/>
  <c r="D43" i="54" s="1"/>
  <c r="E43" i="54" s="1"/>
  <c r="F43" i="54" s="1"/>
  <c r="G43" i="54" s="1"/>
  <c r="H43" i="54" s="1"/>
  <c r="I43" i="54" s="1"/>
  <c r="J43" i="54" s="1"/>
  <c r="K43" i="54" s="1"/>
  <c r="L43" i="54" s="1"/>
  <c r="M43" i="54" s="1"/>
  <c r="B43" i="55" s="1"/>
  <c r="GH43" i="16"/>
  <c r="GE43" i="16"/>
  <c r="GF43" i="16"/>
  <c r="GG43" i="16" s="1"/>
  <c r="GH12" i="16"/>
  <c r="GF12" i="16"/>
  <c r="GG12" i="16" s="1"/>
  <c r="GE12" i="16"/>
  <c r="I52" i="25"/>
  <c r="GH35" i="16"/>
  <c r="GF35" i="16"/>
  <c r="GG35" i="16" s="1"/>
  <c r="GE35" i="16"/>
  <c r="AN9" i="14"/>
  <c r="B25" i="20"/>
  <c r="B14" i="20"/>
  <c r="B34" i="20"/>
  <c r="B24" i="20"/>
  <c r="B13" i="20"/>
  <c r="B23" i="20"/>
  <c r="B32" i="20"/>
  <c r="B21" i="20"/>
  <c r="B20" i="20"/>
  <c r="B19" i="20"/>
  <c r="B30" i="20"/>
  <c r="B31" i="20" s="1"/>
  <c r="B18" i="20"/>
  <c r="B12" i="20"/>
  <c r="B17" i="20"/>
  <c r="B11" i="20"/>
  <c r="B39" i="20"/>
  <c r="B16" i="20"/>
  <c r="B10" i="20"/>
  <c r="B38" i="20"/>
  <c r="B15" i="20"/>
  <c r="GF41" i="16"/>
  <c r="GG41" i="16" s="1"/>
  <c r="GE41" i="16"/>
  <c r="GH41" i="16"/>
  <c r="GH32" i="16"/>
  <c r="GF32" i="16"/>
  <c r="GG32" i="16" s="1"/>
  <c r="GE32" i="16"/>
  <c r="C51" i="54"/>
  <c r="D51" i="54" s="1"/>
  <c r="E51" i="54" s="1"/>
  <c r="F51" i="54" s="1"/>
  <c r="G51" i="54" s="1"/>
  <c r="H51" i="54" s="1"/>
  <c r="I51" i="54" s="1"/>
  <c r="J51" i="54" s="1"/>
  <c r="K51" i="54" s="1"/>
  <c r="L51" i="54" s="1"/>
  <c r="M51" i="54" s="1"/>
  <c r="B51" i="55" s="1"/>
  <c r="AN30" i="14"/>
  <c r="GF44" i="16"/>
  <c r="GG44" i="16" s="1"/>
  <c r="GH44" i="16"/>
  <c r="GE44" i="16"/>
  <c r="GF11" i="16"/>
  <c r="GG11" i="16" s="1"/>
  <c r="GH11" i="16"/>
  <c r="GE11" i="16"/>
  <c r="AH185" i="16"/>
  <c r="AP186" i="16"/>
  <c r="AN32" i="14"/>
  <c r="AG185" i="16"/>
  <c r="C52" i="31"/>
  <c r="GH42" i="16"/>
  <c r="GF42" i="16"/>
  <c r="GG42" i="16" s="1"/>
  <c r="GE42" i="16"/>
  <c r="GF38" i="16"/>
  <c r="GG38" i="16" s="1"/>
  <c r="GH38" i="16"/>
  <c r="GE38" i="16"/>
  <c r="G52" i="27"/>
  <c r="GE26" i="16"/>
  <c r="GF26" i="16"/>
  <c r="GG26" i="16" s="1"/>
  <c r="GH26" i="16"/>
  <c r="AN22" i="14"/>
  <c r="AN10" i="14"/>
  <c r="AN21" i="14"/>
  <c r="AN31" i="14"/>
  <c r="N50" i="53"/>
  <c r="H52" i="26"/>
  <c r="AN36" i="14"/>
  <c r="GE9" i="16"/>
  <c r="GF9" i="16"/>
  <c r="GG9" i="16" s="1"/>
  <c r="GH9" i="16"/>
  <c r="C45" i="54"/>
  <c r="D45" i="54" s="1"/>
  <c r="E45" i="54" s="1"/>
  <c r="F45" i="54" s="1"/>
  <c r="G45" i="54" s="1"/>
  <c r="H45" i="54" s="1"/>
  <c r="I45" i="54" s="1"/>
  <c r="J45" i="54" s="1"/>
  <c r="K45" i="54" s="1"/>
  <c r="L45" i="54" s="1"/>
  <c r="M45" i="54" s="1"/>
  <c r="B45" i="55" s="1"/>
  <c r="N45" i="54"/>
  <c r="GH25" i="16"/>
  <c r="GF25" i="16"/>
  <c r="GG25" i="16" s="1"/>
  <c r="GE25" i="16"/>
  <c r="GH47" i="16"/>
  <c r="GF47" i="16"/>
  <c r="GG47" i="16" s="1"/>
  <c r="GE47" i="16"/>
  <c r="AN29" i="14"/>
  <c r="AN5" i="14"/>
  <c r="AN19" i="14"/>
  <c r="AN8" i="14"/>
  <c r="AN34" i="14"/>
  <c r="C50" i="54"/>
  <c r="D50" i="54" s="1"/>
  <c r="E50" i="54" s="1"/>
  <c r="F50" i="54" s="1"/>
  <c r="G50" i="54" s="1"/>
  <c r="H50" i="54" s="1"/>
  <c r="I50" i="54" s="1"/>
  <c r="J50" i="54" s="1"/>
  <c r="K50" i="54" s="1"/>
  <c r="L50" i="54" s="1"/>
  <c r="M50" i="54" s="1"/>
  <c r="B50" i="55" s="1"/>
  <c r="C46" i="54"/>
  <c r="D46" i="54" s="1"/>
  <c r="E46" i="54" s="1"/>
  <c r="F46" i="54" s="1"/>
  <c r="G46" i="54" s="1"/>
  <c r="H46" i="54" s="1"/>
  <c r="I46" i="54" s="1"/>
  <c r="J46" i="54" s="1"/>
  <c r="K46" i="54" s="1"/>
  <c r="L46" i="54" s="1"/>
  <c r="M46" i="54" s="1"/>
  <c r="B46" i="55" s="1"/>
  <c r="U44" i="2"/>
  <c r="S44" i="2"/>
  <c r="GE30" i="16"/>
  <c r="GH30" i="16"/>
  <c r="GF30" i="16"/>
  <c r="GG30" i="16" s="1"/>
  <c r="AO50" i="14"/>
  <c r="AP4" i="14"/>
  <c r="AF186" i="16"/>
  <c r="AD186" i="16" s="1"/>
  <c r="AN12" i="14"/>
  <c r="AN28" i="14"/>
  <c r="J52" i="24"/>
  <c r="GH31" i="16"/>
  <c r="GF31" i="16"/>
  <c r="GG31" i="16" s="1"/>
  <c r="GE31" i="16"/>
  <c r="C44" i="54"/>
  <c r="D44" i="54" s="1"/>
  <c r="E44" i="54" s="1"/>
  <c r="F44" i="54" s="1"/>
  <c r="G44" i="54" s="1"/>
  <c r="H44" i="54" s="1"/>
  <c r="I44" i="54" s="1"/>
  <c r="J44" i="54" s="1"/>
  <c r="K44" i="54" s="1"/>
  <c r="L44" i="54" s="1"/>
  <c r="M44" i="54" s="1"/>
  <c r="B44" i="55" s="1"/>
  <c r="GF22" i="16"/>
  <c r="GG22" i="16" s="1"/>
  <c r="GH22" i="16"/>
  <c r="GE22" i="16"/>
  <c r="AM67" i="14"/>
  <c r="AM72" i="14"/>
  <c r="AM65" i="14"/>
  <c r="AM70" i="14"/>
  <c r="AM63" i="14"/>
  <c r="AM68" i="14"/>
  <c r="AM66" i="14"/>
  <c r="AM71" i="14"/>
  <c r="AM64" i="14"/>
  <c r="AM69" i="14"/>
  <c r="AN18" i="14"/>
  <c r="AN35" i="14"/>
  <c r="GH46" i="16"/>
  <c r="GF46" i="16"/>
  <c r="GG46" i="16" s="1"/>
  <c r="GE46" i="16"/>
  <c r="AM88" i="14"/>
  <c r="AM89" i="14"/>
  <c r="AM82" i="14"/>
  <c r="AM93" i="14"/>
  <c r="AM87" i="14"/>
  <c r="AM86" i="14"/>
  <c r="AM85" i="14"/>
  <c r="AM84" i="14"/>
  <c r="AM83" i="14"/>
  <c r="AM81" i="14"/>
  <c r="AM92" i="14"/>
  <c r="AM91" i="14"/>
  <c r="AM90" i="14"/>
  <c r="AM80" i="14"/>
  <c r="AM79" i="14"/>
  <c r="AM78" i="14"/>
  <c r="AM77" i="14"/>
  <c r="AM75" i="14"/>
  <c r="AM73" i="14"/>
  <c r="AM76" i="14"/>
  <c r="AM74" i="14"/>
  <c r="AN20" i="14"/>
  <c r="AN25" i="14"/>
  <c r="AN24" i="14"/>
  <c r="D52" i="30"/>
  <c r="AN17" i="14"/>
  <c r="GH36" i="16"/>
  <c r="GE36" i="16"/>
  <c r="GF36" i="16"/>
  <c r="GG36" i="16" s="1"/>
  <c r="N49" i="53"/>
  <c r="F52" i="28"/>
  <c r="B52" i="32"/>
  <c r="C42" i="32"/>
  <c r="D42" i="32" s="1"/>
  <c r="E42" i="32" s="1"/>
  <c r="F42" i="32" s="1"/>
  <c r="G42" i="32" s="1"/>
  <c r="H42" i="32" s="1"/>
  <c r="I42" i="32" s="1"/>
  <c r="J42" i="32" s="1"/>
  <c r="K42" i="32" s="1"/>
  <c r="L42" i="32" s="1"/>
  <c r="M42" i="32" s="1"/>
  <c r="B42" i="33" s="1"/>
  <c r="N42" i="32"/>
  <c r="K52" i="23"/>
  <c r="GF17" i="16"/>
  <c r="GG17" i="16" s="1"/>
  <c r="GE17" i="16"/>
  <c r="GH17" i="16"/>
  <c r="AN33" i="14"/>
  <c r="AN11" i="14"/>
  <c r="AN7" i="14"/>
  <c r="GF14" i="16"/>
  <c r="GG14" i="16" s="1"/>
  <c r="GE14" i="16"/>
  <c r="GH14" i="16"/>
  <c r="GH34" i="16"/>
  <c r="GF34" i="16"/>
  <c r="GG34" i="16" s="1"/>
  <c r="GE34" i="16"/>
  <c r="GH29" i="16"/>
  <c r="GF29" i="16"/>
  <c r="GG29" i="16" s="1"/>
  <c r="GE29" i="16"/>
  <c r="AN23" i="14"/>
  <c r="GH5" i="16"/>
  <c r="GF5" i="16"/>
  <c r="GG5" i="16" s="1"/>
  <c r="GE5" i="16"/>
  <c r="GH10" i="16"/>
  <c r="GF10" i="16"/>
  <c r="GG10" i="16" s="1"/>
  <c r="GE10" i="16"/>
  <c r="I44" i="2"/>
  <c r="C47" i="54"/>
  <c r="D47" i="54" s="1"/>
  <c r="E47" i="54" s="1"/>
  <c r="F47" i="54" s="1"/>
  <c r="G47" i="54" s="1"/>
  <c r="H47" i="54" s="1"/>
  <c r="I47" i="54" s="1"/>
  <c r="J47" i="54" s="1"/>
  <c r="K47" i="54" s="1"/>
  <c r="L47" i="54" s="1"/>
  <c r="M47" i="54" s="1"/>
  <c r="B47" i="55" s="1"/>
  <c r="H45" i="2"/>
  <c r="I45" i="2" s="1"/>
  <c r="AB45" i="2"/>
  <c r="GH6" i="16"/>
  <c r="GF6" i="16"/>
  <c r="GG6" i="16" s="1"/>
  <c r="GE6" i="16"/>
  <c r="GF40" i="16"/>
  <c r="GG40" i="16" s="1"/>
  <c r="GH40" i="16"/>
  <c r="GE40" i="16"/>
  <c r="AN14" i="14"/>
  <c r="C48" i="2"/>
  <c r="E47" i="2"/>
  <c r="AC47" i="2"/>
  <c r="AD47" i="2" s="1"/>
  <c r="D47" i="2"/>
  <c r="F47" i="2" s="1"/>
  <c r="GF15" i="16"/>
  <c r="GG15" i="16" s="1"/>
  <c r="GH15" i="16"/>
  <c r="GE15" i="16"/>
  <c r="K13" i="6"/>
  <c r="G17" i="6"/>
  <c r="B5" i="8"/>
  <c r="I15" i="6"/>
  <c r="O9" i="6"/>
  <c r="P8" i="6"/>
  <c r="Q7" i="6"/>
  <c r="B5" i="9"/>
  <c r="H16" i="6"/>
  <c r="J14" i="6"/>
  <c r="E5" i="8"/>
  <c r="M11" i="6"/>
  <c r="N10" i="6"/>
  <c r="F18" i="6"/>
  <c r="L12" i="6"/>
  <c r="AO3" i="14"/>
  <c r="E5" i="9"/>
  <c r="AL186" i="16" l="1"/>
  <c r="N51" i="54"/>
  <c r="AG186" i="16"/>
  <c r="AH186" i="16"/>
  <c r="AM186" i="16"/>
  <c r="GL46" i="16"/>
  <c r="GJ46" i="16"/>
  <c r="GK46" i="16" s="1"/>
  <c r="GI46" i="16"/>
  <c r="C49" i="2"/>
  <c r="E48" i="2"/>
  <c r="AC48" i="2"/>
  <c r="AD48" i="2" s="1"/>
  <c r="D48" i="2"/>
  <c r="C47" i="55"/>
  <c r="D47" i="55" s="1"/>
  <c r="E47" i="55" s="1"/>
  <c r="F47" i="55" s="1"/>
  <c r="G47" i="55" s="1"/>
  <c r="H47" i="55" s="1"/>
  <c r="I47" i="55" s="1"/>
  <c r="J47" i="55" s="1"/>
  <c r="K47" i="55" s="1"/>
  <c r="L47" i="55" s="1"/>
  <c r="M47" i="55" s="1"/>
  <c r="B47" i="56" s="1"/>
  <c r="GL29" i="16"/>
  <c r="GJ29" i="16"/>
  <c r="GK29" i="16" s="1"/>
  <c r="GI29" i="16"/>
  <c r="AO24" i="14"/>
  <c r="AO28" i="14"/>
  <c r="AO13" i="14"/>
  <c r="GI37" i="16"/>
  <c r="GL37" i="16"/>
  <c r="GJ37" i="16"/>
  <c r="GK37" i="16" s="1"/>
  <c r="AO14" i="14"/>
  <c r="L52" i="23"/>
  <c r="AO25" i="14"/>
  <c r="AF187" i="16"/>
  <c r="AD187" i="16" s="1"/>
  <c r="AO12" i="14"/>
  <c r="N46" i="54"/>
  <c r="GJ47" i="16"/>
  <c r="GK47" i="16" s="1"/>
  <c r="GI47" i="16"/>
  <c r="GL47" i="16"/>
  <c r="B26" i="20"/>
  <c r="GI39" i="16"/>
  <c r="GL39" i="16"/>
  <c r="GJ39" i="16"/>
  <c r="GK39" i="16" s="1"/>
  <c r="N26" i="19"/>
  <c r="M57" i="19"/>
  <c r="GI19" i="16"/>
  <c r="GL19" i="16"/>
  <c r="GJ19" i="16"/>
  <c r="GK19" i="16" s="1"/>
  <c r="GI20" i="16"/>
  <c r="GL20" i="16"/>
  <c r="GJ20" i="16"/>
  <c r="GK20" i="16" s="1"/>
  <c r="GL28" i="16"/>
  <c r="GJ28" i="16"/>
  <c r="GK28" i="16" s="1"/>
  <c r="GI28" i="16"/>
  <c r="AN93" i="14"/>
  <c r="AN81" i="14"/>
  <c r="AN82" i="14"/>
  <c r="AN87" i="14"/>
  <c r="AN86" i="14"/>
  <c r="AN85" i="14"/>
  <c r="AN84" i="14"/>
  <c r="AN83" i="14"/>
  <c r="AN92" i="14"/>
  <c r="AN91" i="14"/>
  <c r="AN90" i="14"/>
  <c r="AN89" i="14"/>
  <c r="AN88" i="14"/>
  <c r="AN80" i="14"/>
  <c r="AN79" i="14"/>
  <c r="AN78" i="14"/>
  <c r="AN77" i="14"/>
  <c r="AN75" i="14"/>
  <c r="AN73" i="14"/>
  <c r="AN76" i="14"/>
  <c r="AN74" i="14"/>
  <c r="AO20" i="14"/>
  <c r="AN38" i="14"/>
  <c r="AN39" i="14" s="1"/>
  <c r="AN40" i="14" s="1"/>
  <c r="AN41" i="14" s="1"/>
  <c r="AN42" i="14" s="1"/>
  <c r="AN43" i="14" s="1"/>
  <c r="AN44" i="14" s="1"/>
  <c r="AN45" i="14" s="1"/>
  <c r="AN46" i="14" s="1"/>
  <c r="AN47" i="14" s="1"/>
  <c r="AO37" i="14"/>
  <c r="AO21" i="14"/>
  <c r="GL42" i="16"/>
  <c r="GI42" i="16"/>
  <c r="GJ42" i="16"/>
  <c r="GK42" i="16" s="1"/>
  <c r="C43" i="55"/>
  <c r="D43" i="55" s="1"/>
  <c r="E43" i="55" s="1"/>
  <c r="F43" i="55" s="1"/>
  <c r="G43" i="55" s="1"/>
  <c r="H43" i="55" s="1"/>
  <c r="I43" i="55" s="1"/>
  <c r="J43" i="55" s="1"/>
  <c r="K43" i="55" s="1"/>
  <c r="L43" i="55" s="1"/>
  <c r="M43" i="55" s="1"/>
  <c r="B43" i="56" s="1"/>
  <c r="GL24" i="16"/>
  <c r="GJ24" i="16"/>
  <c r="GK24" i="16" s="1"/>
  <c r="GI24" i="16"/>
  <c r="AC186" i="16"/>
  <c r="GL27" i="16"/>
  <c r="GJ27" i="16"/>
  <c r="GK27" i="16" s="1"/>
  <c r="GI27" i="16"/>
  <c r="B52" i="33"/>
  <c r="C42" i="33"/>
  <c r="D42" i="33" s="1"/>
  <c r="E42" i="33" s="1"/>
  <c r="F42" i="33" s="1"/>
  <c r="G42" i="33" s="1"/>
  <c r="H42" i="33" s="1"/>
  <c r="I42" i="33" s="1"/>
  <c r="J42" i="33" s="1"/>
  <c r="K42" i="33" s="1"/>
  <c r="L42" i="33" s="1"/>
  <c r="M42" i="33" s="1"/>
  <c r="B42" i="34" s="1"/>
  <c r="N42" i="33"/>
  <c r="AO35" i="14"/>
  <c r="GL10" i="16"/>
  <c r="GJ10" i="16"/>
  <c r="GK10" i="16" s="1"/>
  <c r="GI10" i="16"/>
  <c r="GL14" i="16"/>
  <c r="GJ14" i="16"/>
  <c r="GK14" i="16" s="1"/>
  <c r="GI14" i="16"/>
  <c r="C52" i="32"/>
  <c r="AN72" i="14"/>
  <c r="AN65" i="14"/>
  <c r="AN70" i="14"/>
  <c r="AN63" i="14"/>
  <c r="AN68" i="14"/>
  <c r="AN66" i="14"/>
  <c r="AN71" i="14"/>
  <c r="AN64" i="14"/>
  <c r="AN69" i="14"/>
  <c r="AN67" i="14"/>
  <c r="AO18" i="14"/>
  <c r="GJ22" i="16"/>
  <c r="GK22" i="16" s="1"/>
  <c r="GL22" i="16"/>
  <c r="GI22" i="16"/>
  <c r="AP50" i="14"/>
  <c r="AQ4" i="14"/>
  <c r="N50" i="54"/>
  <c r="GJ25" i="16"/>
  <c r="GK25" i="16" s="1"/>
  <c r="GL25" i="16"/>
  <c r="GI25" i="16"/>
  <c r="AO10" i="14"/>
  <c r="AO30" i="14"/>
  <c r="AO9" i="14"/>
  <c r="N43" i="54"/>
  <c r="N52" i="21"/>
  <c r="AO16" i="14"/>
  <c r="GI45" i="16"/>
  <c r="GL45" i="16"/>
  <c r="GJ45" i="16"/>
  <c r="GK45" i="16" s="1"/>
  <c r="GL8" i="16"/>
  <c r="GJ8" i="16"/>
  <c r="GK8" i="16" s="1"/>
  <c r="GI8" i="16"/>
  <c r="AN186" i="16"/>
  <c r="H46" i="2"/>
  <c r="AB46" i="2"/>
  <c r="G52" i="28"/>
  <c r="D52" i="31"/>
  <c r="F52" i="29"/>
  <c r="C49" i="55"/>
  <c r="D49" i="55" s="1"/>
  <c r="E49" i="55" s="1"/>
  <c r="F49" i="55" s="1"/>
  <c r="G49" i="55" s="1"/>
  <c r="H49" i="55" s="1"/>
  <c r="I49" i="55" s="1"/>
  <c r="J49" i="55" s="1"/>
  <c r="K49" i="55" s="1"/>
  <c r="L49" i="55" s="1"/>
  <c r="M49" i="55" s="1"/>
  <c r="B49" i="56" s="1"/>
  <c r="N49" i="55"/>
  <c r="GJ21" i="16"/>
  <c r="GK21" i="16" s="1"/>
  <c r="GI21" i="16"/>
  <c r="GL21" i="16"/>
  <c r="P5" i="9"/>
  <c r="C44" i="55"/>
  <c r="D44" i="55" s="1"/>
  <c r="E44" i="55" s="1"/>
  <c r="F44" i="55" s="1"/>
  <c r="G44" i="55" s="1"/>
  <c r="H44" i="55" s="1"/>
  <c r="I44" i="55" s="1"/>
  <c r="J44" i="55" s="1"/>
  <c r="K44" i="55" s="1"/>
  <c r="L44" i="55" s="1"/>
  <c r="M44" i="55" s="1"/>
  <c r="B44" i="56" s="1"/>
  <c r="AB186" i="16"/>
  <c r="AO34" i="14"/>
  <c r="C45" i="55"/>
  <c r="D45" i="55" s="1"/>
  <c r="E45" i="55" s="1"/>
  <c r="F45" i="55" s="1"/>
  <c r="G45" i="55" s="1"/>
  <c r="H45" i="55" s="1"/>
  <c r="I45" i="55" s="1"/>
  <c r="J45" i="55" s="1"/>
  <c r="K45" i="55" s="1"/>
  <c r="L45" i="55" s="1"/>
  <c r="M45" i="55" s="1"/>
  <c r="B45" i="56" s="1"/>
  <c r="GJ26" i="16"/>
  <c r="GK26" i="16" s="1"/>
  <c r="GL26" i="16"/>
  <c r="GI26" i="16"/>
  <c r="C51" i="55"/>
  <c r="D51" i="55" s="1"/>
  <c r="E51" i="55" s="1"/>
  <c r="F51" i="55" s="1"/>
  <c r="G51" i="55" s="1"/>
  <c r="H51" i="55" s="1"/>
  <c r="I51" i="55" s="1"/>
  <c r="J51" i="55" s="1"/>
  <c r="K51" i="55" s="1"/>
  <c r="L51" i="55" s="1"/>
  <c r="M51" i="55" s="1"/>
  <c r="B51" i="56" s="1"/>
  <c r="N51" i="55"/>
  <c r="N49" i="54"/>
  <c r="GL16" i="16"/>
  <c r="GJ16" i="16"/>
  <c r="GK16" i="16" s="1"/>
  <c r="GI16" i="16"/>
  <c r="AK187" i="16"/>
  <c r="AI187" i="16" s="1"/>
  <c r="AO27" i="14"/>
  <c r="GL34" i="16"/>
  <c r="GJ34" i="16"/>
  <c r="GK34" i="16" s="1"/>
  <c r="GI34" i="16"/>
  <c r="AO22" i="14"/>
  <c r="AO7" i="14"/>
  <c r="AP187" i="16"/>
  <c r="AL187" i="16" s="1"/>
  <c r="AO32" i="14"/>
  <c r="GL35" i="16"/>
  <c r="GJ35" i="16"/>
  <c r="GK35" i="16" s="1"/>
  <c r="GI35" i="16"/>
  <c r="AN60" i="14"/>
  <c r="AN53" i="14"/>
  <c r="AN58" i="14"/>
  <c r="AN51" i="14"/>
  <c r="AN56" i="14"/>
  <c r="AN61" i="14"/>
  <c r="AN54" i="14"/>
  <c r="AN59" i="14"/>
  <c r="AN52" i="14"/>
  <c r="AN57" i="14"/>
  <c r="AN62" i="14"/>
  <c r="AO15" i="14"/>
  <c r="AN55" i="14"/>
  <c r="GL23" i="16"/>
  <c r="GJ23" i="16"/>
  <c r="GK23" i="16" s="1"/>
  <c r="GI23" i="16"/>
  <c r="S5" i="8"/>
  <c r="AO31" i="14"/>
  <c r="GJ44" i="16"/>
  <c r="GK44" i="16" s="1"/>
  <c r="GL44" i="16"/>
  <c r="GI44" i="16"/>
  <c r="C50" i="55"/>
  <c r="D50" i="55" s="1"/>
  <c r="E50" i="55" s="1"/>
  <c r="F50" i="55" s="1"/>
  <c r="G50" i="55" s="1"/>
  <c r="H50" i="55" s="1"/>
  <c r="I50" i="55" s="1"/>
  <c r="J50" i="55" s="1"/>
  <c r="K50" i="55" s="1"/>
  <c r="L50" i="55" s="1"/>
  <c r="M50" i="55" s="1"/>
  <c r="B50" i="56" s="1"/>
  <c r="GJ15" i="16"/>
  <c r="GK15" i="16" s="1"/>
  <c r="GL15" i="16"/>
  <c r="GI15" i="16"/>
  <c r="N44" i="54"/>
  <c r="AO8" i="14"/>
  <c r="GL9" i="16"/>
  <c r="GJ9" i="16"/>
  <c r="GK9" i="16" s="1"/>
  <c r="GI9" i="16"/>
  <c r="GJ6" i="16"/>
  <c r="GK6" i="16" s="1"/>
  <c r="GL6" i="16"/>
  <c r="GI6" i="16"/>
  <c r="GL5" i="16"/>
  <c r="GJ5" i="16"/>
  <c r="GK5" i="16" s="1"/>
  <c r="GI5" i="16"/>
  <c r="AO11" i="14"/>
  <c r="GI30" i="16"/>
  <c r="GL30" i="16"/>
  <c r="GJ30" i="16"/>
  <c r="GK30" i="16" s="1"/>
  <c r="AO19" i="14"/>
  <c r="J52" i="25"/>
  <c r="C9" i="20"/>
  <c r="AO6" i="14"/>
  <c r="N48" i="54"/>
  <c r="C46" i="55"/>
  <c r="D46" i="55" s="1"/>
  <c r="E46" i="55" s="1"/>
  <c r="F46" i="55" s="1"/>
  <c r="G46" i="55" s="1"/>
  <c r="H46" i="55" s="1"/>
  <c r="I46" i="55" s="1"/>
  <c r="J46" i="55" s="1"/>
  <c r="K46" i="55" s="1"/>
  <c r="L46" i="55" s="1"/>
  <c r="M46" i="55" s="1"/>
  <c r="B46" i="56" s="1"/>
  <c r="GI43" i="16"/>
  <c r="GJ43" i="16"/>
  <c r="GK43" i="16" s="1"/>
  <c r="GL43" i="16"/>
  <c r="GL40" i="16"/>
  <c r="GI40" i="16"/>
  <c r="GJ40" i="16"/>
  <c r="GK40" i="16" s="1"/>
  <c r="AO23" i="14"/>
  <c r="GJ36" i="16"/>
  <c r="GK36" i="16" s="1"/>
  <c r="GI36" i="16"/>
  <c r="GL36" i="16"/>
  <c r="AO5" i="14"/>
  <c r="H52" i="27"/>
  <c r="GJ32" i="16"/>
  <c r="GK32" i="16" s="1"/>
  <c r="GL32" i="16"/>
  <c r="GI32" i="16"/>
  <c r="M52" i="22"/>
  <c r="C48" i="55"/>
  <c r="D48" i="55" s="1"/>
  <c r="E48" i="55" s="1"/>
  <c r="F48" i="55" s="1"/>
  <c r="G48" i="55" s="1"/>
  <c r="H48" i="55" s="1"/>
  <c r="I48" i="55" s="1"/>
  <c r="J48" i="55" s="1"/>
  <c r="K48" i="55" s="1"/>
  <c r="L48" i="55" s="1"/>
  <c r="M48" i="55" s="1"/>
  <c r="B48" i="56" s="1"/>
  <c r="N48" i="55"/>
  <c r="GJ48" i="16"/>
  <c r="GK48" i="16" s="1"/>
  <c r="GL48" i="16"/>
  <c r="GI48" i="16"/>
  <c r="GI18" i="16"/>
  <c r="GL18" i="16"/>
  <c r="GJ18" i="16"/>
  <c r="GK18" i="16" s="1"/>
  <c r="GJ7" i="16"/>
  <c r="GK7" i="16" s="1"/>
  <c r="GI7" i="16"/>
  <c r="GL7" i="16"/>
  <c r="AO33" i="14"/>
  <c r="GL17" i="16"/>
  <c r="GJ17" i="16"/>
  <c r="GK17" i="16" s="1"/>
  <c r="GI17" i="16"/>
  <c r="AO17" i="14"/>
  <c r="AO29" i="14"/>
  <c r="GI41" i="16"/>
  <c r="GL41" i="16"/>
  <c r="GJ41" i="16"/>
  <c r="GK41" i="16" s="1"/>
  <c r="D6" i="20"/>
  <c r="D8" i="20" s="1"/>
  <c r="E4" i="20"/>
  <c r="GI13" i="16"/>
  <c r="GL13" i="16"/>
  <c r="GJ13" i="16"/>
  <c r="GK13" i="16" s="1"/>
  <c r="H47" i="2"/>
  <c r="AB47" i="2"/>
  <c r="U45" i="2"/>
  <c r="S45" i="2"/>
  <c r="I46" i="2"/>
  <c r="GL31" i="16"/>
  <c r="GJ31" i="16"/>
  <c r="GK31" i="16" s="1"/>
  <c r="GI31" i="16"/>
  <c r="AO36" i="14"/>
  <c r="N47" i="54"/>
  <c r="E52" i="30"/>
  <c r="K52" i="24"/>
  <c r="I52" i="26"/>
  <c r="GL38" i="16"/>
  <c r="GJ38" i="16"/>
  <c r="GK38" i="16" s="1"/>
  <c r="GI38" i="16"/>
  <c r="GI11" i="16"/>
  <c r="GJ11" i="16"/>
  <c r="GK11" i="16" s="1"/>
  <c r="GL11" i="16"/>
  <c r="GI12" i="16"/>
  <c r="GL12" i="16"/>
  <c r="GJ12" i="16"/>
  <c r="GK12" i="16" s="1"/>
  <c r="C34" i="20"/>
  <c r="C24" i="20"/>
  <c r="C13" i="20"/>
  <c r="C33" i="20"/>
  <c r="C23" i="20"/>
  <c r="C32" i="20"/>
  <c r="C22" i="20"/>
  <c r="C21" i="20"/>
  <c r="C20" i="20"/>
  <c r="C19" i="20"/>
  <c r="C30" i="20"/>
  <c r="C31" i="20" s="1"/>
  <c r="C18" i="20"/>
  <c r="C12" i="20"/>
  <c r="C17" i="20"/>
  <c r="C11" i="20"/>
  <c r="C39" i="20"/>
  <c r="C16" i="20"/>
  <c r="C10" i="20"/>
  <c r="C38" i="20"/>
  <c r="C15" i="20"/>
  <c r="C25" i="20"/>
  <c r="C14" i="20"/>
  <c r="AO26" i="14"/>
  <c r="GL33" i="16"/>
  <c r="GI33" i="16"/>
  <c r="GJ33" i="16"/>
  <c r="GK33" i="16" s="1"/>
  <c r="G18" i="6"/>
  <c r="H17" i="6"/>
  <c r="K14" i="6"/>
  <c r="Q8" i="6"/>
  <c r="M12" i="6"/>
  <c r="L13" i="6"/>
  <c r="I16" i="6"/>
  <c r="AP3" i="14"/>
  <c r="P9" i="6"/>
  <c r="J15" i="6"/>
  <c r="F5" i="4"/>
  <c r="G5" i="10"/>
  <c r="F5" i="12"/>
  <c r="O10" i="6"/>
  <c r="F5" i="3"/>
  <c r="F19" i="6"/>
  <c r="N11" i="6"/>
  <c r="N44" i="55" l="1"/>
  <c r="N45" i="55"/>
  <c r="AB187" i="16"/>
  <c r="AG187" i="16"/>
  <c r="D9" i="20"/>
  <c r="AH187" i="16"/>
  <c r="AM187" i="16"/>
  <c r="AC187" i="16"/>
  <c r="C26" i="20"/>
  <c r="C57" i="20" s="1"/>
  <c r="AN187" i="16"/>
  <c r="H5" i="12"/>
  <c r="G5" i="12"/>
  <c r="G5" i="3"/>
  <c r="H5" i="3"/>
  <c r="C46" i="56"/>
  <c r="D46" i="56" s="1"/>
  <c r="E46" i="56" s="1"/>
  <c r="F46" i="56" s="1"/>
  <c r="G46" i="56" s="1"/>
  <c r="H46" i="56" s="1"/>
  <c r="I46" i="56" s="1"/>
  <c r="J46" i="56" s="1"/>
  <c r="K46" i="56" s="1"/>
  <c r="L46" i="56" s="1"/>
  <c r="M46" i="56" s="1"/>
  <c r="B46" i="57" s="1"/>
  <c r="I47" i="2"/>
  <c r="U46" i="2"/>
  <c r="S46" i="2"/>
  <c r="AP9" i="14"/>
  <c r="C52" i="33"/>
  <c r="AP17" i="14"/>
  <c r="GN48" i="16"/>
  <c r="GO48" i="16" s="1"/>
  <c r="GM48" i="16"/>
  <c r="GP48" i="16"/>
  <c r="AP5" i="14"/>
  <c r="AP11" i="14"/>
  <c r="GM23" i="16"/>
  <c r="GP23" i="16"/>
  <c r="GN23" i="16"/>
  <c r="GO23" i="16" s="1"/>
  <c r="GN34" i="16"/>
  <c r="GO34" i="16" s="1"/>
  <c r="GP34" i="16"/>
  <c r="GM34" i="16"/>
  <c r="GM22" i="16"/>
  <c r="GP22" i="16"/>
  <c r="GN22" i="16"/>
  <c r="GO22" i="16" s="1"/>
  <c r="GP19" i="16"/>
  <c r="GN19" i="16"/>
  <c r="GO19" i="16" s="1"/>
  <c r="GM19" i="16"/>
  <c r="GP37" i="16"/>
  <c r="GN37" i="16"/>
  <c r="GO37" i="16" s="1"/>
  <c r="GM37" i="16"/>
  <c r="F48" i="2"/>
  <c r="GP38" i="16"/>
  <c r="GN38" i="16"/>
  <c r="GO38" i="16" s="1"/>
  <c r="GM38" i="16"/>
  <c r="GP31" i="16"/>
  <c r="GN31" i="16"/>
  <c r="GO31" i="16" s="1"/>
  <c r="GM31" i="16"/>
  <c r="GN36" i="16"/>
  <c r="GO36" i="16" s="1"/>
  <c r="GP36" i="16"/>
  <c r="GM36" i="16"/>
  <c r="GM15" i="16"/>
  <c r="GN15" i="16"/>
  <c r="GO15" i="16" s="1"/>
  <c r="GP15" i="16"/>
  <c r="GP21" i="16"/>
  <c r="GN21" i="16"/>
  <c r="GO21" i="16" s="1"/>
  <c r="GM21" i="16"/>
  <c r="D52" i="32"/>
  <c r="GM47" i="16"/>
  <c r="GN47" i="16"/>
  <c r="GO47" i="16" s="1"/>
  <c r="GP47" i="16"/>
  <c r="N57" i="19"/>
  <c r="J52" i="26"/>
  <c r="GN17" i="16"/>
  <c r="GO17" i="16" s="1"/>
  <c r="GP17" i="16"/>
  <c r="GM17" i="16"/>
  <c r="C48" i="56"/>
  <c r="D48" i="56" s="1"/>
  <c r="E48" i="56" s="1"/>
  <c r="F48" i="56" s="1"/>
  <c r="G48" i="56" s="1"/>
  <c r="H48" i="56" s="1"/>
  <c r="I48" i="56" s="1"/>
  <c r="J48" i="56" s="1"/>
  <c r="K48" i="56" s="1"/>
  <c r="L48" i="56" s="1"/>
  <c r="M48" i="56" s="1"/>
  <c r="B48" i="57" s="1"/>
  <c r="AP6" i="14"/>
  <c r="GM5" i="16"/>
  <c r="GP5" i="16"/>
  <c r="GN5" i="16"/>
  <c r="GO5" i="16" s="1"/>
  <c r="N50" i="55"/>
  <c r="AP10" i="14"/>
  <c r="GP42" i="16"/>
  <c r="GN42" i="16"/>
  <c r="GO42" i="16" s="1"/>
  <c r="GM42" i="16"/>
  <c r="H60" i="19"/>
  <c r="B60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AC49" i="2"/>
  <c r="AD49" i="2" s="1"/>
  <c r="D49" i="2"/>
  <c r="C50" i="2"/>
  <c r="E49" i="2"/>
  <c r="AP23" i="14"/>
  <c r="AP21" i="14"/>
  <c r="GN26" i="16"/>
  <c r="GO26" i="16" s="1"/>
  <c r="GP26" i="16"/>
  <c r="GM26" i="16"/>
  <c r="GP12" i="16"/>
  <c r="GN12" i="16"/>
  <c r="GO12" i="16" s="1"/>
  <c r="GM12" i="16"/>
  <c r="E6" i="20"/>
  <c r="F4" i="20"/>
  <c r="C50" i="56"/>
  <c r="D50" i="56" s="1"/>
  <c r="E50" i="56" s="1"/>
  <c r="F50" i="56" s="1"/>
  <c r="G50" i="56" s="1"/>
  <c r="H50" i="56" s="1"/>
  <c r="I50" i="56" s="1"/>
  <c r="J50" i="56" s="1"/>
  <c r="K50" i="56" s="1"/>
  <c r="L50" i="56" s="1"/>
  <c r="M50" i="56" s="1"/>
  <c r="B50" i="57" s="1"/>
  <c r="N50" i="56"/>
  <c r="GM35" i="16"/>
  <c r="GP35" i="16"/>
  <c r="GN35" i="16"/>
  <c r="GO35" i="16" s="1"/>
  <c r="GM27" i="16"/>
  <c r="GP27" i="16"/>
  <c r="GN27" i="16"/>
  <c r="GO27" i="16" s="1"/>
  <c r="L52" i="24"/>
  <c r="D34" i="20"/>
  <c r="D24" i="20"/>
  <c r="D13" i="20"/>
  <c r="D33" i="20"/>
  <c r="D23" i="20"/>
  <c r="D32" i="20"/>
  <c r="D22" i="20"/>
  <c r="D20" i="20"/>
  <c r="D19" i="20"/>
  <c r="D30" i="20"/>
  <c r="D31" i="20" s="1"/>
  <c r="D18" i="20"/>
  <c r="D17" i="20"/>
  <c r="D11" i="20"/>
  <c r="D39" i="20"/>
  <c r="D16" i="20"/>
  <c r="D10" i="20"/>
  <c r="D38" i="20"/>
  <c r="D15" i="20"/>
  <c r="D25" i="20"/>
  <c r="D14" i="20"/>
  <c r="D21" i="20"/>
  <c r="GN7" i="16"/>
  <c r="GO7" i="16" s="1"/>
  <c r="GP7" i="16"/>
  <c r="GM7" i="16"/>
  <c r="K52" i="25"/>
  <c r="GM6" i="16"/>
  <c r="GP6" i="16"/>
  <c r="GN6" i="16"/>
  <c r="GO6" i="16" s="1"/>
  <c r="C45" i="56"/>
  <c r="D45" i="56" s="1"/>
  <c r="E45" i="56" s="1"/>
  <c r="F45" i="56" s="1"/>
  <c r="G45" i="56" s="1"/>
  <c r="H45" i="56" s="1"/>
  <c r="I45" i="56" s="1"/>
  <c r="J45" i="56" s="1"/>
  <c r="K45" i="56" s="1"/>
  <c r="L45" i="56" s="1"/>
  <c r="M45" i="56" s="1"/>
  <c r="B45" i="57" s="1"/>
  <c r="C49" i="56"/>
  <c r="D49" i="56" s="1"/>
  <c r="E49" i="56" s="1"/>
  <c r="F49" i="56" s="1"/>
  <c r="G49" i="56" s="1"/>
  <c r="H49" i="56" s="1"/>
  <c r="I49" i="56" s="1"/>
  <c r="J49" i="56" s="1"/>
  <c r="K49" i="56" s="1"/>
  <c r="L49" i="56" s="1"/>
  <c r="M49" i="56" s="1"/>
  <c r="B49" i="57" s="1"/>
  <c r="GP8" i="16"/>
  <c r="GN8" i="16"/>
  <c r="GO8" i="16" s="1"/>
  <c r="GM8" i="16"/>
  <c r="GP25" i="16"/>
  <c r="GN25" i="16"/>
  <c r="GO25" i="16" s="1"/>
  <c r="GM25" i="16"/>
  <c r="GP14" i="16"/>
  <c r="GN14" i="16"/>
  <c r="GO14" i="16" s="1"/>
  <c r="GM14" i="16"/>
  <c r="AO38" i="14"/>
  <c r="AO39" i="14" s="1"/>
  <c r="AO40" i="14" s="1"/>
  <c r="AO41" i="14" s="1"/>
  <c r="AO42" i="14" s="1"/>
  <c r="AO43" i="14" s="1"/>
  <c r="AO44" i="14" s="1"/>
  <c r="AO45" i="14" s="1"/>
  <c r="AO46" i="14" s="1"/>
  <c r="AO47" i="14" s="1"/>
  <c r="AP37" i="14"/>
  <c r="AF188" i="16"/>
  <c r="AD188" i="16" s="1"/>
  <c r="AP12" i="14"/>
  <c r="AP28" i="14"/>
  <c r="AO53" i="14"/>
  <c r="AO58" i="14"/>
  <c r="AO51" i="14"/>
  <c r="AO56" i="14"/>
  <c r="AO61" i="14"/>
  <c r="AO54" i="14"/>
  <c r="AO59" i="14"/>
  <c r="AO52" i="14"/>
  <c r="AO57" i="14"/>
  <c r="AO62" i="14"/>
  <c r="AO55" i="14"/>
  <c r="AO60" i="14"/>
  <c r="AP15" i="14"/>
  <c r="AK188" i="16"/>
  <c r="AP27" i="14"/>
  <c r="N52" i="22"/>
  <c r="U47" i="2"/>
  <c r="S47" i="2"/>
  <c r="GP44" i="16"/>
  <c r="GN44" i="16"/>
  <c r="GO44" i="16" s="1"/>
  <c r="GM44" i="16"/>
  <c r="AP188" i="16"/>
  <c r="AP32" i="14"/>
  <c r="GP16" i="16"/>
  <c r="GN16" i="16"/>
  <c r="GO16" i="16" s="1"/>
  <c r="GM16" i="16"/>
  <c r="AP34" i="14"/>
  <c r="G52" i="29"/>
  <c r="AP24" i="14"/>
  <c r="GP46" i="16"/>
  <c r="GM46" i="16"/>
  <c r="GN46" i="16"/>
  <c r="GO46" i="16" s="1"/>
  <c r="AO65" i="14"/>
  <c r="AO70" i="14"/>
  <c r="AO63" i="14"/>
  <c r="AO68" i="14"/>
  <c r="AO66" i="14"/>
  <c r="AO71" i="14"/>
  <c r="AO64" i="14"/>
  <c r="AO69" i="14"/>
  <c r="AO67" i="14"/>
  <c r="AO72" i="14"/>
  <c r="AP18" i="14"/>
  <c r="AP13" i="14"/>
  <c r="F52" i="30"/>
  <c r="GP32" i="16"/>
  <c r="GM32" i="16"/>
  <c r="GN32" i="16"/>
  <c r="GO32" i="16" s="1"/>
  <c r="GN40" i="16"/>
  <c r="GO40" i="16" s="1"/>
  <c r="GP40" i="16"/>
  <c r="GM40" i="16"/>
  <c r="GM45" i="16"/>
  <c r="GN45" i="16"/>
  <c r="GO45" i="16" s="1"/>
  <c r="GP45" i="16"/>
  <c r="AO86" i="14"/>
  <c r="AO87" i="14"/>
  <c r="AO93" i="14"/>
  <c r="AO92" i="14"/>
  <c r="AO91" i="14"/>
  <c r="AO90" i="14"/>
  <c r="AO89" i="14"/>
  <c r="AO88" i="14"/>
  <c r="AO81" i="14"/>
  <c r="AO80" i="14"/>
  <c r="AO79" i="14"/>
  <c r="AO78" i="14"/>
  <c r="AO77" i="14"/>
  <c r="AO75" i="14"/>
  <c r="AO73" i="14"/>
  <c r="AO76" i="14"/>
  <c r="AO74" i="14"/>
  <c r="AO84" i="14"/>
  <c r="AO83" i="14"/>
  <c r="AP20" i="14"/>
  <c r="AO85" i="14"/>
  <c r="AO82" i="14"/>
  <c r="GP28" i="16"/>
  <c r="GN28" i="16"/>
  <c r="GO28" i="16" s="1"/>
  <c r="GM28" i="16"/>
  <c r="GP39" i="16"/>
  <c r="GN39" i="16"/>
  <c r="GO39" i="16" s="1"/>
  <c r="GM39" i="16"/>
  <c r="AP25" i="14"/>
  <c r="AP30" i="14"/>
  <c r="AP33" i="14"/>
  <c r="GN11" i="16"/>
  <c r="GO11" i="16" s="1"/>
  <c r="GP11" i="16"/>
  <c r="GM11" i="16"/>
  <c r="GP43" i="16"/>
  <c r="GN43" i="16"/>
  <c r="GO43" i="16" s="1"/>
  <c r="GM43" i="16"/>
  <c r="AP19" i="14"/>
  <c r="AP31" i="14"/>
  <c r="AP7" i="14"/>
  <c r="GN10" i="16"/>
  <c r="GO10" i="16" s="1"/>
  <c r="GP10" i="16"/>
  <c r="GM10" i="16"/>
  <c r="GM24" i="16"/>
  <c r="GP24" i="16"/>
  <c r="GN24" i="16"/>
  <c r="GO24" i="16" s="1"/>
  <c r="M52" i="23"/>
  <c r="GN33" i="16"/>
  <c r="GO33" i="16" s="1"/>
  <c r="GM33" i="16"/>
  <c r="GP33" i="16"/>
  <c r="GP9" i="16"/>
  <c r="GN9" i="16"/>
  <c r="GO9" i="16" s="1"/>
  <c r="GM9" i="16"/>
  <c r="AP22" i="14"/>
  <c r="C44" i="56"/>
  <c r="D44" i="56" s="1"/>
  <c r="E44" i="56" s="1"/>
  <c r="F44" i="56" s="1"/>
  <c r="G44" i="56" s="1"/>
  <c r="H44" i="56" s="1"/>
  <c r="I44" i="56" s="1"/>
  <c r="J44" i="56" s="1"/>
  <c r="K44" i="56" s="1"/>
  <c r="L44" i="56" s="1"/>
  <c r="M44" i="56" s="1"/>
  <c r="B44" i="57" s="1"/>
  <c r="N44" i="56"/>
  <c r="E52" i="31"/>
  <c r="AP16" i="14"/>
  <c r="AQ50" i="14"/>
  <c r="AR4" i="14"/>
  <c r="AP35" i="14"/>
  <c r="N43" i="55"/>
  <c r="GP20" i="16"/>
  <c r="GN20" i="16"/>
  <c r="GO20" i="16" s="1"/>
  <c r="GM20" i="16"/>
  <c r="AP14" i="14"/>
  <c r="GN29" i="16"/>
  <c r="GO29" i="16" s="1"/>
  <c r="GM29" i="16"/>
  <c r="GP29" i="16"/>
  <c r="GN18" i="16"/>
  <c r="GO18" i="16" s="1"/>
  <c r="GM18" i="16"/>
  <c r="GP18" i="16"/>
  <c r="AP26" i="14"/>
  <c r="AP36" i="14"/>
  <c r="GP30" i="16"/>
  <c r="GN30" i="16"/>
  <c r="GO30" i="16" s="1"/>
  <c r="GM30" i="16"/>
  <c r="AP8" i="14"/>
  <c r="H52" i="28"/>
  <c r="C43" i="56"/>
  <c r="D43" i="56" s="1"/>
  <c r="E43" i="56" s="1"/>
  <c r="F43" i="56" s="1"/>
  <c r="G43" i="56" s="1"/>
  <c r="H43" i="56" s="1"/>
  <c r="I43" i="56" s="1"/>
  <c r="J43" i="56" s="1"/>
  <c r="K43" i="56" s="1"/>
  <c r="L43" i="56" s="1"/>
  <c r="M43" i="56" s="1"/>
  <c r="B43" i="57" s="1"/>
  <c r="C47" i="56"/>
  <c r="D47" i="56" s="1"/>
  <c r="E47" i="56" s="1"/>
  <c r="F47" i="56" s="1"/>
  <c r="G47" i="56" s="1"/>
  <c r="H47" i="56" s="1"/>
  <c r="I47" i="56" s="1"/>
  <c r="J47" i="56" s="1"/>
  <c r="K47" i="56" s="1"/>
  <c r="L47" i="56" s="1"/>
  <c r="M47" i="56" s="1"/>
  <c r="B47" i="57" s="1"/>
  <c r="GM41" i="16"/>
  <c r="GP41" i="16"/>
  <c r="GN41" i="16"/>
  <c r="GO41" i="16" s="1"/>
  <c r="GP13" i="16"/>
  <c r="GN13" i="16"/>
  <c r="GO13" i="16" s="1"/>
  <c r="GM13" i="16"/>
  <c r="AP29" i="14"/>
  <c r="I52" i="27"/>
  <c r="N46" i="55"/>
  <c r="C51" i="56"/>
  <c r="D51" i="56" s="1"/>
  <c r="E51" i="56" s="1"/>
  <c r="F51" i="56" s="1"/>
  <c r="G51" i="56" s="1"/>
  <c r="H51" i="56" s="1"/>
  <c r="I51" i="56" s="1"/>
  <c r="J51" i="56" s="1"/>
  <c r="K51" i="56" s="1"/>
  <c r="L51" i="56" s="1"/>
  <c r="M51" i="56" s="1"/>
  <c r="B51" i="57" s="1"/>
  <c r="B52" i="34"/>
  <c r="C42" i="34"/>
  <c r="D42" i="34" s="1"/>
  <c r="E42" i="34" s="1"/>
  <c r="F42" i="34" s="1"/>
  <c r="G42" i="34" s="1"/>
  <c r="H42" i="34" s="1"/>
  <c r="I42" i="34" s="1"/>
  <c r="J42" i="34" s="1"/>
  <c r="K42" i="34" s="1"/>
  <c r="L42" i="34" s="1"/>
  <c r="M42" i="34" s="1"/>
  <c r="B42" i="35" s="1"/>
  <c r="N42" i="34"/>
  <c r="B57" i="20"/>
  <c r="N47" i="55"/>
  <c r="N12" i="6"/>
  <c r="L14" i="6"/>
  <c r="J5" i="4"/>
  <c r="P10" i="6"/>
  <c r="H5" i="4"/>
  <c r="K5" i="4"/>
  <c r="Q9" i="6"/>
  <c r="O5" i="3"/>
  <c r="I17" i="6"/>
  <c r="O11" i="6"/>
  <c r="AQ3" i="14"/>
  <c r="M13" i="6"/>
  <c r="K15" i="6"/>
  <c r="E5" i="4"/>
  <c r="B5" i="3"/>
  <c r="G5" i="4"/>
  <c r="E5" i="12"/>
  <c r="I5" i="4"/>
  <c r="C5" i="10"/>
  <c r="B5" i="4"/>
  <c r="G19" i="6"/>
  <c r="E5" i="3"/>
  <c r="F5" i="10"/>
  <c r="F20" i="6"/>
  <c r="H18" i="6"/>
  <c r="J16" i="6"/>
  <c r="B5" i="12"/>
  <c r="AN188" i="16" l="1"/>
  <c r="AG188" i="16"/>
  <c r="AH188" i="16"/>
  <c r="AC188" i="16"/>
  <c r="D26" i="20"/>
  <c r="D57" i="20" s="1"/>
  <c r="AB188" i="16"/>
  <c r="AM188" i="16"/>
  <c r="B5" i="6"/>
  <c r="B5" i="5"/>
  <c r="B5" i="7"/>
  <c r="C5" i="3"/>
  <c r="E5" i="5"/>
  <c r="E5" i="7"/>
  <c r="E5" i="6"/>
  <c r="O5" i="4"/>
  <c r="P5" i="4" s="1"/>
  <c r="C5" i="4"/>
  <c r="E33" i="20"/>
  <c r="E23" i="20"/>
  <c r="E32" i="20"/>
  <c r="E22" i="20"/>
  <c r="E20" i="20"/>
  <c r="E19" i="20"/>
  <c r="E30" i="20"/>
  <c r="E31" i="20" s="1"/>
  <c r="E18" i="20"/>
  <c r="E17" i="20"/>
  <c r="E11" i="20"/>
  <c r="E39" i="20"/>
  <c r="E16" i="20"/>
  <c r="E10" i="20"/>
  <c r="E38" i="20"/>
  <c r="E15" i="20"/>
  <c r="E25" i="20"/>
  <c r="E14" i="20"/>
  <c r="E24" i="20"/>
  <c r="E13" i="20"/>
  <c r="E34" i="20"/>
  <c r="E21" i="20"/>
  <c r="C51" i="2"/>
  <c r="E50" i="2"/>
  <c r="AC50" i="2"/>
  <c r="AD50" i="2" s="1"/>
  <c r="D50" i="2"/>
  <c r="D28" i="19"/>
  <c r="D58" i="19" s="1"/>
  <c r="D59" i="19" s="1"/>
  <c r="GT36" i="16"/>
  <c r="GR36" i="16"/>
  <c r="GS36" i="16" s="1"/>
  <c r="GQ36" i="16"/>
  <c r="AQ11" i="14"/>
  <c r="AI188" i="16"/>
  <c r="AL188" i="16"/>
  <c r="F6" i="20"/>
  <c r="F9" i="20" s="1"/>
  <c r="G4" i="20"/>
  <c r="AQ10" i="14"/>
  <c r="GT20" i="16"/>
  <c r="GR20" i="16"/>
  <c r="GS20" i="16" s="1"/>
  <c r="GQ20" i="16"/>
  <c r="AQ34" i="14"/>
  <c r="AQ30" i="14"/>
  <c r="GT6" i="16"/>
  <c r="GR6" i="16"/>
  <c r="GS6" i="16" s="1"/>
  <c r="GQ6" i="16"/>
  <c r="GQ27" i="16"/>
  <c r="GT27" i="16"/>
  <c r="GR27" i="16"/>
  <c r="GS27" i="16" s="1"/>
  <c r="F49" i="2"/>
  <c r="C28" i="19"/>
  <c r="C58" i="19" s="1"/>
  <c r="C59" i="19" s="1"/>
  <c r="GT47" i="16"/>
  <c r="GR47" i="16"/>
  <c r="GS47" i="16" s="1"/>
  <c r="GQ47" i="16"/>
  <c r="AQ5" i="14"/>
  <c r="AQ35" i="14"/>
  <c r="AQ7" i="14"/>
  <c r="AQ25" i="14"/>
  <c r="AK189" i="16"/>
  <c r="AG189" i="16" s="1"/>
  <c r="AQ27" i="14"/>
  <c r="N27" i="19"/>
  <c r="B28" i="19"/>
  <c r="B58" i="19" s="1"/>
  <c r="GT5" i="16"/>
  <c r="GQ5" i="16"/>
  <c r="GR5" i="16"/>
  <c r="GS5" i="16" s="1"/>
  <c r="GR19" i="16"/>
  <c r="GS19" i="16" s="1"/>
  <c r="GQ19" i="16"/>
  <c r="GT19" i="16"/>
  <c r="GT48" i="16"/>
  <c r="GQ48" i="16"/>
  <c r="GR48" i="16"/>
  <c r="GS48" i="16" s="1"/>
  <c r="N46" i="56"/>
  <c r="AP91" i="14"/>
  <c r="AP79" i="14"/>
  <c r="AP92" i="14"/>
  <c r="AP80" i="14"/>
  <c r="AP75" i="14"/>
  <c r="AP73" i="14"/>
  <c r="AP76" i="14"/>
  <c r="AP74" i="14"/>
  <c r="AP85" i="14"/>
  <c r="AP84" i="14"/>
  <c r="AP83" i="14"/>
  <c r="AP82" i="14"/>
  <c r="AP93" i="14"/>
  <c r="AP90" i="14"/>
  <c r="AP87" i="14"/>
  <c r="AP81" i="14"/>
  <c r="AP78" i="14"/>
  <c r="AP89" i="14"/>
  <c r="AP86" i="14"/>
  <c r="AP77" i="14"/>
  <c r="AQ20" i="14"/>
  <c r="AP88" i="14"/>
  <c r="GR14" i="16"/>
  <c r="GS14" i="16" s="1"/>
  <c r="GT14" i="16"/>
  <c r="GQ14" i="16"/>
  <c r="AQ31" i="14"/>
  <c r="L52" i="25"/>
  <c r="M28" i="19"/>
  <c r="M58" i="19" s="1"/>
  <c r="M59" i="19" s="1"/>
  <c r="C46" i="57"/>
  <c r="D46" i="57" s="1"/>
  <c r="E46" i="57" s="1"/>
  <c r="F46" i="57" s="1"/>
  <c r="G46" i="57" s="1"/>
  <c r="H46" i="57" s="1"/>
  <c r="I46" i="57" s="1"/>
  <c r="J46" i="57" s="1"/>
  <c r="K46" i="57" s="1"/>
  <c r="L46" i="57" s="1"/>
  <c r="M46" i="57" s="1"/>
  <c r="B46" i="58" s="1"/>
  <c r="E28" i="19"/>
  <c r="E58" i="19" s="1"/>
  <c r="E59" i="19" s="1"/>
  <c r="GQ41" i="16"/>
  <c r="GT41" i="16"/>
  <c r="GR41" i="16"/>
  <c r="GS41" i="16" s="1"/>
  <c r="AQ26" i="14"/>
  <c r="N47" i="56"/>
  <c r="GQ16" i="16"/>
  <c r="GR16" i="16"/>
  <c r="GS16" i="16" s="1"/>
  <c r="GT16" i="16"/>
  <c r="AR50" i="14"/>
  <c r="AS4" i="14"/>
  <c r="AQ19" i="14"/>
  <c r="GQ32" i="16"/>
  <c r="GT32" i="16"/>
  <c r="GR32" i="16"/>
  <c r="GS32" i="16" s="1"/>
  <c r="AP189" i="16"/>
  <c r="AN189" i="16" s="1"/>
  <c r="AQ32" i="14"/>
  <c r="AP58" i="14"/>
  <c r="AP51" i="14"/>
  <c r="AP56" i="14"/>
  <c r="AP61" i="14"/>
  <c r="AP54" i="14"/>
  <c r="AP59" i="14"/>
  <c r="AP52" i="14"/>
  <c r="AP57" i="14"/>
  <c r="AP62" i="14"/>
  <c r="AP55" i="14"/>
  <c r="AP60" i="14"/>
  <c r="AP53" i="14"/>
  <c r="AQ15" i="14"/>
  <c r="GT25" i="16"/>
  <c r="GQ25" i="16"/>
  <c r="GR25" i="16"/>
  <c r="GS25" i="16" s="1"/>
  <c r="GQ35" i="16"/>
  <c r="GT35" i="16"/>
  <c r="GR35" i="16"/>
  <c r="GS35" i="16" s="1"/>
  <c r="GQ12" i="16"/>
  <c r="GT12" i="16"/>
  <c r="GR12" i="16"/>
  <c r="GS12" i="16" s="1"/>
  <c r="L28" i="19"/>
  <c r="L58" i="19" s="1"/>
  <c r="L59" i="19" s="1"/>
  <c r="AQ6" i="14"/>
  <c r="E52" i="32"/>
  <c r="GR31" i="16"/>
  <c r="GS31" i="16" s="1"/>
  <c r="GQ31" i="16"/>
  <c r="GT31" i="16"/>
  <c r="GR22" i="16"/>
  <c r="GS22" i="16" s="1"/>
  <c r="GQ22" i="16"/>
  <c r="GT22" i="16"/>
  <c r="M52" i="24"/>
  <c r="AQ36" i="14"/>
  <c r="C47" i="57"/>
  <c r="D47" i="57" s="1"/>
  <c r="E47" i="57" s="1"/>
  <c r="F47" i="57" s="1"/>
  <c r="G47" i="57" s="1"/>
  <c r="H47" i="57" s="1"/>
  <c r="I47" i="57" s="1"/>
  <c r="J47" i="57" s="1"/>
  <c r="K47" i="57" s="1"/>
  <c r="L47" i="57" s="1"/>
  <c r="M47" i="57" s="1"/>
  <c r="B47" i="58" s="1"/>
  <c r="GR33" i="16"/>
  <c r="GS33" i="16" s="1"/>
  <c r="GT33" i="16"/>
  <c r="GQ33" i="16"/>
  <c r="C43" i="57"/>
  <c r="D43" i="57" s="1"/>
  <c r="E43" i="57" s="1"/>
  <c r="F43" i="57" s="1"/>
  <c r="G43" i="57" s="1"/>
  <c r="H43" i="57" s="1"/>
  <c r="I43" i="57" s="1"/>
  <c r="J43" i="57" s="1"/>
  <c r="K43" i="57" s="1"/>
  <c r="L43" i="57" s="1"/>
  <c r="M43" i="57" s="1"/>
  <c r="B43" i="58" s="1"/>
  <c r="N43" i="57"/>
  <c r="J52" i="27"/>
  <c r="N43" i="56"/>
  <c r="GQ39" i="16"/>
  <c r="GT39" i="16"/>
  <c r="GR39" i="16"/>
  <c r="GS39" i="16" s="1"/>
  <c r="G52" i="30"/>
  <c r="AQ28" i="14"/>
  <c r="GQ7" i="16"/>
  <c r="GR7" i="16"/>
  <c r="GS7" i="16" s="1"/>
  <c r="GT7" i="16"/>
  <c r="K28" i="19"/>
  <c r="K58" i="19" s="1"/>
  <c r="K59" i="19" s="1"/>
  <c r="C48" i="57"/>
  <c r="D48" i="57" s="1"/>
  <c r="E48" i="57" s="1"/>
  <c r="F48" i="57" s="1"/>
  <c r="G48" i="57" s="1"/>
  <c r="H48" i="57" s="1"/>
  <c r="I48" i="57" s="1"/>
  <c r="J48" i="57" s="1"/>
  <c r="K48" i="57" s="1"/>
  <c r="L48" i="57" s="1"/>
  <c r="M48" i="57" s="1"/>
  <c r="B48" i="58" s="1"/>
  <c r="AQ17" i="14"/>
  <c r="GT10" i="16"/>
  <c r="GR10" i="16"/>
  <c r="GS10" i="16" s="1"/>
  <c r="GQ10" i="16"/>
  <c r="C45" i="57"/>
  <c r="D45" i="57" s="1"/>
  <c r="E45" i="57" s="1"/>
  <c r="F45" i="57" s="1"/>
  <c r="G45" i="57" s="1"/>
  <c r="H45" i="57" s="1"/>
  <c r="I45" i="57" s="1"/>
  <c r="J45" i="57" s="1"/>
  <c r="K45" i="57" s="1"/>
  <c r="L45" i="57" s="1"/>
  <c r="M45" i="57" s="1"/>
  <c r="B45" i="58" s="1"/>
  <c r="C42" i="35"/>
  <c r="D42" i="35" s="1"/>
  <c r="E42" i="35" s="1"/>
  <c r="F42" i="35" s="1"/>
  <c r="G42" i="35" s="1"/>
  <c r="H42" i="35" s="1"/>
  <c r="I42" i="35" s="1"/>
  <c r="J42" i="35" s="1"/>
  <c r="K42" i="35" s="1"/>
  <c r="L42" i="35" s="1"/>
  <c r="M42" i="35" s="1"/>
  <c r="B42" i="36" s="1"/>
  <c r="N42" i="35"/>
  <c r="B52" i="35"/>
  <c r="GR40" i="16"/>
  <c r="GS40" i="16" s="1"/>
  <c r="GT40" i="16"/>
  <c r="GQ40" i="16"/>
  <c r="GT29" i="16"/>
  <c r="GR29" i="16"/>
  <c r="GS29" i="16" s="1"/>
  <c r="GQ29" i="16"/>
  <c r="AQ16" i="14"/>
  <c r="N52" i="23"/>
  <c r="AQ13" i="14"/>
  <c r="AF189" i="16"/>
  <c r="AD189" i="16" s="1"/>
  <c r="AQ12" i="14"/>
  <c r="GQ26" i="16"/>
  <c r="GT26" i="16"/>
  <c r="GR26" i="16"/>
  <c r="GS26" i="16" s="1"/>
  <c r="J28" i="19"/>
  <c r="J58" i="19" s="1"/>
  <c r="J59" i="19" s="1"/>
  <c r="N48" i="56"/>
  <c r="D52" i="33"/>
  <c r="GQ30" i="16"/>
  <c r="GR30" i="16"/>
  <c r="GS30" i="16" s="1"/>
  <c r="GT30" i="16"/>
  <c r="N51" i="56"/>
  <c r="AQ29" i="14"/>
  <c r="I52" i="28"/>
  <c r="F52" i="31"/>
  <c r="GR43" i="16"/>
  <c r="GS43" i="16" s="1"/>
  <c r="GT43" i="16"/>
  <c r="GQ43" i="16"/>
  <c r="GQ45" i="16"/>
  <c r="GT45" i="16"/>
  <c r="GR45" i="16"/>
  <c r="GS45" i="16" s="1"/>
  <c r="AP70" i="14"/>
  <c r="AP63" i="14"/>
  <c r="AP68" i="14"/>
  <c r="AP66" i="14"/>
  <c r="AP71" i="14"/>
  <c r="AP64" i="14"/>
  <c r="AP69" i="14"/>
  <c r="AP67" i="14"/>
  <c r="AP72" i="14"/>
  <c r="AQ18" i="14"/>
  <c r="AP65" i="14"/>
  <c r="GQ8" i="16"/>
  <c r="GT8" i="16"/>
  <c r="GR8" i="16"/>
  <c r="GS8" i="16" s="1"/>
  <c r="C50" i="57"/>
  <c r="D50" i="57" s="1"/>
  <c r="E50" i="57" s="1"/>
  <c r="F50" i="57" s="1"/>
  <c r="G50" i="57" s="1"/>
  <c r="H50" i="57" s="1"/>
  <c r="I50" i="57" s="1"/>
  <c r="J50" i="57" s="1"/>
  <c r="K50" i="57" s="1"/>
  <c r="L50" i="57" s="1"/>
  <c r="M50" i="57" s="1"/>
  <c r="B50" i="58" s="1"/>
  <c r="N50" i="57"/>
  <c r="I28" i="19"/>
  <c r="I58" i="19" s="1"/>
  <c r="I59" i="19" s="1"/>
  <c r="GR21" i="16"/>
  <c r="GS21" i="16" s="1"/>
  <c r="GT21" i="16"/>
  <c r="GQ21" i="16"/>
  <c r="GR38" i="16"/>
  <c r="GS38" i="16" s="1"/>
  <c r="GT38" i="16"/>
  <c r="GQ38" i="16"/>
  <c r="GT34" i="16"/>
  <c r="GR34" i="16"/>
  <c r="GS34" i="16" s="1"/>
  <c r="GQ34" i="16"/>
  <c r="H52" i="29"/>
  <c r="GQ37" i="16"/>
  <c r="GT37" i="16"/>
  <c r="GR37" i="16"/>
  <c r="GS37" i="16" s="1"/>
  <c r="GQ9" i="16"/>
  <c r="GT9" i="16"/>
  <c r="GR9" i="16"/>
  <c r="GS9" i="16" s="1"/>
  <c r="C51" i="57"/>
  <c r="D51" i="57" s="1"/>
  <c r="E51" i="57" s="1"/>
  <c r="F51" i="57" s="1"/>
  <c r="G51" i="57" s="1"/>
  <c r="H51" i="57" s="1"/>
  <c r="I51" i="57" s="1"/>
  <c r="J51" i="57" s="1"/>
  <c r="K51" i="57" s="1"/>
  <c r="L51" i="57" s="1"/>
  <c r="M51" i="57" s="1"/>
  <c r="B51" i="58" s="1"/>
  <c r="GT24" i="16"/>
  <c r="GR24" i="16"/>
  <c r="GS24" i="16" s="1"/>
  <c r="GQ24" i="16"/>
  <c r="GQ28" i="16"/>
  <c r="GR28" i="16"/>
  <c r="GS28" i="16" s="1"/>
  <c r="GT28" i="16"/>
  <c r="GT46" i="16"/>
  <c r="GR46" i="16"/>
  <c r="GS46" i="16" s="1"/>
  <c r="GQ46" i="16"/>
  <c r="GR44" i="16"/>
  <c r="GS44" i="16" s="1"/>
  <c r="GT44" i="16"/>
  <c r="GQ44" i="16"/>
  <c r="AQ37" i="14"/>
  <c r="AP38" i="14"/>
  <c r="AP39" i="14" s="1"/>
  <c r="AP40" i="14" s="1"/>
  <c r="AP41" i="14" s="1"/>
  <c r="AP42" i="14" s="1"/>
  <c r="AP43" i="14" s="1"/>
  <c r="AP44" i="14" s="1"/>
  <c r="AP45" i="14" s="1"/>
  <c r="AP46" i="14" s="1"/>
  <c r="AP47" i="14" s="1"/>
  <c r="C49" i="57"/>
  <c r="D49" i="57" s="1"/>
  <c r="E49" i="57" s="1"/>
  <c r="F49" i="57" s="1"/>
  <c r="G49" i="57" s="1"/>
  <c r="H49" i="57" s="1"/>
  <c r="I49" i="57" s="1"/>
  <c r="J49" i="57" s="1"/>
  <c r="K49" i="57" s="1"/>
  <c r="L49" i="57" s="1"/>
  <c r="M49" i="57" s="1"/>
  <c r="B49" i="58" s="1"/>
  <c r="E8" i="20"/>
  <c r="AQ21" i="14"/>
  <c r="H28" i="19"/>
  <c r="H58" i="19" s="1"/>
  <c r="H59" i="19" s="1"/>
  <c r="GT17" i="16"/>
  <c r="GR17" i="16"/>
  <c r="GS17" i="16" s="1"/>
  <c r="GQ17" i="16"/>
  <c r="GR15" i="16"/>
  <c r="GS15" i="16" s="1"/>
  <c r="GT15" i="16"/>
  <c r="GQ15" i="16"/>
  <c r="H48" i="2"/>
  <c r="AB48" i="2"/>
  <c r="AQ9" i="14"/>
  <c r="GT13" i="16"/>
  <c r="GR13" i="16"/>
  <c r="GS13" i="16" s="1"/>
  <c r="GQ13" i="16"/>
  <c r="AQ14" i="14"/>
  <c r="C44" i="57"/>
  <c r="D44" i="57" s="1"/>
  <c r="E44" i="57" s="1"/>
  <c r="F44" i="57" s="1"/>
  <c r="G44" i="57" s="1"/>
  <c r="H44" i="57" s="1"/>
  <c r="I44" i="57" s="1"/>
  <c r="J44" i="57" s="1"/>
  <c r="K44" i="57" s="1"/>
  <c r="L44" i="57" s="1"/>
  <c r="M44" i="57" s="1"/>
  <c r="B44" i="58" s="1"/>
  <c r="N44" i="57"/>
  <c r="GR11" i="16"/>
  <c r="GS11" i="16" s="1"/>
  <c r="GT11" i="16"/>
  <c r="GQ11" i="16"/>
  <c r="AQ24" i="14"/>
  <c r="N49" i="56"/>
  <c r="E9" i="20"/>
  <c r="AQ23" i="14"/>
  <c r="G28" i="19"/>
  <c r="G58" i="19" s="1"/>
  <c r="G59" i="19" s="1"/>
  <c r="AQ33" i="14"/>
  <c r="C52" i="34"/>
  <c r="GR18" i="16"/>
  <c r="GS18" i="16" s="1"/>
  <c r="GT18" i="16"/>
  <c r="GQ18" i="16"/>
  <c r="AQ8" i="14"/>
  <c r="AQ22" i="14"/>
  <c r="N45" i="56"/>
  <c r="F28" i="19"/>
  <c r="F58" i="19" s="1"/>
  <c r="F59" i="19" s="1"/>
  <c r="GT42" i="16"/>
  <c r="GQ42" i="16"/>
  <c r="GR42" i="16"/>
  <c r="GS42" i="16" s="1"/>
  <c r="K52" i="26"/>
  <c r="GT23" i="16"/>
  <c r="GR23" i="16"/>
  <c r="GS23" i="16" s="1"/>
  <c r="GQ23" i="16"/>
  <c r="H5" i="10"/>
  <c r="H19" i="6"/>
  <c r="N13" i="6"/>
  <c r="I18" i="6"/>
  <c r="F21" i="6"/>
  <c r="L15" i="6"/>
  <c r="P11" i="6"/>
  <c r="M14" i="6"/>
  <c r="K16" i="6"/>
  <c r="J17" i="6"/>
  <c r="Q10" i="6"/>
  <c r="O12" i="6"/>
  <c r="G20" i="6"/>
  <c r="AR3" i="14"/>
  <c r="N48" i="57" l="1"/>
  <c r="AM189" i="16"/>
  <c r="AB189" i="16"/>
  <c r="AH189" i="16"/>
  <c r="AC189" i="16"/>
  <c r="AI189" i="16"/>
  <c r="J5" i="10"/>
  <c r="I5" i="10"/>
  <c r="I52" i="29"/>
  <c r="AR6" i="14"/>
  <c r="GX23" i="16"/>
  <c r="GV23" i="16"/>
  <c r="GW23" i="16" s="1"/>
  <c r="GU23" i="16"/>
  <c r="C51" i="58"/>
  <c r="D51" i="58" s="1"/>
  <c r="E51" i="58" s="1"/>
  <c r="F51" i="58" s="1"/>
  <c r="G51" i="58" s="1"/>
  <c r="H51" i="58" s="1"/>
  <c r="I51" i="58" s="1"/>
  <c r="J51" i="58" s="1"/>
  <c r="K51" i="58" s="1"/>
  <c r="L51" i="58" s="1"/>
  <c r="M51" i="58" s="1"/>
  <c r="GX34" i="16"/>
  <c r="GV34" i="16"/>
  <c r="GW34" i="16" s="1"/>
  <c r="GU34" i="16"/>
  <c r="AR29" i="14"/>
  <c r="C52" i="35"/>
  <c r="AR26" i="14"/>
  <c r="M52" i="25"/>
  <c r="J52" i="28"/>
  <c r="AR22" i="14"/>
  <c r="AF190" i="16"/>
  <c r="AD190" i="16" s="1"/>
  <c r="AR12" i="14"/>
  <c r="K52" i="27"/>
  <c r="GV22" i="16"/>
  <c r="GW22" i="16" s="1"/>
  <c r="GX22" i="16"/>
  <c r="GU22" i="16"/>
  <c r="AR31" i="14"/>
  <c r="AR35" i="14"/>
  <c r="F8" i="20"/>
  <c r="F50" i="2"/>
  <c r="D52" i="34"/>
  <c r="AR37" i="14"/>
  <c r="AQ38" i="14"/>
  <c r="AQ39" i="14" s="1"/>
  <c r="AQ40" i="14" s="1"/>
  <c r="AQ41" i="14" s="1"/>
  <c r="AQ42" i="14" s="1"/>
  <c r="AQ43" i="14" s="1"/>
  <c r="AQ44" i="14" s="1"/>
  <c r="AQ45" i="14" s="1"/>
  <c r="GX24" i="16"/>
  <c r="GV24" i="16"/>
  <c r="GW24" i="16" s="1"/>
  <c r="GU24" i="16"/>
  <c r="GX8" i="16"/>
  <c r="GV8" i="16"/>
  <c r="GW8" i="16" s="1"/>
  <c r="GU8" i="16"/>
  <c r="GX9" i="16"/>
  <c r="GV9" i="16"/>
  <c r="GW9" i="16" s="1"/>
  <c r="GU9" i="16"/>
  <c r="GX38" i="16"/>
  <c r="GV38" i="16"/>
  <c r="GW38" i="16" s="1"/>
  <c r="GU38" i="16"/>
  <c r="GU30" i="16"/>
  <c r="GX30" i="16"/>
  <c r="GV30" i="16"/>
  <c r="GW30" i="16" s="1"/>
  <c r="C42" i="36"/>
  <c r="D42" i="36" s="1"/>
  <c r="E42" i="36" s="1"/>
  <c r="F42" i="36" s="1"/>
  <c r="G42" i="36" s="1"/>
  <c r="H42" i="36" s="1"/>
  <c r="I42" i="36" s="1"/>
  <c r="J42" i="36" s="1"/>
  <c r="K42" i="36" s="1"/>
  <c r="L42" i="36" s="1"/>
  <c r="M42" i="36" s="1"/>
  <c r="B42" i="37" s="1"/>
  <c r="B52" i="36"/>
  <c r="GU12" i="16"/>
  <c r="GX12" i="16"/>
  <c r="GV12" i="16"/>
  <c r="GW12" i="16" s="1"/>
  <c r="GV32" i="16"/>
  <c r="GW32" i="16" s="1"/>
  <c r="GU32" i="16"/>
  <c r="GX32" i="16"/>
  <c r="GU41" i="16"/>
  <c r="GV41" i="16"/>
  <c r="GW41" i="16" s="1"/>
  <c r="GX41" i="16"/>
  <c r="AR5" i="14"/>
  <c r="AR23" i="14"/>
  <c r="GU13" i="16"/>
  <c r="GV13" i="16"/>
  <c r="GW13" i="16" s="1"/>
  <c r="GX13" i="16"/>
  <c r="GV44" i="16"/>
  <c r="GW44" i="16" s="1"/>
  <c r="GX44" i="16"/>
  <c r="GU44" i="16"/>
  <c r="L52" i="26"/>
  <c r="AR8" i="14"/>
  <c r="AR24" i="14"/>
  <c r="AR9" i="14"/>
  <c r="AR21" i="14"/>
  <c r="GV45" i="16"/>
  <c r="GW45" i="16" s="1"/>
  <c r="GU45" i="16"/>
  <c r="GX45" i="16"/>
  <c r="AR13" i="14"/>
  <c r="GV7" i="16"/>
  <c r="GW7" i="16" s="1"/>
  <c r="GX7" i="16"/>
  <c r="GU7" i="16"/>
  <c r="C43" i="58"/>
  <c r="D43" i="58" s="1"/>
  <c r="E43" i="58" s="1"/>
  <c r="F43" i="58" s="1"/>
  <c r="G43" i="58" s="1"/>
  <c r="H43" i="58" s="1"/>
  <c r="I43" i="58" s="1"/>
  <c r="J43" i="58" s="1"/>
  <c r="K43" i="58" s="1"/>
  <c r="L43" i="58" s="1"/>
  <c r="M43" i="58" s="1"/>
  <c r="GX14" i="16"/>
  <c r="GV14" i="16"/>
  <c r="GW14" i="16" s="1"/>
  <c r="GU14" i="16"/>
  <c r="GX5" i="16"/>
  <c r="GU5" i="16"/>
  <c r="GV5" i="16"/>
  <c r="GW5" i="16" s="1"/>
  <c r="GV6" i="16"/>
  <c r="GW6" i="16" s="1"/>
  <c r="GU6" i="16"/>
  <c r="GX6" i="16"/>
  <c r="C47" i="58"/>
  <c r="D47" i="58" s="1"/>
  <c r="E47" i="58" s="1"/>
  <c r="F47" i="58" s="1"/>
  <c r="G47" i="58" s="1"/>
  <c r="H47" i="58" s="1"/>
  <c r="I47" i="58" s="1"/>
  <c r="J47" i="58" s="1"/>
  <c r="K47" i="58" s="1"/>
  <c r="L47" i="58" s="1"/>
  <c r="M47" i="58" s="1"/>
  <c r="AR14" i="14"/>
  <c r="GU18" i="16"/>
  <c r="GX18" i="16"/>
  <c r="GV18" i="16"/>
  <c r="GW18" i="16" s="1"/>
  <c r="GX46" i="16"/>
  <c r="GV46" i="16"/>
  <c r="GW46" i="16" s="1"/>
  <c r="GU46" i="16"/>
  <c r="AQ63" i="14"/>
  <c r="AQ68" i="14"/>
  <c r="AQ66" i="14"/>
  <c r="AQ71" i="14"/>
  <c r="AQ64" i="14"/>
  <c r="AQ69" i="14"/>
  <c r="AQ67" i="14"/>
  <c r="AQ72" i="14"/>
  <c r="AQ65" i="14"/>
  <c r="AQ70" i="14"/>
  <c r="AR18" i="14"/>
  <c r="N45" i="57"/>
  <c r="GX31" i="16"/>
  <c r="GV31" i="16"/>
  <c r="GW31" i="16" s="1"/>
  <c r="GU31" i="16"/>
  <c r="AR19" i="14"/>
  <c r="AR30" i="14"/>
  <c r="AL189" i="16"/>
  <c r="E51" i="2"/>
  <c r="AC51" i="2"/>
  <c r="AD51" i="2" s="1"/>
  <c r="D51" i="2"/>
  <c r="C52" i="2"/>
  <c r="AR16" i="14"/>
  <c r="C45" i="58"/>
  <c r="D45" i="58" s="1"/>
  <c r="E45" i="58" s="1"/>
  <c r="F45" i="58" s="1"/>
  <c r="G45" i="58" s="1"/>
  <c r="H45" i="58" s="1"/>
  <c r="I45" i="58" s="1"/>
  <c r="J45" i="58" s="1"/>
  <c r="K45" i="58" s="1"/>
  <c r="L45" i="58" s="1"/>
  <c r="M45" i="58" s="1"/>
  <c r="GX33" i="16"/>
  <c r="GV33" i="16"/>
  <c r="GW33" i="16" s="1"/>
  <c r="GU33" i="16"/>
  <c r="GV35" i="16"/>
  <c r="GW35" i="16" s="1"/>
  <c r="GX35" i="16"/>
  <c r="GU35" i="16"/>
  <c r="N28" i="19"/>
  <c r="GX47" i="16"/>
  <c r="GV47" i="16"/>
  <c r="GW47" i="16" s="1"/>
  <c r="GU47" i="16"/>
  <c r="AR34" i="14"/>
  <c r="L5" i="11"/>
  <c r="GV15" i="16"/>
  <c r="GW15" i="16" s="1"/>
  <c r="GX15" i="16"/>
  <c r="GU15" i="16"/>
  <c r="GX42" i="16"/>
  <c r="GU42" i="16"/>
  <c r="GV42" i="16"/>
  <c r="GW42" i="16" s="1"/>
  <c r="GU11" i="16"/>
  <c r="GX11" i="16"/>
  <c r="GV11" i="16"/>
  <c r="GW11" i="16" s="1"/>
  <c r="U48" i="2"/>
  <c r="S48" i="2"/>
  <c r="I48" i="2"/>
  <c r="GX28" i="16"/>
  <c r="GV28" i="16"/>
  <c r="GW28" i="16" s="1"/>
  <c r="GU28" i="16"/>
  <c r="GU37" i="16"/>
  <c r="GX37" i="16"/>
  <c r="GV37" i="16"/>
  <c r="GW37" i="16" s="1"/>
  <c r="GX21" i="16"/>
  <c r="GV21" i="16"/>
  <c r="GW21" i="16" s="1"/>
  <c r="GU21" i="16"/>
  <c r="E52" i="33"/>
  <c r="GU43" i="16"/>
  <c r="GX43" i="16"/>
  <c r="GV43" i="16"/>
  <c r="GW43" i="16" s="1"/>
  <c r="AR28" i="14"/>
  <c r="AS50" i="14"/>
  <c r="AT4" i="14"/>
  <c r="AT50" i="14" s="1"/>
  <c r="N58" i="19"/>
  <c r="N59" i="19" s="1"/>
  <c r="F60" i="19" s="1"/>
  <c r="B59" i="19"/>
  <c r="AR11" i="14"/>
  <c r="N46" i="57"/>
  <c r="AR33" i="14"/>
  <c r="C44" i="58"/>
  <c r="D44" i="58" s="1"/>
  <c r="E44" i="58" s="1"/>
  <c r="F44" i="58" s="1"/>
  <c r="G44" i="58" s="1"/>
  <c r="H44" i="58" s="1"/>
  <c r="I44" i="58" s="1"/>
  <c r="J44" i="58" s="1"/>
  <c r="K44" i="58" s="1"/>
  <c r="L44" i="58" s="1"/>
  <c r="M44" i="58" s="1"/>
  <c r="N49" i="57"/>
  <c r="G52" i="31"/>
  <c r="GX29" i="16"/>
  <c r="GV29" i="16"/>
  <c r="GW29" i="16" s="1"/>
  <c r="GU29" i="16"/>
  <c r="GX10" i="16"/>
  <c r="GU10" i="16"/>
  <c r="GV10" i="16"/>
  <c r="GW10" i="16" s="1"/>
  <c r="H52" i="30"/>
  <c r="N47" i="57"/>
  <c r="F52" i="32"/>
  <c r="GX16" i="16"/>
  <c r="GV16" i="16"/>
  <c r="GW16" i="16" s="1"/>
  <c r="GU16" i="16"/>
  <c r="C46" i="58"/>
  <c r="D46" i="58" s="1"/>
  <c r="E46" i="58" s="1"/>
  <c r="F46" i="58" s="1"/>
  <c r="G46" i="58" s="1"/>
  <c r="H46" i="58" s="1"/>
  <c r="I46" i="58" s="1"/>
  <c r="J46" i="58" s="1"/>
  <c r="K46" i="58" s="1"/>
  <c r="L46" i="58" s="1"/>
  <c r="M46" i="58" s="1"/>
  <c r="N46" i="58"/>
  <c r="AK190" i="16"/>
  <c r="AR27" i="14"/>
  <c r="GU20" i="16"/>
  <c r="GX20" i="16"/>
  <c r="GV20" i="16"/>
  <c r="GW20" i="16" s="1"/>
  <c r="D5" i="11"/>
  <c r="J5" i="11" s="1"/>
  <c r="D5" i="5"/>
  <c r="D5" i="6" s="1"/>
  <c r="GV25" i="16"/>
  <c r="GW25" i="16" s="1"/>
  <c r="GX25" i="16"/>
  <c r="GU25" i="16"/>
  <c r="AQ84" i="14"/>
  <c r="AQ85" i="14"/>
  <c r="AQ75" i="14"/>
  <c r="AQ73" i="14"/>
  <c r="AQ76" i="14"/>
  <c r="AQ74" i="14"/>
  <c r="AQ83" i="14"/>
  <c r="AQ82" i="14"/>
  <c r="AQ93" i="14"/>
  <c r="AQ90" i="14"/>
  <c r="AQ89" i="14"/>
  <c r="AQ88" i="14"/>
  <c r="AQ87" i="14"/>
  <c r="AQ86" i="14"/>
  <c r="AQ81" i="14"/>
  <c r="AQ78" i="14"/>
  <c r="AQ77" i="14"/>
  <c r="AR20" i="14"/>
  <c r="AQ92" i="14"/>
  <c r="AQ80" i="14"/>
  <c r="AQ91" i="14"/>
  <c r="AQ79" i="14"/>
  <c r="GV48" i="16"/>
  <c r="GW48" i="16" s="1"/>
  <c r="GU48" i="16"/>
  <c r="GX48" i="16"/>
  <c r="AB49" i="2"/>
  <c r="H49" i="2"/>
  <c r="I49" i="2" s="1"/>
  <c r="AR10" i="14"/>
  <c r="GV36" i="16"/>
  <c r="GW36" i="16" s="1"/>
  <c r="GX36" i="16"/>
  <c r="GU36" i="16"/>
  <c r="GX40" i="16"/>
  <c r="GV40" i="16"/>
  <c r="GW40" i="16" s="1"/>
  <c r="GU40" i="16"/>
  <c r="GV39" i="16"/>
  <c r="GW39" i="16" s="1"/>
  <c r="GU39" i="16"/>
  <c r="GX39" i="16"/>
  <c r="AR36" i="14"/>
  <c r="AQ51" i="14"/>
  <c r="AQ56" i="14"/>
  <c r="AR15" i="14"/>
  <c r="AQ61" i="14"/>
  <c r="AQ54" i="14"/>
  <c r="AQ59" i="14"/>
  <c r="AQ57" i="14"/>
  <c r="AQ62" i="14"/>
  <c r="AQ55" i="14"/>
  <c r="AQ60" i="14"/>
  <c r="AQ53" i="14"/>
  <c r="AQ58" i="14"/>
  <c r="AQ52" i="14"/>
  <c r="GU19" i="16"/>
  <c r="GX19" i="16"/>
  <c r="GV19" i="16"/>
  <c r="GW19" i="16" s="1"/>
  <c r="AR25" i="14"/>
  <c r="G6" i="20"/>
  <c r="G9" i="20" s="1"/>
  <c r="H4" i="20"/>
  <c r="C49" i="58"/>
  <c r="D49" i="58" s="1"/>
  <c r="E49" i="58" s="1"/>
  <c r="F49" i="58" s="1"/>
  <c r="G49" i="58" s="1"/>
  <c r="H49" i="58" s="1"/>
  <c r="I49" i="58" s="1"/>
  <c r="J49" i="58" s="1"/>
  <c r="K49" i="58" s="1"/>
  <c r="L49" i="58" s="1"/>
  <c r="M49" i="58" s="1"/>
  <c r="AR17" i="14"/>
  <c r="GX17" i="16"/>
  <c r="GV17" i="16"/>
  <c r="GW17" i="16" s="1"/>
  <c r="GU17" i="16"/>
  <c r="N51" i="57"/>
  <c r="C50" i="58"/>
  <c r="D50" i="58" s="1"/>
  <c r="E50" i="58" s="1"/>
  <c r="F50" i="58" s="1"/>
  <c r="G50" i="58" s="1"/>
  <c r="H50" i="58" s="1"/>
  <c r="I50" i="58" s="1"/>
  <c r="J50" i="58" s="1"/>
  <c r="K50" i="58" s="1"/>
  <c r="L50" i="58" s="1"/>
  <c r="M50" i="58" s="1"/>
  <c r="N50" i="58"/>
  <c r="GV26" i="16"/>
  <c r="GW26" i="16" s="1"/>
  <c r="GU26" i="16"/>
  <c r="GX26" i="16"/>
  <c r="C48" i="58"/>
  <c r="D48" i="58" s="1"/>
  <c r="E48" i="58" s="1"/>
  <c r="F48" i="58" s="1"/>
  <c r="G48" i="58" s="1"/>
  <c r="H48" i="58" s="1"/>
  <c r="I48" i="58" s="1"/>
  <c r="J48" i="58" s="1"/>
  <c r="K48" i="58" s="1"/>
  <c r="L48" i="58" s="1"/>
  <c r="M48" i="58" s="1"/>
  <c r="N52" i="24"/>
  <c r="AP190" i="16"/>
  <c r="AM190" i="16" s="1"/>
  <c r="AR32" i="14"/>
  <c r="AR7" i="14"/>
  <c r="GX27" i="16"/>
  <c r="GV27" i="16"/>
  <c r="GW27" i="16" s="1"/>
  <c r="GU27" i="16"/>
  <c r="F32" i="20"/>
  <c r="F22" i="20"/>
  <c r="F20" i="20"/>
  <c r="F19" i="20"/>
  <c r="F30" i="20"/>
  <c r="F31" i="20" s="1"/>
  <c r="F18" i="20"/>
  <c r="F17" i="20"/>
  <c r="F11" i="20"/>
  <c r="F39" i="20"/>
  <c r="F16" i="20"/>
  <c r="F10" i="20"/>
  <c r="F38" i="20"/>
  <c r="F15" i="20"/>
  <c r="F25" i="20"/>
  <c r="F14" i="20"/>
  <c r="F34" i="20"/>
  <c r="F24" i="20"/>
  <c r="F13" i="20"/>
  <c r="F23" i="20"/>
  <c r="F33" i="20"/>
  <c r="F21" i="20"/>
  <c r="E26" i="20"/>
  <c r="O13" i="6"/>
  <c r="N14" i="6"/>
  <c r="M15" i="6"/>
  <c r="H20" i="6"/>
  <c r="J18" i="6"/>
  <c r="K17" i="6"/>
  <c r="G21" i="6"/>
  <c r="Q11" i="6"/>
  <c r="AS3" i="14"/>
  <c r="F22" i="6"/>
  <c r="L16" i="6"/>
  <c r="P12" i="6"/>
  <c r="I19" i="6"/>
  <c r="N48" i="58" l="1"/>
  <c r="AH190" i="16"/>
  <c r="N49" i="58"/>
  <c r="AQ46" i="14"/>
  <c r="AQ47" i="14" s="1"/>
  <c r="G8" i="20"/>
  <c r="K5" i="11"/>
  <c r="G5" i="11" s="1"/>
  <c r="AL190" i="16"/>
  <c r="AN190" i="16"/>
  <c r="F26" i="20"/>
  <c r="F57" i="20" s="1"/>
  <c r="AT3" i="14"/>
  <c r="GZ33" i="16"/>
  <c r="HA33" i="16" s="1"/>
  <c r="HB33" i="16"/>
  <c r="GY33" i="16"/>
  <c r="AS36" i="14"/>
  <c r="E57" i="20"/>
  <c r="GY39" i="16"/>
  <c r="HB39" i="16"/>
  <c r="GZ39" i="16"/>
  <c r="HA39" i="16" s="1"/>
  <c r="GZ48" i="16"/>
  <c r="HA48" i="16" s="1"/>
  <c r="HB48" i="16"/>
  <c r="GY48" i="16"/>
  <c r="AS33" i="14"/>
  <c r="GZ43" i="16"/>
  <c r="HA43" i="16" s="1"/>
  <c r="GY43" i="16"/>
  <c r="HB43" i="16"/>
  <c r="GY35" i="16"/>
  <c r="HB35" i="16"/>
  <c r="GZ35" i="16"/>
  <c r="HA35" i="16" s="1"/>
  <c r="AS21" i="14"/>
  <c r="AS5" i="14"/>
  <c r="C42" i="37"/>
  <c r="D42" i="37" s="1"/>
  <c r="E42" i="37" s="1"/>
  <c r="F42" i="37" s="1"/>
  <c r="G42" i="37" s="1"/>
  <c r="H42" i="37" s="1"/>
  <c r="I42" i="37" s="1"/>
  <c r="J42" i="37" s="1"/>
  <c r="K42" i="37" s="1"/>
  <c r="L42" i="37" s="1"/>
  <c r="M42" i="37" s="1"/>
  <c r="B42" i="38" s="1"/>
  <c r="B52" i="37"/>
  <c r="GZ8" i="16"/>
  <c r="HA8" i="16" s="1"/>
  <c r="GY8" i="16"/>
  <c r="HB8" i="16"/>
  <c r="AS31" i="14"/>
  <c r="N52" i="25"/>
  <c r="GY23" i="16"/>
  <c r="HB23" i="16"/>
  <c r="GZ23" i="16"/>
  <c r="HA23" i="16" s="1"/>
  <c r="AS19" i="14"/>
  <c r="GZ26" i="16"/>
  <c r="HA26" i="16" s="1"/>
  <c r="HB26" i="16"/>
  <c r="GY26" i="16"/>
  <c r="H6" i="20"/>
  <c r="H7" i="20" s="1"/>
  <c r="I4" i="20"/>
  <c r="I52" i="30"/>
  <c r="HB28" i="16"/>
  <c r="GZ28" i="16"/>
  <c r="HA28" i="16" s="1"/>
  <c r="GY28" i="16"/>
  <c r="GY15" i="16"/>
  <c r="HB15" i="16"/>
  <c r="GZ15" i="16"/>
  <c r="HA15" i="16" s="1"/>
  <c r="GZ18" i="16"/>
  <c r="HA18" i="16" s="1"/>
  <c r="HB18" i="16"/>
  <c r="GY18" i="16"/>
  <c r="AS9" i="14"/>
  <c r="GY41" i="16"/>
  <c r="HB41" i="16"/>
  <c r="GZ41" i="16"/>
  <c r="HA41" i="16" s="1"/>
  <c r="AS26" i="14"/>
  <c r="AS6" i="14"/>
  <c r="HB25" i="16"/>
  <c r="GZ25" i="16"/>
  <c r="HA25" i="16" s="1"/>
  <c r="GY25" i="16"/>
  <c r="G20" i="20"/>
  <c r="G19" i="20"/>
  <c r="G30" i="20"/>
  <c r="G31" i="20" s="1"/>
  <c r="G18" i="20"/>
  <c r="G17" i="20"/>
  <c r="G11" i="20"/>
  <c r="G39" i="20"/>
  <c r="G16" i="20"/>
  <c r="G10" i="20"/>
  <c r="G38" i="20"/>
  <c r="G15" i="20"/>
  <c r="G25" i="20"/>
  <c r="G14" i="20"/>
  <c r="G34" i="20"/>
  <c r="G24" i="20"/>
  <c r="G13" i="20"/>
  <c r="G33" i="20"/>
  <c r="G23" i="20"/>
  <c r="G22" i="20"/>
  <c r="G32" i="20"/>
  <c r="G21" i="20"/>
  <c r="HB20" i="16"/>
  <c r="GY20" i="16"/>
  <c r="GZ20" i="16"/>
  <c r="HA20" i="16" s="1"/>
  <c r="AS30" i="14"/>
  <c r="HB14" i="16"/>
  <c r="GZ14" i="16"/>
  <c r="HA14" i="16" s="1"/>
  <c r="GY14" i="16"/>
  <c r="AS24" i="14"/>
  <c r="GZ30" i="16"/>
  <c r="HA30" i="16" s="1"/>
  <c r="HB30" i="16"/>
  <c r="GY30" i="16"/>
  <c r="AC190" i="16"/>
  <c r="GY22" i="16"/>
  <c r="HB22" i="16"/>
  <c r="GZ22" i="16"/>
  <c r="HA22" i="16" s="1"/>
  <c r="D52" i="35"/>
  <c r="J52" i="29"/>
  <c r="AS14" i="14"/>
  <c r="N43" i="58"/>
  <c r="AS8" i="14"/>
  <c r="AS29" i="14"/>
  <c r="M52" i="26"/>
  <c r="GZ40" i="16"/>
  <c r="HA40" i="16" s="1"/>
  <c r="HB40" i="16"/>
  <c r="GY40" i="16"/>
  <c r="AI190" i="16"/>
  <c r="N45" i="58"/>
  <c r="N47" i="58"/>
  <c r="GY24" i="16"/>
  <c r="HB24" i="16"/>
  <c r="GZ24" i="16"/>
  <c r="HA24" i="16" s="1"/>
  <c r="AF191" i="16"/>
  <c r="AD191" i="16" s="1"/>
  <c r="AS12" i="14"/>
  <c r="AS11" i="14"/>
  <c r="HB27" i="16"/>
  <c r="GZ27" i="16"/>
  <c r="HA27" i="16" s="1"/>
  <c r="GY27" i="16"/>
  <c r="AS25" i="14"/>
  <c r="I60" i="19"/>
  <c r="G60" i="19"/>
  <c r="AS34" i="14"/>
  <c r="HB6" i="16"/>
  <c r="GZ6" i="16"/>
  <c r="HA6" i="16" s="1"/>
  <c r="GY6" i="16"/>
  <c r="GZ7" i="16"/>
  <c r="HA7" i="16" s="1"/>
  <c r="HB7" i="16"/>
  <c r="GY7" i="16"/>
  <c r="HB44" i="16"/>
  <c r="GZ44" i="16"/>
  <c r="HA44" i="16" s="1"/>
  <c r="GY44" i="16"/>
  <c r="HB38" i="16"/>
  <c r="GY38" i="16"/>
  <c r="GZ38" i="16"/>
  <c r="HA38" i="16" s="1"/>
  <c r="AG190" i="16"/>
  <c r="L52" i="27"/>
  <c r="GZ36" i="16"/>
  <c r="HA36" i="16" s="1"/>
  <c r="GY36" i="16"/>
  <c r="HB36" i="16"/>
  <c r="GZ29" i="16"/>
  <c r="HA29" i="16" s="1"/>
  <c r="HB29" i="16"/>
  <c r="GY29" i="16"/>
  <c r="HB21" i="16"/>
  <c r="GZ21" i="16"/>
  <c r="HA21" i="16" s="1"/>
  <c r="GY21" i="16"/>
  <c r="GZ11" i="16"/>
  <c r="HA11" i="16" s="1"/>
  <c r="HB11" i="16"/>
  <c r="GY11" i="16"/>
  <c r="AS16" i="14"/>
  <c r="HB31" i="16"/>
  <c r="GY31" i="16"/>
  <c r="GZ31" i="16"/>
  <c r="HA31" i="16" s="1"/>
  <c r="AS37" i="14"/>
  <c r="AR38" i="14"/>
  <c r="AR39" i="14" s="1"/>
  <c r="AR40" i="14" s="1"/>
  <c r="AR41" i="14" s="1"/>
  <c r="AR42" i="14" s="1"/>
  <c r="AR43" i="14" s="1"/>
  <c r="AR44" i="14" s="1"/>
  <c r="AR45" i="14" s="1"/>
  <c r="AS22" i="14"/>
  <c r="GZ34" i="16"/>
  <c r="HA34" i="16" s="1"/>
  <c r="GY34" i="16"/>
  <c r="HB34" i="16"/>
  <c r="GZ10" i="16"/>
  <c r="HA10" i="16" s="1"/>
  <c r="HB10" i="16"/>
  <c r="GY10" i="16"/>
  <c r="D5" i="7"/>
  <c r="D5" i="8" s="1"/>
  <c r="D5" i="9" s="1"/>
  <c r="D5" i="10" s="1"/>
  <c r="C5" i="12" s="1"/>
  <c r="R5" i="6"/>
  <c r="H52" i="31"/>
  <c r="AS13" i="14"/>
  <c r="HB13" i="16"/>
  <c r="GZ13" i="16"/>
  <c r="HA13" i="16" s="1"/>
  <c r="GY13" i="16"/>
  <c r="HB12" i="16"/>
  <c r="GZ12" i="16"/>
  <c r="HA12" i="16" s="1"/>
  <c r="GY12" i="16"/>
  <c r="E52" i="34"/>
  <c r="AB190" i="16"/>
  <c r="AS7" i="14"/>
  <c r="AR89" i="14"/>
  <c r="AR77" i="14"/>
  <c r="AR90" i="14"/>
  <c r="AR78" i="14"/>
  <c r="AR73" i="14"/>
  <c r="AR76" i="14"/>
  <c r="AR74" i="14"/>
  <c r="AS20" i="14"/>
  <c r="AR83" i="14"/>
  <c r="AR82" i="14"/>
  <c r="AR93" i="14"/>
  <c r="AR88" i="14"/>
  <c r="AR87" i="14"/>
  <c r="AR86" i="14"/>
  <c r="AR85" i="14"/>
  <c r="AR84" i="14"/>
  <c r="AR81" i="14"/>
  <c r="AR92" i="14"/>
  <c r="AR91" i="14"/>
  <c r="AR80" i="14"/>
  <c r="AR79" i="14"/>
  <c r="AR75" i="14"/>
  <c r="AP191" i="16"/>
  <c r="AS32" i="14"/>
  <c r="HB19" i="16"/>
  <c r="GZ19" i="16"/>
  <c r="HA19" i="16" s="1"/>
  <c r="GY19" i="16"/>
  <c r="AR56" i="14"/>
  <c r="AR61" i="14"/>
  <c r="AR54" i="14"/>
  <c r="AR59" i="14"/>
  <c r="AR52" i="14"/>
  <c r="AR57" i="14"/>
  <c r="AR62" i="14"/>
  <c r="AR55" i="14"/>
  <c r="AR60" i="14"/>
  <c r="AR53" i="14"/>
  <c r="AR58" i="14"/>
  <c r="AR51" i="14"/>
  <c r="AS15" i="14"/>
  <c r="GZ17" i="16"/>
  <c r="HA17" i="16" s="1"/>
  <c r="GY17" i="16"/>
  <c r="HB17" i="16"/>
  <c r="AS10" i="14"/>
  <c r="HB37" i="16"/>
  <c r="GZ37" i="16"/>
  <c r="HA37" i="16" s="1"/>
  <c r="GY37" i="16"/>
  <c r="GY47" i="16"/>
  <c r="HB47" i="16"/>
  <c r="GZ47" i="16"/>
  <c r="HA47" i="16" s="1"/>
  <c r="C53" i="2"/>
  <c r="E52" i="2"/>
  <c r="AC52" i="2"/>
  <c r="AD52" i="2" s="1"/>
  <c r="D52" i="2"/>
  <c r="AR68" i="14"/>
  <c r="AR66" i="14"/>
  <c r="AR71" i="14"/>
  <c r="AR64" i="14"/>
  <c r="AR69" i="14"/>
  <c r="AS18" i="14"/>
  <c r="AR67" i="14"/>
  <c r="AR72" i="14"/>
  <c r="AR65" i="14"/>
  <c r="AR70" i="14"/>
  <c r="AR63" i="14"/>
  <c r="GY45" i="16"/>
  <c r="GZ45" i="16"/>
  <c r="HA45" i="16" s="1"/>
  <c r="HB45" i="16"/>
  <c r="HB9" i="16"/>
  <c r="GZ9" i="16"/>
  <c r="HA9" i="16" s="1"/>
  <c r="GY9" i="16"/>
  <c r="H50" i="2"/>
  <c r="I50" i="2" s="1"/>
  <c r="AB50" i="2"/>
  <c r="N51" i="58"/>
  <c r="AK191" i="16"/>
  <c r="AS27" i="14"/>
  <c r="F52" i="33"/>
  <c r="GY32" i="16"/>
  <c r="HB32" i="16"/>
  <c r="GZ32" i="16"/>
  <c r="HA32" i="16" s="1"/>
  <c r="AS17" i="14"/>
  <c r="U49" i="2"/>
  <c r="S49" i="2"/>
  <c r="HB16" i="16"/>
  <c r="GZ16" i="16"/>
  <c r="HA16" i="16" s="1"/>
  <c r="GY16" i="16"/>
  <c r="N44" i="58"/>
  <c r="AS28" i="14"/>
  <c r="F51" i="2"/>
  <c r="GZ46" i="16"/>
  <c r="HA46" i="16" s="1"/>
  <c r="GY46" i="16"/>
  <c r="HB46" i="16"/>
  <c r="C52" i="36"/>
  <c r="K52" i="28"/>
  <c r="K5" i="10"/>
  <c r="G52" i="32"/>
  <c r="HB42" i="16"/>
  <c r="GZ42" i="16"/>
  <c r="HA42" i="16" s="1"/>
  <c r="GY42" i="16"/>
  <c r="GY5" i="16"/>
  <c r="GZ5" i="16"/>
  <c r="HA5" i="16" s="1"/>
  <c r="HB5" i="16"/>
  <c r="AS23" i="14"/>
  <c r="N42" i="36"/>
  <c r="AS35" i="14"/>
  <c r="N15" i="6"/>
  <c r="K18" i="6"/>
  <c r="O14" i="6"/>
  <c r="H21" i="6"/>
  <c r="L17" i="6"/>
  <c r="J19" i="6"/>
  <c r="G22" i="6"/>
  <c r="Q12" i="6"/>
  <c r="P13" i="6"/>
  <c r="M16" i="6"/>
  <c r="F23" i="6"/>
  <c r="I20" i="6"/>
  <c r="AH191" i="16" l="1"/>
  <c r="AT8" i="14"/>
  <c r="AT16" i="14"/>
  <c r="AT24" i="14"/>
  <c r="AT33" i="14"/>
  <c r="AL191" i="16"/>
  <c r="AR46" i="14"/>
  <c r="AT28" i="14"/>
  <c r="AT22" i="14"/>
  <c r="AT25" i="14"/>
  <c r="AT13" i="14"/>
  <c r="AT11" i="14"/>
  <c r="AT7" i="14"/>
  <c r="AT29" i="14"/>
  <c r="AT9" i="14"/>
  <c r="AT35" i="14"/>
  <c r="AT14" i="14"/>
  <c r="AT17" i="14"/>
  <c r="AT23" i="14"/>
  <c r="AT10" i="14"/>
  <c r="AT34" i="14"/>
  <c r="AT30" i="14"/>
  <c r="AT31" i="14"/>
  <c r="AT19" i="14"/>
  <c r="AT21" i="14"/>
  <c r="AT5" i="14"/>
  <c r="H5" i="11"/>
  <c r="C5" i="11"/>
  <c r="E5" i="11" s="1"/>
  <c r="AM191" i="16"/>
  <c r="G26" i="20"/>
  <c r="G57" i="20" s="1"/>
  <c r="AT6" i="14"/>
  <c r="AT36" i="14"/>
  <c r="AT26" i="14"/>
  <c r="N42" i="37"/>
  <c r="HD48" i="16"/>
  <c r="HE48" i="16" s="1"/>
  <c r="HC48" i="16"/>
  <c r="HD13" i="16"/>
  <c r="HE13" i="16" s="1"/>
  <c r="HC13" i="16"/>
  <c r="AI191" i="16"/>
  <c r="L52" i="28"/>
  <c r="I52" i="31"/>
  <c r="AS38" i="14"/>
  <c r="AS39" i="14" s="1"/>
  <c r="AS40" i="14" s="1"/>
  <c r="AS41" i="14" s="1"/>
  <c r="AS42" i="14" s="1"/>
  <c r="AS43" i="14" s="1"/>
  <c r="AS44" i="14" s="1"/>
  <c r="AS45" i="14" s="1"/>
  <c r="AS46" i="14" s="1"/>
  <c r="AT37" i="14"/>
  <c r="HD29" i="16"/>
  <c r="HE29" i="16" s="1"/>
  <c r="HC29" i="16"/>
  <c r="HD22" i="16"/>
  <c r="HE22" i="16" s="1"/>
  <c r="HC22" i="16"/>
  <c r="HD19" i="16"/>
  <c r="HE19" i="16" s="1"/>
  <c r="HC19" i="16"/>
  <c r="HD44" i="16"/>
  <c r="HE44" i="16" s="1"/>
  <c r="HC44" i="16"/>
  <c r="HD40" i="16"/>
  <c r="HE40" i="16" s="1"/>
  <c r="HC40" i="16"/>
  <c r="HD20" i="16"/>
  <c r="HE20" i="16" s="1"/>
  <c r="HC20" i="16"/>
  <c r="HD41" i="16"/>
  <c r="HE41" i="16" s="1"/>
  <c r="HC41" i="16"/>
  <c r="HC28" i="16"/>
  <c r="HD28" i="16"/>
  <c r="HE28" i="16" s="1"/>
  <c r="HC39" i="16"/>
  <c r="HD39" i="16"/>
  <c r="HE39" i="16" s="1"/>
  <c r="E52" i="35"/>
  <c r="HC26" i="16"/>
  <c r="HD26" i="16"/>
  <c r="HE26" i="16" s="1"/>
  <c r="HD47" i="16"/>
  <c r="HE47" i="16" s="1"/>
  <c r="HC47" i="16"/>
  <c r="HD5" i="16"/>
  <c r="HE5" i="16" s="1"/>
  <c r="HC5" i="16"/>
  <c r="D52" i="36"/>
  <c r="U50" i="2"/>
  <c r="S50" i="2"/>
  <c r="AS66" i="14"/>
  <c r="AS71" i="14"/>
  <c r="AS64" i="14"/>
  <c r="AS69" i="14"/>
  <c r="AS67" i="14"/>
  <c r="AS72" i="14"/>
  <c r="AS65" i="14"/>
  <c r="AS70" i="14"/>
  <c r="AS63" i="14"/>
  <c r="AT18" i="14"/>
  <c r="AS68" i="14"/>
  <c r="AP192" i="16"/>
  <c r="AT32" i="14"/>
  <c r="AP193" i="16" s="1"/>
  <c r="HD36" i="16"/>
  <c r="HE36" i="16" s="1"/>
  <c r="HC36" i="16"/>
  <c r="HC27" i="16"/>
  <c r="HD27" i="16"/>
  <c r="HE27" i="16" s="1"/>
  <c r="AC191" i="16"/>
  <c r="HD23" i="16"/>
  <c r="HE23" i="16" s="1"/>
  <c r="HC23" i="16"/>
  <c r="HC16" i="16"/>
  <c r="HD16" i="16"/>
  <c r="HE16" i="16" s="1"/>
  <c r="AB191" i="16"/>
  <c r="HD31" i="16"/>
  <c r="HE31" i="16" s="1"/>
  <c r="HC31" i="16"/>
  <c r="HC7" i="16"/>
  <c r="HD7" i="16"/>
  <c r="HE7" i="16" s="1"/>
  <c r="N52" i="26"/>
  <c r="J52" i="30"/>
  <c r="HC35" i="16"/>
  <c r="HD35" i="16"/>
  <c r="HE35" i="16" s="1"/>
  <c r="HD21" i="16"/>
  <c r="HE21" i="16" s="1"/>
  <c r="HC21" i="16"/>
  <c r="B52" i="38"/>
  <c r="C42" i="38"/>
  <c r="D42" i="38" s="1"/>
  <c r="E42" i="38" s="1"/>
  <c r="F42" i="38" s="1"/>
  <c r="G42" i="38" s="1"/>
  <c r="H42" i="38" s="1"/>
  <c r="I42" i="38" s="1"/>
  <c r="J42" i="38" s="1"/>
  <c r="K42" i="38" s="1"/>
  <c r="L42" i="38" s="1"/>
  <c r="M42" i="38" s="1"/>
  <c r="B42" i="39" s="1"/>
  <c r="HD46" i="16"/>
  <c r="HE46" i="16" s="1"/>
  <c r="HC46" i="16"/>
  <c r="F52" i="34"/>
  <c r="AF192" i="16"/>
  <c r="AD192" i="16" s="1"/>
  <c r="AT12" i="14"/>
  <c r="AF193" i="16" s="1"/>
  <c r="AN191" i="16"/>
  <c r="HC30" i="16"/>
  <c r="HD30" i="16"/>
  <c r="HE30" i="16" s="1"/>
  <c r="I6" i="20"/>
  <c r="I9" i="20" s="1"/>
  <c r="J4" i="20"/>
  <c r="HD43" i="16"/>
  <c r="HE43" i="16" s="1"/>
  <c r="HC43" i="16"/>
  <c r="HC9" i="16"/>
  <c r="HD9" i="16"/>
  <c r="HE9" i="16" s="1"/>
  <c r="H19" i="20"/>
  <c r="H30" i="20"/>
  <c r="H31" i="20" s="1"/>
  <c r="H18" i="20"/>
  <c r="N7" i="20"/>
  <c r="H17" i="20"/>
  <c r="H11" i="20"/>
  <c r="H39" i="20"/>
  <c r="H16" i="20"/>
  <c r="H10" i="20"/>
  <c r="H38" i="20"/>
  <c r="H15" i="20"/>
  <c r="H25" i="20"/>
  <c r="H14" i="20"/>
  <c r="H34" i="20"/>
  <c r="H24" i="20"/>
  <c r="H13" i="20"/>
  <c r="H33" i="20"/>
  <c r="H23" i="20"/>
  <c r="H32" i="20"/>
  <c r="H22" i="20"/>
  <c r="H20" i="20"/>
  <c r="H21" i="20"/>
  <c r="AB51" i="2"/>
  <c r="H51" i="2"/>
  <c r="HC45" i="16"/>
  <c r="HD45" i="16"/>
  <c r="HE45" i="16" s="1"/>
  <c r="AS82" i="14"/>
  <c r="AS83" i="14"/>
  <c r="AS73" i="14"/>
  <c r="AS76" i="14"/>
  <c r="AS74" i="14"/>
  <c r="AS93" i="14"/>
  <c r="AS88" i="14"/>
  <c r="AS87" i="14"/>
  <c r="AS86" i="14"/>
  <c r="AS85" i="14"/>
  <c r="AS84" i="14"/>
  <c r="AS81" i="14"/>
  <c r="AS92" i="14"/>
  <c r="AS91" i="14"/>
  <c r="AS90" i="14"/>
  <c r="AS89" i="14"/>
  <c r="AS80" i="14"/>
  <c r="AS79" i="14"/>
  <c r="AS78" i="14"/>
  <c r="AS77" i="14"/>
  <c r="AS75" i="14"/>
  <c r="AT20" i="14"/>
  <c r="HD11" i="16"/>
  <c r="HE11" i="16" s="1"/>
  <c r="HC11" i="16"/>
  <c r="M52" i="27"/>
  <c r="HC8" i="16"/>
  <c r="HD8" i="16"/>
  <c r="HE8" i="16" s="1"/>
  <c r="HD38" i="16"/>
  <c r="HE38" i="16" s="1"/>
  <c r="HC38" i="16"/>
  <c r="C54" i="2"/>
  <c r="E53" i="2"/>
  <c r="AC53" i="2"/>
  <c r="AD53" i="2" s="1"/>
  <c r="D53" i="2"/>
  <c r="HC37" i="16"/>
  <c r="HD37" i="16"/>
  <c r="HE37" i="16" s="1"/>
  <c r="HD10" i="16"/>
  <c r="HE10" i="16" s="1"/>
  <c r="HC10" i="16"/>
  <c r="HD17" i="16"/>
  <c r="HE17" i="16" s="1"/>
  <c r="HC17" i="16"/>
  <c r="HD12" i="16"/>
  <c r="HE12" i="16" s="1"/>
  <c r="HC12" i="16"/>
  <c r="HD34" i="16"/>
  <c r="HE34" i="16" s="1"/>
  <c r="HC34" i="16"/>
  <c r="AG191" i="16"/>
  <c r="HD6" i="16"/>
  <c r="HE6" i="16" s="1"/>
  <c r="HC6" i="16"/>
  <c r="HD24" i="16"/>
  <c r="HE24" i="16" s="1"/>
  <c r="HC24" i="16"/>
  <c r="H8" i="20"/>
  <c r="HD18" i="16"/>
  <c r="HE18" i="16" s="1"/>
  <c r="HC18" i="16"/>
  <c r="G52" i="33"/>
  <c r="F52" i="2"/>
  <c r="H9" i="20"/>
  <c r="AS61" i="14"/>
  <c r="AS54" i="14"/>
  <c r="AS59" i="14"/>
  <c r="AS52" i="14"/>
  <c r="AS57" i="14"/>
  <c r="AS62" i="14"/>
  <c r="AS55" i="14"/>
  <c r="AS60" i="14"/>
  <c r="AS53" i="14"/>
  <c r="AS58" i="14"/>
  <c r="AS51" i="14"/>
  <c r="AS56" i="14"/>
  <c r="AT15" i="14"/>
  <c r="HD32" i="16"/>
  <c r="HE32" i="16" s="1"/>
  <c r="HC32" i="16"/>
  <c r="HD42" i="16"/>
  <c r="HE42" i="16" s="1"/>
  <c r="HC42" i="16"/>
  <c r="H52" i="32"/>
  <c r="AK192" i="16"/>
  <c r="AH192" i="16" s="1"/>
  <c r="AT27" i="14"/>
  <c r="AK193" i="16" s="1"/>
  <c r="K52" i="29"/>
  <c r="HD14" i="16"/>
  <c r="HE14" i="16" s="1"/>
  <c r="HC14" i="16"/>
  <c r="HD25" i="16"/>
  <c r="HE25" i="16" s="1"/>
  <c r="HC25" i="16"/>
  <c r="HD15" i="16"/>
  <c r="HE15" i="16" s="1"/>
  <c r="HC15" i="16"/>
  <c r="C52" i="37"/>
  <c r="HD33" i="16"/>
  <c r="HE33" i="16" s="1"/>
  <c r="HC33" i="16"/>
  <c r="G23" i="6"/>
  <c r="I21" i="6"/>
  <c r="H22" i="6"/>
  <c r="Q13" i="6"/>
  <c r="L18" i="6"/>
  <c r="K19" i="6"/>
  <c r="P14" i="6"/>
  <c r="N16" i="6"/>
  <c r="O15" i="6"/>
  <c r="J20" i="6"/>
  <c r="M17" i="6"/>
  <c r="F24" i="6"/>
  <c r="AL192" i="16" l="1"/>
  <c r="F53" i="2"/>
  <c r="AB53" i="2" s="1"/>
  <c r="AS47" i="14"/>
  <c r="AR47" i="14"/>
  <c r="AM192" i="16"/>
  <c r="AM193" i="16" s="1"/>
  <c r="AM194" i="16" s="1"/>
  <c r="AM195" i="16" s="1"/>
  <c r="AM196" i="16" s="1"/>
  <c r="AM197" i="16" s="1"/>
  <c r="AM198" i="16" s="1"/>
  <c r="AM199" i="16" s="1"/>
  <c r="AM200" i="16" s="1"/>
  <c r="AM201" i="16" s="1"/>
  <c r="AM202" i="16" s="1"/>
  <c r="AM203" i="16" s="1"/>
  <c r="AM204" i="16" s="1"/>
  <c r="AM205" i="16" s="1"/>
  <c r="AM206" i="16" s="1"/>
  <c r="AM207" i="16" s="1"/>
  <c r="AM208" i="16" s="1"/>
  <c r="AM209" i="16" s="1"/>
  <c r="AD193" i="16"/>
  <c r="AD194" i="16" s="1"/>
  <c r="AD195" i="16" s="1"/>
  <c r="AD196" i="16" s="1"/>
  <c r="AD197" i="16" s="1"/>
  <c r="AD198" i="16" s="1"/>
  <c r="AD199" i="16" s="1"/>
  <c r="AD200" i="16" s="1"/>
  <c r="AD201" i="16" s="1"/>
  <c r="AD202" i="16" s="1"/>
  <c r="AD203" i="16" s="1"/>
  <c r="AD204" i="16" s="1"/>
  <c r="AD205" i="16" s="1"/>
  <c r="AD206" i="16" s="1"/>
  <c r="AD207" i="16" s="1"/>
  <c r="AD208" i="16" s="1"/>
  <c r="AD209" i="16" s="1"/>
  <c r="AG192" i="16"/>
  <c r="AG193" i="16" s="1"/>
  <c r="AG194" i="16" s="1"/>
  <c r="AG195" i="16" s="1"/>
  <c r="AG196" i="16" s="1"/>
  <c r="AG197" i="16" s="1"/>
  <c r="AG198" i="16" s="1"/>
  <c r="AG199" i="16" s="1"/>
  <c r="AG200" i="16" s="1"/>
  <c r="AG201" i="16" s="1"/>
  <c r="AG202" i="16" s="1"/>
  <c r="AG203" i="16" s="1"/>
  <c r="AG204" i="16" s="1"/>
  <c r="AG205" i="16" s="1"/>
  <c r="AG206" i="16" s="1"/>
  <c r="AG207" i="16" s="1"/>
  <c r="AG208" i="16" s="1"/>
  <c r="AG209" i="16" s="1"/>
  <c r="AL193" i="16"/>
  <c r="AL194" i="16" s="1"/>
  <c r="AL195" i="16" s="1"/>
  <c r="AL196" i="16" s="1"/>
  <c r="AL197" i="16" s="1"/>
  <c r="AL198" i="16" s="1"/>
  <c r="AL199" i="16" s="1"/>
  <c r="AL200" i="16" s="1"/>
  <c r="AL201" i="16" s="1"/>
  <c r="AL202" i="16" s="1"/>
  <c r="AL203" i="16" s="1"/>
  <c r="AL204" i="16" s="1"/>
  <c r="AL205" i="16" s="1"/>
  <c r="AL206" i="16" s="1"/>
  <c r="AL207" i="16" s="1"/>
  <c r="AL208" i="16" s="1"/>
  <c r="AL209" i="16" s="1"/>
  <c r="AH193" i="16"/>
  <c r="AH194" i="16" s="1"/>
  <c r="AH195" i="16" s="1"/>
  <c r="AH196" i="16" s="1"/>
  <c r="AH197" i="16" s="1"/>
  <c r="AH198" i="16" s="1"/>
  <c r="AH199" i="16" s="1"/>
  <c r="AH200" i="16" s="1"/>
  <c r="AH201" i="16" s="1"/>
  <c r="AH202" i="16" s="1"/>
  <c r="AH203" i="16" s="1"/>
  <c r="AH204" i="16" s="1"/>
  <c r="AH205" i="16" s="1"/>
  <c r="AH206" i="16" s="1"/>
  <c r="AH207" i="16" s="1"/>
  <c r="AH208" i="16" s="1"/>
  <c r="AH209" i="16" s="1"/>
  <c r="AT54" i="14"/>
  <c r="AT59" i="14"/>
  <c r="AT52" i="14"/>
  <c r="AT57" i="14"/>
  <c r="AT62" i="14"/>
  <c r="AT55" i="14"/>
  <c r="AT60" i="14"/>
  <c r="AT53" i="14"/>
  <c r="AT58" i="14"/>
  <c r="AT51" i="14"/>
  <c r="AT56" i="14"/>
  <c r="AT61" i="14"/>
  <c r="E52" i="36"/>
  <c r="H53" i="2"/>
  <c r="N52" i="27"/>
  <c r="G52" i="34"/>
  <c r="J6" i="20"/>
  <c r="J9" i="20" s="1"/>
  <c r="K4" i="20"/>
  <c r="AC192" i="16"/>
  <c r="AC193" i="16" s="1"/>
  <c r="AC194" i="16" s="1"/>
  <c r="AC195" i="16" s="1"/>
  <c r="AC196" i="16" s="1"/>
  <c r="AC197" i="16" s="1"/>
  <c r="AC198" i="16" s="1"/>
  <c r="AC199" i="16" s="1"/>
  <c r="AC200" i="16" s="1"/>
  <c r="AC201" i="16" s="1"/>
  <c r="AC202" i="16" s="1"/>
  <c r="AC203" i="16" s="1"/>
  <c r="AC204" i="16" s="1"/>
  <c r="AC205" i="16" s="1"/>
  <c r="AC206" i="16" s="1"/>
  <c r="AC207" i="16" s="1"/>
  <c r="AC208" i="16" s="1"/>
  <c r="AC209" i="16" s="1"/>
  <c r="I52" i="32"/>
  <c r="D52" i="37"/>
  <c r="AT87" i="14"/>
  <c r="AT88" i="14"/>
  <c r="AT76" i="14"/>
  <c r="AT74" i="14"/>
  <c r="AT93" i="14"/>
  <c r="AT86" i="14"/>
  <c r="AT85" i="14"/>
  <c r="AT84" i="14"/>
  <c r="AT83" i="14"/>
  <c r="AT82" i="14"/>
  <c r="AT81" i="14"/>
  <c r="AT92" i="14"/>
  <c r="AT91" i="14"/>
  <c r="AT90" i="14"/>
  <c r="AT89" i="14"/>
  <c r="AT80" i="14"/>
  <c r="AT79" i="14"/>
  <c r="AT78" i="14"/>
  <c r="AT77" i="14"/>
  <c r="AT75" i="14"/>
  <c r="AT73" i="14"/>
  <c r="U51" i="2"/>
  <c r="S51" i="2"/>
  <c r="I30" i="20"/>
  <c r="I31" i="20" s="1"/>
  <c r="I18" i="20"/>
  <c r="I17" i="20"/>
  <c r="I11" i="20"/>
  <c r="I39" i="20"/>
  <c r="I16" i="20"/>
  <c r="I10" i="20"/>
  <c r="I38" i="20"/>
  <c r="I15" i="20"/>
  <c r="I25" i="20"/>
  <c r="I14" i="20"/>
  <c r="I34" i="20"/>
  <c r="I24" i="20"/>
  <c r="I13" i="20"/>
  <c r="I33" i="20"/>
  <c r="I23" i="20"/>
  <c r="I32" i="20"/>
  <c r="I22" i="20"/>
  <c r="I20" i="20"/>
  <c r="I19" i="20"/>
  <c r="I21" i="20"/>
  <c r="K52" i="30"/>
  <c r="AT38" i="14"/>
  <c r="AT39" i="14" s="1"/>
  <c r="AT40" i="14" s="1"/>
  <c r="AT41" i="14" s="1"/>
  <c r="AT42" i="14" s="1"/>
  <c r="AT43" i="14" s="1"/>
  <c r="AT44" i="14" s="1"/>
  <c r="AT45" i="14" s="1"/>
  <c r="AT46" i="14" s="1"/>
  <c r="AT47" i="14" s="1"/>
  <c r="H26" i="20"/>
  <c r="I8" i="20"/>
  <c r="N42" i="39"/>
  <c r="B52" i="39"/>
  <c r="C42" i="39"/>
  <c r="D42" i="39" s="1"/>
  <c r="E42" i="39" s="1"/>
  <c r="F42" i="39" s="1"/>
  <c r="G42" i="39" s="1"/>
  <c r="H42" i="39" s="1"/>
  <c r="I42" i="39" s="1"/>
  <c r="J42" i="39" s="1"/>
  <c r="K42" i="39" s="1"/>
  <c r="L42" i="39" s="1"/>
  <c r="M42" i="39" s="1"/>
  <c r="B42" i="40" s="1"/>
  <c r="J52" i="31"/>
  <c r="M52" i="28"/>
  <c r="N42" i="38"/>
  <c r="F52" i="35"/>
  <c r="AI192" i="16"/>
  <c r="AI193" i="16" s="1"/>
  <c r="AI194" i="16" s="1"/>
  <c r="AI195" i="16" s="1"/>
  <c r="AI196" i="16" s="1"/>
  <c r="AI197" i="16" s="1"/>
  <c r="AI198" i="16" s="1"/>
  <c r="AI199" i="16" s="1"/>
  <c r="AI200" i="16" s="1"/>
  <c r="AI201" i="16" s="1"/>
  <c r="AI202" i="16" s="1"/>
  <c r="AI203" i="16" s="1"/>
  <c r="AI204" i="16" s="1"/>
  <c r="AI205" i="16" s="1"/>
  <c r="AI206" i="16" s="1"/>
  <c r="AI207" i="16" s="1"/>
  <c r="AI208" i="16" s="1"/>
  <c r="AI209" i="16" s="1"/>
  <c r="C52" i="38"/>
  <c r="C55" i="2"/>
  <c r="E54" i="2"/>
  <c r="AC54" i="2"/>
  <c r="AD54" i="2" s="1"/>
  <c r="D54" i="2"/>
  <c r="H52" i="2"/>
  <c r="AB52" i="2"/>
  <c r="H52" i="33"/>
  <c r="AN192" i="16"/>
  <c r="AN193" i="16" s="1"/>
  <c r="AN194" i="16" s="1"/>
  <c r="AN195" i="16" s="1"/>
  <c r="AN196" i="16" s="1"/>
  <c r="AN197" i="16" s="1"/>
  <c r="AN198" i="16" s="1"/>
  <c r="AN199" i="16" s="1"/>
  <c r="AN200" i="16" s="1"/>
  <c r="AN201" i="16" s="1"/>
  <c r="AN202" i="16" s="1"/>
  <c r="AN203" i="16" s="1"/>
  <c r="AN204" i="16" s="1"/>
  <c r="AN205" i="16" s="1"/>
  <c r="AN206" i="16" s="1"/>
  <c r="AN207" i="16" s="1"/>
  <c r="AN208" i="16" s="1"/>
  <c r="AN209" i="16" s="1"/>
  <c r="AB192" i="16"/>
  <c r="AB193" i="16" s="1"/>
  <c r="AB194" i="16" s="1"/>
  <c r="AB195" i="16" s="1"/>
  <c r="AB196" i="16" s="1"/>
  <c r="AB197" i="16" s="1"/>
  <c r="AB198" i="16" s="1"/>
  <c r="AB199" i="16" s="1"/>
  <c r="AB200" i="16" s="1"/>
  <c r="AB201" i="16" s="1"/>
  <c r="AB202" i="16" s="1"/>
  <c r="AB203" i="16" s="1"/>
  <c r="AB204" i="16" s="1"/>
  <c r="AB205" i="16" s="1"/>
  <c r="AB206" i="16" s="1"/>
  <c r="AB207" i="16" s="1"/>
  <c r="AB208" i="16" s="1"/>
  <c r="AB209" i="16" s="1"/>
  <c r="L52" i="29"/>
  <c r="AT66" i="14"/>
  <c r="AT71" i="14"/>
  <c r="AT64" i="14"/>
  <c r="AT69" i="14"/>
  <c r="AT67" i="14"/>
  <c r="AT72" i="14"/>
  <c r="AT65" i="14"/>
  <c r="AT70" i="14"/>
  <c r="AT63" i="14"/>
  <c r="AT68" i="14"/>
  <c r="I51" i="2"/>
  <c r="I22" i="6"/>
  <c r="F25" i="6"/>
  <c r="P15" i="6"/>
  <c r="H23" i="6"/>
  <c r="L19" i="6"/>
  <c r="G24" i="6"/>
  <c r="J21" i="6"/>
  <c r="K20" i="6"/>
  <c r="M18" i="6"/>
  <c r="Q14" i="6"/>
  <c r="O16" i="6"/>
  <c r="N17" i="6"/>
  <c r="I26" i="20" l="1"/>
  <c r="I57" i="20" s="1"/>
  <c r="D52" i="38"/>
  <c r="M52" i="29"/>
  <c r="C56" i="2"/>
  <c r="E55" i="2"/>
  <c r="AC55" i="2"/>
  <c r="AD55" i="2" s="1"/>
  <c r="D55" i="2"/>
  <c r="F55" i="2" s="1"/>
  <c r="K6" i="20"/>
  <c r="K9" i="20" s="1"/>
  <c r="L4" i="20"/>
  <c r="L52" i="30"/>
  <c r="J8" i="20"/>
  <c r="H57" i="20"/>
  <c r="G52" i="35"/>
  <c r="H52" i="34"/>
  <c r="I52" i="33"/>
  <c r="N52" i="28"/>
  <c r="J17" i="20"/>
  <c r="J11" i="20"/>
  <c r="J39" i="20"/>
  <c r="J16" i="20"/>
  <c r="J10" i="20"/>
  <c r="J38" i="20"/>
  <c r="J15" i="20"/>
  <c r="J25" i="20"/>
  <c r="J14" i="20"/>
  <c r="J12" i="20"/>
  <c r="J34" i="20"/>
  <c r="J24" i="20"/>
  <c r="J13" i="20"/>
  <c r="J33" i="20"/>
  <c r="J23" i="20"/>
  <c r="J32" i="20"/>
  <c r="J22" i="20"/>
  <c r="J20" i="20"/>
  <c r="J19" i="20"/>
  <c r="J30" i="20"/>
  <c r="J31" i="20" s="1"/>
  <c r="J18" i="20"/>
  <c r="J21" i="20"/>
  <c r="I53" i="2"/>
  <c r="U52" i="2"/>
  <c r="S52" i="2"/>
  <c r="E52" i="37"/>
  <c r="U53" i="2"/>
  <c r="S53" i="2"/>
  <c r="K52" i="31"/>
  <c r="B52" i="40"/>
  <c r="C42" i="40"/>
  <c r="D42" i="40" s="1"/>
  <c r="E42" i="40" s="1"/>
  <c r="F42" i="40" s="1"/>
  <c r="G42" i="40" s="1"/>
  <c r="H42" i="40" s="1"/>
  <c r="I42" i="40" s="1"/>
  <c r="J42" i="40" s="1"/>
  <c r="K42" i="40" s="1"/>
  <c r="L42" i="40" s="1"/>
  <c r="M42" i="40" s="1"/>
  <c r="B42" i="41" s="1"/>
  <c r="F54" i="2"/>
  <c r="C52" i="39"/>
  <c r="I52" i="2"/>
  <c r="J52" i="32"/>
  <c r="F52" i="36"/>
  <c r="J22" i="6"/>
  <c r="N18" i="6"/>
  <c r="O17" i="6"/>
  <c r="M19" i="6"/>
  <c r="I23" i="6"/>
  <c r="K21" i="6"/>
  <c r="H24" i="6"/>
  <c r="G25" i="6"/>
  <c r="L20" i="6"/>
  <c r="P16" i="6"/>
  <c r="F26" i="6"/>
  <c r="Q15" i="6"/>
  <c r="K8" i="20" l="1"/>
  <c r="J26" i="20"/>
  <c r="J57" i="20" s="1"/>
  <c r="G52" i="36"/>
  <c r="F52" i="37"/>
  <c r="H52" i="35"/>
  <c r="D52" i="39"/>
  <c r="H55" i="2"/>
  <c r="AB55" i="2"/>
  <c r="I52" i="34"/>
  <c r="AB54" i="2"/>
  <c r="H54" i="2"/>
  <c r="E56" i="2"/>
  <c r="AC56" i="2"/>
  <c r="AD56" i="2" s="1"/>
  <c r="D56" i="2"/>
  <c r="C57" i="2"/>
  <c r="K52" i="32"/>
  <c r="B52" i="41"/>
  <c r="C42" i="41"/>
  <c r="D42" i="41" s="1"/>
  <c r="E42" i="41" s="1"/>
  <c r="F42" i="41" s="1"/>
  <c r="G42" i="41" s="1"/>
  <c r="H42" i="41" s="1"/>
  <c r="I42" i="41" s="1"/>
  <c r="J42" i="41" s="1"/>
  <c r="K42" i="41" s="1"/>
  <c r="L42" i="41" s="1"/>
  <c r="M42" i="41" s="1"/>
  <c r="B42" i="42" s="1"/>
  <c r="C52" i="40"/>
  <c r="N52" i="29"/>
  <c r="L52" i="31"/>
  <c r="M52" i="30"/>
  <c r="E52" i="38"/>
  <c r="N42" i="40"/>
  <c r="L6" i="20"/>
  <c r="L9" i="20" s="1"/>
  <c r="M4" i="20"/>
  <c r="J52" i="33"/>
  <c r="K39" i="20"/>
  <c r="K16" i="20"/>
  <c r="K10" i="20"/>
  <c r="K38" i="20"/>
  <c r="K15" i="20"/>
  <c r="K25" i="20"/>
  <c r="K14" i="20"/>
  <c r="K12" i="20"/>
  <c r="N12" i="20" s="1"/>
  <c r="K34" i="20"/>
  <c r="K24" i="20"/>
  <c r="K13" i="20"/>
  <c r="K33" i="20"/>
  <c r="K23" i="20"/>
  <c r="K32" i="20"/>
  <c r="K22" i="20"/>
  <c r="K20" i="20"/>
  <c r="K19" i="20"/>
  <c r="K30" i="20"/>
  <c r="K31" i="20" s="1"/>
  <c r="K18" i="20"/>
  <c r="K11" i="20"/>
  <c r="K17" i="20"/>
  <c r="K21" i="20"/>
  <c r="N19" i="6"/>
  <c r="K22" i="6"/>
  <c r="I24" i="6"/>
  <c r="I6" i="9"/>
  <c r="F27" i="6"/>
  <c r="M20" i="6"/>
  <c r="H6" i="9"/>
  <c r="P17" i="6"/>
  <c r="O18" i="6"/>
  <c r="G26" i="6"/>
  <c r="J23" i="6"/>
  <c r="H25" i="6"/>
  <c r="L21" i="6"/>
  <c r="Q16" i="6"/>
  <c r="F56" i="2" l="1"/>
  <c r="K26" i="20"/>
  <c r="K57" i="20" s="1"/>
  <c r="L8" i="20"/>
  <c r="C42" i="42"/>
  <c r="D42" i="42" s="1"/>
  <c r="E42" i="42" s="1"/>
  <c r="F42" i="42" s="1"/>
  <c r="G42" i="42" s="1"/>
  <c r="H42" i="42" s="1"/>
  <c r="I42" i="42" s="1"/>
  <c r="J42" i="42" s="1"/>
  <c r="K42" i="42" s="1"/>
  <c r="L42" i="42" s="1"/>
  <c r="M42" i="42" s="1"/>
  <c r="B42" i="43" s="1"/>
  <c r="B52" i="42"/>
  <c r="J52" i="34"/>
  <c r="U55" i="2"/>
  <c r="S55" i="2"/>
  <c r="L52" i="32"/>
  <c r="E52" i="39"/>
  <c r="AC57" i="2"/>
  <c r="AD57" i="2" s="1"/>
  <c r="E57" i="2"/>
  <c r="D57" i="2"/>
  <c r="C58" i="2"/>
  <c r="I52" i="35"/>
  <c r="F52" i="38"/>
  <c r="N52" i="30"/>
  <c r="AB56" i="2"/>
  <c r="H56" i="2"/>
  <c r="I56" i="2" s="1"/>
  <c r="G52" i="37"/>
  <c r="M52" i="31"/>
  <c r="H52" i="36"/>
  <c r="K52" i="33"/>
  <c r="C52" i="41"/>
  <c r="B4" i="21"/>
  <c r="M6" i="20"/>
  <c r="M9" i="20" s="1"/>
  <c r="N9" i="20" s="1"/>
  <c r="L38" i="20"/>
  <c r="L15" i="20"/>
  <c r="L25" i="20"/>
  <c r="L14" i="20"/>
  <c r="L34" i="20"/>
  <c r="L24" i="20"/>
  <c r="L13" i="20"/>
  <c r="L33" i="20"/>
  <c r="L23" i="20"/>
  <c r="L32" i="20"/>
  <c r="L22" i="20"/>
  <c r="L20" i="20"/>
  <c r="L19" i="20"/>
  <c r="L30" i="20"/>
  <c r="L31" i="20" s="1"/>
  <c r="L18" i="20"/>
  <c r="L17" i="20"/>
  <c r="L11" i="20"/>
  <c r="L10" i="20"/>
  <c r="L39" i="20"/>
  <c r="L16" i="20"/>
  <c r="L21" i="20"/>
  <c r="D52" i="40"/>
  <c r="I55" i="2"/>
  <c r="U54" i="2"/>
  <c r="S54" i="2"/>
  <c r="I54" i="2"/>
  <c r="N42" i="41"/>
  <c r="P18" i="6"/>
  <c r="M21" i="6"/>
  <c r="J24" i="6"/>
  <c r="G27" i="6"/>
  <c r="H26" i="6"/>
  <c r="N20" i="6"/>
  <c r="Q17" i="6"/>
  <c r="F28" i="6"/>
  <c r="I25" i="6"/>
  <c r="K23" i="6"/>
  <c r="L22" i="6"/>
  <c r="O19" i="6"/>
  <c r="L26" i="20" l="1"/>
  <c r="L57" i="20" s="1"/>
  <c r="M8" i="20"/>
  <c r="N8" i="20" s="1"/>
  <c r="B6" i="21"/>
  <c r="C4" i="21"/>
  <c r="K52" i="34"/>
  <c r="C52" i="42"/>
  <c r="J52" i="35"/>
  <c r="N42" i="42"/>
  <c r="C59" i="2"/>
  <c r="AC58" i="2"/>
  <c r="AD58" i="2" s="1"/>
  <c r="E58" i="2"/>
  <c r="D58" i="2"/>
  <c r="F58" i="2" s="1"/>
  <c r="C42" i="43"/>
  <c r="D42" i="43" s="1"/>
  <c r="E42" i="43" s="1"/>
  <c r="F42" i="43" s="1"/>
  <c r="G42" i="43" s="1"/>
  <c r="H42" i="43" s="1"/>
  <c r="I42" i="43" s="1"/>
  <c r="J42" i="43" s="1"/>
  <c r="K42" i="43" s="1"/>
  <c r="L42" i="43" s="1"/>
  <c r="M42" i="43" s="1"/>
  <c r="B42" i="44" s="1"/>
  <c r="B52" i="43"/>
  <c r="I52" i="36"/>
  <c r="F57" i="2"/>
  <c r="D52" i="41"/>
  <c r="N52" i="31"/>
  <c r="G52" i="38"/>
  <c r="L52" i="33"/>
  <c r="H52" i="37"/>
  <c r="F52" i="39"/>
  <c r="E52" i="40"/>
  <c r="U56" i="2"/>
  <c r="S56" i="2"/>
  <c r="T57" i="2" s="1"/>
  <c r="M52" i="32"/>
  <c r="M25" i="20"/>
  <c r="N25" i="20" s="1"/>
  <c r="M14" i="20"/>
  <c r="N14" i="20" s="1"/>
  <c r="M34" i="20"/>
  <c r="N34" i="20" s="1"/>
  <c r="M24" i="20"/>
  <c r="N24" i="20" s="1"/>
  <c r="M13" i="20"/>
  <c r="N13" i="20" s="1"/>
  <c r="M33" i="20"/>
  <c r="N33" i="20" s="1"/>
  <c r="M23" i="20"/>
  <c r="N23" i="20" s="1"/>
  <c r="M32" i="20"/>
  <c r="N32" i="20" s="1"/>
  <c r="M22" i="20"/>
  <c r="N22" i="20" s="1"/>
  <c r="M20" i="20"/>
  <c r="N20" i="20" s="1"/>
  <c r="M19" i="20"/>
  <c r="N19" i="20" s="1"/>
  <c r="M30" i="20"/>
  <c r="N30" i="20" s="1"/>
  <c r="M18" i="20"/>
  <c r="N18" i="20" s="1"/>
  <c r="M17" i="20"/>
  <c r="N17" i="20" s="1"/>
  <c r="M11" i="20"/>
  <c r="N11" i="20" s="1"/>
  <c r="M39" i="20"/>
  <c r="N39" i="20" s="1"/>
  <c r="M16" i="20"/>
  <c r="N16" i="20" s="1"/>
  <c r="M10" i="20"/>
  <c r="N10" i="20" s="1"/>
  <c r="M38" i="20"/>
  <c r="N38" i="20" s="1"/>
  <c r="M15" i="20"/>
  <c r="N15" i="20" s="1"/>
  <c r="N6" i="20"/>
  <c r="M21" i="20"/>
  <c r="N21" i="20" s="1"/>
  <c r="Q18" i="6"/>
  <c r="F29" i="6"/>
  <c r="J25" i="6"/>
  <c r="M6" i="9"/>
  <c r="N21" i="6"/>
  <c r="M22" i="6"/>
  <c r="K24" i="6"/>
  <c r="I6" i="8"/>
  <c r="J6" i="9"/>
  <c r="P19" i="6"/>
  <c r="O20" i="6"/>
  <c r="G28" i="6"/>
  <c r="O6" i="8"/>
  <c r="L23" i="6"/>
  <c r="G6" i="9"/>
  <c r="F6" i="8"/>
  <c r="N6" i="9"/>
  <c r="L6" i="8"/>
  <c r="K6" i="9"/>
  <c r="I26" i="6"/>
  <c r="F6" i="9"/>
  <c r="H27" i="6"/>
  <c r="L6" i="9"/>
  <c r="Q6" i="8" l="1"/>
  <c r="N6" i="8"/>
  <c r="K6" i="8"/>
  <c r="B9" i="21"/>
  <c r="B7" i="21"/>
  <c r="P6" i="8"/>
  <c r="R6" i="8"/>
  <c r="S6" i="8" s="1"/>
  <c r="H6" i="8"/>
  <c r="G6" i="8"/>
  <c r="O6" i="9"/>
  <c r="J6" i="8"/>
  <c r="M6" i="8"/>
  <c r="H52" i="38"/>
  <c r="G52" i="39"/>
  <c r="N42" i="43"/>
  <c r="I52" i="37"/>
  <c r="B33" i="21"/>
  <c r="B24" i="21"/>
  <c r="B13" i="21"/>
  <c r="B23" i="21"/>
  <c r="B32" i="21"/>
  <c r="B21" i="21"/>
  <c r="B20" i="21"/>
  <c r="B19" i="21"/>
  <c r="B30" i="21"/>
  <c r="B18" i="21"/>
  <c r="B12" i="21"/>
  <c r="B39" i="21"/>
  <c r="B17" i="21"/>
  <c r="B11" i="21"/>
  <c r="B38" i="21"/>
  <c r="B16" i="21"/>
  <c r="B10" i="21"/>
  <c r="B15" i="21"/>
  <c r="B25" i="21"/>
  <c r="B14" i="21"/>
  <c r="B34" i="21"/>
  <c r="C6" i="21"/>
  <c r="C9" i="21" s="1"/>
  <c r="D4" i="21"/>
  <c r="N52" i="32"/>
  <c r="B52" i="44"/>
  <c r="C42" i="44"/>
  <c r="D42" i="44" s="1"/>
  <c r="E42" i="44" s="1"/>
  <c r="F42" i="44" s="1"/>
  <c r="G42" i="44" s="1"/>
  <c r="H42" i="44" s="1"/>
  <c r="I42" i="44" s="1"/>
  <c r="J42" i="44" s="1"/>
  <c r="K42" i="44" s="1"/>
  <c r="L42" i="44" s="1"/>
  <c r="M42" i="44" s="1"/>
  <c r="B42" i="45" s="1"/>
  <c r="M26" i="20"/>
  <c r="E52" i="41"/>
  <c r="M52" i="33"/>
  <c r="M31" i="20"/>
  <c r="N31" i="20" s="1"/>
  <c r="H57" i="2"/>
  <c r="AB57" i="2"/>
  <c r="D59" i="2"/>
  <c r="F59" i="2" s="1"/>
  <c r="C60" i="2"/>
  <c r="AC59" i="2"/>
  <c r="AD59" i="2" s="1"/>
  <c r="E59" i="2"/>
  <c r="D52" i="42"/>
  <c r="J52" i="36"/>
  <c r="L52" i="34"/>
  <c r="H58" i="2"/>
  <c r="AB58" i="2"/>
  <c r="K52" i="35"/>
  <c r="F52" i="40"/>
  <c r="C52" i="43"/>
  <c r="B8" i="21"/>
  <c r="N22" i="6"/>
  <c r="E6" i="9"/>
  <c r="J26" i="6"/>
  <c r="H28" i="6"/>
  <c r="F30" i="6"/>
  <c r="G29" i="6"/>
  <c r="B6" i="8"/>
  <c r="M23" i="6"/>
  <c r="E6" i="8"/>
  <c r="B6" i="9"/>
  <c r="P20" i="6"/>
  <c r="K25" i="6"/>
  <c r="I27" i="6"/>
  <c r="Q19" i="6"/>
  <c r="O21" i="6"/>
  <c r="L24" i="6"/>
  <c r="P6" i="9" l="1"/>
  <c r="C8" i="21"/>
  <c r="B26" i="21"/>
  <c r="B57" i="21" s="1"/>
  <c r="E52" i="42"/>
  <c r="N42" i="44"/>
  <c r="B33" i="22"/>
  <c r="C42" i="45"/>
  <c r="D42" i="45" s="1"/>
  <c r="E42" i="45" s="1"/>
  <c r="F42" i="45" s="1"/>
  <c r="G42" i="45" s="1"/>
  <c r="H42" i="45" s="1"/>
  <c r="I42" i="45" s="1"/>
  <c r="J42" i="45" s="1"/>
  <c r="K42" i="45" s="1"/>
  <c r="L42" i="45" s="1"/>
  <c r="M42" i="45" s="1"/>
  <c r="B42" i="46" s="1"/>
  <c r="N42" i="45"/>
  <c r="B52" i="45"/>
  <c r="C52" i="44"/>
  <c r="J52" i="37"/>
  <c r="AB59" i="2"/>
  <c r="H59" i="2"/>
  <c r="I59" i="2" s="1"/>
  <c r="B31" i="21"/>
  <c r="AC60" i="2"/>
  <c r="AD60" i="2" s="1"/>
  <c r="E60" i="2"/>
  <c r="D60" i="2"/>
  <c r="C61" i="2"/>
  <c r="L52" i="35"/>
  <c r="B32" i="22"/>
  <c r="D52" i="43"/>
  <c r="H52" i="39"/>
  <c r="U58" i="2"/>
  <c r="N52" i="33"/>
  <c r="D6" i="21"/>
  <c r="D8" i="21" s="1"/>
  <c r="E4" i="21"/>
  <c r="I52" i="38"/>
  <c r="I58" i="2"/>
  <c r="U57" i="2"/>
  <c r="I57" i="2"/>
  <c r="C23" i="21"/>
  <c r="C32" i="21"/>
  <c r="C22" i="21"/>
  <c r="C21" i="21"/>
  <c r="C20" i="21"/>
  <c r="C19" i="21"/>
  <c r="C30" i="21"/>
  <c r="C31" i="21" s="1"/>
  <c r="C18" i="21"/>
  <c r="C12" i="21"/>
  <c r="C39" i="21"/>
  <c r="C17" i="21"/>
  <c r="C11" i="21"/>
  <c r="C38" i="21"/>
  <c r="C16" i="21"/>
  <c r="C10" i="21"/>
  <c r="C15" i="21"/>
  <c r="C25" i="21"/>
  <c r="C14" i="21"/>
  <c r="C34" i="21"/>
  <c r="C24" i="21"/>
  <c r="C13" i="21"/>
  <c r="C33" i="21"/>
  <c r="G52" i="40"/>
  <c r="M52" i="34"/>
  <c r="F52" i="41"/>
  <c r="K52" i="36"/>
  <c r="N26" i="20"/>
  <c r="M57" i="20"/>
  <c r="L25" i="6"/>
  <c r="G30" i="6"/>
  <c r="M24" i="6"/>
  <c r="F6" i="3"/>
  <c r="N23" i="6"/>
  <c r="J27" i="6"/>
  <c r="K26" i="6"/>
  <c r="H29" i="6"/>
  <c r="G6" i="10"/>
  <c r="P21" i="6"/>
  <c r="I28" i="6"/>
  <c r="O22" i="6"/>
  <c r="F6" i="12"/>
  <c r="Q20" i="6"/>
  <c r="F31" i="6"/>
  <c r="F6" i="4"/>
  <c r="C26" i="21" l="1"/>
  <c r="C57" i="21" s="1"/>
  <c r="H6" i="12"/>
  <c r="G6" i="12"/>
  <c r="G6" i="3"/>
  <c r="H6" i="3"/>
  <c r="M52" i="35"/>
  <c r="B33" i="23"/>
  <c r="D9" i="21"/>
  <c r="K52" i="37"/>
  <c r="L52" i="36"/>
  <c r="C62" i="2"/>
  <c r="AC61" i="2"/>
  <c r="AD61" i="2" s="1"/>
  <c r="E61" i="2"/>
  <c r="D61" i="2"/>
  <c r="F61" i="2" s="1"/>
  <c r="G52" i="41"/>
  <c r="F60" i="2"/>
  <c r="D52" i="44"/>
  <c r="F52" i="42"/>
  <c r="N52" i="34"/>
  <c r="I52" i="39"/>
  <c r="N57" i="20"/>
  <c r="J52" i="38"/>
  <c r="E52" i="43"/>
  <c r="H60" i="20"/>
  <c r="B60" i="20"/>
  <c r="B27" i="20"/>
  <c r="C27" i="20"/>
  <c r="D27" i="20"/>
  <c r="E27" i="20"/>
  <c r="F27" i="20"/>
  <c r="G27" i="20"/>
  <c r="H27" i="20"/>
  <c r="I27" i="20"/>
  <c r="J27" i="20"/>
  <c r="K27" i="20"/>
  <c r="L27" i="20"/>
  <c r="M27" i="20"/>
  <c r="H52" i="40"/>
  <c r="C52" i="45"/>
  <c r="B32" i="23"/>
  <c r="D32" i="21"/>
  <c r="D22" i="21"/>
  <c r="D20" i="21"/>
  <c r="D19" i="21"/>
  <c r="D30" i="21"/>
  <c r="D18" i="21"/>
  <c r="D39" i="21"/>
  <c r="D17" i="21"/>
  <c r="D11" i="21"/>
  <c r="D38" i="21"/>
  <c r="D16" i="21"/>
  <c r="D10" i="21"/>
  <c r="D15" i="21"/>
  <c r="D25" i="21"/>
  <c r="D14" i="21"/>
  <c r="D34" i="21"/>
  <c r="D33" i="21"/>
  <c r="D24" i="21"/>
  <c r="D13" i="21"/>
  <c r="D23" i="21"/>
  <c r="D21" i="21"/>
  <c r="U59" i="2"/>
  <c r="C42" i="46"/>
  <c r="D42" i="46" s="1"/>
  <c r="E42" i="46" s="1"/>
  <c r="F42" i="46" s="1"/>
  <c r="G42" i="46" s="1"/>
  <c r="H42" i="46" s="1"/>
  <c r="I42" i="46" s="1"/>
  <c r="J42" i="46" s="1"/>
  <c r="K42" i="46" s="1"/>
  <c r="L42" i="46" s="1"/>
  <c r="M42" i="46" s="1"/>
  <c r="B42" i="47" s="1"/>
  <c r="B52" i="46"/>
  <c r="E6" i="21"/>
  <c r="E9" i="21" s="1"/>
  <c r="F4" i="21"/>
  <c r="G31" i="6"/>
  <c r="M25" i="6"/>
  <c r="P22" i="6"/>
  <c r="O6" i="3"/>
  <c r="H30" i="6"/>
  <c r="I6" i="4"/>
  <c r="F32" i="6"/>
  <c r="I29" i="6"/>
  <c r="L26" i="6"/>
  <c r="H6" i="4"/>
  <c r="J6" i="4"/>
  <c r="K6" i="4"/>
  <c r="K27" i="6"/>
  <c r="C6" i="10"/>
  <c r="E6" i="12"/>
  <c r="E6" i="3"/>
  <c r="B6" i="3"/>
  <c r="N24" i="6"/>
  <c r="F6" i="10"/>
  <c r="J28" i="6"/>
  <c r="Q21" i="6"/>
  <c r="B6" i="12"/>
  <c r="B6" i="4"/>
  <c r="O23" i="6"/>
  <c r="G6" i="4"/>
  <c r="E6" i="4"/>
  <c r="E6" i="7" l="1"/>
  <c r="E6" i="6"/>
  <c r="E6" i="5"/>
  <c r="O6" i="4"/>
  <c r="P6" i="4" s="1"/>
  <c r="C6" i="4"/>
  <c r="C6" i="3"/>
  <c r="B6" i="5"/>
  <c r="B6" i="7"/>
  <c r="B6" i="6"/>
  <c r="D28" i="20"/>
  <c r="D58" i="20" s="1"/>
  <c r="D59" i="20" s="1"/>
  <c r="C28" i="20"/>
  <c r="C58" i="20" s="1"/>
  <c r="C59" i="20" s="1"/>
  <c r="D52" i="45"/>
  <c r="K52" i="38"/>
  <c r="C52" i="46"/>
  <c r="N42" i="46"/>
  <c r="D26" i="21"/>
  <c r="I52" i="40"/>
  <c r="N27" i="20"/>
  <c r="B28" i="20"/>
  <c r="B58" i="20" s="1"/>
  <c r="D62" i="2"/>
  <c r="C63" i="2"/>
  <c r="AC62" i="2"/>
  <c r="AD62" i="2" s="1"/>
  <c r="E62" i="2"/>
  <c r="B52" i="47"/>
  <c r="C42" i="47"/>
  <c r="D42" i="47" s="1"/>
  <c r="E42" i="47" s="1"/>
  <c r="F42" i="47" s="1"/>
  <c r="G42" i="47" s="1"/>
  <c r="H42" i="47" s="1"/>
  <c r="I42" i="47" s="1"/>
  <c r="J42" i="47" s="1"/>
  <c r="K42" i="47" s="1"/>
  <c r="L42" i="47" s="1"/>
  <c r="M42" i="47" s="1"/>
  <c r="B42" i="48" s="1"/>
  <c r="D31" i="21"/>
  <c r="M28" i="20"/>
  <c r="M58" i="20" s="1"/>
  <c r="M59" i="20" s="1"/>
  <c r="J52" i="39"/>
  <c r="M52" i="36"/>
  <c r="L28" i="20"/>
  <c r="L58" i="20" s="1"/>
  <c r="L59" i="20" s="1"/>
  <c r="K28" i="20"/>
  <c r="K58" i="20" s="1"/>
  <c r="K59" i="20" s="1"/>
  <c r="G52" i="42"/>
  <c r="E28" i="20"/>
  <c r="E58" i="20" s="1"/>
  <c r="E59" i="20" s="1"/>
  <c r="J28" i="20"/>
  <c r="J58" i="20" s="1"/>
  <c r="J59" i="20" s="1"/>
  <c r="L52" i="37"/>
  <c r="F6" i="21"/>
  <c r="F9" i="21" s="1"/>
  <c r="G4" i="21"/>
  <c r="I28" i="20"/>
  <c r="I58" i="20" s="1"/>
  <c r="I59" i="20" s="1"/>
  <c r="H60" i="2"/>
  <c r="AB60" i="2"/>
  <c r="E52" i="44"/>
  <c r="E20" i="21"/>
  <c r="E19" i="21"/>
  <c r="E30" i="21"/>
  <c r="E31" i="21" s="1"/>
  <c r="E18" i="21"/>
  <c r="E39" i="21"/>
  <c r="E17" i="21"/>
  <c r="E11" i="21"/>
  <c r="E38" i="21"/>
  <c r="E16" i="21"/>
  <c r="E10" i="21"/>
  <c r="E15" i="21"/>
  <c r="E25" i="21"/>
  <c r="E14" i="21"/>
  <c r="E34" i="21"/>
  <c r="E33" i="21"/>
  <c r="E24" i="21"/>
  <c r="E13" i="21"/>
  <c r="E23" i="21"/>
  <c r="E22" i="21"/>
  <c r="E32" i="21"/>
  <c r="E21" i="21"/>
  <c r="H28" i="20"/>
  <c r="H58" i="20" s="1"/>
  <c r="H59" i="20" s="1"/>
  <c r="B33" i="24"/>
  <c r="H61" i="2"/>
  <c r="AB61" i="2"/>
  <c r="G28" i="20"/>
  <c r="G58" i="20" s="1"/>
  <c r="G59" i="20" s="1"/>
  <c r="H52" i="41"/>
  <c r="E8" i="21"/>
  <c r="B32" i="24"/>
  <c r="F28" i="20"/>
  <c r="F58" i="20" s="1"/>
  <c r="F59" i="20" s="1"/>
  <c r="F52" i="43"/>
  <c r="N52" i="35"/>
  <c r="H31" i="6"/>
  <c r="M26" i="6"/>
  <c r="O24" i="6"/>
  <c r="J29" i="6"/>
  <c r="F33" i="6"/>
  <c r="P23" i="6"/>
  <c r="G32" i="6"/>
  <c r="L27" i="6"/>
  <c r="Q22" i="6"/>
  <c r="I30" i="6"/>
  <c r="H6" i="10"/>
  <c r="K28" i="6"/>
  <c r="N25" i="6"/>
  <c r="N42" i="47" l="1"/>
  <c r="F8" i="21"/>
  <c r="J6" i="10"/>
  <c r="I6" i="10"/>
  <c r="C42" i="48"/>
  <c r="D42" i="48" s="1"/>
  <c r="E42" i="48" s="1"/>
  <c r="F42" i="48" s="1"/>
  <c r="G42" i="48" s="1"/>
  <c r="H42" i="48" s="1"/>
  <c r="I42" i="48" s="1"/>
  <c r="J42" i="48" s="1"/>
  <c r="K42" i="48" s="1"/>
  <c r="L42" i="48" s="1"/>
  <c r="M42" i="48" s="1"/>
  <c r="B42" i="49" s="1"/>
  <c r="B52" i="48"/>
  <c r="J52" i="40"/>
  <c r="B32" i="25"/>
  <c r="B33" i="25"/>
  <c r="C52" i="47"/>
  <c r="D57" i="21"/>
  <c r="M52" i="37"/>
  <c r="U61" i="2"/>
  <c r="I52" i="41"/>
  <c r="E26" i="21"/>
  <c r="D52" i="46"/>
  <c r="N52" i="36"/>
  <c r="AC63" i="2"/>
  <c r="AD63" i="2" s="1"/>
  <c r="G63" i="2"/>
  <c r="E63" i="2"/>
  <c r="V63" i="2"/>
  <c r="D63" i="2"/>
  <c r="C64" i="2"/>
  <c r="D6" i="11"/>
  <c r="K6" i="11" s="1"/>
  <c r="D6" i="5"/>
  <c r="D6" i="6" s="1"/>
  <c r="K52" i="39"/>
  <c r="F62" i="2"/>
  <c r="L52" i="38"/>
  <c r="E52" i="45"/>
  <c r="M6" i="11"/>
  <c r="G6" i="21"/>
  <c r="G8" i="21" s="1"/>
  <c r="H4" i="21"/>
  <c r="N58" i="20"/>
  <c r="N59" i="20" s="1"/>
  <c r="F60" i="20" s="1"/>
  <c r="B59" i="20"/>
  <c r="I61" i="2"/>
  <c r="U60" i="2"/>
  <c r="I60" i="2"/>
  <c r="G52" i="43"/>
  <c r="F52" i="44"/>
  <c r="F19" i="21"/>
  <c r="F30" i="21"/>
  <c r="F31" i="21" s="1"/>
  <c r="F18" i="21"/>
  <c r="F39" i="21"/>
  <c r="F17" i="21"/>
  <c r="F11" i="21"/>
  <c r="F38" i="21"/>
  <c r="F16" i="21"/>
  <c r="F10" i="21"/>
  <c r="F15" i="21"/>
  <c r="F25" i="21"/>
  <c r="F14" i="21"/>
  <c r="F34" i="21"/>
  <c r="F33" i="21"/>
  <c r="F24" i="21"/>
  <c r="F13" i="21"/>
  <c r="F23" i="21"/>
  <c r="F32" i="21"/>
  <c r="F22" i="21"/>
  <c r="F20" i="21"/>
  <c r="F21" i="21"/>
  <c r="N28" i="20"/>
  <c r="H52" i="42"/>
  <c r="I31" i="6"/>
  <c r="F34" i="6"/>
  <c r="N26" i="6"/>
  <c r="H32" i="6"/>
  <c r="L28" i="6"/>
  <c r="M27" i="6"/>
  <c r="P24" i="6"/>
  <c r="Q23" i="6"/>
  <c r="J30" i="6"/>
  <c r="G33" i="6"/>
  <c r="O25" i="6"/>
  <c r="K29" i="6"/>
  <c r="L6" i="11" l="1"/>
  <c r="F26" i="21"/>
  <c r="F57" i="21" s="1"/>
  <c r="E52" i="46"/>
  <c r="H52" i="43"/>
  <c r="F52" i="45"/>
  <c r="E57" i="21"/>
  <c r="D52" i="47"/>
  <c r="G64" i="2"/>
  <c r="AC64" i="2"/>
  <c r="AD64" i="2" s="1"/>
  <c r="E64" i="2"/>
  <c r="D64" i="2"/>
  <c r="V64" i="2"/>
  <c r="C65" i="2"/>
  <c r="J52" i="41"/>
  <c r="M52" i="38"/>
  <c r="F63" i="2"/>
  <c r="I52" i="42"/>
  <c r="G60" i="20"/>
  <c r="I60" i="20"/>
  <c r="AB62" i="2"/>
  <c r="H62" i="2"/>
  <c r="W62" i="2"/>
  <c r="B63" i="2"/>
  <c r="H6" i="21"/>
  <c r="I4" i="21"/>
  <c r="L52" i="39"/>
  <c r="DX63" i="2"/>
  <c r="CZ63" i="2"/>
  <c r="CB63" i="2"/>
  <c r="BD63" i="2"/>
  <c r="DV63" i="2"/>
  <c r="CX63" i="2"/>
  <c r="BZ63" i="2"/>
  <c r="BB63" i="2"/>
  <c r="DT63" i="2"/>
  <c r="CV63" i="2"/>
  <c r="BX63" i="2"/>
  <c r="AZ63" i="2"/>
  <c r="DR63" i="2"/>
  <c r="CT63" i="2"/>
  <c r="BV63" i="2"/>
  <c r="AX63" i="2"/>
  <c r="DP63" i="2"/>
  <c r="CR63" i="2"/>
  <c r="BT63" i="2"/>
  <c r="AV63" i="2"/>
  <c r="DN63" i="2"/>
  <c r="CP63" i="2"/>
  <c r="BR63" i="2"/>
  <c r="AT63" i="2"/>
  <c r="DL63" i="2"/>
  <c r="CN63" i="2"/>
  <c r="BP63" i="2"/>
  <c r="AR63" i="2"/>
  <c r="DJ63" i="2"/>
  <c r="CL63" i="2"/>
  <c r="BN63" i="2"/>
  <c r="AP63" i="2"/>
  <c r="S63" i="2"/>
  <c r="T63" i="2" s="1"/>
  <c r="A63" i="2"/>
  <c r="DH63" i="2"/>
  <c r="CJ63" i="2"/>
  <c r="BL63" i="2"/>
  <c r="AN63" i="2"/>
  <c r="DF63" i="2"/>
  <c r="CH63" i="2"/>
  <c r="BJ63" i="2"/>
  <c r="AL63" i="2"/>
  <c r="EB63" i="2"/>
  <c r="DD63" i="2"/>
  <c r="CF63" i="2"/>
  <c r="BH63" i="2"/>
  <c r="AJ63" i="2"/>
  <c r="DZ63" i="2"/>
  <c r="DB63" i="2"/>
  <c r="CD63" i="2"/>
  <c r="BF63" i="2"/>
  <c r="AH63" i="2"/>
  <c r="N52" i="37"/>
  <c r="K52" i="40"/>
  <c r="C52" i="48"/>
  <c r="D6" i="7"/>
  <c r="D6" i="8" s="1"/>
  <c r="D6" i="9" s="1"/>
  <c r="D6" i="10" s="1"/>
  <c r="C6" i="12" s="1"/>
  <c r="R6" i="6"/>
  <c r="J6" i="11"/>
  <c r="N42" i="48"/>
  <c r="K6" i="10"/>
  <c r="G30" i="21"/>
  <c r="G31" i="21" s="1"/>
  <c r="G18" i="21"/>
  <c r="G39" i="21"/>
  <c r="G17" i="21"/>
  <c r="G11" i="21"/>
  <c r="G38" i="21"/>
  <c r="G16" i="21"/>
  <c r="G10" i="21"/>
  <c r="G15" i="21"/>
  <c r="G25" i="21"/>
  <c r="G14" i="21"/>
  <c r="G34" i="21"/>
  <c r="G33" i="21"/>
  <c r="G24" i="21"/>
  <c r="G13" i="21"/>
  <c r="G23" i="21"/>
  <c r="G32" i="21"/>
  <c r="G22" i="21"/>
  <c r="G20" i="21"/>
  <c r="G19" i="21"/>
  <c r="G21" i="21"/>
  <c r="G52" i="44"/>
  <c r="G9" i="21"/>
  <c r="C42" i="49"/>
  <c r="D42" i="49" s="1"/>
  <c r="E42" i="49" s="1"/>
  <c r="F42" i="49" s="1"/>
  <c r="G42" i="49" s="1"/>
  <c r="H42" i="49" s="1"/>
  <c r="I42" i="49" s="1"/>
  <c r="J42" i="49" s="1"/>
  <c r="K42" i="49" s="1"/>
  <c r="L42" i="49" s="1"/>
  <c r="M42" i="49" s="1"/>
  <c r="B42" i="50" s="1"/>
  <c r="N42" i="49"/>
  <c r="B52" i="49"/>
  <c r="H33" i="6"/>
  <c r="O26" i="6"/>
  <c r="F35" i="6"/>
  <c r="N27" i="6"/>
  <c r="I32" i="6"/>
  <c r="J31" i="6"/>
  <c r="K30" i="6"/>
  <c r="M28" i="6"/>
  <c r="P25" i="6"/>
  <c r="Q24" i="6"/>
  <c r="L29" i="6"/>
  <c r="G34" i="6"/>
  <c r="G6" i="11" l="1"/>
  <c r="H6" i="11" s="1"/>
  <c r="H9" i="21"/>
  <c r="H7" i="21"/>
  <c r="N7" i="21" s="1"/>
  <c r="G26" i="21"/>
  <c r="G57" i="21" s="1"/>
  <c r="H8" i="21"/>
  <c r="D52" i="48"/>
  <c r="H63" i="2"/>
  <c r="U63" i="2" s="1"/>
  <c r="AB63" i="2"/>
  <c r="N52" i="38"/>
  <c r="L52" i="40"/>
  <c r="K52" i="41"/>
  <c r="G52" i="45"/>
  <c r="V65" i="2"/>
  <c r="C66" i="2"/>
  <c r="G65" i="2"/>
  <c r="AC65" i="2"/>
  <c r="AD65" i="2" s="1"/>
  <c r="E65" i="2"/>
  <c r="D65" i="2"/>
  <c r="W63" i="2"/>
  <c r="B64" i="2"/>
  <c r="I52" i="43"/>
  <c r="C52" i="49"/>
  <c r="F64" i="2"/>
  <c r="AB64" i="2" s="1"/>
  <c r="U62" i="2"/>
  <c r="I62" i="2"/>
  <c r="F52" i="46"/>
  <c r="B52" i="50"/>
  <c r="C42" i="50"/>
  <c r="D42" i="50" s="1"/>
  <c r="E42" i="50" s="1"/>
  <c r="F42" i="50" s="1"/>
  <c r="G42" i="50" s="1"/>
  <c r="H42" i="50" s="1"/>
  <c r="I42" i="50" s="1"/>
  <c r="J42" i="50" s="1"/>
  <c r="K42" i="50" s="1"/>
  <c r="L42" i="50" s="1"/>
  <c r="M42" i="50" s="1"/>
  <c r="B42" i="51" s="1"/>
  <c r="DH64" i="2"/>
  <c r="CJ64" i="2"/>
  <c r="BL64" i="2"/>
  <c r="AN64" i="2"/>
  <c r="DF64" i="2"/>
  <c r="CH64" i="2"/>
  <c r="BJ64" i="2"/>
  <c r="AL64" i="2"/>
  <c r="EB64" i="2"/>
  <c r="DD64" i="2"/>
  <c r="CF64" i="2"/>
  <c r="BH64" i="2"/>
  <c r="AJ64" i="2"/>
  <c r="DZ64" i="2"/>
  <c r="DB64" i="2"/>
  <c r="CD64" i="2"/>
  <c r="BF64" i="2"/>
  <c r="AH64" i="2"/>
  <c r="DX64" i="2"/>
  <c r="CZ64" i="2"/>
  <c r="CB64" i="2"/>
  <c r="BD64" i="2"/>
  <c r="DV64" i="2"/>
  <c r="CX64" i="2"/>
  <c r="BZ64" i="2"/>
  <c r="BB64" i="2"/>
  <c r="DT64" i="2"/>
  <c r="CV64" i="2"/>
  <c r="BX64" i="2"/>
  <c r="AZ64" i="2"/>
  <c r="DR64" i="2"/>
  <c r="CT64" i="2"/>
  <c r="BV64" i="2"/>
  <c r="AX64" i="2"/>
  <c r="DP64" i="2"/>
  <c r="CR64" i="2"/>
  <c r="BT64" i="2"/>
  <c r="AV64" i="2"/>
  <c r="DN64" i="2"/>
  <c r="CP64" i="2"/>
  <c r="BR64" i="2"/>
  <c r="AT64" i="2"/>
  <c r="A64" i="2"/>
  <c r="DL64" i="2"/>
  <c r="CN64" i="2"/>
  <c r="BP64" i="2"/>
  <c r="AR64" i="2"/>
  <c r="DJ64" i="2"/>
  <c r="CL64" i="2"/>
  <c r="BN64" i="2"/>
  <c r="AP64" i="2"/>
  <c r="S64" i="2"/>
  <c r="T64" i="2" s="1"/>
  <c r="M52" i="39"/>
  <c r="E52" i="47"/>
  <c r="I6" i="21"/>
  <c r="I8" i="21" s="1"/>
  <c r="J4" i="21"/>
  <c r="J52" i="42"/>
  <c r="H52" i="44"/>
  <c r="H39" i="21"/>
  <c r="H17" i="21"/>
  <c r="H11" i="21"/>
  <c r="H38" i="21"/>
  <c r="H16" i="21"/>
  <c r="H10" i="21"/>
  <c r="H15" i="21"/>
  <c r="H25" i="21"/>
  <c r="H14" i="21"/>
  <c r="H34" i="21"/>
  <c r="H33" i="21"/>
  <c r="H24" i="21"/>
  <c r="H13" i="21"/>
  <c r="H23" i="21"/>
  <c r="H32" i="21"/>
  <c r="H22" i="21"/>
  <c r="H20" i="21"/>
  <c r="H19" i="21"/>
  <c r="H30" i="21"/>
  <c r="H31" i="21" s="1"/>
  <c r="H18" i="21"/>
  <c r="H21" i="21"/>
  <c r="H34" i="6"/>
  <c r="K31" i="6"/>
  <c r="L30" i="6"/>
  <c r="O27" i="6"/>
  <c r="I33" i="6"/>
  <c r="F36" i="6"/>
  <c r="P26" i="6"/>
  <c r="J32" i="6"/>
  <c r="G35" i="6"/>
  <c r="N28" i="6"/>
  <c r="M29" i="6"/>
  <c r="Q25" i="6"/>
  <c r="C6" i="11" l="1"/>
  <c r="E6" i="11" s="1"/>
  <c r="F65" i="2"/>
  <c r="AB65" i="2" s="1"/>
  <c r="I63" i="2"/>
  <c r="I38" i="21"/>
  <c r="I16" i="21"/>
  <c r="I10" i="21"/>
  <c r="I15" i="21"/>
  <c r="I25" i="21"/>
  <c r="I14" i="21"/>
  <c r="I34" i="21"/>
  <c r="I33" i="21"/>
  <c r="I24" i="21"/>
  <c r="I13" i="21"/>
  <c r="I23" i="21"/>
  <c r="I32" i="21"/>
  <c r="I22" i="21"/>
  <c r="I20" i="21"/>
  <c r="I19" i="21"/>
  <c r="I30" i="21"/>
  <c r="I31" i="21" s="1"/>
  <c r="I18" i="21"/>
  <c r="I11" i="21"/>
  <c r="I39" i="21"/>
  <c r="I17" i="21"/>
  <c r="I21" i="21"/>
  <c r="N42" i="50"/>
  <c r="C42" i="51"/>
  <c r="D42" i="51" s="1"/>
  <c r="E42" i="51" s="1"/>
  <c r="F42" i="51" s="1"/>
  <c r="G42" i="51" s="1"/>
  <c r="H42" i="51" s="1"/>
  <c r="I42" i="51" s="1"/>
  <c r="J42" i="51" s="1"/>
  <c r="K42" i="51" s="1"/>
  <c r="L42" i="51" s="1"/>
  <c r="M42" i="51" s="1"/>
  <c r="B42" i="52" s="1"/>
  <c r="B52" i="51"/>
  <c r="G52" i="46"/>
  <c r="I9" i="21"/>
  <c r="AC66" i="2"/>
  <c r="AD66" i="2" s="1"/>
  <c r="E66" i="2"/>
  <c r="D66" i="2"/>
  <c r="F66" i="2" s="1"/>
  <c r="AB66" i="2" s="1"/>
  <c r="V66" i="2"/>
  <c r="C67" i="2"/>
  <c r="G66" i="2"/>
  <c r="E52" i="48"/>
  <c r="W64" i="2"/>
  <c r="B65" i="2"/>
  <c r="I52" i="44"/>
  <c r="F52" i="47"/>
  <c r="D52" i="49"/>
  <c r="H52" i="45"/>
  <c r="DP65" i="2"/>
  <c r="CR65" i="2"/>
  <c r="BT65" i="2"/>
  <c r="AV65" i="2"/>
  <c r="DN65" i="2"/>
  <c r="CP65" i="2"/>
  <c r="BR65" i="2"/>
  <c r="AT65" i="2"/>
  <c r="A65" i="2"/>
  <c r="DL65" i="2"/>
  <c r="CN65" i="2"/>
  <c r="BP65" i="2"/>
  <c r="AR65" i="2"/>
  <c r="DJ65" i="2"/>
  <c r="CL65" i="2"/>
  <c r="BN65" i="2"/>
  <c r="AP65" i="2"/>
  <c r="S65" i="2"/>
  <c r="T65" i="2" s="1"/>
  <c r="DH65" i="2"/>
  <c r="CJ65" i="2"/>
  <c r="BL65" i="2"/>
  <c r="AN65" i="2"/>
  <c r="DF65" i="2"/>
  <c r="CH65" i="2"/>
  <c r="BJ65" i="2"/>
  <c r="AL65" i="2"/>
  <c r="EB65" i="2"/>
  <c r="DD65" i="2"/>
  <c r="CF65" i="2"/>
  <c r="BH65" i="2"/>
  <c r="AJ65" i="2"/>
  <c r="DZ65" i="2"/>
  <c r="DB65" i="2"/>
  <c r="CD65" i="2"/>
  <c r="BF65" i="2"/>
  <c r="AH65" i="2"/>
  <c r="DX65" i="2"/>
  <c r="CZ65" i="2"/>
  <c r="CB65" i="2"/>
  <c r="BD65" i="2"/>
  <c r="DV65" i="2"/>
  <c r="CX65" i="2"/>
  <c r="BZ65" i="2"/>
  <c r="BB65" i="2"/>
  <c r="DT65" i="2"/>
  <c r="CV65" i="2"/>
  <c r="BX65" i="2"/>
  <c r="AZ65" i="2"/>
  <c r="DR65" i="2"/>
  <c r="CT65" i="2"/>
  <c r="BV65" i="2"/>
  <c r="AX65" i="2"/>
  <c r="N52" i="39"/>
  <c r="K52" i="42"/>
  <c r="L52" i="41"/>
  <c r="C52" i="50"/>
  <c r="H26" i="21"/>
  <c r="J6" i="21"/>
  <c r="K4" i="21"/>
  <c r="J52" i="43"/>
  <c r="M52" i="40"/>
  <c r="H35" i="6"/>
  <c r="O28" i="6"/>
  <c r="M30" i="6"/>
  <c r="K32" i="6"/>
  <c r="I34" i="6"/>
  <c r="F37" i="6"/>
  <c r="L31" i="6"/>
  <c r="G36" i="6"/>
  <c r="N29" i="6"/>
  <c r="Q26" i="6"/>
  <c r="P27" i="6"/>
  <c r="J33" i="6"/>
  <c r="N42" i="51" l="1"/>
  <c r="I26" i="21"/>
  <c r="I57" i="21" s="1"/>
  <c r="D52" i="50"/>
  <c r="H52" i="46"/>
  <c r="M52" i="41"/>
  <c r="C52" i="51"/>
  <c r="K52" i="43"/>
  <c r="B52" i="52"/>
  <c r="N42" i="52"/>
  <c r="C42" i="52"/>
  <c r="D42" i="52" s="1"/>
  <c r="E42" i="52" s="1"/>
  <c r="F42" i="52" s="1"/>
  <c r="G42" i="52" s="1"/>
  <c r="H42" i="52" s="1"/>
  <c r="I42" i="52" s="1"/>
  <c r="J42" i="52" s="1"/>
  <c r="K42" i="52" s="1"/>
  <c r="L42" i="52" s="1"/>
  <c r="M42" i="52" s="1"/>
  <c r="B42" i="53" s="1"/>
  <c r="J15" i="21"/>
  <c r="J25" i="21"/>
  <c r="J14" i="21"/>
  <c r="J34" i="21"/>
  <c r="J12" i="21"/>
  <c r="J33" i="21"/>
  <c r="J24" i="21"/>
  <c r="J13" i="21"/>
  <c r="J23" i="21"/>
  <c r="J32" i="21"/>
  <c r="J22" i="21"/>
  <c r="J20" i="21"/>
  <c r="J19" i="21"/>
  <c r="J30" i="21"/>
  <c r="J31" i="21" s="1"/>
  <c r="J18" i="21"/>
  <c r="J39" i="21"/>
  <c r="J17" i="21"/>
  <c r="J11" i="21"/>
  <c r="J10" i="21"/>
  <c r="J38" i="21"/>
  <c r="J16" i="21"/>
  <c r="J21" i="21"/>
  <c r="DX66" i="2"/>
  <c r="CZ66" i="2"/>
  <c r="CB66" i="2"/>
  <c r="BD66" i="2"/>
  <c r="DV66" i="2"/>
  <c r="CX66" i="2"/>
  <c r="BZ66" i="2"/>
  <c r="BB66" i="2"/>
  <c r="DT66" i="2"/>
  <c r="CV66" i="2"/>
  <c r="BX66" i="2"/>
  <c r="AZ66" i="2"/>
  <c r="DR66" i="2"/>
  <c r="CT66" i="2"/>
  <c r="BV66" i="2"/>
  <c r="AX66" i="2"/>
  <c r="DP66" i="2"/>
  <c r="CR66" i="2"/>
  <c r="BT66" i="2"/>
  <c r="AV66" i="2"/>
  <c r="DN66" i="2"/>
  <c r="CP66" i="2"/>
  <c r="BR66" i="2"/>
  <c r="AT66" i="2"/>
  <c r="A66" i="2"/>
  <c r="DL66" i="2"/>
  <c r="CN66" i="2"/>
  <c r="BP66" i="2"/>
  <c r="AR66" i="2"/>
  <c r="DJ66" i="2"/>
  <c r="CL66" i="2"/>
  <c r="BN66" i="2"/>
  <c r="AP66" i="2"/>
  <c r="S66" i="2"/>
  <c r="T66" i="2" s="1"/>
  <c r="DH66" i="2"/>
  <c r="CJ66" i="2"/>
  <c r="BL66" i="2"/>
  <c r="AN66" i="2"/>
  <c r="DF66" i="2"/>
  <c r="CH66" i="2"/>
  <c r="BJ66" i="2"/>
  <c r="AL66" i="2"/>
  <c r="EB66" i="2"/>
  <c r="DD66" i="2"/>
  <c r="CF66" i="2"/>
  <c r="BH66" i="2"/>
  <c r="AJ66" i="2"/>
  <c r="DZ66" i="2"/>
  <c r="DB66" i="2"/>
  <c r="CD66" i="2"/>
  <c r="BF66" i="2"/>
  <c r="AH66" i="2"/>
  <c r="G67" i="2"/>
  <c r="AC67" i="2"/>
  <c r="AD67" i="2" s="1"/>
  <c r="E67" i="2"/>
  <c r="D67" i="2"/>
  <c r="V67" i="2"/>
  <c r="C68" i="2"/>
  <c r="F52" i="48"/>
  <c r="J8" i="21"/>
  <c r="W65" i="2"/>
  <c r="B66" i="2"/>
  <c r="L52" i="42"/>
  <c r="I52" i="45"/>
  <c r="J9" i="21"/>
  <c r="E52" i="49"/>
  <c r="N52" i="40"/>
  <c r="H57" i="21"/>
  <c r="G52" i="47"/>
  <c r="K6" i="21"/>
  <c r="K9" i="21" s="1"/>
  <c r="L4" i="21"/>
  <c r="J52" i="44"/>
  <c r="F38" i="6"/>
  <c r="M31" i="6"/>
  <c r="H36" i="6"/>
  <c r="Q27" i="6"/>
  <c r="O29" i="6"/>
  <c r="G37" i="6"/>
  <c r="N30" i="6"/>
  <c r="L32" i="6"/>
  <c r="I35" i="6"/>
  <c r="K33" i="6"/>
  <c r="P28" i="6"/>
  <c r="J34" i="6"/>
  <c r="J26" i="21" l="1"/>
  <c r="J57" i="21" s="1"/>
  <c r="F52" i="49"/>
  <c r="C52" i="52"/>
  <c r="K25" i="21"/>
  <c r="K14" i="21"/>
  <c r="K34" i="21"/>
  <c r="K12" i="21"/>
  <c r="N12" i="21" s="1"/>
  <c r="K33" i="21"/>
  <c r="K24" i="21"/>
  <c r="K13" i="21"/>
  <c r="K23" i="21"/>
  <c r="K32" i="21"/>
  <c r="K22" i="21"/>
  <c r="K20" i="21"/>
  <c r="K19" i="21"/>
  <c r="K30" i="21"/>
  <c r="K31" i="21" s="1"/>
  <c r="K18" i="21"/>
  <c r="K39" i="21"/>
  <c r="K17" i="21"/>
  <c r="K11" i="21"/>
  <c r="K38" i="21"/>
  <c r="K16" i="21"/>
  <c r="K10" i="21"/>
  <c r="K15" i="21"/>
  <c r="K21" i="21"/>
  <c r="J52" i="45"/>
  <c r="L52" i="43"/>
  <c r="M52" i="42"/>
  <c r="D52" i="51"/>
  <c r="K8" i="21"/>
  <c r="H52" i="47"/>
  <c r="N52" i="41"/>
  <c r="L6" i="21"/>
  <c r="L9" i="21" s="1"/>
  <c r="M4" i="21"/>
  <c r="I52" i="46"/>
  <c r="DH67" i="2"/>
  <c r="CJ67" i="2"/>
  <c r="BL67" i="2"/>
  <c r="AN67" i="2"/>
  <c r="DF67" i="2"/>
  <c r="CH67" i="2"/>
  <c r="BJ67" i="2"/>
  <c r="AL67" i="2"/>
  <c r="EB67" i="2"/>
  <c r="DD67" i="2"/>
  <c r="CF67" i="2"/>
  <c r="BH67" i="2"/>
  <c r="AJ67" i="2"/>
  <c r="DZ67" i="2"/>
  <c r="DB67" i="2"/>
  <c r="CD67" i="2"/>
  <c r="BF67" i="2"/>
  <c r="AH67" i="2"/>
  <c r="DX67" i="2"/>
  <c r="CZ67" i="2"/>
  <c r="CB67" i="2"/>
  <c r="BD67" i="2"/>
  <c r="DV67" i="2"/>
  <c r="CX67" i="2"/>
  <c r="BZ67" i="2"/>
  <c r="BB67" i="2"/>
  <c r="DT67" i="2"/>
  <c r="CV67" i="2"/>
  <c r="BX67" i="2"/>
  <c r="AZ67" i="2"/>
  <c r="DR67" i="2"/>
  <c r="CT67" i="2"/>
  <c r="BV67" i="2"/>
  <c r="AX67" i="2"/>
  <c r="DP67" i="2"/>
  <c r="CR67" i="2"/>
  <c r="BT67" i="2"/>
  <c r="AV67" i="2"/>
  <c r="DN67" i="2"/>
  <c r="CP67" i="2"/>
  <c r="BR67" i="2"/>
  <c r="AT67" i="2"/>
  <c r="A67" i="2"/>
  <c r="DL67" i="2"/>
  <c r="CN67" i="2"/>
  <c r="BP67" i="2"/>
  <c r="AR67" i="2"/>
  <c r="DJ67" i="2"/>
  <c r="CL67" i="2"/>
  <c r="BN67" i="2"/>
  <c r="AP67" i="2"/>
  <c r="S67" i="2"/>
  <c r="T67" i="2" s="1"/>
  <c r="E52" i="50"/>
  <c r="V68" i="2"/>
  <c r="C69" i="2"/>
  <c r="G68" i="2"/>
  <c r="AC68" i="2"/>
  <c r="AD68" i="2" s="1"/>
  <c r="E68" i="2"/>
  <c r="D68" i="2"/>
  <c r="F68" i="2" s="1"/>
  <c r="AB68" i="2" s="1"/>
  <c r="W66" i="2"/>
  <c r="B67" i="2"/>
  <c r="G52" i="48"/>
  <c r="K52" i="44"/>
  <c r="F67" i="2"/>
  <c r="AB67" i="2" s="1"/>
  <c r="B52" i="53"/>
  <c r="C42" i="53"/>
  <c r="D42" i="53" s="1"/>
  <c r="E42" i="53" s="1"/>
  <c r="F42" i="53" s="1"/>
  <c r="G42" i="53" s="1"/>
  <c r="H42" i="53" s="1"/>
  <c r="I42" i="53" s="1"/>
  <c r="J42" i="53" s="1"/>
  <c r="K42" i="53" s="1"/>
  <c r="L42" i="53" s="1"/>
  <c r="M42" i="53" s="1"/>
  <c r="B42" i="54" s="1"/>
  <c r="F39" i="6"/>
  <c r="G38" i="6"/>
  <c r="K34" i="6"/>
  <c r="I36" i="6"/>
  <c r="M32" i="6"/>
  <c r="H37" i="6"/>
  <c r="P29" i="6"/>
  <c r="I7" i="9"/>
  <c r="J35" i="6"/>
  <c r="Q28" i="6"/>
  <c r="L33" i="6"/>
  <c r="H7" i="9"/>
  <c r="N31" i="6"/>
  <c r="O30" i="6"/>
  <c r="K26" i="21" l="1"/>
  <c r="K57" i="21" s="1"/>
  <c r="C42" i="54"/>
  <c r="D42" i="54" s="1"/>
  <c r="E42" i="54" s="1"/>
  <c r="F42" i="54" s="1"/>
  <c r="G42" i="54" s="1"/>
  <c r="H42" i="54" s="1"/>
  <c r="I42" i="54" s="1"/>
  <c r="J42" i="54" s="1"/>
  <c r="K42" i="54" s="1"/>
  <c r="L42" i="54" s="1"/>
  <c r="M42" i="54" s="1"/>
  <c r="B42" i="55" s="1"/>
  <c r="N42" i="54"/>
  <c r="B52" i="54"/>
  <c r="DP68" i="2"/>
  <c r="CR68" i="2"/>
  <c r="BT68" i="2"/>
  <c r="AV68" i="2"/>
  <c r="DN68" i="2"/>
  <c r="CP68" i="2"/>
  <c r="BR68" i="2"/>
  <c r="AT68" i="2"/>
  <c r="A68" i="2"/>
  <c r="DL68" i="2"/>
  <c r="CN68" i="2"/>
  <c r="BP68" i="2"/>
  <c r="AR68" i="2"/>
  <c r="DJ68" i="2"/>
  <c r="CL68" i="2"/>
  <c r="BN68" i="2"/>
  <c r="AP68" i="2"/>
  <c r="S68" i="2"/>
  <c r="T68" i="2" s="1"/>
  <c r="DH68" i="2"/>
  <c r="CJ68" i="2"/>
  <c r="BL68" i="2"/>
  <c r="AN68" i="2"/>
  <c r="DF68" i="2"/>
  <c r="CH68" i="2"/>
  <c r="BJ68" i="2"/>
  <c r="AL68" i="2"/>
  <c r="EB68" i="2"/>
  <c r="DD68" i="2"/>
  <c r="CF68" i="2"/>
  <c r="BH68" i="2"/>
  <c r="AJ68" i="2"/>
  <c r="DZ68" i="2"/>
  <c r="DB68" i="2"/>
  <c r="CD68" i="2"/>
  <c r="BF68" i="2"/>
  <c r="AH68" i="2"/>
  <c r="DX68" i="2"/>
  <c r="CZ68" i="2"/>
  <c r="CB68" i="2"/>
  <c r="BD68" i="2"/>
  <c r="DV68" i="2"/>
  <c r="CX68" i="2"/>
  <c r="BZ68" i="2"/>
  <c r="BB68" i="2"/>
  <c r="DT68" i="2"/>
  <c r="CV68" i="2"/>
  <c r="BX68" i="2"/>
  <c r="AZ68" i="2"/>
  <c r="DR68" i="2"/>
  <c r="CT68" i="2"/>
  <c r="BV68" i="2"/>
  <c r="AX68" i="2"/>
  <c r="E69" i="2"/>
  <c r="D69" i="2"/>
  <c r="F69" i="2" s="1"/>
  <c r="AB69" i="2" s="1"/>
  <c r="C70" i="2"/>
  <c r="V69" i="2"/>
  <c r="AC69" i="2"/>
  <c r="AD69" i="2" s="1"/>
  <c r="G69" i="2"/>
  <c r="L25" i="21"/>
  <c r="L14" i="21"/>
  <c r="L34" i="21"/>
  <c r="L33" i="21"/>
  <c r="L24" i="21"/>
  <c r="L13" i="21"/>
  <c r="L23" i="21"/>
  <c r="L32" i="21"/>
  <c r="L22" i="21"/>
  <c r="L20" i="21"/>
  <c r="L19" i="21"/>
  <c r="L30" i="21"/>
  <c r="L31" i="21" s="1"/>
  <c r="L18" i="21"/>
  <c r="L39" i="21"/>
  <c r="L17" i="21"/>
  <c r="L11" i="21"/>
  <c r="L38" i="21"/>
  <c r="L16" i="21"/>
  <c r="L10" i="21"/>
  <c r="L15" i="21"/>
  <c r="L21" i="21"/>
  <c r="L52" i="44"/>
  <c r="I52" i="47"/>
  <c r="D52" i="52"/>
  <c r="C52" i="53"/>
  <c r="F52" i="50"/>
  <c r="E52" i="51"/>
  <c r="G52" i="49"/>
  <c r="B4" i="22"/>
  <c r="M6" i="21"/>
  <c r="M9" i="21" s="1"/>
  <c r="N9" i="21" s="1"/>
  <c r="N52" i="42"/>
  <c r="H52" i="48"/>
  <c r="J52" i="46"/>
  <c r="M52" i="43"/>
  <c r="W67" i="2"/>
  <c r="B68" i="2"/>
  <c r="N42" i="53"/>
  <c r="L8" i="21"/>
  <c r="K52" i="45"/>
  <c r="G39" i="6"/>
  <c r="F40" i="6"/>
  <c r="H38" i="6"/>
  <c r="N32" i="6"/>
  <c r="O31" i="6"/>
  <c r="M33" i="6"/>
  <c r="Q29" i="6"/>
  <c r="K35" i="6"/>
  <c r="I37" i="6"/>
  <c r="P30" i="6"/>
  <c r="L34" i="6"/>
  <c r="J36" i="6"/>
  <c r="L26" i="21" l="1"/>
  <c r="L57" i="21" s="1"/>
  <c r="F52" i="51"/>
  <c r="J52" i="47"/>
  <c r="M34" i="21"/>
  <c r="N34" i="21" s="1"/>
  <c r="M33" i="21"/>
  <c r="N33" i="21" s="1"/>
  <c r="M24" i="21"/>
  <c r="N24" i="21" s="1"/>
  <c r="M13" i="21"/>
  <c r="N13" i="21" s="1"/>
  <c r="M23" i="21"/>
  <c r="N23" i="21" s="1"/>
  <c r="M32" i="21"/>
  <c r="N32" i="21" s="1"/>
  <c r="M22" i="21"/>
  <c r="N22" i="21" s="1"/>
  <c r="M20" i="21"/>
  <c r="N20" i="21" s="1"/>
  <c r="M19" i="21"/>
  <c r="N19" i="21" s="1"/>
  <c r="M30" i="21"/>
  <c r="N30" i="21" s="1"/>
  <c r="M18" i="21"/>
  <c r="N18" i="21" s="1"/>
  <c r="M39" i="21"/>
  <c r="N39" i="21" s="1"/>
  <c r="M17" i="21"/>
  <c r="N17" i="21" s="1"/>
  <c r="M11" i="21"/>
  <c r="N11" i="21" s="1"/>
  <c r="M38" i="21"/>
  <c r="N38" i="21" s="1"/>
  <c r="M16" i="21"/>
  <c r="N16" i="21" s="1"/>
  <c r="M10" i="21"/>
  <c r="N10" i="21" s="1"/>
  <c r="M15" i="21"/>
  <c r="N15" i="21" s="1"/>
  <c r="M25" i="21"/>
  <c r="N25" i="21" s="1"/>
  <c r="M14" i="21"/>
  <c r="N14" i="21" s="1"/>
  <c r="N6" i="21"/>
  <c r="M21" i="21"/>
  <c r="N21" i="21" s="1"/>
  <c r="M52" i="44"/>
  <c r="H52" i="49"/>
  <c r="C52" i="54"/>
  <c r="L52" i="45"/>
  <c r="DT69" i="2"/>
  <c r="CV69" i="2"/>
  <c r="BX69" i="2"/>
  <c r="AZ69" i="2"/>
  <c r="DR69" i="2"/>
  <c r="CT69" i="2"/>
  <c r="BV69" i="2"/>
  <c r="AX69" i="2"/>
  <c r="DP69" i="2"/>
  <c r="CR69" i="2"/>
  <c r="BT69" i="2"/>
  <c r="AV69" i="2"/>
  <c r="DN69" i="2"/>
  <c r="CP69" i="2"/>
  <c r="BR69" i="2"/>
  <c r="AT69" i="2"/>
  <c r="DL69" i="2"/>
  <c r="CN69" i="2"/>
  <c r="BP69" i="2"/>
  <c r="AR69" i="2"/>
  <c r="DJ69" i="2"/>
  <c r="CL69" i="2"/>
  <c r="BN69" i="2"/>
  <c r="AP69" i="2"/>
  <c r="A69" i="2"/>
  <c r="DH69" i="2"/>
  <c r="CJ69" i="2"/>
  <c r="BL69" i="2"/>
  <c r="AN69" i="2"/>
  <c r="DF69" i="2"/>
  <c r="CH69" i="2"/>
  <c r="BJ69" i="2"/>
  <c r="AL69" i="2"/>
  <c r="S69" i="2"/>
  <c r="T69" i="2" s="1"/>
  <c r="EB69" i="2"/>
  <c r="DD69" i="2"/>
  <c r="CF69" i="2"/>
  <c r="BH69" i="2"/>
  <c r="AJ69" i="2"/>
  <c r="DZ69" i="2"/>
  <c r="DB69" i="2"/>
  <c r="CD69" i="2"/>
  <c r="BF69" i="2"/>
  <c r="AH69" i="2"/>
  <c r="DX69" i="2"/>
  <c r="CZ69" i="2"/>
  <c r="CB69" i="2"/>
  <c r="BD69" i="2"/>
  <c r="DV69" i="2"/>
  <c r="CX69" i="2"/>
  <c r="BZ69" i="2"/>
  <c r="BB69" i="2"/>
  <c r="B52" i="55"/>
  <c r="C42" i="55"/>
  <c r="D42" i="55" s="1"/>
  <c r="E42" i="55" s="1"/>
  <c r="F42" i="55" s="1"/>
  <c r="G42" i="55" s="1"/>
  <c r="H42" i="55" s="1"/>
  <c r="I42" i="55" s="1"/>
  <c r="J42" i="55" s="1"/>
  <c r="K42" i="55" s="1"/>
  <c r="L42" i="55" s="1"/>
  <c r="M42" i="55" s="1"/>
  <c r="B42" i="56" s="1"/>
  <c r="B6" i="22"/>
  <c r="C4" i="22"/>
  <c r="K52" i="46"/>
  <c r="G52" i="50"/>
  <c r="I52" i="48"/>
  <c r="W68" i="2"/>
  <c r="B69" i="2"/>
  <c r="D52" i="53"/>
  <c r="G70" i="2"/>
  <c r="AC70" i="2"/>
  <c r="AD70" i="2" s="1"/>
  <c r="E70" i="2"/>
  <c r="D70" i="2"/>
  <c r="F70" i="2" s="1"/>
  <c r="AB70" i="2" s="1"/>
  <c r="V70" i="2"/>
  <c r="C71" i="2"/>
  <c r="N52" i="43"/>
  <c r="M8" i="21"/>
  <c r="N8" i="21" s="1"/>
  <c r="E52" i="52"/>
  <c r="F41" i="6"/>
  <c r="H39" i="6"/>
  <c r="G40" i="6"/>
  <c r="I38" i="6"/>
  <c r="J37" i="6"/>
  <c r="F7" i="9"/>
  <c r="L35" i="6"/>
  <c r="M7" i="9"/>
  <c r="L7" i="8"/>
  <c r="I7" i="8"/>
  <c r="O7" i="8"/>
  <c r="P31" i="6"/>
  <c r="N7" i="9"/>
  <c r="L7" i="9"/>
  <c r="M34" i="6"/>
  <c r="K36" i="6"/>
  <c r="J7" i="9"/>
  <c r="Q30" i="6"/>
  <c r="O32" i="6"/>
  <c r="N33" i="6"/>
  <c r="F7" i="8"/>
  <c r="K7" i="9"/>
  <c r="G7" i="9"/>
  <c r="Q7" i="8" l="1"/>
  <c r="K7" i="8"/>
  <c r="N7" i="8"/>
  <c r="B9" i="22"/>
  <c r="B7" i="22"/>
  <c r="M31" i="21"/>
  <c r="N31" i="21" s="1"/>
  <c r="H7" i="8"/>
  <c r="G7" i="8"/>
  <c r="R7" i="8"/>
  <c r="S7" i="8" s="1"/>
  <c r="P7" i="8"/>
  <c r="J7" i="8"/>
  <c r="M7" i="8"/>
  <c r="O7" i="9"/>
  <c r="J52" i="48"/>
  <c r="N42" i="55"/>
  <c r="N52" i="44"/>
  <c r="B52" i="56"/>
  <c r="C42" i="56"/>
  <c r="D42" i="56" s="1"/>
  <c r="E42" i="56" s="1"/>
  <c r="F42" i="56" s="1"/>
  <c r="G42" i="56" s="1"/>
  <c r="H42" i="56" s="1"/>
  <c r="I42" i="56" s="1"/>
  <c r="J42" i="56" s="1"/>
  <c r="K42" i="56" s="1"/>
  <c r="L42" i="56" s="1"/>
  <c r="M42" i="56" s="1"/>
  <c r="B42" i="57" s="1"/>
  <c r="C52" i="55"/>
  <c r="H52" i="50"/>
  <c r="G71" i="2"/>
  <c r="AC71" i="2"/>
  <c r="AD71" i="2" s="1"/>
  <c r="E71" i="2"/>
  <c r="D71" i="2"/>
  <c r="V71" i="2"/>
  <c r="C72" i="2"/>
  <c r="L52" i="46"/>
  <c r="M26" i="21"/>
  <c r="W69" i="2"/>
  <c r="B70" i="2"/>
  <c r="B8" i="22"/>
  <c r="K52" i="47"/>
  <c r="M52" i="45"/>
  <c r="G52" i="51"/>
  <c r="D52" i="54"/>
  <c r="F52" i="52"/>
  <c r="B34" i="22"/>
  <c r="B24" i="22"/>
  <c r="B13" i="22"/>
  <c r="B23" i="22"/>
  <c r="B21" i="22"/>
  <c r="B20" i="22"/>
  <c r="B19" i="22"/>
  <c r="B30" i="22"/>
  <c r="B31" i="22" s="1"/>
  <c r="B18" i="22"/>
  <c r="B12" i="22"/>
  <c r="B39" i="22"/>
  <c r="B17" i="22"/>
  <c r="B11" i="22"/>
  <c r="B38" i="22"/>
  <c r="B16" i="22"/>
  <c r="B10" i="22"/>
  <c r="B15" i="22"/>
  <c r="B25" i="22"/>
  <c r="B14" i="22"/>
  <c r="C6" i="22"/>
  <c r="C8" i="22" s="1"/>
  <c r="D4" i="22"/>
  <c r="DX70" i="2"/>
  <c r="CZ70" i="2"/>
  <c r="CB70" i="2"/>
  <c r="BD70" i="2"/>
  <c r="AH70" i="2"/>
  <c r="DV70" i="2"/>
  <c r="CX70" i="2"/>
  <c r="BZ70" i="2"/>
  <c r="BB70" i="2"/>
  <c r="DT70" i="2"/>
  <c r="CV70" i="2"/>
  <c r="BX70" i="2"/>
  <c r="AZ70" i="2"/>
  <c r="DR70" i="2"/>
  <c r="CT70" i="2"/>
  <c r="BV70" i="2"/>
  <c r="AX70" i="2"/>
  <c r="DP70" i="2"/>
  <c r="CR70" i="2"/>
  <c r="BT70" i="2"/>
  <c r="AV70" i="2"/>
  <c r="DN70" i="2"/>
  <c r="CP70" i="2"/>
  <c r="BR70" i="2"/>
  <c r="AT70" i="2"/>
  <c r="DL70" i="2"/>
  <c r="CN70" i="2"/>
  <c r="BP70" i="2"/>
  <c r="AR70" i="2"/>
  <c r="A70" i="2"/>
  <c r="DJ70" i="2"/>
  <c r="CL70" i="2"/>
  <c r="BN70" i="2"/>
  <c r="AP70" i="2"/>
  <c r="DH70" i="2"/>
  <c r="CJ70" i="2"/>
  <c r="BL70" i="2"/>
  <c r="S70" i="2"/>
  <c r="T70" i="2" s="1"/>
  <c r="DF70" i="2"/>
  <c r="CH70" i="2"/>
  <c r="BJ70" i="2"/>
  <c r="AN70" i="2"/>
  <c r="EB70" i="2"/>
  <c r="DD70" i="2"/>
  <c r="CF70" i="2"/>
  <c r="BH70" i="2"/>
  <c r="AL70" i="2"/>
  <c r="DZ70" i="2"/>
  <c r="DB70" i="2"/>
  <c r="CD70" i="2"/>
  <c r="BF70" i="2"/>
  <c r="AJ70" i="2"/>
  <c r="E52" i="53"/>
  <c r="I52" i="49"/>
  <c r="G41" i="6"/>
  <c r="F42" i="6"/>
  <c r="I39" i="6"/>
  <c r="J38" i="6"/>
  <c r="H40" i="6"/>
  <c r="B7" i="9"/>
  <c r="Q31" i="6"/>
  <c r="E7" i="9"/>
  <c r="L36" i="6"/>
  <c r="P32" i="6"/>
  <c r="N34" i="6"/>
  <c r="K37" i="6"/>
  <c r="E7" i="8"/>
  <c r="M35" i="6"/>
  <c r="O33" i="6"/>
  <c r="B7" i="8"/>
  <c r="P7" i="9" l="1"/>
  <c r="B26" i="22"/>
  <c r="B57" i="22" s="1"/>
  <c r="F44" i="6"/>
  <c r="N26" i="21"/>
  <c r="M57" i="21"/>
  <c r="B52" i="57"/>
  <c r="C42" i="57"/>
  <c r="D42" i="57" s="1"/>
  <c r="E42" i="57" s="1"/>
  <c r="F42" i="57" s="1"/>
  <c r="G42" i="57" s="1"/>
  <c r="H42" i="57" s="1"/>
  <c r="I42" i="57" s="1"/>
  <c r="J42" i="57" s="1"/>
  <c r="K42" i="57" s="1"/>
  <c r="L42" i="57" s="1"/>
  <c r="M42" i="57" s="1"/>
  <c r="B42" i="58" s="1"/>
  <c r="M52" i="46"/>
  <c r="C52" i="56"/>
  <c r="V72" i="2"/>
  <c r="C73" i="2"/>
  <c r="G72" i="2"/>
  <c r="AC72" i="2"/>
  <c r="AD72" i="2" s="1"/>
  <c r="E72" i="2"/>
  <c r="D72" i="2"/>
  <c r="N42" i="56"/>
  <c r="W70" i="2"/>
  <c r="B71" i="2"/>
  <c r="G52" i="52"/>
  <c r="F71" i="2"/>
  <c r="AB71" i="2" s="1"/>
  <c r="K52" i="48"/>
  <c r="C9" i="22"/>
  <c r="E52" i="54"/>
  <c r="D6" i="22"/>
  <c r="D9" i="22" s="1"/>
  <c r="E4" i="22"/>
  <c r="H52" i="51"/>
  <c r="C33" i="22"/>
  <c r="C24" i="22"/>
  <c r="C13" i="22"/>
  <c r="C23" i="22"/>
  <c r="C32" i="22"/>
  <c r="C22" i="22"/>
  <c r="C21" i="22"/>
  <c r="C20" i="22"/>
  <c r="C19" i="22"/>
  <c r="C30" i="22"/>
  <c r="C31" i="22" s="1"/>
  <c r="C18" i="22"/>
  <c r="C12" i="22"/>
  <c r="C39" i="22"/>
  <c r="C17" i="22"/>
  <c r="C11" i="22"/>
  <c r="C38" i="22"/>
  <c r="C16" i="22"/>
  <c r="C10" i="22"/>
  <c r="C15" i="22"/>
  <c r="C25" i="22"/>
  <c r="C14" i="22"/>
  <c r="C34" i="22"/>
  <c r="N52" i="45"/>
  <c r="DH71" i="2"/>
  <c r="CJ71" i="2"/>
  <c r="BL71" i="2"/>
  <c r="AN71" i="2"/>
  <c r="DF71" i="2"/>
  <c r="CH71" i="2"/>
  <c r="BJ71" i="2"/>
  <c r="AL71" i="2"/>
  <c r="EB71" i="2"/>
  <c r="DD71" i="2"/>
  <c r="CF71" i="2"/>
  <c r="BH71" i="2"/>
  <c r="AJ71" i="2"/>
  <c r="DZ71" i="2"/>
  <c r="DB71" i="2"/>
  <c r="CD71" i="2"/>
  <c r="BF71" i="2"/>
  <c r="AH71" i="2"/>
  <c r="DX71" i="2"/>
  <c r="CZ71" i="2"/>
  <c r="CB71" i="2"/>
  <c r="BD71" i="2"/>
  <c r="DV71" i="2"/>
  <c r="CX71" i="2"/>
  <c r="BZ71" i="2"/>
  <c r="BB71" i="2"/>
  <c r="DT71" i="2"/>
  <c r="CV71" i="2"/>
  <c r="BX71" i="2"/>
  <c r="AZ71" i="2"/>
  <c r="DR71" i="2"/>
  <c r="CT71" i="2"/>
  <c r="BV71" i="2"/>
  <c r="AX71" i="2"/>
  <c r="DP71" i="2"/>
  <c r="CR71" i="2"/>
  <c r="BT71" i="2"/>
  <c r="AV71" i="2"/>
  <c r="DN71" i="2"/>
  <c r="CP71" i="2"/>
  <c r="BR71" i="2"/>
  <c r="AT71" i="2"/>
  <c r="A71" i="2"/>
  <c r="DL71" i="2"/>
  <c r="CN71" i="2"/>
  <c r="BP71" i="2"/>
  <c r="AR71" i="2"/>
  <c r="DJ71" i="2"/>
  <c r="CL71" i="2"/>
  <c r="BN71" i="2"/>
  <c r="AP71" i="2"/>
  <c r="S71" i="2"/>
  <c r="T71" i="2" s="1"/>
  <c r="L52" i="47"/>
  <c r="J52" i="49"/>
  <c r="I52" i="50"/>
  <c r="F52" i="53"/>
  <c r="D52" i="55"/>
  <c r="G42" i="6"/>
  <c r="H41" i="6"/>
  <c r="I40" i="6"/>
  <c r="J39" i="6"/>
  <c r="K38" i="6"/>
  <c r="G7" i="10"/>
  <c r="O34" i="6"/>
  <c r="L37" i="6"/>
  <c r="M36" i="6"/>
  <c r="N35" i="6"/>
  <c r="F7" i="3"/>
  <c r="F7" i="4"/>
  <c r="P33" i="6"/>
  <c r="Q32" i="6"/>
  <c r="F7" i="12"/>
  <c r="C26" i="22" l="1"/>
  <c r="C57" i="22" s="1"/>
  <c r="H7" i="12"/>
  <c r="G7" i="12"/>
  <c r="H7" i="3"/>
  <c r="G7" i="3"/>
  <c r="G44" i="6"/>
  <c r="I52" i="51"/>
  <c r="H60" i="21"/>
  <c r="B60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G52" i="53"/>
  <c r="W71" i="2"/>
  <c r="B72" i="2"/>
  <c r="D8" i="22"/>
  <c r="H52" i="52"/>
  <c r="AC73" i="2"/>
  <c r="AD73" i="2" s="1"/>
  <c r="E73" i="2"/>
  <c r="D73" i="2"/>
  <c r="V73" i="2"/>
  <c r="C74" i="2"/>
  <c r="G73" i="2"/>
  <c r="J52" i="50"/>
  <c r="D23" i="22"/>
  <c r="D32" i="22"/>
  <c r="D22" i="22"/>
  <c r="D20" i="22"/>
  <c r="D19" i="22"/>
  <c r="D30" i="22"/>
  <c r="D31" i="22" s="1"/>
  <c r="D18" i="22"/>
  <c r="D39" i="22"/>
  <c r="D17" i="22"/>
  <c r="D11" i="22"/>
  <c r="D38" i="22"/>
  <c r="D16" i="22"/>
  <c r="D10" i="22"/>
  <c r="D15" i="22"/>
  <c r="D25" i="22"/>
  <c r="D14" i="22"/>
  <c r="D34" i="22"/>
  <c r="D33" i="22"/>
  <c r="D24" i="22"/>
  <c r="D13" i="22"/>
  <c r="D21" i="22"/>
  <c r="N52" i="46"/>
  <c r="E6" i="22"/>
  <c r="E9" i="22" s="1"/>
  <c r="F4" i="22"/>
  <c r="F52" i="54"/>
  <c r="F72" i="2"/>
  <c r="AB72" i="2" s="1"/>
  <c r="N42" i="57"/>
  <c r="C42" i="58"/>
  <c r="D42" i="58" s="1"/>
  <c r="E42" i="58" s="1"/>
  <c r="F42" i="58" s="1"/>
  <c r="G42" i="58" s="1"/>
  <c r="H42" i="58" s="1"/>
  <c r="I42" i="58" s="1"/>
  <c r="J42" i="58" s="1"/>
  <c r="K42" i="58" s="1"/>
  <c r="L42" i="58" s="1"/>
  <c r="M42" i="58" s="1"/>
  <c r="B52" i="58"/>
  <c r="K52" i="49"/>
  <c r="E52" i="55"/>
  <c r="C52" i="57"/>
  <c r="D52" i="57" s="1"/>
  <c r="E52" i="57" s="1"/>
  <c r="F52" i="57" s="1"/>
  <c r="G52" i="57" s="1"/>
  <c r="H52" i="57" s="1"/>
  <c r="I52" i="57" s="1"/>
  <c r="J52" i="57" s="1"/>
  <c r="K52" i="57" s="1"/>
  <c r="L52" i="57" s="1"/>
  <c r="M52" i="57" s="1"/>
  <c r="D52" i="56"/>
  <c r="M52" i="47"/>
  <c r="L52" i="48"/>
  <c r="DP72" i="2"/>
  <c r="CR72" i="2"/>
  <c r="BT72" i="2"/>
  <c r="AV72" i="2"/>
  <c r="DN72" i="2"/>
  <c r="CP72" i="2"/>
  <c r="BR72" i="2"/>
  <c r="AT72" i="2"/>
  <c r="A72" i="2"/>
  <c r="DL72" i="2"/>
  <c r="CN72" i="2"/>
  <c r="BP72" i="2"/>
  <c r="AR72" i="2"/>
  <c r="DJ72" i="2"/>
  <c r="CL72" i="2"/>
  <c r="BN72" i="2"/>
  <c r="AP72" i="2"/>
  <c r="S72" i="2"/>
  <c r="T72" i="2" s="1"/>
  <c r="DH72" i="2"/>
  <c r="CJ72" i="2"/>
  <c r="BL72" i="2"/>
  <c r="AN72" i="2"/>
  <c r="DF72" i="2"/>
  <c r="CH72" i="2"/>
  <c r="BJ72" i="2"/>
  <c r="AL72" i="2"/>
  <c r="EB72" i="2"/>
  <c r="DD72" i="2"/>
  <c r="CF72" i="2"/>
  <c r="BH72" i="2"/>
  <c r="AJ72" i="2"/>
  <c r="DZ72" i="2"/>
  <c r="DB72" i="2"/>
  <c r="CD72" i="2"/>
  <c r="BF72" i="2"/>
  <c r="AH72" i="2"/>
  <c r="DX72" i="2"/>
  <c r="CZ72" i="2"/>
  <c r="CB72" i="2"/>
  <c r="BD72" i="2"/>
  <c r="DV72" i="2"/>
  <c r="CX72" i="2"/>
  <c r="BZ72" i="2"/>
  <c r="BB72" i="2"/>
  <c r="DT72" i="2"/>
  <c r="CV72" i="2"/>
  <c r="BX72" i="2"/>
  <c r="AZ72" i="2"/>
  <c r="DR72" i="2"/>
  <c r="CT72" i="2"/>
  <c r="BV72" i="2"/>
  <c r="AX72" i="2"/>
  <c r="N57" i="21"/>
  <c r="I41" i="6"/>
  <c r="H42" i="6"/>
  <c r="J40" i="6"/>
  <c r="K39" i="6"/>
  <c r="L38" i="6"/>
  <c r="P34" i="6"/>
  <c r="C7" i="10"/>
  <c r="J7" i="4"/>
  <c r="Q33" i="6"/>
  <c r="K7" i="4"/>
  <c r="F7" i="10"/>
  <c r="H7" i="4"/>
  <c r="G7" i="4"/>
  <c r="O35" i="6"/>
  <c r="I7" i="4"/>
  <c r="M37" i="6"/>
  <c r="B7" i="4"/>
  <c r="N36" i="6"/>
  <c r="E7" i="3"/>
  <c r="O7" i="3"/>
  <c r="E7" i="12"/>
  <c r="E7" i="4"/>
  <c r="B7" i="3"/>
  <c r="B7" i="12"/>
  <c r="F73" i="2" l="1"/>
  <c r="AB73" i="2" s="1"/>
  <c r="N52" i="57"/>
  <c r="D26" i="22"/>
  <c r="D57" i="22" s="1"/>
  <c r="H44" i="6"/>
  <c r="C7" i="4"/>
  <c r="E7" i="6"/>
  <c r="E7" i="5"/>
  <c r="E7" i="7"/>
  <c r="O7" i="4"/>
  <c r="P7" i="4" s="1"/>
  <c r="B7" i="6"/>
  <c r="B7" i="5"/>
  <c r="C7" i="3"/>
  <c r="B7" i="7"/>
  <c r="M52" i="48"/>
  <c r="N42" i="58"/>
  <c r="W72" i="2"/>
  <c r="B73" i="2"/>
  <c r="K28" i="21"/>
  <c r="K58" i="21" s="1"/>
  <c r="K59" i="21" s="1"/>
  <c r="I28" i="21"/>
  <c r="I58" i="21" s="1"/>
  <c r="I59" i="21" s="1"/>
  <c r="H28" i="21"/>
  <c r="H58" i="21" s="1"/>
  <c r="H59" i="21" s="1"/>
  <c r="E52" i="56"/>
  <c r="G28" i="21"/>
  <c r="G58" i="21" s="1"/>
  <c r="G59" i="21" s="1"/>
  <c r="J52" i="51"/>
  <c r="I52" i="52"/>
  <c r="F28" i="21"/>
  <c r="F58" i="21" s="1"/>
  <c r="F59" i="21" s="1"/>
  <c r="E28" i="21"/>
  <c r="E58" i="21" s="1"/>
  <c r="E59" i="21" s="1"/>
  <c r="G52" i="54"/>
  <c r="D28" i="21"/>
  <c r="F6" i="22"/>
  <c r="G4" i="22"/>
  <c r="C28" i="21"/>
  <c r="C58" i="21" s="1"/>
  <c r="C59" i="21" s="1"/>
  <c r="J28" i="21"/>
  <c r="J58" i="21" s="1"/>
  <c r="J59" i="21" s="1"/>
  <c r="E32" i="22"/>
  <c r="E22" i="22"/>
  <c r="E20" i="22"/>
  <c r="E19" i="22"/>
  <c r="E30" i="22"/>
  <c r="E31" i="22" s="1"/>
  <c r="E18" i="22"/>
  <c r="E39" i="22"/>
  <c r="E17" i="22"/>
  <c r="E11" i="22"/>
  <c r="E38" i="22"/>
  <c r="E16" i="22"/>
  <c r="E10" i="22"/>
  <c r="E15" i="22"/>
  <c r="E25" i="22"/>
  <c r="E14" i="22"/>
  <c r="E34" i="22"/>
  <c r="E33" i="22"/>
  <c r="E24" i="22"/>
  <c r="E13" i="22"/>
  <c r="E23" i="22"/>
  <c r="E21" i="22"/>
  <c r="K52" i="50"/>
  <c r="N27" i="21"/>
  <c r="B28" i="21"/>
  <c r="B58" i="21" s="1"/>
  <c r="N52" i="47"/>
  <c r="F52" i="55"/>
  <c r="H52" i="53"/>
  <c r="L52" i="49"/>
  <c r="DX73" i="2"/>
  <c r="CZ73" i="2"/>
  <c r="CB73" i="2"/>
  <c r="BD73" i="2"/>
  <c r="DV73" i="2"/>
  <c r="CX73" i="2"/>
  <c r="BZ73" i="2"/>
  <c r="BB73" i="2"/>
  <c r="DT73" i="2"/>
  <c r="CV73" i="2"/>
  <c r="BX73" i="2"/>
  <c r="AZ73" i="2"/>
  <c r="DR73" i="2"/>
  <c r="CT73" i="2"/>
  <c r="BV73" i="2"/>
  <c r="AX73" i="2"/>
  <c r="DP73" i="2"/>
  <c r="CR73" i="2"/>
  <c r="BT73" i="2"/>
  <c r="AV73" i="2"/>
  <c r="DN73" i="2"/>
  <c r="CP73" i="2"/>
  <c r="BR73" i="2"/>
  <c r="AT73" i="2"/>
  <c r="A73" i="2"/>
  <c r="DL73" i="2"/>
  <c r="CN73" i="2"/>
  <c r="BP73" i="2"/>
  <c r="AR73" i="2"/>
  <c r="DJ73" i="2"/>
  <c r="CL73" i="2"/>
  <c r="BN73" i="2"/>
  <c r="AP73" i="2"/>
  <c r="S73" i="2"/>
  <c r="T73" i="2" s="1"/>
  <c r="DH73" i="2"/>
  <c r="CJ73" i="2"/>
  <c r="BL73" i="2"/>
  <c r="AN73" i="2"/>
  <c r="DF73" i="2"/>
  <c r="CH73" i="2"/>
  <c r="BJ73" i="2"/>
  <c r="AL73" i="2"/>
  <c r="EB73" i="2"/>
  <c r="DD73" i="2"/>
  <c r="CF73" i="2"/>
  <c r="BH73" i="2"/>
  <c r="AJ73" i="2"/>
  <c r="DZ73" i="2"/>
  <c r="DB73" i="2"/>
  <c r="CD73" i="2"/>
  <c r="BF73" i="2"/>
  <c r="AH73" i="2"/>
  <c r="M28" i="21"/>
  <c r="M58" i="21" s="1"/>
  <c r="M59" i="21" s="1"/>
  <c r="C52" i="58"/>
  <c r="D52" i="58" s="1"/>
  <c r="E52" i="58" s="1"/>
  <c r="F52" i="58" s="1"/>
  <c r="G52" i="58" s="1"/>
  <c r="H52" i="58" s="1"/>
  <c r="I52" i="58" s="1"/>
  <c r="J52" i="58" s="1"/>
  <c r="K52" i="58" s="1"/>
  <c r="L52" i="58" s="1"/>
  <c r="M52" i="58" s="1"/>
  <c r="E8" i="22"/>
  <c r="G74" i="2"/>
  <c r="AC74" i="2"/>
  <c r="AD74" i="2" s="1"/>
  <c r="E74" i="2"/>
  <c r="D74" i="2"/>
  <c r="V74" i="2"/>
  <c r="C75" i="2"/>
  <c r="L28" i="21"/>
  <c r="L58" i="21" s="1"/>
  <c r="L59" i="21" s="1"/>
  <c r="J41" i="6"/>
  <c r="I42" i="6"/>
  <c r="L39" i="6"/>
  <c r="M38" i="6"/>
  <c r="K40" i="6"/>
  <c r="Q34" i="6"/>
  <c r="P35" i="6"/>
  <c r="H7" i="10"/>
  <c r="N37" i="6"/>
  <c r="O36" i="6"/>
  <c r="F74" i="2" l="1"/>
  <c r="AB74" i="2" s="1"/>
  <c r="I44" i="6"/>
  <c r="J7" i="10"/>
  <c r="I7" i="10"/>
  <c r="N7" i="11"/>
  <c r="N28" i="21"/>
  <c r="D58" i="21"/>
  <c r="D59" i="21" s="1"/>
  <c r="E26" i="22"/>
  <c r="J52" i="52"/>
  <c r="DH74" i="2"/>
  <c r="CJ74" i="2"/>
  <c r="BL74" i="2"/>
  <c r="AN74" i="2"/>
  <c r="DF74" i="2"/>
  <c r="CH74" i="2"/>
  <c r="BJ74" i="2"/>
  <c r="AL74" i="2"/>
  <c r="EB74" i="2"/>
  <c r="DD74" i="2"/>
  <c r="CF74" i="2"/>
  <c r="BH74" i="2"/>
  <c r="AJ74" i="2"/>
  <c r="DZ74" i="2"/>
  <c r="DB74" i="2"/>
  <c r="CD74" i="2"/>
  <c r="BF74" i="2"/>
  <c r="AH74" i="2"/>
  <c r="DX74" i="2"/>
  <c r="CZ74" i="2"/>
  <c r="CB74" i="2"/>
  <c r="BD74" i="2"/>
  <c r="DV74" i="2"/>
  <c r="CX74" i="2"/>
  <c r="BZ74" i="2"/>
  <c r="BB74" i="2"/>
  <c r="DT74" i="2"/>
  <c r="CV74" i="2"/>
  <c r="BX74" i="2"/>
  <c r="AZ74" i="2"/>
  <c r="DR74" i="2"/>
  <c r="CT74" i="2"/>
  <c r="BV74" i="2"/>
  <c r="AX74" i="2"/>
  <c r="DP74" i="2"/>
  <c r="CR74" i="2"/>
  <c r="BT74" i="2"/>
  <c r="AV74" i="2"/>
  <c r="DN74" i="2"/>
  <c r="CP74" i="2"/>
  <c r="BR74" i="2"/>
  <c r="AT74" i="2"/>
  <c r="A74" i="2"/>
  <c r="DL74" i="2"/>
  <c r="CN74" i="2"/>
  <c r="BP74" i="2"/>
  <c r="AR74" i="2"/>
  <c r="DJ74" i="2"/>
  <c r="CL74" i="2"/>
  <c r="BN74" i="2"/>
  <c r="AP74" i="2"/>
  <c r="S74" i="2"/>
  <c r="T74" i="2" s="1"/>
  <c r="L52" i="50"/>
  <c r="K52" i="51"/>
  <c r="W73" i="2"/>
  <c r="B74" i="2"/>
  <c r="G6" i="22"/>
  <c r="G9" i="22" s="1"/>
  <c r="H4" i="22"/>
  <c r="F20" i="22"/>
  <c r="F19" i="22"/>
  <c r="F30" i="22"/>
  <c r="F31" i="22" s="1"/>
  <c r="F18" i="22"/>
  <c r="F39" i="22"/>
  <c r="F17" i="22"/>
  <c r="F11" i="22"/>
  <c r="F38" i="22"/>
  <c r="F16" i="22"/>
  <c r="F10" i="22"/>
  <c r="F15" i="22"/>
  <c r="F25" i="22"/>
  <c r="F14" i="22"/>
  <c r="F34" i="22"/>
  <c r="F33" i="22"/>
  <c r="F24" i="22"/>
  <c r="F13" i="22"/>
  <c r="F23" i="22"/>
  <c r="F22" i="22"/>
  <c r="F32" i="22"/>
  <c r="F21" i="22"/>
  <c r="D7" i="11"/>
  <c r="M7" i="11" s="1"/>
  <c r="D7" i="5"/>
  <c r="D7" i="6" s="1"/>
  <c r="B59" i="21"/>
  <c r="M52" i="49"/>
  <c r="N52" i="58"/>
  <c r="I52" i="53"/>
  <c r="F8" i="22"/>
  <c r="F52" i="56"/>
  <c r="G52" i="55"/>
  <c r="F9" i="22"/>
  <c r="H52" i="54"/>
  <c r="N52" i="48"/>
  <c r="V75" i="2"/>
  <c r="C76" i="2"/>
  <c r="G75" i="2"/>
  <c r="AC75" i="2"/>
  <c r="AD75" i="2" s="1"/>
  <c r="E75" i="2"/>
  <c r="D75" i="2"/>
  <c r="F75" i="2" s="1"/>
  <c r="AB75" i="2" s="1"/>
  <c r="K41" i="6"/>
  <c r="J42" i="6"/>
  <c r="N38" i="6"/>
  <c r="M39" i="6"/>
  <c r="L40" i="6"/>
  <c r="P36" i="6"/>
  <c r="O37" i="6"/>
  <c r="Q35" i="6"/>
  <c r="N58" i="21" l="1"/>
  <c r="N59" i="21" s="1"/>
  <c r="F60" i="21" s="1"/>
  <c r="G60" i="21" s="1"/>
  <c r="L7" i="11"/>
  <c r="K7" i="11"/>
  <c r="J7" i="11"/>
  <c r="F26" i="22"/>
  <c r="F57" i="22" s="1"/>
  <c r="J44" i="6"/>
  <c r="M52" i="50"/>
  <c r="N52" i="49"/>
  <c r="H6" i="22"/>
  <c r="I4" i="22"/>
  <c r="K52" i="52"/>
  <c r="I52" i="54"/>
  <c r="H52" i="55"/>
  <c r="E57" i="22"/>
  <c r="AC76" i="2"/>
  <c r="AD76" i="2" s="1"/>
  <c r="E76" i="2"/>
  <c r="D76" i="2"/>
  <c r="V76" i="2"/>
  <c r="C77" i="2"/>
  <c r="G76" i="2"/>
  <c r="G8" i="22"/>
  <c r="D7" i="7"/>
  <c r="D7" i="8" s="1"/>
  <c r="D7" i="9" s="1"/>
  <c r="D7" i="10" s="1"/>
  <c r="C7" i="12" s="1"/>
  <c r="R7" i="6"/>
  <c r="DP75" i="2"/>
  <c r="CR75" i="2"/>
  <c r="BT75" i="2"/>
  <c r="AV75" i="2"/>
  <c r="DN75" i="2"/>
  <c r="CP75" i="2"/>
  <c r="BR75" i="2"/>
  <c r="AT75" i="2"/>
  <c r="A75" i="2"/>
  <c r="DL75" i="2"/>
  <c r="CN75" i="2"/>
  <c r="BP75" i="2"/>
  <c r="AR75" i="2"/>
  <c r="DJ75" i="2"/>
  <c r="CL75" i="2"/>
  <c r="BN75" i="2"/>
  <c r="AP75" i="2"/>
  <c r="S75" i="2"/>
  <c r="T75" i="2" s="1"/>
  <c r="DH75" i="2"/>
  <c r="CJ75" i="2"/>
  <c r="BL75" i="2"/>
  <c r="AN75" i="2"/>
  <c r="DF75" i="2"/>
  <c r="CH75" i="2"/>
  <c r="BJ75" i="2"/>
  <c r="AL75" i="2"/>
  <c r="EB75" i="2"/>
  <c r="DD75" i="2"/>
  <c r="CF75" i="2"/>
  <c r="BH75" i="2"/>
  <c r="AJ75" i="2"/>
  <c r="DZ75" i="2"/>
  <c r="DB75" i="2"/>
  <c r="CD75" i="2"/>
  <c r="BF75" i="2"/>
  <c r="AH75" i="2"/>
  <c r="DX75" i="2"/>
  <c r="CZ75" i="2"/>
  <c r="CB75" i="2"/>
  <c r="BD75" i="2"/>
  <c r="DV75" i="2"/>
  <c r="CX75" i="2"/>
  <c r="BZ75" i="2"/>
  <c r="BB75" i="2"/>
  <c r="DT75" i="2"/>
  <c r="CV75" i="2"/>
  <c r="BX75" i="2"/>
  <c r="AZ75" i="2"/>
  <c r="DR75" i="2"/>
  <c r="CT75" i="2"/>
  <c r="BV75" i="2"/>
  <c r="AX75" i="2"/>
  <c r="W74" i="2"/>
  <c r="B75" i="2"/>
  <c r="G52" i="56"/>
  <c r="G19" i="22"/>
  <c r="G30" i="22"/>
  <c r="G31" i="22" s="1"/>
  <c r="G18" i="22"/>
  <c r="G39" i="22"/>
  <c r="G17" i="22"/>
  <c r="G11" i="22"/>
  <c r="G38" i="22"/>
  <c r="G16" i="22"/>
  <c r="G10" i="22"/>
  <c r="G15" i="22"/>
  <c r="G25" i="22"/>
  <c r="G14" i="22"/>
  <c r="G34" i="22"/>
  <c r="G33" i="22"/>
  <c r="G24" i="22"/>
  <c r="G13" i="22"/>
  <c r="G23" i="22"/>
  <c r="G32" i="22"/>
  <c r="G22" i="22"/>
  <c r="G20" i="22"/>
  <c r="G21" i="22"/>
  <c r="K7" i="10"/>
  <c r="J52" i="53"/>
  <c r="L52" i="51"/>
  <c r="K42" i="6"/>
  <c r="L41" i="6"/>
  <c r="N39" i="6"/>
  <c r="M40" i="6"/>
  <c r="O38" i="6"/>
  <c r="P37" i="6"/>
  <c r="Q36" i="6"/>
  <c r="I60" i="21" l="1"/>
  <c r="H9" i="22"/>
  <c r="H7" i="22"/>
  <c r="N7" i="22" s="1"/>
  <c r="G7" i="11"/>
  <c r="H7" i="11" s="1"/>
  <c r="G26" i="22"/>
  <c r="G57" i="22" s="1"/>
  <c r="K44" i="6"/>
  <c r="N52" i="50"/>
  <c r="DX76" i="2"/>
  <c r="CZ76" i="2"/>
  <c r="CB76" i="2"/>
  <c r="BD76" i="2"/>
  <c r="DV76" i="2"/>
  <c r="CX76" i="2"/>
  <c r="BZ76" i="2"/>
  <c r="BB76" i="2"/>
  <c r="DT76" i="2"/>
  <c r="CV76" i="2"/>
  <c r="BX76" i="2"/>
  <c r="AZ76" i="2"/>
  <c r="DR76" i="2"/>
  <c r="CT76" i="2"/>
  <c r="BV76" i="2"/>
  <c r="AX76" i="2"/>
  <c r="DP76" i="2"/>
  <c r="CR76" i="2"/>
  <c r="BT76" i="2"/>
  <c r="AV76" i="2"/>
  <c r="DN76" i="2"/>
  <c r="CP76" i="2"/>
  <c r="BR76" i="2"/>
  <c r="AT76" i="2"/>
  <c r="A76" i="2"/>
  <c r="DL76" i="2"/>
  <c r="CN76" i="2"/>
  <c r="BP76" i="2"/>
  <c r="AR76" i="2"/>
  <c r="DJ76" i="2"/>
  <c r="CL76" i="2"/>
  <c r="BN76" i="2"/>
  <c r="AP76" i="2"/>
  <c r="S76" i="2"/>
  <c r="T76" i="2" s="1"/>
  <c r="DH76" i="2"/>
  <c r="CJ76" i="2"/>
  <c r="BL76" i="2"/>
  <c r="AN76" i="2"/>
  <c r="DF76" i="2"/>
  <c r="CH76" i="2"/>
  <c r="BJ76" i="2"/>
  <c r="AL76" i="2"/>
  <c r="EB76" i="2"/>
  <c r="DD76" i="2"/>
  <c r="CF76" i="2"/>
  <c r="BH76" i="2"/>
  <c r="AJ76" i="2"/>
  <c r="DZ76" i="2"/>
  <c r="DB76" i="2"/>
  <c r="CD76" i="2"/>
  <c r="BF76" i="2"/>
  <c r="AH76" i="2"/>
  <c r="I52" i="55"/>
  <c r="G77" i="2"/>
  <c r="AC77" i="2"/>
  <c r="AD77" i="2" s="1"/>
  <c r="E77" i="2"/>
  <c r="D77" i="2"/>
  <c r="V77" i="2"/>
  <c r="C78" i="2"/>
  <c r="J52" i="54"/>
  <c r="H52" i="56"/>
  <c r="W75" i="2"/>
  <c r="B76" i="2"/>
  <c r="L52" i="52"/>
  <c r="M52" i="51"/>
  <c r="F76" i="2"/>
  <c r="AB76" i="2" s="1"/>
  <c r="I6" i="22"/>
  <c r="J4" i="22"/>
  <c r="H30" i="22"/>
  <c r="H31" i="22" s="1"/>
  <c r="H18" i="22"/>
  <c r="H39" i="22"/>
  <c r="H17" i="22"/>
  <c r="H11" i="22"/>
  <c r="H38" i="22"/>
  <c r="H16" i="22"/>
  <c r="H10" i="22"/>
  <c r="H15" i="22"/>
  <c r="H25" i="22"/>
  <c r="H14" i="22"/>
  <c r="H34" i="22"/>
  <c r="H33" i="22"/>
  <c r="H24" i="22"/>
  <c r="H13" i="22"/>
  <c r="H23" i="22"/>
  <c r="H32" i="22"/>
  <c r="H22" i="22"/>
  <c r="H20" i="22"/>
  <c r="H19" i="22"/>
  <c r="H21" i="22"/>
  <c r="K52" i="53"/>
  <c r="H8" i="22"/>
  <c r="L42" i="6"/>
  <c r="M41" i="6"/>
  <c r="N40" i="6"/>
  <c r="P38" i="6"/>
  <c r="O39" i="6"/>
  <c r="Q37" i="6"/>
  <c r="F77" i="2" l="1"/>
  <c r="AB77" i="2" s="1"/>
  <c r="C7" i="11"/>
  <c r="E7" i="11" s="1"/>
  <c r="L44" i="6"/>
  <c r="J52" i="55"/>
  <c r="I52" i="56"/>
  <c r="H26" i="22"/>
  <c r="J6" i="22"/>
  <c r="K4" i="22"/>
  <c r="I39" i="22"/>
  <c r="I17" i="22"/>
  <c r="I11" i="22"/>
  <c r="I38" i="22"/>
  <c r="I16" i="22"/>
  <c r="I10" i="22"/>
  <c r="I15" i="22"/>
  <c r="I25" i="22"/>
  <c r="I14" i="22"/>
  <c r="I34" i="22"/>
  <c r="I33" i="22"/>
  <c r="I24" i="22"/>
  <c r="I13" i="22"/>
  <c r="I23" i="22"/>
  <c r="I32" i="22"/>
  <c r="I22" i="22"/>
  <c r="I20" i="22"/>
  <c r="I19" i="22"/>
  <c r="I30" i="22"/>
  <c r="I31" i="22" s="1"/>
  <c r="I18" i="22"/>
  <c r="I21" i="22"/>
  <c r="K52" i="54"/>
  <c r="V78" i="2"/>
  <c r="C79" i="2"/>
  <c r="G78" i="2"/>
  <c r="AC78" i="2"/>
  <c r="AD78" i="2" s="1"/>
  <c r="E78" i="2"/>
  <c r="D78" i="2"/>
  <c r="W76" i="2"/>
  <c r="B77" i="2"/>
  <c r="I8" i="22"/>
  <c r="I9" i="22"/>
  <c r="L52" i="53"/>
  <c r="N52" i="51"/>
  <c r="M52" i="52"/>
  <c r="DH77" i="2"/>
  <c r="CJ77" i="2"/>
  <c r="BL77" i="2"/>
  <c r="AN77" i="2"/>
  <c r="DF77" i="2"/>
  <c r="CH77" i="2"/>
  <c r="BJ77" i="2"/>
  <c r="AL77" i="2"/>
  <c r="EB77" i="2"/>
  <c r="DD77" i="2"/>
  <c r="CF77" i="2"/>
  <c r="BH77" i="2"/>
  <c r="AJ77" i="2"/>
  <c r="DZ77" i="2"/>
  <c r="DB77" i="2"/>
  <c r="CD77" i="2"/>
  <c r="BF77" i="2"/>
  <c r="AH77" i="2"/>
  <c r="DX77" i="2"/>
  <c r="CZ77" i="2"/>
  <c r="CB77" i="2"/>
  <c r="BD77" i="2"/>
  <c r="DV77" i="2"/>
  <c r="CX77" i="2"/>
  <c r="BZ77" i="2"/>
  <c r="BB77" i="2"/>
  <c r="DT77" i="2"/>
  <c r="CV77" i="2"/>
  <c r="BX77" i="2"/>
  <c r="AZ77" i="2"/>
  <c r="DR77" i="2"/>
  <c r="CT77" i="2"/>
  <c r="BV77" i="2"/>
  <c r="AX77" i="2"/>
  <c r="DP77" i="2"/>
  <c r="CR77" i="2"/>
  <c r="BT77" i="2"/>
  <c r="AV77" i="2"/>
  <c r="DN77" i="2"/>
  <c r="CP77" i="2"/>
  <c r="BR77" i="2"/>
  <c r="AT77" i="2"/>
  <c r="A77" i="2"/>
  <c r="DL77" i="2"/>
  <c r="CN77" i="2"/>
  <c r="BP77" i="2"/>
  <c r="AR77" i="2"/>
  <c r="DJ77" i="2"/>
  <c r="CL77" i="2"/>
  <c r="BN77" i="2"/>
  <c r="AP77" i="2"/>
  <c r="S77" i="2"/>
  <c r="T77" i="2" s="1"/>
  <c r="N41" i="6"/>
  <c r="M42" i="6"/>
  <c r="Q38" i="6"/>
  <c r="P39" i="6"/>
  <c r="O40" i="6"/>
  <c r="I26" i="22" l="1"/>
  <c r="I57" i="22" s="1"/>
  <c r="M44" i="6"/>
  <c r="F78" i="2"/>
  <c r="AB78" i="2" s="1"/>
  <c r="K6" i="22"/>
  <c r="L4" i="22"/>
  <c r="J38" i="22"/>
  <c r="J16" i="22"/>
  <c r="J10" i="22"/>
  <c r="J15" i="22"/>
  <c r="J25" i="22"/>
  <c r="J14" i="22"/>
  <c r="J34" i="22"/>
  <c r="J12" i="22"/>
  <c r="J33" i="22"/>
  <c r="J24" i="22"/>
  <c r="J13" i="22"/>
  <c r="J23" i="22"/>
  <c r="J32" i="22"/>
  <c r="J22" i="22"/>
  <c r="J20" i="22"/>
  <c r="J19" i="22"/>
  <c r="J30" i="22"/>
  <c r="J31" i="22" s="1"/>
  <c r="J18" i="22"/>
  <c r="J17" i="22"/>
  <c r="J39" i="22"/>
  <c r="J11" i="22"/>
  <c r="J21" i="22"/>
  <c r="DP78" i="2"/>
  <c r="CR78" i="2"/>
  <c r="BT78" i="2"/>
  <c r="AV78" i="2"/>
  <c r="DN78" i="2"/>
  <c r="CP78" i="2"/>
  <c r="BR78" i="2"/>
  <c r="AT78" i="2"/>
  <c r="A78" i="2"/>
  <c r="DL78" i="2"/>
  <c r="CN78" i="2"/>
  <c r="BP78" i="2"/>
  <c r="AR78" i="2"/>
  <c r="DJ78" i="2"/>
  <c r="CL78" i="2"/>
  <c r="BN78" i="2"/>
  <c r="AP78" i="2"/>
  <c r="S78" i="2"/>
  <c r="T78" i="2" s="1"/>
  <c r="DH78" i="2"/>
  <c r="CJ78" i="2"/>
  <c r="BL78" i="2"/>
  <c r="AN78" i="2"/>
  <c r="DF78" i="2"/>
  <c r="CH78" i="2"/>
  <c r="BJ78" i="2"/>
  <c r="AL78" i="2"/>
  <c r="EB78" i="2"/>
  <c r="DD78" i="2"/>
  <c r="CF78" i="2"/>
  <c r="BH78" i="2"/>
  <c r="AJ78" i="2"/>
  <c r="DZ78" i="2"/>
  <c r="DB78" i="2"/>
  <c r="CD78" i="2"/>
  <c r="BF78" i="2"/>
  <c r="AH78" i="2"/>
  <c r="DX78" i="2"/>
  <c r="CZ78" i="2"/>
  <c r="CB78" i="2"/>
  <c r="BD78" i="2"/>
  <c r="DV78" i="2"/>
  <c r="CX78" i="2"/>
  <c r="BZ78" i="2"/>
  <c r="BB78" i="2"/>
  <c r="DT78" i="2"/>
  <c r="CV78" i="2"/>
  <c r="BX78" i="2"/>
  <c r="AZ78" i="2"/>
  <c r="DR78" i="2"/>
  <c r="CT78" i="2"/>
  <c r="BV78" i="2"/>
  <c r="AX78" i="2"/>
  <c r="J8" i="22"/>
  <c r="N52" i="52"/>
  <c r="AC79" i="2"/>
  <c r="AD79" i="2" s="1"/>
  <c r="E79" i="2"/>
  <c r="D79" i="2"/>
  <c r="F79" i="2" s="1"/>
  <c r="AB79" i="2" s="1"/>
  <c r="V79" i="2"/>
  <c r="C80" i="2"/>
  <c r="G79" i="2"/>
  <c r="J9" i="22"/>
  <c r="W77" i="2"/>
  <c r="B78" i="2"/>
  <c r="H57" i="22"/>
  <c r="M52" i="53"/>
  <c r="L52" i="54"/>
  <c r="J52" i="56"/>
  <c r="K52" i="55"/>
  <c r="N42" i="6"/>
  <c r="O41" i="6"/>
  <c r="Q39" i="6"/>
  <c r="P40" i="6"/>
  <c r="J26" i="22" l="1"/>
  <c r="J57" i="22" s="1"/>
  <c r="N44" i="6"/>
  <c r="M52" i="54"/>
  <c r="L6" i="22"/>
  <c r="L9" i="22" s="1"/>
  <c r="M4" i="22"/>
  <c r="K15" i="22"/>
  <c r="K25" i="22"/>
  <c r="K14" i="22"/>
  <c r="K34" i="22"/>
  <c r="K12" i="22"/>
  <c r="N12" i="22" s="1"/>
  <c r="K33" i="22"/>
  <c r="K24" i="22"/>
  <c r="K13" i="22"/>
  <c r="K23" i="22"/>
  <c r="K32" i="22"/>
  <c r="K22" i="22"/>
  <c r="K20" i="22"/>
  <c r="K19" i="22"/>
  <c r="K30" i="22"/>
  <c r="K31" i="22" s="1"/>
  <c r="K18" i="22"/>
  <c r="K39" i="22"/>
  <c r="K17" i="22"/>
  <c r="K11" i="22"/>
  <c r="K10" i="22"/>
  <c r="K16" i="22"/>
  <c r="K38" i="22"/>
  <c r="K21" i="22"/>
  <c r="K52" i="56"/>
  <c r="K8" i="22"/>
  <c r="K9" i="22"/>
  <c r="DX79" i="2"/>
  <c r="CZ79" i="2"/>
  <c r="CB79" i="2"/>
  <c r="BD79" i="2"/>
  <c r="DV79" i="2"/>
  <c r="CX79" i="2"/>
  <c r="BZ79" i="2"/>
  <c r="BB79" i="2"/>
  <c r="DT79" i="2"/>
  <c r="CV79" i="2"/>
  <c r="BX79" i="2"/>
  <c r="AZ79" i="2"/>
  <c r="DR79" i="2"/>
  <c r="CT79" i="2"/>
  <c r="BV79" i="2"/>
  <c r="AX79" i="2"/>
  <c r="DP79" i="2"/>
  <c r="CR79" i="2"/>
  <c r="BT79" i="2"/>
  <c r="AV79" i="2"/>
  <c r="DN79" i="2"/>
  <c r="CP79" i="2"/>
  <c r="BR79" i="2"/>
  <c r="AT79" i="2"/>
  <c r="A79" i="2"/>
  <c r="DL79" i="2"/>
  <c r="CN79" i="2"/>
  <c r="BP79" i="2"/>
  <c r="AR79" i="2"/>
  <c r="DJ79" i="2"/>
  <c r="CL79" i="2"/>
  <c r="BN79" i="2"/>
  <c r="AP79" i="2"/>
  <c r="S79" i="2"/>
  <c r="T79" i="2" s="1"/>
  <c r="DH79" i="2"/>
  <c r="CJ79" i="2"/>
  <c r="BL79" i="2"/>
  <c r="AN79" i="2"/>
  <c r="DF79" i="2"/>
  <c r="CH79" i="2"/>
  <c r="BJ79" i="2"/>
  <c r="AL79" i="2"/>
  <c r="EB79" i="2"/>
  <c r="DD79" i="2"/>
  <c r="CF79" i="2"/>
  <c r="BH79" i="2"/>
  <c r="AJ79" i="2"/>
  <c r="DZ79" i="2"/>
  <c r="DB79" i="2"/>
  <c r="CD79" i="2"/>
  <c r="BF79" i="2"/>
  <c r="AH79" i="2"/>
  <c r="G80" i="2"/>
  <c r="AC80" i="2"/>
  <c r="AD80" i="2" s="1"/>
  <c r="E80" i="2"/>
  <c r="D80" i="2"/>
  <c r="F80" i="2" s="1"/>
  <c r="AB80" i="2" s="1"/>
  <c r="V80" i="2"/>
  <c r="C81" i="2"/>
  <c r="N52" i="53"/>
  <c r="L52" i="55"/>
  <c r="W78" i="2"/>
  <c r="B79" i="2"/>
  <c r="P41" i="6"/>
  <c r="O42" i="6"/>
  <c r="Q40" i="6"/>
  <c r="I8" i="9"/>
  <c r="H8" i="9"/>
  <c r="K26" i="22" l="1"/>
  <c r="K57" i="22" s="1"/>
  <c r="O44" i="6"/>
  <c r="B4" i="23"/>
  <c r="M6" i="22"/>
  <c r="M9" i="22" s="1"/>
  <c r="N9" i="22" s="1"/>
  <c r="L25" i="22"/>
  <c r="L14" i="22"/>
  <c r="L34" i="22"/>
  <c r="L33" i="22"/>
  <c r="L24" i="22"/>
  <c r="L13" i="22"/>
  <c r="L23" i="22"/>
  <c r="L32" i="22"/>
  <c r="L22" i="22"/>
  <c r="L20" i="22"/>
  <c r="L19" i="22"/>
  <c r="L30" i="22"/>
  <c r="L31" i="22" s="1"/>
  <c r="L18" i="22"/>
  <c r="L39" i="22"/>
  <c r="L17" i="22"/>
  <c r="L11" i="22"/>
  <c r="L38" i="22"/>
  <c r="L16" i="22"/>
  <c r="L10" i="22"/>
  <c r="L15" i="22"/>
  <c r="L21" i="22"/>
  <c r="M52" i="55"/>
  <c r="W79" i="2"/>
  <c r="B80" i="2"/>
  <c r="L8" i="22"/>
  <c r="L52" i="56"/>
  <c r="N52" i="54"/>
  <c r="C82" i="2"/>
  <c r="V81" i="2"/>
  <c r="AC81" i="2"/>
  <c r="AD81" i="2" s="1"/>
  <c r="G81" i="2"/>
  <c r="E81" i="2"/>
  <c r="D81" i="2"/>
  <c r="DH80" i="2"/>
  <c r="CJ80" i="2"/>
  <c r="BL80" i="2"/>
  <c r="AN80" i="2"/>
  <c r="DF80" i="2"/>
  <c r="CH80" i="2"/>
  <c r="BJ80" i="2"/>
  <c r="AL80" i="2"/>
  <c r="EB80" i="2"/>
  <c r="DD80" i="2"/>
  <c r="CF80" i="2"/>
  <c r="BH80" i="2"/>
  <c r="AJ80" i="2"/>
  <c r="DZ80" i="2"/>
  <c r="DB80" i="2"/>
  <c r="CD80" i="2"/>
  <c r="BF80" i="2"/>
  <c r="AH80" i="2"/>
  <c r="DX80" i="2"/>
  <c r="CZ80" i="2"/>
  <c r="CB80" i="2"/>
  <c r="BD80" i="2"/>
  <c r="DV80" i="2"/>
  <c r="CX80" i="2"/>
  <c r="BZ80" i="2"/>
  <c r="BB80" i="2"/>
  <c r="DT80" i="2"/>
  <c r="CV80" i="2"/>
  <c r="BX80" i="2"/>
  <c r="AZ80" i="2"/>
  <c r="DR80" i="2"/>
  <c r="CT80" i="2"/>
  <c r="BV80" i="2"/>
  <c r="AX80" i="2"/>
  <c r="DP80" i="2"/>
  <c r="CR80" i="2"/>
  <c r="BT80" i="2"/>
  <c r="AV80" i="2"/>
  <c r="DN80" i="2"/>
  <c r="CP80" i="2"/>
  <c r="BR80" i="2"/>
  <c r="AT80" i="2"/>
  <c r="A80" i="2"/>
  <c r="DL80" i="2"/>
  <c r="CN80" i="2"/>
  <c r="BP80" i="2"/>
  <c r="AR80" i="2"/>
  <c r="DJ80" i="2"/>
  <c r="CL80" i="2"/>
  <c r="BN80" i="2"/>
  <c r="AP80" i="2"/>
  <c r="S80" i="2"/>
  <c r="T80" i="2" s="1"/>
  <c r="Q41" i="6"/>
  <c r="P42" i="6"/>
  <c r="L26" i="22" l="1"/>
  <c r="L57" i="22" s="1"/>
  <c r="P44" i="6"/>
  <c r="DL81" i="2"/>
  <c r="CN81" i="2"/>
  <c r="BP81" i="2"/>
  <c r="AR81" i="2"/>
  <c r="DJ81" i="2"/>
  <c r="CL81" i="2"/>
  <c r="BN81" i="2"/>
  <c r="AP81" i="2"/>
  <c r="A81" i="2"/>
  <c r="DH81" i="2"/>
  <c r="CJ81" i="2"/>
  <c r="BL81" i="2"/>
  <c r="AN81" i="2"/>
  <c r="DF81" i="2"/>
  <c r="CH81" i="2"/>
  <c r="BJ81" i="2"/>
  <c r="AL81" i="2"/>
  <c r="S81" i="2"/>
  <c r="T81" i="2" s="1"/>
  <c r="EB81" i="2"/>
  <c r="DD81" i="2"/>
  <c r="CF81" i="2"/>
  <c r="BH81" i="2"/>
  <c r="AJ81" i="2"/>
  <c r="DZ81" i="2"/>
  <c r="DB81" i="2"/>
  <c r="CD81" i="2"/>
  <c r="BF81" i="2"/>
  <c r="AH81" i="2"/>
  <c r="DX81" i="2"/>
  <c r="CZ81" i="2"/>
  <c r="CB81" i="2"/>
  <c r="BD81" i="2"/>
  <c r="DV81" i="2"/>
  <c r="CX81" i="2"/>
  <c r="BZ81" i="2"/>
  <c r="BB81" i="2"/>
  <c r="DT81" i="2"/>
  <c r="CV81" i="2"/>
  <c r="BX81" i="2"/>
  <c r="AZ81" i="2"/>
  <c r="DR81" i="2"/>
  <c r="CT81" i="2"/>
  <c r="BV81" i="2"/>
  <c r="AX81" i="2"/>
  <c r="DP81" i="2"/>
  <c r="CR81" i="2"/>
  <c r="BT81" i="2"/>
  <c r="AV81" i="2"/>
  <c r="DN81" i="2"/>
  <c r="CP81" i="2"/>
  <c r="BR81" i="2"/>
  <c r="AT81" i="2"/>
  <c r="V82" i="2"/>
  <c r="C83" i="2"/>
  <c r="G82" i="2"/>
  <c r="AC82" i="2"/>
  <c r="AD82" i="2" s="1"/>
  <c r="E82" i="2"/>
  <c r="D82" i="2"/>
  <c r="F82" i="2" s="1"/>
  <c r="AB82" i="2" s="1"/>
  <c r="M8" i="22"/>
  <c r="N8" i="22" s="1"/>
  <c r="W80" i="2"/>
  <c r="B81" i="2"/>
  <c r="M25" i="22"/>
  <c r="N25" i="22" s="1"/>
  <c r="M14" i="22"/>
  <c r="N14" i="22" s="1"/>
  <c r="M34" i="22"/>
  <c r="N34" i="22" s="1"/>
  <c r="M33" i="22"/>
  <c r="N33" i="22" s="1"/>
  <c r="M24" i="22"/>
  <c r="N24" i="22" s="1"/>
  <c r="M13" i="22"/>
  <c r="N13" i="22" s="1"/>
  <c r="M23" i="22"/>
  <c r="N23" i="22" s="1"/>
  <c r="M32" i="22"/>
  <c r="N32" i="22" s="1"/>
  <c r="M22" i="22"/>
  <c r="N22" i="22" s="1"/>
  <c r="M20" i="22"/>
  <c r="N20" i="22" s="1"/>
  <c r="M19" i="22"/>
  <c r="N19" i="22" s="1"/>
  <c r="M30" i="22"/>
  <c r="N30" i="22" s="1"/>
  <c r="M18" i="22"/>
  <c r="N18" i="22" s="1"/>
  <c r="M39" i="22"/>
  <c r="N39" i="22" s="1"/>
  <c r="M17" i="22"/>
  <c r="N17" i="22" s="1"/>
  <c r="M11" i="22"/>
  <c r="N11" i="22" s="1"/>
  <c r="M38" i="22"/>
  <c r="N38" i="22" s="1"/>
  <c r="M16" i="22"/>
  <c r="N16" i="22" s="1"/>
  <c r="M10" i="22"/>
  <c r="N10" i="22" s="1"/>
  <c r="M15" i="22"/>
  <c r="N15" i="22" s="1"/>
  <c r="N6" i="22"/>
  <c r="M21" i="22"/>
  <c r="N21" i="22" s="1"/>
  <c r="M52" i="56"/>
  <c r="B6" i="23"/>
  <c r="B7" i="23" s="1"/>
  <c r="C4" i="23"/>
  <c r="F81" i="2"/>
  <c r="AB81" i="2" s="1"/>
  <c r="N52" i="55"/>
  <c r="Q42" i="6"/>
  <c r="O8" i="8"/>
  <c r="L8" i="9"/>
  <c r="F8" i="9"/>
  <c r="N8" i="9"/>
  <c r="I8" i="8"/>
  <c r="K8" i="9"/>
  <c r="J8" i="9"/>
  <c r="F8" i="8"/>
  <c r="L8" i="8"/>
  <c r="M8" i="9"/>
  <c r="G8" i="9"/>
  <c r="N8" i="8" l="1"/>
  <c r="K8" i="8"/>
  <c r="Q8" i="8"/>
  <c r="M31" i="22"/>
  <c r="N31" i="22" s="1"/>
  <c r="Q44" i="6"/>
  <c r="R44" i="6" s="1"/>
  <c r="P8" i="8"/>
  <c r="J8" i="8"/>
  <c r="M8" i="8"/>
  <c r="R8" i="8"/>
  <c r="S8" i="8" s="1"/>
  <c r="H8" i="8"/>
  <c r="G8" i="8"/>
  <c r="O8" i="9"/>
  <c r="N52" i="56"/>
  <c r="DP82" i="2"/>
  <c r="CR82" i="2"/>
  <c r="BT82" i="2"/>
  <c r="AV82" i="2"/>
  <c r="DN82" i="2"/>
  <c r="CP82" i="2"/>
  <c r="BR82" i="2"/>
  <c r="AT82" i="2"/>
  <c r="DL82" i="2"/>
  <c r="CN82" i="2"/>
  <c r="BP82" i="2"/>
  <c r="AR82" i="2"/>
  <c r="A82" i="2"/>
  <c r="DJ82" i="2"/>
  <c r="CL82" i="2"/>
  <c r="BN82" i="2"/>
  <c r="AP82" i="2"/>
  <c r="DH82" i="2"/>
  <c r="CJ82" i="2"/>
  <c r="BL82" i="2"/>
  <c r="S82" i="2"/>
  <c r="T82" i="2" s="1"/>
  <c r="DF82" i="2"/>
  <c r="CH82" i="2"/>
  <c r="BJ82" i="2"/>
  <c r="AN82" i="2"/>
  <c r="EB82" i="2"/>
  <c r="DD82" i="2"/>
  <c r="CF82" i="2"/>
  <c r="BH82" i="2"/>
  <c r="AL82" i="2"/>
  <c r="DZ82" i="2"/>
  <c r="DB82" i="2"/>
  <c r="CD82" i="2"/>
  <c r="BF82" i="2"/>
  <c r="AJ82" i="2"/>
  <c r="DX82" i="2"/>
  <c r="CZ82" i="2"/>
  <c r="CB82" i="2"/>
  <c r="BD82" i="2"/>
  <c r="AH82" i="2"/>
  <c r="DV82" i="2"/>
  <c r="CX82" i="2"/>
  <c r="BZ82" i="2"/>
  <c r="BB82" i="2"/>
  <c r="DT82" i="2"/>
  <c r="CV82" i="2"/>
  <c r="BX82" i="2"/>
  <c r="AZ82" i="2"/>
  <c r="DR82" i="2"/>
  <c r="CT82" i="2"/>
  <c r="BV82" i="2"/>
  <c r="AX82" i="2"/>
  <c r="AC83" i="2"/>
  <c r="AD83" i="2" s="1"/>
  <c r="E83" i="2"/>
  <c r="D83" i="2"/>
  <c r="V83" i="2"/>
  <c r="C84" i="2"/>
  <c r="G83" i="2"/>
  <c r="W81" i="2"/>
  <c r="B82" i="2"/>
  <c r="M26" i="22"/>
  <c r="B21" i="23"/>
  <c r="B20" i="23"/>
  <c r="B19" i="23"/>
  <c r="B30" i="23"/>
  <c r="B31" i="23" s="1"/>
  <c r="B18" i="23"/>
  <c r="B12" i="23"/>
  <c r="B39" i="23"/>
  <c r="B17" i="23"/>
  <c r="B11" i="23"/>
  <c r="B38" i="23"/>
  <c r="B16" i="23"/>
  <c r="B10" i="23"/>
  <c r="B15" i="23"/>
  <c r="B25" i="23"/>
  <c r="B14" i="23"/>
  <c r="B34" i="23"/>
  <c r="B24" i="23"/>
  <c r="B13" i="23"/>
  <c r="B23" i="23"/>
  <c r="C6" i="23"/>
  <c r="D4" i="23"/>
  <c r="B8" i="23"/>
  <c r="B9" i="23"/>
  <c r="E8" i="8"/>
  <c r="B8" i="9"/>
  <c r="B8" i="8"/>
  <c r="E8" i="9"/>
  <c r="P8" i="9" l="1"/>
  <c r="N26" i="22"/>
  <c r="M57" i="22"/>
  <c r="D6" i="23"/>
  <c r="D9" i="23" s="1"/>
  <c r="E4" i="23"/>
  <c r="C20" i="23"/>
  <c r="C19" i="23"/>
  <c r="C30" i="23"/>
  <c r="C31" i="23" s="1"/>
  <c r="C18" i="23"/>
  <c r="C12" i="23"/>
  <c r="C39" i="23"/>
  <c r="C17" i="23"/>
  <c r="C11" i="23"/>
  <c r="C38" i="23"/>
  <c r="C16" i="23"/>
  <c r="C10" i="23"/>
  <c r="C15" i="23"/>
  <c r="C25" i="23"/>
  <c r="C14" i="23"/>
  <c r="C34" i="23"/>
  <c r="C33" i="23"/>
  <c r="C24" i="23"/>
  <c r="C13" i="23"/>
  <c r="C23" i="23"/>
  <c r="C22" i="23"/>
  <c r="C32" i="23"/>
  <c r="C21" i="23"/>
  <c r="DX83" i="2"/>
  <c r="CZ83" i="2"/>
  <c r="CB83" i="2"/>
  <c r="BD83" i="2"/>
  <c r="DV83" i="2"/>
  <c r="CX83" i="2"/>
  <c r="BZ83" i="2"/>
  <c r="BB83" i="2"/>
  <c r="DT83" i="2"/>
  <c r="CV83" i="2"/>
  <c r="BX83" i="2"/>
  <c r="AZ83" i="2"/>
  <c r="DR83" i="2"/>
  <c r="CT83" i="2"/>
  <c r="BV83" i="2"/>
  <c r="AX83" i="2"/>
  <c r="DP83" i="2"/>
  <c r="CR83" i="2"/>
  <c r="BT83" i="2"/>
  <c r="AV83" i="2"/>
  <c r="DN83" i="2"/>
  <c r="CP83" i="2"/>
  <c r="BR83" i="2"/>
  <c r="AT83" i="2"/>
  <c r="A83" i="2"/>
  <c r="DL83" i="2"/>
  <c r="CN83" i="2"/>
  <c r="BP83" i="2"/>
  <c r="AR83" i="2"/>
  <c r="DJ83" i="2"/>
  <c r="CL83" i="2"/>
  <c r="BN83" i="2"/>
  <c r="AP83" i="2"/>
  <c r="S83" i="2"/>
  <c r="T83" i="2" s="1"/>
  <c r="DH83" i="2"/>
  <c r="CJ83" i="2"/>
  <c r="BL83" i="2"/>
  <c r="AN83" i="2"/>
  <c r="DF83" i="2"/>
  <c r="CH83" i="2"/>
  <c r="BJ83" i="2"/>
  <c r="AL83" i="2"/>
  <c r="EB83" i="2"/>
  <c r="DD83" i="2"/>
  <c r="CF83" i="2"/>
  <c r="BH83" i="2"/>
  <c r="AJ83" i="2"/>
  <c r="DZ83" i="2"/>
  <c r="DB83" i="2"/>
  <c r="CD83" i="2"/>
  <c r="BF83" i="2"/>
  <c r="AH83" i="2"/>
  <c r="G84" i="2"/>
  <c r="AC84" i="2"/>
  <c r="AD84" i="2" s="1"/>
  <c r="E84" i="2"/>
  <c r="D84" i="2"/>
  <c r="V84" i="2"/>
  <c r="C85" i="2"/>
  <c r="W82" i="2"/>
  <c r="B83" i="2"/>
  <c r="C8" i="23"/>
  <c r="B26" i="23"/>
  <c r="C9" i="23"/>
  <c r="F83" i="2"/>
  <c r="AB83" i="2" s="1"/>
  <c r="F8" i="4"/>
  <c r="F8" i="3"/>
  <c r="F8" i="12"/>
  <c r="G8" i="10"/>
  <c r="D8" i="23" l="1"/>
  <c r="G8" i="3"/>
  <c r="H8" i="3"/>
  <c r="H8" i="12"/>
  <c r="G8" i="12"/>
  <c r="V85" i="2"/>
  <c r="C86" i="2"/>
  <c r="G85" i="2"/>
  <c r="AC85" i="2"/>
  <c r="AD85" i="2" s="1"/>
  <c r="E85" i="2"/>
  <c r="D85" i="2"/>
  <c r="C26" i="23"/>
  <c r="W83" i="2"/>
  <c r="B84" i="2"/>
  <c r="F84" i="2"/>
  <c r="AB84" i="2" s="1"/>
  <c r="N57" i="22"/>
  <c r="DH84" i="2"/>
  <c r="CJ84" i="2"/>
  <c r="BL84" i="2"/>
  <c r="AN84" i="2"/>
  <c r="DF84" i="2"/>
  <c r="CH84" i="2"/>
  <c r="BJ84" i="2"/>
  <c r="AL84" i="2"/>
  <c r="EB84" i="2"/>
  <c r="DD84" i="2"/>
  <c r="CF84" i="2"/>
  <c r="BH84" i="2"/>
  <c r="AJ84" i="2"/>
  <c r="DZ84" i="2"/>
  <c r="DB84" i="2"/>
  <c r="CD84" i="2"/>
  <c r="BF84" i="2"/>
  <c r="AH84" i="2"/>
  <c r="DX84" i="2"/>
  <c r="CZ84" i="2"/>
  <c r="CB84" i="2"/>
  <c r="BD84" i="2"/>
  <c r="DV84" i="2"/>
  <c r="CX84" i="2"/>
  <c r="BZ84" i="2"/>
  <c r="BB84" i="2"/>
  <c r="DT84" i="2"/>
  <c r="CV84" i="2"/>
  <c r="BX84" i="2"/>
  <c r="AZ84" i="2"/>
  <c r="DR84" i="2"/>
  <c r="CT84" i="2"/>
  <c r="BV84" i="2"/>
  <c r="AX84" i="2"/>
  <c r="DP84" i="2"/>
  <c r="CR84" i="2"/>
  <c r="BT84" i="2"/>
  <c r="AV84" i="2"/>
  <c r="DN84" i="2"/>
  <c r="CP84" i="2"/>
  <c r="BR84" i="2"/>
  <c r="AT84" i="2"/>
  <c r="A84" i="2"/>
  <c r="DL84" i="2"/>
  <c r="CN84" i="2"/>
  <c r="BP84" i="2"/>
  <c r="AR84" i="2"/>
  <c r="DJ84" i="2"/>
  <c r="CL84" i="2"/>
  <c r="BN84" i="2"/>
  <c r="AP84" i="2"/>
  <c r="S84" i="2"/>
  <c r="T84" i="2" s="1"/>
  <c r="B60" i="22"/>
  <c r="H60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B57" i="23"/>
  <c r="E6" i="23"/>
  <c r="E8" i="23" s="1"/>
  <c r="F4" i="23"/>
  <c r="D19" i="23"/>
  <c r="D30" i="23"/>
  <c r="D31" i="23" s="1"/>
  <c r="D18" i="23"/>
  <c r="D39" i="23"/>
  <c r="D17" i="23"/>
  <c r="D11" i="23"/>
  <c r="D38" i="23"/>
  <c r="D16" i="23"/>
  <c r="D10" i="23"/>
  <c r="D15" i="23"/>
  <c r="D25" i="23"/>
  <c r="D14" i="23"/>
  <c r="D34" i="23"/>
  <c r="D33" i="23"/>
  <c r="D24" i="23"/>
  <c r="D13" i="23"/>
  <c r="D23" i="23"/>
  <c r="D32" i="23"/>
  <c r="D22" i="23"/>
  <c r="D20" i="23"/>
  <c r="D21" i="23"/>
  <c r="J8" i="4"/>
  <c r="C8" i="10"/>
  <c r="E8" i="4"/>
  <c r="K8" i="4"/>
  <c r="F8" i="10"/>
  <c r="O8" i="3"/>
  <c r="H8" i="4"/>
  <c r="I8" i="4"/>
  <c r="B8" i="3"/>
  <c r="G8" i="4"/>
  <c r="E8" i="12"/>
  <c r="B8" i="4"/>
  <c r="B8" i="12"/>
  <c r="E8" i="3"/>
  <c r="O8" i="4" l="1"/>
  <c r="P8" i="4" s="1"/>
  <c r="O8" i="11" s="1"/>
  <c r="B8" i="5"/>
  <c r="B8" i="7"/>
  <c r="B8" i="6"/>
  <c r="C8" i="3"/>
  <c r="C8" i="4"/>
  <c r="E8" i="5"/>
  <c r="E8" i="7"/>
  <c r="E8" i="6"/>
  <c r="E28" i="22"/>
  <c r="E58" i="22" s="1"/>
  <c r="E59" i="22" s="1"/>
  <c r="AC86" i="2"/>
  <c r="AD86" i="2" s="1"/>
  <c r="E86" i="2"/>
  <c r="D86" i="2"/>
  <c r="V86" i="2"/>
  <c r="C87" i="2"/>
  <c r="G86" i="2"/>
  <c r="D28" i="22"/>
  <c r="D58" i="22" s="1"/>
  <c r="D59" i="22" s="1"/>
  <c r="W84" i="2"/>
  <c r="B85" i="2"/>
  <c r="D26" i="23"/>
  <c r="C28" i="22"/>
  <c r="C58" i="22" s="1"/>
  <c r="C59" i="22" s="1"/>
  <c r="F28" i="22"/>
  <c r="F58" i="22" s="1"/>
  <c r="F59" i="22" s="1"/>
  <c r="DP85" i="2"/>
  <c r="CR85" i="2"/>
  <c r="BT85" i="2"/>
  <c r="AV85" i="2"/>
  <c r="DN85" i="2"/>
  <c r="CP85" i="2"/>
  <c r="BR85" i="2"/>
  <c r="AT85" i="2"/>
  <c r="A85" i="2"/>
  <c r="DL85" i="2"/>
  <c r="CN85" i="2"/>
  <c r="BP85" i="2"/>
  <c r="AR85" i="2"/>
  <c r="DJ85" i="2"/>
  <c r="CL85" i="2"/>
  <c r="BN85" i="2"/>
  <c r="AP85" i="2"/>
  <c r="S85" i="2"/>
  <c r="T85" i="2" s="1"/>
  <c r="DH85" i="2"/>
  <c r="CJ85" i="2"/>
  <c r="BL85" i="2"/>
  <c r="AN85" i="2"/>
  <c r="DF85" i="2"/>
  <c r="CH85" i="2"/>
  <c r="BJ85" i="2"/>
  <c r="AL85" i="2"/>
  <c r="EB85" i="2"/>
  <c r="DD85" i="2"/>
  <c r="CF85" i="2"/>
  <c r="BH85" i="2"/>
  <c r="AJ85" i="2"/>
  <c r="DZ85" i="2"/>
  <c r="DB85" i="2"/>
  <c r="CD85" i="2"/>
  <c r="BF85" i="2"/>
  <c r="AH85" i="2"/>
  <c r="DX85" i="2"/>
  <c r="CZ85" i="2"/>
  <c r="CB85" i="2"/>
  <c r="BD85" i="2"/>
  <c r="DV85" i="2"/>
  <c r="CX85" i="2"/>
  <c r="BZ85" i="2"/>
  <c r="BB85" i="2"/>
  <c r="DT85" i="2"/>
  <c r="CV85" i="2"/>
  <c r="BX85" i="2"/>
  <c r="AZ85" i="2"/>
  <c r="DR85" i="2"/>
  <c r="CT85" i="2"/>
  <c r="BV85" i="2"/>
  <c r="AX85" i="2"/>
  <c r="M28" i="22"/>
  <c r="M58" i="22" s="1"/>
  <c r="M59" i="22" s="1"/>
  <c r="L28" i="22"/>
  <c r="L58" i="22" s="1"/>
  <c r="L59" i="22" s="1"/>
  <c r="F6" i="23"/>
  <c r="G4" i="23"/>
  <c r="K28" i="22"/>
  <c r="K58" i="22" s="1"/>
  <c r="K59" i="22" s="1"/>
  <c r="N27" i="22"/>
  <c r="B28" i="22"/>
  <c r="E30" i="23"/>
  <c r="E31" i="23" s="1"/>
  <c r="E18" i="23"/>
  <c r="E39" i="23"/>
  <c r="E17" i="23"/>
  <c r="E11" i="23"/>
  <c r="E38" i="23"/>
  <c r="E16" i="23"/>
  <c r="E10" i="23"/>
  <c r="E15" i="23"/>
  <c r="E25" i="23"/>
  <c r="E14" i="23"/>
  <c r="E34" i="23"/>
  <c r="E33" i="23"/>
  <c r="E24" i="23"/>
  <c r="E13" i="23"/>
  <c r="E23" i="23"/>
  <c r="E32" i="23"/>
  <c r="E22" i="23"/>
  <c r="E20" i="23"/>
  <c r="E19" i="23"/>
  <c r="E21" i="23"/>
  <c r="J28" i="22"/>
  <c r="J58" i="22" s="1"/>
  <c r="J59" i="22" s="1"/>
  <c r="C57" i="23"/>
  <c r="I28" i="22"/>
  <c r="I58" i="22" s="1"/>
  <c r="I59" i="22" s="1"/>
  <c r="F85" i="2"/>
  <c r="AB85" i="2" s="1"/>
  <c r="H28" i="22"/>
  <c r="H58" i="22" s="1"/>
  <c r="H59" i="22" s="1"/>
  <c r="E9" i="23"/>
  <c r="G28" i="22"/>
  <c r="G58" i="22" s="1"/>
  <c r="G59" i="22" s="1"/>
  <c r="H8" i="10"/>
  <c r="E26" i="23" l="1"/>
  <c r="E57" i="23" s="1"/>
  <c r="N28" i="22"/>
  <c r="J8" i="10"/>
  <c r="K8" i="10" s="1"/>
  <c r="I8" i="10"/>
  <c r="F39" i="23"/>
  <c r="F17" i="23"/>
  <c r="F11" i="23"/>
  <c r="F38" i="23"/>
  <c r="F16" i="23"/>
  <c r="F10" i="23"/>
  <c r="F15" i="23"/>
  <c r="F25" i="23"/>
  <c r="F14" i="23"/>
  <c r="F34" i="23"/>
  <c r="F33" i="23"/>
  <c r="F24" i="23"/>
  <c r="F13" i="23"/>
  <c r="F23" i="23"/>
  <c r="F32" i="23"/>
  <c r="F22" i="23"/>
  <c r="F20" i="23"/>
  <c r="F19" i="23"/>
  <c r="F30" i="23"/>
  <c r="F31" i="23" s="1"/>
  <c r="F18" i="23"/>
  <c r="F21" i="23"/>
  <c r="F8" i="23"/>
  <c r="F9" i="23"/>
  <c r="B58" i="22"/>
  <c r="DX86" i="2"/>
  <c r="CZ86" i="2"/>
  <c r="CB86" i="2"/>
  <c r="BD86" i="2"/>
  <c r="DV86" i="2"/>
  <c r="CX86" i="2"/>
  <c r="BZ86" i="2"/>
  <c r="BB86" i="2"/>
  <c r="DT86" i="2"/>
  <c r="CV86" i="2"/>
  <c r="BX86" i="2"/>
  <c r="AZ86" i="2"/>
  <c r="DR86" i="2"/>
  <c r="CT86" i="2"/>
  <c r="BV86" i="2"/>
  <c r="AX86" i="2"/>
  <c r="DP86" i="2"/>
  <c r="CR86" i="2"/>
  <c r="BT86" i="2"/>
  <c r="AV86" i="2"/>
  <c r="DN86" i="2"/>
  <c r="CP86" i="2"/>
  <c r="BR86" i="2"/>
  <c r="AT86" i="2"/>
  <c r="A86" i="2"/>
  <c r="DL86" i="2"/>
  <c r="CN86" i="2"/>
  <c r="BP86" i="2"/>
  <c r="AR86" i="2"/>
  <c r="DJ86" i="2"/>
  <c r="CL86" i="2"/>
  <c r="BN86" i="2"/>
  <c r="AP86" i="2"/>
  <c r="S86" i="2"/>
  <c r="T86" i="2" s="1"/>
  <c r="DH86" i="2"/>
  <c r="CJ86" i="2"/>
  <c r="BL86" i="2"/>
  <c r="AN86" i="2"/>
  <c r="DF86" i="2"/>
  <c r="CH86" i="2"/>
  <c r="BJ86" i="2"/>
  <c r="AL86" i="2"/>
  <c r="EB86" i="2"/>
  <c r="DD86" i="2"/>
  <c r="CF86" i="2"/>
  <c r="BH86" i="2"/>
  <c r="AJ86" i="2"/>
  <c r="DZ86" i="2"/>
  <c r="DB86" i="2"/>
  <c r="CD86" i="2"/>
  <c r="BF86" i="2"/>
  <c r="AH86" i="2"/>
  <c r="D8" i="11"/>
  <c r="M8" i="11" s="1"/>
  <c r="D8" i="5"/>
  <c r="D8" i="6" s="1"/>
  <c r="G87" i="2"/>
  <c r="AC87" i="2"/>
  <c r="AD87" i="2" s="1"/>
  <c r="E87" i="2"/>
  <c r="D87" i="2"/>
  <c r="F87" i="2" s="1"/>
  <c r="AB87" i="2" s="1"/>
  <c r="V87" i="2"/>
  <c r="C88" i="2"/>
  <c r="W85" i="2"/>
  <c r="B86" i="2"/>
  <c r="F86" i="2"/>
  <c r="AB86" i="2" s="1"/>
  <c r="G6" i="23"/>
  <c r="G9" i="23" s="1"/>
  <c r="H4" i="23"/>
  <c r="D57" i="23"/>
  <c r="N8" i="11" l="1"/>
  <c r="J8" i="11"/>
  <c r="K8" i="11"/>
  <c r="F26" i="23"/>
  <c r="F57" i="23" s="1"/>
  <c r="L8" i="11"/>
  <c r="G8" i="23"/>
  <c r="DH87" i="2"/>
  <c r="CJ87" i="2"/>
  <c r="BL87" i="2"/>
  <c r="AN87" i="2"/>
  <c r="DF87" i="2"/>
  <c r="CH87" i="2"/>
  <c r="BJ87" i="2"/>
  <c r="AL87" i="2"/>
  <c r="EB87" i="2"/>
  <c r="DD87" i="2"/>
  <c r="CF87" i="2"/>
  <c r="BH87" i="2"/>
  <c r="AJ87" i="2"/>
  <c r="DZ87" i="2"/>
  <c r="DB87" i="2"/>
  <c r="CD87" i="2"/>
  <c r="BF87" i="2"/>
  <c r="AH87" i="2"/>
  <c r="DX87" i="2"/>
  <c r="CZ87" i="2"/>
  <c r="CB87" i="2"/>
  <c r="BD87" i="2"/>
  <c r="DV87" i="2"/>
  <c r="CX87" i="2"/>
  <c r="BZ87" i="2"/>
  <c r="BB87" i="2"/>
  <c r="DT87" i="2"/>
  <c r="CV87" i="2"/>
  <c r="BX87" i="2"/>
  <c r="AZ87" i="2"/>
  <c r="DR87" i="2"/>
  <c r="CT87" i="2"/>
  <c r="BV87" i="2"/>
  <c r="AX87" i="2"/>
  <c r="DP87" i="2"/>
  <c r="CR87" i="2"/>
  <c r="BT87" i="2"/>
  <c r="AV87" i="2"/>
  <c r="DN87" i="2"/>
  <c r="CP87" i="2"/>
  <c r="BR87" i="2"/>
  <c r="AT87" i="2"/>
  <c r="A87" i="2"/>
  <c r="DL87" i="2"/>
  <c r="CN87" i="2"/>
  <c r="BP87" i="2"/>
  <c r="AR87" i="2"/>
  <c r="DJ87" i="2"/>
  <c r="CL87" i="2"/>
  <c r="BN87" i="2"/>
  <c r="AP87" i="2"/>
  <c r="S87" i="2"/>
  <c r="T87" i="2" s="1"/>
  <c r="G38" i="23"/>
  <c r="G16" i="23"/>
  <c r="G10" i="23"/>
  <c r="G15" i="23"/>
  <c r="G25" i="23"/>
  <c r="G14" i="23"/>
  <c r="G34" i="23"/>
  <c r="G33" i="23"/>
  <c r="G24" i="23"/>
  <c r="G13" i="23"/>
  <c r="G23" i="23"/>
  <c r="G32" i="23"/>
  <c r="G22" i="23"/>
  <c r="G20" i="23"/>
  <c r="G19" i="23"/>
  <c r="G30" i="23"/>
  <c r="G31" i="23" s="1"/>
  <c r="G18" i="23"/>
  <c r="G39" i="23"/>
  <c r="G17" i="23"/>
  <c r="G11" i="23"/>
  <c r="G21" i="23"/>
  <c r="D8" i="7"/>
  <c r="D8" i="8" s="1"/>
  <c r="D8" i="9" s="1"/>
  <c r="D8" i="10" s="1"/>
  <c r="C8" i="12" s="1"/>
  <c r="R8" i="6"/>
  <c r="N58" i="22"/>
  <c r="N59" i="22" s="1"/>
  <c r="F60" i="22" s="1"/>
  <c r="B59" i="22"/>
  <c r="V88" i="2"/>
  <c r="C89" i="2"/>
  <c r="G88" i="2"/>
  <c r="AC88" i="2"/>
  <c r="AD88" i="2" s="1"/>
  <c r="E88" i="2"/>
  <c r="D88" i="2"/>
  <c r="H6" i="23"/>
  <c r="H7" i="23" s="1"/>
  <c r="I4" i="23"/>
  <c r="W86" i="2"/>
  <c r="B87" i="2"/>
  <c r="G26" i="23" l="1"/>
  <c r="G57" i="23" s="1"/>
  <c r="G8" i="11"/>
  <c r="W87" i="2"/>
  <c r="B88" i="2"/>
  <c r="I6" i="23"/>
  <c r="I9" i="23" s="1"/>
  <c r="J4" i="23"/>
  <c r="H15" i="23"/>
  <c r="H25" i="23"/>
  <c r="H14" i="23"/>
  <c r="H34" i="23"/>
  <c r="H33" i="23"/>
  <c r="H24" i="23"/>
  <c r="H13" i="23"/>
  <c r="H23" i="23"/>
  <c r="H32" i="23"/>
  <c r="H22" i="23"/>
  <c r="H20" i="23"/>
  <c r="H19" i="23"/>
  <c r="H30" i="23"/>
  <c r="H31" i="23" s="1"/>
  <c r="H18" i="23"/>
  <c r="N7" i="23"/>
  <c r="H39" i="23"/>
  <c r="H17" i="23"/>
  <c r="H11" i="23"/>
  <c r="H38" i="23"/>
  <c r="H16" i="23"/>
  <c r="H10" i="23"/>
  <c r="H21" i="23"/>
  <c r="H9" i="23"/>
  <c r="I60" i="22"/>
  <c r="G60" i="22"/>
  <c r="F88" i="2"/>
  <c r="AB88" i="2" s="1"/>
  <c r="DP88" i="2"/>
  <c r="CR88" i="2"/>
  <c r="BT88" i="2"/>
  <c r="AV88" i="2"/>
  <c r="DN88" i="2"/>
  <c r="CP88" i="2"/>
  <c r="BR88" i="2"/>
  <c r="AT88" i="2"/>
  <c r="A88" i="2"/>
  <c r="DL88" i="2"/>
  <c r="CN88" i="2"/>
  <c r="BP88" i="2"/>
  <c r="AR88" i="2"/>
  <c r="DJ88" i="2"/>
  <c r="CL88" i="2"/>
  <c r="BN88" i="2"/>
  <c r="AP88" i="2"/>
  <c r="S88" i="2"/>
  <c r="T88" i="2" s="1"/>
  <c r="DH88" i="2"/>
  <c r="CJ88" i="2"/>
  <c r="BL88" i="2"/>
  <c r="AN88" i="2"/>
  <c r="DF88" i="2"/>
  <c r="CH88" i="2"/>
  <c r="BJ88" i="2"/>
  <c r="AL88" i="2"/>
  <c r="EB88" i="2"/>
  <c r="DD88" i="2"/>
  <c r="CF88" i="2"/>
  <c r="BH88" i="2"/>
  <c r="AJ88" i="2"/>
  <c r="DZ88" i="2"/>
  <c r="DB88" i="2"/>
  <c r="CD88" i="2"/>
  <c r="BF88" i="2"/>
  <c r="AH88" i="2"/>
  <c r="DX88" i="2"/>
  <c r="CZ88" i="2"/>
  <c r="CB88" i="2"/>
  <c r="BD88" i="2"/>
  <c r="DV88" i="2"/>
  <c r="CX88" i="2"/>
  <c r="BZ88" i="2"/>
  <c r="BB88" i="2"/>
  <c r="DT88" i="2"/>
  <c r="CV88" i="2"/>
  <c r="BX88" i="2"/>
  <c r="AZ88" i="2"/>
  <c r="DR88" i="2"/>
  <c r="CT88" i="2"/>
  <c r="BV88" i="2"/>
  <c r="AX88" i="2"/>
  <c r="H8" i="23"/>
  <c r="AC89" i="2"/>
  <c r="AD89" i="2" s="1"/>
  <c r="E89" i="2"/>
  <c r="D89" i="2"/>
  <c r="F89" i="2" s="1"/>
  <c r="AB89" i="2" s="1"/>
  <c r="V89" i="2"/>
  <c r="C90" i="2"/>
  <c r="G89" i="2"/>
  <c r="H8" i="11" l="1"/>
  <c r="C8" i="11"/>
  <c r="E8" i="11" s="1"/>
  <c r="J6" i="23"/>
  <c r="J9" i="23" s="1"/>
  <c r="K4" i="23"/>
  <c r="I25" i="23"/>
  <c r="I14" i="23"/>
  <c r="I34" i="23"/>
  <c r="I33" i="23"/>
  <c r="I24" i="23"/>
  <c r="I13" i="23"/>
  <c r="I23" i="23"/>
  <c r="I32" i="23"/>
  <c r="I22" i="23"/>
  <c r="I20" i="23"/>
  <c r="I19" i="23"/>
  <c r="I30" i="23"/>
  <c r="I31" i="23" s="1"/>
  <c r="I18" i="23"/>
  <c r="I39" i="23"/>
  <c r="I17" i="23"/>
  <c r="I11" i="23"/>
  <c r="I38" i="23"/>
  <c r="I16" i="23"/>
  <c r="I10" i="23"/>
  <c r="I15" i="23"/>
  <c r="I21" i="23"/>
  <c r="I8" i="23"/>
  <c r="W88" i="2"/>
  <c r="B89" i="2"/>
  <c r="DX89" i="2"/>
  <c r="CZ89" i="2"/>
  <c r="CB89" i="2"/>
  <c r="BD89" i="2"/>
  <c r="DV89" i="2"/>
  <c r="CX89" i="2"/>
  <c r="BZ89" i="2"/>
  <c r="BB89" i="2"/>
  <c r="DT89" i="2"/>
  <c r="CV89" i="2"/>
  <c r="BX89" i="2"/>
  <c r="AZ89" i="2"/>
  <c r="DR89" i="2"/>
  <c r="CT89" i="2"/>
  <c r="BV89" i="2"/>
  <c r="AX89" i="2"/>
  <c r="DP89" i="2"/>
  <c r="CR89" i="2"/>
  <c r="BT89" i="2"/>
  <c r="AV89" i="2"/>
  <c r="DN89" i="2"/>
  <c r="CP89" i="2"/>
  <c r="BR89" i="2"/>
  <c r="AT89" i="2"/>
  <c r="A89" i="2"/>
  <c r="DL89" i="2"/>
  <c r="CN89" i="2"/>
  <c r="BP89" i="2"/>
  <c r="AR89" i="2"/>
  <c r="DJ89" i="2"/>
  <c r="CL89" i="2"/>
  <c r="BN89" i="2"/>
  <c r="AP89" i="2"/>
  <c r="S89" i="2"/>
  <c r="T89" i="2" s="1"/>
  <c r="DH89" i="2"/>
  <c r="CJ89" i="2"/>
  <c r="BL89" i="2"/>
  <c r="AN89" i="2"/>
  <c r="DF89" i="2"/>
  <c r="CH89" i="2"/>
  <c r="BJ89" i="2"/>
  <c r="AL89" i="2"/>
  <c r="EB89" i="2"/>
  <c r="DD89" i="2"/>
  <c r="CF89" i="2"/>
  <c r="BH89" i="2"/>
  <c r="AJ89" i="2"/>
  <c r="DZ89" i="2"/>
  <c r="DB89" i="2"/>
  <c r="CD89" i="2"/>
  <c r="BF89" i="2"/>
  <c r="AH89" i="2"/>
  <c r="G90" i="2"/>
  <c r="AC90" i="2"/>
  <c r="AD90" i="2" s="1"/>
  <c r="E90" i="2"/>
  <c r="D90" i="2"/>
  <c r="V90" i="2"/>
  <c r="C91" i="2"/>
  <c r="H26" i="23"/>
  <c r="I26" i="23" l="1"/>
  <c r="I57" i="23" s="1"/>
  <c r="W89" i="2"/>
  <c r="B90" i="2"/>
  <c r="F90" i="2"/>
  <c r="AB90" i="2" s="1"/>
  <c r="DH90" i="2"/>
  <c r="CJ90" i="2"/>
  <c r="BL90" i="2"/>
  <c r="AN90" i="2"/>
  <c r="DF90" i="2"/>
  <c r="CH90" i="2"/>
  <c r="BJ90" i="2"/>
  <c r="AL90" i="2"/>
  <c r="EB90" i="2"/>
  <c r="DD90" i="2"/>
  <c r="CF90" i="2"/>
  <c r="BH90" i="2"/>
  <c r="AJ90" i="2"/>
  <c r="DZ90" i="2"/>
  <c r="DB90" i="2"/>
  <c r="CD90" i="2"/>
  <c r="BF90" i="2"/>
  <c r="AH90" i="2"/>
  <c r="DX90" i="2"/>
  <c r="CZ90" i="2"/>
  <c r="CB90" i="2"/>
  <c r="BD90" i="2"/>
  <c r="DV90" i="2"/>
  <c r="CX90" i="2"/>
  <c r="BZ90" i="2"/>
  <c r="BB90" i="2"/>
  <c r="DT90" i="2"/>
  <c r="CV90" i="2"/>
  <c r="BX90" i="2"/>
  <c r="AZ90" i="2"/>
  <c r="DR90" i="2"/>
  <c r="CT90" i="2"/>
  <c r="BV90" i="2"/>
  <c r="AX90" i="2"/>
  <c r="DP90" i="2"/>
  <c r="CR90" i="2"/>
  <c r="BT90" i="2"/>
  <c r="AV90" i="2"/>
  <c r="DN90" i="2"/>
  <c r="CP90" i="2"/>
  <c r="BR90" i="2"/>
  <c r="AT90" i="2"/>
  <c r="A90" i="2"/>
  <c r="DL90" i="2"/>
  <c r="CN90" i="2"/>
  <c r="BP90" i="2"/>
  <c r="AR90" i="2"/>
  <c r="DJ90" i="2"/>
  <c r="CL90" i="2"/>
  <c r="BN90" i="2"/>
  <c r="AP90" i="2"/>
  <c r="S90" i="2"/>
  <c r="T90" i="2" s="1"/>
  <c r="J8" i="23"/>
  <c r="V91" i="2"/>
  <c r="C92" i="2"/>
  <c r="G91" i="2"/>
  <c r="AC91" i="2"/>
  <c r="AD91" i="2" s="1"/>
  <c r="E91" i="2"/>
  <c r="D91" i="2"/>
  <c r="F91" i="2" s="1"/>
  <c r="AB91" i="2" s="1"/>
  <c r="K6" i="23"/>
  <c r="K9" i="23" s="1"/>
  <c r="L4" i="23"/>
  <c r="J25" i="23"/>
  <c r="J14" i="23"/>
  <c r="J34" i="23"/>
  <c r="J12" i="23"/>
  <c r="J33" i="23"/>
  <c r="J24" i="23"/>
  <c r="J13" i="23"/>
  <c r="J23" i="23"/>
  <c r="J32" i="23"/>
  <c r="J22" i="23"/>
  <c r="J20" i="23"/>
  <c r="J19" i="23"/>
  <c r="J30" i="23"/>
  <c r="J31" i="23" s="1"/>
  <c r="J18" i="23"/>
  <c r="J39" i="23"/>
  <c r="J17" i="23"/>
  <c r="J11" i="23"/>
  <c r="J38" i="23"/>
  <c r="J16" i="23"/>
  <c r="J10" i="23"/>
  <c r="J15" i="23"/>
  <c r="J21" i="23"/>
  <c r="H57" i="23"/>
  <c r="J26" i="23" l="1"/>
  <c r="J57" i="23" s="1"/>
  <c r="W90" i="2"/>
  <c r="B91" i="2"/>
  <c r="K8" i="23"/>
  <c r="L6" i="23"/>
  <c r="L9" i="23" s="1"/>
  <c r="M4" i="23"/>
  <c r="K34" i="23"/>
  <c r="K12" i="23"/>
  <c r="N12" i="23" s="1"/>
  <c r="K33" i="23"/>
  <c r="K24" i="23"/>
  <c r="K13" i="23"/>
  <c r="K23" i="23"/>
  <c r="K32" i="23"/>
  <c r="K22" i="23"/>
  <c r="K20" i="23"/>
  <c r="K19" i="23"/>
  <c r="K30" i="23"/>
  <c r="K31" i="23" s="1"/>
  <c r="K18" i="23"/>
  <c r="K39" i="23"/>
  <c r="K17" i="23"/>
  <c r="K11" i="23"/>
  <c r="K38" i="23"/>
  <c r="K16" i="23"/>
  <c r="K10" i="23"/>
  <c r="K15" i="23"/>
  <c r="K25" i="23"/>
  <c r="K14" i="23"/>
  <c r="K21" i="23"/>
  <c r="DP91" i="2"/>
  <c r="CR91" i="2"/>
  <c r="BT91" i="2"/>
  <c r="AV91" i="2"/>
  <c r="DN91" i="2"/>
  <c r="CP91" i="2"/>
  <c r="BR91" i="2"/>
  <c r="AT91" i="2"/>
  <c r="A91" i="2"/>
  <c r="DL91" i="2"/>
  <c r="CN91" i="2"/>
  <c r="BP91" i="2"/>
  <c r="AR91" i="2"/>
  <c r="DJ91" i="2"/>
  <c r="CL91" i="2"/>
  <c r="BN91" i="2"/>
  <c r="AP91" i="2"/>
  <c r="S91" i="2"/>
  <c r="T91" i="2" s="1"/>
  <c r="DH91" i="2"/>
  <c r="CJ91" i="2"/>
  <c r="BL91" i="2"/>
  <c r="AN91" i="2"/>
  <c r="DF91" i="2"/>
  <c r="CH91" i="2"/>
  <c r="BJ91" i="2"/>
  <c r="AL91" i="2"/>
  <c r="EB91" i="2"/>
  <c r="DD91" i="2"/>
  <c r="CF91" i="2"/>
  <c r="BH91" i="2"/>
  <c r="AJ91" i="2"/>
  <c r="DZ91" i="2"/>
  <c r="DB91" i="2"/>
  <c r="CD91" i="2"/>
  <c r="BF91" i="2"/>
  <c r="AH91" i="2"/>
  <c r="DX91" i="2"/>
  <c r="CZ91" i="2"/>
  <c r="CB91" i="2"/>
  <c r="BD91" i="2"/>
  <c r="DV91" i="2"/>
  <c r="CX91" i="2"/>
  <c r="BZ91" i="2"/>
  <c r="BB91" i="2"/>
  <c r="DT91" i="2"/>
  <c r="CV91" i="2"/>
  <c r="BX91" i="2"/>
  <c r="AZ91" i="2"/>
  <c r="DR91" i="2"/>
  <c r="CT91" i="2"/>
  <c r="BV91" i="2"/>
  <c r="AX91" i="2"/>
  <c r="AC92" i="2"/>
  <c r="AD92" i="2" s="1"/>
  <c r="E92" i="2"/>
  <c r="D92" i="2"/>
  <c r="F92" i="2" s="1"/>
  <c r="AB92" i="2" s="1"/>
  <c r="V92" i="2"/>
  <c r="C93" i="2"/>
  <c r="G92" i="2"/>
  <c r="H9" i="9"/>
  <c r="I9" i="9"/>
  <c r="K26" i="23" l="1"/>
  <c r="K57" i="23" s="1"/>
  <c r="L8" i="23"/>
  <c r="M6" i="23"/>
  <c r="M9" i="23" s="1"/>
  <c r="N9" i="23" s="1"/>
  <c r="B4" i="24"/>
  <c r="L33" i="23"/>
  <c r="L24" i="23"/>
  <c r="L13" i="23"/>
  <c r="L23" i="23"/>
  <c r="L32" i="23"/>
  <c r="L22" i="23"/>
  <c r="L20" i="23"/>
  <c r="L19" i="23"/>
  <c r="L30" i="23"/>
  <c r="L31" i="23" s="1"/>
  <c r="L18" i="23"/>
  <c r="L39" i="23"/>
  <c r="L17" i="23"/>
  <c r="L11" i="23"/>
  <c r="L38" i="23"/>
  <c r="L16" i="23"/>
  <c r="L10" i="23"/>
  <c r="L15" i="23"/>
  <c r="L25" i="23"/>
  <c r="L14" i="23"/>
  <c r="L34" i="23"/>
  <c r="L21" i="23"/>
  <c r="DX92" i="2"/>
  <c r="CZ92" i="2"/>
  <c r="CB92" i="2"/>
  <c r="BD92" i="2"/>
  <c r="DV92" i="2"/>
  <c r="CX92" i="2"/>
  <c r="BZ92" i="2"/>
  <c r="BB92" i="2"/>
  <c r="DT92" i="2"/>
  <c r="CV92" i="2"/>
  <c r="BX92" i="2"/>
  <c r="AZ92" i="2"/>
  <c r="DR92" i="2"/>
  <c r="CT92" i="2"/>
  <c r="BV92" i="2"/>
  <c r="AX92" i="2"/>
  <c r="DP92" i="2"/>
  <c r="CR92" i="2"/>
  <c r="BT92" i="2"/>
  <c r="AV92" i="2"/>
  <c r="DN92" i="2"/>
  <c r="CP92" i="2"/>
  <c r="BR92" i="2"/>
  <c r="AT92" i="2"/>
  <c r="A92" i="2"/>
  <c r="DL92" i="2"/>
  <c r="CN92" i="2"/>
  <c r="BP92" i="2"/>
  <c r="AR92" i="2"/>
  <c r="DJ92" i="2"/>
  <c r="CL92" i="2"/>
  <c r="BN92" i="2"/>
  <c r="AP92" i="2"/>
  <c r="S92" i="2"/>
  <c r="T92" i="2" s="1"/>
  <c r="DH92" i="2"/>
  <c r="CJ92" i="2"/>
  <c r="BL92" i="2"/>
  <c r="AN92" i="2"/>
  <c r="DF92" i="2"/>
  <c r="CH92" i="2"/>
  <c r="BJ92" i="2"/>
  <c r="AL92" i="2"/>
  <c r="EB92" i="2"/>
  <c r="DD92" i="2"/>
  <c r="CF92" i="2"/>
  <c r="BH92" i="2"/>
  <c r="AJ92" i="2"/>
  <c r="DZ92" i="2"/>
  <c r="DB92" i="2"/>
  <c r="CD92" i="2"/>
  <c r="BF92" i="2"/>
  <c r="AH92" i="2"/>
  <c r="AC93" i="2"/>
  <c r="AD93" i="2" s="1"/>
  <c r="G93" i="2"/>
  <c r="E93" i="2"/>
  <c r="D93" i="2"/>
  <c r="F93" i="2" s="1"/>
  <c r="AB93" i="2" s="1"/>
  <c r="C94" i="2"/>
  <c r="V93" i="2"/>
  <c r="W91" i="2"/>
  <c r="B92" i="2"/>
  <c r="L26" i="23" l="1"/>
  <c r="L57" i="23" s="1"/>
  <c r="B6" i="24"/>
  <c r="B7" i="24" s="1"/>
  <c r="C4" i="24"/>
  <c r="M8" i="23"/>
  <c r="N8" i="23" s="1"/>
  <c r="M23" i="23"/>
  <c r="N23" i="23" s="1"/>
  <c r="M32" i="23"/>
  <c r="N32" i="23" s="1"/>
  <c r="M22" i="23"/>
  <c r="N22" i="23" s="1"/>
  <c r="M20" i="23"/>
  <c r="N20" i="23" s="1"/>
  <c r="M19" i="23"/>
  <c r="N19" i="23" s="1"/>
  <c r="M30" i="23"/>
  <c r="N30" i="23" s="1"/>
  <c r="M18" i="23"/>
  <c r="N18" i="23" s="1"/>
  <c r="M39" i="23"/>
  <c r="N39" i="23" s="1"/>
  <c r="M17" i="23"/>
  <c r="N17" i="23" s="1"/>
  <c r="M11" i="23"/>
  <c r="N11" i="23" s="1"/>
  <c r="M38" i="23"/>
  <c r="N38" i="23" s="1"/>
  <c r="M16" i="23"/>
  <c r="N16" i="23" s="1"/>
  <c r="M10" i="23"/>
  <c r="N10" i="23" s="1"/>
  <c r="M15" i="23"/>
  <c r="N15" i="23" s="1"/>
  <c r="M25" i="23"/>
  <c r="N25" i="23" s="1"/>
  <c r="M14" i="23"/>
  <c r="N14" i="23" s="1"/>
  <c r="M34" i="23"/>
  <c r="N34" i="23" s="1"/>
  <c r="M24" i="23"/>
  <c r="N24" i="23" s="1"/>
  <c r="M13" i="23"/>
  <c r="N13" i="23" s="1"/>
  <c r="M33" i="23"/>
  <c r="N33" i="23" s="1"/>
  <c r="N6" i="23"/>
  <c r="M21" i="23"/>
  <c r="N21" i="23" s="1"/>
  <c r="G94" i="2"/>
  <c r="AC94" i="2"/>
  <c r="AD94" i="2" s="1"/>
  <c r="E94" i="2"/>
  <c r="D94" i="2"/>
  <c r="V94" i="2"/>
  <c r="C95" i="2"/>
  <c r="EB93" i="2"/>
  <c r="DD93" i="2"/>
  <c r="CF93" i="2"/>
  <c r="BH93" i="2"/>
  <c r="AJ93" i="2"/>
  <c r="DZ93" i="2"/>
  <c r="DB93" i="2"/>
  <c r="CD93" i="2"/>
  <c r="BF93" i="2"/>
  <c r="AH93" i="2"/>
  <c r="DX93" i="2"/>
  <c r="CZ93" i="2"/>
  <c r="CB93" i="2"/>
  <c r="BD93" i="2"/>
  <c r="DV93" i="2"/>
  <c r="CX93" i="2"/>
  <c r="BZ93" i="2"/>
  <c r="BB93" i="2"/>
  <c r="DT93" i="2"/>
  <c r="CV93" i="2"/>
  <c r="BX93" i="2"/>
  <c r="AZ93" i="2"/>
  <c r="DR93" i="2"/>
  <c r="CT93" i="2"/>
  <c r="BV93" i="2"/>
  <c r="AX93" i="2"/>
  <c r="DP93" i="2"/>
  <c r="CR93" i="2"/>
  <c r="BT93" i="2"/>
  <c r="AV93" i="2"/>
  <c r="DN93" i="2"/>
  <c r="CP93" i="2"/>
  <c r="BR93" i="2"/>
  <c r="AT93" i="2"/>
  <c r="DL93" i="2"/>
  <c r="CN93" i="2"/>
  <c r="BP93" i="2"/>
  <c r="AR93" i="2"/>
  <c r="DJ93" i="2"/>
  <c r="CL93" i="2"/>
  <c r="BN93" i="2"/>
  <c r="AP93" i="2"/>
  <c r="A93" i="2"/>
  <c r="DH93" i="2"/>
  <c r="CJ93" i="2"/>
  <c r="BL93" i="2"/>
  <c r="AN93" i="2"/>
  <c r="DF93" i="2"/>
  <c r="CH93" i="2"/>
  <c r="BJ93" i="2"/>
  <c r="AL93" i="2"/>
  <c r="S93" i="2"/>
  <c r="T93" i="2" s="1"/>
  <c r="W92" i="2"/>
  <c r="B93" i="2"/>
  <c r="N9" i="9"/>
  <c r="K9" i="9"/>
  <c r="F9" i="9"/>
  <c r="L9" i="9"/>
  <c r="F9" i="8"/>
  <c r="G9" i="9"/>
  <c r="O9" i="8"/>
  <c r="I9" i="8"/>
  <c r="L9" i="8"/>
  <c r="M9" i="9"/>
  <c r="J9" i="9"/>
  <c r="K9" i="8" l="1"/>
  <c r="N9" i="8"/>
  <c r="Q9" i="8"/>
  <c r="M31" i="23"/>
  <c r="N31" i="23" s="1"/>
  <c r="H9" i="8"/>
  <c r="G9" i="8"/>
  <c r="R9" i="8"/>
  <c r="S9" i="8" s="1"/>
  <c r="P9" i="8"/>
  <c r="M9" i="8"/>
  <c r="J9" i="8"/>
  <c r="O9" i="9"/>
  <c r="V95" i="2"/>
  <c r="C96" i="2"/>
  <c r="G95" i="2"/>
  <c r="AC95" i="2"/>
  <c r="AD95" i="2" s="1"/>
  <c r="E95" i="2"/>
  <c r="D95" i="2"/>
  <c r="F95" i="2" s="1"/>
  <c r="AB95" i="2" s="1"/>
  <c r="C6" i="24"/>
  <c r="D4" i="24"/>
  <c r="B30" i="24"/>
  <c r="B31" i="24" s="1"/>
  <c r="B18" i="24"/>
  <c r="B12" i="24"/>
  <c r="B39" i="24"/>
  <c r="B17" i="24"/>
  <c r="B11" i="24"/>
  <c r="B38" i="24"/>
  <c r="B16" i="24"/>
  <c r="B10" i="24"/>
  <c r="B15" i="24"/>
  <c r="B25" i="24"/>
  <c r="B14" i="24"/>
  <c r="B34" i="24"/>
  <c r="B24" i="24"/>
  <c r="B13" i="24"/>
  <c r="B23" i="24"/>
  <c r="B21" i="24"/>
  <c r="B20" i="24"/>
  <c r="B19" i="24"/>
  <c r="F94" i="2"/>
  <c r="AB94" i="2" s="1"/>
  <c r="M26" i="23"/>
  <c r="B8" i="24"/>
  <c r="B9" i="24"/>
  <c r="W93" i="2"/>
  <c r="B94" i="2"/>
  <c r="DH94" i="2"/>
  <c r="CJ94" i="2"/>
  <c r="BL94" i="2"/>
  <c r="S94" i="2"/>
  <c r="T94" i="2" s="1"/>
  <c r="DF94" i="2"/>
  <c r="CH94" i="2"/>
  <c r="BJ94" i="2"/>
  <c r="AN94" i="2"/>
  <c r="EB94" i="2"/>
  <c r="DD94" i="2"/>
  <c r="CF94" i="2"/>
  <c r="BH94" i="2"/>
  <c r="AL94" i="2"/>
  <c r="DZ94" i="2"/>
  <c r="DB94" i="2"/>
  <c r="CD94" i="2"/>
  <c r="BF94" i="2"/>
  <c r="AJ94" i="2"/>
  <c r="DX94" i="2"/>
  <c r="CZ94" i="2"/>
  <c r="CB94" i="2"/>
  <c r="BD94" i="2"/>
  <c r="AH94" i="2"/>
  <c r="DV94" i="2"/>
  <c r="CX94" i="2"/>
  <c r="BZ94" i="2"/>
  <c r="BB94" i="2"/>
  <c r="DT94" i="2"/>
  <c r="CV94" i="2"/>
  <c r="BX94" i="2"/>
  <c r="AZ94" i="2"/>
  <c r="DR94" i="2"/>
  <c r="CT94" i="2"/>
  <c r="BV94" i="2"/>
  <c r="AX94" i="2"/>
  <c r="DP94" i="2"/>
  <c r="CR94" i="2"/>
  <c r="BT94" i="2"/>
  <c r="AV94" i="2"/>
  <c r="DN94" i="2"/>
  <c r="CP94" i="2"/>
  <c r="BR94" i="2"/>
  <c r="AT94" i="2"/>
  <c r="DL94" i="2"/>
  <c r="CN94" i="2"/>
  <c r="BP94" i="2"/>
  <c r="AR94" i="2"/>
  <c r="A94" i="2"/>
  <c r="DJ94" i="2"/>
  <c r="CL94" i="2"/>
  <c r="BN94" i="2"/>
  <c r="AP94" i="2"/>
  <c r="E9" i="9"/>
  <c r="B9" i="9"/>
  <c r="E9" i="8"/>
  <c r="B9" i="8"/>
  <c r="P9" i="9" l="1"/>
  <c r="C9" i="24"/>
  <c r="N26" i="23"/>
  <c r="M57" i="23"/>
  <c r="DP95" i="2"/>
  <c r="CR95" i="2"/>
  <c r="BT95" i="2"/>
  <c r="AV95" i="2"/>
  <c r="DN95" i="2"/>
  <c r="CP95" i="2"/>
  <c r="BR95" i="2"/>
  <c r="AT95" i="2"/>
  <c r="A95" i="2"/>
  <c r="DL95" i="2"/>
  <c r="CN95" i="2"/>
  <c r="BP95" i="2"/>
  <c r="AR95" i="2"/>
  <c r="DJ95" i="2"/>
  <c r="CL95" i="2"/>
  <c r="BN95" i="2"/>
  <c r="AP95" i="2"/>
  <c r="S95" i="2"/>
  <c r="T95" i="2" s="1"/>
  <c r="DH95" i="2"/>
  <c r="CJ95" i="2"/>
  <c r="BL95" i="2"/>
  <c r="AN95" i="2"/>
  <c r="DF95" i="2"/>
  <c r="CH95" i="2"/>
  <c r="BJ95" i="2"/>
  <c r="AL95" i="2"/>
  <c r="EB95" i="2"/>
  <c r="DD95" i="2"/>
  <c r="CF95" i="2"/>
  <c r="BH95" i="2"/>
  <c r="AJ95" i="2"/>
  <c r="DZ95" i="2"/>
  <c r="DB95" i="2"/>
  <c r="CD95" i="2"/>
  <c r="BF95" i="2"/>
  <c r="AH95" i="2"/>
  <c r="DX95" i="2"/>
  <c r="CZ95" i="2"/>
  <c r="CB95" i="2"/>
  <c r="BD95" i="2"/>
  <c r="DV95" i="2"/>
  <c r="CX95" i="2"/>
  <c r="BZ95" i="2"/>
  <c r="BB95" i="2"/>
  <c r="DT95" i="2"/>
  <c r="CV95" i="2"/>
  <c r="BX95" i="2"/>
  <c r="AZ95" i="2"/>
  <c r="DR95" i="2"/>
  <c r="CT95" i="2"/>
  <c r="BV95" i="2"/>
  <c r="AX95" i="2"/>
  <c r="AC96" i="2"/>
  <c r="AD96" i="2" s="1"/>
  <c r="E96" i="2"/>
  <c r="D96" i="2"/>
  <c r="V96" i="2"/>
  <c r="C97" i="2"/>
  <c r="G96" i="2"/>
  <c r="B26" i="24"/>
  <c r="W94" i="2"/>
  <c r="B95" i="2"/>
  <c r="D6" i="24"/>
  <c r="E4" i="24"/>
  <c r="C39" i="24"/>
  <c r="C17" i="24"/>
  <c r="C11" i="24"/>
  <c r="C38" i="24"/>
  <c r="C16" i="24"/>
  <c r="C10" i="24"/>
  <c r="C15" i="24"/>
  <c r="C25" i="24"/>
  <c r="C14" i="24"/>
  <c r="C34" i="24"/>
  <c r="C33" i="24"/>
  <c r="C24" i="24"/>
  <c r="C13" i="24"/>
  <c r="C23" i="24"/>
  <c r="C32" i="24"/>
  <c r="C22" i="24"/>
  <c r="C21" i="24"/>
  <c r="C20" i="24"/>
  <c r="C19" i="24"/>
  <c r="C12" i="24"/>
  <c r="C30" i="24"/>
  <c r="C31" i="24" s="1"/>
  <c r="C18" i="24"/>
  <c r="C8" i="24"/>
  <c r="F9" i="12"/>
  <c r="F9" i="4"/>
  <c r="F9" i="3"/>
  <c r="G9" i="10"/>
  <c r="F96" i="2" l="1"/>
  <c r="AB96" i="2" s="1"/>
  <c r="C26" i="24"/>
  <c r="C57" i="24" s="1"/>
  <c r="H9" i="12"/>
  <c r="G9" i="12"/>
  <c r="H9" i="3"/>
  <c r="G9" i="3"/>
  <c r="B57" i="24"/>
  <c r="E6" i="24"/>
  <c r="F4" i="24"/>
  <c r="DX96" i="2"/>
  <c r="CZ96" i="2"/>
  <c r="CB96" i="2"/>
  <c r="BD96" i="2"/>
  <c r="DV96" i="2"/>
  <c r="CX96" i="2"/>
  <c r="BZ96" i="2"/>
  <c r="BB96" i="2"/>
  <c r="DT96" i="2"/>
  <c r="CV96" i="2"/>
  <c r="BX96" i="2"/>
  <c r="AZ96" i="2"/>
  <c r="DR96" i="2"/>
  <c r="CT96" i="2"/>
  <c r="BV96" i="2"/>
  <c r="AX96" i="2"/>
  <c r="DP96" i="2"/>
  <c r="CR96" i="2"/>
  <c r="BT96" i="2"/>
  <c r="AV96" i="2"/>
  <c r="DN96" i="2"/>
  <c r="CP96" i="2"/>
  <c r="BR96" i="2"/>
  <c r="AT96" i="2"/>
  <c r="A96" i="2"/>
  <c r="DL96" i="2"/>
  <c r="CN96" i="2"/>
  <c r="BP96" i="2"/>
  <c r="AR96" i="2"/>
  <c r="DJ96" i="2"/>
  <c r="CL96" i="2"/>
  <c r="BN96" i="2"/>
  <c r="AP96" i="2"/>
  <c r="S96" i="2"/>
  <c r="T96" i="2" s="1"/>
  <c r="DH96" i="2"/>
  <c r="CJ96" i="2"/>
  <c r="BL96" i="2"/>
  <c r="AN96" i="2"/>
  <c r="DF96" i="2"/>
  <c r="CH96" i="2"/>
  <c r="BJ96" i="2"/>
  <c r="AL96" i="2"/>
  <c r="EB96" i="2"/>
  <c r="DD96" i="2"/>
  <c r="CF96" i="2"/>
  <c r="BH96" i="2"/>
  <c r="AJ96" i="2"/>
  <c r="DZ96" i="2"/>
  <c r="DB96" i="2"/>
  <c r="CD96" i="2"/>
  <c r="BF96" i="2"/>
  <c r="AH96" i="2"/>
  <c r="G97" i="2"/>
  <c r="AC97" i="2"/>
  <c r="AD97" i="2" s="1"/>
  <c r="E97" i="2"/>
  <c r="D97" i="2"/>
  <c r="V97" i="2"/>
  <c r="C98" i="2"/>
  <c r="W95" i="2"/>
  <c r="B96" i="2"/>
  <c r="D8" i="24"/>
  <c r="D9" i="24"/>
  <c r="N57" i="23"/>
  <c r="H60" i="23"/>
  <c r="B60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D38" i="24"/>
  <c r="D16" i="24"/>
  <c r="D10" i="24"/>
  <c r="D15" i="24"/>
  <c r="D25" i="24"/>
  <c r="D14" i="24"/>
  <c r="D34" i="24"/>
  <c r="D33" i="24"/>
  <c r="D24" i="24"/>
  <c r="D13" i="24"/>
  <c r="D23" i="24"/>
  <c r="D32" i="24"/>
  <c r="D22" i="24"/>
  <c r="D20" i="24"/>
  <c r="D19" i="24"/>
  <c r="D30" i="24"/>
  <c r="D18" i="24"/>
  <c r="D39" i="24"/>
  <c r="D17" i="24"/>
  <c r="D11" i="24"/>
  <c r="D21" i="24"/>
  <c r="E9" i="12"/>
  <c r="B9" i="3"/>
  <c r="E9" i="3"/>
  <c r="J9" i="4"/>
  <c r="H9" i="4"/>
  <c r="I9" i="4"/>
  <c r="B9" i="4"/>
  <c r="G9" i="4"/>
  <c r="B9" i="12"/>
  <c r="E9" i="4"/>
  <c r="F9" i="10"/>
  <c r="C9" i="10"/>
  <c r="O9" i="3"/>
  <c r="K9" i="4"/>
  <c r="D26" i="24" l="1"/>
  <c r="C9" i="3"/>
  <c r="B9" i="7"/>
  <c r="B9" i="6"/>
  <c r="B9" i="5"/>
  <c r="C9" i="4"/>
  <c r="E9" i="6"/>
  <c r="E9" i="5"/>
  <c r="E9" i="7"/>
  <c r="O9" i="4"/>
  <c r="P9" i="4" s="1"/>
  <c r="P9" i="11" s="1"/>
  <c r="D57" i="24"/>
  <c r="N27" i="23"/>
  <c r="B28" i="23"/>
  <c r="B58" i="23" s="1"/>
  <c r="M28" i="23"/>
  <c r="M58" i="23" s="1"/>
  <c r="M59" i="23" s="1"/>
  <c r="L28" i="23"/>
  <c r="F6" i="24"/>
  <c r="F9" i="24" s="1"/>
  <c r="G4" i="24"/>
  <c r="V98" i="2"/>
  <c r="C99" i="2"/>
  <c r="G98" i="2"/>
  <c r="AC98" i="2"/>
  <c r="AD98" i="2" s="1"/>
  <c r="E98" i="2"/>
  <c r="D98" i="2"/>
  <c r="E15" i="24"/>
  <c r="E25" i="24"/>
  <c r="E14" i="24"/>
  <c r="E34" i="24"/>
  <c r="E33" i="24"/>
  <c r="E24" i="24"/>
  <c r="E13" i="24"/>
  <c r="E23" i="24"/>
  <c r="E32" i="24"/>
  <c r="E22" i="24"/>
  <c r="E20" i="24"/>
  <c r="E19" i="24"/>
  <c r="E30" i="24"/>
  <c r="E31" i="24" s="1"/>
  <c r="E18" i="24"/>
  <c r="E39" i="24"/>
  <c r="E17" i="24"/>
  <c r="E11" i="24"/>
  <c r="E38" i="24"/>
  <c r="E16" i="24"/>
  <c r="E10" i="24"/>
  <c r="E21" i="24"/>
  <c r="W96" i="2"/>
  <c r="B97" i="2"/>
  <c r="K28" i="23"/>
  <c r="K58" i="23" s="1"/>
  <c r="K59" i="23" s="1"/>
  <c r="D31" i="24"/>
  <c r="I28" i="23"/>
  <c r="I58" i="23" s="1"/>
  <c r="I59" i="23" s="1"/>
  <c r="F97" i="2"/>
  <c r="AB97" i="2" s="1"/>
  <c r="E8" i="24"/>
  <c r="H28" i="23"/>
  <c r="H58" i="23" s="1"/>
  <c r="H59" i="23" s="1"/>
  <c r="E9" i="24"/>
  <c r="G28" i="23"/>
  <c r="G58" i="23" s="1"/>
  <c r="G59" i="23" s="1"/>
  <c r="J28" i="23"/>
  <c r="J58" i="23" s="1"/>
  <c r="J59" i="23" s="1"/>
  <c r="F28" i="23"/>
  <c r="F58" i="23" s="1"/>
  <c r="F59" i="23" s="1"/>
  <c r="DH97" i="2"/>
  <c r="CJ97" i="2"/>
  <c r="BL97" i="2"/>
  <c r="AN97" i="2"/>
  <c r="DF97" i="2"/>
  <c r="CH97" i="2"/>
  <c r="BJ97" i="2"/>
  <c r="AL97" i="2"/>
  <c r="EB97" i="2"/>
  <c r="DD97" i="2"/>
  <c r="CF97" i="2"/>
  <c r="BH97" i="2"/>
  <c r="AJ97" i="2"/>
  <c r="DZ97" i="2"/>
  <c r="DB97" i="2"/>
  <c r="CD97" i="2"/>
  <c r="BF97" i="2"/>
  <c r="AH97" i="2"/>
  <c r="DX97" i="2"/>
  <c r="CZ97" i="2"/>
  <c r="CB97" i="2"/>
  <c r="BD97" i="2"/>
  <c r="DV97" i="2"/>
  <c r="CX97" i="2"/>
  <c r="BZ97" i="2"/>
  <c r="BB97" i="2"/>
  <c r="DT97" i="2"/>
  <c r="CV97" i="2"/>
  <c r="BX97" i="2"/>
  <c r="AZ97" i="2"/>
  <c r="DR97" i="2"/>
  <c r="CT97" i="2"/>
  <c r="BV97" i="2"/>
  <c r="AX97" i="2"/>
  <c r="DP97" i="2"/>
  <c r="CR97" i="2"/>
  <c r="BT97" i="2"/>
  <c r="AV97" i="2"/>
  <c r="DN97" i="2"/>
  <c r="CP97" i="2"/>
  <c r="BR97" i="2"/>
  <c r="AT97" i="2"/>
  <c r="A97" i="2"/>
  <c r="DL97" i="2"/>
  <c r="CN97" i="2"/>
  <c r="BP97" i="2"/>
  <c r="AR97" i="2"/>
  <c r="DJ97" i="2"/>
  <c r="CL97" i="2"/>
  <c r="BN97" i="2"/>
  <c r="AP97" i="2"/>
  <c r="S97" i="2"/>
  <c r="T97" i="2" s="1"/>
  <c r="E28" i="23"/>
  <c r="E58" i="23" s="1"/>
  <c r="E59" i="23" s="1"/>
  <c r="D28" i="23"/>
  <c r="D58" i="23" s="1"/>
  <c r="D59" i="23" s="1"/>
  <c r="C28" i="23"/>
  <c r="C58" i="23" s="1"/>
  <c r="C59" i="23" s="1"/>
  <c r="H9" i="10"/>
  <c r="E26" i="24" l="1"/>
  <c r="E57" i="24" s="1"/>
  <c r="J9" i="10"/>
  <c r="K9" i="10" s="1"/>
  <c r="I9" i="10"/>
  <c r="L58" i="23"/>
  <c r="L59" i="23" s="1"/>
  <c r="DP98" i="2"/>
  <c r="CR98" i="2"/>
  <c r="BT98" i="2"/>
  <c r="AV98" i="2"/>
  <c r="DN98" i="2"/>
  <c r="CP98" i="2"/>
  <c r="BR98" i="2"/>
  <c r="AT98" i="2"/>
  <c r="A98" i="2"/>
  <c r="DL98" i="2"/>
  <c r="CN98" i="2"/>
  <c r="BP98" i="2"/>
  <c r="AR98" i="2"/>
  <c r="DJ98" i="2"/>
  <c r="CL98" i="2"/>
  <c r="BN98" i="2"/>
  <c r="AP98" i="2"/>
  <c r="S98" i="2"/>
  <c r="T98" i="2" s="1"/>
  <c r="DH98" i="2"/>
  <c r="CJ98" i="2"/>
  <c r="BL98" i="2"/>
  <c r="AN98" i="2"/>
  <c r="DF98" i="2"/>
  <c r="CH98" i="2"/>
  <c r="BJ98" i="2"/>
  <c r="AL98" i="2"/>
  <c r="EB98" i="2"/>
  <c r="DD98" i="2"/>
  <c r="CF98" i="2"/>
  <c r="BH98" i="2"/>
  <c r="AJ98" i="2"/>
  <c r="DZ98" i="2"/>
  <c r="DB98" i="2"/>
  <c r="CD98" i="2"/>
  <c r="BF98" i="2"/>
  <c r="AH98" i="2"/>
  <c r="DX98" i="2"/>
  <c r="CZ98" i="2"/>
  <c r="CB98" i="2"/>
  <c r="BD98" i="2"/>
  <c r="DV98" i="2"/>
  <c r="CX98" i="2"/>
  <c r="BZ98" i="2"/>
  <c r="BB98" i="2"/>
  <c r="DT98" i="2"/>
  <c r="CV98" i="2"/>
  <c r="BX98" i="2"/>
  <c r="AZ98" i="2"/>
  <c r="DR98" i="2"/>
  <c r="CT98" i="2"/>
  <c r="BV98" i="2"/>
  <c r="AX98" i="2"/>
  <c r="AC99" i="2"/>
  <c r="AD99" i="2" s="1"/>
  <c r="E99" i="2"/>
  <c r="D99" i="2"/>
  <c r="F99" i="2" s="1"/>
  <c r="AB99" i="2" s="1"/>
  <c r="V99" i="2"/>
  <c r="C100" i="2"/>
  <c r="G99" i="2"/>
  <c r="W97" i="2"/>
  <c r="B98" i="2"/>
  <c r="G6" i="24"/>
  <c r="G9" i="24" s="1"/>
  <c r="H4" i="24"/>
  <c r="B59" i="23"/>
  <c r="F25" i="24"/>
  <c r="F14" i="24"/>
  <c r="F34" i="24"/>
  <c r="F33" i="24"/>
  <c r="F24" i="24"/>
  <c r="F13" i="24"/>
  <c r="F23" i="24"/>
  <c r="F32" i="24"/>
  <c r="F22" i="24"/>
  <c r="F20" i="24"/>
  <c r="F19" i="24"/>
  <c r="F30" i="24"/>
  <c r="F31" i="24" s="1"/>
  <c r="F18" i="24"/>
  <c r="F39" i="24"/>
  <c r="F17" i="24"/>
  <c r="F11" i="24"/>
  <c r="F38" i="24"/>
  <c r="F16" i="24"/>
  <c r="F10" i="24"/>
  <c r="F15" i="24"/>
  <c r="F21" i="24"/>
  <c r="N28" i="23"/>
  <c r="F8" i="24"/>
  <c r="F98" i="2"/>
  <c r="AB98" i="2" s="1"/>
  <c r="D9" i="11"/>
  <c r="J9" i="11" s="1"/>
  <c r="D9" i="5"/>
  <c r="D9" i="6" s="1"/>
  <c r="N58" i="23" l="1"/>
  <c r="N59" i="23" s="1"/>
  <c r="F60" i="23" s="1"/>
  <c r="G60" i="23" s="1"/>
  <c r="N9" i="11"/>
  <c r="F26" i="24"/>
  <c r="F57" i="24" s="1"/>
  <c r="K9" i="11"/>
  <c r="L9" i="11"/>
  <c r="M9" i="11"/>
  <c r="O9" i="11"/>
  <c r="DX99" i="2"/>
  <c r="CZ99" i="2"/>
  <c r="CB99" i="2"/>
  <c r="BD99" i="2"/>
  <c r="DV99" i="2"/>
  <c r="CX99" i="2"/>
  <c r="BZ99" i="2"/>
  <c r="BB99" i="2"/>
  <c r="DT99" i="2"/>
  <c r="CV99" i="2"/>
  <c r="BX99" i="2"/>
  <c r="AZ99" i="2"/>
  <c r="DR99" i="2"/>
  <c r="CT99" i="2"/>
  <c r="BV99" i="2"/>
  <c r="AX99" i="2"/>
  <c r="DP99" i="2"/>
  <c r="CR99" i="2"/>
  <c r="BT99" i="2"/>
  <c r="AV99" i="2"/>
  <c r="DN99" i="2"/>
  <c r="CP99" i="2"/>
  <c r="BR99" i="2"/>
  <c r="AT99" i="2"/>
  <c r="A99" i="2"/>
  <c r="DL99" i="2"/>
  <c r="CN99" i="2"/>
  <c r="BP99" i="2"/>
  <c r="AR99" i="2"/>
  <c r="DJ99" i="2"/>
  <c r="CL99" i="2"/>
  <c r="BN99" i="2"/>
  <c r="AP99" i="2"/>
  <c r="S99" i="2"/>
  <c r="T99" i="2" s="1"/>
  <c r="DH99" i="2"/>
  <c r="CJ99" i="2"/>
  <c r="BL99" i="2"/>
  <c r="AN99" i="2"/>
  <c r="DF99" i="2"/>
  <c r="CH99" i="2"/>
  <c r="BJ99" i="2"/>
  <c r="AL99" i="2"/>
  <c r="EB99" i="2"/>
  <c r="DD99" i="2"/>
  <c r="CF99" i="2"/>
  <c r="BH99" i="2"/>
  <c r="AJ99" i="2"/>
  <c r="DZ99" i="2"/>
  <c r="DB99" i="2"/>
  <c r="CD99" i="2"/>
  <c r="BF99" i="2"/>
  <c r="AH99" i="2"/>
  <c r="G100" i="2"/>
  <c r="AC100" i="2"/>
  <c r="AD100" i="2" s="1"/>
  <c r="E100" i="2"/>
  <c r="D100" i="2"/>
  <c r="F100" i="2" s="1"/>
  <c r="AB100" i="2" s="1"/>
  <c r="V100" i="2"/>
  <c r="C101" i="2"/>
  <c r="W98" i="2"/>
  <c r="B99" i="2"/>
  <c r="G8" i="24"/>
  <c r="R9" i="6"/>
  <c r="D9" i="7"/>
  <c r="D9" i="8" s="1"/>
  <c r="D9" i="9" s="1"/>
  <c r="D9" i="10" s="1"/>
  <c r="C9" i="12" s="1"/>
  <c r="H6" i="24"/>
  <c r="I4" i="24"/>
  <c r="G25" i="24"/>
  <c r="G14" i="24"/>
  <c r="G34" i="24"/>
  <c r="G33" i="24"/>
  <c r="G24" i="24"/>
  <c r="G13" i="24"/>
  <c r="G23" i="24"/>
  <c r="G32" i="24"/>
  <c r="G22" i="24"/>
  <c r="G20" i="24"/>
  <c r="G19" i="24"/>
  <c r="G30" i="24"/>
  <c r="G31" i="24" s="1"/>
  <c r="G18" i="24"/>
  <c r="G39" i="24"/>
  <c r="G17" i="24"/>
  <c r="G11" i="24"/>
  <c r="G38" i="24"/>
  <c r="G16" i="24"/>
  <c r="G10" i="24"/>
  <c r="G15" i="24"/>
  <c r="G21" i="24"/>
  <c r="I60" i="23" l="1"/>
  <c r="H9" i="24"/>
  <c r="H7" i="24"/>
  <c r="N7" i="24" s="1"/>
  <c r="G9" i="11"/>
  <c r="H9" i="11" s="1"/>
  <c r="G26" i="24"/>
  <c r="G57" i="24" s="1"/>
  <c r="H8" i="24"/>
  <c r="C102" i="2"/>
  <c r="V101" i="2"/>
  <c r="G101" i="2"/>
  <c r="AC101" i="2"/>
  <c r="AD101" i="2" s="1"/>
  <c r="E101" i="2"/>
  <c r="D101" i="2"/>
  <c r="W99" i="2"/>
  <c r="B100" i="2"/>
  <c r="I6" i="24"/>
  <c r="I8" i="24" s="1"/>
  <c r="J4" i="24"/>
  <c r="H34" i="24"/>
  <c r="H33" i="24"/>
  <c r="H24" i="24"/>
  <c r="H13" i="24"/>
  <c r="H23" i="24"/>
  <c r="H32" i="24"/>
  <c r="H22" i="24"/>
  <c r="H20" i="24"/>
  <c r="H19" i="24"/>
  <c r="H30" i="24"/>
  <c r="H31" i="24" s="1"/>
  <c r="H18" i="24"/>
  <c r="H39" i="24"/>
  <c r="H17" i="24"/>
  <c r="H11" i="24"/>
  <c r="H38" i="24"/>
  <c r="H16" i="24"/>
  <c r="H10" i="24"/>
  <c r="H15" i="24"/>
  <c r="H25" i="24"/>
  <c r="H14" i="24"/>
  <c r="H21" i="24"/>
  <c r="DH100" i="2"/>
  <c r="CJ100" i="2"/>
  <c r="BL100" i="2"/>
  <c r="AN100" i="2"/>
  <c r="DF100" i="2"/>
  <c r="CH100" i="2"/>
  <c r="BJ100" i="2"/>
  <c r="AL100" i="2"/>
  <c r="EB100" i="2"/>
  <c r="DD100" i="2"/>
  <c r="CF100" i="2"/>
  <c r="BH100" i="2"/>
  <c r="AJ100" i="2"/>
  <c r="DZ100" i="2"/>
  <c r="DB100" i="2"/>
  <c r="CD100" i="2"/>
  <c r="BF100" i="2"/>
  <c r="AH100" i="2"/>
  <c r="DX100" i="2"/>
  <c r="CZ100" i="2"/>
  <c r="CB100" i="2"/>
  <c r="BD100" i="2"/>
  <c r="DV100" i="2"/>
  <c r="CX100" i="2"/>
  <c r="BZ100" i="2"/>
  <c r="BB100" i="2"/>
  <c r="DT100" i="2"/>
  <c r="CV100" i="2"/>
  <c r="BX100" i="2"/>
  <c r="AZ100" i="2"/>
  <c r="DR100" i="2"/>
  <c r="CT100" i="2"/>
  <c r="BV100" i="2"/>
  <c r="AX100" i="2"/>
  <c r="DP100" i="2"/>
  <c r="CR100" i="2"/>
  <c r="BT100" i="2"/>
  <c r="AV100" i="2"/>
  <c r="DN100" i="2"/>
  <c r="CP100" i="2"/>
  <c r="BR100" i="2"/>
  <c r="AT100" i="2"/>
  <c r="A100" i="2"/>
  <c r="DL100" i="2"/>
  <c r="CN100" i="2"/>
  <c r="BP100" i="2"/>
  <c r="AR100" i="2"/>
  <c r="DJ100" i="2"/>
  <c r="CL100" i="2"/>
  <c r="BN100" i="2"/>
  <c r="AP100" i="2"/>
  <c r="S100" i="2"/>
  <c r="T100" i="2" s="1"/>
  <c r="C9" i="11" l="1"/>
  <c r="E9" i="11" s="1"/>
  <c r="H26" i="24"/>
  <c r="H57" i="24" s="1"/>
  <c r="I9" i="24"/>
  <c r="DJ101" i="2"/>
  <c r="DR101" i="2"/>
  <c r="CR101" i="2"/>
  <c r="BT101" i="2"/>
  <c r="AV101" i="2"/>
  <c r="DP101" i="2"/>
  <c r="CP101" i="2"/>
  <c r="BR101" i="2"/>
  <c r="AT101" i="2"/>
  <c r="A101" i="2"/>
  <c r="DN101" i="2"/>
  <c r="CN101" i="2"/>
  <c r="BP101" i="2"/>
  <c r="AR101" i="2"/>
  <c r="DL101" i="2"/>
  <c r="CL101" i="2"/>
  <c r="BN101" i="2"/>
  <c r="AP101" i="2"/>
  <c r="S101" i="2"/>
  <c r="T101" i="2" s="1"/>
  <c r="DH101" i="2"/>
  <c r="CJ101" i="2"/>
  <c r="BL101" i="2"/>
  <c r="AN101" i="2"/>
  <c r="DF101" i="2"/>
  <c r="CH101" i="2"/>
  <c r="BJ101" i="2"/>
  <c r="AL101" i="2"/>
  <c r="DD101" i="2"/>
  <c r="CF101" i="2"/>
  <c r="BH101" i="2"/>
  <c r="AJ101" i="2"/>
  <c r="EB101" i="2"/>
  <c r="DB101" i="2"/>
  <c r="CD101" i="2"/>
  <c r="BF101" i="2"/>
  <c r="AH101" i="2"/>
  <c r="DZ101" i="2"/>
  <c r="CZ101" i="2"/>
  <c r="CB101" i="2"/>
  <c r="BD101" i="2"/>
  <c r="DX101" i="2"/>
  <c r="CX101" i="2"/>
  <c r="BZ101" i="2"/>
  <c r="BB101" i="2"/>
  <c r="DV101" i="2"/>
  <c r="CV101" i="2"/>
  <c r="BX101" i="2"/>
  <c r="AZ101" i="2"/>
  <c r="DT101" i="2"/>
  <c r="CT101" i="2"/>
  <c r="BV101" i="2"/>
  <c r="AX101" i="2"/>
  <c r="W100" i="2"/>
  <c r="B101" i="2"/>
  <c r="J6" i="24"/>
  <c r="K4" i="24"/>
  <c r="V102" i="2"/>
  <c r="C103" i="2"/>
  <c r="G102" i="2"/>
  <c r="E102" i="2"/>
  <c r="D102" i="2"/>
  <c r="AC102" i="2"/>
  <c r="AD102" i="2" s="1"/>
  <c r="I33" i="24"/>
  <c r="I24" i="24"/>
  <c r="I13" i="24"/>
  <c r="I23" i="24"/>
  <c r="I32" i="24"/>
  <c r="I22" i="24"/>
  <c r="I20" i="24"/>
  <c r="I19" i="24"/>
  <c r="I30" i="24"/>
  <c r="I31" i="24" s="1"/>
  <c r="I18" i="24"/>
  <c r="I39" i="24"/>
  <c r="I17" i="24"/>
  <c r="I11" i="24"/>
  <c r="I38" i="24"/>
  <c r="I16" i="24"/>
  <c r="I10" i="24"/>
  <c r="I15" i="24"/>
  <c r="I25" i="24"/>
  <c r="I14" i="24"/>
  <c r="I34" i="24"/>
  <c r="I21" i="24"/>
  <c r="F101" i="2"/>
  <c r="AB101" i="2" s="1"/>
  <c r="F102" i="2" l="1"/>
  <c r="AB102" i="2" s="1"/>
  <c r="I26" i="24"/>
  <c r="I57" i="24" s="1"/>
  <c r="L4" i="24"/>
  <c r="K6" i="24"/>
  <c r="J23" i="24"/>
  <c r="J32" i="24"/>
  <c r="J22" i="24"/>
  <c r="J20" i="24"/>
  <c r="J19" i="24"/>
  <c r="J30" i="24"/>
  <c r="J31" i="24" s="1"/>
  <c r="J18" i="24"/>
  <c r="J39" i="24"/>
  <c r="J17" i="24"/>
  <c r="J11" i="24"/>
  <c r="J38" i="24"/>
  <c r="J16" i="24"/>
  <c r="J10" i="24"/>
  <c r="J15" i="24"/>
  <c r="J25" i="24"/>
  <c r="J14" i="24"/>
  <c r="J34" i="24"/>
  <c r="J12" i="24"/>
  <c r="J24" i="24"/>
  <c r="J13" i="24"/>
  <c r="J33" i="24"/>
  <c r="J21" i="24"/>
  <c r="DT102" i="2"/>
  <c r="CV102" i="2"/>
  <c r="BX102" i="2"/>
  <c r="AZ102" i="2"/>
  <c r="DR102" i="2"/>
  <c r="CT102" i="2"/>
  <c r="BV102" i="2"/>
  <c r="AX102" i="2"/>
  <c r="DP102" i="2"/>
  <c r="CR102" i="2"/>
  <c r="BT102" i="2"/>
  <c r="AV102" i="2"/>
  <c r="DL102" i="2"/>
  <c r="CN102" i="2"/>
  <c r="BP102" i="2"/>
  <c r="DJ102" i="2"/>
  <c r="CL102" i="2"/>
  <c r="BN102" i="2"/>
  <c r="AP102" i="2"/>
  <c r="DH102" i="2"/>
  <c r="CJ102" i="2"/>
  <c r="BL102" i="2"/>
  <c r="EB102" i="2"/>
  <c r="DD102" i="2"/>
  <c r="CF102" i="2"/>
  <c r="BH102" i="2"/>
  <c r="AJ102" i="2"/>
  <c r="DZ102" i="2"/>
  <c r="DB102" i="2"/>
  <c r="CD102" i="2"/>
  <c r="BF102" i="2"/>
  <c r="AH102" i="2"/>
  <c r="DN102" i="2"/>
  <c r="AT102" i="2"/>
  <c r="DF102" i="2"/>
  <c r="AR102" i="2"/>
  <c r="CZ102" i="2"/>
  <c r="AN102" i="2"/>
  <c r="CX102" i="2"/>
  <c r="AL102" i="2"/>
  <c r="CP102" i="2"/>
  <c r="CH102" i="2"/>
  <c r="CB102" i="2"/>
  <c r="A102" i="2"/>
  <c r="BZ102" i="2"/>
  <c r="BR102" i="2"/>
  <c r="BJ102" i="2"/>
  <c r="S102" i="2"/>
  <c r="T102" i="2" s="1"/>
  <c r="DX102" i="2"/>
  <c r="BD102" i="2"/>
  <c r="DV102" i="2"/>
  <c r="BB102" i="2"/>
  <c r="G103" i="2"/>
  <c r="D103" i="2"/>
  <c r="V103" i="2"/>
  <c r="C104" i="2"/>
  <c r="AC103" i="2"/>
  <c r="AD103" i="2" s="1"/>
  <c r="E103" i="2"/>
  <c r="W101" i="2"/>
  <c r="B102" i="2"/>
  <c r="J8" i="24"/>
  <c r="J9" i="24"/>
  <c r="J26" i="24" l="1"/>
  <c r="J57" i="24" s="1"/>
  <c r="C105" i="2"/>
  <c r="G104" i="2"/>
  <c r="AC104" i="2"/>
  <c r="AD104" i="2" s="1"/>
  <c r="E104" i="2"/>
  <c r="D104" i="2"/>
  <c r="F104" i="2" s="1"/>
  <c r="AB104" i="2" s="1"/>
  <c r="V104" i="2"/>
  <c r="K32" i="24"/>
  <c r="K22" i="24"/>
  <c r="K20" i="24"/>
  <c r="K19" i="24"/>
  <c r="K30" i="24"/>
  <c r="K31" i="24" s="1"/>
  <c r="K18" i="24"/>
  <c r="K39" i="24"/>
  <c r="K17" i="24"/>
  <c r="K11" i="24"/>
  <c r="K38" i="24"/>
  <c r="K16" i="24"/>
  <c r="K10" i="24"/>
  <c r="K15" i="24"/>
  <c r="K25" i="24"/>
  <c r="K14" i="24"/>
  <c r="K34" i="24"/>
  <c r="K12" i="24"/>
  <c r="N12" i="24" s="1"/>
  <c r="K33" i="24"/>
  <c r="K24" i="24"/>
  <c r="K13" i="24"/>
  <c r="K23" i="24"/>
  <c r="K21" i="24"/>
  <c r="F103" i="2"/>
  <c r="AB103" i="2" s="1"/>
  <c r="W102" i="2"/>
  <c r="B103" i="2"/>
  <c r="L6" i="24"/>
  <c r="M4" i="24"/>
  <c r="K8" i="24"/>
  <c r="K9" i="24"/>
  <c r="DF103" i="2"/>
  <c r="CH103" i="2"/>
  <c r="BJ103" i="2"/>
  <c r="EB103" i="2"/>
  <c r="DD103" i="2"/>
  <c r="CF103" i="2"/>
  <c r="BH103" i="2"/>
  <c r="AJ103" i="2"/>
  <c r="DZ103" i="2"/>
  <c r="DB103" i="2"/>
  <c r="CD103" i="2"/>
  <c r="BF103" i="2"/>
  <c r="AH103" i="2"/>
  <c r="DX103" i="2"/>
  <c r="CZ103" i="2"/>
  <c r="CB103" i="2"/>
  <c r="BD103" i="2"/>
  <c r="DV103" i="2"/>
  <c r="DT103" i="2"/>
  <c r="CV103" i="2"/>
  <c r="BX103" i="2"/>
  <c r="AZ103" i="2"/>
  <c r="DR103" i="2"/>
  <c r="CT103" i="2"/>
  <c r="BV103" i="2"/>
  <c r="AX103" i="2"/>
  <c r="DP103" i="2"/>
  <c r="CR103" i="2"/>
  <c r="BT103" i="2"/>
  <c r="AV103" i="2"/>
  <c r="DN103" i="2"/>
  <c r="CP103" i="2"/>
  <c r="BR103" i="2"/>
  <c r="DL103" i="2"/>
  <c r="CN103" i="2"/>
  <c r="BP103" i="2"/>
  <c r="AR103" i="2"/>
  <c r="DJ103" i="2"/>
  <c r="CL103" i="2"/>
  <c r="BN103" i="2"/>
  <c r="AP103" i="2"/>
  <c r="S103" i="2"/>
  <c r="T103" i="2" s="1"/>
  <c r="DH103" i="2"/>
  <c r="CJ103" i="2"/>
  <c r="BL103" i="2"/>
  <c r="AN103" i="2"/>
  <c r="BB103" i="2"/>
  <c r="AT103" i="2"/>
  <c r="AL103" i="2"/>
  <c r="A103" i="2"/>
  <c r="CX103" i="2"/>
  <c r="BZ103" i="2"/>
  <c r="I10" i="9"/>
  <c r="H10" i="9"/>
  <c r="K26" i="24" l="1"/>
  <c r="K57" i="24" s="1"/>
  <c r="B4" i="25"/>
  <c r="M6" i="24"/>
  <c r="L20" i="24"/>
  <c r="L19" i="24"/>
  <c r="L30" i="24"/>
  <c r="L31" i="24" s="1"/>
  <c r="L18" i="24"/>
  <c r="L39" i="24"/>
  <c r="L17" i="24"/>
  <c r="L11" i="24"/>
  <c r="L38" i="24"/>
  <c r="L16" i="24"/>
  <c r="L10" i="24"/>
  <c r="L15" i="24"/>
  <c r="L25" i="24"/>
  <c r="L14" i="24"/>
  <c r="L34" i="24"/>
  <c r="L33" i="24"/>
  <c r="L24" i="24"/>
  <c r="L13" i="24"/>
  <c r="L23" i="24"/>
  <c r="L22" i="24"/>
  <c r="L32" i="24"/>
  <c r="L21" i="24"/>
  <c r="W103" i="2"/>
  <c r="B104" i="2"/>
  <c r="L8" i="24"/>
  <c r="L9" i="24"/>
  <c r="DN104" i="2"/>
  <c r="CP104" i="2"/>
  <c r="BR104" i="2"/>
  <c r="AT104" i="2"/>
  <c r="A104" i="2"/>
  <c r="DL104" i="2"/>
  <c r="CN104" i="2"/>
  <c r="BP104" i="2"/>
  <c r="AR104" i="2"/>
  <c r="DJ104" i="2"/>
  <c r="CL104" i="2"/>
  <c r="BN104" i="2"/>
  <c r="AP104" i="2"/>
  <c r="S104" i="2"/>
  <c r="T104" i="2" s="1"/>
  <c r="DH104" i="2"/>
  <c r="CJ104" i="2"/>
  <c r="BL104" i="2"/>
  <c r="AN104" i="2"/>
  <c r="DF104" i="2"/>
  <c r="CH104" i="2"/>
  <c r="BJ104" i="2"/>
  <c r="AL104" i="2"/>
  <c r="EB104" i="2"/>
  <c r="DD104" i="2"/>
  <c r="CF104" i="2"/>
  <c r="BH104" i="2"/>
  <c r="AJ104" i="2"/>
  <c r="DZ104" i="2"/>
  <c r="DB104" i="2"/>
  <c r="CD104" i="2"/>
  <c r="BF104" i="2"/>
  <c r="AH104" i="2"/>
  <c r="DX104" i="2"/>
  <c r="CZ104" i="2"/>
  <c r="CB104" i="2"/>
  <c r="BD104" i="2"/>
  <c r="DV104" i="2"/>
  <c r="CX104" i="2"/>
  <c r="BZ104" i="2"/>
  <c r="BB104" i="2"/>
  <c r="DT104" i="2"/>
  <c r="CV104" i="2"/>
  <c r="BX104" i="2"/>
  <c r="AZ104" i="2"/>
  <c r="DR104" i="2"/>
  <c r="CT104" i="2"/>
  <c r="BV104" i="2"/>
  <c r="AX104" i="2"/>
  <c r="DP104" i="2"/>
  <c r="CR104" i="2"/>
  <c r="BT104" i="2"/>
  <c r="AV104" i="2"/>
  <c r="E105" i="2"/>
  <c r="D105" i="2"/>
  <c r="F105" i="2" s="1"/>
  <c r="AB105" i="2" s="1"/>
  <c r="C106" i="2"/>
  <c r="V105" i="2"/>
  <c r="AC105" i="2"/>
  <c r="AD105" i="2" s="1"/>
  <c r="G105" i="2"/>
  <c r="L26" i="24" l="1"/>
  <c r="L57" i="24" s="1"/>
  <c r="AC106" i="2"/>
  <c r="AD106" i="2" s="1"/>
  <c r="E106" i="2"/>
  <c r="D106" i="2"/>
  <c r="V106" i="2"/>
  <c r="C107" i="2"/>
  <c r="G106" i="2"/>
  <c r="M19" i="24"/>
  <c r="N19" i="24" s="1"/>
  <c r="M30" i="24"/>
  <c r="N30" i="24" s="1"/>
  <c r="M18" i="24"/>
  <c r="N18" i="24" s="1"/>
  <c r="M39" i="24"/>
  <c r="N39" i="24" s="1"/>
  <c r="M17" i="24"/>
  <c r="N17" i="24" s="1"/>
  <c r="M11" i="24"/>
  <c r="N11" i="24" s="1"/>
  <c r="M38" i="24"/>
  <c r="N38" i="24" s="1"/>
  <c r="M16" i="24"/>
  <c r="N16" i="24" s="1"/>
  <c r="M10" i="24"/>
  <c r="N10" i="24" s="1"/>
  <c r="M15" i="24"/>
  <c r="N15" i="24" s="1"/>
  <c r="M25" i="24"/>
  <c r="N25" i="24" s="1"/>
  <c r="M14" i="24"/>
  <c r="N14" i="24" s="1"/>
  <c r="M34" i="24"/>
  <c r="N34" i="24" s="1"/>
  <c r="M33" i="24"/>
  <c r="N33" i="24" s="1"/>
  <c r="M24" i="24"/>
  <c r="N24" i="24" s="1"/>
  <c r="M13" i="24"/>
  <c r="N13" i="24" s="1"/>
  <c r="M23" i="24"/>
  <c r="N23" i="24" s="1"/>
  <c r="M32" i="24"/>
  <c r="N32" i="24" s="1"/>
  <c r="M22" i="24"/>
  <c r="N22" i="24" s="1"/>
  <c r="M20" i="24"/>
  <c r="N20" i="24" s="1"/>
  <c r="N6" i="24"/>
  <c r="M21" i="24"/>
  <c r="N21" i="24" s="1"/>
  <c r="C4" i="25"/>
  <c r="B6" i="25"/>
  <c r="M8" i="24"/>
  <c r="N8" i="24" s="1"/>
  <c r="W104" i="2"/>
  <c r="B105" i="2"/>
  <c r="M9" i="24"/>
  <c r="N9" i="24" s="1"/>
  <c r="DR105" i="2"/>
  <c r="CT105" i="2"/>
  <c r="BV105" i="2"/>
  <c r="AX105" i="2"/>
  <c r="DP105" i="2"/>
  <c r="CR105" i="2"/>
  <c r="BT105" i="2"/>
  <c r="AV105" i="2"/>
  <c r="DN105" i="2"/>
  <c r="CP105" i="2"/>
  <c r="BR105" i="2"/>
  <c r="AT105" i="2"/>
  <c r="DL105" i="2"/>
  <c r="CN105" i="2"/>
  <c r="BP105" i="2"/>
  <c r="AR105" i="2"/>
  <c r="DJ105" i="2"/>
  <c r="CL105" i="2"/>
  <c r="BN105" i="2"/>
  <c r="AP105" i="2"/>
  <c r="A105" i="2"/>
  <c r="DH105" i="2"/>
  <c r="CJ105" i="2"/>
  <c r="BL105" i="2"/>
  <c r="AN105" i="2"/>
  <c r="DF105" i="2"/>
  <c r="CH105" i="2"/>
  <c r="BJ105" i="2"/>
  <c r="AL105" i="2"/>
  <c r="S105" i="2"/>
  <c r="T105" i="2" s="1"/>
  <c r="EB105" i="2"/>
  <c r="DD105" i="2"/>
  <c r="CF105" i="2"/>
  <c r="BH105" i="2"/>
  <c r="AJ105" i="2"/>
  <c r="DZ105" i="2"/>
  <c r="DB105" i="2"/>
  <c r="CD105" i="2"/>
  <c r="BF105" i="2"/>
  <c r="AH105" i="2"/>
  <c r="DX105" i="2"/>
  <c r="CZ105" i="2"/>
  <c r="CB105" i="2"/>
  <c r="BD105" i="2"/>
  <c r="DV105" i="2"/>
  <c r="CX105" i="2"/>
  <c r="BZ105" i="2"/>
  <c r="BB105" i="2"/>
  <c r="DT105" i="2"/>
  <c r="CV105" i="2"/>
  <c r="BX105" i="2"/>
  <c r="AZ105" i="2"/>
  <c r="L10" i="8"/>
  <c r="O10" i="8"/>
  <c r="M10" i="9"/>
  <c r="I10" i="8"/>
  <c r="J10" i="9"/>
  <c r="L10" i="9"/>
  <c r="F10" i="8"/>
  <c r="F10" i="9"/>
  <c r="K10" i="9"/>
  <c r="N10" i="9"/>
  <c r="G10" i="9"/>
  <c r="F106" i="2" l="1"/>
  <c r="AB106" i="2" s="1"/>
  <c r="K10" i="8"/>
  <c r="N10" i="8"/>
  <c r="Q10" i="8"/>
  <c r="B9" i="25"/>
  <c r="B7" i="25"/>
  <c r="J10" i="8"/>
  <c r="M10" i="8"/>
  <c r="O10" i="9"/>
  <c r="P10" i="9" s="1"/>
  <c r="R10" i="8"/>
  <c r="S10" i="8" s="1"/>
  <c r="H10" i="8"/>
  <c r="G10" i="8"/>
  <c r="P10" i="8"/>
  <c r="M26" i="24"/>
  <c r="M31" i="24"/>
  <c r="N31" i="24" s="1"/>
  <c r="DV106" i="2"/>
  <c r="CX106" i="2"/>
  <c r="BZ106" i="2"/>
  <c r="BB106" i="2"/>
  <c r="DT106" i="2"/>
  <c r="CV106" i="2"/>
  <c r="BX106" i="2"/>
  <c r="AZ106" i="2"/>
  <c r="DR106" i="2"/>
  <c r="CT106" i="2"/>
  <c r="BV106" i="2"/>
  <c r="AX106" i="2"/>
  <c r="DP106" i="2"/>
  <c r="CR106" i="2"/>
  <c r="BT106" i="2"/>
  <c r="AV106" i="2"/>
  <c r="DN106" i="2"/>
  <c r="CP106" i="2"/>
  <c r="BR106" i="2"/>
  <c r="AT106" i="2"/>
  <c r="DL106" i="2"/>
  <c r="CN106" i="2"/>
  <c r="BP106" i="2"/>
  <c r="AR106" i="2"/>
  <c r="A106" i="2"/>
  <c r="DJ106" i="2"/>
  <c r="CL106" i="2"/>
  <c r="BN106" i="2"/>
  <c r="AP106" i="2"/>
  <c r="DH106" i="2"/>
  <c r="CJ106" i="2"/>
  <c r="BL106" i="2"/>
  <c r="S106" i="2"/>
  <c r="T106" i="2" s="1"/>
  <c r="DF106" i="2"/>
  <c r="CH106" i="2"/>
  <c r="BJ106" i="2"/>
  <c r="AN106" i="2"/>
  <c r="EB106" i="2"/>
  <c r="DD106" i="2"/>
  <c r="CF106" i="2"/>
  <c r="BH106" i="2"/>
  <c r="AL106" i="2"/>
  <c r="DZ106" i="2"/>
  <c r="DB106" i="2"/>
  <c r="CD106" i="2"/>
  <c r="BF106" i="2"/>
  <c r="AJ106" i="2"/>
  <c r="DX106" i="2"/>
  <c r="CZ106" i="2"/>
  <c r="CB106" i="2"/>
  <c r="BD106" i="2"/>
  <c r="AH106" i="2"/>
  <c r="G107" i="2"/>
  <c r="AC107" i="2"/>
  <c r="AD107" i="2" s="1"/>
  <c r="E107" i="2"/>
  <c r="D107" i="2"/>
  <c r="V107" i="2"/>
  <c r="C108" i="2"/>
  <c r="W105" i="2"/>
  <c r="B106" i="2"/>
  <c r="B8" i="25"/>
  <c r="B15" i="25"/>
  <c r="B25" i="25"/>
  <c r="B14" i="25"/>
  <c r="B34" i="25"/>
  <c r="B24" i="25"/>
  <c r="B13" i="25"/>
  <c r="B23" i="25"/>
  <c r="B21" i="25"/>
  <c r="B20" i="25"/>
  <c r="B19" i="25"/>
  <c r="B30" i="25"/>
  <c r="B18" i="25"/>
  <c r="B12" i="25"/>
  <c r="B39" i="25"/>
  <c r="B17" i="25"/>
  <c r="B11" i="25"/>
  <c r="B38" i="25"/>
  <c r="B16" i="25"/>
  <c r="B10" i="25"/>
  <c r="D4" i="25"/>
  <c r="C6" i="25"/>
  <c r="B10" i="8"/>
  <c r="E10" i="9"/>
  <c r="E10" i="8"/>
  <c r="B10" i="9"/>
  <c r="F107" i="2" l="1"/>
  <c r="AB107" i="2" s="1"/>
  <c r="DF107" i="2"/>
  <c r="CH107" i="2"/>
  <c r="BJ107" i="2"/>
  <c r="AL107" i="2"/>
  <c r="EB107" i="2"/>
  <c r="DD107" i="2"/>
  <c r="CF107" i="2"/>
  <c r="BH107" i="2"/>
  <c r="AJ107" i="2"/>
  <c r="DZ107" i="2"/>
  <c r="DB107" i="2"/>
  <c r="CD107" i="2"/>
  <c r="BF107" i="2"/>
  <c r="AH107" i="2"/>
  <c r="DX107" i="2"/>
  <c r="CZ107" i="2"/>
  <c r="CB107" i="2"/>
  <c r="BD107" i="2"/>
  <c r="DV107" i="2"/>
  <c r="CX107" i="2"/>
  <c r="BZ107" i="2"/>
  <c r="BB107" i="2"/>
  <c r="DT107" i="2"/>
  <c r="CV107" i="2"/>
  <c r="BX107" i="2"/>
  <c r="AZ107" i="2"/>
  <c r="DR107" i="2"/>
  <c r="CT107" i="2"/>
  <c r="BV107" i="2"/>
  <c r="AX107" i="2"/>
  <c r="DP107" i="2"/>
  <c r="CR107" i="2"/>
  <c r="BT107" i="2"/>
  <c r="AV107" i="2"/>
  <c r="DN107" i="2"/>
  <c r="CP107" i="2"/>
  <c r="BR107" i="2"/>
  <c r="AT107" i="2"/>
  <c r="A107" i="2"/>
  <c r="DL107" i="2"/>
  <c r="CN107" i="2"/>
  <c r="BP107" i="2"/>
  <c r="AR107" i="2"/>
  <c r="DJ107" i="2"/>
  <c r="CL107" i="2"/>
  <c r="BN107" i="2"/>
  <c r="AP107" i="2"/>
  <c r="S107" i="2"/>
  <c r="T107" i="2" s="1"/>
  <c r="DH107" i="2"/>
  <c r="CJ107" i="2"/>
  <c r="BL107" i="2"/>
  <c r="AN107" i="2"/>
  <c r="C25" i="25"/>
  <c r="C14" i="25"/>
  <c r="C34" i="25"/>
  <c r="C33" i="25"/>
  <c r="C24" i="25"/>
  <c r="C13" i="25"/>
  <c r="C23" i="25"/>
  <c r="C32" i="25"/>
  <c r="C22" i="25"/>
  <c r="C21" i="25"/>
  <c r="C20" i="25"/>
  <c r="C19" i="25"/>
  <c r="C30" i="25"/>
  <c r="C31" i="25" s="1"/>
  <c r="C18" i="25"/>
  <c r="C12" i="25"/>
  <c r="C39" i="25"/>
  <c r="C17" i="25"/>
  <c r="C11" i="25"/>
  <c r="C38" i="25"/>
  <c r="C16" i="25"/>
  <c r="C10" i="25"/>
  <c r="C15" i="25"/>
  <c r="N26" i="24"/>
  <c r="M57" i="24"/>
  <c r="C109" i="2"/>
  <c r="G108" i="2"/>
  <c r="AC108" i="2"/>
  <c r="AD108" i="2" s="1"/>
  <c r="E108" i="2"/>
  <c r="D108" i="2"/>
  <c r="V108" i="2"/>
  <c r="E4" i="25"/>
  <c r="D6" i="25"/>
  <c r="D9" i="25" s="1"/>
  <c r="W106" i="2"/>
  <c r="B107" i="2"/>
  <c r="C9" i="25"/>
  <c r="C8" i="25"/>
  <c r="B31" i="25"/>
  <c r="B26" i="25"/>
  <c r="F10" i="3"/>
  <c r="G10" i="10"/>
  <c r="F10" i="4"/>
  <c r="F10" i="12"/>
  <c r="C26" i="25" l="1"/>
  <c r="C57" i="25" s="1"/>
  <c r="H10" i="12"/>
  <c r="G10" i="12"/>
  <c r="H10" i="3"/>
  <c r="G10" i="3"/>
  <c r="F4" i="25"/>
  <c r="E6" i="25"/>
  <c r="N57" i="24"/>
  <c r="H60" i="24"/>
  <c r="B60" i="24"/>
  <c r="B27" i="24"/>
  <c r="C27" i="24"/>
  <c r="D27" i="24"/>
  <c r="E27" i="24"/>
  <c r="F27" i="24"/>
  <c r="G27" i="24"/>
  <c r="H27" i="24"/>
  <c r="I27" i="24"/>
  <c r="J27" i="24"/>
  <c r="K27" i="24"/>
  <c r="L27" i="24"/>
  <c r="M27" i="24"/>
  <c r="F108" i="2"/>
  <c r="AB108" i="2" s="1"/>
  <c r="W107" i="2"/>
  <c r="B108" i="2"/>
  <c r="DN108" i="2"/>
  <c r="CP108" i="2"/>
  <c r="BR108" i="2"/>
  <c r="AT108" i="2"/>
  <c r="A108" i="2"/>
  <c r="DL108" i="2"/>
  <c r="CN108" i="2"/>
  <c r="BP108" i="2"/>
  <c r="AR108" i="2"/>
  <c r="DJ108" i="2"/>
  <c r="CL108" i="2"/>
  <c r="BN108" i="2"/>
  <c r="AP108" i="2"/>
  <c r="S108" i="2"/>
  <c r="T108" i="2" s="1"/>
  <c r="DH108" i="2"/>
  <c r="CJ108" i="2"/>
  <c r="BL108" i="2"/>
  <c r="AN108" i="2"/>
  <c r="DF108" i="2"/>
  <c r="CH108" i="2"/>
  <c r="BJ108" i="2"/>
  <c r="AL108" i="2"/>
  <c r="EB108" i="2"/>
  <c r="DD108" i="2"/>
  <c r="CF108" i="2"/>
  <c r="BH108" i="2"/>
  <c r="AJ108" i="2"/>
  <c r="DZ108" i="2"/>
  <c r="DB108" i="2"/>
  <c r="CD108" i="2"/>
  <c r="BF108" i="2"/>
  <c r="AH108" i="2"/>
  <c r="DX108" i="2"/>
  <c r="CZ108" i="2"/>
  <c r="CB108" i="2"/>
  <c r="BD108" i="2"/>
  <c r="DV108" i="2"/>
  <c r="CX108" i="2"/>
  <c r="BZ108" i="2"/>
  <c r="BB108" i="2"/>
  <c r="DT108" i="2"/>
  <c r="CV108" i="2"/>
  <c r="BX108" i="2"/>
  <c r="AZ108" i="2"/>
  <c r="DR108" i="2"/>
  <c r="CT108" i="2"/>
  <c r="BV108" i="2"/>
  <c r="AX108" i="2"/>
  <c r="DP108" i="2"/>
  <c r="CR108" i="2"/>
  <c r="BT108" i="2"/>
  <c r="AV108" i="2"/>
  <c r="AC109" i="2"/>
  <c r="AD109" i="2" s="1"/>
  <c r="E109" i="2"/>
  <c r="D109" i="2"/>
  <c r="V109" i="2"/>
  <c r="C110" i="2"/>
  <c r="G109" i="2"/>
  <c r="D25" i="25"/>
  <c r="D14" i="25"/>
  <c r="D34" i="25"/>
  <c r="D33" i="25"/>
  <c r="D24" i="25"/>
  <c r="D13" i="25"/>
  <c r="D23" i="25"/>
  <c r="D32" i="25"/>
  <c r="D22" i="25"/>
  <c r="D20" i="25"/>
  <c r="D19" i="25"/>
  <c r="D30" i="25"/>
  <c r="D31" i="25" s="1"/>
  <c r="D18" i="25"/>
  <c r="D39" i="25"/>
  <c r="D17" i="25"/>
  <c r="D11" i="25"/>
  <c r="D38" i="25"/>
  <c r="D16" i="25"/>
  <c r="D10" i="25"/>
  <c r="D15" i="25"/>
  <c r="D21" i="25"/>
  <c r="B57" i="25"/>
  <c r="D8" i="25"/>
  <c r="C10" i="10"/>
  <c r="G10" i="4"/>
  <c r="K10" i="4"/>
  <c r="H10" i="4"/>
  <c r="B10" i="12"/>
  <c r="B10" i="4"/>
  <c r="E10" i="3"/>
  <c r="F10" i="10"/>
  <c r="J10" i="4"/>
  <c r="O10" i="3"/>
  <c r="E10" i="12"/>
  <c r="I10" i="4"/>
  <c r="E10" i="4"/>
  <c r="B10" i="3"/>
  <c r="F109" i="2" l="1"/>
  <c r="AB109" i="2" s="1"/>
  <c r="D26" i="25"/>
  <c r="D57" i="25" s="1"/>
  <c r="O10" i="4"/>
  <c r="P10" i="4" s="1"/>
  <c r="Q10" i="11" s="1"/>
  <c r="B10" i="6"/>
  <c r="B10" i="5"/>
  <c r="B10" i="7"/>
  <c r="C10" i="3"/>
  <c r="E10" i="5"/>
  <c r="E10" i="7"/>
  <c r="E10" i="6"/>
  <c r="C10" i="4"/>
  <c r="L28" i="24"/>
  <c r="L58" i="24" s="1"/>
  <c r="L59" i="24" s="1"/>
  <c r="G4" i="25"/>
  <c r="F6" i="25"/>
  <c r="K28" i="24"/>
  <c r="K58" i="24" s="1"/>
  <c r="K59" i="24" s="1"/>
  <c r="J28" i="24"/>
  <c r="J58" i="24" s="1"/>
  <c r="J59" i="24" s="1"/>
  <c r="I28" i="24"/>
  <c r="I58" i="24" s="1"/>
  <c r="I59" i="24" s="1"/>
  <c r="H28" i="24"/>
  <c r="H58" i="24" s="1"/>
  <c r="H59" i="24" s="1"/>
  <c r="G28" i="24"/>
  <c r="G58" i="24" s="1"/>
  <c r="G59" i="24" s="1"/>
  <c r="E28" i="24"/>
  <c r="E58" i="24" s="1"/>
  <c r="E59" i="24" s="1"/>
  <c r="G110" i="2"/>
  <c r="AC110" i="2"/>
  <c r="AD110" i="2" s="1"/>
  <c r="E110" i="2"/>
  <c r="D110" i="2"/>
  <c r="V110" i="2"/>
  <c r="C111" i="2"/>
  <c r="D28" i="24"/>
  <c r="D58" i="24" s="1"/>
  <c r="D59" i="24" s="1"/>
  <c r="E34" i="25"/>
  <c r="E33" i="25"/>
  <c r="E24" i="25"/>
  <c r="E13" i="25"/>
  <c r="E23" i="25"/>
  <c r="E32" i="25"/>
  <c r="E22" i="25"/>
  <c r="E20" i="25"/>
  <c r="E19" i="25"/>
  <c r="E30" i="25"/>
  <c r="E31" i="25" s="1"/>
  <c r="E18" i="25"/>
  <c r="E39" i="25"/>
  <c r="E17" i="25"/>
  <c r="E11" i="25"/>
  <c r="E38" i="25"/>
  <c r="E16" i="25"/>
  <c r="E10" i="25"/>
  <c r="E15" i="25"/>
  <c r="E25" i="25"/>
  <c r="E14" i="25"/>
  <c r="E21" i="25"/>
  <c r="F28" i="24"/>
  <c r="F58" i="24" s="1"/>
  <c r="F59" i="24" s="1"/>
  <c r="DV109" i="2"/>
  <c r="CX109" i="2"/>
  <c r="BZ109" i="2"/>
  <c r="BB109" i="2"/>
  <c r="DT109" i="2"/>
  <c r="CV109" i="2"/>
  <c r="BX109" i="2"/>
  <c r="AZ109" i="2"/>
  <c r="DR109" i="2"/>
  <c r="CT109" i="2"/>
  <c r="BV109" i="2"/>
  <c r="AX109" i="2"/>
  <c r="DP109" i="2"/>
  <c r="CR109" i="2"/>
  <c r="BT109" i="2"/>
  <c r="AV109" i="2"/>
  <c r="DN109" i="2"/>
  <c r="CP109" i="2"/>
  <c r="BR109" i="2"/>
  <c r="AT109" i="2"/>
  <c r="A109" i="2"/>
  <c r="DL109" i="2"/>
  <c r="CN109" i="2"/>
  <c r="BP109" i="2"/>
  <c r="AR109" i="2"/>
  <c r="DJ109" i="2"/>
  <c r="CL109" i="2"/>
  <c r="BN109" i="2"/>
  <c r="AP109" i="2"/>
  <c r="S109" i="2"/>
  <c r="T109" i="2" s="1"/>
  <c r="DH109" i="2"/>
  <c r="CJ109" i="2"/>
  <c r="BL109" i="2"/>
  <c r="AN109" i="2"/>
  <c r="DF109" i="2"/>
  <c r="CH109" i="2"/>
  <c r="BJ109" i="2"/>
  <c r="AL109" i="2"/>
  <c r="EB109" i="2"/>
  <c r="DD109" i="2"/>
  <c r="CF109" i="2"/>
  <c r="BH109" i="2"/>
  <c r="AJ109" i="2"/>
  <c r="DZ109" i="2"/>
  <c r="DB109" i="2"/>
  <c r="CD109" i="2"/>
  <c r="BF109" i="2"/>
  <c r="AH109" i="2"/>
  <c r="DX109" i="2"/>
  <c r="CZ109" i="2"/>
  <c r="CB109" i="2"/>
  <c r="BD109" i="2"/>
  <c r="C28" i="24"/>
  <c r="C58" i="24" s="1"/>
  <c r="C59" i="24" s="1"/>
  <c r="E8" i="25"/>
  <c r="N27" i="24"/>
  <c r="B28" i="24"/>
  <c r="E9" i="25"/>
  <c r="W108" i="2"/>
  <c r="B109" i="2"/>
  <c r="M28" i="24"/>
  <c r="M58" i="24" s="1"/>
  <c r="M59" i="24" s="1"/>
  <c r="H10" i="10"/>
  <c r="N28" i="24" l="1"/>
  <c r="E26" i="25"/>
  <c r="E57" i="25" s="1"/>
  <c r="J10" i="10"/>
  <c r="K10" i="10" s="1"/>
  <c r="I10" i="10"/>
  <c r="H4" i="25"/>
  <c r="G6" i="25"/>
  <c r="G9" i="25" s="1"/>
  <c r="B58" i="24"/>
  <c r="DF110" i="2"/>
  <c r="CH110" i="2"/>
  <c r="BJ110" i="2"/>
  <c r="AL110" i="2"/>
  <c r="EB110" i="2"/>
  <c r="DD110" i="2"/>
  <c r="CF110" i="2"/>
  <c r="BH110" i="2"/>
  <c r="AJ110" i="2"/>
  <c r="DZ110" i="2"/>
  <c r="DB110" i="2"/>
  <c r="CD110" i="2"/>
  <c r="BF110" i="2"/>
  <c r="AH110" i="2"/>
  <c r="DX110" i="2"/>
  <c r="CZ110" i="2"/>
  <c r="CB110" i="2"/>
  <c r="BD110" i="2"/>
  <c r="DV110" i="2"/>
  <c r="CX110" i="2"/>
  <c r="BZ110" i="2"/>
  <c r="BB110" i="2"/>
  <c r="DT110" i="2"/>
  <c r="CV110" i="2"/>
  <c r="BX110" i="2"/>
  <c r="AZ110" i="2"/>
  <c r="DR110" i="2"/>
  <c r="CT110" i="2"/>
  <c r="BV110" i="2"/>
  <c r="AX110" i="2"/>
  <c r="DP110" i="2"/>
  <c r="CR110" i="2"/>
  <c r="BT110" i="2"/>
  <c r="AV110" i="2"/>
  <c r="DN110" i="2"/>
  <c r="CP110" i="2"/>
  <c r="BR110" i="2"/>
  <c r="AT110" i="2"/>
  <c r="A110" i="2"/>
  <c r="DL110" i="2"/>
  <c r="CN110" i="2"/>
  <c r="BP110" i="2"/>
  <c r="AR110" i="2"/>
  <c r="DJ110" i="2"/>
  <c r="CL110" i="2"/>
  <c r="BN110" i="2"/>
  <c r="AP110" i="2"/>
  <c r="S110" i="2"/>
  <c r="T110" i="2" s="1"/>
  <c r="DH110" i="2"/>
  <c r="CJ110" i="2"/>
  <c r="BL110" i="2"/>
  <c r="AN110" i="2"/>
  <c r="D10" i="11"/>
  <c r="P10" i="11" s="1"/>
  <c r="D10" i="5"/>
  <c r="D10" i="6" s="1"/>
  <c r="C112" i="2"/>
  <c r="G111" i="2"/>
  <c r="AC111" i="2"/>
  <c r="AD111" i="2" s="1"/>
  <c r="E111" i="2"/>
  <c r="D111" i="2"/>
  <c r="V111" i="2"/>
  <c r="F33" i="25"/>
  <c r="F24" i="25"/>
  <c r="F13" i="25"/>
  <c r="F23" i="25"/>
  <c r="F32" i="25"/>
  <c r="F22" i="25"/>
  <c r="F20" i="25"/>
  <c r="F19" i="25"/>
  <c r="F30" i="25"/>
  <c r="F31" i="25" s="1"/>
  <c r="F18" i="25"/>
  <c r="F39" i="25"/>
  <c r="F17" i="25"/>
  <c r="F11" i="25"/>
  <c r="F38" i="25"/>
  <c r="F16" i="25"/>
  <c r="F10" i="25"/>
  <c r="F15" i="25"/>
  <c r="F25" i="25"/>
  <c r="F14" i="25"/>
  <c r="F34" i="25"/>
  <c r="F21" i="25"/>
  <c r="W109" i="2"/>
  <c r="B110" i="2"/>
  <c r="F8" i="25"/>
  <c r="F110" i="2"/>
  <c r="AB110" i="2" s="1"/>
  <c r="F9" i="25"/>
  <c r="J10" i="11" l="1"/>
  <c r="L10" i="11"/>
  <c r="M10" i="11"/>
  <c r="K10" i="11"/>
  <c r="N10" i="11"/>
  <c r="O10" i="11"/>
  <c r="F26" i="25"/>
  <c r="F57" i="25" s="1"/>
  <c r="G8" i="25"/>
  <c r="D10" i="7"/>
  <c r="D10" i="8" s="1"/>
  <c r="D10" i="9" s="1"/>
  <c r="D10" i="10" s="1"/>
  <c r="C10" i="12" s="1"/>
  <c r="R10" i="6"/>
  <c r="I4" i="25"/>
  <c r="H6" i="25"/>
  <c r="W110" i="2"/>
  <c r="B111" i="2"/>
  <c r="F111" i="2"/>
  <c r="AB111" i="2" s="1"/>
  <c r="N58" i="24"/>
  <c r="N59" i="24" s="1"/>
  <c r="F60" i="24" s="1"/>
  <c r="B59" i="24"/>
  <c r="DN111" i="2"/>
  <c r="CP111" i="2"/>
  <c r="BR111" i="2"/>
  <c r="AT111" i="2"/>
  <c r="A111" i="2"/>
  <c r="DL111" i="2"/>
  <c r="CN111" i="2"/>
  <c r="BP111" i="2"/>
  <c r="AR111" i="2"/>
  <c r="DJ111" i="2"/>
  <c r="CL111" i="2"/>
  <c r="BN111" i="2"/>
  <c r="AP111" i="2"/>
  <c r="S111" i="2"/>
  <c r="T111" i="2" s="1"/>
  <c r="DH111" i="2"/>
  <c r="CJ111" i="2"/>
  <c r="BL111" i="2"/>
  <c r="AN111" i="2"/>
  <c r="DF111" i="2"/>
  <c r="CH111" i="2"/>
  <c r="BJ111" i="2"/>
  <c r="AL111" i="2"/>
  <c r="EB111" i="2"/>
  <c r="DD111" i="2"/>
  <c r="CF111" i="2"/>
  <c r="BH111" i="2"/>
  <c r="AJ111" i="2"/>
  <c r="DZ111" i="2"/>
  <c r="DB111" i="2"/>
  <c r="CD111" i="2"/>
  <c r="BF111" i="2"/>
  <c r="AH111" i="2"/>
  <c r="DX111" i="2"/>
  <c r="CZ111" i="2"/>
  <c r="CB111" i="2"/>
  <c r="BD111" i="2"/>
  <c r="DV111" i="2"/>
  <c r="CX111" i="2"/>
  <c r="BZ111" i="2"/>
  <c r="BB111" i="2"/>
  <c r="DT111" i="2"/>
  <c r="CV111" i="2"/>
  <c r="BX111" i="2"/>
  <c r="AZ111" i="2"/>
  <c r="DR111" i="2"/>
  <c r="CT111" i="2"/>
  <c r="BV111" i="2"/>
  <c r="AX111" i="2"/>
  <c r="DP111" i="2"/>
  <c r="CR111" i="2"/>
  <c r="BT111" i="2"/>
  <c r="AV111" i="2"/>
  <c r="AC112" i="2"/>
  <c r="AD112" i="2" s="1"/>
  <c r="E112" i="2"/>
  <c r="D112" i="2"/>
  <c r="F112" i="2" s="1"/>
  <c r="AB112" i="2" s="1"/>
  <c r="V112" i="2"/>
  <c r="C113" i="2"/>
  <c r="G112" i="2"/>
  <c r="G23" i="25"/>
  <c r="G32" i="25"/>
  <c r="G22" i="25"/>
  <c r="G20" i="25"/>
  <c r="G19" i="25"/>
  <c r="G30" i="25"/>
  <c r="G31" i="25" s="1"/>
  <c r="G18" i="25"/>
  <c r="G39" i="25"/>
  <c r="G17" i="25"/>
  <c r="G11" i="25"/>
  <c r="G38" i="25"/>
  <c r="G16" i="25"/>
  <c r="G10" i="25"/>
  <c r="G15" i="25"/>
  <c r="G25" i="25"/>
  <c r="G14" i="25"/>
  <c r="G34" i="25"/>
  <c r="G24" i="25"/>
  <c r="G13" i="25"/>
  <c r="G33" i="25"/>
  <c r="G21" i="25"/>
  <c r="H9" i="25" l="1"/>
  <c r="H7" i="25"/>
  <c r="N7" i="25" s="1"/>
  <c r="G10" i="11"/>
  <c r="H10" i="11" s="1"/>
  <c r="G26" i="25"/>
  <c r="G57" i="25" s="1"/>
  <c r="H8" i="25"/>
  <c r="DV112" i="2"/>
  <c r="CX112" i="2"/>
  <c r="BZ112" i="2"/>
  <c r="BB112" i="2"/>
  <c r="DT112" i="2"/>
  <c r="CV112" i="2"/>
  <c r="BX112" i="2"/>
  <c r="AZ112" i="2"/>
  <c r="DR112" i="2"/>
  <c r="CT112" i="2"/>
  <c r="BV112" i="2"/>
  <c r="AX112" i="2"/>
  <c r="DP112" i="2"/>
  <c r="CR112" i="2"/>
  <c r="BT112" i="2"/>
  <c r="AV112" i="2"/>
  <c r="DN112" i="2"/>
  <c r="CP112" i="2"/>
  <c r="BR112" i="2"/>
  <c r="AT112" i="2"/>
  <c r="A112" i="2"/>
  <c r="DL112" i="2"/>
  <c r="CN112" i="2"/>
  <c r="BP112" i="2"/>
  <c r="AR112" i="2"/>
  <c r="DJ112" i="2"/>
  <c r="CL112" i="2"/>
  <c r="BN112" i="2"/>
  <c r="AP112" i="2"/>
  <c r="S112" i="2"/>
  <c r="T112" i="2" s="1"/>
  <c r="DH112" i="2"/>
  <c r="CJ112" i="2"/>
  <c r="BL112" i="2"/>
  <c r="AN112" i="2"/>
  <c r="DF112" i="2"/>
  <c r="CH112" i="2"/>
  <c r="BJ112" i="2"/>
  <c r="AL112" i="2"/>
  <c r="EB112" i="2"/>
  <c r="DD112" i="2"/>
  <c r="CF112" i="2"/>
  <c r="BH112" i="2"/>
  <c r="AJ112" i="2"/>
  <c r="DZ112" i="2"/>
  <c r="DB112" i="2"/>
  <c r="CD112" i="2"/>
  <c r="BF112" i="2"/>
  <c r="AH112" i="2"/>
  <c r="DX112" i="2"/>
  <c r="CZ112" i="2"/>
  <c r="CB112" i="2"/>
  <c r="BD112" i="2"/>
  <c r="G113" i="2"/>
  <c r="AC113" i="2"/>
  <c r="AD113" i="2" s="1"/>
  <c r="E113" i="2"/>
  <c r="D113" i="2"/>
  <c r="V113" i="2"/>
  <c r="C114" i="2"/>
  <c r="I60" i="24"/>
  <c r="G60" i="24"/>
  <c r="W111" i="2"/>
  <c r="B112" i="2"/>
  <c r="H32" i="25"/>
  <c r="H22" i="25"/>
  <c r="H20" i="25"/>
  <c r="H19" i="25"/>
  <c r="H30" i="25"/>
  <c r="H31" i="25" s="1"/>
  <c r="H18" i="25"/>
  <c r="H39" i="25"/>
  <c r="H17" i="25"/>
  <c r="H11" i="25"/>
  <c r="H38" i="25"/>
  <c r="H16" i="25"/>
  <c r="H10" i="25"/>
  <c r="H15" i="25"/>
  <c r="H25" i="25"/>
  <c r="H14" i="25"/>
  <c r="H34" i="25"/>
  <c r="H33" i="25"/>
  <c r="H24" i="25"/>
  <c r="H13" i="25"/>
  <c r="H23" i="25"/>
  <c r="H21" i="25"/>
  <c r="J4" i="25"/>
  <c r="I6" i="25"/>
  <c r="C10" i="11" l="1"/>
  <c r="E10" i="11" s="1"/>
  <c r="DF113" i="2"/>
  <c r="CH113" i="2"/>
  <c r="BJ113" i="2"/>
  <c r="AL113" i="2"/>
  <c r="EB113" i="2"/>
  <c r="DD113" i="2"/>
  <c r="CF113" i="2"/>
  <c r="BH113" i="2"/>
  <c r="AJ113" i="2"/>
  <c r="DZ113" i="2"/>
  <c r="DB113" i="2"/>
  <c r="CD113" i="2"/>
  <c r="BF113" i="2"/>
  <c r="AH113" i="2"/>
  <c r="DX113" i="2"/>
  <c r="CZ113" i="2"/>
  <c r="CB113" i="2"/>
  <c r="BD113" i="2"/>
  <c r="DV113" i="2"/>
  <c r="CX113" i="2"/>
  <c r="BZ113" i="2"/>
  <c r="BB113" i="2"/>
  <c r="DT113" i="2"/>
  <c r="CV113" i="2"/>
  <c r="BX113" i="2"/>
  <c r="AZ113" i="2"/>
  <c r="DR113" i="2"/>
  <c r="CT113" i="2"/>
  <c r="BV113" i="2"/>
  <c r="AX113" i="2"/>
  <c r="DP113" i="2"/>
  <c r="CR113" i="2"/>
  <c r="BT113" i="2"/>
  <c r="AV113" i="2"/>
  <c r="DN113" i="2"/>
  <c r="CP113" i="2"/>
  <c r="BR113" i="2"/>
  <c r="AT113" i="2"/>
  <c r="A113" i="2"/>
  <c r="DL113" i="2"/>
  <c r="CN113" i="2"/>
  <c r="BP113" i="2"/>
  <c r="AR113" i="2"/>
  <c r="DJ113" i="2"/>
  <c r="CL113" i="2"/>
  <c r="BN113" i="2"/>
  <c r="AP113" i="2"/>
  <c r="S113" i="2"/>
  <c r="T113" i="2" s="1"/>
  <c r="DH113" i="2"/>
  <c r="CJ113" i="2"/>
  <c r="BL113" i="2"/>
  <c r="AN113" i="2"/>
  <c r="I20" i="25"/>
  <c r="I19" i="25"/>
  <c r="I30" i="25"/>
  <c r="I31" i="25" s="1"/>
  <c r="I18" i="25"/>
  <c r="I39" i="25"/>
  <c r="I17" i="25"/>
  <c r="I11" i="25"/>
  <c r="I38" i="25"/>
  <c r="I16" i="25"/>
  <c r="I10" i="25"/>
  <c r="I15" i="25"/>
  <c r="I25" i="25"/>
  <c r="I14" i="25"/>
  <c r="I34" i="25"/>
  <c r="I33" i="25"/>
  <c r="I24" i="25"/>
  <c r="I13" i="25"/>
  <c r="I23" i="25"/>
  <c r="I22" i="25"/>
  <c r="I32" i="25"/>
  <c r="I21" i="25"/>
  <c r="K4" i="25"/>
  <c r="J6" i="25"/>
  <c r="J9" i="25" s="1"/>
  <c r="H26" i="25"/>
  <c r="I8" i="25"/>
  <c r="I9" i="25"/>
  <c r="C115" i="2"/>
  <c r="G114" i="2"/>
  <c r="AC114" i="2"/>
  <c r="AD114" i="2" s="1"/>
  <c r="E114" i="2"/>
  <c r="D114" i="2"/>
  <c r="V114" i="2"/>
  <c r="W112" i="2"/>
  <c r="B113" i="2"/>
  <c r="F113" i="2"/>
  <c r="AB113" i="2" s="1"/>
  <c r="F114" i="2" l="1"/>
  <c r="AB114" i="2" s="1"/>
  <c r="I26" i="25"/>
  <c r="I57" i="25" s="1"/>
  <c r="J8" i="25"/>
  <c r="L4" i="25"/>
  <c r="K6" i="25"/>
  <c r="DN114" i="2"/>
  <c r="CP114" i="2"/>
  <c r="BR114" i="2"/>
  <c r="AT114" i="2"/>
  <c r="A114" i="2"/>
  <c r="DL114" i="2"/>
  <c r="CN114" i="2"/>
  <c r="BP114" i="2"/>
  <c r="AR114" i="2"/>
  <c r="DJ114" i="2"/>
  <c r="CL114" i="2"/>
  <c r="BN114" i="2"/>
  <c r="AP114" i="2"/>
  <c r="S114" i="2"/>
  <c r="T114" i="2" s="1"/>
  <c r="DH114" i="2"/>
  <c r="CJ114" i="2"/>
  <c r="BL114" i="2"/>
  <c r="AN114" i="2"/>
  <c r="DF114" i="2"/>
  <c r="CH114" i="2"/>
  <c r="BJ114" i="2"/>
  <c r="AL114" i="2"/>
  <c r="EB114" i="2"/>
  <c r="DD114" i="2"/>
  <c r="CF114" i="2"/>
  <c r="BH114" i="2"/>
  <c r="AJ114" i="2"/>
  <c r="DZ114" i="2"/>
  <c r="DB114" i="2"/>
  <c r="CD114" i="2"/>
  <c r="BF114" i="2"/>
  <c r="AH114" i="2"/>
  <c r="DX114" i="2"/>
  <c r="CZ114" i="2"/>
  <c r="CB114" i="2"/>
  <c r="BD114" i="2"/>
  <c r="DV114" i="2"/>
  <c r="CX114" i="2"/>
  <c r="BZ114" i="2"/>
  <c r="BB114" i="2"/>
  <c r="DT114" i="2"/>
  <c r="CV114" i="2"/>
  <c r="BX114" i="2"/>
  <c r="AZ114" i="2"/>
  <c r="DR114" i="2"/>
  <c r="CT114" i="2"/>
  <c r="BV114" i="2"/>
  <c r="AX114" i="2"/>
  <c r="DP114" i="2"/>
  <c r="CR114" i="2"/>
  <c r="BT114" i="2"/>
  <c r="AV114" i="2"/>
  <c r="AC115" i="2"/>
  <c r="AD115" i="2" s="1"/>
  <c r="E115" i="2"/>
  <c r="D115" i="2"/>
  <c r="V115" i="2"/>
  <c r="C116" i="2"/>
  <c r="G115" i="2"/>
  <c r="W113" i="2"/>
  <c r="B114" i="2"/>
  <c r="H57" i="25"/>
  <c r="J19" i="25"/>
  <c r="J30" i="25"/>
  <c r="J31" i="25" s="1"/>
  <c r="J18" i="25"/>
  <c r="J39" i="25"/>
  <c r="J17" i="25"/>
  <c r="J11" i="25"/>
  <c r="J38" i="25"/>
  <c r="J16" i="25"/>
  <c r="J10" i="25"/>
  <c r="J15" i="25"/>
  <c r="J25" i="25"/>
  <c r="J14" i="25"/>
  <c r="J34" i="25"/>
  <c r="J12" i="25"/>
  <c r="J33" i="25"/>
  <c r="J24" i="25"/>
  <c r="J13" i="25"/>
  <c r="J23" i="25"/>
  <c r="J32" i="25"/>
  <c r="J22" i="25"/>
  <c r="J20" i="25"/>
  <c r="J21" i="25"/>
  <c r="F115" i="2" l="1"/>
  <c r="AB115" i="2" s="1"/>
  <c r="J26" i="25"/>
  <c r="J57" i="25" s="1"/>
  <c r="K30" i="25"/>
  <c r="K31" i="25" s="1"/>
  <c r="K18" i="25"/>
  <c r="K39" i="25"/>
  <c r="K17" i="25"/>
  <c r="K11" i="25"/>
  <c r="K38" i="25"/>
  <c r="K16" i="25"/>
  <c r="K10" i="25"/>
  <c r="K15" i="25"/>
  <c r="K25" i="25"/>
  <c r="K14" i="25"/>
  <c r="K34" i="25"/>
  <c r="K12" i="25"/>
  <c r="N12" i="25" s="1"/>
  <c r="K33" i="25"/>
  <c r="K24" i="25"/>
  <c r="K13" i="25"/>
  <c r="K23" i="25"/>
  <c r="K32" i="25"/>
  <c r="K22" i="25"/>
  <c r="K20" i="25"/>
  <c r="K19" i="25"/>
  <c r="K21" i="25"/>
  <c r="M4" i="25"/>
  <c r="L6" i="25"/>
  <c r="L9" i="25" s="1"/>
  <c r="DV115" i="2"/>
  <c r="CX115" i="2"/>
  <c r="BZ115" i="2"/>
  <c r="BB115" i="2"/>
  <c r="DT115" i="2"/>
  <c r="CV115" i="2"/>
  <c r="BX115" i="2"/>
  <c r="AZ115" i="2"/>
  <c r="DR115" i="2"/>
  <c r="CT115" i="2"/>
  <c r="BV115" i="2"/>
  <c r="AX115" i="2"/>
  <c r="DP115" i="2"/>
  <c r="CR115" i="2"/>
  <c r="BT115" i="2"/>
  <c r="AV115" i="2"/>
  <c r="DN115" i="2"/>
  <c r="CP115" i="2"/>
  <c r="BR115" i="2"/>
  <c r="AT115" i="2"/>
  <c r="A115" i="2"/>
  <c r="DL115" i="2"/>
  <c r="CN115" i="2"/>
  <c r="BP115" i="2"/>
  <c r="AR115" i="2"/>
  <c r="DJ115" i="2"/>
  <c r="CL115" i="2"/>
  <c r="BN115" i="2"/>
  <c r="AP115" i="2"/>
  <c r="S115" i="2"/>
  <c r="T115" i="2" s="1"/>
  <c r="DH115" i="2"/>
  <c r="CJ115" i="2"/>
  <c r="BL115" i="2"/>
  <c r="AN115" i="2"/>
  <c r="DF115" i="2"/>
  <c r="CH115" i="2"/>
  <c r="BJ115" i="2"/>
  <c r="AL115" i="2"/>
  <c r="EB115" i="2"/>
  <c r="DD115" i="2"/>
  <c r="CF115" i="2"/>
  <c r="BH115" i="2"/>
  <c r="AJ115" i="2"/>
  <c r="DZ115" i="2"/>
  <c r="DB115" i="2"/>
  <c r="CD115" i="2"/>
  <c r="BF115" i="2"/>
  <c r="AH115" i="2"/>
  <c r="DX115" i="2"/>
  <c r="CZ115" i="2"/>
  <c r="CB115" i="2"/>
  <c r="BD115" i="2"/>
  <c r="G116" i="2"/>
  <c r="AC116" i="2"/>
  <c r="AD116" i="2" s="1"/>
  <c r="E116" i="2"/>
  <c r="D116" i="2"/>
  <c r="F116" i="2" s="1"/>
  <c r="AB116" i="2" s="1"/>
  <c r="V116" i="2"/>
  <c r="C117" i="2"/>
  <c r="K8" i="25"/>
  <c r="W114" i="2"/>
  <c r="B115" i="2"/>
  <c r="K9" i="25"/>
  <c r="I11" i="9"/>
  <c r="H11" i="9"/>
  <c r="K26" i="25" l="1"/>
  <c r="K57" i="25" s="1"/>
  <c r="W115" i="2"/>
  <c r="B116" i="2"/>
  <c r="L8" i="25"/>
  <c r="DF116" i="2"/>
  <c r="CH116" i="2"/>
  <c r="BJ116" i="2"/>
  <c r="AL116" i="2"/>
  <c r="EB116" i="2"/>
  <c r="DD116" i="2"/>
  <c r="CF116" i="2"/>
  <c r="BH116" i="2"/>
  <c r="AJ116" i="2"/>
  <c r="DZ116" i="2"/>
  <c r="DB116" i="2"/>
  <c r="CD116" i="2"/>
  <c r="BF116" i="2"/>
  <c r="AH116" i="2"/>
  <c r="DX116" i="2"/>
  <c r="CZ116" i="2"/>
  <c r="CB116" i="2"/>
  <c r="BD116" i="2"/>
  <c r="DV116" i="2"/>
  <c r="CX116" i="2"/>
  <c r="BZ116" i="2"/>
  <c r="BB116" i="2"/>
  <c r="DT116" i="2"/>
  <c r="CV116" i="2"/>
  <c r="BX116" i="2"/>
  <c r="AZ116" i="2"/>
  <c r="DR116" i="2"/>
  <c r="CT116" i="2"/>
  <c r="BV116" i="2"/>
  <c r="AX116" i="2"/>
  <c r="DP116" i="2"/>
  <c r="CR116" i="2"/>
  <c r="BT116" i="2"/>
  <c r="AV116" i="2"/>
  <c r="DN116" i="2"/>
  <c r="CP116" i="2"/>
  <c r="BR116" i="2"/>
  <c r="AT116" i="2"/>
  <c r="A116" i="2"/>
  <c r="DL116" i="2"/>
  <c r="CN116" i="2"/>
  <c r="BP116" i="2"/>
  <c r="AR116" i="2"/>
  <c r="DJ116" i="2"/>
  <c r="CL116" i="2"/>
  <c r="BN116" i="2"/>
  <c r="AP116" i="2"/>
  <c r="S116" i="2"/>
  <c r="T116" i="2" s="1"/>
  <c r="DH116" i="2"/>
  <c r="CJ116" i="2"/>
  <c r="BL116" i="2"/>
  <c r="AN116" i="2"/>
  <c r="L39" i="25"/>
  <c r="L17" i="25"/>
  <c r="L11" i="25"/>
  <c r="L38" i="25"/>
  <c r="L16" i="25"/>
  <c r="L10" i="25"/>
  <c r="L15" i="25"/>
  <c r="L25" i="25"/>
  <c r="L14" i="25"/>
  <c r="L34" i="25"/>
  <c r="L33" i="25"/>
  <c r="L24" i="25"/>
  <c r="L13" i="25"/>
  <c r="L23" i="25"/>
  <c r="L32" i="25"/>
  <c r="L22" i="25"/>
  <c r="L20" i="25"/>
  <c r="L19" i="25"/>
  <c r="L30" i="25"/>
  <c r="L31" i="25" s="1"/>
  <c r="L18" i="25"/>
  <c r="L21" i="25"/>
  <c r="B4" i="26"/>
  <c r="M6" i="25"/>
  <c r="M9" i="25" s="1"/>
  <c r="N9" i="25" s="1"/>
  <c r="AC117" i="2"/>
  <c r="AD117" i="2" s="1"/>
  <c r="G117" i="2"/>
  <c r="E117" i="2"/>
  <c r="D117" i="2"/>
  <c r="F117" i="2" s="1"/>
  <c r="AB117" i="2" s="1"/>
  <c r="C118" i="2"/>
  <c r="V117" i="2"/>
  <c r="L26" i="25" l="1"/>
  <c r="L57" i="25" s="1"/>
  <c r="DJ117" i="2"/>
  <c r="CL117" i="2"/>
  <c r="BN117" i="2"/>
  <c r="AP117" i="2"/>
  <c r="A117" i="2"/>
  <c r="DH117" i="2"/>
  <c r="CJ117" i="2"/>
  <c r="BL117" i="2"/>
  <c r="AN117" i="2"/>
  <c r="DF117" i="2"/>
  <c r="CH117" i="2"/>
  <c r="BJ117" i="2"/>
  <c r="AL117" i="2"/>
  <c r="S117" i="2"/>
  <c r="T117" i="2" s="1"/>
  <c r="EB117" i="2"/>
  <c r="DD117" i="2"/>
  <c r="CF117" i="2"/>
  <c r="BH117" i="2"/>
  <c r="AJ117" i="2"/>
  <c r="DZ117" i="2"/>
  <c r="DB117" i="2"/>
  <c r="CD117" i="2"/>
  <c r="BF117" i="2"/>
  <c r="AH117" i="2"/>
  <c r="DX117" i="2"/>
  <c r="CZ117" i="2"/>
  <c r="CB117" i="2"/>
  <c r="BD117" i="2"/>
  <c r="DV117" i="2"/>
  <c r="CX117" i="2"/>
  <c r="BZ117" i="2"/>
  <c r="BB117" i="2"/>
  <c r="DT117" i="2"/>
  <c r="CV117" i="2"/>
  <c r="BX117" i="2"/>
  <c r="AZ117" i="2"/>
  <c r="DR117" i="2"/>
  <c r="CT117" i="2"/>
  <c r="BV117" i="2"/>
  <c r="AX117" i="2"/>
  <c r="DP117" i="2"/>
  <c r="CR117" i="2"/>
  <c r="BT117" i="2"/>
  <c r="AV117" i="2"/>
  <c r="DN117" i="2"/>
  <c r="CP117" i="2"/>
  <c r="BR117" i="2"/>
  <c r="AT117" i="2"/>
  <c r="DL117" i="2"/>
  <c r="CN117" i="2"/>
  <c r="BP117" i="2"/>
  <c r="AR117" i="2"/>
  <c r="M8" i="25"/>
  <c r="N8" i="25" s="1"/>
  <c r="C4" i="26"/>
  <c r="B6" i="26"/>
  <c r="M38" i="25"/>
  <c r="N38" i="25" s="1"/>
  <c r="M16" i="25"/>
  <c r="N16" i="25" s="1"/>
  <c r="M10" i="25"/>
  <c r="N10" i="25" s="1"/>
  <c r="M15" i="25"/>
  <c r="N15" i="25" s="1"/>
  <c r="M25" i="25"/>
  <c r="N25" i="25" s="1"/>
  <c r="M14" i="25"/>
  <c r="N14" i="25" s="1"/>
  <c r="M34" i="25"/>
  <c r="N34" i="25" s="1"/>
  <c r="M33" i="25"/>
  <c r="N33" i="25" s="1"/>
  <c r="M24" i="25"/>
  <c r="N24" i="25" s="1"/>
  <c r="M13" i="25"/>
  <c r="N13" i="25" s="1"/>
  <c r="M23" i="25"/>
  <c r="N23" i="25" s="1"/>
  <c r="M32" i="25"/>
  <c r="N32" i="25" s="1"/>
  <c r="M22" i="25"/>
  <c r="N22" i="25" s="1"/>
  <c r="M20" i="25"/>
  <c r="N20" i="25" s="1"/>
  <c r="M19" i="25"/>
  <c r="N19" i="25" s="1"/>
  <c r="M30" i="25"/>
  <c r="N30" i="25" s="1"/>
  <c r="M18" i="25"/>
  <c r="N18" i="25" s="1"/>
  <c r="M11" i="25"/>
  <c r="N11" i="25" s="1"/>
  <c r="M39" i="25"/>
  <c r="N39" i="25" s="1"/>
  <c r="M17" i="25"/>
  <c r="N17" i="25" s="1"/>
  <c r="N6" i="25"/>
  <c r="M21" i="25"/>
  <c r="N21" i="25" s="1"/>
  <c r="V118" i="2"/>
  <c r="C119" i="2"/>
  <c r="G118" i="2"/>
  <c r="AC118" i="2"/>
  <c r="AD118" i="2" s="1"/>
  <c r="E118" i="2"/>
  <c r="D118" i="2"/>
  <c r="W116" i="2"/>
  <c r="B117" i="2"/>
  <c r="G11" i="9"/>
  <c r="I11" i="8"/>
  <c r="K11" i="9"/>
  <c r="L11" i="8"/>
  <c r="F11" i="9"/>
  <c r="O11" i="8"/>
  <c r="M11" i="9"/>
  <c r="L11" i="9"/>
  <c r="F11" i="8"/>
  <c r="J11" i="9"/>
  <c r="N11" i="9"/>
  <c r="F118" i="2" l="1"/>
  <c r="AB118" i="2" s="1"/>
  <c r="N11" i="8"/>
  <c r="Q11" i="8"/>
  <c r="K11" i="8"/>
  <c r="B9" i="26"/>
  <c r="B7" i="26"/>
  <c r="M31" i="25"/>
  <c r="N31" i="25" s="1"/>
  <c r="J11" i="8"/>
  <c r="M11" i="8"/>
  <c r="O11" i="9"/>
  <c r="P11" i="9" s="1"/>
  <c r="P11" i="8"/>
  <c r="H11" i="8"/>
  <c r="G11" i="8"/>
  <c r="R11" i="8"/>
  <c r="S11" i="8" s="1"/>
  <c r="M26" i="25"/>
  <c r="D4" i="26"/>
  <c r="C6" i="26"/>
  <c r="AC119" i="2"/>
  <c r="AD119" i="2" s="1"/>
  <c r="E119" i="2"/>
  <c r="D119" i="2"/>
  <c r="F119" i="2" s="1"/>
  <c r="AB119" i="2" s="1"/>
  <c r="V119" i="2"/>
  <c r="C120" i="2"/>
  <c r="G119" i="2"/>
  <c r="W117" i="2"/>
  <c r="B118" i="2"/>
  <c r="DN118" i="2"/>
  <c r="CP118" i="2"/>
  <c r="BR118" i="2"/>
  <c r="AT118" i="2"/>
  <c r="DL118" i="2"/>
  <c r="CN118" i="2"/>
  <c r="BP118" i="2"/>
  <c r="AR118" i="2"/>
  <c r="A118" i="2"/>
  <c r="DJ118" i="2"/>
  <c r="CL118" i="2"/>
  <c r="BN118" i="2"/>
  <c r="AP118" i="2"/>
  <c r="DH118" i="2"/>
  <c r="CJ118" i="2"/>
  <c r="BL118" i="2"/>
  <c r="S118" i="2"/>
  <c r="T118" i="2" s="1"/>
  <c r="DF118" i="2"/>
  <c r="CH118" i="2"/>
  <c r="BJ118" i="2"/>
  <c r="AN118" i="2"/>
  <c r="EB118" i="2"/>
  <c r="DD118" i="2"/>
  <c r="CF118" i="2"/>
  <c r="BH118" i="2"/>
  <c r="AL118" i="2"/>
  <c r="DZ118" i="2"/>
  <c r="DB118" i="2"/>
  <c r="CD118" i="2"/>
  <c r="BF118" i="2"/>
  <c r="AJ118" i="2"/>
  <c r="DX118" i="2"/>
  <c r="CZ118" i="2"/>
  <c r="CB118" i="2"/>
  <c r="BD118" i="2"/>
  <c r="AH118" i="2"/>
  <c r="DV118" i="2"/>
  <c r="CX118" i="2"/>
  <c r="BZ118" i="2"/>
  <c r="BB118" i="2"/>
  <c r="DT118" i="2"/>
  <c r="CV118" i="2"/>
  <c r="BX118" i="2"/>
  <c r="AZ118" i="2"/>
  <c r="DR118" i="2"/>
  <c r="CT118" i="2"/>
  <c r="BV118" i="2"/>
  <c r="AX118" i="2"/>
  <c r="DP118" i="2"/>
  <c r="CR118" i="2"/>
  <c r="BT118" i="2"/>
  <c r="AV118" i="2"/>
  <c r="B34" i="26"/>
  <c r="B33" i="26"/>
  <c r="B24" i="26"/>
  <c r="B13" i="26"/>
  <c r="B23" i="26"/>
  <c r="B32" i="26"/>
  <c r="B21" i="26"/>
  <c r="B20" i="26"/>
  <c r="B19" i="26"/>
  <c r="B30" i="26"/>
  <c r="B31" i="26" s="1"/>
  <c r="B18" i="26"/>
  <c r="B12" i="26"/>
  <c r="B39" i="26"/>
  <c r="B17" i="26"/>
  <c r="B11" i="26"/>
  <c r="B38" i="26"/>
  <c r="B16" i="26"/>
  <c r="B10" i="26"/>
  <c r="B15" i="26"/>
  <c r="B25" i="26"/>
  <c r="B14" i="26"/>
  <c r="B8" i="26"/>
  <c r="E11" i="9"/>
  <c r="B11" i="9"/>
  <c r="E11" i="8"/>
  <c r="B11" i="8"/>
  <c r="C33" i="26" l="1"/>
  <c r="C24" i="26"/>
  <c r="C13" i="26"/>
  <c r="C23" i="26"/>
  <c r="C32" i="26"/>
  <c r="C22" i="26"/>
  <c r="C21" i="26"/>
  <c r="C20" i="26"/>
  <c r="C19" i="26"/>
  <c r="C30" i="26"/>
  <c r="C31" i="26" s="1"/>
  <c r="C18" i="26"/>
  <c r="C12" i="26"/>
  <c r="C39" i="26"/>
  <c r="C17" i="26"/>
  <c r="C11" i="26"/>
  <c r="C38" i="26"/>
  <c r="C16" i="26"/>
  <c r="C10" i="26"/>
  <c r="C15" i="26"/>
  <c r="C25" i="26"/>
  <c r="C14" i="26"/>
  <c r="C34" i="26"/>
  <c r="C8" i="26"/>
  <c r="C9" i="26"/>
  <c r="E4" i="26"/>
  <c r="D6" i="26"/>
  <c r="DV119" i="2"/>
  <c r="CX119" i="2"/>
  <c r="BZ119" i="2"/>
  <c r="BB119" i="2"/>
  <c r="DT119" i="2"/>
  <c r="CV119" i="2"/>
  <c r="BX119" i="2"/>
  <c r="AZ119" i="2"/>
  <c r="DR119" i="2"/>
  <c r="CT119" i="2"/>
  <c r="BV119" i="2"/>
  <c r="AX119" i="2"/>
  <c r="DP119" i="2"/>
  <c r="CR119" i="2"/>
  <c r="BT119" i="2"/>
  <c r="AV119" i="2"/>
  <c r="DN119" i="2"/>
  <c r="CP119" i="2"/>
  <c r="BR119" i="2"/>
  <c r="AT119" i="2"/>
  <c r="A119" i="2"/>
  <c r="DL119" i="2"/>
  <c r="CN119" i="2"/>
  <c r="BP119" i="2"/>
  <c r="AR119" i="2"/>
  <c r="DJ119" i="2"/>
  <c r="CL119" i="2"/>
  <c r="BN119" i="2"/>
  <c r="AP119" i="2"/>
  <c r="S119" i="2"/>
  <c r="T119" i="2" s="1"/>
  <c r="DH119" i="2"/>
  <c r="CJ119" i="2"/>
  <c r="BL119" i="2"/>
  <c r="AN119" i="2"/>
  <c r="DF119" i="2"/>
  <c r="CH119" i="2"/>
  <c r="BJ119" i="2"/>
  <c r="AL119" i="2"/>
  <c r="EB119" i="2"/>
  <c r="DD119" i="2"/>
  <c r="CF119" i="2"/>
  <c r="BH119" i="2"/>
  <c r="AJ119" i="2"/>
  <c r="DZ119" i="2"/>
  <c r="DB119" i="2"/>
  <c r="CD119" i="2"/>
  <c r="BF119" i="2"/>
  <c r="AH119" i="2"/>
  <c r="DX119" i="2"/>
  <c r="CZ119" i="2"/>
  <c r="CB119" i="2"/>
  <c r="BD119" i="2"/>
  <c r="G120" i="2"/>
  <c r="AC120" i="2"/>
  <c r="AD120" i="2" s="1"/>
  <c r="E120" i="2"/>
  <c r="D120" i="2"/>
  <c r="F120" i="2" s="1"/>
  <c r="AB120" i="2" s="1"/>
  <c r="V120" i="2"/>
  <c r="C121" i="2"/>
  <c r="N26" i="25"/>
  <c r="M57" i="25"/>
  <c r="W118" i="2"/>
  <c r="B119" i="2"/>
  <c r="B26" i="26"/>
  <c r="F11" i="3"/>
  <c r="G11" i="10"/>
  <c r="F11" i="12"/>
  <c r="F11" i="4"/>
  <c r="C26" i="26" l="1"/>
  <c r="C57" i="26" s="1"/>
  <c r="H11" i="12"/>
  <c r="G11" i="12"/>
  <c r="G11" i="3"/>
  <c r="H11" i="3"/>
  <c r="N57" i="25"/>
  <c r="H60" i="25"/>
  <c r="B60" i="25"/>
  <c r="B27" i="25"/>
  <c r="C27" i="25"/>
  <c r="D27" i="25"/>
  <c r="E27" i="25"/>
  <c r="F27" i="25"/>
  <c r="G27" i="25"/>
  <c r="H27" i="25"/>
  <c r="I27" i="25"/>
  <c r="J27" i="25"/>
  <c r="K27" i="25"/>
  <c r="L27" i="25"/>
  <c r="M27" i="25"/>
  <c r="B57" i="26"/>
  <c r="D23" i="26"/>
  <c r="D32" i="26"/>
  <c r="D22" i="26"/>
  <c r="D20" i="26"/>
  <c r="D19" i="26"/>
  <c r="D30" i="26"/>
  <c r="D31" i="26" s="1"/>
  <c r="D18" i="26"/>
  <c r="D39" i="26"/>
  <c r="D17" i="26"/>
  <c r="D11" i="26"/>
  <c r="D38" i="26"/>
  <c r="D16" i="26"/>
  <c r="D10" i="26"/>
  <c r="D15" i="26"/>
  <c r="D25" i="26"/>
  <c r="D14" i="26"/>
  <c r="D34" i="26"/>
  <c r="D24" i="26"/>
  <c r="D13" i="26"/>
  <c r="D33" i="26"/>
  <c r="D21" i="26"/>
  <c r="W119" i="2"/>
  <c r="B120" i="2"/>
  <c r="D8" i="26"/>
  <c r="D9" i="26"/>
  <c r="F4" i="26"/>
  <c r="E6" i="26"/>
  <c r="C122" i="2"/>
  <c r="G121" i="2"/>
  <c r="AC121" i="2"/>
  <c r="AD121" i="2" s="1"/>
  <c r="E121" i="2"/>
  <c r="D121" i="2"/>
  <c r="V121" i="2"/>
  <c r="DF120" i="2"/>
  <c r="CH120" i="2"/>
  <c r="BJ120" i="2"/>
  <c r="AL120" i="2"/>
  <c r="EB120" i="2"/>
  <c r="DD120" i="2"/>
  <c r="CF120" i="2"/>
  <c r="BH120" i="2"/>
  <c r="AJ120" i="2"/>
  <c r="DZ120" i="2"/>
  <c r="DB120" i="2"/>
  <c r="CD120" i="2"/>
  <c r="BF120" i="2"/>
  <c r="AH120" i="2"/>
  <c r="DX120" i="2"/>
  <c r="CZ120" i="2"/>
  <c r="CB120" i="2"/>
  <c r="BD120" i="2"/>
  <c r="DV120" i="2"/>
  <c r="CX120" i="2"/>
  <c r="BZ120" i="2"/>
  <c r="BB120" i="2"/>
  <c r="DT120" i="2"/>
  <c r="CV120" i="2"/>
  <c r="BX120" i="2"/>
  <c r="AZ120" i="2"/>
  <c r="DR120" i="2"/>
  <c r="CT120" i="2"/>
  <c r="BV120" i="2"/>
  <c r="AX120" i="2"/>
  <c r="DP120" i="2"/>
  <c r="CR120" i="2"/>
  <c r="BT120" i="2"/>
  <c r="AV120" i="2"/>
  <c r="DN120" i="2"/>
  <c r="CP120" i="2"/>
  <c r="BR120" i="2"/>
  <c r="AT120" i="2"/>
  <c r="A120" i="2"/>
  <c r="DL120" i="2"/>
  <c r="CN120" i="2"/>
  <c r="BP120" i="2"/>
  <c r="AR120" i="2"/>
  <c r="DJ120" i="2"/>
  <c r="CL120" i="2"/>
  <c r="BN120" i="2"/>
  <c r="AP120" i="2"/>
  <c r="S120" i="2"/>
  <c r="T120" i="2" s="1"/>
  <c r="DH120" i="2"/>
  <c r="CJ120" i="2"/>
  <c r="BL120" i="2"/>
  <c r="AN120" i="2"/>
  <c r="E11" i="3"/>
  <c r="I11" i="4"/>
  <c r="K11" i="4"/>
  <c r="F11" i="10"/>
  <c r="B11" i="4"/>
  <c r="E11" i="12"/>
  <c r="B11" i="3"/>
  <c r="G11" i="4"/>
  <c r="B11" i="12"/>
  <c r="O11" i="3"/>
  <c r="J11" i="4"/>
  <c r="H11" i="4"/>
  <c r="E11" i="4"/>
  <c r="C11" i="10"/>
  <c r="D26" i="26" l="1"/>
  <c r="C11" i="4"/>
  <c r="B11" i="5"/>
  <c r="B11" i="7"/>
  <c r="B11" i="6"/>
  <c r="C11" i="3"/>
  <c r="E11" i="7"/>
  <c r="E11" i="6"/>
  <c r="E11" i="5"/>
  <c r="O11" i="4"/>
  <c r="P11" i="4" s="1"/>
  <c r="R11" i="11" s="1"/>
  <c r="D57" i="26"/>
  <c r="E32" i="26"/>
  <c r="E22" i="26"/>
  <c r="E20" i="26"/>
  <c r="E19" i="26"/>
  <c r="E30" i="26"/>
  <c r="E31" i="26" s="1"/>
  <c r="E18" i="26"/>
  <c r="E39" i="26"/>
  <c r="E17" i="26"/>
  <c r="E11" i="26"/>
  <c r="E38" i="26"/>
  <c r="E16" i="26"/>
  <c r="E10" i="26"/>
  <c r="E15" i="26"/>
  <c r="E25" i="26"/>
  <c r="E14" i="26"/>
  <c r="E34" i="26"/>
  <c r="E33" i="26"/>
  <c r="E24" i="26"/>
  <c r="E13" i="26"/>
  <c r="E23" i="26"/>
  <c r="E21" i="26"/>
  <c r="I28" i="25"/>
  <c r="I58" i="25" s="1"/>
  <c r="I59" i="25" s="1"/>
  <c r="G28" i="25"/>
  <c r="G58" i="25" s="1"/>
  <c r="G59" i="25" s="1"/>
  <c r="H28" i="25"/>
  <c r="H58" i="25" s="1"/>
  <c r="H59" i="25" s="1"/>
  <c r="F28" i="25"/>
  <c r="F58" i="25" s="1"/>
  <c r="F59" i="25" s="1"/>
  <c r="E8" i="26"/>
  <c r="E9" i="26"/>
  <c r="E28" i="25"/>
  <c r="E58" i="25" s="1"/>
  <c r="E59" i="25" s="1"/>
  <c r="D28" i="25"/>
  <c r="C28" i="25"/>
  <c r="C58" i="25" s="1"/>
  <c r="C59" i="25" s="1"/>
  <c r="W120" i="2"/>
  <c r="B121" i="2"/>
  <c r="F121" i="2"/>
  <c r="AB121" i="2" s="1"/>
  <c r="N27" i="25"/>
  <c r="B28" i="25"/>
  <c r="M28" i="25"/>
  <c r="M58" i="25" s="1"/>
  <c r="M59" i="25" s="1"/>
  <c r="L28" i="25"/>
  <c r="L58" i="25" s="1"/>
  <c r="L59" i="25" s="1"/>
  <c r="K28" i="25"/>
  <c r="K58" i="25" s="1"/>
  <c r="K59" i="25" s="1"/>
  <c r="G4" i="26"/>
  <c r="F6" i="26"/>
  <c r="F9" i="26" s="1"/>
  <c r="DN121" i="2"/>
  <c r="CP121" i="2"/>
  <c r="BR121" i="2"/>
  <c r="AT121" i="2"/>
  <c r="A121" i="2"/>
  <c r="DL121" i="2"/>
  <c r="CN121" i="2"/>
  <c r="BP121" i="2"/>
  <c r="AR121" i="2"/>
  <c r="DJ121" i="2"/>
  <c r="CL121" i="2"/>
  <c r="BN121" i="2"/>
  <c r="AP121" i="2"/>
  <c r="S121" i="2"/>
  <c r="T121" i="2" s="1"/>
  <c r="DH121" i="2"/>
  <c r="CJ121" i="2"/>
  <c r="BL121" i="2"/>
  <c r="AN121" i="2"/>
  <c r="DF121" i="2"/>
  <c r="CH121" i="2"/>
  <c r="BJ121" i="2"/>
  <c r="AL121" i="2"/>
  <c r="EB121" i="2"/>
  <c r="DD121" i="2"/>
  <c r="CF121" i="2"/>
  <c r="BH121" i="2"/>
  <c r="AJ121" i="2"/>
  <c r="DZ121" i="2"/>
  <c r="DB121" i="2"/>
  <c r="CD121" i="2"/>
  <c r="BF121" i="2"/>
  <c r="AH121" i="2"/>
  <c r="DX121" i="2"/>
  <c r="CZ121" i="2"/>
  <c r="CB121" i="2"/>
  <c r="BD121" i="2"/>
  <c r="DV121" i="2"/>
  <c r="CX121" i="2"/>
  <c r="BZ121" i="2"/>
  <c r="BB121" i="2"/>
  <c r="DT121" i="2"/>
  <c r="CV121" i="2"/>
  <c r="BX121" i="2"/>
  <c r="AZ121" i="2"/>
  <c r="DR121" i="2"/>
  <c r="CT121" i="2"/>
  <c r="BV121" i="2"/>
  <c r="AX121" i="2"/>
  <c r="DP121" i="2"/>
  <c r="CR121" i="2"/>
  <c r="BT121" i="2"/>
  <c r="AV121" i="2"/>
  <c r="AC122" i="2"/>
  <c r="AD122" i="2" s="1"/>
  <c r="E122" i="2"/>
  <c r="D122" i="2"/>
  <c r="V122" i="2"/>
  <c r="C123" i="2"/>
  <c r="G122" i="2"/>
  <c r="J28" i="25"/>
  <c r="J58" i="25" s="1"/>
  <c r="J59" i="25" s="1"/>
  <c r="H11" i="10"/>
  <c r="E26" i="26" l="1"/>
  <c r="E57" i="26" s="1"/>
  <c r="J11" i="10"/>
  <c r="K11" i="10" s="1"/>
  <c r="I11" i="10"/>
  <c r="N28" i="25"/>
  <c r="W121" i="2"/>
  <c r="B122" i="2"/>
  <c r="D58" i="25"/>
  <c r="D59" i="25" s="1"/>
  <c r="F20" i="26"/>
  <c r="F19" i="26"/>
  <c r="F30" i="26"/>
  <c r="F18" i="26"/>
  <c r="F39" i="26"/>
  <c r="F17" i="26"/>
  <c r="F11" i="26"/>
  <c r="F38" i="26"/>
  <c r="F16" i="26"/>
  <c r="F10" i="26"/>
  <c r="F15" i="26"/>
  <c r="F25" i="26"/>
  <c r="F14" i="26"/>
  <c r="F34" i="26"/>
  <c r="F33" i="26"/>
  <c r="F24" i="26"/>
  <c r="F13" i="26"/>
  <c r="F23" i="26"/>
  <c r="F22" i="26"/>
  <c r="F32" i="26"/>
  <c r="F21" i="26"/>
  <c r="H4" i="26"/>
  <c r="G6" i="26"/>
  <c r="G9" i="26" s="1"/>
  <c r="DV122" i="2"/>
  <c r="CX122" i="2"/>
  <c r="BZ122" i="2"/>
  <c r="BB122" i="2"/>
  <c r="DT122" i="2"/>
  <c r="CV122" i="2"/>
  <c r="BX122" i="2"/>
  <c r="AZ122" i="2"/>
  <c r="DR122" i="2"/>
  <c r="CT122" i="2"/>
  <c r="BV122" i="2"/>
  <c r="AX122" i="2"/>
  <c r="DP122" i="2"/>
  <c r="CR122" i="2"/>
  <c r="BT122" i="2"/>
  <c r="AV122" i="2"/>
  <c r="DN122" i="2"/>
  <c r="CP122" i="2"/>
  <c r="BR122" i="2"/>
  <c r="AT122" i="2"/>
  <c r="A122" i="2"/>
  <c r="DL122" i="2"/>
  <c r="CN122" i="2"/>
  <c r="BP122" i="2"/>
  <c r="AR122" i="2"/>
  <c r="DJ122" i="2"/>
  <c r="CL122" i="2"/>
  <c r="BN122" i="2"/>
  <c r="AP122" i="2"/>
  <c r="S122" i="2"/>
  <c r="T122" i="2" s="1"/>
  <c r="DH122" i="2"/>
  <c r="CJ122" i="2"/>
  <c r="BL122" i="2"/>
  <c r="AN122" i="2"/>
  <c r="DF122" i="2"/>
  <c r="CH122" i="2"/>
  <c r="BJ122" i="2"/>
  <c r="AL122" i="2"/>
  <c r="EB122" i="2"/>
  <c r="DD122" i="2"/>
  <c r="CF122" i="2"/>
  <c r="BH122" i="2"/>
  <c r="AJ122" i="2"/>
  <c r="DZ122" i="2"/>
  <c r="DB122" i="2"/>
  <c r="CD122" i="2"/>
  <c r="BF122" i="2"/>
  <c r="AH122" i="2"/>
  <c r="DX122" i="2"/>
  <c r="CZ122" i="2"/>
  <c r="CB122" i="2"/>
  <c r="BD122" i="2"/>
  <c r="G123" i="2"/>
  <c r="AC123" i="2"/>
  <c r="AD123" i="2" s="1"/>
  <c r="E123" i="2"/>
  <c r="D123" i="2"/>
  <c r="V123" i="2"/>
  <c r="C124" i="2"/>
  <c r="F8" i="26"/>
  <c r="D11" i="11"/>
  <c r="N11" i="11" s="1"/>
  <c r="D11" i="5"/>
  <c r="D11" i="6" s="1"/>
  <c r="F122" i="2"/>
  <c r="AB122" i="2" s="1"/>
  <c r="B58" i="25"/>
  <c r="Q11" i="11" l="1"/>
  <c r="O11" i="11"/>
  <c r="P11" i="11"/>
  <c r="G8" i="26"/>
  <c r="K11" i="11"/>
  <c r="F26" i="26"/>
  <c r="F57" i="26" s="1"/>
  <c r="J11" i="11"/>
  <c r="L11" i="11"/>
  <c r="M11" i="11"/>
  <c r="W122" i="2"/>
  <c r="B123" i="2"/>
  <c r="F123" i="2"/>
  <c r="AB123" i="2" s="1"/>
  <c r="N58" i="25"/>
  <c r="N59" i="25" s="1"/>
  <c r="F60" i="25" s="1"/>
  <c r="B59" i="25"/>
  <c r="F31" i="26"/>
  <c r="G19" i="26"/>
  <c r="G30" i="26"/>
  <c r="G31" i="26" s="1"/>
  <c r="G18" i="26"/>
  <c r="G39" i="26"/>
  <c r="G17" i="26"/>
  <c r="G11" i="26"/>
  <c r="G38" i="26"/>
  <c r="G16" i="26"/>
  <c r="G10" i="26"/>
  <c r="G15" i="26"/>
  <c r="G25" i="26"/>
  <c r="G14" i="26"/>
  <c r="G34" i="26"/>
  <c r="G33" i="26"/>
  <c r="G24" i="26"/>
  <c r="G13" i="26"/>
  <c r="G23" i="26"/>
  <c r="G32" i="26"/>
  <c r="G22" i="26"/>
  <c r="G20" i="26"/>
  <c r="G21" i="26"/>
  <c r="DF123" i="2"/>
  <c r="CH123" i="2"/>
  <c r="BJ123" i="2"/>
  <c r="AL123" i="2"/>
  <c r="EB123" i="2"/>
  <c r="DD123" i="2"/>
  <c r="CF123" i="2"/>
  <c r="BH123" i="2"/>
  <c r="AJ123" i="2"/>
  <c r="DZ123" i="2"/>
  <c r="DB123" i="2"/>
  <c r="CD123" i="2"/>
  <c r="BF123" i="2"/>
  <c r="AH123" i="2"/>
  <c r="DX123" i="2"/>
  <c r="CZ123" i="2"/>
  <c r="CB123" i="2"/>
  <c r="BD123" i="2"/>
  <c r="DV123" i="2"/>
  <c r="CX123" i="2"/>
  <c r="BZ123" i="2"/>
  <c r="BB123" i="2"/>
  <c r="DT123" i="2"/>
  <c r="CV123" i="2"/>
  <c r="BX123" i="2"/>
  <c r="AZ123" i="2"/>
  <c r="DR123" i="2"/>
  <c r="CT123" i="2"/>
  <c r="BV123" i="2"/>
  <c r="AX123" i="2"/>
  <c r="DP123" i="2"/>
  <c r="CR123" i="2"/>
  <c r="BT123" i="2"/>
  <c r="AV123" i="2"/>
  <c r="DN123" i="2"/>
  <c r="CP123" i="2"/>
  <c r="BR123" i="2"/>
  <c r="AT123" i="2"/>
  <c r="A123" i="2"/>
  <c r="DL123" i="2"/>
  <c r="CN123" i="2"/>
  <c r="BP123" i="2"/>
  <c r="AR123" i="2"/>
  <c r="DJ123" i="2"/>
  <c r="CL123" i="2"/>
  <c r="BN123" i="2"/>
  <c r="AP123" i="2"/>
  <c r="S123" i="2"/>
  <c r="T123" i="2" s="1"/>
  <c r="DH123" i="2"/>
  <c r="CJ123" i="2"/>
  <c r="BL123" i="2"/>
  <c r="AN123" i="2"/>
  <c r="D11" i="7"/>
  <c r="D11" i="8" s="1"/>
  <c r="D11" i="9" s="1"/>
  <c r="D11" i="10" s="1"/>
  <c r="C11" i="12" s="1"/>
  <c r="R11" i="6"/>
  <c r="C125" i="2"/>
  <c r="G124" i="2"/>
  <c r="AC124" i="2"/>
  <c r="AD124" i="2" s="1"/>
  <c r="E124" i="2"/>
  <c r="D124" i="2"/>
  <c r="V124" i="2"/>
  <c r="I4" i="26"/>
  <c r="H6" i="26"/>
  <c r="H9" i="26" l="1"/>
  <c r="H7" i="26"/>
  <c r="N7" i="26" s="1"/>
  <c r="G11" i="11"/>
  <c r="G26" i="26"/>
  <c r="G57" i="26" s="1"/>
  <c r="J4" i="26"/>
  <c r="I6" i="26"/>
  <c r="H8" i="26"/>
  <c r="W123" i="2"/>
  <c r="B124" i="2"/>
  <c r="F124" i="2"/>
  <c r="AB124" i="2" s="1"/>
  <c r="H30" i="26"/>
  <c r="H31" i="26" s="1"/>
  <c r="H18" i="26"/>
  <c r="H39" i="26"/>
  <c r="H17" i="26"/>
  <c r="H11" i="26"/>
  <c r="H38" i="26"/>
  <c r="H16" i="26"/>
  <c r="H10" i="26"/>
  <c r="H15" i="26"/>
  <c r="H25" i="26"/>
  <c r="H14" i="26"/>
  <c r="H34" i="26"/>
  <c r="H33" i="26"/>
  <c r="H24" i="26"/>
  <c r="H13" i="26"/>
  <c r="H23" i="26"/>
  <c r="H32" i="26"/>
  <c r="H22" i="26"/>
  <c r="H20" i="26"/>
  <c r="H19" i="26"/>
  <c r="H21" i="26"/>
  <c r="G60" i="25"/>
  <c r="I60" i="25"/>
  <c r="DN124" i="2"/>
  <c r="CP124" i="2"/>
  <c r="BR124" i="2"/>
  <c r="AT124" i="2"/>
  <c r="A124" i="2"/>
  <c r="DL124" i="2"/>
  <c r="CN124" i="2"/>
  <c r="BP124" i="2"/>
  <c r="AR124" i="2"/>
  <c r="DJ124" i="2"/>
  <c r="CL124" i="2"/>
  <c r="BN124" i="2"/>
  <c r="AP124" i="2"/>
  <c r="S124" i="2"/>
  <c r="T124" i="2" s="1"/>
  <c r="DH124" i="2"/>
  <c r="CJ124" i="2"/>
  <c r="BL124" i="2"/>
  <c r="AN124" i="2"/>
  <c r="DF124" i="2"/>
  <c r="CH124" i="2"/>
  <c r="BJ124" i="2"/>
  <c r="AL124" i="2"/>
  <c r="EB124" i="2"/>
  <c r="DD124" i="2"/>
  <c r="CF124" i="2"/>
  <c r="BH124" i="2"/>
  <c r="AJ124" i="2"/>
  <c r="DZ124" i="2"/>
  <c r="DB124" i="2"/>
  <c r="CD124" i="2"/>
  <c r="BF124" i="2"/>
  <c r="AH124" i="2"/>
  <c r="DX124" i="2"/>
  <c r="CZ124" i="2"/>
  <c r="CB124" i="2"/>
  <c r="BD124" i="2"/>
  <c r="DV124" i="2"/>
  <c r="CX124" i="2"/>
  <c r="BZ124" i="2"/>
  <c r="BB124" i="2"/>
  <c r="DT124" i="2"/>
  <c r="CV124" i="2"/>
  <c r="BX124" i="2"/>
  <c r="AZ124" i="2"/>
  <c r="DR124" i="2"/>
  <c r="CT124" i="2"/>
  <c r="BV124" i="2"/>
  <c r="AX124" i="2"/>
  <c r="DP124" i="2"/>
  <c r="CR124" i="2"/>
  <c r="BT124" i="2"/>
  <c r="AV124" i="2"/>
  <c r="AC125" i="2"/>
  <c r="AD125" i="2" s="1"/>
  <c r="E125" i="2"/>
  <c r="D125" i="2"/>
  <c r="V125" i="2"/>
  <c r="C126" i="2"/>
  <c r="G125" i="2"/>
  <c r="C11" i="11" l="1"/>
  <c r="E11" i="11" s="1"/>
  <c r="H11" i="11"/>
  <c r="I39" i="26"/>
  <c r="I17" i="26"/>
  <c r="I11" i="26"/>
  <c r="I38" i="26"/>
  <c r="I16" i="26"/>
  <c r="I10" i="26"/>
  <c r="I15" i="26"/>
  <c r="I25" i="26"/>
  <c r="I14" i="26"/>
  <c r="I34" i="26"/>
  <c r="I33" i="26"/>
  <c r="I24" i="26"/>
  <c r="I13" i="26"/>
  <c r="I23" i="26"/>
  <c r="I32" i="26"/>
  <c r="I22" i="26"/>
  <c r="I20" i="26"/>
  <c r="I19" i="26"/>
  <c r="I30" i="26"/>
  <c r="I31" i="26" s="1"/>
  <c r="I18" i="26"/>
  <c r="I21" i="26"/>
  <c r="K4" i="26"/>
  <c r="J6" i="26"/>
  <c r="G126" i="2"/>
  <c r="AC126" i="2"/>
  <c r="AD126" i="2" s="1"/>
  <c r="E126" i="2"/>
  <c r="D126" i="2"/>
  <c r="V126" i="2"/>
  <c r="C127" i="2"/>
  <c r="W124" i="2"/>
  <c r="B125" i="2"/>
  <c r="F125" i="2"/>
  <c r="AB125" i="2" s="1"/>
  <c r="I8" i="26"/>
  <c r="DV125" i="2"/>
  <c r="CX125" i="2"/>
  <c r="BZ125" i="2"/>
  <c r="BB125" i="2"/>
  <c r="DT125" i="2"/>
  <c r="CV125" i="2"/>
  <c r="BX125" i="2"/>
  <c r="AZ125" i="2"/>
  <c r="DR125" i="2"/>
  <c r="CT125" i="2"/>
  <c r="BV125" i="2"/>
  <c r="AX125" i="2"/>
  <c r="DP125" i="2"/>
  <c r="CR125" i="2"/>
  <c r="BT125" i="2"/>
  <c r="AV125" i="2"/>
  <c r="DN125" i="2"/>
  <c r="CP125" i="2"/>
  <c r="BR125" i="2"/>
  <c r="AT125" i="2"/>
  <c r="A125" i="2"/>
  <c r="DL125" i="2"/>
  <c r="CN125" i="2"/>
  <c r="BP125" i="2"/>
  <c r="AR125" i="2"/>
  <c r="DJ125" i="2"/>
  <c r="CL125" i="2"/>
  <c r="BN125" i="2"/>
  <c r="AP125" i="2"/>
  <c r="S125" i="2"/>
  <c r="T125" i="2" s="1"/>
  <c r="DH125" i="2"/>
  <c r="CJ125" i="2"/>
  <c r="BL125" i="2"/>
  <c r="AN125" i="2"/>
  <c r="DF125" i="2"/>
  <c r="CH125" i="2"/>
  <c r="BJ125" i="2"/>
  <c r="AL125" i="2"/>
  <c r="EB125" i="2"/>
  <c r="DD125" i="2"/>
  <c r="CF125" i="2"/>
  <c r="BH125" i="2"/>
  <c r="AJ125" i="2"/>
  <c r="DZ125" i="2"/>
  <c r="DB125" i="2"/>
  <c r="CD125" i="2"/>
  <c r="BF125" i="2"/>
  <c r="AH125" i="2"/>
  <c r="DX125" i="2"/>
  <c r="CZ125" i="2"/>
  <c r="CB125" i="2"/>
  <c r="BD125" i="2"/>
  <c r="I9" i="26"/>
  <c r="H26" i="26"/>
  <c r="I26" i="26" l="1"/>
  <c r="I57" i="26" s="1"/>
  <c r="DF126" i="2"/>
  <c r="CH126" i="2"/>
  <c r="BJ126" i="2"/>
  <c r="AL126" i="2"/>
  <c r="EB126" i="2"/>
  <c r="DD126" i="2"/>
  <c r="CF126" i="2"/>
  <c r="BH126" i="2"/>
  <c r="AJ126" i="2"/>
  <c r="DZ126" i="2"/>
  <c r="DB126" i="2"/>
  <c r="CD126" i="2"/>
  <c r="BF126" i="2"/>
  <c r="AH126" i="2"/>
  <c r="DX126" i="2"/>
  <c r="CZ126" i="2"/>
  <c r="CB126" i="2"/>
  <c r="BD126" i="2"/>
  <c r="DV126" i="2"/>
  <c r="CX126" i="2"/>
  <c r="BZ126" i="2"/>
  <c r="BB126" i="2"/>
  <c r="DT126" i="2"/>
  <c r="CV126" i="2"/>
  <c r="BX126" i="2"/>
  <c r="AZ126" i="2"/>
  <c r="DR126" i="2"/>
  <c r="CT126" i="2"/>
  <c r="BV126" i="2"/>
  <c r="AX126" i="2"/>
  <c r="DP126" i="2"/>
  <c r="CR126" i="2"/>
  <c r="BT126" i="2"/>
  <c r="AV126" i="2"/>
  <c r="DN126" i="2"/>
  <c r="CP126" i="2"/>
  <c r="BR126" i="2"/>
  <c r="AT126" i="2"/>
  <c r="A126" i="2"/>
  <c r="DL126" i="2"/>
  <c r="CN126" i="2"/>
  <c r="BP126" i="2"/>
  <c r="AR126" i="2"/>
  <c r="DJ126" i="2"/>
  <c r="CL126" i="2"/>
  <c r="BN126" i="2"/>
  <c r="AP126" i="2"/>
  <c r="S126" i="2"/>
  <c r="T126" i="2" s="1"/>
  <c r="DH126" i="2"/>
  <c r="CJ126" i="2"/>
  <c r="BL126" i="2"/>
  <c r="AN126" i="2"/>
  <c r="J38" i="26"/>
  <c r="J16" i="26"/>
  <c r="J10" i="26"/>
  <c r="J15" i="26"/>
  <c r="J25" i="26"/>
  <c r="J14" i="26"/>
  <c r="J34" i="26"/>
  <c r="J12" i="26"/>
  <c r="J33" i="26"/>
  <c r="J24" i="26"/>
  <c r="J13" i="26"/>
  <c r="J23" i="26"/>
  <c r="J32" i="26"/>
  <c r="J22" i="26"/>
  <c r="J20" i="26"/>
  <c r="J19" i="26"/>
  <c r="J30" i="26"/>
  <c r="J31" i="26" s="1"/>
  <c r="J18" i="26"/>
  <c r="J11" i="26"/>
  <c r="J17" i="26"/>
  <c r="J39" i="26"/>
  <c r="J21" i="26"/>
  <c r="L4" i="26"/>
  <c r="K6" i="26"/>
  <c r="J8" i="26"/>
  <c r="J9" i="26"/>
  <c r="C128" i="2"/>
  <c r="G127" i="2"/>
  <c r="AC127" i="2"/>
  <c r="AD127" i="2" s="1"/>
  <c r="E127" i="2"/>
  <c r="D127" i="2"/>
  <c r="V127" i="2"/>
  <c r="W125" i="2"/>
  <c r="B126" i="2"/>
  <c r="H57" i="26"/>
  <c r="F126" i="2"/>
  <c r="AB126" i="2" s="1"/>
  <c r="F127" i="2" l="1"/>
  <c r="AB127" i="2" s="1"/>
  <c r="J26" i="26"/>
  <c r="J57" i="26" s="1"/>
  <c r="DN127" i="2"/>
  <c r="CP127" i="2"/>
  <c r="BR127" i="2"/>
  <c r="AT127" i="2"/>
  <c r="A127" i="2"/>
  <c r="DL127" i="2"/>
  <c r="CN127" i="2"/>
  <c r="BP127" i="2"/>
  <c r="AR127" i="2"/>
  <c r="DJ127" i="2"/>
  <c r="CL127" i="2"/>
  <c r="BN127" i="2"/>
  <c r="AP127" i="2"/>
  <c r="S127" i="2"/>
  <c r="T127" i="2" s="1"/>
  <c r="DH127" i="2"/>
  <c r="CJ127" i="2"/>
  <c r="BL127" i="2"/>
  <c r="AN127" i="2"/>
  <c r="DF127" i="2"/>
  <c r="CH127" i="2"/>
  <c r="BJ127" i="2"/>
  <c r="AL127" i="2"/>
  <c r="EB127" i="2"/>
  <c r="DD127" i="2"/>
  <c r="CF127" i="2"/>
  <c r="BH127" i="2"/>
  <c r="AJ127" i="2"/>
  <c r="DZ127" i="2"/>
  <c r="DB127" i="2"/>
  <c r="CD127" i="2"/>
  <c r="BF127" i="2"/>
  <c r="AH127" i="2"/>
  <c r="DX127" i="2"/>
  <c r="CZ127" i="2"/>
  <c r="CB127" i="2"/>
  <c r="BD127" i="2"/>
  <c r="DV127" i="2"/>
  <c r="CX127" i="2"/>
  <c r="BZ127" i="2"/>
  <c r="BB127" i="2"/>
  <c r="DT127" i="2"/>
  <c r="CV127" i="2"/>
  <c r="BX127" i="2"/>
  <c r="AZ127" i="2"/>
  <c r="DR127" i="2"/>
  <c r="CT127" i="2"/>
  <c r="BV127" i="2"/>
  <c r="AX127" i="2"/>
  <c r="DP127" i="2"/>
  <c r="CR127" i="2"/>
  <c r="BT127" i="2"/>
  <c r="AV127" i="2"/>
  <c r="AC128" i="2"/>
  <c r="AD128" i="2" s="1"/>
  <c r="E128" i="2"/>
  <c r="D128" i="2"/>
  <c r="F128" i="2" s="1"/>
  <c r="AB128" i="2" s="1"/>
  <c r="V128" i="2"/>
  <c r="C129" i="2"/>
  <c r="G128" i="2"/>
  <c r="K15" i="26"/>
  <c r="K25" i="26"/>
  <c r="K14" i="26"/>
  <c r="K34" i="26"/>
  <c r="K12" i="26"/>
  <c r="N12" i="26" s="1"/>
  <c r="K33" i="26"/>
  <c r="K24" i="26"/>
  <c r="K13" i="26"/>
  <c r="K23" i="26"/>
  <c r="K32" i="26"/>
  <c r="K22" i="26"/>
  <c r="K20" i="26"/>
  <c r="K19" i="26"/>
  <c r="K30" i="26"/>
  <c r="K31" i="26" s="1"/>
  <c r="K18" i="26"/>
  <c r="K39" i="26"/>
  <c r="K17" i="26"/>
  <c r="K11" i="26"/>
  <c r="K10" i="26"/>
  <c r="K16" i="26"/>
  <c r="K38" i="26"/>
  <c r="K21" i="26"/>
  <c r="M4" i="26"/>
  <c r="L6" i="26"/>
  <c r="L8" i="26" s="1"/>
  <c r="K8" i="26"/>
  <c r="W126" i="2"/>
  <c r="B127" i="2"/>
  <c r="K9" i="26"/>
  <c r="H12" i="9"/>
  <c r="I12" i="9"/>
  <c r="K26" i="26" l="1"/>
  <c r="K57" i="26" s="1"/>
  <c r="AC129" i="2"/>
  <c r="AD129" i="2" s="1"/>
  <c r="G129" i="2"/>
  <c r="E129" i="2"/>
  <c r="D129" i="2"/>
  <c r="C130" i="2"/>
  <c r="V129" i="2"/>
  <c r="W127" i="2"/>
  <c r="B128" i="2"/>
  <c r="B4" i="27"/>
  <c r="M6" i="26"/>
  <c r="L25" i="26"/>
  <c r="L14" i="26"/>
  <c r="L34" i="26"/>
  <c r="L33" i="26"/>
  <c r="L24" i="26"/>
  <c r="L13" i="26"/>
  <c r="L23" i="26"/>
  <c r="L32" i="26"/>
  <c r="L22" i="26"/>
  <c r="L20" i="26"/>
  <c r="L19" i="26"/>
  <c r="L30" i="26"/>
  <c r="L31" i="26" s="1"/>
  <c r="L18" i="26"/>
  <c r="L39" i="26"/>
  <c r="L17" i="26"/>
  <c r="L11" i="26"/>
  <c r="L38" i="26"/>
  <c r="L16" i="26"/>
  <c r="L10" i="26"/>
  <c r="L15" i="26"/>
  <c r="L21" i="26"/>
  <c r="L9" i="26"/>
  <c r="DV128" i="2"/>
  <c r="CX128" i="2"/>
  <c r="BZ128" i="2"/>
  <c r="BB128" i="2"/>
  <c r="DT128" i="2"/>
  <c r="CV128" i="2"/>
  <c r="BX128" i="2"/>
  <c r="AZ128" i="2"/>
  <c r="DR128" i="2"/>
  <c r="CT128" i="2"/>
  <c r="BV128" i="2"/>
  <c r="AX128" i="2"/>
  <c r="DP128" i="2"/>
  <c r="CR128" i="2"/>
  <c r="BT128" i="2"/>
  <c r="AV128" i="2"/>
  <c r="DN128" i="2"/>
  <c r="CP128" i="2"/>
  <c r="BR128" i="2"/>
  <c r="AT128" i="2"/>
  <c r="A128" i="2"/>
  <c r="DL128" i="2"/>
  <c r="CN128" i="2"/>
  <c r="BP128" i="2"/>
  <c r="AR128" i="2"/>
  <c r="DJ128" i="2"/>
  <c r="CL128" i="2"/>
  <c r="BN128" i="2"/>
  <c r="AP128" i="2"/>
  <c r="S128" i="2"/>
  <c r="T128" i="2" s="1"/>
  <c r="DH128" i="2"/>
  <c r="CJ128" i="2"/>
  <c r="BL128" i="2"/>
  <c r="AN128" i="2"/>
  <c r="DF128" i="2"/>
  <c r="CH128" i="2"/>
  <c r="BJ128" i="2"/>
  <c r="AL128" i="2"/>
  <c r="EB128" i="2"/>
  <c r="DD128" i="2"/>
  <c r="CF128" i="2"/>
  <c r="BH128" i="2"/>
  <c r="AJ128" i="2"/>
  <c r="DZ128" i="2"/>
  <c r="DB128" i="2"/>
  <c r="CD128" i="2"/>
  <c r="BF128" i="2"/>
  <c r="AH128" i="2"/>
  <c r="DX128" i="2"/>
  <c r="CZ128" i="2"/>
  <c r="CB128" i="2"/>
  <c r="BD128" i="2"/>
  <c r="F129" i="2" l="1"/>
  <c r="AB129" i="2" s="1"/>
  <c r="L26" i="26"/>
  <c r="L57" i="26" s="1"/>
  <c r="C4" i="27"/>
  <c r="B6" i="27"/>
  <c r="B7" i="27" s="1"/>
  <c r="W128" i="2"/>
  <c r="B129" i="2"/>
  <c r="G130" i="2"/>
  <c r="AC130" i="2"/>
  <c r="AD130" i="2" s="1"/>
  <c r="E130" i="2"/>
  <c r="D130" i="2"/>
  <c r="F130" i="2" s="1"/>
  <c r="AB130" i="2" s="1"/>
  <c r="V130" i="2"/>
  <c r="C131" i="2"/>
  <c r="DZ129" i="2"/>
  <c r="DB129" i="2"/>
  <c r="CD129" i="2"/>
  <c r="BF129" i="2"/>
  <c r="AH129" i="2"/>
  <c r="DX129" i="2"/>
  <c r="CZ129" i="2"/>
  <c r="CB129" i="2"/>
  <c r="BD129" i="2"/>
  <c r="DV129" i="2"/>
  <c r="CX129" i="2"/>
  <c r="BZ129" i="2"/>
  <c r="BB129" i="2"/>
  <c r="DT129" i="2"/>
  <c r="CV129" i="2"/>
  <c r="BX129" i="2"/>
  <c r="AZ129" i="2"/>
  <c r="DR129" i="2"/>
  <c r="CT129" i="2"/>
  <c r="BV129" i="2"/>
  <c r="AX129" i="2"/>
  <c r="DP129" i="2"/>
  <c r="CR129" i="2"/>
  <c r="BT129" i="2"/>
  <c r="AV129" i="2"/>
  <c r="DN129" i="2"/>
  <c r="CP129" i="2"/>
  <c r="BR129" i="2"/>
  <c r="AT129" i="2"/>
  <c r="DL129" i="2"/>
  <c r="CN129" i="2"/>
  <c r="BP129" i="2"/>
  <c r="AR129" i="2"/>
  <c r="DJ129" i="2"/>
  <c r="CL129" i="2"/>
  <c r="BN129" i="2"/>
  <c r="AP129" i="2"/>
  <c r="A129" i="2"/>
  <c r="DH129" i="2"/>
  <c r="CJ129" i="2"/>
  <c r="BL129" i="2"/>
  <c r="AN129" i="2"/>
  <c r="DF129" i="2"/>
  <c r="CH129" i="2"/>
  <c r="BJ129" i="2"/>
  <c r="AL129" i="2"/>
  <c r="S129" i="2"/>
  <c r="T129" i="2" s="1"/>
  <c r="EB129" i="2"/>
  <c r="DD129" i="2"/>
  <c r="CF129" i="2"/>
  <c r="BH129" i="2"/>
  <c r="AJ129" i="2"/>
  <c r="M25" i="26"/>
  <c r="N25" i="26" s="1"/>
  <c r="M14" i="26"/>
  <c r="N14" i="26" s="1"/>
  <c r="M34" i="26"/>
  <c r="N34" i="26" s="1"/>
  <c r="M33" i="26"/>
  <c r="N33" i="26" s="1"/>
  <c r="M24" i="26"/>
  <c r="N24" i="26" s="1"/>
  <c r="M13" i="26"/>
  <c r="N13" i="26" s="1"/>
  <c r="M23" i="26"/>
  <c r="N23" i="26" s="1"/>
  <c r="M32" i="26"/>
  <c r="N32" i="26" s="1"/>
  <c r="M22" i="26"/>
  <c r="N22" i="26" s="1"/>
  <c r="M20" i="26"/>
  <c r="N20" i="26" s="1"/>
  <c r="M19" i="26"/>
  <c r="N19" i="26" s="1"/>
  <c r="M30" i="26"/>
  <c r="N30" i="26" s="1"/>
  <c r="M18" i="26"/>
  <c r="N18" i="26" s="1"/>
  <c r="M39" i="26"/>
  <c r="N39" i="26" s="1"/>
  <c r="M17" i="26"/>
  <c r="N17" i="26" s="1"/>
  <c r="M11" i="26"/>
  <c r="N11" i="26" s="1"/>
  <c r="M38" i="26"/>
  <c r="N38" i="26" s="1"/>
  <c r="M16" i="26"/>
  <c r="N16" i="26" s="1"/>
  <c r="M10" i="26"/>
  <c r="N10" i="26" s="1"/>
  <c r="M15" i="26"/>
  <c r="N15" i="26" s="1"/>
  <c r="N6" i="26"/>
  <c r="M21" i="26"/>
  <c r="N21" i="26" s="1"/>
  <c r="M8" i="26"/>
  <c r="N8" i="26" s="1"/>
  <c r="M9" i="26"/>
  <c r="N9" i="26" s="1"/>
  <c r="F12" i="9"/>
  <c r="F12" i="8"/>
  <c r="J12" i="9"/>
  <c r="L12" i="9"/>
  <c r="O12" i="8"/>
  <c r="K12" i="9"/>
  <c r="G12" i="9"/>
  <c r="L12" i="8"/>
  <c r="M12" i="9"/>
  <c r="N12" i="9"/>
  <c r="I12" i="8"/>
  <c r="K12" i="8" l="1"/>
  <c r="Q12" i="8"/>
  <c r="N12" i="8"/>
  <c r="M31" i="26"/>
  <c r="N31" i="26" s="1"/>
  <c r="J12" i="8"/>
  <c r="M12" i="8"/>
  <c r="R12" i="8"/>
  <c r="S12" i="8" s="1"/>
  <c r="H12" i="8"/>
  <c r="G12" i="8"/>
  <c r="O12" i="9"/>
  <c r="P12" i="9" s="1"/>
  <c r="P12" i="8"/>
  <c r="M26" i="26"/>
  <c r="DF130" i="2"/>
  <c r="CH130" i="2"/>
  <c r="BJ130" i="2"/>
  <c r="AN130" i="2"/>
  <c r="EB130" i="2"/>
  <c r="DD130" i="2"/>
  <c r="CF130" i="2"/>
  <c r="BH130" i="2"/>
  <c r="AL130" i="2"/>
  <c r="DZ130" i="2"/>
  <c r="DB130" i="2"/>
  <c r="CD130" i="2"/>
  <c r="BF130" i="2"/>
  <c r="AJ130" i="2"/>
  <c r="DX130" i="2"/>
  <c r="CZ130" i="2"/>
  <c r="CB130" i="2"/>
  <c r="BD130" i="2"/>
  <c r="AH130" i="2"/>
  <c r="DV130" i="2"/>
  <c r="CX130" i="2"/>
  <c r="BZ130" i="2"/>
  <c r="BB130" i="2"/>
  <c r="DT130" i="2"/>
  <c r="CV130" i="2"/>
  <c r="BX130" i="2"/>
  <c r="AZ130" i="2"/>
  <c r="DR130" i="2"/>
  <c r="CT130" i="2"/>
  <c r="BV130" i="2"/>
  <c r="AX130" i="2"/>
  <c r="DP130" i="2"/>
  <c r="CR130" i="2"/>
  <c r="BT130" i="2"/>
  <c r="AV130" i="2"/>
  <c r="DN130" i="2"/>
  <c r="CP130" i="2"/>
  <c r="BR130" i="2"/>
  <c r="AT130" i="2"/>
  <c r="DL130" i="2"/>
  <c r="CN130" i="2"/>
  <c r="BP130" i="2"/>
  <c r="AR130" i="2"/>
  <c r="A130" i="2"/>
  <c r="DJ130" i="2"/>
  <c r="CL130" i="2"/>
  <c r="BN130" i="2"/>
  <c r="AP130" i="2"/>
  <c r="DH130" i="2"/>
  <c r="CJ130" i="2"/>
  <c r="BL130" i="2"/>
  <c r="S130" i="2"/>
  <c r="T130" i="2" s="1"/>
  <c r="B30" i="27"/>
  <c r="B31" i="27" s="1"/>
  <c r="B38" i="27"/>
  <c r="B34" i="27"/>
  <c r="B33" i="27"/>
  <c r="B32" i="27"/>
  <c r="B21" i="27"/>
  <c r="B20" i="27"/>
  <c r="B19" i="27"/>
  <c r="B18" i="27"/>
  <c r="B12" i="27"/>
  <c r="B17" i="27"/>
  <c r="B11" i="27"/>
  <c r="B16" i="27"/>
  <c r="B10" i="27"/>
  <c r="B39" i="27"/>
  <c r="B15" i="27"/>
  <c r="B25" i="27"/>
  <c r="B14" i="27"/>
  <c r="B24" i="27"/>
  <c r="B13" i="27"/>
  <c r="B23" i="27"/>
  <c r="D4" i="27"/>
  <c r="C6" i="27"/>
  <c r="C132" i="2"/>
  <c r="G131" i="2"/>
  <c r="AC131" i="2"/>
  <c r="AD131" i="2" s="1"/>
  <c r="E131" i="2"/>
  <c r="D131" i="2"/>
  <c r="F131" i="2" s="1"/>
  <c r="AB131" i="2" s="1"/>
  <c r="V131" i="2"/>
  <c r="B8" i="27"/>
  <c r="W129" i="2"/>
  <c r="B130" i="2"/>
  <c r="B9" i="27"/>
  <c r="B12" i="8"/>
  <c r="E12" i="8"/>
  <c r="E12" i="9"/>
  <c r="B12" i="9"/>
  <c r="B26" i="27" l="1"/>
  <c r="B57" i="27" s="1"/>
  <c r="DN131" i="2"/>
  <c r="CP131" i="2"/>
  <c r="BR131" i="2"/>
  <c r="AT131" i="2"/>
  <c r="A131" i="2"/>
  <c r="DL131" i="2"/>
  <c r="CN131" i="2"/>
  <c r="BP131" i="2"/>
  <c r="AR131" i="2"/>
  <c r="DJ131" i="2"/>
  <c r="CL131" i="2"/>
  <c r="BN131" i="2"/>
  <c r="AP131" i="2"/>
  <c r="S131" i="2"/>
  <c r="T131" i="2" s="1"/>
  <c r="DH131" i="2"/>
  <c r="CJ131" i="2"/>
  <c r="BL131" i="2"/>
  <c r="AN131" i="2"/>
  <c r="DF131" i="2"/>
  <c r="CH131" i="2"/>
  <c r="BJ131" i="2"/>
  <c r="AL131" i="2"/>
  <c r="EB131" i="2"/>
  <c r="DD131" i="2"/>
  <c r="CF131" i="2"/>
  <c r="BH131" i="2"/>
  <c r="AJ131" i="2"/>
  <c r="DZ131" i="2"/>
  <c r="DB131" i="2"/>
  <c r="CD131" i="2"/>
  <c r="BF131" i="2"/>
  <c r="AH131" i="2"/>
  <c r="DX131" i="2"/>
  <c r="CZ131" i="2"/>
  <c r="CB131" i="2"/>
  <c r="BD131" i="2"/>
  <c r="DV131" i="2"/>
  <c r="CX131" i="2"/>
  <c r="BZ131" i="2"/>
  <c r="BB131" i="2"/>
  <c r="DT131" i="2"/>
  <c r="CV131" i="2"/>
  <c r="BX131" i="2"/>
  <c r="AZ131" i="2"/>
  <c r="DR131" i="2"/>
  <c r="CT131" i="2"/>
  <c r="BV131" i="2"/>
  <c r="AX131" i="2"/>
  <c r="DP131" i="2"/>
  <c r="CR131" i="2"/>
  <c r="BT131" i="2"/>
  <c r="AV131" i="2"/>
  <c r="AC132" i="2"/>
  <c r="AD132" i="2" s="1"/>
  <c r="E132" i="2"/>
  <c r="D132" i="2"/>
  <c r="F132" i="2" s="1"/>
  <c r="AB132" i="2" s="1"/>
  <c r="V132" i="2"/>
  <c r="C133" i="2"/>
  <c r="G132" i="2"/>
  <c r="E4" i="27"/>
  <c r="D6" i="27"/>
  <c r="N26" i="26"/>
  <c r="M57" i="26"/>
  <c r="W130" i="2"/>
  <c r="B131" i="2"/>
  <c r="C8" i="27"/>
  <c r="C9" i="27"/>
  <c r="C30" i="27"/>
  <c r="C31" i="27" s="1"/>
  <c r="C39" i="27"/>
  <c r="C34" i="27"/>
  <c r="C33" i="27"/>
  <c r="C32" i="27"/>
  <c r="C20" i="27"/>
  <c r="C19" i="27"/>
  <c r="C18" i="27"/>
  <c r="C12" i="27"/>
  <c r="C17" i="27"/>
  <c r="C11" i="27"/>
  <c r="C16" i="27"/>
  <c r="C10" i="27"/>
  <c r="C15" i="27"/>
  <c r="C25" i="27"/>
  <c r="C14" i="27"/>
  <c r="C38" i="27"/>
  <c r="C24" i="27"/>
  <c r="C13" i="27"/>
  <c r="C23" i="27"/>
  <c r="C22" i="27"/>
  <c r="C21" i="27"/>
  <c r="F12" i="3"/>
  <c r="G12" i="10"/>
  <c r="F12" i="12"/>
  <c r="F12" i="4"/>
  <c r="H12" i="12" l="1"/>
  <c r="G12" i="12"/>
  <c r="G12" i="3"/>
  <c r="H12" i="3"/>
  <c r="C26" i="27"/>
  <c r="DV132" i="2"/>
  <c r="CX132" i="2"/>
  <c r="BZ132" i="2"/>
  <c r="BB132" i="2"/>
  <c r="DT132" i="2"/>
  <c r="CV132" i="2"/>
  <c r="BX132" i="2"/>
  <c r="AZ132" i="2"/>
  <c r="DR132" i="2"/>
  <c r="CT132" i="2"/>
  <c r="BV132" i="2"/>
  <c r="AX132" i="2"/>
  <c r="DP132" i="2"/>
  <c r="CR132" i="2"/>
  <c r="BT132" i="2"/>
  <c r="AV132" i="2"/>
  <c r="DN132" i="2"/>
  <c r="CP132" i="2"/>
  <c r="BR132" i="2"/>
  <c r="AT132" i="2"/>
  <c r="A132" i="2"/>
  <c r="DL132" i="2"/>
  <c r="CN132" i="2"/>
  <c r="BP132" i="2"/>
  <c r="AR132" i="2"/>
  <c r="DJ132" i="2"/>
  <c r="CL132" i="2"/>
  <c r="BN132" i="2"/>
  <c r="AP132" i="2"/>
  <c r="S132" i="2"/>
  <c r="T132" i="2" s="1"/>
  <c r="DH132" i="2"/>
  <c r="CJ132" i="2"/>
  <c r="BL132" i="2"/>
  <c r="AN132" i="2"/>
  <c r="DF132" i="2"/>
  <c r="CH132" i="2"/>
  <c r="BJ132" i="2"/>
  <c r="AL132" i="2"/>
  <c r="EB132" i="2"/>
  <c r="DD132" i="2"/>
  <c r="CF132" i="2"/>
  <c r="BH132" i="2"/>
  <c r="AJ132" i="2"/>
  <c r="DZ132" i="2"/>
  <c r="DB132" i="2"/>
  <c r="CD132" i="2"/>
  <c r="BF132" i="2"/>
  <c r="AH132" i="2"/>
  <c r="DX132" i="2"/>
  <c r="CZ132" i="2"/>
  <c r="CB132" i="2"/>
  <c r="BD132" i="2"/>
  <c r="G133" i="2"/>
  <c r="AC133" i="2"/>
  <c r="AD133" i="2" s="1"/>
  <c r="E133" i="2"/>
  <c r="D133" i="2"/>
  <c r="V133" i="2"/>
  <c r="C134" i="2"/>
  <c r="W131" i="2"/>
  <c r="B132" i="2"/>
  <c r="D39" i="27"/>
  <c r="D38" i="27"/>
  <c r="D33" i="27"/>
  <c r="D32" i="27"/>
  <c r="D19" i="27"/>
  <c r="D18" i="27"/>
  <c r="D17" i="27"/>
  <c r="D11" i="27"/>
  <c r="D34" i="27"/>
  <c r="D16" i="27"/>
  <c r="D10" i="27"/>
  <c r="D30" i="27"/>
  <c r="D15" i="27"/>
  <c r="D25" i="27"/>
  <c r="D14" i="27"/>
  <c r="D24" i="27"/>
  <c r="D13" i="27"/>
  <c r="D23" i="27"/>
  <c r="D22" i="27"/>
  <c r="D20" i="27"/>
  <c r="D21" i="27"/>
  <c r="F4" i="27"/>
  <c r="E6" i="27"/>
  <c r="E9" i="27" s="1"/>
  <c r="D8" i="27"/>
  <c r="D9" i="27"/>
  <c r="N57" i="26"/>
  <c r="B60" i="26"/>
  <c r="H60" i="26"/>
  <c r="B27" i="26"/>
  <c r="C27" i="26"/>
  <c r="D27" i="26"/>
  <c r="E27" i="26"/>
  <c r="F27" i="26"/>
  <c r="G27" i="26"/>
  <c r="H27" i="26"/>
  <c r="I27" i="26"/>
  <c r="J27" i="26"/>
  <c r="K27" i="26"/>
  <c r="L27" i="26"/>
  <c r="M27" i="26"/>
  <c r="E12" i="12"/>
  <c r="H12" i="4"/>
  <c r="K12" i="4"/>
  <c r="B12" i="3"/>
  <c r="B12" i="4"/>
  <c r="F12" i="10"/>
  <c r="G12" i="4"/>
  <c r="E12" i="3"/>
  <c r="C12" i="10"/>
  <c r="O12" i="3"/>
  <c r="J12" i="4"/>
  <c r="B12" i="12"/>
  <c r="E12" i="4"/>
  <c r="I12" i="4"/>
  <c r="E8" i="27" l="1"/>
  <c r="D26" i="27"/>
  <c r="D57" i="27" s="1"/>
  <c r="O12" i="4"/>
  <c r="P12" i="4" s="1"/>
  <c r="S12" i="11" s="1"/>
  <c r="C12" i="3"/>
  <c r="B12" i="6"/>
  <c r="B12" i="5"/>
  <c r="B12" i="7"/>
  <c r="E12" i="5"/>
  <c r="E12" i="7"/>
  <c r="E12" i="6"/>
  <c r="C12" i="4"/>
  <c r="I28" i="26"/>
  <c r="I58" i="26" s="1"/>
  <c r="I59" i="26" s="1"/>
  <c r="H28" i="26"/>
  <c r="H58" i="26" s="1"/>
  <c r="H59" i="26" s="1"/>
  <c r="DF133" i="2"/>
  <c r="CH133" i="2"/>
  <c r="BJ133" i="2"/>
  <c r="AL133" i="2"/>
  <c r="EB133" i="2"/>
  <c r="DD133" i="2"/>
  <c r="CF133" i="2"/>
  <c r="BH133" i="2"/>
  <c r="AJ133" i="2"/>
  <c r="DZ133" i="2"/>
  <c r="DB133" i="2"/>
  <c r="CD133" i="2"/>
  <c r="BF133" i="2"/>
  <c r="AH133" i="2"/>
  <c r="DX133" i="2"/>
  <c r="CZ133" i="2"/>
  <c r="CB133" i="2"/>
  <c r="BD133" i="2"/>
  <c r="DV133" i="2"/>
  <c r="CX133" i="2"/>
  <c r="BZ133" i="2"/>
  <c r="BB133" i="2"/>
  <c r="DT133" i="2"/>
  <c r="CV133" i="2"/>
  <c r="BX133" i="2"/>
  <c r="AZ133" i="2"/>
  <c r="DR133" i="2"/>
  <c r="CT133" i="2"/>
  <c r="BV133" i="2"/>
  <c r="AX133" i="2"/>
  <c r="DP133" i="2"/>
  <c r="CR133" i="2"/>
  <c r="BT133" i="2"/>
  <c r="AV133" i="2"/>
  <c r="DN133" i="2"/>
  <c r="CP133" i="2"/>
  <c r="BR133" i="2"/>
  <c r="AT133" i="2"/>
  <c r="A133" i="2"/>
  <c r="DL133" i="2"/>
  <c r="CN133" i="2"/>
  <c r="BP133" i="2"/>
  <c r="AR133" i="2"/>
  <c r="DJ133" i="2"/>
  <c r="CL133" i="2"/>
  <c r="BN133" i="2"/>
  <c r="AP133" i="2"/>
  <c r="S133" i="2"/>
  <c r="T133" i="2" s="1"/>
  <c r="DH133" i="2"/>
  <c r="CJ133" i="2"/>
  <c r="BL133" i="2"/>
  <c r="AN133" i="2"/>
  <c r="G28" i="26"/>
  <c r="G58" i="26" s="1"/>
  <c r="G59" i="26" s="1"/>
  <c r="D28" i="26"/>
  <c r="D58" i="26" s="1"/>
  <c r="D59" i="26" s="1"/>
  <c r="C28" i="26"/>
  <c r="C58" i="26" s="1"/>
  <c r="C59" i="26" s="1"/>
  <c r="C57" i="27"/>
  <c r="F28" i="26"/>
  <c r="F58" i="26" s="1"/>
  <c r="F59" i="26" s="1"/>
  <c r="E28" i="26"/>
  <c r="E58" i="26" s="1"/>
  <c r="E59" i="26" s="1"/>
  <c r="N27" i="26"/>
  <c r="B28" i="26"/>
  <c r="M28" i="26"/>
  <c r="M58" i="26" s="1"/>
  <c r="M59" i="26" s="1"/>
  <c r="E38" i="27"/>
  <c r="E34" i="27"/>
  <c r="E32" i="27"/>
  <c r="E30" i="27"/>
  <c r="E31" i="27" s="1"/>
  <c r="E18" i="27"/>
  <c r="E17" i="27"/>
  <c r="E11" i="27"/>
  <c r="E16" i="27"/>
  <c r="E10" i="27"/>
  <c r="E15" i="27"/>
  <c r="E39" i="27"/>
  <c r="E25" i="27"/>
  <c r="E14" i="27"/>
  <c r="E33" i="27"/>
  <c r="E24" i="27"/>
  <c r="E13" i="27"/>
  <c r="E23" i="27"/>
  <c r="E22" i="27"/>
  <c r="E20" i="27"/>
  <c r="E19" i="27"/>
  <c r="E21" i="27"/>
  <c r="C135" i="2"/>
  <c r="G134" i="2"/>
  <c r="AC134" i="2"/>
  <c r="AD134" i="2" s="1"/>
  <c r="E134" i="2"/>
  <c r="D134" i="2"/>
  <c r="F134" i="2" s="1"/>
  <c r="AB134" i="2" s="1"/>
  <c r="V134" i="2"/>
  <c r="L28" i="26"/>
  <c r="L58" i="26" s="1"/>
  <c r="L59" i="26" s="1"/>
  <c r="W132" i="2"/>
  <c r="B133" i="2"/>
  <c r="G4" i="27"/>
  <c r="F6" i="27"/>
  <c r="K28" i="26"/>
  <c r="K58" i="26" s="1"/>
  <c r="K59" i="26" s="1"/>
  <c r="F133" i="2"/>
  <c r="AB133" i="2" s="1"/>
  <c r="J28" i="26"/>
  <c r="J58" i="26" s="1"/>
  <c r="J59" i="26" s="1"/>
  <c r="D31" i="27"/>
  <c r="H12" i="10"/>
  <c r="E26" i="27" l="1"/>
  <c r="E57" i="27" s="1"/>
  <c r="J12" i="10"/>
  <c r="K12" i="10" s="1"/>
  <c r="I12" i="10"/>
  <c r="W133" i="2"/>
  <c r="B134" i="2"/>
  <c r="H4" i="27"/>
  <c r="G6" i="27"/>
  <c r="F34" i="27"/>
  <c r="F33" i="27"/>
  <c r="F32" i="27"/>
  <c r="F30" i="27"/>
  <c r="F31" i="27" s="1"/>
  <c r="F39" i="27"/>
  <c r="F17" i="27"/>
  <c r="F11" i="27"/>
  <c r="F16" i="27"/>
  <c r="F10" i="27"/>
  <c r="F15" i="27"/>
  <c r="F25" i="27"/>
  <c r="F14" i="27"/>
  <c r="F24" i="27"/>
  <c r="F13" i="27"/>
  <c r="F23" i="27"/>
  <c r="F38" i="27"/>
  <c r="F22" i="27"/>
  <c r="F20" i="27"/>
  <c r="F19" i="27"/>
  <c r="F18" i="27"/>
  <c r="F21" i="27"/>
  <c r="F8" i="27"/>
  <c r="DN134" i="2"/>
  <c r="CP134" i="2"/>
  <c r="BR134" i="2"/>
  <c r="AT134" i="2"/>
  <c r="A134" i="2"/>
  <c r="DL134" i="2"/>
  <c r="CN134" i="2"/>
  <c r="BP134" i="2"/>
  <c r="AR134" i="2"/>
  <c r="DJ134" i="2"/>
  <c r="CL134" i="2"/>
  <c r="BN134" i="2"/>
  <c r="AP134" i="2"/>
  <c r="S134" i="2"/>
  <c r="T134" i="2" s="1"/>
  <c r="DH134" i="2"/>
  <c r="CJ134" i="2"/>
  <c r="BL134" i="2"/>
  <c r="AN134" i="2"/>
  <c r="DF134" i="2"/>
  <c r="CH134" i="2"/>
  <c r="BJ134" i="2"/>
  <c r="AL134" i="2"/>
  <c r="EB134" i="2"/>
  <c r="DD134" i="2"/>
  <c r="CF134" i="2"/>
  <c r="BH134" i="2"/>
  <c r="AJ134" i="2"/>
  <c r="DZ134" i="2"/>
  <c r="DB134" i="2"/>
  <c r="CD134" i="2"/>
  <c r="BF134" i="2"/>
  <c r="AH134" i="2"/>
  <c r="DX134" i="2"/>
  <c r="CZ134" i="2"/>
  <c r="CB134" i="2"/>
  <c r="BD134" i="2"/>
  <c r="DV134" i="2"/>
  <c r="CX134" i="2"/>
  <c r="BZ134" i="2"/>
  <c r="BB134" i="2"/>
  <c r="DT134" i="2"/>
  <c r="CV134" i="2"/>
  <c r="BX134" i="2"/>
  <c r="AZ134" i="2"/>
  <c r="DR134" i="2"/>
  <c r="CT134" i="2"/>
  <c r="BV134" i="2"/>
  <c r="AX134" i="2"/>
  <c r="DP134" i="2"/>
  <c r="CR134" i="2"/>
  <c r="BT134" i="2"/>
  <c r="AV134" i="2"/>
  <c r="AC135" i="2"/>
  <c r="AD135" i="2" s="1"/>
  <c r="E135" i="2"/>
  <c r="D135" i="2"/>
  <c r="V135" i="2"/>
  <c r="C136" i="2"/>
  <c r="G135" i="2"/>
  <c r="F9" i="27"/>
  <c r="N28" i="26"/>
  <c r="B58" i="26"/>
  <c r="D12" i="11"/>
  <c r="O12" i="11" s="1"/>
  <c r="D12" i="5"/>
  <c r="D12" i="6" s="1"/>
  <c r="P12" i="11" l="1"/>
  <c r="J12" i="11"/>
  <c r="Q12" i="11"/>
  <c r="G136" i="2"/>
  <c r="AC136" i="2"/>
  <c r="AD136" i="2" s="1"/>
  <c r="E136" i="2"/>
  <c r="D136" i="2"/>
  <c r="F136" i="2" s="1"/>
  <c r="AB136" i="2" s="1"/>
  <c r="V136" i="2"/>
  <c r="C137" i="2"/>
  <c r="F135" i="2"/>
  <c r="AB135" i="2" s="1"/>
  <c r="F26" i="27"/>
  <c r="W134" i="2"/>
  <c r="B135" i="2"/>
  <c r="R12" i="11"/>
  <c r="N58" i="26"/>
  <c r="N59" i="26" s="1"/>
  <c r="F60" i="26" s="1"/>
  <c r="B59" i="26"/>
  <c r="G33" i="27"/>
  <c r="G30" i="27"/>
  <c r="G31" i="27" s="1"/>
  <c r="G39" i="27"/>
  <c r="G38" i="27"/>
  <c r="G16" i="27"/>
  <c r="G10" i="27"/>
  <c r="G15" i="27"/>
  <c r="G34" i="27"/>
  <c r="G25" i="27"/>
  <c r="G14" i="27"/>
  <c r="G24" i="27"/>
  <c r="G13" i="27"/>
  <c r="G23" i="27"/>
  <c r="G22" i="27"/>
  <c r="G20" i="27"/>
  <c r="G32" i="27"/>
  <c r="G19" i="27"/>
  <c r="G18" i="27"/>
  <c r="G17" i="27"/>
  <c r="G11" i="27"/>
  <c r="G21" i="27"/>
  <c r="I4" i="27"/>
  <c r="H6" i="27"/>
  <c r="H7" i="27" s="1"/>
  <c r="K12" i="11"/>
  <c r="G8" i="27"/>
  <c r="D12" i="7"/>
  <c r="D12" i="8" s="1"/>
  <c r="D12" i="9" s="1"/>
  <c r="D12" i="10" s="1"/>
  <c r="C12" i="12" s="1"/>
  <c r="R12" i="6"/>
  <c r="L12" i="11"/>
  <c r="G9" i="27"/>
  <c r="M12" i="11"/>
  <c r="N12" i="11"/>
  <c r="DV135" i="2"/>
  <c r="CX135" i="2"/>
  <c r="BZ135" i="2"/>
  <c r="BB135" i="2"/>
  <c r="DT135" i="2"/>
  <c r="CV135" i="2"/>
  <c r="BX135" i="2"/>
  <c r="AZ135" i="2"/>
  <c r="DR135" i="2"/>
  <c r="CT135" i="2"/>
  <c r="BV135" i="2"/>
  <c r="AX135" i="2"/>
  <c r="DP135" i="2"/>
  <c r="CR135" i="2"/>
  <c r="BT135" i="2"/>
  <c r="AV135" i="2"/>
  <c r="DN135" i="2"/>
  <c r="CP135" i="2"/>
  <c r="BR135" i="2"/>
  <c r="AT135" i="2"/>
  <c r="A135" i="2"/>
  <c r="DL135" i="2"/>
  <c r="CN135" i="2"/>
  <c r="BP135" i="2"/>
  <c r="AR135" i="2"/>
  <c r="DJ135" i="2"/>
  <c r="CL135" i="2"/>
  <c r="BN135" i="2"/>
  <c r="AP135" i="2"/>
  <c r="S135" i="2"/>
  <c r="T135" i="2" s="1"/>
  <c r="DH135" i="2"/>
  <c r="CJ135" i="2"/>
  <c r="BL135" i="2"/>
  <c r="AN135" i="2"/>
  <c r="DF135" i="2"/>
  <c r="CH135" i="2"/>
  <c r="BJ135" i="2"/>
  <c r="AL135" i="2"/>
  <c r="EB135" i="2"/>
  <c r="DD135" i="2"/>
  <c r="CF135" i="2"/>
  <c r="BH135" i="2"/>
  <c r="AJ135" i="2"/>
  <c r="DZ135" i="2"/>
  <c r="DB135" i="2"/>
  <c r="CD135" i="2"/>
  <c r="BF135" i="2"/>
  <c r="AH135" i="2"/>
  <c r="DX135" i="2"/>
  <c r="CZ135" i="2"/>
  <c r="CB135" i="2"/>
  <c r="BD135" i="2"/>
  <c r="G26" i="27" l="1"/>
  <c r="G57" i="27" s="1"/>
  <c r="G12" i="11"/>
  <c r="H12" i="11" s="1"/>
  <c r="H34" i="27"/>
  <c r="H32" i="27"/>
  <c r="H30" i="27"/>
  <c r="H31" i="27" s="1"/>
  <c r="H39" i="27"/>
  <c r="H38" i="27"/>
  <c r="H15" i="27"/>
  <c r="H25" i="27"/>
  <c r="H14" i="27"/>
  <c r="H24" i="27"/>
  <c r="H13" i="27"/>
  <c r="H33" i="27"/>
  <c r="H23" i="27"/>
  <c r="H22" i="27"/>
  <c r="H20" i="27"/>
  <c r="H19" i="27"/>
  <c r="H18" i="27"/>
  <c r="N7" i="27"/>
  <c r="H17" i="27"/>
  <c r="H11" i="27"/>
  <c r="H16" i="27"/>
  <c r="H10" i="27"/>
  <c r="H21" i="27"/>
  <c r="J4" i="27"/>
  <c r="I6" i="27"/>
  <c r="F57" i="27"/>
  <c r="H8" i="27"/>
  <c r="H9" i="27"/>
  <c r="C138" i="2"/>
  <c r="G137" i="2"/>
  <c r="AC137" i="2"/>
  <c r="AD137" i="2" s="1"/>
  <c r="E137" i="2"/>
  <c r="D137" i="2"/>
  <c r="F137" i="2" s="1"/>
  <c r="AB137" i="2" s="1"/>
  <c r="V137" i="2"/>
  <c r="W135" i="2"/>
  <c r="B136" i="2"/>
  <c r="I60" i="26"/>
  <c r="G60" i="26"/>
  <c r="DF136" i="2"/>
  <c r="CH136" i="2"/>
  <c r="BJ136" i="2"/>
  <c r="AL136" i="2"/>
  <c r="EB136" i="2"/>
  <c r="DD136" i="2"/>
  <c r="CF136" i="2"/>
  <c r="BH136" i="2"/>
  <c r="AJ136" i="2"/>
  <c r="DZ136" i="2"/>
  <c r="DB136" i="2"/>
  <c r="CD136" i="2"/>
  <c r="BF136" i="2"/>
  <c r="AH136" i="2"/>
  <c r="DX136" i="2"/>
  <c r="CZ136" i="2"/>
  <c r="CB136" i="2"/>
  <c r="BD136" i="2"/>
  <c r="DV136" i="2"/>
  <c r="CX136" i="2"/>
  <c r="BZ136" i="2"/>
  <c r="BB136" i="2"/>
  <c r="DT136" i="2"/>
  <c r="CV136" i="2"/>
  <c r="BX136" i="2"/>
  <c r="AZ136" i="2"/>
  <c r="DR136" i="2"/>
  <c r="CT136" i="2"/>
  <c r="BV136" i="2"/>
  <c r="AX136" i="2"/>
  <c r="DP136" i="2"/>
  <c r="CR136" i="2"/>
  <c r="BT136" i="2"/>
  <c r="AV136" i="2"/>
  <c r="DN136" i="2"/>
  <c r="CP136" i="2"/>
  <c r="BR136" i="2"/>
  <c r="AT136" i="2"/>
  <c r="A136" i="2"/>
  <c r="DL136" i="2"/>
  <c r="CN136" i="2"/>
  <c r="BP136" i="2"/>
  <c r="AR136" i="2"/>
  <c r="DJ136" i="2"/>
  <c r="CL136" i="2"/>
  <c r="BN136" i="2"/>
  <c r="AP136" i="2"/>
  <c r="S136" i="2"/>
  <c r="T136" i="2" s="1"/>
  <c r="DH136" i="2"/>
  <c r="CJ136" i="2"/>
  <c r="BL136" i="2"/>
  <c r="AN136" i="2"/>
  <c r="C12" i="11" l="1"/>
  <c r="E12" i="11" s="1"/>
  <c r="AC138" i="2"/>
  <c r="AD138" i="2" s="1"/>
  <c r="E138" i="2"/>
  <c r="D138" i="2"/>
  <c r="F138" i="2" s="1"/>
  <c r="AB138" i="2" s="1"/>
  <c r="V138" i="2"/>
  <c r="C139" i="2"/>
  <c r="G138" i="2"/>
  <c r="I34" i="27"/>
  <c r="I33" i="27"/>
  <c r="I32" i="27"/>
  <c r="I30" i="27"/>
  <c r="I31" i="27" s="1"/>
  <c r="I39" i="27"/>
  <c r="I38" i="27"/>
  <c r="I25" i="27"/>
  <c r="I14" i="27"/>
  <c r="I24" i="27"/>
  <c r="I13" i="27"/>
  <c r="I23" i="27"/>
  <c r="I22" i="27"/>
  <c r="I20" i="27"/>
  <c r="I19" i="27"/>
  <c r="I18" i="27"/>
  <c r="I17" i="27"/>
  <c r="I11" i="27"/>
  <c r="I16" i="27"/>
  <c r="I10" i="27"/>
  <c r="I15" i="27"/>
  <c r="I21" i="27"/>
  <c r="I9" i="27"/>
  <c r="H26" i="27"/>
  <c r="K4" i="27"/>
  <c r="J6" i="27"/>
  <c r="W136" i="2"/>
  <c r="B137" i="2"/>
  <c r="DN137" i="2"/>
  <c r="CP137" i="2"/>
  <c r="BR137" i="2"/>
  <c r="AT137" i="2"/>
  <c r="A137" i="2"/>
  <c r="DL137" i="2"/>
  <c r="CN137" i="2"/>
  <c r="BP137" i="2"/>
  <c r="AR137" i="2"/>
  <c r="DJ137" i="2"/>
  <c r="CL137" i="2"/>
  <c r="BN137" i="2"/>
  <c r="AP137" i="2"/>
  <c r="S137" i="2"/>
  <c r="T137" i="2" s="1"/>
  <c r="DH137" i="2"/>
  <c r="CJ137" i="2"/>
  <c r="BL137" i="2"/>
  <c r="AN137" i="2"/>
  <c r="DF137" i="2"/>
  <c r="CH137" i="2"/>
  <c r="BJ137" i="2"/>
  <c r="AL137" i="2"/>
  <c r="EB137" i="2"/>
  <c r="DD137" i="2"/>
  <c r="CF137" i="2"/>
  <c r="BH137" i="2"/>
  <c r="AJ137" i="2"/>
  <c r="DZ137" i="2"/>
  <c r="DB137" i="2"/>
  <c r="CD137" i="2"/>
  <c r="BF137" i="2"/>
  <c r="AH137" i="2"/>
  <c r="DX137" i="2"/>
  <c r="CZ137" i="2"/>
  <c r="CB137" i="2"/>
  <c r="BD137" i="2"/>
  <c r="DV137" i="2"/>
  <c r="CX137" i="2"/>
  <c r="BZ137" i="2"/>
  <c r="BB137" i="2"/>
  <c r="DT137" i="2"/>
  <c r="CV137" i="2"/>
  <c r="BX137" i="2"/>
  <c r="AZ137" i="2"/>
  <c r="DR137" i="2"/>
  <c r="CT137" i="2"/>
  <c r="BV137" i="2"/>
  <c r="AX137" i="2"/>
  <c r="DP137" i="2"/>
  <c r="CR137" i="2"/>
  <c r="BT137" i="2"/>
  <c r="AV137" i="2"/>
  <c r="I8" i="27"/>
  <c r="I26" i="27" l="1"/>
  <c r="I57" i="27" s="1"/>
  <c r="J33" i="27"/>
  <c r="J39" i="27"/>
  <c r="J38" i="27"/>
  <c r="J25" i="27"/>
  <c r="J14" i="27"/>
  <c r="J34" i="27"/>
  <c r="J12" i="27"/>
  <c r="J24" i="27"/>
  <c r="J13" i="27"/>
  <c r="J30" i="27"/>
  <c r="J31" i="27" s="1"/>
  <c r="J23" i="27"/>
  <c r="J22" i="27"/>
  <c r="J20" i="27"/>
  <c r="J19" i="27"/>
  <c r="J18" i="27"/>
  <c r="J32" i="27"/>
  <c r="J17" i="27"/>
  <c r="J11" i="27"/>
  <c r="J16" i="27"/>
  <c r="J10" i="27"/>
  <c r="J15" i="27"/>
  <c r="J21" i="27"/>
  <c r="J8" i="27"/>
  <c r="DV138" i="2"/>
  <c r="CX138" i="2"/>
  <c r="BZ138" i="2"/>
  <c r="BB138" i="2"/>
  <c r="DT138" i="2"/>
  <c r="CV138" i="2"/>
  <c r="BX138" i="2"/>
  <c r="AZ138" i="2"/>
  <c r="DR138" i="2"/>
  <c r="CT138" i="2"/>
  <c r="BV138" i="2"/>
  <c r="AX138" i="2"/>
  <c r="DP138" i="2"/>
  <c r="CR138" i="2"/>
  <c r="BT138" i="2"/>
  <c r="AV138" i="2"/>
  <c r="DN138" i="2"/>
  <c r="CP138" i="2"/>
  <c r="BR138" i="2"/>
  <c r="AT138" i="2"/>
  <c r="A138" i="2"/>
  <c r="DL138" i="2"/>
  <c r="CN138" i="2"/>
  <c r="BP138" i="2"/>
  <c r="AR138" i="2"/>
  <c r="DJ138" i="2"/>
  <c r="CL138" i="2"/>
  <c r="BN138" i="2"/>
  <c r="AP138" i="2"/>
  <c r="S138" i="2"/>
  <c r="T138" i="2" s="1"/>
  <c r="DH138" i="2"/>
  <c r="CJ138" i="2"/>
  <c r="BL138" i="2"/>
  <c r="AN138" i="2"/>
  <c r="DF138" i="2"/>
  <c r="CH138" i="2"/>
  <c r="BJ138" i="2"/>
  <c r="AL138" i="2"/>
  <c r="EB138" i="2"/>
  <c r="DD138" i="2"/>
  <c r="CF138" i="2"/>
  <c r="BH138" i="2"/>
  <c r="AJ138" i="2"/>
  <c r="DZ138" i="2"/>
  <c r="DB138" i="2"/>
  <c r="CD138" i="2"/>
  <c r="BF138" i="2"/>
  <c r="AH138" i="2"/>
  <c r="DX138" i="2"/>
  <c r="CZ138" i="2"/>
  <c r="CB138" i="2"/>
  <c r="BD138" i="2"/>
  <c r="J9" i="27"/>
  <c r="G139" i="2"/>
  <c r="AC139" i="2"/>
  <c r="AD139" i="2" s="1"/>
  <c r="E139" i="2"/>
  <c r="D139" i="2"/>
  <c r="V139" i="2"/>
  <c r="C140" i="2"/>
  <c r="W137" i="2"/>
  <c r="B138" i="2"/>
  <c r="H57" i="27"/>
  <c r="L4" i="27"/>
  <c r="K6" i="27"/>
  <c r="F139" i="2" l="1"/>
  <c r="AB139" i="2" s="1"/>
  <c r="J26" i="27"/>
  <c r="J57" i="27" s="1"/>
  <c r="W138" i="2"/>
  <c r="B139" i="2"/>
  <c r="K32" i="27"/>
  <c r="K30" i="27"/>
  <c r="K31" i="27" s="1"/>
  <c r="K38" i="27"/>
  <c r="K34" i="27"/>
  <c r="K12" i="27"/>
  <c r="N12" i="27" s="1"/>
  <c r="K24" i="27"/>
  <c r="K13" i="27"/>
  <c r="K23" i="27"/>
  <c r="K22" i="27"/>
  <c r="K39" i="27"/>
  <c r="K33" i="27"/>
  <c r="K20" i="27"/>
  <c r="K19" i="27"/>
  <c r="K18" i="27"/>
  <c r="K17" i="27"/>
  <c r="K11" i="27"/>
  <c r="K16" i="27"/>
  <c r="K10" i="27"/>
  <c r="K15" i="27"/>
  <c r="K25" i="27"/>
  <c r="K14" i="27"/>
  <c r="K21" i="27"/>
  <c r="K9" i="27"/>
  <c r="C141" i="2"/>
  <c r="G140" i="2"/>
  <c r="AC140" i="2"/>
  <c r="AD140" i="2" s="1"/>
  <c r="E140" i="2"/>
  <c r="D140" i="2"/>
  <c r="V140" i="2"/>
  <c r="K8" i="27"/>
  <c r="DF139" i="2"/>
  <c r="CH139" i="2"/>
  <c r="BJ139" i="2"/>
  <c r="AL139" i="2"/>
  <c r="EB139" i="2"/>
  <c r="DD139" i="2"/>
  <c r="CF139" i="2"/>
  <c r="BH139" i="2"/>
  <c r="AJ139" i="2"/>
  <c r="DZ139" i="2"/>
  <c r="DB139" i="2"/>
  <c r="CD139" i="2"/>
  <c r="BF139" i="2"/>
  <c r="AH139" i="2"/>
  <c r="DX139" i="2"/>
  <c r="CZ139" i="2"/>
  <c r="CB139" i="2"/>
  <c r="BD139" i="2"/>
  <c r="DV139" i="2"/>
  <c r="CX139" i="2"/>
  <c r="BZ139" i="2"/>
  <c r="BB139" i="2"/>
  <c r="DT139" i="2"/>
  <c r="CV139" i="2"/>
  <c r="BX139" i="2"/>
  <c r="AZ139" i="2"/>
  <c r="DR139" i="2"/>
  <c r="CT139" i="2"/>
  <c r="BV139" i="2"/>
  <c r="AX139" i="2"/>
  <c r="DP139" i="2"/>
  <c r="CR139" i="2"/>
  <c r="BT139" i="2"/>
  <c r="AV139" i="2"/>
  <c r="DN139" i="2"/>
  <c r="CP139" i="2"/>
  <c r="BR139" i="2"/>
  <c r="AT139" i="2"/>
  <c r="A139" i="2"/>
  <c r="DL139" i="2"/>
  <c r="CN139" i="2"/>
  <c r="BP139" i="2"/>
  <c r="AR139" i="2"/>
  <c r="DJ139" i="2"/>
  <c r="CL139" i="2"/>
  <c r="BN139" i="2"/>
  <c r="AP139" i="2"/>
  <c r="S139" i="2"/>
  <c r="T139" i="2" s="1"/>
  <c r="DH139" i="2"/>
  <c r="CJ139" i="2"/>
  <c r="BL139" i="2"/>
  <c r="AN139" i="2"/>
  <c r="M4" i="27"/>
  <c r="L6" i="27"/>
  <c r="H13" i="9"/>
  <c r="I13" i="9"/>
  <c r="K26" i="27" l="1"/>
  <c r="K57" i="27" s="1"/>
  <c r="W139" i="2"/>
  <c r="B140" i="2"/>
  <c r="L32" i="27"/>
  <c r="L30" i="27"/>
  <c r="L31" i="27" s="1"/>
  <c r="L39" i="27"/>
  <c r="L34" i="27"/>
  <c r="L33" i="27"/>
  <c r="L24" i="27"/>
  <c r="L13" i="27"/>
  <c r="L23" i="27"/>
  <c r="L22" i="27"/>
  <c r="L20" i="27"/>
  <c r="L19" i="27"/>
  <c r="L18" i="27"/>
  <c r="L17" i="27"/>
  <c r="L11" i="27"/>
  <c r="L38" i="27"/>
  <c r="L16" i="27"/>
  <c r="L10" i="27"/>
  <c r="L15" i="27"/>
  <c r="L25" i="27"/>
  <c r="L14" i="27"/>
  <c r="L21" i="27"/>
  <c r="F140" i="2"/>
  <c r="AB140" i="2" s="1"/>
  <c r="L8" i="27"/>
  <c r="B4" i="28"/>
  <c r="M6" i="27"/>
  <c r="DN140" i="2"/>
  <c r="CP140" i="2"/>
  <c r="BR140" i="2"/>
  <c r="AT140" i="2"/>
  <c r="A140" i="2"/>
  <c r="DL140" i="2"/>
  <c r="CN140" i="2"/>
  <c r="BP140" i="2"/>
  <c r="AR140" i="2"/>
  <c r="DJ140" i="2"/>
  <c r="CL140" i="2"/>
  <c r="BN140" i="2"/>
  <c r="AP140" i="2"/>
  <c r="S140" i="2"/>
  <c r="T140" i="2" s="1"/>
  <c r="DH140" i="2"/>
  <c r="CJ140" i="2"/>
  <c r="BL140" i="2"/>
  <c r="AN140" i="2"/>
  <c r="DF140" i="2"/>
  <c r="CH140" i="2"/>
  <c r="BJ140" i="2"/>
  <c r="AL140" i="2"/>
  <c r="EB140" i="2"/>
  <c r="DD140" i="2"/>
  <c r="CF140" i="2"/>
  <c r="BH140" i="2"/>
  <c r="AJ140" i="2"/>
  <c r="DZ140" i="2"/>
  <c r="DB140" i="2"/>
  <c r="CD140" i="2"/>
  <c r="BF140" i="2"/>
  <c r="AH140" i="2"/>
  <c r="DX140" i="2"/>
  <c r="CZ140" i="2"/>
  <c r="CB140" i="2"/>
  <c r="BD140" i="2"/>
  <c r="DV140" i="2"/>
  <c r="CX140" i="2"/>
  <c r="BZ140" i="2"/>
  <c r="BB140" i="2"/>
  <c r="DT140" i="2"/>
  <c r="CV140" i="2"/>
  <c r="BX140" i="2"/>
  <c r="AZ140" i="2"/>
  <c r="DR140" i="2"/>
  <c r="CT140" i="2"/>
  <c r="BV140" i="2"/>
  <c r="AX140" i="2"/>
  <c r="DP140" i="2"/>
  <c r="CR140" i="2"/>
  <c r="BT140" i="2"/>
  <c r="AV140" i="2"/>
  <c r="L9" i="27"/>
  <c r="E141" i="2"/>
  <c r="D141" i="2"/>
  <c r="F141" i="2" s="1"/>
  <c r="AB141" i="2" s="1"/>
  <c r="C142" i="2"/>
  <c r="V141" i="2"/>
  <c r="AC141" i="2"/>
  <c r="AD141" i="2" s="1"/>
  <c r="G141" i="2"/>
  <c r="L26" i="27" l="1"/>
  <c r="L57" i="27" s="1"/>
  <c r="AC142" i="2"/>
  <c r="AD142" i="2" s="1"/>
  <c r="E142" i="2"/>
  <c r="D142" i="2"/>
  <c r="V142" i="2"/>
  <c r="C143" i="2"/>
  <c r="G142" i="2"/>
  <c r="M39" i="27"/>
  <c r="N39" i="27" s="1"/>
  <c r="M38" i="27"/>
  <c r="N38" i="27" s="1"/>
  <c r="M34" i="27"/>
  <c r="N34" i="27" s="1"/>
  <c r="M33" i="27"/>
  <c r="N33" i="27" s="1"/>
  <c r="M23" i="27"/>
  <c r="N23" i="27" s="1"/>
  <c r="M22" i="27"/>
  <c r="N22" i="27" s="1"/>
  <c r="M30" i="27"/>
  <c r="N30" i="27" s="1"/>
  <c r="M20" i="27"/>
  <c r="N20" i="27" s="1"/>
  <c r="M19" i="27"/>
  <c r="N19" i="27" s="1"/>
  <c r="M18" i="27"/>
  <c r="N18" i="27" s="1"/>
  <c r="M17" i="27"/>
  <c r="N17" i="27" s="1"/>
  <c r="M11" i="27"/>
  <c r="N11" i="27" s="1"/>
  <c r="M16" i="27"/>
  <c r="N16" i="27" s="1"/>
  <c r="M10" i="27"/>
  <c r="N10" i="27" s="1"/>
  <c r="M32" i="27"/>
  <c r="N32" i="27" s="1"/>
  <c r="M15" i="27"/>
  <c r="N15" i="27" s="1"/>
  <c r="M25" i="27"/>
  <c r="N25" i="27" s="1"/>
  <c r="M14" i="27"/>
  <c r="N14" i="27" s="1"/>
  <c r="M24" i="27"/>
  <c r="N24" i="27" s="1"/>
  <c r="M13" i="27"/>
  <c r="N13" i="27" s="1"/>
  <c r="N6" i="27"/>
  <c r="M21" i="27"/>
  <c r="N21" i="27" s="1"/>
  <c r="M8" i="27"/>
  <c r="N8" i="27" s="1"/>
  <c r="DR141" i="2"/>
  <c r="CT141" i="2"/>
  <c r="BV141" i="2"/>
  <c r="AX141" i="2"/>
  <c r="DP141" i="2"/>
  <c r="CR141" i="2"/>
  <c r="BT141" i="2"/>
  <c r="AV141" i="2"/>
  <c r="DN141" i="2"/>
  <c r="CP141" i="2"/>
  <c r="BR141" i="2"/>
  <c r="AT141" i="2"/>
  <c r="DL141" i="2"/>
  <c r="CN141" i="2"/>
  <c r="BP141" i="2"/>
  <c r="AR141" i="2"/>
  <c r="DJ141" i="2"/>
  <c r="CL141" i="2"/>
  <c r="BN141" i="2"/>
  <c r="AP141" i="2"/>
  <c r="A141" i="2"/>
  <c r="DH141" i="2"/>
  <c r="CJ141" i="2"/>
  <c r="BL141" i="2"/>
  <c r="AN141" i="2"/>
  <c r="DF141" i="2"/>
  <c r="CH141" i="2"/>
  <c r="BJ141" i="2"/>
  <c r="AL141" i="2"/>
  <c r="S141" i="2"/>
  <c r="T141" i="2" s="1"/>
  <c r="EB141" i="2"/>
  <c r="DD141" i="2"/>
  <c r="CF141" i="2"/>
  <c r="BH141" i="2"/>
  <c r="AJ141" i="2"/>
  <c r="DZ141" i="2"/>
  <c r="DB141" i="2"/>
  <c r="CD141" i="2"/>
  <c r="BF141" i="2"/>
  <c r="AH141" i="2"/>
  <c r="DX141" i="2"/>
  <c r="CZ141" i="2"/>
  <c r="CB141" i="2"/>
  <c r="BD141" i="2"/>
  <c r="DV141" i="2"/>
  <c r="CX141" i="2"/>
  <c r="BZ141" i="2"/>
  <c r="BB141" i="2"/>
  <c r="DT141" i="2"/>
  <c r="CV141" i="2"/>
  <c r="BX141" i="2"/>
  <c r="AZ141" i="2"/>
  <c r="M9" i="27"/>
  <c r="N9" i="27" s="1"/>
  <c r="W140" i="2"/>
  <c r="B141" i="2"/>
  <c r="C4" i="28"/>
  <c r="B6" i="28"/>
  <c r="B7" i="28" s="1"/>
  <c r="O13" i="8"/>
  <c r="F13" i="8"/>
  <c r="L13" i="9"/>
  <c r="G13" i="9"/>
  <c r="F13" i="9"/>
  <c r="I13" i="8"/>
  <c r="N13" i="9"/>
  <c r="M13" i="9"/>
  <c r="J13" i="9"/>
  <c r="K13" i="9"/>
  <c r="L13" i="8"/>
  <c r="M31" i="27" l="1"/>
  <c r="N31" i="27" s="1"/>
  <c r="F142" i="2"/>
  <c r="AB142" i="2" s="1"/>
  <c r="Q13" i="8"/>
  <c r="N13" i="8"/>
  <c r="K13" i="8"/>
  <c r="H13" i="8"/>
  <c r="G13" i="8"/>
  <c r="R13" i="8"/>
  <c r="S13" i="8" s="1"/>
  <c r="J13" i="8"/>
  <c r="M13" i="8"/>
  <c r="O13" i="9"/>
  <c r="P13" i="9" s="1"/>
  <c r="P13" i="8"/>
  <c r="DV142" i="2"/>
  <c r="CX142" i="2"/>
  <c r="BZ142" i="2"/>
  <c r="BB142" i="2"/>
  <c r="DT142" i="2"/>
  <c r="CV142" i="2"/>
  <c r="BX142" i="2"/>
  <c r="AZ142" i="2"/>
  <c r="DR142" i="2"/>
  <c r="CT142" i="2"/>
  <c r="BV142" i="2"/>
  <c r="AX142" i="2"/>
  <c r="DP142" i="2"/>
  <c r="CR142" i="2"/>
  <c r="BT142" i="2"/>
  <c r="AV142" i="2"/>
  <c r="DN142" i="2"/>
  <c r="CP142" i="2"/>
  <c r="BR142" i="2"/>
  <c r="AT142" i="2"/>
  <c r="DL142" i="2"/>
  <c r="CN142" i="2"/>
  <c r="BP142" i="2"/>
  <c r="AR142" i="2"/>
  <c r="A142" i="2"/>
  <c r="DJ142" i="2"/>
  <c r="CL142" i="2"/>
  <c r="BN142" i="2"/>
  <c r="AP142" i="2"/>
  <c r="DH142" i="2"/>
  <c r="CJ142" i="2"/>
  <c r="BL142" i="2"/>
  <c r="S142" i="2"/>
  <c r="T142" i="2" s="1"/>
  <c r="DF142" i="2"/>
  <c r="CH142" i="2"/>
  <c r="BJ142" i="2"/>
  <c r="AN142" i="2"/>
  <c r="EB142" i="2"/>
  <c r="DD142" i="2"/>
  <c r="CF142" i="2"/>
  <c r="BH142" i="2"/>
  <c r="AL142" i="2"/>
  <c r="DZ142" i="2"/>
  <c r="DB142" i="2"/>
  <c r="CD142" i="2"/>
  <c r="BF142" i="2"/>
  <c r="AJ142" i="2"/>
  <c r="DX142" i="2"/>
  <c r="CZ142" i="2"/>
  <c r="CB142" i="2"/>
  <c r="BD142" i="2"/>
  <c r="AH142" i="2"/>
  <c r="G143" i="2"/>
  <c r="AC143" i="2"/>
  <c r="AD143" i="2" s="1"/>
  <c r="E143" i="2"/>
  <c r="D143" i="2"/>
  <c r="V143" i="2"/>
  <c r="C144" i="2"/>
  <c r="W141" i="2"/>
  <c r="B142" i="2"/>
  <c r="B38" i="28"/>
  <c r="B16" i="28"/>
  <c r="B10" i="28"/>
  <c r="B15" i="28"/>
  <c r="B25" i="28"/>
  <c r="B14" i="28"/>
  <c r="B34" i="28"/>
  <c r="B33" i="28"/>
  <c r="B24" i="28"/>
  <c r="B13" i="28"/>
  <c r="B23" i="28"/>
  <c r="B32" i="28"/>
  <c r="B21" i="28"/>
  <c r="B20" i="28"/>
  <c r="B19" i="28"/>
  <c r="B30" i="28"/>
  <c r="B18" i="28"/>
  <c r="B12" i="28"/>
  <c r="B11" i="28"/>
  <c r="B39" i="28"/>
  <c r="B17" i="28"/>
  <c r="M26" i="27"/>
  <c r="B8" i="28"/>
  <c r="D4" i="28"/>
  <c r="C6" i="28"/>
  <c r="B9" i="28"/>
  <c r="B13" i="9"/>
  <c r="B13" i="8"/>
  <c r="E13" i="8"/>
  <c r="E13" i="9"/>
  <c r="B26" i="28" l="1"/>
  <c r="B57" i="28" s="1"/>
  <c r="F143" i="2"/>
  <c r="AB143" i="2" s="1"/>
  <c r="DF143" i="2"/>
  <c r="CH143" i="2"/>
  <c r="BJ143" i="2"/>
  <c r="AL143" i="2"/>
  <c r="EB143" i="2"/>
  <c r="DD143" i="2"/>
  <c r="CF143" i="2"/>
  <c r="BH143" i="2"/>
  <c r="AJ143" i="2"/>
  <c r="DZ143" i="2"/>
  <c r="DB143" i="2"/>
  <c r="CD143" i="2"/>
  <c r="BF143" i="2"/>
  <c r="AH143" i="2"/>
  <c r="DX143" i="2"/>
  <c r="CZ143" i="2"/>
  <c r="CB143" i="2"/>
  <c r="BD143" i="2"/>
  <c r="DV143" i="2"/>
  <c r="CX143" i="2"/>
  <c r="BZ143" i="2"/>
  <c r="BB143" i="2"/>
  <c r="DT143" i="2"/>
  <c r="CV143" i="2"/>
  <c r="BX143" i="2"/>
  <c r="AZ143" i="2"/>
  <c r="DR143" i="2"/>
  <c r="CT143" i="2"/>
  <c r="BV143" i="2"/>
  <c r="AX143" i="2"/>
  <c r="DP143" i="2"/>
  <c r="CR143" i="2"/>
  <c r="BT143" i="2"/>
  <c r="AV143" i="2"/>
  <c r="DN143" i="2"/>
  <c r="CP143" i="2"/>
  <c r="BR143" i="2"/>
  <c r="AT143" i="2"/>
  <c r="A143" i="2"/>
  <c r="DL143" i="2"/>
  <c r="CN143" i="2"/>
  <c r="BP143" i="2"/>
  <c r="AR143" i="2"/>
  <c r="DJ143" i="2"/>
  <c r="CL143" i="2"/>
  <c r="BN143" i="2"/>
  <c r="AP143" i="2"/>
  <c r="S143" i="2"/>
  <c r="T143" i="2" s="1"/>
  <c r="DH143" i="2"/>
  <c r="CJ143" i="2"/>
  <c r="BL143" i="2"/>
  <c r="AN143" i="2"/>
  <c r="C15" i="28"/>
  <c r="C25" i="28"/>
  <c r="C14" i="28"/>
  <c r="C34" i="28"/>
  <c r="C33" i="28"/>
  <c r="C24" i="28"/>
  <c r="C13" i="28"/>
  <c r="C23" i="28"/>
  <c r="C32" i="28"/>
  <c r="C22" i="28"/>
  <c r="C21" i="28"/>
  <c r="C20" i="28"/>
  <c r="C19" i="28"/>
  <c r="C30" i="28"/>
  <c r="C31" i="28" s="1"/>
  <c r="C18" i="28"/>
  <c r="C12" i="28"/>
  <c r="C39" i="28"/>
  <c r="C17" i="28"/>
  <c r="C11" i="28"/>
  <c r="C10" i="28"/>
  <c r="C38" i="28"/>
  <c r="C16" i="28"/>
  <c r="E4" i="28"/>
  <c r="D6" i="28"/>
  <c r="C9" i="28"/>
  <c r="C145" i="2"/>
  <c r="G144" i="2"/>
  <c r="AC144" i="2"/>
  <c r="AD144" i="2" s="1"/>
  <c r="E144" i="2"/>
  <c r="D144" i="2"/>
  <c r="V144" i="2"/>
  <c r="N26" i="27"/>
  <c r="M57" i="27"/>
  <c r="C8" i="28"/>
  <c r="B31" i="28"/>
  <c r="W142" i="2"/>
  <c r="B143" i="2"/>
  <c r="F13" i="4"/>
  <c r="F13" i="3"/>
  <c r="F13" i="12"/>
  <c r="G13" i="10"/>
  <c r="C26" i="28" l="1"/>
  <c r="H13" i="3"/>
  <c r="G13" i="3"/>
  <c r="H13" i="12"/>
  <c r="G13" i="12"/>
  <c r="C57" i="28"/>
  <c r="DN144" i="2"/>
  <c r="CP144" i="2"/>
  <c r="BR144" i="2"/>
  <c r="AT144" i="2"/>
  <c r="A144" i="2"/>
  <c r="DL144" i="2"/>
  <c r="CN144" i="2"/>
  <c r="BP144" i="2"/>
  <c r="AR144" i="2"/>
  <c r="DJ144" i="2"/>
  <c r="CL144" i="2"/>
  <c r="BN144" i="2"/>
  <c r="AP144" i="2"/>
  <c r="S144" i="2"/>
  <c r="T144" i="2" s="1"/>
  <c r="DH144" i="2"/>
  <c r="CJ144" i="2"/>
  <c r="BL144" i="2"/>
  <c r="AN144" i="2"/>
  <c r="DF144" i="2"/>
  <c r="CH144" i="2"/>
  <c r="BJ144" i="2"/>
  <c r="AL144" i="2"/>
  <c r="EB144" i="2"/>
  <c r="DD144" i="2"/>
  <c r="CF144" i="2"/>
  <c r="BH144" i="2"/>
  <c r="AJ144" i="2"/>
  <c r="DZ144" i="2"/>
  <c r="DB144" i="2"/>
  <c r="CD144" i="2"/>
  <c r="BF144" i="2"/>
  <c r="AH144" i="2"/>
  <c r="DX144" i="2"/>
  <c r="CZ144" i="2"/>
  <c r="CB144" i="2"/>
  <c r="BD144" i="2"/>
  <c r="DV144" i="2"/>
  <c r="CX144" i="2"/>
  <c r="BZ144" i="2"/>
  <c r="BB144" i="2"/>
  <c r="DT144" i="2"/>
  <c r="CV144" i="2"/>
  <c r="BX144" i="2"/>
  <c r="AZ144" i="2"/>
  <c r="DR144" i="2"/>
  <c r="CT144" i="2"/>
  <c r="BV144" i="2"/>
  <c r="AX144" i="2"/>
  <c r="DP144" i="2"/>
  <c r="CR144" i="2"/>
  <c r="BT144" i="2"/>
  <c r="AV144" i="2"/>
  <c r="AC145" i="2"/>
  <c r="AD145" i="2" s="1"/>
  <c r="E145" i="2"/>
  <c r="D145" i="2"/>
  <c r="V145" i="2"/>
  <c r="C146" i="2"/>
  <c r="G145" i="2"/>
  <c r="D25" i="28"/>
  <c r="D14" i="28"/>
  <c r="D34" i="28"/>
  <c r="D33" i="28"/>
  <c r="D24" i="28"/>
  <c r="D13" i="28"/>
  <c r="D23" i="28"/>
  <c r="D32" i="28"/>
  <c r="D22" i="28"/>
  <c r="D20" i="28"/>
  <c r="D19" i="28"/>
  <c r="D30" i="28"/>
  <c r="D18" i="28"/>
  <c r="D39" i="28"/>
  <c r="D17" i="28"/>
  <c r="D11" i="28"/>
  <c r="D38" i="28"/>
  <c r="D16" i="28"/>
  <c r="D10" i="28"/>
  <c r="D15" i="28"/>
  <c r="D21" i="28"/>
  <c r="H60" i="27"/>
  <c r="B60" i="27"/>
  <c r="B27" i="27"/>
  <c r="C27" i="27"/>
  <c r="D27" i="27"/>
  <c r="E27" i="27"/>
  <c r="F27" i="27"/>
  <c r="G27" i="27"/>
  <c r="H27" i="27"/>
  <c r="I27" i="27"/>
  <c r="J27" i="27"/>
  <c r="K27" i="27"/>
  <c r="L27" i="27"/>
  <c r="M27" i="27"/>
  <c r="D9" i="28"/>
  <c r="N57" i="27"/>
  <c r="F4" i="28"/>
  <c r="E6" i="28"/>
  <c r="W143" i="2"/>
  <c r="B144" i="2"/>
  <c r="F144" i="2"/>
  <c r="AB144" i="2" s="1"/>
  <c r="D8" i="28"/>
  <c r="B13" i="12"/>
  <c r="E13" i="4"/>
  <c r="C13" i="10"/>
  <c r="H13" i="4"/>
  <c r="G13" i="4"/>
  <c r="E13" i="12"/>
  <c r="K13" i="4"/>
  <c r="J13" i="4"/>
  <c r="B13" i="4"/>
  <c r="F13" i="10"/>
  <c r="B13" i="3"/>
  <c r="E13" i="3"/>
  <c r="O13" i="3"/>
  <c r="I13" i="4"/>
  <c r="C13" i="4" l="1"/>
  <c r="B13" i="5"/>
  <c r="B13" i="7"/>
  <c r="B13" i="6"/>
  <c r="C13" i="3"/>
  <c r="E13" i="7"/>
  <c r="E13" i="6"/>
  <c r="E13" i="5"/>
  <c r="O13" i="4"/>
  <c r="P13" i="4" s="1"/>
  <c r="T13" i="11" s="1"/>
  <c r="G4" i="28"/>
  <c r="F6" i="28"/>
  <c r="H28" i="27"/>
  <c r="H58" i="27" s="1"/>
  <c r="H59" i="27" s="1"/>
  <c r="G28" i="27"/>
  <c r="G58" i="27" s="1"/>
  <c r="G59" i="27" s="1"/>
  <c r="D31" i="28"/>
  <c r="D26" i="28"/>
  <c r="I28" i="27"/>
  <c r="I58" i="27" s="1"/>
  <c r="I59" i="27" s="1"/>
  <c r="E28" i="27"/>
  <c r="D28" i="27"/>
  <c r="D58" i="27" s="1"/>
  <c r="D59" i="27" s="1"/>
  <c r="DV145" i="2"/>
  <c r="CX145" i="2"/>
  <c r="BZ145" i="2"/>
  <c r="BB145" i="2"/>
  <c r="DT145" i="2"/>
  <c r="CV145" i="2"/>
  <c r="BX145" i="2"/>
  <c r="AZ145" i="2"/>
  <c r="DR145" i="2"/>
  <c r="CT145" i="2"/>
  <c r="BV145" i="2"/>
  <c r="AX145" i="2"/>
  <c r="DP145" i="2"/>
  <c r="CR145" i="2"/>
  <c r="BT145" i="2"/>
  <c r="AV145" i="2"/>
  <c r="DN145" i="2"/>
  <c r="CP145" i="2"/>
  <c r="BR145" i="2"/>
  <c r="AT145" i="2"/>
  <c r="A145" i="2"/>
  <c r="DL145" i="2"/>
  <c r="CN145" i="2"/>
  <c r="BP145" i="2"/>
  <c r="AR145" i="2"/>
  <c r="DJ145" i="2"/>
  <c r="CL145" i="2"/>
  <c r="BN145" i="2"/>
  <c r="AP145" i="2"/>
  <c r="S145" i="2"/>
  <c r="T145" i="2" s="1"/>
  <c r="DH145" i="2"/>
  <c r="CJ145" i="2"/>
  <c r="BL145" i="2"/>
  <c r="AN145" i="2"/>
  <c r="DF145" i="2"/>
  <c r="CH145" i="2"/>
  <c r="BJ145" i="2"/>
  <c r="AL145" i="2"/>
  <c r="EB145" i="2"/>
  <c r="DD145" i="2"/>
  <c r="CF145" i="2"/>
  <c r="BH145" i="2"/>
  <c r="AJ145" i="2"/>
  <c r="DZ145" i="2"/>
  <c r="DB145" i="2"/>
  <c r="CD145" i="2"/>
  <c r="BF145" i="2"/>
  <c r="AH145" i="2"/>
  <c r="DX145" i="2"/>
  <c r="CZ145" i="2"/>
  <c r="CB145" i="2"/>
  <c r="BD145" i="2"/>
  <c r="C28" i="27"/>
  <c r="G146" i="2"/>
  <c r="AC146" i="2"/>
  <c r="AD146" i="2" s="1"/>
  <c r="E146" i="2"/>
  <c r="D146" i="2"/>
  <c r="V146" i="2"/>
  <c r="C147" i="2"/>
  <c r="N27" i="27"/>
  <c r="B28" i="27"/>
  <c r="B58" i="27" s="1"/>
  <c r="W144" i="2"/>
  <c r="B145" i="2"/>
  <c r="E25" i="28"/>
  <c r="E14" i="28"/>
  <c r="E34" i="28"/>
  <c r="E33" i="28"/>
  <c r="E24" i="28"/>
  <c r="E13" i="28"/>
  <c r="E23" i="28"/>
  <c r="E32" i="28"/>
  <c r="E22" i="28"/>
  <c r="E20" i="28"/>
  <c r="E19" i="28"/>
  <c r="E30" i="28"/>
  <c r="E31" i="28" s="1"/>
  <c r="E18" i="28"/>
  <c r="E39" i="28"/>
  <c r="E17" i="28"/>
  <c r="E11" i="28"/>
  <c r="E38" i="28"/>
  <c r="E16" i="28"/>
  <c r="E10" i="28"/>
  <c r="E15" i="28"/>
  <c r="E21" i="28"/>
  <c r="M28" i="27"/>
  <c r="M58" i="27" s="1"/>
  <c r="M59" i="27" s="1"/>
  <c r="F145" i="2"/>
  <c r="AB145" i="2" s="1"/>
  <c r="L28" i="27"/>
  <c r="L58" i="27" s="1"/>
  <c r="L59" i="27" s="1"/>
  <c r="F28" i="27"/>
  <c r="F58" i="27" s="1"/>
  <c r="F59" i="27" s="1"/>
  <c r="E8" i="28"/>
  <c r="E9" i="28"/>
  <c r="K28" i="27"/>
  <c r="K58" i="27" s="1"/>
  <c r="K59" i="27" s="1"/>
  <c r="J28" i="27"/>
  <c r="J58" i="27" s="1"/>
  <c r="J59" i="27" s="1"/>
  <c r="H13" i="10"/>
  <c r="F146" i="2" l="1"/>
  <c r="AB146" i="2" s="1"/>
  <c r="E26" i="28"/>
  <c r="E57" i="28" s="1"/>
  <c r="J13" i="10"/>
  <c r="K13" i="10" s="1"/>
  <c r="I13" i="10"/>
  <c r="C58" i="27"/>
  <c r="C59" i="27" s="1"/>
  <c r="E58" i="27"/>
  <c r="E59" i="27" s="1"/>
  <c r="B59" i="27"/>
  <c r="D13" i="11"/>
  <c r="R13" i="11" s="1"/>
  <c r="D13" i="5"/>
  <c r="D13" i="6" s="1"/>
  <c r="N28" i="27"/>
  <c r="F34" i="28"/>
  <c r="F33" i="28"/>
  <c r="F24" i="28"/>
  <c r="F13" i="28"/>
  <c r="F23" i="28"/>
  <c r="F32" i="28"/>
  <c r="F22" i="28"/>
  <c r="F20" i="28"/>
  <c r="F19" i="28"/>
  <c r="F30" i="28"/>
  <c r="F31" i="28" s="1"/>
  <c r="F18" i="28"/>
  <c r="F39" i="28"/>
  <c r="F17" i="28"/>
  <c r="F11" i="28"/>
  <c r="F38" i="28"/>
  <c r="F16" i="28"/>
  <c r="F10" i="28"/>
  <c r="F15" i="28"/>
  <c r="F25" i="28"/>
  <c r="F14" i="28"/>
  <c r="F21" i="28"/>
  <c r="F8" i="28"/>
  <c r="C148" i="2"/>
  <c r="G147" i="2"/>
  <c r="AC147" i="2"/>
  <c r="AD147" i="2" s="1"/>
  <c r="E147" i="2"/>
  <c r="D147" i="2"/>
  <c r="F147" i="2" s="1"/>
  <c r="AB147" i="2" s="1"/>
  <c r="V147" i="2"/>
  <c r="D57" i="28"/>
  <c r="F9" i="28"/>
  <c r="W145" i="2"/>
  <c r="B146" i="2"/>
  <c r="H4" i="28"/>
  <c r="G6" i="28"/>
  <c r="G8" i="28" s="1"/>
  <c r="DF146" i="2"/>
  <c r="CH146" i="2"/>
  <c r="BJ146" i="2"/>
  <c r="AL146" i="2"/>
  <c r="EB146" i="2"/>
  <c r="DD146" i="2"/>
  <c r="CF146" i="2"/>
  <c r="BH146" i="2"/>
  <c r="AJ146" i="2"/>
  <c r="DZ146" i="2"/>
  <c r="DB146" i="2"/>
  <c r="CD146" i="2"/>
  <c r="BF146" i="2"/>
  <c r="AH146" i="2"/>
  <c r="DX146" i="2"/>
  <c r="CZ146" i="2"/>
  <c r="CB146" i="2"/>
  <c r="BD146" i="2"/>
  <c r="DV146" i="2"/>
  <c r="CX146" i="2"/>
  <c r="BZ146" i="2"/>
  <c r="BB146" i="2"/>
  <c r="DT146" i="2"/>
  <c r="CV146" i="2"/>
  <c r="BX146" i="2"/>
  <c r="AZ146" i="2"/>
  <c r="DR146" i="2"/>
  <c r="CT146" i="2"/>
  <c r="BV146" i="2"/>
  <c r="AX146" i="2"/>
  <c r="DP146" i="2"/>
  <c r="CR146" i="2"/>
  <c r="BT146" i="2"/>
  <c r="AV146" i="2"/>
  <c r="DN146" i="2"/>
  <c r="CP146" i="2"/>
  <c r="BR146" i="2"/>
  <c r="AT146" i="2"/>
  <c r="A146" i="2"/>
  <c r="DL146" i="2"/>
  <c r="CN146" i="2"/>
  <c r="BP146" i="2"/>
  <c r="AR146" i="2"/>
  <c r="DJ146" i="2"/>
  <c r="CL146" i="2"/>
  <c r="BN146" i="2"/>
  <c r="AP146" i="2"/>
  <c r="S146" i="2"/>
  <c r="T146" i="2" s="1"/>
  <c r="DH146" i="2"/>
  <c r="CJ146" i="2"/>
  <c r="BL146" i="2"/>
  <c r="AN146" i="2"/>
  <c r="N13" i="11" l="1"/>
  <c r="M13" i="11"/>
  <c r="S13" i="11"/>
  <c r="J13" i="11"/>
  <c r="K13" i="11"/>
  <c r="L13" i="11"/>
  <c r="O13" i="11"/>
  <c r="P13" i="11"/>
  <c r="F26" i="28"/>
  <c r="F57" i="28" s="1"/>
  <c r="Q13" i="11"/>
  <c r="W146" i="2"/>
  <c r="B147" i="2"/>
  <c r="D13" i="7"/>
  <c r="D13" i="8" s="1"/>
  <c r="D13" i="9" s="1"/>
  <c r="D13" i="10" s="1"/>
  <c r="C13" i="12" s="1"/>
  <c r="R13" i="6"/>
  <c r="DN147" i="2"/>
  <c r="CP147" i="2"/>
  <c r="BR147" i="2"/>
  <c r="AT147" i="2"/>
  <c r="A147" i="2"/>
  <c r="DL147" i="2"/>
  <c r="CN147" i="2"/>
  <c r="BP147" i="2"/>
  <c r="AR147" i="2"/>
  <c r="DJ147" i="2"/>
  <c r="CL147" i="2"/>
  <c r="BN147" i="2"/>
  <c r="AP147" i="2"/>
  <c r="S147" i="2"/>
  <c r="T147" i="2" s="1"/>
  <c r="DH147" i="2"/>
  <c r="CJ147" i="2"/>
  <c r="BL147" i="2"/>
  <c r="AN147" i="2"/>
  <c r="DF147" i="2"/>
  <c r="CH147" i="2"/>
  <c r="BJ147" i="2"/>
  <c r="AL147" i="2"/>
  <c r="EB147" i="2"/>
  <c r="DD147" i="2"/>
  <c r="CF147" i="2"/>
  <c r="BH147" i="2"/>
  <c r="AJ147" i="2"/>
  <c r="DZ147" i="2"/>
  <c r="DB147" i="2"/>
  <c r="CD147" i="2"/>
  <c r="BF147" i="2"/>
  <c r="AH147" i="2"/>
  <c r="DX147" i="2"/>
  <c r="CZ147" i="2"/>
  <c r="CB147" i="2"/>
  <c r="BD147" i="2"/>
  <c r="DV147" i="2"/>
  <c r="CX147" i="2"/>
  <c r="BZ147" i="2"/>
  <c r="BB147" i="2"/>
  <c r="DT147" i="2"/>
  <c r="CV147" i="2"/>
  <c r="BX147" i="2"/>
  <c r="AZ147" i="2"/>
  <c r="DR147" i="2"/>
  <c r="CT147" i="2"/>
  <c r="BV147" i="2"/>
  <c r="AX147" i="2"/>
  <c r="DP147" i="2"/>
  <c r="CR147" i="2"/>
  <c r="BT147" i="2"/>
  <c r="AV147" i="2"/>
  <c r="N58" i="27"/>
  <c r="N59" i="27" s="1"/>
  <c r="F60" i="27" s="1"/>
  <c r="I4" i="28"/>
  <c r="H6" i="28"/>
  <c r="H7" i="28" s="1"/>
  <c r="AC148" i="2"/>
  <c r="AD148" i="2" s="1"/>
  <c r="E148" i="2"/>
  <c r="D148" i="2"/>
  <c r="V148" i="2"/>
  <c r="C149" i="2"/>
  <c r="G148" i="2"/>
  <c r="G33" i="28"/>
  <c r="G24" i="28"/>
  <c r="G13" i="28"/>
  <c r="G23" i="28"/>
  <c r="G32" i="28"/>
  <c r="G22" i="28"/>
  <c r="G20" i="28"/>
  <c r="G19" i="28"/>
  <c r="G30" i="28"/>
  <c r="G31" i="28" s="1"/>
  <c r="G18" i="28"/>
  <c r="G39" i="28"/>
  <c r="G17" i="28"/>
  <c r="G11" i="28"/>
  <c r="G38" i="28"/>
  <c r="G16" i="28"/>
  <c r="G10" i="28"/>
  <c r="G15" i="28"/>
  <c r="G25" i="28"/>
  <c r="G14" i="28"/>
  <c r="G34" i="28"/>
  <c r="G21" i="28"/>
  <c r="G9" i="28"/>
  <c r="F148" i="2" l="1"/>
  <c r="AB148" i="2" s="1"/>
  <c r="G13" i="11"/>
  <c r="C13" i="11" s="1"/>
  <c r="E13" i="11" s="1"/>
  <c r="G26" i="28"/>
  <c r="G57" i="28" s="1"/>
  <c r="H23" i="28"/>
  <c r="H32" i="28"/>
  <c r="H22" i="28"/>
  <c r="H20" i="28"/>
  <c r="H19" i="28"/>
  <c r="H30" i="28"/>
  <c r="H31" i="28" s="1"/>
  <c r="H18" i="28"/>
  <c r="N7" i="28"/>
  <c r="H39" i="28"/>
  <c r="H17" i="28"/>
  <c r="H11" i="28"/>
  <c r="H38" i="28"/>
  <c r="H16" i="28"/>
  <c r="H10" i="28"/>
  <c r="H15" i="28"/>
  <c r="H25" i="28"/>
  <c r="H14" i="28"/>
  <c r="H34" i="28"/>
  <c r="H33" i="28"/>
  <c r="H24" i="28"/>
  <c r="H13" i="28"/>
  <c r="H21" i="28"/>
  <c r="H8" i="28"/>
  <c r="H9" i="28"/>
  <c r="J4" i="28"/>
  <c r="I6" i="28"/>
  <c r="I9" i="28" s="1"/>
  <c r="G60" i="27"/>
  <c r="I60" i="27"/>
  <c r="DV148" i="2"/>
  <c r="CX148" i="2"/>
  <c r="BZ148" i="2"/>
  <c r="BB148" i="2"/>
  <c r="DT148" i="2"/>
  <c r="CV148" i="2"/>
  <c r="BX148" i="2"/>
  <c r="AZ148" i="2"/>
  <c r="DR148" i="2"/>
  <c r="CT148" i="2"/>
  <c r="BV148" i="2"/>
  <c r="AX148" i="2"/>
  <c r="DP148" i="2"/>
  <c r="CR148" i="2"/>
  <c r="BT148" i="2"/>
  <c r="AV148" i="2"/>
  <c r="DN148" i="2"/>
  <c r="CP148" i="2"/>
  <c r="BR148" i="2"/>
  <c r="AT148" i="2"/>
  <c r="A148" i="2"/>
  <c r="DL148" i="2"/>
  <c r="CN148" i="2"/>
  <c r="BP148" i="2"/>
  <c r="AR148" i="2"/>
  <c r="DJ148" i="2"/>
  <c r="CL148" i="2"/>
  <c r="BN148" i="2"/>
  <c r="AP148" i="2"/>
  <c r="S148" i="2"/>
  <c r="T148" i="2" s="1"/>
  <c r="DH148" i="2"/>
  <c r="CJ148" i="2"/>
  <c r="BL148" i="2"/>
  <c r="AN148" i="2"/>
  <c r="DF148" i="2"/>
  <c r="CH148" i="2"/>
  <c r="BJ148" i="2"/>
  <c r="AL148" i="2"/>
  <c r="EB148" i="2"/>
  <c r="DD148" i="2"/>
  <c r="CF148" i="2"/>
  <c r="BH148" i="2"/>
  <c r="AJ148" i="2"/>
  <c r="DZ148" i="2"/>
  <c r="DB148" i="2"/>
  <c r="CD148" i="2"/>
  <c r="BF148" i="2"/>
  <c r="AH148" i="2"/>
  <c r="DX148" i="2"/>
  <c r="CZ148" i="2"/>
  <c r="CB148" i="2"/>
  <c r="BD148" i="2"/>
  <c r="G149" i="2"/>
  <c r="AC149" i="2"/>
  <c r="AD149" i="2" s="1"/>
  <c r="E149" i="2"/>
  <c r="D149" i="2"/>
  <c r="F149" i="2" s="1"/>
  <c r="AB149" i="2" s="1"/>
  <c r="V149" i="2"/>
  <c r="C150" i="2"/>
  <c r="W147" i="2"/>
  <c r="B148" i="2"/>
  <c r="H13" i="11" l="1"/>
  <c r="W148" i="2"/>
  <c r="B149" i="2"/>
  <c r="I32" i="28"/>
  <c r="I22" i="28"/>
  <c r="I20" i="28"/>
  <c r="I19" i="28"/>
  <c r="I30" i="28"/>
  <c r="I31" i="28" s="1"/>
  <c r="I18" i="28"/>
  <c r="I39" i="28"/>
  <c r="I17" i="28"/>
  <c r="I11" i="28"/>
  <c r="I38" i="28"/>
  <c r="I16" i="28"/>
  <c r="I10" i="28"/>
  <c r="I15" i="28"/>
  <c r="I25" i="28"/>
  <c r="I14" i="28"/>
  <c r="I34" i="28"/>
  <c r="I33" i="28"/>
  <c r="I24" i="28"/>
  <c r="I13" i="28"/>
  <c r="I23" i="28"/>
  <c r="I21" i="28"/>
  <c r="C151" i="2"/>
  <c r="G150" i="2"/>
  <c r="AC150" i="2"/>
  <c r="AD150" i="2" s="1"/>
  <c r="E150" i="2"/>
  <c r="D150" i="2"/>
  <c r="V150" i="2"/>
  <c r="H26" i="28"/>
  <c r="K4" i="28"/>
  <c r="J6" i="28"/>
  <c r="DF149" i="2"/>
  <c r="CH149" i="2"/>
  <c r="BJ149" i="2"/>
  <c r="AL149" i="2"/>
  <c r="EB149" i="2"/>
  <c r="DD149" i="2"/>
  <c r="CF149" i="2"/>
  <c r="BH149" i="2"/>
  <c r="AJ149" i="2"/>
  <c r="DZ149" i="2"/>
  <c r="DB149" i="2"/>
  <c r="CD149" i="2"/>
  <c r="BF149" i="2"/>
  <c r="AH149" i="2"/>
  <c r="DX149" i="2"/>
  <c r="CZ149" i="2"/>
  <c r="CB149" i="2"/>
  <c r="BD149" i="2"/>
  <c r="DV149" i="2"/>
  <c r="CX149" i="2"/>
  <c r="BZ149" i="2"/>
  <c r="BB149" i="2"/>
  <c r="DT149" i="2"/>
  <c r="CV149" i="2"/>
  <c r="BX149" i="2"/>
  <c r="AZ149" i="2"/>
  <c r="DR149" i="2"/>
  <c r="CT149" i="2"/>
  <c r="BV149" i="2"/>
  <c r="AX149" i="2"/>
  <c r="DP149" i="2"/>
  <c r="CR149" i="2"/>
  <c r="BT149" i="2"/>
  <c r="AV149" i="2"/>
  <c r="DN149" i="2"/>
  <c r="CP149" i="2"/>
  <c r="BR149" i="2"/>
  <c r="AT149" i="2"/>
  <c r="A149" i="2"/>
  <c r="DL149" i="2"/>
  <c r="CN149" i="2"/>
  <c r="BP149" i="2"/>
  <c r="AR149" i="2"/>
  <c r="DJ149" i="2"/>
  <c r="CL149" i="2"/>
  <c r="BN149" i="2"/>
  <c r="AP149" i="2"/>
  <c r="S149" i="2"/>
  <c r="T149" i="2" s="1"/>
  <c r="DH149" i="2"/>
  <c r="CJ149" i="2"/>
  <c r="BL149" i="2"/>
  <c r="AN149" i="2"/>
  <c r="I8" i="28"/>
  <c r="I26" i="28" l="1"/>
  <c r="I57" i="28" s="1"/>
  <c r="DN150" i="2"/>
  <c r="CP150" i="2"/>
  <c r="BR150" i="2"/>
  <c r="AT150" i="2"/>
  <c r="A150" i="2"/>
  <c r="DL150" i="2"/>
  <c r="CN150" i="2"/>
  <c r="BP150" i="2"/>
  <c r="AR150" i="2"/>
  <c r="DJ150" i="2"/>
  <c r="CL150" i="2"/>
  <c r="BN150" i="2"/>
  <c r="AP150" i="2"/>
  <c r="S150" i="2"/>
  <c r="T150" i="2" s="1"/>
  <c r="DH150" i="2"/>
  <c r="CJ150" i="2"/>
  <c r="BL150" i="2"/>
  <c r="AN150" i="2"/>
  <c r="DF150" i="2"/>
  <c r="CH150" i="2"/>
  <c r="BJ150" i="2"/>
  <c r="AL150" i="2"/>
  <c r="EB150" i="2"/>
  <c r="DD150" i="2"/>
  <c r="CF150" i="2"/>
  <c r="BH150" i="2"/>
  <c r="AJ150" i="2"/>
  <c r="DZ150" i="2"/>
  <c r="DB150" i="2"/>
  <c r="CD150" i="2"/>
  <c r="BF150" i="2"/>
  <c r="AH150" i="2"/>
  <c r="DX150" i="2"/>
  <c r="CZ150" i="2"/>
  <c r="CB150" i="2"/>
  <c r="BD150" i="2"/>
  <c r="DV150" i="2"/>
  <c r="CX150" i="2"/>
  <c r="BZ150" i="2"/>
  <c r="BB150" i="2"/>
  <c r="DT150" i="2"/>
  <c r="CV150" i="2"/>
  <c r="BX150" i="2"/>
  <c r="AZ150" i="2"/>
  <c r="DR150" i="2"/>
  <c r="CT150" i="2"/>
  <c r="BV150" i="2"/>
  <c r="AX150" i="2"/>
  <c r="DP150" i="2"/>
  <c r="CR150" i="2"/>
  <c r="BT150" i="2"/>
  <c r="AV150" i="2"/>
  <c r="AC151" i="2"/>
  <c r="AD151" i="2" s="1"/>
  <c r="E151" i="2"/>
  <c r="D151" i="2"/>
  <c r="V151" i="2"/>
  <c r="C152" i="2"/>
  <c r="G151" i="2"/>
  <c r="J20" i="28"/>
  <c r="J19" i="28"/>
  <c r="J30" i="28"/>
  <c r="J31" i="28" s="1"/>
  <c r="J18" i="28"/>
  <c r="J39" i="28"/>
  <c r="J17" i="28"/>
  <c r="J11" i="28"/>
  <c r="J38" i="28"/>
  <c r="J16" i="28"/>
  <c r="J10" i="28"/>
  <c r="J15" i="28"/>
  <c r="J25" i="28"/>
  <c r="J14" i="28"/>
  <c r="J34" i="28"/>
  <c r="J12" i="28"/>
  <c r="J33" i="28"/>
  <c r="J24" i="28"/>
  <c r="J13" i="28"/>
  <c r="J23" i="28"/>
  <c r="J22" i="28"/>
  <c r="J32" i="28"/>
  <c r="J21" i="28"/>
  <c r="L4" i="28"/>
  <c r="K6" i="28"/>
  <c r="K9" i="28" s="1"/>
  <c r="J8" i="28"/>
  <c r="J9" i="28"/>
  <c r="H57" i="28"/>
  <c r="W149" i="2"/>
  <c r="B150" i="2"/>
  <c r="F150" i="2"/>
  <c r="AB150" i="2" s="1"/>
  <c r="F151" i="2" l="1"/>
  <c r="AB151" i="2" s="1"/>
  <c r="J26" i="28"/>
  <c r="J57" i="28" s="1"/>
  <c r="G152" i="2"/>
  <c r="AC152" i="2"/>
  <c r="AD152" i="2" s="1"/>
  <c r="E152" i="2"/>
  <c r="D152" i="2"/>
  <c r="F152" i="2" s="1"/>
  <c r="AB152" i="2" s="1"/>
  <c r="V152" i="2"/>
  <c r="C153" i="2"/>
  <c r="W150" i="2"/>
  <c r="B151" i="2"/>
  <c r="K19" i="28"/>
  <c r="K30" i="28"/>
  <c r="K31" i="28" s="1"/>
  <c r="K18" i="28"/>
  <c r="K39" i="28"/>
  <c r="K17" i="28"/>
  <c r="K11" i="28"/>
  <c r="K38" i="28"/>
  <c r="K16" i="28"/>
  <c r="K10" i="28"/>
  <c r="K15" i="28"/>
  <c r="K25" i="28"/>
  <c r="K14" i="28"/>
  <c r="K34" i="28"/>
  <c r="K12" i="28"/>
  <c r="N12" i="28" s="1"/>
  <c r="K33" i="28"/>
  <c r="K24" i="28"/>
  <c r="K13" i="28"/>
  <c r="K23" i="28"/>
  <c r="K32" i="28"/>
  <c r="K22" i="28"/>
  <c r="K20" i="28"/>
  <c r="K21" i="28"/>
  <c r="K8" i="28"/>
  <c r="M4" i="28"/>
  <c r="L6" i="28"/>
  <c r="DV151" i="2"/>
  <c r="CX151" i="2"/>
  <c r="BZ151" i="2"/>
  <c r="BB151" i="2"/>
  <c r="DT151" i="2"/>
  <c r="CV151" i="2"/>
  <c r="BX151" i="2"/>
  <c r="AZ151" i="2"/>
  <c r="DR151" i="2"/>
  <c r="CT151" i="2"/>
  <c r="BV151" i="2"/>
  <c r="AX151" i="2"/>
  <c r="DP151" i="2"/>
  <c r="CR151" i="2"/>
  <c r="BT151" i="2"/>
  <c r="AV151" i="2"/>
  <c r="DN151" i="2"/>
  <c r="CP151" i="2"/>
  <c r="BR151" i="2"/>
  <c r="AT151" i="2"/>
  <c r="A151" i="2"/>
  <c r="DL151" i="2"/>
  <c r="CN151" i="2"/>
  <c r="BP151" i="2"/>
  <c r="AR151" i="2"/>
  <c r="DJ151" i="2"/>
  <c r="CL151" i="2"/>
  <c r="BN151" i="2"/>
  <c r="AP151" i="2"/>
  <c r="S151" i="2"/>
  <c r="T151" i="2" s="1"/>
  <c r="DH151" i="2"/>
  <c r="CJ151" i="2"/>
  <c r="BL151" i="2"/>
  <c r="AN151" i="2"/>
  <c r="DF151" i="2"/>
  <c r="CH151" i="2"/>
  <c r="BJ151" i="2"/>
  <c r="AL151" i="2"/>
  <c r="EB151" i="2"/>
  <c r="DD151" i="2"/>
  <c r="CF151" i="2"/>
  <c r="BH151" i="2"/>
  <c r="AJ151" i="2"/>
  <c r="DZ151" i="2"/>
  <c r="DB151" i="2"/>
  <c r="CD151" i="2"/>
  <c r="BF151" i="2"/>
  <c r="AH151" i="2"/>
  <c r="DX151" i="2"/>
  <c r="CZ151" i="2"/>
  <c r="CB151" i="2"/>
  <c r="BD151" i="2"/>
  <c r="H14" i="9"/>
  <c r="I14" i="9"/>
  <c r="K26" i="28" l="1"/>
  <c r="K57" i="28" s="1"/>
  <c r="L30" i="28"/>
  <c r="L31" i="28" s="1"/>
  <c r="L18" i="28"/>
  <c r="L39" i="28"/>
  <c r="L17" i="28"/>
  <c r="L11" i="28"/>
  <c r="L38" i="28"/>
  <c r="L16" i="28"/>
  <c r="L10" i="28"/>
  <c r="L15" i="28"/>
  <c r="L25" i="28"/>
  <c r="L14" i="28"/>
  <c r="L34" i="28"/>
  <c r="L33" i="28"/>
  <c r="L24" i="28"/>
  <c r="L13" i="28"/>
  <c r="L23" i="28"/>
  <c r="L32" i="28"/>
  <c r="L22" i="28"/>
  <c r="L20" i="28"/>
  <c r="L19" i="28"/>
  <c r="L21" i="28"/>
  <c r="B4" i="29"/>
  <c r="M6" i="28"/>
  <c r="L8" i="28"/>
  <c r="AC153" i="2"/>
  <c r="AD153" i="2" s="1"/>
  <c r="G153" i="2"/>
  <c r="E153" i="2"/>
  <c r="D153" i="2"/>
  <c r="F153" i="2" s="1"/>
  <c r="AB153" i="2" s="1"/>
  <c r="C154" i="2"/>
  <c r="V153" i="2"/>
  <c r="L9" i="28"/>
  <c r="W151" i="2"/>
  <c r="B152" i="2"/>
  <c r="DF152" i="2"/>
  <c r="CH152" i="2"/>
  <c r="BJ152" i="2"/>
  <c r="AL152" i="2"/>
  <c r="EB152" i="2"/>
  <c r="DD152" i="2"/>
  <c r="CF152" i="2"/>
  <c r="BH152" i="2"/>
  <c r="AJ152" i="2"/>
  <c r="DZ152" i="2"/>
  <c r="DB152" i="2"/>
  <c r="CD152" i="2"/>
  <c r="BF152" i="2"/>
  <c r="AH152" i="2"/>
  <c r="DX152" i="2"/>
  <c r="CZ152" i="2"/>
  <c r="CB152" i="2"/>
  <c r="BD152" i="2"/>
  <c r="DV152" i="2"/>
  <c r="CX152" i="2"/>
  <c r="BZ152" i="2"/>
  <c r="BB152" i="2"/>
  <c r="DT152" i="2"/>
  <c r="CV152" i="2"/>
  <c r="BX152" i="2"/>
  <c r="AZ152" i="2"/>
  <c r="DR152" i="2"/>
  <c r="CT152" i="2"/>
  <c r="BV152" i="2"/>
  <c r="AX152" i="2"/>
  <c r="DP152" i="2"/>
  <c r="CR152" i="2"/>
  <c r="BT152" i="2"/>
  <c r="AV152" i="2"/>
  <c r="DN152" i="2"/>
  <c r="CP152" i="2"/>
  <c r="BR152" i="2"/>
  <c r="AT152" i="2"/>
  <c r="A152" i="2"/>
  <c r="DL152" i="2"/>
  <c r="CN152" i="2"/>
  <c r="BP152" i="2"/>
  <c r="AR152" i="2"/>
  <c r="DJ152" i="2"/>
  <c r="CL152" i="2"/>
  <c r="BN152" i="2"/>
  <c r="AP152" i="2"/>
  <c r="S152" i="2"/>
  <c r="T152" i="2" s="1"/>
  <c r="DH152" i="2"/>
  <c r="CJ152" i="2"/>
  <c r="BL152" i="2"/>
  <c r="AN152" i="2"/>
  <c r="L26" i="28" l="1"/>
  <c r="L57" i="28" s="1"/>
  <c r="M39" i="28"/>
  <c r="N39" i="28" s="1"/>
  <c r="M17" i="28"/>
  <c r="N17" i="28" s="1"/>
  <c r="M11" i="28"/>
  <c r="N11" i="28" s="1"/>
  <c r="M38" i="28"/>
  <c r="N38" i="28" s="1"/>
  <c r="M16" i="28"/>
  <c r="N16" i="28" s="1"/>
  <c r="M10" i="28"/>
  <c r="N10" i="28" s="1"/>
  <c r="M15" i="28"/>
  <c r="N15" i="28" s="1"/>
  <c r="M25" i="28"/>
  <c r="N25" i="28" s="1"/>
  <c r="M14" i="28"/>
  <c r="N14" i="28" s="1"/>
  <c r="M34" i="28"/>
  <c r="N34" i="28" s="1"/>
  <c r="M33" i="28"/>
  <c r="N33" i="28" s="1"/>
  <c r="M24" i="28"/>
  <c r="N24" i="28" s="1"/>
  <c r="M13" i="28"/>
  <c r="N13" i="28" s="1"/>
  <c r="M23" i="28"/>
  <c r="N23" i="28" s="1"/>
  <c r="M32" i="28"/>
  <c r="N32" i="28" s="1"/>
  <c r="M22" i="28"/>
  <c r="N22" i="28" s="1"/>
  <c r="M20" i="28"/>
  <c r="N20" i="28" s="1"/>
  <c r="M19" i="28"/>
  <c r="N19" i="28" s="1"/>
  <c r="M30" i="28"/>
  <c r="N30" i="28" s="1"/>
  <c r="M18" i="28"/>
  <c r="N18" i="28" s="1"/>
  <c r="N6" i="28"/>
  <c r="M21" i="28"/>
  <c r="N21" i="28" s="1"/>
  <c r="C4" i="29"/>
  <c r="B6" i="29"/>
  <c r="B7" i="29" s="1"/>
  <c r="M8" i="28"/>
  <c r="N8" i="28" s="1"/>
  <c r="M9" i="28"/>
  <c r="N9" i="28" s="1"/>
  <c r="W152" i="2"/>
  <c r="B153" i="2"/>
  <c r="V154" i="2"/>
  <c r="C155" i="2"/>
  <c r="G154" i="2"/>
  <c r="AC154" i="2"/>
  <c r="AD154" i="2" s="1"/>
  <c r="E154" i="2"/>
  <c r="D154" i="2"/>
  <c r="F154" i="2" s="1"/>
  <c r="AB154" i="2" s="1"/>
  <c r="DJ153" i="2"/>
  <c r="CL153" i="2"/>
  <c r="BN153" i="2"/>
  <c r="AP153" i="2"/>
  <c r="A153" i="2"/>
  <c r="DH153" i="2"/>
  <c r="CJ153" i="2"/>
  <c r="BL153" i="2"/>
  <c r="AN153" i="2"/>
  <c r="DF153" i="2"/>
  <c r="CH153" i="2"/>
  <c r="BJ153" i="2"/>
  <c r="AL153" i="2"/>
  <c r="S153" i="2"/>
  <c r="T153" i="2" s="1"/>
  <c r="EB153" i="2"/>
  <c r="DD153" i="2"/>
  <c r="CF153" i="2"/>
  <c r="BH153" i="2"/>
  <c r="AJ153" i="2"/>
  <c r="DZ153" i="2"/>
  <c r="DB153" i="2"/>
  <c r="CD153" i="2"/>
  <c r="BF153" i="2"/>
  <c r="AH153" i="2"/>
  <c r="DX153" i="2"/>
  <c r="CZ153" i="2"/>
  <c r="CB153" i="2"/>
  <c r="BD153" i="2"/>
  <c r="DV153" i="2"/>
  <c r="CX153" i="2"/>
  <c r="BZ153" i="2"/>
  <c r="BB153" i="2"/>
  <c r="DT153" i="2"/>
  <c r="CV153" i="2"/>
  <c r="BX153" i="2"/>
  <c r="AZ153" i="2"/>
  <c r="DR153" i="2"/>
  <c r="CT153" i="2"/>
  <c r="BV153" i="2"/>
  <c r="AX153" i="2"/>
  <c r="DP153" i="2"/>
  <c r="CR153" i="2"/>
  <c r="BT153" i="2"/>
  <c r="AV153" i="2"/>
  <c r="DN153" i="2"/>
  <c r="CP153" i="2"/>
  <c r="BR153" i="2"/>
  <c r="AT153" i="2"/>
  <c r="DL153" i="2"/>
  <c r="CN153" i="2"/>
  <c r="BP153" i="2"/>
  <c r="AR153" i="2"/>
  <c r="J14" i="9"/>
  <c r="O14" i="8"/>
  <c r="F14" i="8"/>
  <c r="K14" i="9"/>
  <c r="M14" i="9"/>
  <c r="F14" i="9"/>
  <c r="N14" i="9"/>
  <c r="L14" i="8"/>
  <c r="L14" i="9"/>
  <c r="I14" i="8"/>
  <c r="G14" i="9"/>
  <c r="Q14" i="8" l="1"/>
  <c r="N14" i="8"/>
  <c r="K14" i="8"/>
  <c r="M31" i="28"/>
  <c r="N31" i="28" s="1"/>
  <c r="O14" i="9"/>
  <c r="P14" i="9" s="1"/>
  <c r="P14" i="8"/>
  <c r="R14" i="8"/>
  <c r="S14" i="8" s="1"/>
  <c r="H14" i="8"/>
  <c r="G14" i="8"/>
  <c r="M14" i="8"/>
  <c r="J14" i="8"/>
  <c r="B9" i="29"/>
  <c r="D4" i="29"/>
  <c r="C6" i="29"/>
  <c r="C9" i="29" s="1"/>
  <c r="DN154" i="2"/>
  <c r="CP154" i="2"/>
  <c r="BR154" i="2"/>
  <c r="AT154" i="2"/>
  <c r="DL154" i="2"/>
  <c r="CN154" i="2"/>
  <c r="BP154" i="2"/>
  <c r="AR154" i="2"/>
  <c r="A154" i="2"/>
  <c r="DJ154" i="2"/>
  <c r="CL154" i="2"/>
  <c r="BN154" i="2"/>
  <c r="AP154" i="2"/>
  <c r="DH154" i="2"/>
  <c r="CJ154" i="2"/>
  <c r="BL154" i="2"/>
  <c r="S154" i="2"/>
  <c r="T154" i="2" s="1"/>
  <c r="DF154" i="2"/>
  <c r="CH154" i="2"/>
  <c r="BJ154" i="2"/>
  <c r="AN154" i="2"/>
  <c r="EB154" i="2"/>
  <c r="DD154" i="2"/>
  <c r="CF154" i="2"/>
  <c r="BH154" i="2"/>
  <c r="AL154" i="2"/>
  <c r="DZ154" i="2"/>
  <c r="DB154" i="2"/>
  <c r="CD154" i="2"/>
  <c r="BF154" i="2"/>
  <c r="AJ154" i="2"/>
  <c r="DX154" i="2"/>
  <c r="CZ154" i="2"/>
  <c r="CB154" i="2"/>
  <c r="BD154" i="2"/>
  <c r="AH154" i="2"/>
  <c r="DV154" i="2"/>
  <c r="CX154" i="2"/>
  <c r="BZ154" i="2"/>
  <c r="BB154" i="2"/>
  <c r="DT154" i="2"/>
  <c r="CV154" i="2"/>
  <c r="BX154" i="2"/>
  <c r="AZ154" i="2"/>
  <c r="DR154" i="2"/>
  <c r="CT154" i="2"/>
  <c r="BV154" i="2"/>
  <c r="AX154" i="2"/>
  <c r="DP154" i="2"/>
  <c r="CR154" i="2"/>
  <c r="BT154" i="2"/>
  <c r="AV154" i="2"/>
  <c r="AC155" i="2"/>
  <c r="AD155" i="2" s="1"/>
  <c r="E155" i="2"/>
  <c r="D155" i="2"/>
  <c r="F155" i="2" s="1"/>
  <c r="AB155" i="2" s="1"/>
  <c r="V155" i="2"/>
  <c r="C156" i="2"/>
  <c r="G155" i="2"/>
  <c r="W153" i="2"/>
  <c r="B154" i="2"/>
  <c r="M26" i="28"/>
  <c r="B25" i="29"/>
  <c r="B14" i="29"/>
  <c r="B34" i="29"/>
  <c r="B33" i="29"/>
  <c r="B24" i="29"/>
  <c r="B13" i="29"/>
  <c r="B23" i="29"/>
  <c r="B32" i="29"/>
  <c r="B21" i="29"/>
  <c r="B20" i="29"/>
  <c r="B19" i="29"/>
  <c r="B30" i="29"/>
  <c r="B18" i="29"/>
  <c r="B12" i="29"/>
  <c r="B39" i="29"/>
  <c r="B17" i="29"/>
  <c r="B11" i="29"/>
  <c r="B38" i="29"/>
  <c r="B16" i="29"/>
  <c r="B10" i="29"/>
  <c r="B15" i="29"/>
  <c r="B8" i="29"/>
  <c r="E14" i="8"/>
  <c r="E14" i="9"/>
  <c r="B14" i="9"/>
  <c r="B14" i="8"/>
  <c r="C8" i="29" l="1"/>
  <c r="DV155" i="2"/>
  <c r="CX155" i="2"/>
  <c r="BZ155" i="2"/>
  <c r="BB155" i="2"/>
  <c r="DT155" i="2"/>
  <c r="CV155" i="2"/>
  <c r="BX155" i="2"/>
  <c r="AZ155" i="2"/>
  <c r="DR155" i="2"/>
  <c r="CT155" i="2"/>
  <c r="BV155" i="2"/>
  <c r="AX155" i="2"/>
  <c r="DP155" i="2"/>
  <c r="CR155" i="2"/>
  <c r="BT155" i="2"/>
  <c r="AV155" i="2"/>
  <c r="DN155" i="2"/>
  <c r="CP155" i="2"/>
  <c r="BR155" i="2"/>
  <c r="AT155" i="2"/>
  <c r="A155" i="2"/>
  <c r="DL155" i="2"/>
  <c r="CN155" i="2"/>
  <c r="BP155" i="2"/>
  <c r="AR155" i="2"/>
  <c r="DJ155" i="2"/>
  <c r="CL155" i="2"/>
  <c r="BN155" i="2"/>
  <c r="AP155" i="2"/>
  <c r="S155" i="2"/>
  <c r="T155" i="2" s="1"/>
  <c r="DH155" i="2"/>
  <c r="CJ155" i="2"/>
  <c r="BL155" i="2"/>
  <c r="AN155" i="2"/>
  <c r="DF155" i="2"/>
  <c r="CH155" i="2"/>
  <c r="BJ155" i="2"/>
  <c r="AL155" i="2"/>
  <c r="EB155" i="2"/>
  <c r="DD155" i="2"/>
  <c r="CF155" i="2"/>
  <c r="BH155" i="2"/>
  <c r="AJ155" i="2"/>
  <c r="DZ155" i="2"/>
  <c r="DB155" i="2"/>
  <c r="CD155" i="2"/>
  <c r="BF155" i="2"/>
  <c r="AH155" i="2"/>
  <c r="DX155" i="2"/>
  <c r="CZ155" i="2"/>
  <c r="CB155" i="2"/>
  <c r="BD155" i="2"/>
  <c r="G156" i="2"/>
  <c r="AC156" i="2"/>
  <c r="AD156" i="2" s="1"/>
  <c r="E156" i="2"/>
  <c r="D156" i="2"/>
  <c r="F156" i="2" s="1"/>
  <c r="AB156" i="2" s="1"/>
  <c r="V156" i="2"/>
  <c r="C157" i="2"/>
  <c r="W154" i="2"/>
  <c r="B155" i="2"/>
  <c r="E4" i="29"/>
  <c r="D6" i="29"/>
  <c r="B26" i="29"/>
  <c r="N26" i="28"/>
  <c r="M57" i="28"/>
  <c r="B31" i="29"/>
  <c r="C34" i="29"/>
  <c r="C33" i="29"/>
  <c r="C24" i="29"/>
  <c r="C13" i="29"/>
  <c r="C23" i="29"/>
  <c r="C32" i="29"/>
  <c r="C22" i="29"/>
  <c r="C21" i="29"/>
  <c r="C20" i="29"/>
  <c r="C19" i="29"/>
  <c r="C30" i="29"/>
  <c r="C31" i="29" s="1"/>
  <c r="C18" i="29"/>
  <c r="C12" i="29"/>
  <c r="C39" i="29"/>
  <c r="C17" i="29"/>
  <c r="C11" i="29"/>
  <c r="C38" i="29"/>
  <c r="C16" i="29"/>
  <c r="C10" i="29"/>
  <c r="C15" i="29"/>
  <c r="C25" i="29"/>
  <c r="C14" i="29"/>
  <c r="F14" i="4"/>
  <c r="F14" i="3"/>
  <c r="G14" i="10"/>
  <c r="F14" i="12"/>
  <c r="C26" i="29" l="1"/>
  <c r="H14" i="12"/>
  <c r="G14" i="12"/>
  <c r="G14" i="3"/>
  <c r="H14" i="3"/>
  <c r="C57" i="29"/>
  <c r="W155" i="2"/>
  <c r="B156" i="2"/>
  <c r="D33" i="29"/>
  <c r="D24" i="29"/>
  <c r="D13" i="29"/>
  <c r="D23" i="29"/>
  <c r="D32" i="29"/>
  <c r="D22" i="29"/>
  <c r="D20" i="29"/>
  <c r="D19" i="29"/>
  <c r="D30" i="29"/>
  <c r="D18" i="29"/>
  <c r="D39" i="29"/>
  <c r="D17" i="29"/>
  <c r="D11" i="29"/>
  <c r="D38" i="29"/>
  <c r="D16" i="29"/>
  <c r="D10" i="29"/>
  <c r="D15" i="29"/>
  <c r="D25" i="29"/>
  <c r="D14" i="29"/>
  <c r="D34" i="29"/>
  <c r="D21" i="29"/>
  <c r="D8" i="29"/>
  <c r="D9" i="29"/>
  <c r="DF156" i="2"/>
  <c r="CH156" i="2"/>
  <c r="BJ156" i="2"/>
  <c r="AL156" i="2"/>
  <c r="EB156" i="2"/>
  <c r="DD156" i="2"/>
  <c r="CF156" i="2"/>
  <c r="BH156" i="2"/>
  <c r="AJ156" i="2"/>
  <c r="DZ156" i="2"/>
  <c r="DB156" i="2"/>
  <c r="CD156" i="2"/>
  <c r="BF156" i="2"/>
  <c r="AH156" i="2"/>
  <c r="DX156" i="2"/>
  <c r="CZ156" i="2"/>
  <c r="CB156" i="2"/>
  <c r="BD156" i="2"/>
  <c r="DV156" i="2"/>
  <c r="CX156" i="2"/>
  <c r="BZ156" i="2"/>
  <c r="BB156" i="2"/>
  <c r="DT156" i="2"/>
  <c r="CV156" i="2"/>
  <c r="BX156" i="2"/>
  <c r="AZ156" i="2"/>
  <c r="DR156" i="2"/>
  <c r="CT156" i="2"/>
  <c r="BV156" i="2"/>
  <c r="AX156" i="2"/>
  <c r="DP156" i="2"/>
  <c r="CR156" i="2"/>
  <c r="BT156" i="2"/>
  <c r="AV156" i="2"/>
  <c r="DN156" i="2"/>
  <c r="CP156" i="2"/>
  <c r="BR156" i="2"/>
  <c r="AT156" i="2"/>
  <c r="A156" i="2"/>
  <c r="DL156" i="2"/>
  <c r="CN156" i="2"/>
  <c r="BP156" i="2"/>
  <c r="AR156" i="2"/>
  <c r="DJ156" i="2"/>
  <c r="CL156" i="2"/>
  <c r="BN156" i="2"/>
  <c r="AP156" i="2"/>
  <c r="S156" i="2"/>
  <c r="T156" i="2" s="1"/>
  <c r="DH156" i="2"/>
  <c r="CJ156" i="2"/>
  <c r="BL156" i="2"/>
  <c r="AN156" i="2"/>
  <c r="B57" i="29"/>
  <c r="N57" i="28"/>
  <c r="F4" i="29"/>
  <c r="E6" i="29"/>
  <c r="E8" i="29" s="1"/>
  <c r="H60" i="28"/>
  <c r="B60" i="28"/>
  <c r="B27" i="28"/>
  <c r="C27" i="28"/>
  <c r="D27" i="28"/>
  <c r="E27" i="28"/>
  <c r="F27" i="28"/>
  <c r="G27" i="28"/>
  <c r="H27" i="28"/>
  <c r="I27" i="28"/>
  <c r="J27" i="28"/>
  <c r="K27" i="28"/>
  <c r="L27" i="28"/>
  <c r="M27" i="28"/>
  <c r="C158" i="2"/>
  <c r="G157" i="2"/>
  <c r="AC157" i="2"/>
  <c r="AD157" i="2" s="1"/>
  <c r="E157" i="2"/>
  <c r="D157" i="2"/>
  <c r="F157" i="2" s="1"/>
  <c r="AB157" i="2" s="1"/>
  <c r="V157" i="2"/>
  <c r="K14" i="4"/>
  <c r="O14" i="3"/>
  <c r="E14" i="12"/>
  <c r="C14" i="10"/>
  <c r="J14" i="4"/>
  <c r="B14" i="4"/>
  <c r="I14" i="4"/>
  <c r="B14" i="3"/>
  <c r="E14" i="3"/>
  <c r="H14" i="4"/>
  <c r="G14" i="4"/>
  <c r="E14" i="4"/>
  <c r="B14" i="12"/>
  <c r="F14" i="10"/>
  <c r="B14" i="7" l="1"/>
  <c r="B14" i="6"/>
  <c r="B14" i="5"/>
  <c r="C14" i="3"/>
  <c r="C14" i="4"/>
  <c r="E14" i="6"/>
  <c r="E14" i="5"/>
  <c r="E14" i="7"/>
  <c r="O14" i="4"/>
  <c r="P14" i="4" s="1"/>
  <c r="U14" i="11" s="1"/>
  <c r="L28" i="28"/>
  <c r="L58" i="28" s="1"/>
  <c r="L59" i="28" s="1"/>
  <c r="K28" i="28"/>
  <c r="K58" i="28" s="1"/>
  <c r="K59" i="28" s="1"/>
  <c r="I28" i="28"/>
  <c r="I58" i="28" s="1"/>
  <c r="I59" i="28" s="1"/>
  <c r="M28" i="28"/>
  <c r="M58" i="28" s="1"/>
  <c r="M59" i="28" s="1"/>
  <c r="H28" i="28"/>
  <c r="H58" i="28" s="1"/>
  <c r="H59" i="28" s="1"/>
  <c r="G28" i="28"/>
  <c r="G58" i="28" s="1"/>
  <c r="G59" i="28" s="1"/>
  <c r="E23" i="29"/>
  <c r="E32" i="29"/>
  <c r="E22" i="29"/>
  <c r="E20" i="29"/>
  <c r="E19" i="29"/>
  <c r="E30" i="29"/>
  <c r="E31" i="29" s="1"/>
  <c r="E18" i="29"/>
  <c r="E39" i="29"/>
  <c r="E17" i="29"/>
  <c r="E11" i="29"/>
  <c r="E38" i="29"/>
  <c r="E16" i="29"/>
  <c r="E10" i="29"/>
  <c r="E15" i="29"/>
  <c r="E25" i="29"/>
  <c r="E14" i="29"/>
  <c r="E34" i="29"/>
  <c r="E24" i="29"/>
  <c r="E13" i="29"/>
  <c r="E33" i="29"/>
  <c r="E21" i="29"/>
  <c r="D26" i="29"/>
  <c r="D31" i="29"/>
  <c r="J28" i="28"/>
  <c r="J58" i="28" s="1"/>
  <c r="J59" i="28" s="1"/>
  <c r="E28" i="28"/>
  <c r="E58" i="28" s="1"/>
  <c r="E59" i="28" s="1"/>
  <c r="E9" i="29"/>
  <c r="W156" i="2"/>
  <c r="B157" i="2"/>
  <c r="D28" i="28"/>
  <c r="D58" i="28" s="1"/>
  <c r="D59" i="28" s="1"/>
  <c r="F28" i="28"/>
  <c r="F58" i="28" s="1"/>
  <c r="F59" i="28" s="1"/>
  <c r="DN157" i="2"/>
  <c r="CP157" i="2"/>
  <c r="BR157" i="2"/>
  <c r="AT157" i="2"/>
  <c r="A157" i="2"/>
  <c r="DL157" i="2"/>
  <c r="CN157" i="2"/>
  <c r="BP157" i="2"/>
  <c r="AR157" i="2"/>
  <c r="DJ157" i="2"/>
  <c r="CL157" i="2"/>
  <c r="BN157" i="2"/>
  <c r="AP157" i="2"/>
  <c r="S157" i="2"/>
  <c r="T157" i="2" s="1"/>
  <c r="DH157" i="2"/>
  <c r="CJ157" i="2"/>
  <c r="BL157" i="2"/>
  <c r="AN157" i="2"/>
  <c r="DF157" i="2"/>
  <c r="CH157" i="2"/>
  <c r="BJ157" i="2"/>
  <c r="AL157" i="2"/>
  <c r="EB157" i="2"/>
  <c r="DD157" i="2"/>
  <c r="CF157" i="2"/>
  <c r="BH157" i="2"/>
  <c r="AJ157" i="2"/>
  <c r="DZ157" i="2"/>
  <c r="DB157" i="2"/>
  <c r="CD157" i="2"/>
  <c r="BF157" i="2"/>
  <c r="AH157" i="2"/>
  <c r="DX157" i="2"/>
  <c r="CZ157" i="2"/>
  <c r="CB157" i="2"/>
  <c r="BD157" i="2"/>
  <c r="DV157" i="2"/>
  <c r="CX157" i="2"/>
  <c r="BZ157" i="2"/>
  <c r="BB157" i="2"/>
  <c r="DT157" i="2"/>
  <c r="CV157" i="2"/>
  <c r="BX157" i="2"/>
  <c r="AZ157" i="2"/>
  <c r="DR157" i="2"/>
  <c r="CT157" i="2"/>
  <c r="BV157" i="2"/>
  <c r="AX157" i="2"/>
  <c r="DP157" i="2"/>
  <c r="CR157" i="2"/>
  <c r="BT157" i="2"/>
  <c r="AV157" i="2"/>
  <c r="AC158" i="2"/>
  <c r="AD158" i="2" s="1"/>
  <c r="E158" i="2"/>
  <c r="D158" i="2"/>
  <c r="V158" i="2"/>
  <c r="C159" i="2"/>
  <c r="G158" i="2"/>
  <c r="C28" i="28"/>
  <c r="C58" i="28" s="1"/>
  <c r="C59" i="28" s="1"/>
  <c r="G4" i="29"/>
  <c r="F6" i="29"/>
  <c r="F8" i="29" s="1"/>
  <c r="N27" i="28"/>
  <c r="B28" i="28"/>
  <c r="B58" i="28" s="1"/>
  <c r="H14" i="10"/>
  <c r="I14" i="10" l="1"/>
  <c r="J14" i="10"/>
  <c r="K14" i="10" s="1"/>
  <c r="N58" i="28"/>
  <c r="N59" i="28" s="1"/>
  <c r="F60" i="28" s="1"/>
  <c r="B59" i="28"/>
  <c r="DV158" i="2"/>
  <c r="CX158" i="2"/>
  <c r="BZ158" i="2"/>
  <c r="BB158" i="2"/>
  <c r="DT158" i="2"/>
  <c r="CV158" i="2"/>
  <c r="BX158" i="2"/>
  <c r="AZ158" i="2"/>
  <c r="DR158" i="2"/>
  <c r="CT158" i="2"/>
  <c r="BV158" i="2"/>
  <c r="AX158" i="2"/>
  <c r="DP158" i="2"/>
  <c r="CR158" i="2"/>
  <c r="BT158" i="2"/>
  <c r="AV158" i="2"/>
  <c r="DN158" i="2"/>
  <c r="CP158" i="2"/>
  <c r="BR158" i="2"/>
  <c r="AT158" i="2"/>
  <c r="A158" i="2"/>
  <c r="DL158" i="2"/>
  <c r="CN158" i="2"/>
  <c r="BP158" i="2"/>
  <c r="AR158" i="2"/>
  <c r="DJ158" i="2"/>
  <c r="CL158" i="2"/>
  <c r="BN158" i="2"/>
  <c r="AP158" i="2"/>
  <c r="S158" i="2"/>
  <c r="T158" i="2" s="1"/>
  <c r="DH158" i="2"/>
  <c r="CJ158" i="2"/>
  <c r="BL158" i="2"/>
  <c r="AN158" i="2"/>
  <c r="DF158" i="2"/>
  <c r="CH158" i="2"/>
  <c r="BJ158" i="2"/>
  <c r="AL158" i="2"/>
  <c r="EB158" i="2"/>
  <c r="DD158" i="2"/>
  <c r="CF158" i="2"/>
  <c r="BH158" i="2"/>
  <c r="AJ158" i="2"/>
  <c r="DZ158" i="2"/>
  <c r="DB158" i="2"/>
  <c r="CD158" i="2"/>
  <c r="BF158" i="2"/>
  <c r="AH158" i="2"/>
  <c r="DX158" i="2"/>
  <c r="CZ158" i="2"/>
  <c r="CB158" i="2"/>
  <c r="BD158" i="2"/>
  <c r="E26" i="29"/>
  <c r="N28" i="28"/>
  <c r="G159" i="2"/>
  <c r="AC159" i="2"/>
  <c r="AD159" i="2" s="1"/>
  <c r="E159" i="2"/>
  <c r="D159" i="2"/>
  <c r="V159" i="2"/>
  <c r="C160" i="2"/>
  <c r="F32" i="29"/>
  <c r="F22" i="29"/>
  <c r="F20" i="29"/>
  <c r="F19" i="29"/>
  <c r="F30" i="29"/>
  <c r="F31" i="29" s="1"/>
  <c r="F18" i="29"/>
  <c r="F39" i="29"/>
  <c r="F17" i="29"/>
  <c r="F11" i="29"/>
  <c r="F38" i="29"/>
  <c r="F16" i="29"/>
  <c r="F10" i="29"/>
  <c r="F15" i="29"/>
  <c r="F25" i="29"/>
  <c r="F14" i="29"/>
  <c r="F34" i="29"/>
  <c r="F33" i="29"/>
  <c r="F24" i="29"/>
  <c r="F13" i="29"/>
  <c r="F23" i="29"/>
  <c r="F21" i="29"/>
  <c r="F158" i="2"/>
  <c r="AB158" i="2" s="1"/>
  <c r="D57" i="29"/>
  <c r="F9" i="29"/>
  <c r="D14" i="11"/>
  <c r="N14" i="11" s="1"/>
  <c r="D14" i="5"/>
  <c r="D14" i="6" s="1"/>
  <c r="H4" i="29"/>
  <c r="G6" i="29"/>
  <c r="G8" i="29" s="1"/>
  <c r="W157" i="2"/>
  <c r="B158" i="2"/>
  <c r="P14" i="11" l="1"/>
  <c r="O14" i="11"/>
  <c r="Q14" i="11"/>
  <c r="G9" i="29"/>
  <c r="F26" i="29"/>
  <c r="F57" i="29" s="1"/>
  <c r="F159" i="2"/>
  <c r="AB159" i="2" s="1"/>
  <c r="I60" i="28"/>
  <c r="G60" i="28"/>
  <c r="DF159" i="2"/>
  <c r="CH159" i="2"/>
  <c r="BJ159" i="2"/>
  <c r="AL159" i="2"/>
  <c r="EB159" i="2"/>
  <c r="DD159" i="2"/>
  <c r="CF159" i="2"/>
  <c r="BH159" i="2"/>
  <c r="AJ159" i="2"/>
  <c r="DZ159" i="2"/>
  <c r="DB159" i="2"/>
  <c r="CD159" i="2"/>
  <c r="BF159" i="2"/>
  <c r="AH159" i="2"/>
  <c r="DX159" i="2"/>
  <c r="CZ159" i="2"/>
  <c r="CB159" i="2"/>
  <c r="BD159" i="2"/>
  <c r="DV159" i="2"/>
  <c r="CX159" i="2"/>
  <c r="BZ159" i="2"/>
  <c r="BB159" i="2"/>
  <c r="DT159" i="2"/>
  <c r="CV159" i="2"/>
  <c r="BX159" i="2"/>
  <c r="AZ159" i="2"/>
  <c r="DR159" i="2"/>
  <c r="CT159" i="2"/>
  <c r="BV159" i="2"/>
  <c r="AX159" i="2"/>
  <c r="DP159" i="2"/>
  <c r="CR159" i="2"/>
  <c r="BT159" i="2"/>
  <c r="AV159" i="2"/>
  <c r="DN159" i="2"/>
  <c r="CP159" i="2"/>
  <c r="BR159" i="2"/>
  <c r="AT159" i="2"/>
  <c r="A159" i="2"/>
  <c r="DL159" i="2"/>
  <c r="CN159" i="2"/>
  <c r="BP159" i="2"/>
  <c r="AR159" i="2"/>
  <c r="DJ159" i="2"/>
  <c r="CL159" i="2"/>
  <c r="BN159" i="2"/>
  <c r="AP159" i="2"/>
  <c r="S159" i="2"/>
  <c r="T159" i="2" s="1"/>
  <c r="DH159" i="2"/>
  <c r="CJ159" i="2"/>
  <c r="BL159" i="2"/>
  <c r="AN159" i="2"/>
  <c r="E57" i="29"/>
  <c r="J14" i="11"/>
  <c r="S14" i="11"/>
  <c r="K14" i="11"/>
  <c r="G20" i="29"/>
  <c r="G19" i="29"/>
  <c r="G30" i="29"/>
  <c r="G31" i="29" s="1"/>
  <c r="G18" i="29"/>
  <c r="G39" i="29"/>
  <c r="G17" i="29"/>
  <c r="G11" i="29"/>
  <c r="G38" i="29"/>
  <c r="G16" i="29"/>
  <c r="G10" i="29"/>
  <c r="G15" i="29"/>
  <c r="G25" i="29"/>
  <c r="G14" i="29"/>
  <c r="G34" i="29"/>
  <c r="G33" i="29"/>
  <c r="G24" i="29"/>
  <c r="G13" i="29"/>
  <c r="G23" i="29"/>
  <c r="G32" i="29"/>
  <c r="G22" i="29"/>
  <c r="G21" i="29"/>
  <c r="L14" i="11"/>
  <c r="R14" i="6"/>
  <c r="D14" i="7"/>
  <c r="D14" i="8" s="1"/>
  <c r="D14" i="9" s="1"/>
  <c r="D14" i="10" s="1"/>
  <c r="C14" i="12" s="1"/>
  <c r="T14" i="11"/>
  <c r="I4" i="29"/>
  <c r="H6" i="29"/>
  <c r="M14" i="11"/>
  <c r="C161" i="2"/>
  <c r="G160" i="2"/>
  <c r="AC160" i="2"/>
  <c r="AD160" i="2" s="1"/>
  <c r="E160" i="2"/>
  <c r="D160" i="2"/>
  <c r="F160" i="2" s="1"/>
  <c r="AB160" i="2" s="1"/>
  <c r="V160" i="2"/>
  <c r="R14" i="11"/>
  <c r="W158" i="2"/>
  <c r="B159" i="2"/>
  <c r="H9" i="29" l="1"/>
  <c r="H7" i="29"/>
  <c r="N7" i="29" s="1"/>
  <c r="G26" i="29"/>
  <c r="G57" i="29" s="1"/>
  <c r="H8" i="29"/>
  <c r="H19" i="29"/>
  <c r="H30" i="29"/>
  <c r="H31" i="29" s="1"/>
  <c r="H18" i="29"/>
  <c r="H39" i="29"/>
  <c r="H17" i="29"/>
  <c r="H11" i="29"/>
  <c r="H38" i="29"/>
  <c r="H16" i="29"/>
  <c r="H10" i="29"/>
  <c r="H15" i="29"/>
  <c r="H25" i="29"/>
  <c r="H14" i="29"/>
  <c r="H34" i="29"/>
  <c r="H33" i="29"/>
  <c r="H24" i="29"/>
  <c r="H13" i="29"/>
  <c r="H23" i="29"/>
  <c r="H32" i="29"/>
  <c r="H22" i="29"/>
  <c r="H20" i="29"/>
  <c r="H21" i="29"/>
  <c r="J4" i="29"/>
  <c r="I6" i="29"/>
  <c r="I9" i="29" s="1"/>
  <c r="W159" i="2"/>
  <c r="B160" i="2"/>
  <c r="G14" i="11"/>
  <c r="DN160" i="2"/>
  <c r="CP160" i="2"/>
  <c r="BR160" i="2"/>
  <c r="AT160" i="2"/>
  <c r="A160" i="2"/>
  <c r="DL160" i="2"/>
  <c r="CN160" i="2"/>
  <c r="BP160" i="2"/>
  <c r="AR160" i="2"/>
  <c r="DJ160" i="2"/>
  <c r="CL160" i="2"/>
  <c r="BN160" i="2"/>
  <c r="AP160" i="2"/>
  <c r="S160" i="2"/>
  <c r="T160" i="2" s="1"/>
  <c r="DH160" i="2"/>
  <c r="CJ160" i="2"/>
  <c r="BL160" i="2"/>
  <c r="AN160" i="2"/>
  <c r="DF160" i="2"/>
  <c r="CH160" i="2"/>
  <c r="BJ160" i="2"/>
  <c r="AL160" i="2"/>
  <c r="EB160" i="2"/>
  <c r="DD160" i="2"/>
  <c r="CF160" i="2"/>
  <c r="BH160" i="2"/>
  <c r="AJ160" i="2"/>
  <c r="DZ160" i="2"/>
  <c r="DB160" i="2"/>
  <c r="CD160" i="2"/>
  <c r="BF160" i="2"/>
  <c r="AH160" i="2"/>
  <c r="DX160" i="2"/>
  <c r="CZ160" i="2"/>
  <c r="CB160" i="2"/>
  <c r="BD160" i="2"/>
  <c r="DV160" i="2"/>
  <c r="CX160" i="2"/>
  <c r="BZ160" i="2"/>
  <c r="BB160" i="2"/>
  <c r="DT160" i="2"/>
  <c r="CV160" i="2"/>
  <c r="BX160" i="2"/>
  <c r="AZ160" i="2"/>
  <c r="DR160" i="2"/>
  <c r="CT160" i="2"/>
  <c r="BV160" i="2"/>
  <c r="AX160" i="2"/>
  <c r="DP160" i="2"/>
  <c r="CR160" i="2"/>
  <c r="BT160" i="2"/>
  <c r="AV160" i="2"/>
  <c r="AC161" i="2"/>
  <c r="AD161" i="2" s="1"/>
  <c r="E161" i="2"/>
  <c r="D161" i="2"/>
  <c r="V161" i="2"/>
  <c r="C162" i="2"/>
  <c r="G161" i="2"/>
  <c r="F161" i="2" l="1"/>
  <c r="AB161" i="2" s="1"/>
  <c r="I8" i="29"/>
  <c r="H26" i="29"/>
  <c r="H14" i="11"/>
  <c r="C14" i="11"/>
  <c r="E14" i="11" s="1"/>
  <c r="W160" i="2"/>
  <c r="B161" i="2"/>
  <c r="DV161" i="2"/>
  <c r="CX161" i="2"/>
  <c r="BZ161" i="2"/>
  <c r="BB161" i="2"/>
  <c r="DT161" i="2"/>
  <c r="CV161" i="2"/>
  <c r="BX161" i="2"/>
  <c r="AZ161" i="2"/>
  <c r="DR161" i="2"/>
  <c r="CT161" i="2"/>
  <c r="BV161" i="2"/>
  <c r="AX161" i="2"/>
  <c r="DP161" i="2"/>
  <c r="CR161" i="2"/>
  <c r="BT161" i="2"/>
  <c r="AV161" i="2"/>
  <c r="DN161" i="2"/>
  <c r="CP161" i="2"/>
  <c r="BR161" i="2"/>
  <c r="AT161" i="2"/>
  <c r="A161" i="2"/>
  <c r="DL161" i="2"/>
  <c r="CN161" i="2"/>
  <c r="BP161" i="2"/>
  <c r="AR161" i="2"/>
  <c r="DJ161" i="2"/>
  <c r="CL161" i="2"/>
  <c r="BN161" i="2"/>
  <c r="AP161" i="2"/>
  <c r="S161" i="2"/>
  <c r="T161" i="2" s="1"/>
  <c r="DH161" i="2"/>
  <c r="CJ161" i="2"/>
  <c r="BL161" i="2"/>
  <c r="AN161" i="2"/>
  <c r="DF161" i="2"/>
  <c r="CH161" i="2"/>
  <c r="BJ161" i="2"/>
  <c r="AL161" i="2"/>
  <c r="EB161" i="2"/>
  <c r="DD161" i="2"/>
  <c r="CF161" i="2"/>
  <c r="BH161" i="2"/>
  <c r="AJ161" i="2"/>
  <c r="DZ161" i="2"/>
  <c r="DB161" i="2"/>
  <c r="CD161" i="2"/>
  <c r="BF161" i="2"/>
  <c r="AH161" i="2"/>
  <c r="DX161" i="2"/>
  <c r="CZ161" i="2"/>
  <c r="CB161" i="2"/>
  <c r="BD161" i="2"/>
  <c r="I30" i="29"/>
  <c r="I31" i="29" s="1"/>
  <c r="I18" i="29"/>
  <c r="I39" i="29"/>
  <c r="I17" i="29"/>
  <c r="I11" i="29"/>
  <c r="I38" i="29"/>
  <c r="I16" i="29"/>
  <c r="I10" i="29"/>
  <c r="I15" i="29"/>
  <c r="I25" i="29"/>
  <c r="I14" i="29"/>
  <c r="I34" i="29"/>
  <c r="I33" i="29"/>
  <c r="I24" i="29"/>
  <c r="I13" i="29"/>
  <c r="I23" i="29"/>
  <c r="I32" i="29"/>
  <c r="I22" i="29"/>
  <c r="I20" i="29"/>
  <c r="I19" i="29"/>
  <c r="I21" i="29"/>
  <c r="G162" i="2"/>
  <c r="AC162" i="2"/>
  <c r="AD162" i="2" s="1"/>
  <c r="E162" i="2"/>
  <c r="D162" i="2"/>
  <c r="V162" i="2"/>
  <c r="C163" i="2"/>
  <c r="K4" i="29"/>
  <c r="J6" i="29"/>
  <c r="J9" i="29" s="1"/>
  <c r="F162" i="2" l="1"/>
  <c r="AB162" i="2" s="1"/>
  <c r="I26" i="29"/>
  <c r="I57" i="29" s="1"/>
  <c r="W161" i="2"/>
  <c r="B162" i="2"/>
  <c r="C164" i="2"/>
  <c r="G163" i="2"/>
  <c r="AC163" i="2"/>
  <c r="AD163" i="2" s="1"/>
  <c r="E163" i="2"/>
  <c r="D163" i="2"/>
  <c r="V163" i="2"/>
  <c r="DF162" i="2"/>
  <c r="CH162" i="2"/>
  <c r="BJ162" i="2"/>
  <c r="AL162" i="2"/>
  <c r="EB162" i="2"/>
  <c r="DD162" i="2"/>
  <c r="CF162" i="2"/>
  <c r="BH162" i="2"/>
  <c r="AJ162" i="2"/>
  <c r="DZ162" i="2"/>
  <c r="DB162" i="2"/>
  <c r="CD162" i="2"/>
  <c r="BF162" i="2"/>
  <c r="AH162" i="2"/>
  <c r="DX162" i="2"/>
  <c r="CZ162" i="2"/>
  <c r="CB162" i="2"/>
  <c r="BD162" i="2"/>
  <c r="DV162" i="2"/>
  <c r="CX162" i="2"/>
  <c r="BZ162" i="2"/>
  <c r="BB162" i="2"/>
  <c r="DT162" i="2"/>
  <c r="CV162" i="2"/>
  <c r="BX162" i="2"/>
  <c r="AZ162" i="2"/>
  <c r="DR162" i="2"/>
  <c r="CT162" i="2"/>
  <c r="BV162" i="2"/>
  <c r="AX162" i="2"/>
  <c r="DP162" i="2"/>
  <c r="CR162" i="2"/>
  <c r="BT162" i="2"/>
  <c r="AV162" i="2"/>
  <c r="DN162" i="2"/>
  <c r="CP162" i="2"/>
  <c r="BR162" i="2"/>
  <c r="AT162" i="2"/>
  <c r="A162" i="2"/>
  <c r="DL162" i="2"/>
  <c r="CN162" i="2"/>
  <c r="BP162" i="2"/>
  <c r="AR162" i="2"/>
  <c r="DJ162" i="2"/>
  <c r="CL162" i="2"/>
  <c r="BN162" i="2"/>
  <c r="AP162" i="2"/>
  <c r="S162" i="2"/>
  <c r="T162" i="2" s="1"/>
  <c r="DH162" i="2"/>
  <c r="CJ162" i="2"/>
  <c r="BL162" i="2"/>
  <c r="AN162" i="2"/>
  <c r="J8" i="29"/>
  <c r="J39" i="29"/>
  <c r="J17" i="29"/>
  <c r="J11" i="29"/>
  <c r="J38" i="29"/>
  <c r="J16" i="29"/>
  <c r="J10" i="29"/>
  <c r="J15" i="29"/>
  <c r="J25" i="29"/>
  <c r="J14" i="29"/>
  <c r="J34" i="29"/>
  <c r="J12" i="29"/>
  <c r="J33" i="29"/>
  <c r="J24" i="29"/>
  <c r="J13" i="29"/>
  <c r="J23" i="29"/>
  <c r="J32" i="29"/>
  <c r="J22" i="29"/>
  <c r="J20" i="29"/>
  <c r="J19" i="29"/>
  <c r="J30" i="29"/>
  <c r="J31" i="29" s="1"/>
  <c r="J18" i="29"/>
  <c r="J21" i="29"/>
  <c r="H57" i="29"/>
  <c r="L4" i="29"/>
  <c r="K6" i="29"/>
  <c r="F163" i="2" l="1"/>
  <c r="AB163" i="2" s="1"/>
  <c r="J26" i="29"/>
  <c r="J57" i="29" s="1"/>
  <c r="W162" i="2"/>
  <c r="B163" i="2"/>
  <c r="DN163" i="2"/>
  <c r="CP163" i="2"/>
  <c r="BR163" i="2"/>
  <c r="AT163" i="2"/>
  <c r="A163" i="2"/>
  <c r="DL163" i="2"/>
  <c r="CN163" i="2"/>
  <c r="BP163" i="2"/>
  <c r="AR163" i="2"/>
  <c r="DJ163" i="2"/>
  <c r="CL163" i="2"/>
  <c r="BN163" i="2"/>
  <c r="AP163" i="2"/>
  <c r="S163" i="2"/>
  <c r="T163" i="2" s="1"/>
  <c r="DH163" i="2"/>
  <c r="CJ163" i="2"/>
  <c r="BL163" i="2"/>
  <c r="AN163" i="2"/>
  <c r="DF163" i="2"/>
  <c r="CH163" i="2"/>
  <c r="BJ163" i="2"/>
  <c r="AL163" i="2"/>
  <c r="EB163" i="2"/>
  <c r="DD163" i="2"/>
  <c r="CF163" i="2"/>
  <c r="BH163" i="2"/>
  <c r="AJ163" i="2"/>
  <c r="DZ163" i="2"/>
  <c r="DB163" i="2"/>
  <c r="CD163" i="2"/>
  <c r="BF163" i="2"/>
  <c r="AH163" i="2"/>
  <c r="DX163" i="2"/>
  <c r="CZ163" i="2"/>
  <c r="CB163" i="2"/>
  <c r="BD163" i="2"/>
  <c r="DV163" i="2"/>
  <c r="CX163" i="2"/>
  <c r="BZ163" i="2"/>
  <c r="BB163" i="2"/>
  <c r="DT163" i="2"/>
  <c r="CV163" i="2"/>
  <c r="BX163" i="2"/>
  <c r="AZ163" i="2"/>
  <c r="DR163" i="2"/>
  <c r="CT163" i="2"/>
  <c r="BV163" i="2"/>
  <c r="AX163" i="2"/>
  <c r="DP163" i="2"/>
  <c r="CR163" i="2"/>
  <c r="BT163" i="2"/>
  <c r="AV163" i="2"/>
  <c r="K38" i="29"/>
  <c r="K16" i="29"/>
  <c r="K10" i="29"/>
  <c r="K15" i="29"/>
  <c r="K25" i="29"/>
  <c r="K14" i="29"/>
  <c r="K34" i="29"/>
  <c r="K12" i="29"/>
  <c r="N12" i="29" s="1"/>
  <c r="K33" i="29"/>
  <c r="K24" i="29"/>
  <c r="K13" i="29"/>
  <c r="K23" i="29"/>
  <c r="K32" i="29"/>
  <c r="K22" i="29"/>
  <c r="K20" i="29"/>
  <c r="K19" i="29"/>
  <c r="K30" i="29"/>
  <c r="K31" i="29" s="1"/>
  <c r="K18" i="29"/>
  <c r="K17" i="29"/>
  <c r="K39" i="29"/>
  <c r="K11" i="29"/>
  <c r="K21" i="29"/>
  <c r="AC164" i="2"/>
  <c r="AD164" i="2" s="1"/>
  <c r="E164" i="2"/>
  <c r="D164" i="2"/>
  <c r="F164" i="2" s="1"/>
  <c r="AB164" i="2" s="1"/>
  <c r="V164" i="2"/>
  <c r="C165" i="2"/>
  <c r="G164" i="2"/>
  <c r="M4" i="29"/>
  <c r="L6" i="29"/>
  <c r="L9" i="29" s="1"/>
  <c r="K8" i="29"/>
  <c r="K9" i="29"/>
  <c r="H15" i="9"/>
  <c r="I15" i="9"/>
  <c r="K26" i="29" l="1"/>
  <c r="K57" i="29" s="1"/>
  <c r="L8" i="29"/>
  <c r="DV164" i="2"/>
  <c r="CX164" i="2"/>
  <c r="BZ164" i="2"/>
  <c r="BB164" i="2"/>
  <c r="DT164" i="2"/>
  <c r="CV164" i="2"/>
  <c r="BX164" i="2"/>
  <c r="AZ164" i="2"/>
  <c r="DR164" i="2"/>
  <c r="CT164" i="2"/>
  <c r="BV164" i="2"/>
  <c r="AX164" i="2"/>
  <c r="DP164" i="2"/>
  <c r="CR164" i="2"/>
  <c r="BT164" i="2"/>
  <c r="AV164" i="2"/>
  <c r="DN164" i="2"/>
  <c r="CP164" i="2"/>
  <c r="BR164" i="2"/>
  <c r="AT164" i="2"/>
  <c r="A164" i="2"/>
  <c r="DL164" i="2"/>
  <c r="CN164" i="2"/>
  <c r="BP164" i="2"/>
  <c r="AR164" i="2"/>
  <c r="DJ164" i="2"/>
  <c r="CL164" i="2"/>
  <c r="BN164" i="2"/>
  <c r="AP164" i="2"/>
  <c r="S164" i="2"/>
  <c r="T164" i="2" s="1"/>
  <c r="DH164" i="2"/>
  <c r="CJ164" i="2"/>
  <c r="BL164" i="2"/>
  <c r="AN164" i="2"/>
  <c r="DF164" i="2"/>
  <c r="CH164" i="2"/>
  <c r="BJ164" i="2"/>
  <c r="AL164" i="2"/>
  <c r="EB164" i="2"/>
  <c r="DD164" i="2"/>
  <c r="CF164" i="2"/>
  <c r="BH164" i="2"/>
  <c r="AJ164" i="2"/>
  <c r="DZ164" i="2"/>
  <c r="DB164" i="2"/>
  <c r="CD164" i="2"/>
  <c r="BF164" i="2"/>
  <c r="AH164" i="2"/>
  <c r="DX164" i="2"/>
  <c r="CZ164" i="2"/>
  <c r="CB164" i="2"/>
  <c r="BD164" i="2"/>
  <c r="W163" i="2"/>
  <c r="B164" i="2"/>
  <c r="AC165" i="2"/>
  <c r="AD165" i="2" s="1"/>
  <c r="G165" i="2"/>
  <c r="E165" i="2"/>
  <c r="D165" i="2"/>
  <c r="C166" i="2"/>
  <c r="V165" i="2"/>
  <c r="L15" i="29"/>
  <c r="L25" i="29"/>
  <c r="L14" i="29"/>
  <c r="L34" i="29"/>
  <c r="L33" i="29"/>
  <c r="L24" i="29"/>
  <c r="L13" i="29"/>
  <c r="L23" i="29"/>
  <c r="L32" i="29"/>
  <c r="L22" i="29"/>
  <c r="L20" i="29"/>
  <c r="L19" i="29"/>
  <c r="L30" i="29"/>
  <c r="L31" i="29" s="1"/>
  <c r="L18" i="29"/>
  <c r="L39" i="29"/>
  <c r="L17" i="29"/>
  <c r="L11" i="29"/>
  <c r="L16" i="29"/>
  <c r="L38" i="29"/>
  <c r="L10" i="29"/>
  <c r="L21" i="29"/>
  <c r="B4" i="30"/>
  <c r="M6" i="29"/>
  <c r="M9" i="29" s="1"/>
  <c r="N9" i="29" s="1"/>
  <c r="F165" i="2" l="1"/>
  <c r="AB165" i="2" s="1"/>
  <c r="L26" i="29"/>
  <c r="L57" i="29" s="1"/>
  <c r="DZ165" i="2"/>
  <c r="DB165" i="2"/>
  <c r="CD165" i="2"/>
  <c r="BF165" i="2"/>
  <c r="AH165" i="2"/>
  <c r="DX165" i="2"/>
  <c r="CZ165" i="2"/>
  <c r="CB165" i="2"/>
  <c r="BD165" i="2"/>
  <c r="DV165" i="2"/>
  <c r="CX165" i="2"/>
  <c r="BZ165" i="2"/>
  <c r="BB165" i="2"/>
  <c r="DT165" i="2"/>
  <c r="CV165" i="2"/>
  <c r="BX165" i="2"/>
  <c r="AZ165" i="2"/>
  <c r="DR165" i="2"/>
  <c r="CT165" i="2"/>
  <c r="BV165" i="2"/>
  <c r="AX165" i="2"/>
  <c r="DP165" i="2"/>
  <c r="CR165" i="2"/>
  <c r="BT165" i="2"/>
  <c r="AV165" i="2"/>
  <c r="DN165" i="2"/>
  <c r="CP165" i="2"/>
  <c r="BR165" i="2"/>
  <c r="AT165" i="2"/>
  <c r="DL165" i="2"/>
  <c r="CN165" i="2"/>
  <c r="BP165" i="2"/>
  <c r="AR165" i="2"/>
  <c r="DJ165" i="2"/>
  <c r="CL165" i="2"/>
  <c r="BN165" i="2"/>
  <c r="AP165" i="2"/>
  <c r="A165" i="2"/>
  <c r="DH165" i="2"/>
  <c r="CJ165" i="2"/>
  <c r="BL165" i="2"/>
  <c r="AN165" i="2"/>
  <c r="DF165" i="2"/>
  <c r="CH165" i="2"/>
  <c r="BJ165" i="2"/>
  <c r="AL165" i="2"/>
  <c r="S165" i="2"/>
  <c r="T165" i="2" s="1"/>
  <c r="EB165" i="2"/>
  <c r="DD165" i="2"/>
  <c r="CF165" i="2"/>
  <c r="BH165" i="2"/>
  <c r="AJ165" i="2"/>
  <c r="C4" i="30"/>
  <c r="B6" i="30"/>
  <c r="W164" i="2"/>
  <c r="B165" i="2"/>
  <c r="G166" i="2"/>
  <c r="AC166" i="2"/>
  <c r="AD166" i="2" s="1"/>
  <c r="E166" i="2"/>
  <c r="D166" i="2"/>
  <c r="F166" i="2" s="1"/>
  <c r="AB166" i="2" s="1"/>
  <c r="V166" i="2"/>
  <c r="C167" i="2"/>
  <c r="M25" i="29"/>
  <c r="N25" i="29" s="1"/>
  <c r="M14" i="29"/>
  <c r="N14" i="29" s="1"/>
  <c r="M34" i="29"/>
  <c r="N34" i="29" s="1"/>
  <c r="M33" i="29"/>
  <c r="N33" i="29" s="1"/>
  <c r="M24" i="29"/>
  <c r="N24" i="29" s="1"/>
  <c r="M13" i="29"/>
  <c r="N13" i="29" s="1"/>
  <c r="M23" i="29"/>
  <c r="N23" i="29" s="1"/>
  <c r="M32" i="29"/>
  <c r="N32" i="29" s="1"/>
  <c r="M22" i="29"/>
  <c r="N22" i="29" s="1"/>
  <c r="M20" i="29"/>
  <c r="N20" i="29" s="1"/>
  <c r="M19" i="29"/>
  <c r="N19" i="29" s="1"/>
  <c r="M30" i="29"/>
  <c r="N30" i="29" s="1"/>
  <c r="M18" i="29"/>
  <c r="N18" i="29" s="1"/>
  <c r="M39" i="29"/>
  <c r="N39" i="29" s="1"/>
  <c r="M17" i="29"/>
  <c r="N17" i="29" s="1"/>
  <c r="M11" i="29"/>
  <c r="N11" i="29" s="1"/>
  <c r="M38" i="29"/>
  <c r="N38" i="29" s="1"/>
  <c r="M16" i="29"/>
  <c r="N16" i="29" s="1"/>
  <c r="M10" i="29"/>
  <c r="N10" i="29" s="1"/>
  <c r="M15" i="29"/>
  <c r="N15" i="29" s="1"/>
  <c r="N6" i="29"/>
  <c r="M21" i="29"/>
  <c r="N21" i="29" s="1"/>
  <c r="M8" i="29"/>
  <c r="N8" i="29" s="1"/>
  <c r="I15" i="8"/>
  <c r="L15" i="9"/>
  <c r="K15" i="9"/>
  <c r="F15" i="9"/>
  <c r="J15" i="9"/>
  <c r="O15" i="8"/>
  <c r="G15" i="9"/>
  <c r="M15" i="9"/>
  <c r="F15" i="8"/>
  <c r="L15" i="8"/>
  <c r="N15" i="9"/>
  <c r="N15" i="8" l="1"/>
  <c r="K15" i="8"/>
  <c r="Q15" i="8"/>
  <c r="B8" i="30"/>
  <c r="B7" i="30"/>
  <c r="M31" i="29"/>
  <c r="N31" i="29" s="1"/>
  <c r="B9" i="30"/>
  <c r="O15" i="9"/>
  <c r="P15" i="9" s="1"/>
  <c r="P15" i="8"/>
  <c r="J15" i="8"/>
  <c r="M15" i="8"/>
  <c r="H15" i="8"/>
  <c r="G15" i="8"/>
  <c r="R15" i="8"/>
  <c r="S15" i="8" s="1"/>
  <c r="C168" i="2"/>
  <c r="G167" i="2"/>
  <c r="AC167" i="2"/>
  <c r="AD167" i="2" s="1"/>
  <c r="E167" i="2"/>
  <c r="D167" i="2"/>
  <c r="F167" i="2" s="1"/>
  <c r="AB167" i="2" s="1"/>
  <c r="V167" i="2"/>
  <c r="W165" i="2"/>
  <c r="B166" i="2"/>
  <c r="D4" i="30"/>
  <c r="C6" i="30"/>
  <c r="M26" i="29"/>
  <c r="DF166" i="2"/>
  <c r="CH166" i="2"/>
  <c r="BJ166" i="2"/>
  <c r="AN166" i="2"/>
  <c r="EB166" i="2"/>
  <c r="DD166" i="2"/>
  <c r="CF166" i="2"/>
  <c r="BH166" i="2"/>
  <c r="AL166" i="2"/>
  <c r="DZ166" i="2"/>
  <c r="DB166" i="2"/>
  <c r="CD166" i="2"/>
  <c r="BF166" i="2"/>
  <c r="AJ166" i="2"/>
  <c r="DX166" i="2"/>
  <c r="CZ166" i="2"/>
  <c r="CB166" i="2"/>
  <c r="BD166" i="2"/>
  <c r="AH166" i="2"/>
  <c r="DV166" i="2"/>
  <c r="CX166" i="2"/>
  <c r="BZ166" i="2"/>
  <c r="BB166" i="2"/>
  <c r="DT166" i="2"/>
  <c r="CV166" i="2"/>
  <c r="BX166" i="2"/>
  <c r="AZ166" i="2"/>
  <c r="DR166" i="2"/>
  <c r="CT166" i="2"/>
  <c r="BV166" i="2"/>
  <c r="AX166" i="2"/>
  <c r="DP166" i="2"/>
  <c r="CR166" i="2"/>
  <c r="BT166" i="2"/>
  <c r="AV166" i="2"/>
  <c r="DN166" i="2"/>
  <c r="CP166" i="2"/>
  <c r="BR166" i="2"/>
  <c r="AT166" i="2"/>
  <c r="DL166" i="2"/>
  <c r="CN166" i="2"/>
  <c r="BP166" i="2"/>
  <c r="AR166" i="2"/>
  <c r="A166" i="2"/>
  <c r="DJ166" i="2"/>
  <c r="CL166" i="2"/>
  <c r="BN166" i="2"/>
  <c r="AP166" i="2"/>
  <c r="DH166" i="2"/>
  <c r="CJ166" i="2"/>
  <c r="BL166" i="2"/>
  <c r="S166" i="2"/>
  <c r="T166" i="2" s="1"/>
  <c r="B23" i="30"/>
  <c r="B32" i="30"/>
  <c r="B21" i="30"/>
  <c r="B20" i="30"/>
  <c r="B19" i="30"/>
  <c r="B30" i="30"/>
  <c r="B31" i="30" s="1"/>
  <c r="B18" i="30"/>
  <c r="B12" i="30"/>
  <c r="B39" i="30"/>
  <c r="B17" i="30"/>
  <c r="B11" i="30"/>
  <c r="B38" i="30"/>
  <c r="B16" i="30"/>
  <c r="B10" i="30"/>
  <c r="B15" i="30"/>
  <c r="B25" i="30"/>
  <c r="B14" i="30"/>
  <c r="B34" i="30"/>
  <c r="B24" i="30"/>
  <c r="B13" i="30"/>
  <c r="B33" i="30"/>
  <c r="E15" i="8"/>
  <c r="E15" i="9"/>
  <c r="B15" i="8"/>
  <c r="B15" i="9"/>
  <c r="N26" i="29" l="1"/>
  <c r="M57" i="29"/>
  <c r="C32" i="30"/>
  <c r="C22" i="30"/>
  <c r="C21" i="30"/>
  <c r="C20" i="30"/>
  <c r="C19" i="30"/>
  <c r="C30" i="30"/>
  <c r="C31" i="30" s="1"/>
  <c r="C18" i="30"/>
  <c r="C12" i="30"/>
  <c r="C39" i="30"/>
  <c r="C17" i="30"/>
  <c r="C11" i="30"/>
  <c r="C38" i="30"/>
  <c r="C16" i="30"/>
  <c r="C10" i="30"/>
  <c r="C15" i="30"/>
  <c r="C25" i="30"/>
  <c r="C14" i="30"/>
  <c r="C34" i="30"/>
  <c r="C33" i="30"/>
  <c r="C24" i="30"/>
  <c r="C13" i="30"/>
  <c r="C23" i="30"/>
  <c r="DN167" i="2"/>
  <c r="CP167" i="2"/>
  <c r="BR167" i="2"/>
  <c r="AT167" i="2"/>
  <c r="A167" i="2"/>
  <c r="DL167" i="2"/>
  <c r="CN167" i="2"/>
  <c r="BP167" i="2"/>
  <c r="AR167" i="2"/>
  <c r="DJ167" i="2"/>
  <c r="CL167" i="2"/>
  <c r="BN167" i="2"/>
  <c r="AP167" i="2"/>
  <c r="S167" i="2"/>
  <c r="T167" i="2" s="1"/>
  <c r="DH167" i="2"/>
  <c r="CJ167" i="2"/>
  <c r="BL167" i="2"/>
  <c r="AN167" i="2"/>
  <c r="DF167" i="2"/>
  <c r="CH167" i="2"/>
  <c r="BJ167" i="2"/>
  <c r="AL167" i="2"/>
  <c r="EB167" i="2"/>
  <c r="DD167" i="2"/>
  <c r="CF167" i="2"/>
  <c r="BH167" i="2"/>
  <c r="AJ167" i="2"/>
  <c r="DZ167" i="2"/>
  <c r="DB167" i="2"/>
  <c r="CD167" i="2"/>
  <c r="BF167" i="2"/>
  <c r="AH167" i="2"/>
  <c r="DX167" i="2"/>
  <c r="CZ167" i="2"/>
  <c r="CB167" i="2"/>
  <c r="BD167" i="2"/>
  <c r="DV167" i="2"/>
  <c r="CX167" i="2"/>
  <c r="BZ167" i="2"/>
  <c r="BB167" i="2"/>
  <c r="DT167" i="2"/>
  <c r="CV167" i="2"/>
  <c r="BX167" i="2"/>
  <c r="AZ167" i="2"/>
  <c r="DR167" i="2"/>
  <c r="CT167" i="2"/>
  <c r="BV167" i="2"/>
  <c r="AX167" i="2"/>
  <c r="DP167" i="2"/>
  <c r="CR167" i="2"/>
  <c r="BT167" i="2"/>
  <c r="AV167" i="2"/>
  <c r="AC168" i="2"/>
  <c r="AD168" i="2" s="1"/>
  <c r="E168" i="2"/>
  <c r="D168" i="2"/>
  <c r="V168" i="2"/>
  <c r="C169" i="2"/>
  <c r="G168" i="2"/>
  <c r="C8" i="30"/>
  <c r="C9" i="30"/>
  <c r="E4" i="30"/>
  <c r="D6" i="30"/>
  <c r="B26" i="30"/>
  <c r="W166" i="2"/>
  <c r="B167" i="2"/>
  <c r="F15" i="12"/>
  <c r="F15" i="4"/>
  <c r="F15" i="3"/>
  <c r="G15" i="10"/>
  <c r="F168" i="2" l="1"/>
  <c r="AB168" i="2" s="1"/>
  <c r="C26" i="30"/>
  <c r="C57" i="30" s="1"/>
  <c r="H15" i="12"/>
  <c r="G15" i="12"/>
  <c r="H15" i="3"/>
  <c r="G15" i="3"/>
  <c r="D20" i="30"/>
  <c r="D19" i="30"/>
  <c r="D30" i="30"/>
  <c r="D18" i="30"/>
  <c r="D39" i="30"/>
  <c r="D17" i="30"/>
  <c r="D11" i="30"/>
  <c r="D38" i="30"/>
  <c r="D16" i="30"/>
  <c r="D10" i="30"/>
  <c r="D15" i="30"/>
  <c r="D25" i="30"/>
  <c r="D14" i="30"/>
  <c r="D34" i="30"/>
  <c r="D33" i="30"/>
  <c r="D24" i="30"/>
  <c r="D13" i="30"/>
  <c r="D23" i="30"/>
  <c r="D22" i="30"/>
  <c r="D32" i="30"/>
  <c r="D21" i="30"/>
  <c r="G169" i="2"/>
  <c r="AC169" i="2"/>
  <c r="AD169" i="2" s="1"/>
  <c r="E169" i="2"/>
  <c r="D169" i="2"/>
  <c r="F169" i="2" s="1"/>
  <c r="AB169" i="2" s="1"/>
  <c r="V169" i="2"/>
  <c r="C170" i="2"/>
  <c r="W167" i="2"/>
  <c r="B168" i="2"/>
  <c r="D8" i="30"/>
  <c r="N57" i="29"/>
  <c r="B60" i="29"/>
  <c r="H60" i="29"/>
  <c r="B27" i="29"/>
  <c r="C27" i="29"/>
  <c r="D27" i="29"/>
  <c r="E27" i="29"/>
  <c r="F27" i="29"/>
  <c r="G27" i="29"/>
  <c r="H27" i="29"/>
  <c r="I27" i="29"/>
  <c r="J27" i="29"/>
  <c r="K27" i="29"/>
  <c r="L27" i="29"/>
  <c r="M27" i="29"/>
  <c r="F4" i="30"/>
  <c r="E6" i="30"/>
  <c r="E9" i="30" s="1"/>
  <c r="D9" i="30"/>
  <c r="B57" i="30"/>
  <c r="DV168" i="2"/>
  <c r="CX168" i="2"/>
  <c r="BZ168" i="2"/>
  <c r="BB168" i="2"/>
  <c r="DT168" i="2"/>
  <c r="CV168" i="2"/>
  <c r="BX168" i="2"/>
  <c r="AZ168" i="2"/>
  <c r="DR168" i="2"/>
  <c r="CT168" i="2"/>
  <c r="BV168" i="2"/>
  <c r="AX168" i="2"/>
  <c r="DP168" i="2"/>
  <c r="CR168" i="2"/>
  <c r="BT168" i="2"/>
  <c r="AV168" i="2"/>
  <c r="DN168" i="2"/>
  <c r="CP168" i="2"/>
  <c r="BR168" i="2"/>
  <c r="AT168" i="2"/>
  <c r="A168" i="2"/>
  <c r="DL168" i="2"/>
  <c r="CN168" i="2"/>
  <c r="BP168" i="2"/>
  <c r="AR168" i="2"/>
  <c r="DJ168" i="2"/>
  <c r="CL168" i="2"/>
  <c r="BN168" i="2"/>
  <c r="AP168" i="2"/>
  <c r="S168" i="2"/>
  <c r="T168" i="2" s="1"/>
  <c r="DH168" i="2"/>
  <c r="CJ168" i="2"/>
  <c r="BL168" i="2"/>
  <c r="AN168" i="2"/>
  <c r="DF168" i="2"/>
  <c r="CH168" i="2"/>
  <c r="BJ168" i="2"/>
  <c r="AL168" i="2"/>
  <c r="EB168" i="2"/>
  <c r="DD168" i="2"/>
  <c r="CF168" i="2"/>
  <c r="BH168" i="2"/>
  <c r="AJ168" i="2"/>
  <c r="DZ168" i="2"/>
  <c r="DB168" i="2"/>
  <c r="CD168" i="2"/>
  <c r="BF168" i="2"/>
  <c r="AH168" i="2"/>
  <c r="DX168" i="2"/>
  <c r="CZ168" i="2"/>
  <c r="CB168" i="2"/>
  <c r="BD168" i="2"/>
  <c r="E15" i="12"/>
  <c r="C15" i="10"/>
  <c r="B15" i="4"/>
  <c r="H15" i="4"/>
  <c r="F15" i="10"/>
  <c r="I15" i="4"/>
  <c r="B15" i="3"/>
  <c r="K15" i="4"/>
  <c r="G15" i="4"/>
  <c r="B15" i="12"/>
  <c r="J15" i="4"/>
  <c r="E15" i="4"/>
  <c r="O15" i="3"/>
  <c r="E15" i="3"/>
  <c r="D26" i="30" l="1"/>
  <c r="E8" i="30"/>
  <c r="O15" i="4"/>
  <c r="P15" i="4" s="1"/>
  <c r="V15" i="11" s="1"/>
  <c r="E15" i="5"/>
  <c r="E15" i="7"/>
  <c r="E15" i="6"/>
  <c r="C15" i="3"/>
  <c r="B15" i="5"/>
  <c r="B15" i="7"/>
  <c r="B15" i="6"/>
  <c r="C15" i="4"/>
  <c r="D57" i="30"/>
  <c r="E28" i="29"/>
  <c r="E58" i="29" s="1"/>
  <c r="E59" i="29" s="1"/>
  <c r="D28" i="29"/>
  <c r="D58" i="29" s="1"/>
  <c r="D59" i="29" s="1"/>
  <c r="C28" i="29"/>
  <c r="C58" i="29" s="1"/>
  <c r="C59" i="29" s="1"/>
  <c r="N27" i="29"/>
  <c r="B28" i="29"/>
  <c r="B58" i="29" s="1"/>
  <c r="C171" i="2"/>
  <c r="G170" i="2"/>
  <c r="AC170" i="2"/>
  <c r="AD170" i="2" s="1"/>
  <c r="E170" i="2"/>
  <c r="D170" i="2"/>
  <c r="V170" i="2"/>
  <c r="M28" i="29"/>
  <c r="M58" i="29" s="1"/>
  <c r="M59" i="29" s="1"/>
  <c r="W168" i="2"/>
  <c r="B169" i="2"/>
  <c r="L28" i="29"/>
  <c r="L58" i="29" s="1"/>
  <c r="L59" i="29" s="1"/>
  <c r="K28" i="29"/>
  <c r="K58" i="29" s="1"/>
  <c r="K59" i="29" s="1"/>
  <c r="I28" i="29"/>
  <c r="I58" i="29" s="1"/>
  <c r="I59" i="29" s="1"/>
  <c r="DF169" i="2"/>
  <c r="CH169" i="2"/>
  <c r="BJ169" i="2"/>
  <c r="AL169" i="2"/>
  <c r="EB169" i="2"/>
  <c r="DD169" i="2"/>
  <c r="CF169" i="2"/>
  <c r="BH169" i="2"/>
  <c r="AJ169" i="2"/>
  <c r="DZ169" i="2"/>
  <c r="DB169" i="2"/>
  <c r="CD169" i="2"/>
  <c r="BF169" i="2"/>
  <c r="AH169" i="2"/>
  <c r="DX169" i="2"/>
  <c r="CZ169" i="2"/>
  <c r="CB169" i="2"/>
  <c r="BD169" i="2"/>
  <c r="DV169" i="2"/>
  <c r="CX169" i="2"/>
  <c r="BZ169" i="2"/>
  <c r="BB169" i="2"/>
  <c r="DT169" i="2"/>
  <c r="CV169" i="2"/>
  <c r="BX169" i="2"/>
  <c r="AZ169" i="2"/>
  <c r="DR169" i="2"/>
  <c r="CT169" i="2"/>
  <c r="BV169" i="2"/>
  <c r="AX169" i="2"/>
  <c r="DP169" i="2"/>
  <c r="CR169" i="2"/>
  <c r="BT169" i="2"/>
  <c r="AV169" i="2"/>
  <c r="DN169" i="2"/>
  <c r="CP169" i="2"/>
  <c r="BR169" i="2"/>
  <c r="AT169" i="2"/>
  <c r="A169" i="2"/>
  <c r="DL169" i="2"/>
  <c r="CN169" i="2"/>
  <c r="BP169" i="2"/>
  <c r="AR169" i="2"/>
  <c r="DJ169" i="2"/>
  <c r="CL169" i="2"/>
  <c r="BN169" i="2"/>
  <c r="AP169" i="2"/>
  <c r="S169" i="2"/>
  <c r="T169" i="2" s="1"/>
  <c r="DH169" i="2"/>
  <c r="CJ169" i="2"/>
  <c r="BL169" i="2"/>
  <c r="AN169" i="2"/>
  <c r="G4" i="30"/>
  <c r="F6" i="30"/>
  <c r="F9" i="30" s="1"/>
  <c r="H28" i="29"/>
  <c r="J28" i="29"/>
  <c r="J58" i="29" s="1"/>
  <c r="J59" i="29" s="1"/>
  <c r="E19" i="30"/>
  <c r="E30" i="30"/>
  <c r="E18" i="30"/>
  <c r="E39" i="30"/>
  <c r="E17" i="30"/>
  <c r="E11" i="30"/>
  <c r="E38" i="30"/>
  <c r="E16" i="30"/>
  <c r="E10" i="30"/>
  <c r="E15" i="30"/>
  <c r="E25" i="30"/>
  <c r="E14" i="30"/>
  <c r="E34" i="30"/>
  <c r="E33" i="30"/>
  <c r="E24" i="30"/>
  <c r="E13" i="30"/>
  <c r="E23" i="30"/>
  <c r="E32" i="30"/>
  <c r="E22" i="30"/>
  <c r="E20" i="30"/>
  <c r="E21" i="30"/>
  <c r="G28" i="29"/>
  <c r="G58" i="29" s="1"/>
  <c r="G59" i="29" s="1"/>
  <c r="D31" i="30"/>
  <c r="F28" i="29"/>
  <c r="F58" i="29" s="1"/>
  <c r="F59" i="29" s="1"/>
  <c r="H15" i="10"/>
  <c r="J15" i="10" l="1"/>
  <c r="K15" i="10" s="1"/>
  <c r="I15" i="10"/>
  <c r="H58" i="29"/>
  <c r="H59" i="29" s="1"/>
  <c r="W169" i="2"/>
  <c r="B170" i="2"/>
  <c r="F170" i="2"/>
  <c r="AB170" i="2" s="1"/>
  <c r="H4" i="30"/>
  <c r="G6" i="30"/>
  <c r="D15" i="11"/>
  <c r="J15" i="11" s="1"/>
  <c r="D15" i="5"/>
  <c r="D15" i="6" s="1"/>
  <c r="E26" i="30"/>
  <c r="DN170" i="2"/>
  <c r="CP170" i="2"/>
  <c r="BR170" i="2"/>
  <c r="AT170" i="2"/>
  <c r="A170" i="2"/>
  <c r="DL170" i="2"/>
  <c r="CN170" i="2"/>
  <c r="BP170" i="2"/>
  <c r="AR170" i="2"/>
  <c r="DJ170" i="2"/>
  <c r="CL170" i="2"/>
  <c r="BN170" i="2"/>
  <c r="AP170" i="2"/>
  <c r="S170" i="2"/>
  <c r="T170" i="2" s="1"/>
  <c r="DH170" i="2"/>
  <c r="CJ170" i="2"/>
  <c r="BL170" i="2"/>
  <c r="AN170" i="2"/>
  <c r="DF170" i="2"/>
  <c r="CH170" i="2"/>
  <c r="BJ170" i="2"/>
  <c r="AL170" i="2"/>
  <c r="EB170" i="2"/>
  <c r="DD170" i="2"/>
  <c r="CF170" i="2"/>
  <c r="BH170" i="2"/>
  <c r="AJ170" i="2"/>
  <c r="DZ170" i="2"/>
  <c r="DB170" i="2"/>
  <c r="CD170" i="2"/>
  <c r="BF170" i="2"/>
  <c r="AH170" i="2"/>
  <c r="DX170" i="2"/>
  <c r="CZ170" i="2"/>
  <c r="CB170" i="2"/>
  <c r="BD170" i="2"/>
  <c r="DV170" i="2"/>
  <c r="CX170" i="2"/>
  <c r="BZ170" i="2"/>
  <c r="BB170" i="2"/>
  <c r="DT170" i="2"/>
  <c r="CV170" i="2"/>
  <c r="BX170" i="2"/>
  <c r="AZ170" i="2"/>
  <c r="DR170" i="2"/>
  <c r="CT170" i="2"/>
  <c r="BV170" i="2"/>
  <c r="AX170" i="2"/>
  <c r="DP170" i="2"/>
  <c r="CR170" i="2"/>
  <c r="BT170" i="2"/>
  <c r="AV170" i="2"/>
  <c r="E31" i="30"/>
  <c r="F8" i="30"/>
  <c r="AC171" i="2"/>
  <c r="AD171" i="2" s="1"/>
  <c r="E171" i="2"/>
  <c r="D171" i="2"/>
  <c r="V171" i="2"/>
  <c r="C172" i="2"/>
  <c r="G171" i="2"/>
  <c r="B59" i="29"/>
  <c r="N28" i="29"/>
  <c r="F30" i="30"/>
  <c r="F31" i="30" s="1"/>
  <c r="F18" i="30"/>
  <c r="F39" i="30"/>
  <c r="F17" i="30"/>
  <c r="F11" i="30"/>
  <c r="F38" i="30"/>
  <c r="F16" i="30"/>
  <c r="F10" i="30"/>
  <c r="F15" i="30"/>
  <c r="F25" i="30"/>
  <c r="F14" i="30"/>
  <c r="F34" i="30"/>
  <c r="F33" i="30"/>
  <c r="F24" i="30"/>
  <c r="F13" i="30"/>
  <c r="F23" i="30"/>
  <c r="F32" i="30"/>
  <c r="F22" i="30"/>
  <c r="F20" i="30"/>
  <c r="F19" i="30"/>
  <c r="F21" i="30"/>
  <c r="F171" i="2" l="1"/>
  <c r="AB171" i="2" s="1"/>
  <c r="N58" i="29"/>
  <c r="N59" i="29" s="1"/>
  <c r="F60" i="29" s="1"/>
  <c r="G60" i="29" s="1"/>
  <c r="P15" i="11"/>
  <c r="O15" i="11"/>
  <c r="L15" i="11"/>
  <c r="F26" i="30"/>
  <c r="F57" i="30" s="1"/>
  <c r="K15" i="11"/>
  <c r="M15" i="11"/>
  <c r="Q15" i="11"/>
  <c r="G39" i="30"/>
  <c r="G17" i="30"/>
  <c r="G11" i="30"/>
  <c r="G38" i="30"/>
  <c r="G16" i="30"/>
  <c r="G10" i="30"/>
  <c r="G15" i="30"/>
  <c r="G25" i="30"/>
  <c r="G14" i="30"/>
  <c r="G34" i="30"/>
  <c r="G33" i="30"/>
  <c r="G24" i="30"/>
  <c r="G13" i="30"/>
  <c r="G23" i="30"/>
  <c r="G32" i="30"/>
  <c r="G22" i="30"/>
  <c r="G20" i="30"/>
  <c r="G19" i="30"/>
  <c r="G30" i="30"/>
  <c r="G31" i="30" s="1"/>
  <c r="G18" i="30"/>
  <c r="G21" i="30"/>
  <c r="DV171" i="2"/>
  <c r="CX171" i="2"/>
  <c r="BZ171" i="2"/>
  <c r="BB171" i="2"/>
  <c r="DT171" i="2"/>
  <c r="CV171" i="2"/>
  <c r="BX171" i="2"/>
  <c r="AZ171" i="2"/>
  <c r="DR171" i="2"/>
  <c r="CT171" i="2"/>
  <c r="BV171" i="2"/>
  <c r="AX171" i="2"/>
  <c r="DP171" i="2"/>
  <c r="CR171" i="2"/>
  <c r="BT171" i="2"/>
  <c r="AV171" i="2"/>
  <c r="DN171" i="2"/>
  <c r="CP171" i="2"/>
  <c r="BR171" i="2"/>
  <c r="AT171" i="2"/>
  <c r="A171" i="2"/>
  <c r="DL171" i="2"/>
  <c r="CN171" i="2"/>
  <c r="BP171" i="2"/>
  <c r="AR171" i="2"/>
  <c r="DJ171" i="2"/>
  <c r="CL171" i="2"/>
  <c r="BN171" i="2"/>
  <c r="AP171" i="2"/>
  <c r="S171" i="2"/>
  <c r="T171" i="2" s="1"/>
  <c r="DH171" i="2"/>
  <c r="CJ171" i="2"/>
  <c r="BL171" i="2"/>
  <c r="AN171" i="2"/>
  <c r="DF171" i="2"/>
  <c r="CH171" i="2"/>
  <c r="BJ171" i="2"/>
  <c r="AL171" i="2"/>
  <c r="EB171" i="2"/>
  <c r="DD171" i="2"/>
  <c r="CF171" i="2"/>
  <c r="BH171" i="2"/>
  <c r="AJ171" i="2"/>
  <c r="DZ171" i="2"/>
  <c r="DB171" i="2"/>
  <c r="CD171" i="2"/>
  <c r="BF171" i="2"/>
  <c r="AH171" i="2"/>
  <c r="DX171" i="2"/>
  <c r="CZ171" i="2"/>
  <c r="CB171" i="2"/>
  <c r="BD171" i="2"/>
  <c r="R15" i="11"/>
  <c r="I4" i="30"/>
  <c r="H6" i="30"/>
  <c r="G172" i="2"/>
  <c r="AC172" i="2"/>
  <c r="AD172" i="2" s="1"/>
  <c r="E172" i="2"/>
  <c r="D172" i="2"/>
  <c r="V172" i="2"/>
  <c r="C173" i="2"/>
  <c r="W170" i="2"/>
  <c r="B171" i="2"/>
  <c r="S15" i="11"/>
  <c r="G8" i="30"/>
  <c r="G9" i="30"/>
  <c r="E57" i="30"/>
  <c r="T15" i="11"/>
  <c r="D15" i="7"/>
  <c r="D15" i="8" s="1"/>
  <c r="D15" i="9" s="1"/>
  <c r="D15" i="10" s="1"/>
  <c r="C15" i="12" s="1"/>
  <c r="R15" i="6"/>
  <c r="U15" i="11"/>
  <c r="N15" i="11"/>
  <c r="I60" i="29" l="1"/>
  <c r="H8" i="30"/>
  <c r="H7" i="30"/>
  <c r="N7" i="30" s="1"/>
  <c r="G26" i="30"/>
  <c r="G57" i="30" s="1"/>
  <c r="G15" i="11"/>
  <c r="C15" i="11" s="1"/>
  <c r="E15" i="11" s="1"/>
  <c r="DF172" i="2"/>
  <c r="CH172" i="2"/>
  <c r="BJ172" i="2"/>
  <c r="AL172" i="2"/>
  <c r="EB172" i="2"/>
  <c r="DD172" i="2"/>
  <c r="CF172" i="2"/>
  <c r="BH172" i="2"/>
  <c r="AJ172" i="2"/>
  <c r="DZ172" i="2"/>
  <c r="DB172" i="2"/>
  <c r="CD172" i="2"/>
  <c r="BF172" i="2"/>
  <c r="AH172" i="2"/>
  <c r="DX172" i="2"/>
  <c r="CZ172" i="2"/>
  <c r="CB172" i="2"/>
  <c r="BD172" i="2"/>
  <c r="DV172" i="2"/>
  <c r="CX172" i="2"/>
  <c r="BZ172" i="2"/>
  <c r="BB172" i="2"/>
  <c r="DT172" i="2"/>
  <c r="CV172" i="2"/>
  <c r="BX172" i="2"/>
  <c r="AZ172" i="2"/>
  <c r="DR172" i="2"/>
  <c r="CT172" i="2"/>
  <c r="BV172" i="2"/>
  <c r="AX172" i="2"/>
  <c r="DP172" i="2"/>
  <c r="CR172" i="2"/>
  <c r="BT172" i="2"/>
  <c r="AV172" i="2"/>
  <c r="DN172" i="2"/>
  <c r="CP172" i="2"/>
  <c r="BR172" i="2"/>
  <c r="AT172" i="2"/>
  <c r="A172" i="2"/>
  <c r="DL172" i="2"/>
  <c r="CN172" i="2"/>
  <c r="BP172" i="2"/>
  <c r="AR172" i="2"/>
  <c r="DJ172" i="2"/>
  <c r="CL172" i="2"/>
  <c r="BN172" i="2"/>
  <c r="AP172" i="2"/>
  <c r="S172" i="2"/>
  <c r="T172" i="2" s="1"/>
  <c r="DH172" i="2"/>
  <c r="CJ172" i="2"/>
  <c r="BL172" i="2"/>
  <c r="AN172" i="2"/>
  <c r="H38" i="30"/>
  <c r="H16" i="30"/>
  <c r="H10" i="30"/>
  <c r="H15" i="30"/>
  <c r="H25" i="30"/>
  <c r="H14" i="30"/>
  <c r="H34" i="30"/>
  <c r="H33" i="30"/>
  <c r="H24" i="30"/>
  <c r="H13" i="30"/>
  <c r="H23" i="30"/>
  <c r="H32" i="30"/>
  <c r="H22" i="30"/>
  <c r="H20" i="30"/>
  <c r="H19" i="30"/>
  <c r="H30" i="30"/>
  <c r="H31" i="30" s="1"/>
  <c r="H18" i="30"/>
  <c r="H39" i="30"/>
  <c r="H17" i="30"/>
  <c r="H11" i="30"/>
  <c r="H21" i="30"/>
  <c r="J4" i="30"/>
  <c r="I6" i="30"/>
  <c r="I8" i="30" s="1"/>
  <c r="H9" i="30"/>
  <c r="C174" i="2"/>
  <c r="G173" i="2"/>
  <c r="AC173" i="2"/>
  <c r="AD173" i="2" s="1"/>
  <c r="E173" i="2"/>
  <c r="D173" i="2"/>
  <c r="F173" i="2" s="1"/>
  <c r="AB173" i="2" s="1"/>
  <c r="V173" i="2"/>
  <c r="W171" i="2"/>
  <c r="B172" i="2"/>
  <c r="F172" i="2"/>
  <c r="AB172" i="2" s="1"/>
  <c r="H15" i="11" l="1"/>
  <c r="AC174" i="2"/>
  <c r="AD174" i="2" s="1"/>
  <c r="E174" i="2"/>
  <c r="D174" i="2"/>
  <c r="V174" i="2"/>
  <c r="C175" i="2"/>
  <c r="G174" i="2"/>
  <c r="I15" i="30"/>
  <c r="I25" i="30"/>
  <c r="I14" i="30"/>
  <c r="I34" i="30"/>
  <c r="I33" i="30"/>
  <c r="I24" i="30"/>
  <c r="I13" i="30"/>
  <c r="I23" i="30"/>
  <c r="I32" i="30"/>
  <c r="I22" i="30"/>
  <c r="I20" i="30"/>
  <c r="I19" i="30"/>
  <c r="I30" i="30"/>
  <c r="I31" i="30" s="1"/>
  <c r="I18" i="30"/>
  <c r="I39" i="30"/>
  <c r="I17" i="30"/>
  <c r="I11" i="30"/>
  <c r="I38" i="30"/>
  <c r="I16" i="30"/>
  <c r="I10" i="30"/>
  <c r="I21" i="30"/>
  <c r="K4" i="30"/>
  <c r="J6" i="30"/>
  <c r="J8" i="30" s="1"/>
  <c r="H26" i="30"/>
  <c r="W172" i="2"/>
  <c r="B173" i="2"/>
  <c r="I9" i="30"/>
  <c r="DN173" i="2"/>
  <c r="CP173" i="2"/>
  <c r="BR173" i="2"/>
  <c r="AT173" i="2"/>
  <c r="A173" i="2"/>
  <c r="DL173" i="2"/>
  <c r="CN173" i="2"/>
  <c r="BP173" i="2"/>
  <c r="AR173" i="2"/>
  <c r="DJ173" i="2"/>
  <c r="CL173" i="2"/>
  <c r="BN173" i="2"/>
  <c r="AP173" i="2"/>
  <c r="S173" i="2"/>
  <c r="T173" i="2" s="1"/>
  <c r="DH173" i="2"/>
  <c r="CJ173" i="2"/>
  <c r="BL173" i="2"/>
  <c r="AN173" i="2"/>
  <c r="DF173" i="2"/>
  <c r="CH173" i="2"/>
  <c r="BJ173" i="2"/>
  <c r="AL173" i="2"/>
  <c r="EB173" i="2"/>
  <c r="DD173" i="2"/>
  <c r="CF173" i="2"/>
  <c r="BH173" i="2"/>
  <c r="AJ173" i="2"/>
  <c r="DZ173" i="2"/>
  <c r="DB173" i="2"/>
  <c r="CD173" i="2"/>
  <c r="BF173" i="2"/>
  <c r="AH173" i="2"/>
  <c r="DX173" i="2"/>
  <c r="CZ173" i="2"/>
  <c r="CB173" i="2"/>
  <c r="BD173" i="2"/>
  <c r="DV173" i="2"/>
  <c r="CX173" i="2"/>
  <c r="BZ173" i="2"/>
  <c r="BB173" i="2"/>
  <c r="DT173" i="2"/>
  <c r="CV173" i="2"/>
  <c r="BX173" i="2"/>
  <c r="AZ173" i="2"/>
  <c r="DR173" i="2"/>
  <c r="CT173" i="2"/>
  <c r="BV173" i="2"/>
  <c r="AX173" i="2"/>
  <c r="DP173" i="2"/>
  <c r="CR173" i="2"/>
  <c r="BT173" i="2"/>
  <c r="AV173" i="2"/>
  <c r="F174" i="2" l="1"/>
  <c r="AB174" i="2" s="1"/>
  <c r="I26" i="30"/>
  <c r="I57" i="30" s="1"/>
  <c r="DV174" i="2"/>
  <c r="CX174" i="2"/>
  <c r="BZ174" i="2"/>
  <c r="BB174" i="2"/>
  <c r="DT174" i="2"/>
  <c r="CV174" i="2"/>
  <c r="BX174" i="2"/>
  <c r="AZ174" i="2"/>
  <c r="DR174" i="2"/>
  <c r="CT174" i="2"/>
  <c r="BV174" i="2"/>
  <c r="AX174" i="2"/>
  <c r="DP174" i="2"/>
  <c r="CR174" i="2"/>
  <c r="BT174" i="2"/>
  <c r="AV174" i="2"/>
  <c r="DN174" i="2"/>
  <c r="CP174" i="2"/>
  <c r="BR174" i="2"/>
  <c r="AT174" i="2"/>
  <c r="A174" i="2"/>
  <c r="DL174" i="2"/>
  <c r="CN174" i="2"/>
  <c r="BP174" i="2"/>
  <c r="AR174" i="2"/>
  <c r="DJ174" i="2"/>
  <c r="CL174" i="2"/>
  <c r="BN174" i="2"/>
  <c r="AP174" i="2"/>
  <c r="S174" i="2"/>
  <c r="T174" i="2" s="1"/>
  <c r="DH174" i="2"/>
  <c r="CJ174" i="2"/>
  <c r="BL174" i="2"/>
  <c r="AN174" i="2"/>
  <c r="DF174" i="2"/>
  <c r="CH174" i="2"/>
  <c r="BJ174" i="2"/>
  <c r="AL174" i="2"/>
  <c r="EB174" i="2"/>
  <c r="DD174" i="2"/>
  <c r="CF174" i="2"/>
  <c r="BH174" i="2"/>
  <c r="AJ174" i="2"/>
  <c r="DZ174" i="2"/>
  <c r="DB174" i="2"/>
  <c r="CD174" i="2"/>
  <c r="BF174" i="2"/>
  <c r="AH174" i="2"/>
  <c r="DX174" i="2"/>
  <c r="CZ174" i="2"/>
  <c r="CB174" i="2"/>
  <c r="BD174" i="2"/>
  <c r="G175" i="2"/>
  <c r="AC175" i="2"/>
  <c r="AD175" i="2" s="1"/>
  <c r="E175" i="2"/>
  <c r="D175" i="2"/>
  <c r="V175" i="2"/>
  <c r="C176" i="2"/>
  <c r="H57" i="30"/>
  <c r="W173" i="2"/>
  <c r="B174" i="2"/>
  <c r="J25" i="30"/>
  <c r="J14" i="30"/>
  <c r="J34" i="30"/>
  <c r="J12" i="30"/>
  <c r="J33" i="30"/>
  <c r="J24" i="30"/>
  <c r="J13" i="30"/>
  <c r="J23" i="30"/>
  <c r="J32" i="30"/>
  <c r="J22" i="30"/>
  <c r="J20" i="30"/>
  <c r="J19" i="30"/>
  <c r="J30" i="30"/>
  <c r="J31" i="30" s="1"/>
  <c r="J18" i="30"/>
  <c r="J39" i="30"/>
  <c r="J17" i="30"/>
  <c r="J11" i="30"/>
  <c r="J38" i="30"/>
  <c r="J16" i="30"/>
  <c r="J10" i="30"/>
  <c r="J15" i="30"/>
  <c r="J21" i="30"/>
  <c r="J9" i="30"/>
  <c r="L4" i="30"/>
  <c r="K6" i="30"/>
  <c r="K8" i="30" s="1"/>
  <c r="J26" i="30" l="1"/>
  <c r="J57" i="30" s="1"/>
  <c r="W174" i="2"/>
  <c r="B175" i="2"/>
  <c r="F175" i="2"/>
  <c r="AB175" i="2" s="1"/>
  <c r="DF175" i="2"/>
  <c r="CH175" i="2"/>
  <c r="BJ175" i="2"/>
  <c r="AL175" i="2"/>
  <c r="EB175" i="2"/>
  <c r="DD175" i="2"/>
  <c r="CF175" i="2"/>
  <c r="BH175" i="2"/>
  <c r="AJ175" i="2"/>
  <c r="DZ175" i="2"/>
  <c r="DB175" i="2"/>
  <c r="CD175" i="2"/>
  <c r="BF175" i="2"/>
  <c r="AH175" i="2"/>
  <c r="DX175" i="2"/>
  <c r="CZ175" i="2"/>
  <c r="CB175" i="2"/>
  <c r="BD175" i="2"/>
  <c r="DV175" i="2"/>
  <c r="CX175" i="2"/>
  <c r="BZ175" i="2"/>
  <c r="BB175" i="2"/>
  <c r="DT175" i="2"/>
  <c r="CV175" i="2"/>
  <c r="BX175" i="2"/>
  <c r="AZ175" i="2"/>
  <c r="DR175" i="2"/>
  <c r="CT175" i="2"/>
  <c r="BV175" i="2"/>
  <c r="AX175" i="2"/>
  <c r="DP175" i="2"/>
  <c r="CR175" i="2"/>
  <c r="BT175" i="2"/>
  <c r="AV175" i="2"/>
  <c r="DN175" i="2"/>
  <c r="CP175" i="2"/>
  <c r="BR175" i="2"/>
  <c r="AT175" i="2"/>
  <c r="A175" i="2"/>
  <c r="DL175" i="2"/>
  <c r="CN175" i="2"/>
  <c r="BP175" i="2"/>
  <c r="AR175" i="2"/>
  <c r="DJ175" i="2"/>
  <c r="CL175" i="2"/>
  <c r="BN175" i="2"/>
  <c r="AP175" i="2"/>
  <c r="S175" i="2"/>
  <c r="T175" i="2" s="1"/>
  <c r="DH175" i="2"/>
  <c r="CJ175" i="2"/>
  <c r="BL175" i="2"/>
  <c r="AN175" i="2"/>
  <c r="M4" i="30"/>
  <c r="L6" i="30"/>
  <c r="L9" i="30" s="1"/>
  <c r="K25" i="30"/>
  <c r="K14" i="30"/>
  <c r="K34" i="30"/>
  <c r="K12" i="30"/>
  <c r="N12" i="30" s="1"/>
  <c r="K33" i="30"/>
  <c r="K24" i="30"/>
  <c r="K13" i="30"/>
  <c r="K23" i="30"/>
  <c r="K32" i="30"/>
  <c r="K22" i="30"/>
  <c r="K20" i="30"/>
  <c r="K19" i="30"/>
  <c r="K30" i="30"/>
  <c r="K31" i="30" s="1"/>
  <c r="K18" i="30"/>
  <c r="K39" i="30"/>
  <c r="K17" i="30"/>
  <c r="K11" i="30"/>
  <c r="K38" i="30"/>
  <c r="K16" i="30"/>
  <c r="K10" i="30"/>
  <c r="K15" i="30"/>
  <c r="K21" i="30"/>
  <c r="K9" i="30"/>
  <c r="C177" i="2"/>
  <c r="G176" i="2"/>
  <c r="AC176" i="2"/>
  <c r="AD176" i="2" s="1"/>
  <c r="E176" i="2"/>
  <c r="D176" i="2"/>
  <c r="F176" i="2" s="1"/>
  <c r="AB176" i="2" s="1"/>
  <c r="V176" i="2"/>
  <c r="H16" i="9"/>
  <c r="I16" i="9"/>
  <c r="K26" i="30" l="1"/>
  <c r="K57" i="30" s="1"/>
  <c r="L34" i="30"/>
  <c r="L33" i="30"/>
  <c r="L24" i="30"/>
  <c r="L13" i="30"/>
  <c r="L23" i="30"/>
  <c r="L32" i="30"/>
  <c r="L22" i="30"/>
  <c r="L20" i="30"/>
  <c r="L19" i="30"/>
  <c r="L30" i="30"/>
  <c r="L31" i="30" s="1"/>
  <c r="L18" i="30"/>
  <c r="L39" i="30"/>
  <c r="L17" i="30"/>
  <c r="L11" i="30"/>
  <c r="L38" i="30"/>
  <c r="L16" i="30"/>
  <c r="L10" i="30"/>
  <c r="L15" i="30"/>
  <c r="L25" i="30"/>
  <c r="L14" i="30"/>
  <c r="L21" i="30"/>
  <c r="W175" i="2"/>
  <c r="B176" i="2"/>
  <c r="L8" i="30"/>
  <c r="E177" i="2"/>
  <c r="D177" i="2"/>
  <c r="F177" i="2" s="1"/>
  <c r="AB177" i="2" s="1"/>
  <c r="C178" i="2"/>
  <c r="V177" i="2"/>
  <c r="AC177" i="2"/>
  <c r="AD177" i="2" s="1"/>
  <c r="G177" i="2"/>
  <c r="B4" i="31"/>
  <c r="M6" i="30"/>
  <c r="DN176" i="2"/>
  <c r="CP176" i="2"/>
  <c r="BR176" i="2"/>
  <c r="AT176" i="2"/>
  <c r="A176" i="2"/>
  <c r="DL176" i="2"/>
  <c r="CN176" i="2"/>
  <c r="BP176" i="2"/>
  <c r="AR176" i="2"/>
  <c r="DJ176" i="2"/>
  <c r="CL176" i="2"/>
  <c r="BN176" i="2"/>
  <c r="AP176" i="2"/>
  <c r="S176" i="2"/>
  <c r="T176" i="2" s="1"/>
  <c r="DH176" i="2"/>
  <c r="CJ176" i="2"/>
  <c r="BL176" i="2"/>
  <c r="AN176" i="2"/>
  <c r="DF176" i="2"/>
  <c r="CH176" i="2"/>
  <c r="BJ176" i="2"/>
  <c r="AL176" i="2"/>
  <c r="EB176" i="2"/>
  <c r="DD176" i="2"/>
  <c r="CF176" i="2"/>
  <c r="BH176" i="2"/>
  <c r="AJ176" i="2"/>
  <c r="DZ176" i="2"/>
  <c r="DB176" i="2"/>
  <c r="CD176" i="2"/>
  <c r="BF176" i="2"/>
  <c r="AH176" i="2"/>
  <c r="DX176" i="2"/>
  <c r="CZ176" i="2"/>
  <c r="CB176" i="2"/>
  <c r="BD176" i="2"/>
  <c r="DV176" i="2"/>
  <c r="CX176" i="2"/>
  <c r="BZ176" i="2"/>
  <c r="BB176" i="2"/>
  <c r="DT176" i="2"/>
  <c r="CV176" i="2"/>
  <c r="BX176" i="2"/>
  <c r="AZ176" i="2"/>
  <c r="DR176" i="2"/>
  <c r="CT176" i="2"/>
  <c r="BV176" i="2"/>
  <c r="AX176" i="2"/>
  <c r="DP176" i="2"/>
  <c r="CR176" i="2"/>
  <c r="BT176" i="2"/>
  <c r="AV176" i="2"/>
  <c r="L26" i="30" l="1"/>
  <c r="L57" i="30" s="1"/>
  <c r="M33" i="30"/>
  <c r="N33" i="30" s="1"/>
  <c r="M24" i="30"/>
  <c r="N24" i="30" s="1"/>
  <c r="M13" i="30"/>
  <c r="N13" i="30" s="1"/>
  <c r="M23" i="30"/>
  <c r="N23" i="30" s="1"/>
  <c r="M32" i="30"/>
  <c r="N32" i="30" s="1"/>
  <c r="M22" i="30"/>
  <c r="N22" i="30" s="1"/>
  <c r="M20" i="30"/>
  <c r="N20" i="30" s="1"/>
  <c r="M19" i="30"/>
  <c r="N19" i="30" s="1"/>
  <c r="M30" i="30"/>
  <c r="N30" i="30" s="1"/>
  <c r="M18" i="30"/>
  <c r="N18" i="30" s="1"/>
  <c r="M39" i="30"/>
  <c r="N39" i="30" s="1"/>
  <c r="M17" i="30"/>
  <c r="N17" i="30" s="1"/>
  <c r="M11" i="30"/>
  <c r="N11" i="30" s="1"/>
  <c r="M38" i="30"/>
  <c r="N38" i="30" s="1"/>
  <c r="M16" i="30"/>
  <c r="N16" i="30" s="1"/>
  <c r="M10" i="30"/>
  <c r="N10" i="30" s="1"/>
  <c r="M15" i="30"/>
  <c r="N15" i="30" s="1"/>
  <c r="M25" i="30"/>
  <c r="N25" i="30" s="1"/>
  <c r="M14" i="30"/>
  <c r="N14" i="30" s="1"/>
  <c r="M34" i="30"/>
  <c r="N34" i="30" s="1"/>
  <c r="N6" i="30"/>
  <c r="M21" i="30"/>
  <c r="N21" i="30" s="1"/>
  <c r="C4" i="31"/>
  <c r="B6" i="31"/>
  <c r="M8" i="30"/>
  <c r="N8" i="30" s="1"/>
  <c r="M9" i="30"/>
  <c r="N9" i="30" s="1"/>
  <c r="DR177" i="2"/>
  <c r="CT177" i="2"/>
  <c r="BV177" i="2"/>
  <c r="AX177" i="2"/>
  <c r="DP177" i="2"/>
  <c r="CR177" i="2"/>
  <c r="BT177" i="2"/>
  <c r="AV177" i="2"/>
  <c r="DN177" i="2"/>
  <c r="CP177" i="2"/>
  <c r="BR177" i="2"/>
  <c r="AT177" i="2"/>
  <c r="DL177" i="2"/>
  <c r="CN177" i="2"/>
  <c r="BP177" i="2"/>
  <c r="AR177" i="2"/>
  <c r="DJ177" i="2"/>
  <c r="CL177" i="2"/>
  <c r="BN177" i="2"/>
  <c r="AP177" i="2"/>
  <c r="A177" i="2"/>
  <c r="DH177" i="2"/>
  <c r="CJ177" i="2"/>
  <c r="BL177" i="2"/>
  <c r="AN177" i="2"/>
  <c r="DF177" i="2"/>
  <c r="CH177" i="2"/>
  <c r="BJ177" i="2"/>
  <c r="AL177" i="2"/>
  <c r="S177" i="2"/>
  <c r="T177" i="2" s="1"/>
  <c r="EB177" i="2"/>
  <c r="DD177" i="2"/>
  <c r="CF177" i="2"/>
  <c r="BH177" i="2"/>
  <c r="AJ177" i="2"/>
  <c r="DZ177" i="2"/>
  <c r="DB177" i="2"/>
  <c r="CD177" i="2"/>
  <c r="BF177" i="2"/>
  <c r="AH177" i="2"/>
  <c r="DX177" i="2"/>
  <c r="CZ177" i="2"/>
  <c r="CB177" i="2"/>
  <c r="BD177" i="2"/>
  <c r="DV177" i="2"/>
  <c r="CX177" i="2"/>
  <c r="BZ177" i="2"/>
  <c r="BB177" i="2"/>
  <c r="DT177" i="2"/>
  <c r="CV177" i="2"/>
  <c r="BX177" i="2"/>
  <c r="AZ177" i="2"/>
  <c r="W176" i="2"/>
  <c r="B177" i="2"/>
  <c r="AC178" i="2"/>
  <c r="AD178" i="2" s="1"/>
  <c r="E178" i="2"/>
  <c r="D178" i="2"/>
  <c r="F178" i="2" s="1"/>
  <c r="AB178" i="2" s="1"/>
  <c r="V178" i="2"/>
  <c r="C179" i="2"/>
  <c r="G178" i="2"/>
  <c r="F16" i="8"/>
  <c r="L16" i="9"/>
  <c r="K16" i="9"/>
  <c r="J16" i="9"/>
  <c r="I16" i="8"/>
  <c r="N16" i="9"/>
  <c r="L16" i="8"/>
  <c r="M16" i="9"/>
  <c r="O16" i="8"/>
  <c r="G16" i="9"/>
  <c r="F16" i="9"/>
  <c r="K16" i="8" l="1"/>
  <c r="N16" i="8"/>
  <c r="Q16" i="8"/>
  <c r="B9" i="31"/>
  <c r="B7" i="31"/>
  <c r="B8" i="31"/>
  <c r="R16" i="8"/>
  <c r="S16" i="8" s="1"/>
  <c r="H16" i="8"/>
  <c r="G16" i="8"/>
  <c r="P16" i="8"/>
  <c r="O16" i="9"/>
  <c r="P16" i="9" s="1"/>
  <c r="M16" i="8"/>
  <c r="J16" i="8"/>
  <c r="G179" i="2"/>
  <c r="AC179" i="2"/>
  <c r="AD179" i="2" s="1"/>
  <c r="E179" i="2"/>
  <c r="D179" i="2"/>
  <c r="F179" i="2" s="1"/>
  <c r="AB179" i="2" s="1"/>
  <c r="V179" i="2"/>
  <c r="C180" i="2"/>
  <c r="W177" i="2"/>
  <c r="B178" i="2"/>
  <c r="M26" i="30"/>
  <c r="B19" i="31"/>
  <c r="B30" i="31"/>
  <c r="B31" i="31" s="1"/>
  <c r="B18" i="31"/>
  <c r="B12" i="31"/>
  <c r="B39" i="31"/>
  <c r="B17" i="31"/>
  <c r="B11" i="31"/>
  <c r="B38" i="31"/>
  <c r="B16" i="31"/>
  <c r="B10" i="31"/>
  <c r="B15" i="31"/>
  <c r="B25" i="31"/>
  <c r="B14" i="31"/>
  <c r="B34" i="31"/>
  <c r="B33" i="31"/>
  <c r="B24" i="31"/>
  <c r="B13" i="31"/>
  <c r="B23" i="31"/>
  <c r="B32" i="31"/>
  <c r="B21" i="31"/>
  <c r="B20" i="31"/>
  <c r="DV178" i="2"/>
  <c r="CX178" i="2"/>
  <c r="BZ178" i="2"/>
  <c r="BB178" i="2"/>
  <c r="DT178" i="2"/>
  <c r="CV178" i="2"/>
  <c r="BX178" i="2"/>
  <c r="AZ178" i="2"/>
  <c r="DR178" i="2"/>
  <c r="CT178" i="2"/>
  <c r="BV178" i="2"/>
  <c r="AX178" i="2"/>
  <c r="DP178" i="2"/>
  <c r="CR178" i="2"/>
  <c r="BT178" i="2"/>
  <c r="AV178" i="2"/>
  <c r="DN178" i="2"/>
  <c r="CP178" i="2"/>
  <c r="BR178" i="2"/>
  <c r="AT178" i="2"/>
  <c r="DL178" i="2"/>
  <c r="CN178" i="2"/>
  <c r="BP178" i="2"/>
  <c r="AR178" i="2"/>
  <c r="A178" i="2"/>
  <c r="DJ178" i="2"/>
  <c r="CL178" i="2"/>
  <c r="BN178" i="2"/>
  <c r="AP178" i="2"/>
  <c r="DH178" i="2"/>
  <c r="CJ178" i="2"/>
  <c r="BL178" i="2"/>
  <c r="S178" i="2"/>
  <c r="T178" i="2" s="1"/>
  <c r="DF178" i="2"/>
  <c r="CH178" i="2"/>
  <c r="BJ178" i="2"/>
  <c r="AN178" i="2"/>
  <c r="EB178" i="2"/>
  <c r="DD178" i="2"/>
  <c r="CF178" i="2"/>
  <c r="BH178" i="2"/>
  <c r="AL178" i="2"/>
  <c r="DZ178" i="2"/>
  <c r="DB178" i="2"/>
  <c r="CD178" i="2"/>
  <c r="BF178" i="2"/>
  <c r="AJ178" i="2"/>
  <c r="DX178" i="2"/>
  <c r="CZ178" i="2"/>
  <c r="CB178" i="2"/>
  <c r="BD178" i="2"/>
  <c r="AH178" i="2"/>
  <c r="D4" i="31"/>
  <c r="C6" i="31"/>
  <c r="M31" i="30"/>
  <c r="N31" i="30" s="1"/>
  <c r="E16" i="8"/>
  <c r="E16" i="9"/>
  <c r="B16" i="9"/>
  <c r="B16" i="8"/>
  <c r="B26" i="31" l="1"/>
  <c r="B57" i="31" s="1"/>
  <c r="W178" i="2"/>
  <c r="B179" i="2"/>
  <c r="DF179" i="2"/>
  <c r="CH179" i="2"/>
  <c r="BJ179" i="2"/>
  <c r="AL179" i="2"/>
  <c r="EB179" i="2"/>
  <c r="DD179" i="2"/>
  <c r="CF179" i="2"/>
  <c r="BH179" i="2"/>
  <c r="AJ179" i="2"/>
  <c r="DZ179" i="2"/>
  <c r="DB179" i="2"/>
  <c r="CD179" i="2"/>
  <c r="BF179" i="2"/>
  <c r="AH179" i="2"/>
  <c r="DX179" i="2"/>
  <c r="CZ179" i="2"/>
  <c r="CB179" i="2"/>
  <c r="BD179" i="2"/>
  <c r="DV179" i="2"/>
  <c r="CX179" i="2"/>
  <c r="BZ179" i="2"/>
  <c r="BB179" i="2"/>
  <c r="DT179" i="2"/>
  <c r="CV179" i="2"/>
  <c r="BX179" i="2"/>
  <c r="AZ179" i="2"/>
  <c r="DR179" i="2"/>
  <c r="CT179" i="2"/>
  <c r="BV179" i="2"/>
  <c r="AX179" i="2"/>
  <c r="DP179" i="2"/>
  <c r="CR179" i="2"/>
  <c r="BT179" i="2"/>
  <c r="AV179" i="2"/>
  <c r="DN179" i="2"/>
  <c r="CP179" i="2"/>
  <c r="BR179" i="2"/>
  <c r="AT179" i="2"/>
  <c r="A179" i="2"/>
  <c r="DL179" i="2"/>
  <c r="CN179" i="2"/>
  <c r="BP179" i="2"/>
  <c r="AR179" i="2"/>
  <c r="DJ179" i="2"/>
  <c r="CL179" i="2"/>
  <c r="BN179" i="2"/>
  <c r="AP179" i="2"/>
  <c r="S179" i="2"/>
  <c r="T179" i="2" s="1"/>
  <c r="DH179" i="2"/>
  <c r="CJ179" i="2"/>
  <c r="BL179" i="2"/>
  <c r="AN179" i="2"/>
  <c r="C30" i="31"/>
  <c r="C31" i="31" s="1"/>
  <c r="C18" i="31"/>
  <c r="C12" i="31"/>
  <c r="C39" i="31"/>
  <c r="C17" i="31"/>
  <c r="C11" i="31"/>
  <c r="C38" i="31"/>
  <c r="C16" i="31"/>
  <c r="C10" i="31"/>
  <c r="C15" i="31"/>
  <c r="C25" i="31"/>
  <c r="C14" i="31"/>
  <c r="C34" i="31"/>
  <c r="C33" i="31"/>
  <c r="C24" i="31"/>
  <c r="C13" i="31"/>
  <c r="C23" i="31"/>
  <c r="C32" i="31"/>
  <c r="C22" i="31"/>
  <c r="C21" i="31"/>
  <c r="C20" i="31"/>
  <c r="C19" i="31"/>
  <c r="E4" i="31"/>
  <c r="D6" i="31"/>
  <c r="C8" i="31"/>
  <c r="N26" i="30"/>
  <c r="M57" i="30"/>
  <c r="C9" i="31"/>
  <c r="C181" i="2"/>
  <c r="G180" i="2"/>
  <c r="AC180" i="2"/>
  <c r="AD180" i="2" s="1"/>
  <c r="E180" i="2"/>
  <c r="D180" i="2"/>
  <c r="V180" i="2"/>
  <c r="F16" i="4"/>
  <c r="G16" i="10"/>
  <c r="F16" i="3"/>
  <c r="F16" i="12"/>
  <c r="G16" i="3" l="1"/>
  <c r="H16" i="3"/>
  <c r="H16" i="12"/>
  <c r="G16" i="12"/>
  <c r="D39" i="31"/>
  <c r="D17" i="31"/>
  <c r="D11" i="31"/>
  <c r="D38" i="31"/>
  <c r="D16" i="31"/>
  <c r="D10" i="31"/>
  <c r="D15" i="31"/>
  <c r="D25" i="31"/>
  <c r="D14" i="31"/>
  <c r="D34" i="31"/>
  <c r="D33" i="31"/>
  <c r="D24" i="31"/>
  <c r="D13" i="31"/>
  <c r="D23" i="31"/>
  <c r="D32" i="31"/>
  <c r="D22" i="31"/>
  <c r="D20" i="31"/>
  <c r="D19" i="31"/>
  <c r="D30" i="31"/>
  <c r="D31" i="31" s="1"/>
  <c r="D18" i="31"/>
  <c r="D21" i="31"/>
  <c r="C26" i="31"/>
  <c r="N57" i="30"/>
  <c r="F4" i="31"/>
  <c r="E6" i="31"/>
  <c r="E9" i="31" s="1"/>
  <c r="F180" i="2"/>
  <c r="AB180" i="2" s="1"/>
  <c r="H60" i="30"/>
  <c r="B60" i="30"/>
  <c r="B27" i="30"/>
  <c r="C27" i="30"/>
  <c r="D27" i="30"/>
  <c r="E27" i="30"/>
  <c r="F27" i="30"/>
  <c r="G27" i="30"/>
  <c r="H27" i="30"/>
  <c r="I27" i="30"/>
  <c r="J27" i="30"/>
  <c r="K27" i="30"/>
  <c r="L27" i="30"/>
  <c r="M27" i="30"/>
  <c r="W179" i="2"/>
  <c r="B180" i="2"/>
  <c r="AC181" i="2"/>
  <c r="AD181" i="2" s="1"/>
  <c r="E181" i="2"/>
  <c r="D181" i="2"/>
  <c r="F181" i="2" s="1"/>
  <c r="AB181" i="2" s="1"/>
  <c r="V181" i="2"/>
  <c r="C182" i="2"/>
  <c r="G181" i="2"/>
  <c r="DN180" i="2"/>
  <c r="CP180" i="2"/>
  <c r="BR180" i="2"/>
  <c r="AT180" i="2"/>
  <c r="A180" i="2"/>
  <c r="DL180" i="2"/>
  <c r="CN180" i="2"/>
  <c r="BP180" i="2"/>
  <c r="AR180" i="2"/>
  <c r="DJ180" i="2"/>
  <c r="CL180" i="2"/>
  <c r="BN180" i="2"/>
  <c r="AP180" i="2"/>
  <c r="S180" i="2"/>
  <c r="T180" i="2" s="1"/>
  <c r="DH180" i="2"/>
  <c r="CJ180" i="2"/>
  <c r="BL180" i="2"/>
  <c r="AN180" i="2"/>
  <c r="DF180" i="2"/>
  <c r="CH180" i="2"/>
  <c r="BJ180" i="2"/>
  <c r="AL180" i="2"/>
  <c r="EB180" i="2"/>
  <c r="DD180" i="2"/>
  <c r="CF180" i="2"/>
  <c r="BH180" i="2"/>
  <c r="AJ180" i="2"/>
  <c r="DZ180" i="2"/>
  <c r="DB180" i="2"/>
  <c r="CD180" i="2"/>
  <c r="BF180" i="2"/>
  <c r="AH180" i="2"/>
  <c r="DX180" i="2"/>
  <c r="CZ180" i="2"/>
  <c r="CB180" i="2"/>
  <c r="BD180" i="2"/>
  <c r="DV180" i="2"/>
  <c r="CX180" i="2"/>
  <c r="BZ180" i="2"/>
  <c r="BB180" i="2"/>
  <c r="DT180" i="2"/>
  <c r="CV180" i="2"/>
  <c r="BX180" i="2"/>
  <c r="AZ180" i="2"/>
  <c r="DR180" i="2"/>
  <c r="CT180" i="2"/>
  <c r="BV180" i="2"/>
  <c r="AX180" i="2"/>
  <c r="DP180" i="2"/>
  <c r="CR180" i="2"/>
  <c r="BT180" i="2"/>
  <c r="AV180" i="2"/>
  <c r="D8" i="31"/>
  <c r="D9" i="31"/>
  <c r="K16" i="4"/>
  <c r="J16" i="4"/>
  <c r="E16" i="12"/>
  <c r="G16" i="4"/>
  <c r="B16" i="4"/>
  <c r="E16" i="3"/>
  <c r="F16" i="10"/>
  <c r="H16" i="4"/>
  <c r="B16" i="12"/>
  <c r="I16" i="4"/>
  <c r="B16" i="3"/>
  <c r="O16" i="3"/>
  <c r="E16" i="4"/>
  <c r="C16" i="10"/>
  <c r="E8" i="31" l="1"/>
  <c r="D26" i="31"/>
  <c r="D57" i="31" s="1"/>
  <c r="C16" i="4"/>
  <c r="O16" i="4"/>
  <c r="P16" i="4" s="1"/>
  <c r="W16" i="11" s="1"/>
  <c r="B16" i="7"/>
  <c r="B16" i="6"/>
  <c r="C16" i="3"/>
  <c r="B16" i="5"/>
  <c r="E16" i="6"/>
  <c r="E16" i="5"/>
  <c r="E16" i="7"/>
  <c r="D28" i="30"/>
  <c r="D58" i="30" s="1"/>
  <c r="D59" i="30" s="1"/>
  <c r="C28" i="30"/>
  <c r="C58" i="30" s="1"/>
  <c r="C59" i="30" s="1"/>
  <c r="N27" i="30"/>
  <c r="B28" i="30"/>
  <c r="B58" i="30" s="1"/>
  <c r="M28" i="30"/>
  <c r="M58" i="30" s="1"/>
  <c r="M59" i="30" s="1"/>
  <c r="DV181" i="2"/>
  <c r="CX181" i="2"/>
  <c r="BZ181" i="2"/>
  <c r="BB181" i="2"/>
  <c r="DT181" i="2"/>
  <c r="CV181" i="2"/>
  <c r="BX181" i="2"/>
  <c r="AZ181" i="2"/>
  <c r="DR181" i="2"/>
  <c r="CT181" i="2"/>
  <c r="BV181" i="2"/>
  <c r="AX181" i="2"/>
  <c r="DP181" i="2"/>
  <c r="CR181" i="2"/>
  <c r="BT181" i="2"/>
  <c r="AV181" i="2"/>
  <c r="DN181" i="2"/>
  <c r="CP181" i="2"/>
  <c r="BR181" i="2"/>
  <c r="AT181" i="2"/>
  <c r="A181" i="2"/>
  <c r="DL181" i="2"/>
  <c r="CN181" i="2"/>
  <c r="BP181" i="2"/>
  <c r="AR181" i="2"/>
  <c r="DJ181" i="2"/>
  <c r="CL181" i="2"/>
  <c r="BN181" i="2"/>
  <c r="AP181" i="2"/>
  <c r="S181" i="2"/>
  <c r="T181" i="2" s="1"/>
  <c r="DH181" i="2"/>
  <c r="CJ181" i="2"/>
  <c r="BL181" i="2"/>
  <c r="AN181" i="2"/>
  <c r="DF181" i="2"/>
  <c r="CH181" i="2"/>
  <c r="BJ181" i="2"/>
  <c r="AL181" i="2"/>
  <c r="EB181" i="2"/>
  <c r="DD181" i="2"/>
  <c r="CF181" i="2"/>
  <c r="BH181" i="2"/>
  <c r="AJ181" i="2"/>
  <c r="DZ181" i="2"/>
  <c r="DB181" i="2"/>
  <c r="CD181" i="2"/>
  <c r="BF181" i="2"/>
  <c r="AH181" i="2"/>
  <c r="DX181" i="2"/>
  <c r="CZ181" i="2"/>
  <c r="CB181" i="2"/>
  <c r="BD181" i="2"/>
  <c r="L28" i="30"/>
  <c r="L58" i="30" s="1"/>
  <c r="L59" i="30" s="1"/>
  <c r="G182" i="2"/>
  <c r="AC182" i="2"/>
  <c r="AD182" i="2" s="1"/>
  <c r="E182" i="2"/>
  <c r="D182" i="2"/>
  <c r="F182" i="2" s="1"/>
  <c r="AB182" i="2" s="1"/>
  <c r="V182" i="2"/>
  <c r="C183" i="2"/>
  <c r="K28" i="30"/>
  <c r="C57" i="31"/>
  <c r="W180" i="2"/>
  <c r="B181" i="2"/>
  <c r="J28" i="30"/>
  <c r="J58" i="30" s="1"/>
  <c r="J59" i="30" s="1"/>
  <c r="I28" i="30"/>
  <c r="I58" i="30" s="1"/>
  <c r="I59" i="30" s="1"/>
  <c r="H28" i="30"/>
  <c r="H58" i="30" s="1"/>
  <c r="H59" i="30" s="1"/>
  <c r="G28" i="30"/>
  <c r="G58" i="30" s="1"/>
  <c r="G59" i="30" s="1"/>
  <c r="E38" i="31"/>
  <c r="E16" i="31"/>
  <c r="E10" i="31"/>
  <c r="E15" i="31"/>
  <c r="E25" i="31"/>
  <c r="E14" i="31"/>
  <c r="E34" i="31"/>
  <c r="E33" i="31"/>
  <c r="E24" i="31"/>
  <c r="E13" i="31"/>
  <c r="E23" i="31"/>
  <c r="E32" i="31"/>
  <c r="E22" i="31"/>
  <c r="E20" i="31"/>
  <c r="E19" i="31"/>
  <c r="E30" i="31"/>
  <c r="E31" i="31" s="1"/>
  <c r="E18" i="31"/>
  <c r="E39" i="31"/>
  <c r="E17" i="31"/>
  <c r="E11" i="31"/>
  <c r="E21" i="31"/>
  <c r="F28" i="30"/>
  <c r="F58" i="30" s="1"/>
  <c r="F59" i="30" s="1"/>
  <c r="E28" i="30"/>
  <c r="E58" i="30" s="1"/>
  <c r="E59" i="30" s="1"/>
  <c r="G4" i="31"/>
  <c r="F6" i="31"/>
  <c r="H16" i="10"/>
  <c r="E26" i="31" l="1"/>
  <c r="E57" i="31" s="1"/>
  <c r="J16" i="10"/>
  <c r="K16" i="10" s="1"/>
  <c r="I16" i="10"/>
  <c r="F9" i="31"/>
  <c r="B59" i="30"/>
  <c r="K58" i="30"/>
  <c r="K59" i="30" s="1"/>
  <c r="C184" i="2"/>
  <c r="G183" i="2"/>
  <c r="AC183" i="2"/>
  <c r="AD183" i="2" s="1"/>
  <c r="E183" i="2"/>
  <c r="D183" i="2"/>
  <c r="V183" i="2"/>
  <c r="D16" i="11"/>
  <c r="Q16" i="11" s="1"/>
  <c r="D16" i="5"/>
  <c r="D16" i="6" s="1"/>
  <c r="W181" i="2"/>
  <c r="B182" i="2"/>
  <c r="F15" i="31"/>
  <c r="F25" i="31"/>
  <c r="F14" i="31"/>
  <c r="F34" i="31"/>
  <c r="F33" i="31"/>
  <c r="F24" i="31"/>
  <c r="F13" i="31"/>
  <c r="F23" i="31"/>
  <c r="F32" i="31"/>
  <c r="F22" i="31"/>
  <c r="F20" i="31"/>
  <c r="F19" i="31"/>
  <c r="F30" i="31"/>
  <c r="F31" i="31" s="1"/>
  <c r="F18" i="31"/>
  <c r="F39" i="31"/>
  <c r="F17" i="31"/>
  <c r="F11" i="31"/>
  <c r="F38" i="31"/>
  <c r="F16" i="31"/>
  <c r="F10" i="31"/>
  <c r="F21" i="31"/>
  <c r="DF182" i="2"/>
  <c r="CH182" i="2"/>
  <c r="BJ182" i="2"/>
  <c r="AL182" i="2"/>
  <c r="EB182" i="2"/>
  <c r="DD182" i="2"/>
  <c r="CF182" i="2"/>
  <c r="BH182" i="2"/>
  <c r="AJ182" i="2"/>
  <c r="DZ182" i="2"/>
  <c r="DB182" i="2"/>
  <c r="CD182" i="2"/>
  <c r="BF182" i="2"/>
  <c r="AH182" i="2"/>
  <c r="DX182" i="2"/>
  <c r="CZ182" i="2"/>
  <c r="CB182" i="2"/>
  <c r="BD182" i="2"/>
  <c r="DV182" i="2"/>
  <c r="CX182" i="2"/>
  <c r="BZ182" i="2"/>
  <c r="BB182" i="2"/>
  <c r="DT182" i="2"/>
  <c r="CV182" i="2"/>
  <c r="BX182" i="2"/>
  <c r="AZ182" i="2"/>
  <c r="DR182" i="2"/>
  <c r="CT182" i="2"/>
  <c r="BV182" i="2"/>
  <c r="AX182" i="2"/>
  <c r="DP182" i="2"/>
  <c r="CR182" i="2"/>
  <c r="BT182" i="2"/>
  <c r="AV182" i="2"/>
  <c r="DN182" i="2"/>
  <c r="CP182" i="2"/>
  <c r="BR182" i="2"/>
  <c r="AT182" i="2"/>
  <c r="A182" i="2"/>
  <c r="DL182" i="2"/>
  <c r="CN182" i="2"/>
  <c r="BP182" i="2"/>
  <c r="AR182" i="2"/>
  <c r="DJ182" i="2"/>
  <c r="CL182" i="2"/>
  <c r="BN182" i="2"/>
  <c r="AP182" i="2"/>
  <c r="S182" i="2"/>
  <c r="T182" i="2" s="1"/>
  <c r="DH182" i="2"/>
  <c r="CJ182" i="2"/>
  <c r="BL182" i="2"/>
  <c r="AN182" i="2"/>
  <c r="H4" i="31"/>
  <c r="G6" i="31"/>
  <c r="G9" i="31" s="1"/>
  <c r="F8" i="31"/>
  <c r="N28" i="30"/>
  <c r="S16" i="11" l="1"/>
  <c r="U16" i="11"/>
  <c r="J16" i="11"/>
  <c r="V16" i="11"/>
  <c r="K16" i="11"/>
  <c r="L16" i="11"/>
  <c r="M16" i="11"/>
  <c r="N16" i="11"/>
  <c r="O16" i="11"/>
  <c r="P16" i="11"/>
  <c r="F26" i="31"/>
  <c r="F57" i="31" s="1"/>
  <c r="R16" i="11"/>
  <c r="T16" i="11"/>
  <c r="DN183" i="2"/>
  <c r="CP183" i="2"/>
  <c r="BR183" i="2"/>
  <c r="AT183" i="2"/>
  <c r="A183" i="2"/>
  <c r="DL183" i="2"/>
  <c r="CN183" i="2"/>
  <c r="BP183" i="2"/>
  <c r="AR183" i="2"/>
  <c r="DJ183" i="2"/>
  <c r="CL183" i="2"/>
  <c r="BN183" i="2"/>
  <c r="AP183" i="2"/>
  <c r="S183" i="2"/>
  <c r="T183" i="2" s="1"/>
  <c r="DH183" i="2"/>
  <c r="CJ183" i="2"/>
  <c r="BL183" i="2"/>
  <c r="AN183" i="2"/>
  <c r="DF183" i="2"/>
  <c r="CH183" i="2"/>
  <c r="BJ183" i="2"/>
  <c r="AL183" i="2"/>
  <c r="EB183" i="2"/>
  <c r="DD183" i="2"/>
  <c r="CF183" i="2"/>
  <c r="BH183" i="2"/>
  <c r="AJ183" i="2"/>
  <c r="DZ183" i="2"/>
  <c r="DB183" i="2"/>
  <c r="CD183" i="2"/>
  <c r="BF183" i="2"/>
  <c r="AH183" i="2"/>
  <c r="DX183" i="2"/>
  <c r="CZ183" i="2"/>
  <c r="CB183" i="2"/>
  <c r="BD183" i="2"/>
  <c r="DV183" i="2"/>
  <c r="CX183" i="2"/>
  <c r="BZ183" i="2"/>
  <c r="BB183" i="2"/>
  <c r="DT183" i="2"/>
  <c r="CV183" i="2"/>
  <c r="BX183" i="2"/>
  <c r="AZ183" i="2"/>
  <c r="DR183" i="2"/>
  <c r="CT183" i="2"/>
  <c r="BV183" i="2"/>
  <c r="AX183" i="2"/>
  <c r="DP183" i="2"/>
  <c r="CR183" i="2"/>
  <c r="BT183" i="2"/>
  <c r="AV183" i="2"/>
  <c r="AC184" i="2"/>
  <c r="AD184" i="2" s="1"/>
  <c r="E184" i="2"/>
  <c r="D184" i="2"/>
  <c r="F184" i="2" s="1"/>
  <c r="AB184" i="2" s="1"/>
  <c r="V184" i="2"/>
  <c r="C185" i="2"/>
  <c r="G184" i="2"/>
  <c r="D16" i="7"/>
  <c r="D16" i="8" s="1"/>
  <c r="D16" i="9" s="1"/>
  <c r="D16" i="10" s="1"/>
  <c r="C16" i="12" s="1"/>
  <c r="R16" i="6"/>
  <c r="G25" i="31"/>
  <c r="G14" i="31"/>
  <c r="G34" i="31"/>
  <c r="G33" i="31"/>
  <c r="G24" i="31"/>
  <c r="G13" i="31"/>
  <c r="G23" i="31"/>
  <c r="G32" i="31"/>
  <c r="G22" i="31"/>
  <c r="G20" i="31"/>
  <c r="G19" i="31"/>
  <c r="G30" i="31"/>
  <c r="G31" i="31" s="1"/>
  <c r="G18" i="31"/>
  <c r="G39" i="31"/>
  <c r="G17" i="31"/>
  <c r="G11" i="31"/>
  <c r="G38" i="31"/>
  <c r="G16" i="31"/>
  <c r="G10" i="31"/>
  <c r="G15" i="31"/>
  <c r="G21" i="31"/>
  <c r="I4" i="31"/>
  <c r="H6" i="31"/>
  <c r="N58" i="30"/>
  <c r="N59" i="30" s="1"/>
  <c r="F60" i="30" s="1"/>
  <c r="W182" i="2"/>
  <c r="B183" i="2"/>
  <c r="G8" i="31"/>
  <c r="F183" i="2"/>
  <c r="AB183" i="2" s="1"/>
  <c r="H9" i="31" l="1"/>
  <c r="H7" i="31"/>
  <c r="N7" i="31" s="1"/>
  <c r="G16" i="11"/>
  <c r="H16" i="11" s="1"/>
  <c r="G26" i="31"/>
  <c r="G57" i="31" s="1"/>
  <c r="I60" i="30"/>
  <c r="G60" i="30"/>
  <c r="DV184" i="2"/>
  <c r="CX184" i="2"/>
  <c r="BZ184" i="2"/>
  <c r="BB184" i="2"/>
  <c r="DT184" i="2"/>
  <c r="CV184" i="2"/>
  <c r="BX184" i="2"/>
  <c r="AZ184" i="2"/>
  <c r="DR184" i="2"/>
  <c r="CT184" i="2"/>
  <c r="BV184" i="2"/>
  <c r="AX184" i="2"/>
  <c r="DP184" i="2"/>
  <c r="CR184" i="2"/>
  <c r="BT184" i="2"/>
  <c r="AV184" i="2"/>
  <c r="DN184" i="2"/>
  <c r="CP184" i="2"/>
  <c r="BR184" i="2"/>
  <c r="AT184" i="2"/>
  <c r="A184" i="2"/>
  <c r="DL184" i="2"/>
  <c r="CN184" i="2"/>
  <c r="BP184" i="2"/>
  <c r="AR184" i="2"/>
  <c r="DJ184" i="2"/>
  <c r="CL184" i="2"/>
  <c r="BN184" i="2"/>
  <c r="AP184" i="2"/>
  <c r="S184" i="2"/>
  <c r="T184" i="2" s="1"/>
  <c r="DH184" i="2"/>
  <c r="CJ184" i="2"/>
  <c r="BL184" i="2"/>
  <c r="AN184" i="2"/>
  <c r="DF184" i="2"/>
  <c r="CH184" i="2"/>
  <c r="BJ184" i="2"/>
  <c r="AL184" i="2"/>
  <c r="EB184" i="2"/>
  <c r="DD184" i="2"/>
  <c r="CF184" i="2"/>
  <c r="BH184" i="2"/>
  <c r="AJ184" i="2"/>
  <c r="DZ184" i="2"/>
  <c r="DB184" i="2"/>
  <c r="CD184" i="2"/>
  <c r="BF184" i="2"/>
  <c r="AH184" i="2"/>
  <c r="DX184" i="2"/>
  <c r="CZ184" i="2"/>
  <c r="CB184" i="2"/>
  <c r="BD184" i="2"/>
  <c r="G185" i="2"/>
  <c r="AC185" i="2"/>
  <c r="AD185" i="2" s="1"/>
  <c r="E185" i="2"/>
  <c r="D185" i="2"/>
  <c r="F185" i="2" s="1"/>
  <c r="AB185" i="2" s="1"/>
  <c r="V185" i="2"/>
  <c r="C186" i="2"/>
  <c r="W183" i="2"/>
  <c r="B184" i="2"/>
  <c r="H8" i="31"/>
  <c r="J4" i="31"/>
  <c r="I6" i="31"/>
  <c r="I9" i="31" s="1"/>
  <c r="H25" i="31"/>
  <c r="H14" i="31"/>
  <c r="H34" i="31"/>
  <c r="H33" i="31"/>
  <c r="H24" i="31"/>
  <c r="H13" i="31"/>
  <c r="H23" i="31"/>
  <c r="H32" i="31"/>
  <c r="H22" i="31"/>
  <c r="H20" i="31"/>
  <c r="H19" i="31"/>
  <c r="H30" i="31"/>
  <c r="H31" i="31" s="1"/>
  <c r="H18" i="31"/>
  <c r="H39" i="31"/>
  <c r="H17" i="31"/>
  <c r="H11" i="31"/>
  <c r="H38" i="31"/>
  <c r="H16" i="31"/>
  <c r="H10" i="31"/>
  <c r="H15" i="31"/>
  <c r="H21" i="31"/>
  <c r="C16" i="11" l="1"/>
  <c r="E16" i="11" s="1"/>
  <c r="H26" i="31"/>
  <c r="H57" i="31" s="1"/>
  <c r="DF185" i="2"/>
  <c r="CH185" i="2"/>
  <c r="BJ185" i="2"/>
  <c r="AL185" i="2"/>
  <c r="EB185" i="2"/>
  <c r="DD185" i="2"/>
  <c r="CF185" i="2"/>
  <c r="BH185" i="2"/>
  <c r="AJ185" i="2"/>
  <c r="DZ185" i="2"/>
  <c r="DB185" i="2"/>
  <c r="CD185" i="2"/>
  <c r="BF185" i="2"/>
  <c r="AH185" i="2"/>
  <c r="DX185" i="2"/>
  <c r="CZ185" i="2"/>
  <c r="CB185" i="2"/>
  <c r="BD185" i="2"/>
  <c r="DV185" i="2"/>
  <c r="CX185" i="2"/>
  <c r="BZ185" i="2"/>
  <c r="BB185" i="2"/>
  <c r="DT185" i="2"/>
  <c r="CV185" i="2"/>
  <c r="BX185" i="2"/>
  <c r="AZ185" i="2"/>
  <c r="DR185" i="2"/>
  <c r="CT185" i="2"/>
  <c r="BV185" i="2"/>
  <c r="AX185" i="2"/>
  <c r="DP185" i="2"/>
  <c r="CR185" i="2"/>
  <c r="BT185" i="2"/>
  <c r="AV185" i="2"/>
  <c r="DN185" i="2"/>
  <c r="CP185" i="2"/>
  <c r="BR185" i="2"/>
  <c r="AT185" i="2"/>
  <c r="A185" i="2"/>
  <c r="DL185" i="2"/>
  <c r="CN185" i="2"/>
  <c r="BP185" i="2"/>
  <c r="AR185" i="2"/>
  <c r="DJ185" i="2"/>
  <c r="CL185" i="2"/>
  <c r="BN185" i="2"/>
  <c r="AP185" i="2"/>
  <c r="S185" i="2"/>
  <c r="T185" i="2" s="1"/>
  <c r="DH185" i="2"/>
  <c r="CJ185" i="2"/>
  <c r="BL185" i="2"/>
  <c r="AN185" i="2"/>
  <c r="K4" i="31"/>
  <c r="J6" i="31"/>
  <c r="C187" i="2"/>
  <c r="G186" i="2"/>
  <c r="AC186" i="2"/>
  <c r="AD186" i="2" s="1"/>
  <c r="E186" i="2"/>
  <c r="D186" i="2"/>
  <c r="F186" i="2" s="1"/>
  <c r="AB186" i="2" s="1"/>
  <c r="V186" i="2"/>
  <c r="W184" i="2"/>
  <c r="B185" i="2"/>
  <c r="I34" i="31"/>
  <c r="I33" i="31"/>
  <c r="I24" i="31"/>
  <c r="I13" i="31"/>
  <c r="I23" i="31"/>
  <c r="I32" i="31"/>
  <c r="I22" i="31"/>
  <c r="I20" i="31"/>
  <c r="I19" i="31"/>
  <c r="I30" i="31"/>
  <c r="I31" i="31" s="1"/>
  <c r="I18" i="31"/>
  <c r="I39" i="31"/>
  <c r="I17" i="31"/>
  <c r="I11" i="31"/>
  <c r="I38" i="31"/>
  <c r="I16" i="31"/>
  <c r="I10" i="31"/>
  <c r="I15" i="31"/>
  <c r="I25" i="31"/>
  <c r="I14" i="31"/>
  <c r="I21" i="31"/>
  <c r="I8" i="31"/>
  <c r="I26" i="31" l="1"/>
  <c r="I57" i="31" s="1"/>
  <c r="J33" i="31"/>
  <c r="J24" i="31"/>
  <c r="J13" i="31"/>
  <c r="J23" i="31"/>
  <c r="J32" i="31"/>
  <c r="J22" i="31"/>
  <c r="J20" i="31"/>
  <c r="J19" i="31"/>
  <c r="J30" i="31"/>
  <c r="J31" i="31" s="1"/>
  <c r="J18" i="31"/>
  <c r="J39" i="31"/>
  <c r="J17" i="31"/>
  <c r="J11" i="31"/>
  <c r="J38" i="31"/>
  <c r="J16" i="31"/>
  <c r="J10" i="31"/>
  <c r="J15" i="31"/>
  <c r="J25" i="31"/>
  <c r="J14" i="31"/>
  <c r="J34" i="31"/>
  <c r="J12" i="31"/>
  <c r="J21" i="31"/>
  <c r="J8" i="31"/>
  <c r="J9" i="31"/>
  <c r="L4" i="31"/>
  <c r="K6" i="31"/>
  <c r="W185" i="2"/>
  <c r="B186" i="2"/>
  <c r="DN186" i="2"/>
  <c r="CP186" i="2"/>
  <c r="BR186" i="2"/>
  <c r="AT186" i="2"/>
  <c r="A186" i="2"/>
  <c r="DL186" i="2"/>
  <c r="CN186" i="2"/>
  <c r="BP186" i="2"/>
  <c r="AR186" i="2"/>
  <c r="DJ186" i="2"/>
  <c r="CL186" i="2"/>
  <c r="BN186" i="2"/>
  <c r="AP186" i="2"/>
  <c r="S186" i="2"/>
  <c r="T186" i="2" s="1"/>
  <c r="DH186" i="2"/>
  <c r="CJ186" i="2"/>
  <c r="BL186" i="2"/>
  <c r="AN186" i="2"/>
  <c r="DF186" i="2"/>
  <c r="CH186" i="2"/>
  <c r="BJ186" i="2"/>
  <c r="AL186" i="2"/>
  <c r="EB186" i="2"/>
  <c r="DD186" i="2"/>
  <c r="CF186" i="2"/>
  <c r="BH186" i="2"/>
  <c r="AJ186" i="2"/>
  <c r="DZ186" i="2"/>
  <c r="DB186" i="2"/>
  <c r="CD186" i="2"/>
  <c r="BF186" i="2"/>
  <c r="AH186" i="2"/>
  <c r="DX186" i="2"/>
  <c r="CZ186" i="2"/>
  <c r="CB186" i="2"/>
  <c r="BD186" i="2"/>
  <c r="DV186" i="2"/>
  <c r="CX186" i="2"/>
  <c r="BZ186" i="2"/>
  <c r="BB186" i="2"/>
  <c r="DT186" i="2"/>
  <c r="CV186" i="2"/>
  <c r="BX186" i="2"/>
  <c r="AZ186" i="2"/>
  <c r="DR186" i="2"/>
  <c r="CT186" i="2"/>
  <c r="BV186" i="2"/>
  <c r="AX186" i="2"/>
  <c r="DP186" i="2"/>
  <c r="CR186" i="2"/>
  <c r="BT186" i="2"/>
  <c r="AV186" i="2"/>
  <c r="AC187" i="2"/>
  <c r="AD187" i="2" s="1"/>
  <c r="E187" i="2"/>
  <c r="D187" i="2"/>
  <c r="F187" i="2" s="1"/>
  <c r="AB187" i="2" s="1"/>
  <c r="V187" i="2"/>
  <c r="C188" i="2"/>
  <c r="G187" i="2"/>
  <c r="J26" i="31" l="1"/>
  <c r="J57" i="31" s="1"/>
  <c r="M4" i="31"/>
  <c r="L6" i="31"/>
  <c r="DV187" i="2"/>
  <c r="CX187" i="2"/>
  <c r="BZ187" i="2"/>
  <c r="BB187" i="2"/>
  <c r="DT187" i="2"/>
  <c r="CV187" i="2"/>
  <c r="BX187" i="2"/>
  <c r="AZ187" i="2"/>
  <c r="DR187" i="2"/>
  <c r="CT187" i="2"/>
  <c r="BV187" i="2"/>
  <c r="AX187" i="2"/>
  <c r="DP187" i="2"/>
  <c r="CR187" i="2"/>
  <c r="BT187" i="2"/>
  <c r="AV187" i="2"/>
  <c r="DN187" i="2"/>
  <c r="CP187" i="2"/>
  <c r="BR187" i="2"/>
  <c r="AT187" i="2"/>
  <c r="A187" i="2"/>
  <c r="DL187" i="2"/>
  <c r="CN187" i="2"/>
  <c r="BP187" i="2"/>
  <c r="AR187" i="2"/>
  <c r="DJ187" i="2"/>
  <c r="CL187" i="2"/>
  <c r="BN187" i="2"/>
  <c r="AP187" i="2"/>
  <c r="S187" i="2"/>
  <c r="T187" i="2" s="1"/>
  <c r="DH187" i="2"/>
  <c r="CJ187" i="2"/>
  <c r="BL187" i="2"/>
  <c r="AN187" i="2"/>
  <c r="DF187" i="2"/>
  <c r="CH187" i="2"/>
  <c r="BJ187" i="2"/>
  <c r="AL187" i="2"/>
  <c r="EB187" i="2"/>
  <c r="DD187" i="2"/>
  <c r="CF187" i="2"/>
  <c r="BH187" i="2"/>
  <c r="AJ187" i="2"/>
  <c r="DZ187" i="2"/>
  <c r="DB187" i="2"/>
  <c r="CD187" i="2"/>
  <c r="BF187" i="2"/>
  <c r="AH187" i="2"/>
  <c r="DX187" i="2"/>
  <c r="CZ187" i="2"/>
  <c r="CB187" i="2"/>
  <c r="BD187" i="2"/>
  <c r="K23" i="31"/>
  <c r="K32" i="31"/>
  <c r="K22" i="31"/>
  <c r="K20" i="31"/>
  <c r="K19" i="31"/>
  <c r="K30" i="31"/>
  <c r="K31" i="31" s="1"/>
  <c r="K18" i="31"/>
  <c r="K39" i="31"/>
  <c r="K17" i="31"/>
  <c r="K11" i="31"/>
  <c r="K38" i="31"/>
  <c r="K16" i="31"/>
  <c r="K10" i="31"/>
  <c r="K15" i="31"/>
  <c r="K25" i="31"/>
  <c r="K14" i="31"/>
  <c r="K34" i="31"/>
  <c r="K12" i="31"/>
  <c r="N12" i="31" s="1"/>
  <c r="K24" i="31"/>
  <c r="K13" i="31"/>
  <c r="K33" i="31"/>
  <c r="K21" i="31"/>
  <c r="G188" i="2"/>
  <c r="AC188" i="2"/>
  <c r="AD188" i="2" s="1"/>
  <c r="E188" i="2"/>
  <c r="D188" i="2"/>
  <c r="V188" i="2"/>
  <c r="C189" i="2"/>
  <c r="K8" i="31"/>
  <c r="W186" i="2"/>
  <c r="B187" i="2"/>
  <c r="K9" i="31"/>
  <c r="I17" i="9"/>
  <c r="H17" i="9"/>
  <c r="K26" i="31" l="1"/>
  <c r="K57" i="31" s="1"/>
  <c r="W187" i="2"/>
  <c r="B188" i="2"/>
  <c r="F188" i="2"/>
  <c r="AB188" i="2" s="1"/>
  <c r="L32" i="31"/>
  <c r="L22" i="31"/>
  <c r="L20" i="31"/>
  <c r="L19" i="31"/>
  <c r="L30" i="31"/>
  <c r="L31" i="31" s="1"/>
  <c r="L18" i="31"/>
  <c r="L39" i="31"/>
  <c r="L17" i="31"/>
  <c r="L11" i="31"/>
  <c r="L38" i="31"/>
  <c r="L16" i="31"/>
  <c r="L10" i="31"/>
  <c r="L15" i="31"/>
  <c r="L25" i="31"/>
  <c r="L14" i="31"/>
  <c r="L34" i="31"/>
  <c r="L33" i="31"/>
  <c r="L24" i="31"/>
  <c r="L13" i="31"/>
  <c r="L23" i="31"/>
  <c r="L21" i="31"/>
  <c r="DF188" i="2"/>
  <c r="CH188" i="2"/>
  <c r="BJ188" i="2"/>
  <c r="AL188" i="2"/>
  <c r="EB188" i="2"/>
  <c r="DD188" i="2"/>
  <c r="CF188" i="2"/>
  <c r="BH188" i="2"/>
  <c r="AJ188" i="2"/>
  <c r="DZ188" i="2"/>
  <c r="DB188" i="2"/>
  <c r="CD188" i="2"/>
  <c r="BF188" i="2"/>
  <c r="AH188" i="2"/>
  <c r="DX188" i="2"/>
  <c r="CZ188" i="2"/>
  <c r="CB188" i="2"/>
  <c r="BD188" i="2"/>
  <c r="DV188" i="2"/>
  <c r="CX188" i="2"/>
  <c r="BZ188" i="2"/>
  <c r="BB188" i="2"/>
  <c r="DT188" i="2"/>
  <c r="CV188" i="2"/>
  <c r="BX188" i="2"/>
  <c r="AZ188" i="2"/>
  <c r="DR188" i="2"/>
  <c r="CT188" i="2"/>
  <c r="BV188" i="2"/>
  <c r="AX188" i="2"/>
  <c r="DP188" i="2"/>
  <c r="CR188" i="2"/>
  <c r="BT188" i="2"/>
  <c r="AV188" i="2"/>
  <c r="DN188" i="2"/>
  <c r="CP188" i="2"/>
  <c r="BR188" i="2"/>
  <c r="AT188" i="2"/>
  <c r="A188" i="2"/>
  <c r="DL188" i="2"/>
  <c r="CN188" i="2"/>
  <c r="BP188" i="2"/>
  <c r="AR188" i="2"/>
  <c r="DJ188" i="2"/>
  <c r="CL188" i="2"/>
  <c r="BN188" i="2"/>
  <c r="AP188" i="2"/>
  <c r="S188" i="2"/>
  <c r="T188" i="2" s="1"/>
  <c r="DH188" i="2"/>
  <c r="CJ188" i="2"/>
  <c r="BL188" i="2"/>
  <c r="AN188" i="2"/>
  <c r="B4" i="32"/>
  <c r="M6" i="31"/>
  <c r="M9" i="31" s="1"/>
  <c r="N9" i="31" s="1"/>
  <c r="L8" i="31"/>
  <c r="L9" i="31"/>
  <c r="AC189" i="2"/>
  <c r="AD189" i="2" s="1"/>
  <c r="G189" i="2"/>
  <c r="E189" i="2"/>
  <c r="D189" i="2"/>
  <c r="C190" i="2"/>
  <c r="V189" i="2"/>
  <c r="F189" i="2" l="1"/>
  <c r="AB189" i="2" s="1"/>
  <c r="L26" i="31"/>
  <c r="L57" i="31" s="1"/>
  <c r="DJ189" i="2"/>
  <c r="CL189" i="2"/>
  <c r="BN189" i="2"/>
  <c r="AP189" i="2"/>
  <c r="A189" i="2"/>
  <c r="DH189" i="2"/>
  <c r="CJ189" i="2"/>
  <c r="BL189" i="2"/>
  <c r="AN189" i="2"/>
  <c r="DF189" i="2"/>
  <c r="CH189" i="2"/>
  <c r="BJ189" i="2"/>
  <c r="AL189" i="2"/>
  <c r="S189" i="2"/>
  <c r="T189" i="2" s="1"/>
  <c r="EB189" i="2"/>
  <c r="DD189" i="2"/>
  <c r="CF189" i="2"/>
  <c r="BH189" i="2"/>
  <c r="AJ189" i="2"/>
  <c r="DZ189" i="2"/>
  <c r="DB189" i="2"/>
  <c r="CD189" i="2"/>
  <c r="BF189" i="2"/>
  <c r="AH189" i="2"/>
  <c r="DX189" i="2"/>
  <c r="CZ189" i="2"/>
  <c r="CB189" i="2"/>
  <c r="BD189" i="2"/>
  <c r="DV189" i="2"/>
  <c r="CX189" i="2"/>
  <c r="BZ189" i="2"/>
  <c r="BB189" i="2"/>
  <c r="DT189" i="2"/>
  <c r="CV189" i="2"/>
  <c r="BX189" i="2"/>
  <c r="AZ189" i="2"/>
  <c r="DR189" i="2"/>
  <c r="CT189" i="2"/>
  <c r="BV189" i="2"/>
  <c r="AX189" i="2"/>
  <c r="DP189" i="2"/>
  <c r="CR189" i="2"/>
  <c r="BT189" i="2"/>
  <c r="AV189" i="2"/>
  <c r="DN189" i="2"/>
  <c r="CP189" i="2"/>
  <c r="BR189" i="2"/>
  <c r="AT189" i="2"/>
  <c r="DL189" i="2"/>
  <c r="CN189" i="2"/>
  <c r="BP189" i="2"/>
  <c r="AR189" i="2"/>
  <c r="W188" i="2"/>
  <c r="B189" i="2"/>
  <c r="M8" i="31"/>
  <c r="N8" i="31" s="1"/>
  <c r="C4" i="32"/>
  <c r="B6" i="32"/>
  <c r="M20" i="31"/>
  <c r="N20" i="31" s="1"/>
  <c r="M19" i="31"/>
  <c r="N19" i="31" s="1"/>
  <c r="M30" i="31"/>
  <c r="N30" i="31" s="1"/>
  <c r="M18" i="31"/>
  <c r="N18" i="31" s="1"/>
  <c r="M39" i="31"/>
  <c r="N39" i="31" s="1"/>
  <c r="M17" i="31"/>
  <c r="N17" i="31" s="1"/>
  <c r="M11" i="31"/>
  <c r="N11" i="31" s="1"/>
  <c r="M38" i="31"/>
  <c r="N38" i="31" s="1"/>
  <c r="M16" i="31"/>
  <c r="N16" i="31" s="1"/>
  <c r="M10" i="31"/>
  <c r="N10" i="31" s="1"/>
  <c r="M15" i="31"/>
  <c r="N15" i="31" s="1"/>
  <c r="M25" i="31"/>
  <c r="N25" i="31" s="1"/>
  <c r="M14" i="31"/>
  <c r="N14" i="31" s="1"/>
  <c r="M34" i="31"/>
  <c r="N34" i="31" s="1"/>
  <c r="M33" i="31"/>
  <c r="N33" i="31" s="1"/>
  <c r="M24" i="31"/>
  <c r="N24" i="31" s="1"/>
  <c r="M13" i="31"/>
  <c r="N13" i="31" s="1"/>
  <c r="M23" i="31"/>
  <c r="N23" i="31" s="1"/>
  <c r="M22" i="31"/>
  <c r="N22" i="31" s="1"/>
  <c r="M32" i="31"/>
  <c r="N32" i="31" s="1"/>
  <c r="N6" i="31"/>
  <c r="M21" i="31"/>
  <c r="N21" i="31" s="1"/>
  <c r="V190" i="2"/>
  <c r="C191" i="2"/>
  <c r="G190" i="2"/>
  <c r="AC190" i="2"/>
  <c r="AD190" i="2" s="1"/>
  <c r="E190" i="2"/>
  <c r="D190" i="2"/>
  <c r="F190" i="2" s="1"/>
  <c r="AB190" i="2" s="1"/>
  <c r="L17" i="8"/>
  <c r="N17" i="9"/>
  <c r="J17" i="9"/>
  <c r="L17" i="9"/>
  <c r="M17" i="9"/>
  <c r="F17" i="9"/>
  <c r="F17" i="8"/>
  <c r="K17" i="9"/>
  <c r="O17" i="8"/>
  <c r="I17" i="8"/>
  <c r="G17" i="9"/>
  <c r="Q17" i="8" l="1"/>
  <c r="K17" i="8"/>
  <c r="N17" i="8"/>
  <c r="B9" i="32"/>
  <c r="B7" i="32"/>
  <c r="H17" i="8"/>
  <c r="G17" i="8"/>
  <c r="R17" i="8"/>
  <c r="S17" i="8" s="1"/>
  <c r="J17" i="8"/>
  <c r="M17" i="8"/>
  <c r="P17" i="8"/>
  <c r="O17" i="9"/>
  <c r="P17" i="9" s="1"/>
  <c r="W189" i="2"/>
  <c r="B190" i="2"/>
  <c r="M26" i="31"/>
  <c r="M31" i="31"/>
  <c r="N31" i="31" s="1"/>
  <c r="B38" i="32"/>
  <c r="B16" i="32"/>
  <c r="B10" i="32"/>
  <c r="B15" i="32"/>
  <c r="B25" i="32"/>
  <c r="B14" i="32"/>
  <c r="B34" i="32"/>
  <c r="B33" i="32"/>
  <c r="B24" i="32"/>
  <c r="B13" i="32"/>
  <c r="B23" i="32"/>
  <c r="B32" i="32"/>
  <c r="B21" i="32"/>
  <c r="B20" i="32"/>
  <c r="B19" i="32"/>
  <c r="B30" i="32"/>
  <c r="B31" i="32" s="1"/>
  <c r="B18" i="32"/>
  <c r="B12" i="32"/>
  <c r="B11" i="32"/>
  <c r="B39" i="32"/>
  <c r="B17" i="32"/>
  <c r="AC191" i="2"/>
  <c r="AD191" i="2" s="1"/>
  <c r="E191" i="2"/>
  <c r="D191" i="2"/>
  <c r="F191" i="2" s="1"/>
  <c r="AB191" i="2" s="1"/>
  <c r="V191" i="2"/>
  <c r="C192" i="2"/>
  <c r="G191" i="2"/>
  <c r="D4" i="32"/>
  <c r="C6" i="32"/>
  <c r="C9" i="32" s="1"/>
  <c r="DN190" i="2"/>
  <c r="CP190" i="2"/>
  <c r="BR190" i="2"/>
  <c r="AT190" i="2"/>
  <c r="DL190" i="2"/>
  <c r="CN190" i="2"/>
  <c r="BP190" i="2"/>
  <c r="AR190" i="2"/>
  <c r="A190" i="2"/>
  <c r="DJ190" i="2"/>
  <c r="CL190" i="2"/>
  <c r="BN190" i="2"/>
  <c r="AP190" i="2"/>
  <c r="DH190" i="2"/>
  <c r="CJ190" i="2"/>
  <c r="BL190" i="2"/>
  <c r="S190" i="2"/>
  <c r="T190" i="2" s="1"/>
  <c r="DF190" i="2"/>
  <c r="CH190" i="2"/>
  <c r="BJ190" i="2"/>
  <c r="AN190" i="2"/>
  <c r="EB190" i="2"/>
  <c r="DD190" i="2"/>
  <c r="CF190" i="2"/>
  <c r="BH190" i="2"/>
  <c r="AL190" i="2"/>
  <c r="DZ190" i="2"/>
  <c r="DB190" i="2"/>
  <c r="CD190" i="2"/>
  <c r="BF190" i="2"/>
  <c r="AJ190" i="2"/>
  <c r="DX190" i="2"/>
  <c r="CZ190" i="2"/>
  <c r="CB190" i="2"/>
  <c r="BD190" i="2"/>
  <c r="AH190" i="2"/>
  <c r="DV190" i="2"/>
  <c r="CX190" i="2"/>
  <c r="BZ190" i="2"/>
  <c r="BB190" i="2"/>
  <c r="DT190" i="2"/>
  <c r="CV190" i="2"/>
  <c r="BX190" i="2"/>
  <c r="AZ190" i="2"/>
  <c r="DR190" i="2"/>
  <c r="CT190" i="2"/>
  <c r="BV190" i="2"/>
  <c r="AX190" i="2"/>
  <c r="DP190" i="2"/>
  <c r="CR190" i="2"/>
  <c r="BT190" i="2"/>
  <c r="AV190" i="2"/>
  <c r="B8" i="32"/>
  <c r="B17" i="8"/>
  <c r="B17" i="9"/>
  <c r="E17" i="8"/>
  <c r="E17" i="9"/>
  <c r="C8" i="32" l="1"/>
  <c r="E4" i="32"/>
  <c r="D6" i="32"/>
  <c r="DV191" i="2"/>
  <c r="CX191" i="2"/>
  <c r="BZ191" i="2"/>
  <c r="BB191" i="2"/>
  <c r="DT191" i="2"/>
  <c r="CV191" i="2"/>
  <c r="BX191" i="2"/>
  <c r="AZ191" i="2"/>
  <c r="DR191" i="2"/>
  <c r="CT191" i="2"/>
  <c r="BV191" i="2"/>
  <c r="AX191" i="2"/>
  <c r="DP191" i="2"/>
  <c r="CR191" i="2"/>
  <c r="BT191" i="2"/>
  <c r="AV191" i="2"/>
  <c r="DN191" i="2"/>
  <c r="CP191" i="2"/>
  <c r="BR191" i="2"/>
  <c r="AT191" i="2"/>
  <c r="A191" i="2"/>
  <c r="DL191" i="2"/>
  <c r="CN191" i="2"/>
  <c r="BP191" i="2"/>
  <c r="AR191" i="2"/>
  <c r="DJ191" i="2"/>
  <c r="CL191" i="2"/>
  <c r="BN191" i="2"/>
  <c r="AP191" i="2"/>
  <c r="S191" i="2"/>
  <c r="T191" i="2" s="1"/>
  <c r="DH191" i="2"/>
  <c r="CJ191" i="2"/>
  <c r="BL191" i="2"/>
  <c r="AN191" i="2"/>
  <c r="DF191" i="2"/>
  <c r="CH191" i="2"/>
  <c r="BJ191" i="2"/>
  <c r="AL191" i="2"/>
  <c r="EB191" i="2"/>
  <c r="DD191" i="2"/>
  <c r="CF191" i="2"/>
  <c r="BH191" i="2"/>
  <c r="AJ191" i="2"/>
  <c r="DZ191" i="2"/>
  <c r="DB191" i="2"/>
  <c r="CD191" i="2"/>
  <c r="BF191" i="2"/>
  <c r="AH191" i="2"/>
  <c r="DX191" i="2"/>
  <c r="CZ191" i="2"/>
  <c r="CB191" i="2"/>
  <c r="BD191" i="2"/>
  <c r="N26" i="31"/>
  <c r="M57" i="31"/>
  <c r="G192" i="2"/>
  <c r="AC192" i="2"/>
  <c r="AD192" i="2" s="1"/>
  <c r="E192" i="2"/>
  <c r="D192" i="2"/>
  <c r="V192" i="2"/>
  <c r="C193" i="2"/>
  <c r="W190" i="2"/>
  <c r="B191" i="2"/>
  <c r="B26" i="32"/>
  <c r="C15" i="32"/>
  <c r="C25" i="32"/>
  <c r="C14" i="32"/>
  <c r="C34" i="32"/>
  <c r="C33" i="32"/>
  <c r="C24" i="32"/>
  <c r="C13" i="32"/>
  <c r="C23" i="32"/>
  <c r="C32" i="32"/>
  <c r="C22" i="32"/>
  <c r="C21" i="32"/>
  <c r="C20" i="32"/>
  <c r="C19" i="32"/>
  <c r="C30" i="32"/>
  <c r="C31" i="32" s="1"/>
  <c r="C18" i="32"/>
  <c r="C12" i="32"/>
  <c r="C39" i="32"/>
  <c r="C17" i="32"/>
  <c r="C11" i="32"/>
  <c r="C10" i="32"/>
  <c r="C38" i="32"/>
  <c r="C16" i="32"/>
  <c r="F17" i="4"/>
  <c r="G17" i="10"/>
  <c r="F17" i="3"/>
  <c r="F17" i="12"/>
  <c r="G17" i="3" l="1"/>
  <c r="H17" i="3"/>
  <c r="H17" i="12"/>
  <c r="G17" i="12"/>
  <c r="C194" i="2"/>
  <c r="G193" i="2"/>
  <c r="AC193" i="2"/>
  <c r="AD193" i="2" s="1"/>
  <c r="E193" i="2"/>
  <c r="D193" i="2"/>
  <c r="V193" i="2"/>
  <c r="W191" i="2"/>
  <c r="B192" i="2"/>
  <c r="F192" i="2"/>
  <c r="AB192" i="2" s="1"/>
  <c r="D25" i="32"/>
  <c r="D14" i="32"/>
  <c r="D34" i="32"/>
  <c r="D33" i="32"/>
  <c r="D24" i="32"/>
  <c r="D13" i="32"/>
  <c r="D23" i="32"/>
  <c r="D32" i="32"/>
  <c r="D22" i="32"/>
  <c r="D20" i="32"/>
  <c r="D19" i="32"/>
  <c r="D30" i="32"/>
  <c r="D18" i="32"/>
  <c r="D39" i="32"/>
  <c r="D17" i="32"/>
  <c r="D11" i="32"/>
  <c r="D38" i="32"/>
  <c r="D16" i="32"/>
  <c r="D10" i="32"/>
  <c r="D15" i="32"/>
  <c r="D21" i="32"/>
  <c r="B57" i="32"/>
  <c r="D9" i="32"/>
  <c r="DF192" i="2"/>
  <c r="CH192" i="2"/>
  <c r="BJ192" i="2"/>
  <c r="AL192" i="2"/>
  <c r="EB192" i="2"/>
  <c r="DD192" i="2"/>
  <c r="CF192" i="2"/>
  <c r="BH192" i="2"/>
  <c r="AJ192" i="2"/>
  <c r="DZ192" i="2"/>
  <c r="DB192" i="2"/>
  <c r="CD192" i="2"/>
  <c r="BF192" i="2"/>
  <c r="AH192" i="2"/>
  <c r="DX192" i="2"/>
  <c r="CZ192" i="2"/>
  <c r="CB192" i="2"/>
  <c r="BD192" i="2"/>
  <c r="DV192" i="2"/>
  <c r="CX192" i="2"/>
  <c r="BZ192" i="2"/>
  <c r="BB192" i="2"/>
  <c r="DT192" i="2"/>
  <c r="CV192" i="2"/>
  <c r="BX192" i="2"/>
  <c r="AZ192" i="2"/>
  <c r="DR192" i="2"/>
  <c r="CT192" i="2"/>
  <c r="BV192" i="2"/>
  <c r="AX192" i="2"/>
  <c r="DP192" i="2"/>
  <c r="CR192" i="2"/>
  <c r="BT192" i="2"/>
  <c r="AV192" i="2"/>
  <c r="DN192" i="2"/>
  <c r="CP192" i="2"/>
  <c r="BR192" i="2"/>
  <c r="AT192" i="2"/>
  <c r="A192" i="2"/>
  <c r="DL192" i="2"/>
  <c r="CN192" i="2"/>
  <c r="BP192" i="2"/>
  <c r="AR192" i="2"/>
  <c r="DJ192" i="2"/>
  <c r="CL192" i="2"/>
  <c r="BN192" i="2"/>
  <c r="AP192" i="2"/>
  <c r="S192" i="2"/>
  <c r="T192" i="2" s="1"/>
  <c r="DH192" i="2"/>
  <c r="CJ192" i="2"/>
  <c r="BL192" i="2"/>
  <c r="AN192" i="2"/>
  <c r="F4" i="32"/>
  <c r="E6" i="32"/>
  <c r="N57" i="31"/>
  <c r="C26" i="32"/>
  <c r="H60" i="31"/>
  <c r="B60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D8" i="32"/>
  <c r="B17" i="4"/>
  <c r="B17" i="3"/>
  <c r="E17" i="4"/>
  <c r="E17" i="12"/>
  <c r="F17" i="10"/>
  <c r="H17" i="4"/>
  <c r="E17" i="3"/>
  <c r="G17" i="4"/>
  <c r="C17" i="10"/>
  <c r="I17" i="4"/>
  <c r="K17" i="4"/>
  <c r="J17" i="4"/>
  <c r="B17" i="12"/>
  <c r="O17" i="3"/>
  <c r="C17" i="4" l="1"/>
  <c r="B17" i="6"/>
  <c r="C17" i="3"/>
  <c r="B17" i="5"/>
  <c r="B17" i="7"/>
  <c r="E17" i="5"/>
  <c r="E17" i="7"/>
  <c r="E17" i="6"/>
  <c r="O17" i="4"/>
  <c r="P17" i="4" s="1"/>
  <c r="X17" i="11" s="1"/>
  <c r="E25" i="32"/>
  <c r="E14" i="32"/>
  <c r="E34" i="32"/>
  <c r="E33" i="32"/>
  <c r="E24" i="32"/>
  <c r="E13" i="32"/>
  <c r="E23" i="32"/>
  <c r="E32" i="32"/>
  <c r="E22" i="32"/>
  <c r="E20" i="32"/>
  <c r="E19" i="32"/>
  <c r="E30" i="32"/>
  <c r="E31" i="32" s="1"/>
  <c r="E18" i="32"/>
  <c r="E39" i="32"/>
  <c r="E17" i="32"/>
  <c r="E11" i="32"/>
  <c r="E38" i="32"/>
  <c r="E16" i="32"/>
  <c r="E10" i="32"/>
  <c r="E15" i="32"/>
  <c r="E21" i="32"/>
  <c r="F193" i="2"/>
  <c r="AB193" i="2" s="1"/>
  <c r="C28" i="31"/>
  <c r="C58" i="31" s="1"/>
  <c r="C59" i="31" s="1"/>
  <c r="E9" i="32"/>
  <c r="D28" i="31"/>
  <c r="D58" i="31" s="1"/>
  <c r="D59" i="31" s="1"/>
  <c r="N27" i="31"/>
  <c r="B28" i="31"/>
  <c r="B58" i="31" s="1"/>
  <c r="DN193" i="2"/>
  <c r="CP193" i="2"/>
  <c r="BR193" i="2"/>
  <c r="AT193" i="2"/>
  <c r="A193" i="2"/>
  <c r="DL193" i="2"/>
  <c r="CN193" i="2"/>
  <c r="BP193" i="2"/>
  <c r="AR193" i="2"/>
  <c r="DJ193" i="2"/>
  <c r="CL193" i="2"/>
  <c r="BN193" i="2"/>
  <c r="AP193" i="2"/>
  <c r="S193" i="2"/>
  <c r="T193" i="2" s="1"/>
  <c r="DH193" i="2"/>
  <c r="CJ193" i="2"/>
  <c r="BL193" i="2"/>
  <c r="AN193" i="2"/>
  <c r="DF193" i="2"/>
  <c r="CH193" i="2"/>
  <c r="BJ193" i="2"/>
  <c r="AL193" i="2"/>
  <c r="EB193" i="2"/>
  <c r="DD193" i="2"/>
  <c r="CF193" i="2"/>
  <c r="BH193" i="2"/>
  <c r="AJ193" i="2"/>
  <c r="DZ193" i="2"/>
  <c r="DB193" i="2"/>
  <c r="CD193" i="2"/>
  <c r="BF193" i="2"/>
  <c r="AH193" i="2"/>
  <c r="DX193" i="2"/>
  <c r="CZ193" i="2"/>
  <c r="CB193" i="2"/>
  <c r="BD193" i="2"/>
  <c r="DV193" i="2"/>
  <c r="CX193" i="2"/>
  <c r="BZ193" i="2"/>
  <c r="BB193" i="2"/>
  <c r="DT193" i="2"/>
  <c r="CV193" i="2"/>
  <c r="BX193" i="2"/>
  <c r="AZ193" i="2"/>
  <c r="DR193" i="2"/>
  <c r="CT193" i="2"/>
  <c r="BV193" i="2"/>
  <c r="AX193" i="2"/>
  <c r="DP193" i="2"/>
  <c r="CR193" i="2"/>
  <c r="BT193" i="2"/>
  <c r="AV193" i="2"/>
  <c r="G4" i="32"/>
  <c r="F6" i="32"/>
  <c r="AC194" i="2"/>
  <c r="AD194" i="2" s="1"/>
  <c r="E194" i="2"/>
  <c r="D194" i="2"/>
  <c r="F194" i="2" s="1"/>
  <c r="AB194" i="2" s="1"/>
  <c r="V194" i="2"/>
  <c r="C195" i="2"/>
  <c r="G194" i="2"/>
  <c r="M28" i="31"/>
  <c r="M58" i="31" s="1"/>
  <c r="M59" i="31" s="1"/>
  <c r="L28" i="31"/>
  <c r="L58" i="31" s="1"/>
  <c r="L59" i="31" s="1"/>
  <c r="E8" i="32"/>
  <c r="K28" i="31"/>
  <c r="K58" i="31" s="1"/>
  <c r="K59" i="31" s="1"/>
  <c r="D31" i="32"/>
  <c r="E28" i="31"/>
  <c r="E58" i="31" s="1"/>
  <c r="E59" i="31" s="1"/>
  <c r="D26" i="32"/>
  <c r="I28" i="31"/>
  <c r="I58" i="31" s="1"/>
  <c r="I59" i="31" s="1"/>
  <c r="C57" i="32"/>
  <c r="G28" i="31"/>
  <c r="J28" i="31"/>
  <c r="J58" i="31" s="1"/>
  <c r="J59" i="31" s="1"/>
  <c r="H28" i="31"/>
  <c r="H58" i="31" s="1"/>
  <c r="H59" i="31" s="1"/>
  <c r="F28" i="31"/>
  <c r="F58" i="31" s="1"/>
  <c r="F59" i="31" s="1"/>
  <c r="W192" i="2"/>
  <c r="B193" i="2"/>
  <c r="H17" i="10"/>
  <c r="E26" i="32" l="1"/>
  <c r="E57" i="32" s="1"/>
  <c r="J17" i="10"/>
  <c r="K17" i="10" s="1"/>
  <c r="I17" i="10"/>
  <c r="B59" i="31"/>
  <c r="G58" i="31"/>
  <c r="G59" i="31" s="1"/>
  <c r="F34" i="32"/>
  <c r="F33" i="32"/>
  <c r="F24" i="32"/>
  <c r="F13" i="32"/>
  <c r="F23" i="32"/>
  <c r="F32" i="32"/>
  <c r="F22" i="32"/>
  <c r="F20" i="32"/>
  <c r="F19" i="32"/>
  <c r="F30" i="32"/>
  <c r="F31" i="32" s="1"/>
  <c r="F18" i="32"/>
  <c r="F39" i="32"/>
  <c r="F17" i="32"/>
  <c r="F11" i="32"/>
  <c r="F38" i="32"/>
  <c r="F16" i="32"/>
  <c r="F10" i="32"/>
  <c r="F15" i="32"/>
  <c r="F25" i="32"/>
  <c r="F14" i="32"/>
  <c r="F21" i="32"/>
  <c r="F8" i="32"/>
  <c r="F9" i="32"/>
  <c r="N28" i="31"/>
  <c r="DV194" i="2"/>
  <c r="CX194" i="2"/>
  <c r="BZ194" i="2"/>
  <c r="BB194" i="2"/>
  <c r="DT194" i="2"/>
  <c r="CV194" i="2"/>
  <c r="BX194" i="2"/>
  <c r="AZ194" i="2"/>
  <c r="DR194" i="2"/>
  <c r="CT194" i="2"/>
  <c r="BV194" i="2"/>
  <c r="AX194" i="2"/>
  <c r="DP194" i="2"/>
  <c r="CR194" i="2"/>
  <c r="BT194" i="2"/>
  <c r="AV194" i="2"/>
  <c r="DN194" i="2"/>
  <c r="CP194" i="2"/>
  <c r="BR194" i="2"/>
  <c r="AT194" i="2"/>
  <c r="A194" i="2"/>
  <c r="DL194" i="2"/>
  <c r="CN194" i="2"/>
  <c r="BP194" i="2"/>
  <c r="AR194" i="2"/>
  <c r="DJ194" i="2"/>
  <c r="CL194" i="2"/>
  <c r="BN194" i="2"/>
  <c r="AP194" i="2"/>
  <c r="S194" i="2"/>
  <c r="T194" i="2" s="1"/>
  <c r="DH194" i="2"/>
  <c r="CJ194" i="2"/>
  <c r="BL194" i="2"/>
  <c r="AN194" i="2"/>
  <c r="DF194" i="2"/>
  <c r="CH194" i="2"/>
  <c r="BJ194" i="2"/>
  <c r="AL194" i="2"/>
  <c r="EB194" i="2"/>
  <c r="DD194" i="2"/>
  <c r="CF194" i="2"/>
  <c r="BH194" i="2"/>
  <c r="AJ194" i="2"/>
  <c r="DZ194" i="2"/>
  <c r="DB194" i="2"/>
  <c r="CD194" i="2"/>
  <c r="BF194" i="2"/>
  <c r="AH194" i="2"/>
  <c r="DX194" i="2"/>
  <c r="CZ194" i="2"/>
  <c r="CB194" i="2"/>
  <c r="BD194" i="2"/>
  <c r="D17" i="11"/>
  <c r="Q17" i="11" s="1"/>
  <c r="D17" i="5"/>
  <c r="D17" i="6" s="1"/>
  <c r="G195" i="2"/>
  <c r="AC195" i="2"/>
  <c r="AD195" i="2" s="1"/>
  <c r="E195" i="2"/>
  <c r="D195" i="2"/>
  <c r="F195" i="2" s="1"/>
  <c r="AB195" i="2" s="1"/>
  <c r="V195" i="2"/>
  <c r="C196" i="2"/>
  <c r="H4" i="32"/>
  <c r="G6" i="32"/>
  <c r="G9" i="32" s="1"/>
  <c r="W193" i="2"/>
  <c r="B194" i="2"/>
  <c r="D57" i="32"/>
  <c r="L17" i="11" l="1"/>
  <c r="K17" i="11"/>
  <c r="W17" i="11"/>
  <c r="N17" i="11"/>
  <c r="F26" i="32"/>
  <c r="F57" i="32" s="1"/>
  <c r="N58" i="31"/>
  <c r="N59" i="31" s="1"/>
  <c r="F60" i="31" s="1"/>
  <c r="I60" i="31" s="1"/>
  <c r="T17" i="11"/>
  <c r="R17" i="11"/>
  <c r="J17" i="11"/>
  <c r="I4" i="32"/>
  <c r="H6" i="32"/>
  <c r="H7" i="32" s="1"/>
  <c r="DF195" i="2"/>
  <c r="CH195" i="2"/>
  <c r="BJ195" i="2"/>
  <c r="AL195" i="2"/>
  <c r="EB195" i="2"/>
  <c r="DD195" i="2"/>
  <c r="CF195" i="2"/>
  <c r="BH195" i="2"/>
  <c r="AJ195" i="2"/>
  <c r="DZ195" i="2"/>
  <c r="DB195" i="2"/>
  <c r="CD195" i="2"/>
  <c r="BF195" i="2"/>
  <c r="AH195" i="2"/>
  <c r="DX195" i="2"/>
  <c r="CZ195" i="2"/>
  <c r="CB195" i="2"/>
  <c r="BD195" i="2"/>
  <c r="DV195" i="2"/>
  <c r="CX195" i="2"/>
  <c r="BZ195" i="2"/>
  <c r="BB195" i="2"/>
  <c r="DT195" i="2"/>
  <c r="CV195" i="2"/>
  <c r="BX195" i="2"/>
  <c r="AZ195" i="2"/>
  <c r="DR195" i="2"/>
  <c r="CT195" i="2"/>
  <c r="BV195" i="2"/>
  <c r="AX195" i="2"/>
  <c r="DP195" i="2"/>
  <c r="CR195" i="2"/>
  <c r="BT195" i="2"/>
  <c r="AV195" i="2"/>
  <c r="DN195" i="2"/>
  <c r="CP195" i="2"/>
  <c r="BR195" i="2"/>
  <c r="AT195" i="2"/>
  <c r="A195" i="2"/>
  <c r="DL195" i="2"/>
  <c r="CN195" i="2"/>
  <c r="BP195" i="2"/>
  <c r="AR195" i="2"/>
  <c r="DJ195" i="2"/>
  <c r="CL195" i="2"/>
  <c r="BN195" i="2"/>
  <c r="AP195" i="2"/>
  <c r="S195" i="2"/>
  <c r="T195" i="2" s="1"/>
  <c r="DH195" i="2"/>
  <c r="CJ195" i="2"/>
  <c r="BL195" i="2"/>
  <c r="AN195" i="2"/>
  <c r="G8" i="32"/>
  <c r="S17" i="11"/>
  <c r="D17" i="7"/>
  <c r="D17" i="8" s="1"/>
  <c r="D17" i="9" s="1"/>
  <c r="D17" i="10" s="1"/>
  <c r="C17" i="12" s="1"/>
  <c r="R17" i="6"/>
  <c r="M17" i="11"/>
  <c r="U17" i="11"/>
  <c r="G33" i="32"/>
  <c r="G24" i="32"/>
  <c r="G13" i="32"/>
  <c r="G23" i="32"/>
  <c r="G32" i="32"/>
  <c r="G22" i="32"/>
  <c r="G20" i="32"/>
  <c r="G19" i="32"/>
  <c r="G30" i="32"/>
  <c r="G31" i="32" s="1"/>
  <c r="G18" i="32"/>
  <c r="G39" i="32"/>
  <c r="G17" i="32"/>
  <c r="G11" i="32"/>
  <c r="G38" i="32"/>
  <c r="G16" i="32"/>
  <c r="G10" i="32"/>
  <c r="G15" i="32"/>
  <c r="G25" i="32"/>
  <c r="G14" i="32"/>
  <c r="G34" i="32"/>
  <c r="G21" i="32"/>
  <c r="W194" i="2"/>
  <c r="B195" i="2"/>
  <c r="O17" i="11"/>
  <c r="V17" i="11"/>
  <c r="C197" i="2"/>
  <c r="G196" i="2"/>
  <c r="AC196" i="2"/>
  <c r="AD196" i="2" s="1"/>
  <c r="E196" i="2"/>
  <c r="D196" i="2"/>
  <c r="V196" i="2"/>
  <c r="P17" i="11"/>
  <c r="G60" i="31" l="1"/>
  <c r="G26" i="32"/>
  <c r="G57" i="32" s="1"/>
  <c r="G17" i="11"/>
  <c r="H17" i="11" s="1"/>
  <c r="H23" i="32"/>
  <c r="H32" i="32"/>
  <c r="H22" i="32"/>
  <c r="H20" i="32"/>
  <c r="H19" i="32"/>
  <c r="H30" i="32"/>
  <c r="H31" i="32" s="1"/>
  <c r="H18" i="32"/>
  <c r="N7" i="32"/>
  <c r="H39" i="32"/>
  <c r="H17" i="32"/>
  <c r="H11" i="32"/>
  <c r="H38" i="32"/>
  <c r="H16" i="32"/>
  <c r="H10" i="32"/>
  <c r="H15" i="32"/>
  <c r="H25" i="32"/>
  <c r="H14" i="32"/>
  <c r="H34" i="32"/>
  <c r="H24" i="32"/>
  <c r="H13" i="32"/>
  <c r="H33" i="32"/>
  <c r="H21" i="32"/>
  <c r="DN196" i="2"/>
  <c r="CP196" i="2"/>
  <c r="BR196" i="2"/>
  <c r="AT196" i="2"/>
  <c r="A196" i="2"/>
  <c r="DL196" i="2"/>
  <c r="CN196" i="2"/>
  <c r="BP196" i="2"/>
  <c r="AR196" i="2"/>
  <c r="DJ196" i="2"/>
  <c r="CL196" i="2"/>
  <c r="BN196" i="2"/>
  <c r="AP196" i="2"/>
  <c r="S196" i="2"/>
  <c r="T196" i="2" s="1"/>
  <c r="DH196" i="2"/>
  <c r="CJ196" i="2"/>
  <c r="BL196" i="2"/>
  <c r="AN196" i="2"/>
  <c r="DF196" i="2"/>
  <c r="CH196" i="2"/>
  <c r="BJ196" i="2"/>
  <c r="AL196" i="2"/>
  <c r="EB196" i="2"/>
  <c r="DD196" i="2"/>
  <c r="CF196" i="2"/>
  <c r="BH196" i="2"/>
  <c r="AJ196" i="2"/>
  <c r="DZ196" i="2"/>
  <c r="DB196" i="2"/>
  <c r="CD196" i="2"/>
  <c r="BF196" i="2"/>
  <c r="AH196" i="2"/>
  <c r="DX196" i="2"/>
  <c r="CZ196" i="2"/>
  <c r="CB196" i="2"/>
  <c r="BD196" i="2"/>
  <c r="DV196" i="2"/>
  <c r="CX196" i="2"/>
  <c r="BZ196" i="2"/>
  <c r="BB196" i="2"/>
  <c r="DT196" i="2"/>
  <c r="CV196" i="2"/>
  <c r="BX196" i="2"/>
  <c r="AZ196" i="2"/>
  <c r="DR196" i="2"/>
  <c r="CT196" i="2"/>
  <c r="BV196" i="2"/>
  <c r="AX196" i="2"/>
  <c r="DP196" i="2"/>
  <c r="CR196" i="2"/>
  <c r="BT196" i="2"/>
  <c r="AV196" i="2"/>
  <c r="AC197" i="2"/>
  <c r="AD197" i="2" s="1"/>
  <c r="E197" i="2"/>
  <c r="D197" i="2"/>
  <c r="V197" i="2"/>
  <c r="C198" i="2"/>
  <c r="G197" i="2"/>
  <c r="H8" i="32"/>
  <c r="H9" i="32"/>
  <c r="J4" i="32"/>
  <c r="I6" i="32"/>
  <c r="I9" i="32" s="1"/>
  <c r="W195" i="2"/>
  <c r="B196" i="2"/>
  <c r="F196" i="2"/>
  <c r="AB196" i="2" s="1"/>
  <c r="C17" i="11" l="1"/>
  <c r="E17" i="11" s="1"/>
  <c r="I8" i="32"/>
  <c r="DV197" i="2"/>
  <c r="CX197" i="2"/>
  <c r="BZ197" i="2"/>
  <c r="BB197" i="2"/>
  <c r="DT197" i="2"/>
  <c r="CV197" i="2"/>
  <c r="BX197" i="2"/>
  <c r="AZ197" i="2"/>
  <c r="DR197" i="2"/>
  <c r="CT197" i="2"/>
  <c r="BV197" i="2"/>
  <c r="AX197" i="2"/>
  <c r="DP197" i="2"/>
  <c r="CR197" i="2"/>
  <c r="BT197" i="2"/>
  <c r="AV197" i="2"/>
  <c r="DN197" i="2"/>
  <c r="CP197" i="2"/>
  <c r="BR197" i="2"/>
  <c r="AT197" i="2"/>
  <c r="A197" i="2"/>
  <c r="DL197" i="2"/>
  <c r="CN197" i="2"/>
  <c r="BP197" i="2"/>
  <c r="AR197" i="2"/>
  <c r="DJ197" i="2"/>
  <c r="CL197" i="2"/>
  <c r="BN197" i="2"/>
  <c r="AP197" i="2"/>
  <c r="S197" i="2"/>
  <c r="T197" i="2" s="1"/>
  <c r="DH197" i="2"/>
  <c r="CJ197" i="2"/>
  <c r="BL197" i="2"/>
  <c r="AN197" i="2"/>
  <c r="DF197" i="2"/>
  <c r="CH197" i="2"/>
  <c r="BJ197" i="2"/>
  <c r="AL197" i="2"/>
  <c r="EB197" i="2"/>
  <c r="DD197" i="2"/>
  <c r="CF197" i="2"/>
  <c r="BH197" i="2"/>
  <c r="AJ197" i="2"/>
  <c r="DZ197" i="2"/>
  <c r="DB197" i="2"/>
  <c r="CD197" i="2"/>
  <c r="BF197" i="2"/>
  <c r="AH197" i="2"/>
  <c r="DX197" i="2"/>
  <c r="CZ197" i="2"/>
  <c r="CB197" i="2"/>
  <c r="BD197" i="2"/>
  <c r="G198" i="2"/>
  <c r="AC198" i="2"/>
  <c r="AD198" i="2" s="1"/>
  <c r="E198" i="2"/>
  <c r="D198" i="2"/>
  <c r="V198" i="2"/>
  <c r="C199" i="2"/>
  <c r="W196" i="2"/>
  <c r="B197" i="2"/>
  <c r="F197" i="2"/>
  <c r="AB197" i="2" s="1"/>
  <c r="I32" i="32"/>
  <c r="I22" i="32"/>
  <c r="I20" i="32"/>
  <c r="I19" i="32"/>
  <c r="I30" i="32"/>
  <c r="I31" i="32" s="1"/>
  <c r="I18" i="32"/>
  <c r="I39" i="32"/>
  <c r="I17" i="32"/>
  <c r="I11" i="32"/>
  <c r="I38" i="32"/>
  <c r="I16" i="32"/>
  <c r="I10" i="32"/>
  <c r="I15" i="32"/>
  <c r="I25" i="32"/>
  <c r="I14" i="32"/>
  <c r="I34" i="32"/>
  <c r="I33" i="32"/>
  <c r="I24" i="32"/>
  <c r="I13" i="32"/>
  <c r="I23" i="32"/>
  <c r="I21" i="32"/>
  <c r="H26" i="32"/>
  <c r="K4" i="32"/>
  <c r="J6" i="32"/>
  <c r="J8" i="32" s="1"/>
  <c r="I26" i="32" l="1"/>
  <c r="I57" i="32" s="1"/>
  <c r="C200" i="2"/>
  <c r="G199" i="2"/>
  <c r="AC199" i="2"/>
  <c r="AD199" i="2" s="1"/>
  <c r="E199" i="2"/>
  <c r="D199" i="2"/>
  <c r="V199" i="2"/>
  <c r="W197" i="2"/>
  <c r="B198" i="2"/>
  <c r="L4" i="32"/>
  <c r="K6" i="32"/>
  <c r="K9" i="32" s="1"/>
  <c r="F198" i="2"/>
  <c r="AB198" i="2" s="1"/>
  <c r="DF198" i="2"/>
  <c r="CH198" i="2"/>
  <c r="BJ198" i="2"/>
  <c r="AL198" i="2"/>
  <c r="EB198" i="2"/>
  <c r="DD198" i="2"/>
  <c r="CF198" i="2"/>
  <c r="BH198" i="2"/>
  <c r="AJ198" i="2"/>
  <c r="DZ198" i="2"/>
  <c r="DB198" i="2"/>
  <c r="CD198" i="2"/>
  <c r="BF198" i="2"/>
  <c r="AH198" i="2"/>
  <c r="DX198" i="2"/>
  <c r="CZ198" i="2"/>
  <c r="CB198" i="2"/>
  <c r="BD198" i="2"/>
  <c r="DV198" i="2"/>
  <c r="CX198" i="2"/>
  <c r="BZ198" i="2"/>
  <c r="BB198" i="2"/>
  <c r="DT198" i="2"/>
  <c r="CV198" i="2"/>
  <c r="BX198" i="2"/>
  <c r="AZ198" i="2"/>
  <c r="DR198" i="2"/>
  <c r="CT198" i="2"/>
  <c r="BV198" i="2"/>
  <c r="AX198" i="2"/>
  <c r="DP198" i="2"/>
  <c r="CR198" i="2"/>
  <c r="BT198" i="2"/>
  <c r="AV198" i="2"/>
  <c r="DN198" i="2"/>
  <c r="CP198" i="2"/>
  <c r="BR198" i="2"/>
  <c r="AT198" i="2"/>
  <c r="A198" i="2"/>
  <c r="DL198" i="2"/>
  <c r="CN198" i="2"/>
  <c r="BP198" i="2"/>
  <c r="AR198" i="2"/>
  <c r="DJ198" i="2"/>
  <c r="CL198" i="2"/>
  <c r="BN198" i="2"/>
  <c r="AP198" i="2"/>
  <c r="S198" i="2"/>
  <c r="T198" i="2" s="1"/>
  <c r="DH198" i="2"/>
  <c r="CJ198" i="2"/>
  <c r="BL198" i="2"/>
  <c r="AN198" i="2"/>
  <c r="J20" i="32"/>
  <c r="J19" i="32"/>
  <c r="J30" i="32"/>
  <c r="J31" i="32" s="1"/>
  <c r="J18" i="32"/>
  <c r="J39" i="32"/>
  <c r="J17" i="32"/>
  <c r="J11" i="32"/>
  <c r="J38" i="32"/>
  <c r="J16" i="32"/>
  <c r="J10" i="32"/>
  <c r="J15" i="32"/>
  <c r="J25" i="32"/>
  <c r="J14" i="32"/>
  <c r="J34" i="32"/>
  <c r="J12" i="32"/>
  <c r="J33" i="32"/>
  <c r="J24" i="32"/>
  <c r="J13" i="32"/>
  <c r="J23" i="32"/>
  <c r="J22" i="32"/>
  <c r="J32" i="32"/>
  <c r="J21" i="32"/>
  <c r="J9" i="32"/>
  <c r="H57" i="32"/>
  <c r="J26" i="32" l="1"/>
  <c r="J57" i="32" s="1"/>
  <c r="W198" i="2"/>
  <c r="B199" i="2"/>
  <c r="F199" i="2"/>
  <c r="AB199" i="2" s="1"/>
  <c r="DN199" i="2"/>
  <c r="CP199" i="2"/>
  <c r="BR199" i="2"/>
  <c r="AT199" i="2"/>
  <c r="A199" i="2"/>
  <c r="DL199" i="2"/>
  <c r="CN199" i="2"/>
  <c r="BP199" i="2"/>
  <c r="AR199" i="2"/>
  <c r="DJ199" i="2"/>
  <c r="CL199" i="2"/>
  <c r="BN199" i="2"/>
  <c r="AP199" i="2"/>
  <c r="S199" i="2"/>
  <c r="T199" i="2" s="1"/>
  <c r="DH199" i="2"/>
  <c r="CJ199" i="2"/>
  <c r="BL199" i="2"/>
  <c r="AN199" i="2"/>
  <c r="DF199" i="2"/>
  <c r="CH199" i="2"/>
  <c r="BJ199" i="2"/>
  <c r="AL199" i="2"/>
  <c r="EB199" i="2"/>
  <c r="DD199" i="2"/>
  <c r="CF199" i="2"/>
  <c r="BH199" i="2"/>
  <c r="AJ199" i="2"/>
  <c r="DZ199" i="2"/>
  <c r="DB199" i="2"/>
  <c r="CD199" i="2"/>
  <c r="BF199" i="2"/>
  <c r="AH199" i="2"/>
  <c r="DX199" i="2"/>
  <c r="CZ199" i="2"/>
  <c r="CB199" i="2"/>
  <c r="BD199" i="2"/>
  <c r="DV199" i="2"/>
  <c r="CX199" i="2"/>
  <c r="BZ199" i="2"/>
  <c r="BB199" i="2"/>
  <c r="DT199" i="2"/>
  <c r="CV199" i="2"/>
  <c r="BX199" i="2"/>
  <c r="AZ199" i="2"/>
  <c r="DR199" i="2"/>
  <c r="CT199" i="2"/>
  <c r="BV199" i="2"/>
  <c r="AX199" i="2"/>
  <c r="DP199" i="2"/>
  <c r="CR199" i="2"/>
  <c r="BT199" i="2"/>
  <c r="AV199" i="2"/>
  <c r="K19" i="32"/>
  <c r="K30" i="32"/>
  <c r="K31" i="32" s="1"/>
  <c r="K18" i="32"/>
  <c r="K39" i="32"/>
  <c r="K17" i="32"/>
  <c r="K11" i="32"/>
  <c r="K38" i="32"/>
  <c r="K16" i="32"/>
  <c r="K10" i="32"/>
  <c r="K15" i="32"/>
  <c r="K25" i="32"/>
  <c r="K14" i="32"/>
  <c r="K34" i="32"/>
  <c r="K12" i="32"/>
  <c r="N12" i="32" s="1"/>
  <c r="K33" i="32"/>
  <c r="K24" i="32"/>
  <c r="K13" i="32"/>
  <c r="K23" i="32"/>
  <c r="K32" i="32"/>
  <c r="K22" i="32"/>
  <c r="K20" i="32"/>
  <c r="K21" i="32"/>
  <c r="AC200" i="2"/>
  <c r="AD200" i="2" s="1"/>
  <c r="E200" i="2"/>
  <c r="D200" i="2"/>
  <c r="V200" i="2"/>
  <c r="C201" i="2"/>
  <c r="G200" i="2"/>
  <c r="M4" i="32"/>
  <c r="L6" i="32"/>
  <c r="L9" i="32" s="1"/>
  <c r="K8" i="32"/>
  <c r="I18" i="9"/>
  <c r="H18" i="9"/>
  <c r="K26" i="32" l="1"/>
  <c r="K57" i="32" s="1"/>
  <c r="DV200" i="2"/>
  <c r="CX200" i="2"/>
  <c r="BZ200" i="2"/>
  <c r="BB200" i="2"/>
  <c r="DT200" i="2"/>
  <c r="CV200" i="2"/>
  <c r="BX200" i="2"/>
  <c r="AZ200" i="2"/>
  <c r="DR200" i="2"/>
  <c r="CT200" i="2"/>
  <c r="BV200" i="2"/>
  <c r="AX200" i="2"/>
  <c r="DP200" i="2"/>
  <c r="CR200" i="2"/>
  <c r="BT200" i="2"/>
  <c r="AV200" i="2"/>
  <c r="DN200" i="2"/>
  <c r="CP200" i="2"/>
  <c r="BR200" i="2"/>
  <c r="AT200" i="2"/>
  <c r="A200" i="2"/>
  <c r="DL200" i="2"/>
  <c r="CN200" i="2"/>
  <c r="BP200" i="2"/>
  <c r="AR200" i="2"/>
  <c r="DJ200" i="2"/>
  <c r="CL200" i="2"/>
  <c r="BN200" i="2"/>
  <c r="AP200" i="2"/>
  <c r="S200" i="2"/>
  <c r="T200" i="2" s="1"/>
  <c r="DH200" i="2"/>
  <c r="CJ200" i="2"/>
  <c r="BL200" i="2"/>
  <c r="AN200" i="2"/>
  <c r="DF200" i="2"/>
  <c r="CH200" i="2"/>
  <c r="BJ200" i="2"/>
  <c r="AL200" i="2"/>
  <c r="EB200" i="2"/>
  <c r="DD200" i="2"/>
  <c r="CF200" i="2"/>
  <c r="BH200" i="2"/>
  <c r="AJ200" i="2"/>
  <c r="DZ200" i="2"/>
  <c r="DB200" i="2"/>
  <c r="CD200" i="2"/>
  <c r="BF200" i="2"/>
  <c r="AH200" i="2"/>
  <c r="DX200" i="2"/>
  <c r="CZ200" i="2"/>
  <c r="CB200" i="2"/>
  <c r="BD200" i="2"/>
  <c r="W199" i="2"/>
  <c r="B200" i="2"/>
  <c r="F200" i="2"/>
  <c r="AB200" i="2" s="1"/>
  <c r="AC201" i="2"/>
  <c r="AD201" i="2" s="1"/>
  <c r="G201" i="2"/>
  <c r="E201" i="2"/>
  <c r="D201" i="2"/>
  <c r="F201" i="2" s="1"/>
  <c r="AB201" i="2" s="1"/>
  <c r="C202" i="2"/>
  <c r="V201" i="2"/>
  <c r="L30" i="32"/>
  <c r="L31" i="32" s="1"/>
  <c r="L18" i="32"/>
  <c r="L39" i="32"/>
  <c r="L17" i="32"/>
  <c r="L11" i="32"/>
  <c r="L38" i="32"/>
  <c r="L16" i="32"/>
  <c r="L10" i="32"/>
  <c r="L15" i="32"/>
  <c r="L25" i="32"/>
  <c r="L14" i="32"/>
  <c r="L34" i="32"/>
  <c r="L33" i="32"/>
  <c r="L24" i="32"/>
  <c r="L13" i="32"/>
  <c r="L23" i="32"/>
  <c r="L32" i="32"/>
  <c r="L22" i="32"/>
  <c r="L20" i="32"/>
  <c r="L19" i="32"/>
  <c r="L21" i="32"/>
  <c r="B4" i="33"/>
  <c r="M6" i="32"/>
  <c r="M9" i="32" s="1"/>
  <c r="N9" i="32" s="1"/>
  <c r="L8" i="32"/>
  <c r="L26" i="32" l="1"/>
  <c r="L57" i="32" s="1"/>
  <c r="M8" i="32"/>
  <c r="N8" i="32" s="1"/>
  <c r="DZ201" i="2"/>
  <c r="DB201" i="2"/>
  <c r="CD201" i="2"/>
  <c r="BF201" i="2"/>
  <c r="AH201" i="2"/>
  <c r="DX201" i="2"/>
  <c r="CZ201" i="2"/>
  <c r="CB201" i="2"/>
  <c r="BD201" i="2"/>
  <c r="DV201" i="2"/>
  <c r="CX201" i="2"/>
  <c r="BZ201" i="2"/>
  <c r="BB201" i="2"/>
  <c r="DT201" i="2"/>
  <c r="CV201" i="2"/>
  <c r="BX201" i="2"/>
  <c r="AZ201" i="2"/>
  <c r="DR201" i="2"/>
  <c r="CT201" i="2"/>
  <c r="BV201" i="2"/>
  <c r="AX201" i="2"/>
  <c r="DP201" i="2"/>
  <c r="CR201" i="2"/>
  <c r="BT201" i="2"/>
  <c r="AV201" i="2"/>
  <c r="DN201" i="2"/>
  <c r="CP201" i="2"/>
  <c r="BR201" i="2"/>
  <c r="AT201" i="2"/>
  <c r="DL201" i="2"/>
  <c r="CN201" i="2"/>
  <c r="BP201" i="2"/>
  <c r="AR201" i="2"/>
  <c r="DJ201" i="2"/>
  <c r="CL201" i="2"/>
  <c r="BN201" i="2"/>
  <c r="AP201" i="2"/>
  <c r="A201" i="2"/>
  <c r="DH201" i="2"/>
  <c r="CJ201" i="2"/>
  <c r="BL201" i="2"/>
  <c r="AN201" i="2"/>
  <c r="DF201" i="2"/>
  <c r="CH201" i="2"/>
  <c r="BJ201" i="2"/>
  <c r="AL201" i="2"/>
  <c r="S201" i="2"/>
  <c r="T201" i="2" s="1"/>
  <c r="EB201" i="2"/>
  <c r="DD201" i="2"/>
  <c r="CF201" i="2"/>
  <c r="BH201" i="2"/>
  <c r="AJ201" i="2"/>
  <c r="W200" i="2"/>
  <c r="B201" i="2"/>
  <c r="G202" i="2"/>
  <c r="AC202" i="2"/>
  <c r="AD202" i="2" s="1"/>
  <c r="E202" i="2"/>
  <c r="D202" i="2"/>
  <c r="V202" i="2"/>
  <c r="C203" i="2"/>
  <c r="C4" i="33"/>
  <c r="B6" i="33"/>
  <c r="B7" i="33" s="1"/>
  <c r="M39" i="32"/>
  <c r="N39" i="32" s="1"/>
  <c r="M17" i="32"/>
  <c r="N17" i="32" s="1"/>
  <c r="M11" i="32"/>
  <c r="N11" i="32" s="1"/>
  <c r="M38" i="32"/>
  <c r="N38" i="32" s="1"/>
  <c r="M16" i="32"/>
  <c r="N16" i="32" s="1"/>
  <c r="M10" i="32"/>
  <c r="N10" i="32" s="1"/>
  <c r="M15" i="32"/>
  <c r="N15" i="32" s="1"/>
  <c r="M25" i="32"/>
  <c r="N25" i="32" s="1"/>
  <c r="M14" i="32"/>
  <c r="N14" i="32" s="1"/>
  <c r="M34" i="32"/>
  <c r="N34" i="32" s="1"/>
  <c r="M33" i="32"/>
  <c r="N33" i="32" s="1"/>
  <c r="M24" i="32"/>
  <c r="N24" i="32" s="1"/>
  <c r="M13" i="32"/>
  <c r="N13" i="32" s="1"/>
  <c r="M23" i="32"/>
  <c r="N23" i="32" s="1"/>
  <c r="M32" i="32"/>
  <c r="N32" i="32" s="1"/>
  <c r="M22" i="32"/>
  <c r="N22" i="32" s="1"/>
  <c r="M20" i="32"/>
  <c r="N20" i="32" s="1"/>
  <c r="M19" i="32"/>
  <c r="N19" i="32" s="1"/>
  <c r="M30" i="32"/>
  <c r="N30" i="32" s="1"/>
  <c r="M18" i="32"/>
  <c r="N18" i="32" s="1"/>
  <c r="N6" i="32"/>
  <c r="M21" i="32"/>
  <c r="N21" i="32" s="1"/>
  <c r="K18" i="9"/>
  <c r="M18" i="9"/>
  <c r="F18" i="9"/>
  <c r="L18" i="9"/>
  <c r="F18" i="8"/>
  <c r="G18" i="9"/>
  <c r="J18" i="9"/>
  <c r="N18" i="9"/>
  <c r="O18" i="8"/>
  <c r="L18" i="8"/>
  <c r="I18" i="8"/>
  <c r="Q18" i="8" l="1"/>
  <c r="N18" i="8"/>
  <c r="K18" i="8"/>
  <c r="R18" i="8"/>
  <c r="S18" i="8" s="1"/>
  <c r="H18" i="8"/>
  <c r="G18" i="8"/>
  <c r="J18" i="8"/>
  <c r="M18" i="8"/>
  <c r="O18" i="9"/>
  <c r="P18" i="9" s="1"/>
  <c r="P18" i="8"/>
  <c r="B30" i="33"/>
  <c r="B31" i="33" s="1"/>
  <c r="B18" i="33"/>
  <c r="B25" i="33"/>
  <c r="B34" i="33"/>
  <c r="B33" i="33"/>
  <c r="B24" i="33"/>
  <c r="B32" i="33"/>
  <c r="B17" i="33"/>
  <c r="B14" i="33"/>
  <c r="B13" i="33"/>
  <c r="B20" i="33"/>
  <c r="B39" i="33"/>
  <c r="B23" i="33"/>
  <c r="B12" i="33"/>
  <c r="B21" i="33"/>
  <c r="B11" i="33"/>
  <c r="B16" i="33"/>
  <c r="B10" i="33"/>
  <c r="B38" i="33"/>
  <c r="B19" i="33"/>
  <c r="B15" i="33"/>
  <c r="DF202" i="2"/>
  <c r="CH202" i="2"/>
  <c r="BJ202" i="2"/>
  <c r="AN202" i="2"/>
  <c r="EB202" i="2"/>
  <c r="DD202" i="2"/>
  <c r="CF202" i="2"/>
  <c r="BH202" i="2"/>
  <c r="AL202" i="2"/>
  <c r="DZ202" i="2"/>
  <c r="DB202" i="2"/>
  <c r="CD202" i="2"/>
  <c r="BF202" i="2"/>
  <c r="AJ202" i="2"/>
  <c r="DX202" i="2"/>
  <c r="CZ202" i="2"/>
  <c r="CB202" i="2"/>
  <c r="BD202" i="2"/>
  <c r="AH202" i="2"/>
  <c r="DV202" i="2"/>
  <c r="CX202" i="2"/>
  <c r="BZ202" i="2"/>
  <c r="BB202" i="2"/>
  <c r="DT202" i="2"/>
  <c r="CV202" i="2"/>
  <c r="BX202" i="2"/>
  <c r="AZ202" i="2"/>
  <c r="DR202" i="2"/>
  <c r="CT202" i="2"/>
  <c r="BV202" i="2"/>
  <c r="AX202" i="2"/>
  <c r="DP202" i="2"/>
  <c r="CR202" i="2"/>
  <c r="BT202" i="2"/>
  <c r="AV202" i="2"/>
  <c r="DN202" i="2"/>
  <c r="CP202" i="2"/>
  <c r="BR202" i="2"/>
  <c r="AT202" i="2"/>
  <c r="DL202" i="2"/>
  <c r="CN202" i="2"/>
  <c r="BP202" i="2"/>
  <c r="AR202" i="2"/>
  <c r="A202" i="2"/>
  <c r="DJ202" i="2"/>
  <c r="CL202" i="2"/>
  <c r="BN202" i="2"/>
  <c r="AP202" i="2"/>
  <c r="DH202" i="2"/>
  <c r="CJ202" i="2"/>
  <c r="BL202" i="2"/>
  <c r="S202" i="2"/>
  <c r="T202" i="2" s="1"/>
  <c r="B8" i="33"/>
  <c r="B9" i="33"/>
  <c r="D4" i="33"/>
  <c r="C6" i="33"/>
  <c r="M26" i="32"/>
  <c r="M31" i="32"/>
  <c r="N31" i="32" s="1"/>
  <c r="C204" i="2"/>
  <c r="G203" i="2"/>
  <c r="AC203" i="2"/>
  <c r="AD203" i="2" s="1"/>
  <c r="E203" i="2"/>
  <c r="D203" i="2"/>
  <c r="V203" i="2"/>
  <c r="W201" i="2"/>
  <c r="B202" i="2"/>
  <c r="F202" i="2"/>
  <c r="AB202" i="2" s="1"/>
  <c r="E18" i="9"/>
  <c r="B18" i="8"/>
  <c r="E18" i="8"/>
  <c r="B18" i="9"/>
  <c r="N26" i="32" l="1"/>
  <c r="M57" i="32"/>
  <c r="B26" i="33"/>
  <c r="C39" i="33"/>
  <c r="C17" i="33"/>
  <c r="C25" i="33"/>
  <c r="C34" i="33"/>
  <c r="C33" i="33"/>
  <c r="C24" i="33"/>
  <c r="C23" i="33"/>
  <c r="C32" i="33"/>
  <c r="C22" i="33"/>
  <c r="C13" i="33"/>
  <c r="C20" i="33"/>
  <c r="C18" i="33"/>
  <c r="C12" i="33"/>
  <c r="C21" i="33"/>
  <c r="C11" i="33"/>
  <c r="C16" i="33"/>
  <c r="C10" i="33"/>
  <c r="C38" i="33"/>
  <c r="C30" i="33"/>
  <c r="C31" i="33" s="1"/>
  <c r="C19" i="33"/>
  <c r="C15" i="33"/>
  <c r="C14" i="33"/>
  <c r="C8" i="33"/>
  <c r="E4" i="33"/>
  <c r="D6" i="33"/>
  <c r="C9" i="33"/>
  <c r="W202" i="2"/>
  <c r="B203" i="2"/>
  <c r="F203" i="2"/>
  <c r="AB203" i="2" s="1"/>
  <c r="DN203" i="2"/>
  <c r="CP203" i="2"/>
  <c r="BR203" i="2"/>
  <c r="AT203" i="2"/>
  <c r="A203" i="2"/>
  <c r="DL203" i="2"/>
  <c r="CN203" i="2"/>
  <c r="BP203" i="2"/>
  <c r="AR203" i="2"/>
  <c r="DJ203" i="2"/>
  <c r="CL203" i="2"/>
  <c r="BN203" i="2"/>
  <c r="AP203" i="2"/>
  <c r="S203" i="2"/>
  <c r="T203" i="2" s="1"/>
  <c r="DH203" i="2"/>
  <c r="CJ203" i="2"/>
  <c r="BL203" i="2"/>
  <c r="AN203" i="2"/>
  <c r="DF203" i="2"/>
  <c r="CH203" i="2"/>
  <c r="BJ203" i="2"/>
  <c r="AL203" i="2"/>
  <c r="EB203" i="2"/>
  <c r="DD203" i="2"/>
  <c r="CF203" i="2"/>
  <c r="BH203" i="2"/>
  <c r="AJ203" i="2"/>
  <c r="DZ203" i="2"/>
  <c r="DB203" i="2"/>
  <c r="CD203" i="2"/>
  <c r="BF203" i="2"/>
  <c r="AH203" i="2"/>
  <c r="DX203" i="2"/>
  <c r="CZ203" i="2"/>
  <c r="CB203" i="2"/>
  <c r="BD203" i="2"/>
  <c r="DV203" i="2"/>
  <c r="CX203" i="2"/>
  <c r="BZ203" i="2"/>
  <c r="BB203" i="2"/>
  <c r="DT203" i="2"/>
  <c r="CV203" i="2"/>
  <c r="BX203" i="2"/>
  <c r="AZ203" i="2"/>
  <c r="DR203" i="2"/>
  <c r="CT203" i="2"/>
  <c r="BV203" i="2"/>
  <c r="AX203" i="2"/>
  <c r="DP203" i="2"/>
  <c r="CR203" i="2"/>
  <c r="BT203" i="2"/>
  <c r="AV203" i="2"/>
  <c r="AC204" i="2"/>
  <c r="AD204" i="2" s="1"/>
  <c r="E204" i="2"/>
  <c r="D204" i="2"/>
  <c r="V204" i="2"/>
  <c r="C205" i="2"/>
  <c r="G204" i="2"/>
  <c r="F18" i="12"/>
  <c r="F18" i="4"/>
  <c r="G18" i="10"/>
  <c r="F18" i="3"/>
  <c r="C26" i="33" l="1"/>
  <c r="C57" i="33" s="1"/>
  <c r="H18" i="3"/>
  <c r="G18" i="3"/>
  <c r="H18" i="12"/>
  <c r="G18" i="12"/>
  <c r="B57" i="33"/>
  <c r="DV204" i="2"/>
  <c r="CX204" i="2"/>
  <c r="BZ204" i="2"/>
  <c r="BB204" i="2"/>
  <c r="DT204" i="2"/>
  <c r="CV204" i="2"/>
  <c r="BX204" i="2"/>
  <c r="AZ204" i="2"/>
  <c r="DR204" i="2"/>
  <c r="CT204" i="2"/>
  <c r="BV204" i="2"/>
  <c r="AX204" i="2"/>
  <c r="DP204" i="2"/>
  <c r="CR204" i="2"/>
  <c r="BT204" i="2"/>
  <c r="AV204" i="2"/>
  <c r="DN204" i="2"/>
  <c r="CP204" i="2"/>
  <c r="BR204" i="2"/>
  <c r="AT204" i="2"/>
  <c r="A204" i="2"/>
  <c r="DL204" i="2"/>
  <c r="CN204" i="2"/>
  <c r="BP204" i="2"/>
  <c r="AR204" i="2"/>
  <c r="DJ204" i="2"/>
  <c r="CL204" i="2"/>
  <c r="BN204" i="2"/>
  <c r="AP204" i="2"/>
  <c r="S204" i="2"/>
  <c r="T204" i="2" s="1"/>
  <c r="DH204" i="2"/>
  <c r="CJ204" i="2"/>
  <c r="BL204" i="2"/>
  <c r="AN204" i="2"/>
  <c r="DF204" i="2"/>
  <c r="CH204" i="2"/>
  <c r="BJ204" i="2"/>
  <c r="AL204" i="2"/>
  <c r="EB204" i="2"/>
  <c r="DD204" i="2"/>
  <c r="CF204" i="2"/>
  <c r="BH204" i="2"/>
  <c r="AJ204" i="2"/>
  <c r="DZ204" i="2"/>
  <c r="DB204" i="2"/>
  <c r="CD204" i="2"/>
  <c r="BF204" i="2"/>
  <c r="AH204" i="2"/>
  <c r="DX204" i="2"/>
  <c r="CZ204" i="2"/>
  <c r="CB204" i="2"/>
  <c r="BD204" i="2"/>
  <c r="N57" i="32"/>
  <c r="D30" i="33"/>
  <c r="D31" i="33" s="1"/>
  <c r="D39" i="33"/>
  <c r="D38" i="33"/>
  <c r="D16" i="33"/>
  <c r="D25" i="33"/>
  <c r="D34" i="33"/>
  <c r="D33" i="33"/>
  <c r="D24" i="33"/>
  <c r="D23" i="33"/>
  <c r="D32" i="33"/>
  <c r="D22" i="33"/>
  <c r="D13" i="33"/>
  <c r="D20" i="33"/>
  <c r="D18" i="33"/>
  <c r="D11" i="33"/>
  <c r="D10" i="33"/>
  <c r="D19" i="33"/>
  <c r="D15" i="33"/>
  <c r="D14" i="33"/>
  <c r="D17" i="33"/>
  <c r="D21" i="33"/>
  <c r="H60" i="32"/>
  <c r="B60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D8" i="33"/>
  <c r="W203" i="2"/>
  <c r="B204" i="2"/>
  <c r="F204" i="2"/>
  <c r="AB204" i="2" s="1"/>
  <c r="D9" i="33"/>
  <c r="G205" i="2"/>
  <c r="AC205" i="2"/>
  <c r="AD205" i="2" s="1"/>
  <c r="E205" i="2"/>
  <c r="D205" i="2"/>
  <c r="F205" i="2" s="1"/>
  <c r="AB205" i="2" s="1"/>
  <c r="V205" i="2"/>
  <c r="C206" i="2"/>
  <c r="F4" i="33"/>
  <c r="E6" i="33"/>
  <c r="E8" i="33" s="1"/>
  <c r="F18" i="10"/>
  <c r="C18" i="10"/>
  <c r="E18" i="3"/>
  <c r="B18" i="4"/>
  <c r="B18" i="3"/>
  <c r="G18" i="4"/>
  <c r="J18" i="4"/>
  <c r="H18" i="4"/>
  <c r="E18" i="4"/>
  <c r="B18" i="12"/>
  <c r="I18" i="4"/>
  <c r="E18" i="12"/>
  <c r="O18" i="3"/>
  <c r="K18" i="4"/>
  <c r="E9" i="33" l="1"/>
  <c r="O18" i="4"/>
  <c r="P18" i="4" s="1"/>
  <c r="Y18" i="11" s="1"/>
  <c r="C18" i="3"/>
  <c r="B18" i="5"/>
  <c r="B18" i="7"/>
  <c r="B18" i="6"/>
  <c r="C18" i="4"/>
  <c r="E18" i="7"/>
  <c r="E18" i="6"/>
  <c r="E18" i="5"/>
  <c r="N27" i="32"/>
  <c r="B28" i="32"/>
  <c r="G4" i="33"/>
  <c r="F6" i="33"/>
  <c r="F9" i="33" s="1"/>
  <c r="M28" i="32"/>
  <c r="M58" i="32" s="1"/>
  <c r="M59" i="32" s="1"/>
  <c r="C28" i="32"/>
  <c r="C58" i="32" s="1"/>
  <c r="C59" i="32" s="1"/>
  <c r="C207" i="2"/>
  <c r="G206" i="2"/>
  <c r="AC206" i="2"/>
  <c r="AD206" i="2" s="1"/>
  <c r="E206" i="2"/>
  <c r="D206" i="2"/>
  <c r="V206" i="2"/>
  <c r="L28" i="32"/>
  <c r="L58" i="32" s="1"/>
  <c r="L59" i="32" s="1"/>
  <c r="W204" i="2"/>
  <c r="B205" i="2"/>
  <c r="D26" i="33"/>
  <c r="I28" i="32"/>
  <c r="I58" i="32" s="1"/>
  <c r="I59" i="32" s="1"/>
  <c r="H28" i="32"/>
  <c r="H58" i="32" s="1"/>
  <c r="H59" i="32" s="1"/>
  <c r="D28" i="32"/>
  <c r="D58" i="32" s="1"/>
  <c r="D59" i="32" s="1"/>
  <c r="J28" i="32"/>
  <c r="J58" i="32" s="1"/>
  <c r="J59" i="32" s="1"/>
  <c r="DF205" i="2"/>
  <c r="CH205" i="2"/>
  <c r="BJ205" i="2"/>
  <c r="AL205" i="2"/>
  <c r="EB205" i="2"/>
  <c r="DD205" i="2"/>
  <c r="CF205" i="2"/>
  <c r="BH205" i="2"/>
  <c r="AJ205" i="2"/>
  <c r="DZ205" i="2"/>
  <c r="DB205" i="2"/>
  <c r="CD205" i="2"/>
  <c r="BF205" i="2"/>
  <c r="AH205" i="2"/>
  <c r="DX205" i="2"/>
  <c r="CZ205" i="2"/>
  <c r="CB205" i="2"/>
  <c r="BD205" i="2"/>
  <c r="DV205" i="2"/>
  <c r="CX205" i="2"/>
  <c r="BZ205" i="2"/>
  <c r="BB205" i="2"/>
  <c r="DT205" i="2"/>
  <c r="CV205" i="2"/>
  <c r="BX205" i="2"/>
  <c r="AZ205" i="2"/>
  <c r="DR205" i="2"/>
  <c r="CT205" i="2"/>
  <c r="BV205" i="2"/>
  <c r="AX205" i="2"/>
  <c r="DP205" i="2"/>
  <c r="CR205" i="2"/>
  <c r="BT205" i="2"/>
  <c r="AV205" i="2"/>
  <c r="DN205" i="2"/>
  <c r="CP205" i="2"/>
  <c r="BR205" i="2"/>
  <c r="AT205" i="2"/>
  <c r="A205" i="2"/>
  <c r="DL205" i="2"/>
  <c r="CN205" i="2"/>
  <c r="BP205" i="2"/>
  <c r="AR205" i="2"/>
  <c r="DJ205" i="2"/>
  <c r="CL205" i="2"/>
  <c r="BN205" i="2"/>
  <c r="AP205" i="2"/>
  <c r="S205" i="2"/>
  <c r="T205" i="2" s="1"/>
  <c r="DH205" i="2"/>
  <c r="CJ205" i="2"/>
  <c r="BL205" i="2"/>
  <c r="AN205" i="2"/>
  <c r="G28" i="32"/>
  <c r="G58" i="32" s="1"/>
  <c r="G59" i="32" s="1"/>
  <c r="K28" i="32"/>
  <c r="E39" i="33"/>
  <c r="E38" i="33"/>
  <c r="E34" i="33"/>
  <c r="E33" i="33"/>
  <c r="E24" i="33"/>
  <c r="E23" i="33"/>
  <c r="E32" i="33"/>
  <c r="E22" i="33"/>
  <c r="E20" i="33"/>
  <c r="E18" i="33"/>
  <c r="E11" i="33"/>
  <c r="E10" i="33"/>
  <c r="E25" i="33"/>
  <c r="E19" i="33"/>
  <c r="E16" i="33"/>
  <c r="E15" i="33"/>
  <c r="E30" i="33"/>
  <c r="E14" i="33"/>
  <c r="E17" i="33"/>
  <c r="E13" i="33"/>
  <c r="E21" i="33"/>
  <c r="F28" i="32"/>
  <c r="F58" i="32" s="1"/>
  <c r="F59" i="32" s="1"/>
  <c r="E28" i="32"/>
  <c r="H18" i="10"/>
  <c r="E26" i="33" l="1"/>
  <c r="E57" i="33" s="1"/>
  <c r="I18" i="10"/>
  <c r="J18" i="10"/>
  <c r="K18" i="10" s="1"/>
  <c r="K58" i="32"/>
  <c r="K59" i="32" s="1"/>
  <c r="DN206" i="2"/>
  <c r="CP206" i="2"/>
  <c r="BR206" i="2"/>
  <c r="AT206" i="2"/>
  <c r="A206" i="2"/>
  <c r="DL206" i="2"/>
  <c r="CN206" i="2"/>
  <c r="BP206" i="2"/>
  <c r="AR206" i="2"/>
  <c r="DJ206" i="2"/>
  <c r="CL206" i="2"/>
  <c r="BN206" i="2"/>
  <c r="AP206" i="2"/>
  <c r="S206" i="2"/>
  <c r="T206" i="2" s="1"/>
  <c r="DH206" i="2"/>
  <c r="CJ206" i="2"/>
  <c r="BL206" i="2"/>
  <c r="AN206" i="2"/>
  <c r="DF206" i="2"/>
  <c r="CH206" i="2"/>
  <c r="BJ206" i="2"/>
  <c r="AL206" i="2"/>
  <c r="EB206" i="2"/>
  <c r="DD206" i="2"/>
  <c r="CF206" i="2"/>
  <c r="BH206" i="2"/>
  <c r="AJ206" i="2"/>
  <c r="DZ206" i="2"/>
  <c r="DB206" i="2"/>
  <c r="CD206" i="2"/>
  <c r="BF206" i="2"/>
  <c r="AH206" i="2"/>
  <c r="DX206" i="2"/>
  <c r="CZ206" i="2"/>
  <c r="CB206" i="2"/>
  <c r="BD206" i="2"/>
  <c r="DV206" i="2"/>
  <c r="CX206" i="2"/>
  <c r="BZ206" i="2"/>
  <c r="BB206" i="2"/>
  <c r="DT206" i="2"/>
  <c r="CV206" i="2"/>
  <c r="BX206" i="2"/>
  <c r="AZ206" i="2"/>
  <c r="DR206" i="2"/>
  <c r="CT206" i="2"/>
  <c r="BV206" i="2"/>
  <c r="AX206" i="2"/>
  <c r="DP206" i="2"/>
  <c r="CR206" i="2"/>
  <c r="BT206" i="2"/>
  <c r="AV206" i="2"/>
  <c r="AC207" i="2"/>
  <c r="AD207" i="2" s="1"/>
  <c r="E207" i="2"/>
  <c r="D207" i="2"/>
  <c r="F207" i="2" s="1"/>
  <c r="AB207" i="2" s="1"/>
  <c r="V207" i="2"/>
  <c r="C208" i="2"/>
  <c r="G207" i="2"/>
  <c r="D57" i="33"/>
  <c r="E58" i="32"/>
  <c r="E59" i="32" s="1"/>
  <c r="N28" i="32"/>
  <c r="B58" i="32"/>
  <c r="E31" i="33"/>
  <c r="W205" i="2"/>
  <c r="B206" i="2"/>
  <c r="F38" i="33"/>
  <c r="F33" i="33"/>
  <c r="F24" i="33"/>
  <c r="F23" i="33"/>
  <c r="F32" i="33"/>
  <c r="F22" i="33"/>
  <c r="F20" i="33"/>
  <c r="F19" i="33"/>
  <c r="F30" i="33"/>
  <c r="F31" i="33" s="1"/>
  <c r="F18" i="33"/>
  <c r="F34" i="33"/>
  <c r="F11" i="33"/>
  <c r="F39" i="33"/>
  <c r="F10" i="33"/>
  <c r="F25" i="33"/>
  <c r="F16" i="33"/>
  <c r="F15" i="33"/>
  <c r="F14" i="33"/>
  <c r="F17" i="33"/>
  <c r="F13" i="33"/>
  <c r="F21" i="33"/>
  <c r="F206" i="2"/>
  <c r="AB206" i="2" s="1"/>
  <c r="H4" i="33"/>
  <c r="G6" i="33"/>
  <c r="G9" i="33" s="1"/>
  <c r="D18" i="11"/>
  <c r="L18" i="11" s="1"/>
  <c r="D18" i="5"/>
  <c r="D18" i="6" s="1"/>
  <c r="F8" i="33"/>
  <c r="X18" i="11" l="1"/>
  <c r="V18" i="11"/>
  <c r="W206" i="2"/>
  <c r="B207" i="2"/>
  <c r="G8" i="33"/>
  <c r="N58" i="32"/>
  <c r="N59" i="32" s="1"/>
  <c r="F60" i="32" s="1"/>
  <c r="B59" i="32"/>
  <c r="T18" i="11"/>
  <c r="S18" i="11"/>
  <c r="D18" i="7"/>
  <c r="D18" i="8" s="1"/>
  <c r="D18" i="9" s="1"/>
  <c r="D18" i="10" s="1"/>
  <c r="C18" i="12" s="1"/>
  <c r="R18" i="6"/>
  <c r="U18" i="11"/>
  <c r="N18" i="11"/>
  <c r="J18" i="11"/>
  <c r="R18" i="11"/>
  <c r="M18" i="11"/>
  <c r="O18" i="11"/>
  <c r="G25" i="33"/>
  <c r="G23" i="33"/>
  <c r="G32" i="33"/>
  <c r="G22" i="33"/>
  <c r="G20" i="33"/>
  <c r="G19" i="33"/>
  <c r="G30" i="33"/>
  <c r="G31" i="33" s="1"/>
  <c r="G18" i="33"/>
  <c r="G39" i="33"/>
  <c r="G24" i="33"/>
  <c r="G34" i="33"/>
  <c r="G11" i="33"/>
  <c r="G10" i="33"/>
  <c r="G16" i="33"/>
  <c r="G15" i="33"/>
  <c r="G33" i="33"/>
  <c r="G14" i="33"/>
  <c r="G38" i="33"/>
  <c r="G17" i="33"/>
  <c r="G13" i="33"/>
  <c r="G21" i="33"/>
  <c r="I4" i="33"/>
  <c r="H6" i="33"/>
  <c r="P18" i="11"/>
  <c r="K18" i="11"/>
  <c r="F26" i="33"/>
  <c r="W18" i="11"/>
  <c r="Q18" i="11"/>
  <c r="DV207" i="2"/>
  <c r="CX207" i="2"/>
  <c r="BZ207" i="2"/>
  <c r="BB207" i="2"/>
  <c r="DT207" i="2"/>
  <c r="CV207" i="2"/>
  <c r="BX207" i="2"/>
  <c r="AZ207" i="2"/>
  <c r="DR207" i="2"/>
  <c r="CT207" i="2"/>
  <c r="BV207" i="2"/>
  <c r="AX207" i="2"/>
  <c r="DP207" i="2"/>
  <c r="CR207" i="2"/>
  <c r="BT207" i="2"/>
  <c r="AV207" i="2"/>
  <c r="DN207" i="2"/>
  <c r="CP207" i="2"/>
  <c r="BR207" i="2"/>
  <c r="AT207" i="2"/>
  <c r="A207" i="2"/>
  <c r="DL207" i="2"/>
  <c r="CN207" i="2"/>
  <c r="BP207" i="2"/>
  <c r="AR207" i="2"/>
  <c r="DJ207" i="2"/>
  <c r="CL207" i="2"/>
  <c r="BN207" i="2"/>
  <c r="AP207" i="2"/>
  <c r="S207" i="2"/>
  <c r="T207" i="2" s="1"/>
  <c r="DH207" i="2"/>
  <c r="CJ207" i="2"/>
  <c r="BL207" i="2"/>
  <c r="AN207" i="2"/>
  <c r="DF207" i="2"/>
  <c r="CH207" i="2"/>
  <c r="BJ207" i="2"/>
  <c r="AL207" i="2"/>
  <c r="EB207" i="2"/>
  <c r="DD207" i="2"/>
  <c r="CF207" i="2"/>
  <c r="BH207" i="2"/>
  <c r="AJ207" i="2"/>
  <c r="DZ207" i="2"/>
  <c r="DB207" i="2"/>
  <c r="CD207" i="2"/>
  <c r="BF207" i="2"/>
  <c r="AH207" i="2"/>
  <c r="DX207" i="2"/>
  <c r="CZ207" i="2"/>
  <c r="CB207" i="2"/>
  <c r="BD207" i="2"/>
  <c r="G208" i="2"/>
  <c r="AC208" i="2"/>
  <c r="AD208" i="2" s="1"/>
  <c r="E208" i="2"/>
  <c r="D208" i="2"/>
  <c r="F208" i="2" s="1"/>
  <c r="AB208" i="2" s="1"/>
  <c r="V208" i="2"/>
  <c r="C209" i="2"/>
  <c r="H9" i="33" l="1"/>
  <c r="H7" i="33"/>
  <c r="N7" i="33" s="1"/>
  <c r="H8" i="33"/>
  <c r="G26" i="33"/>
  <c r="G57" i="33" s="1"/>
  <c r="C210" i="2"/>
  <c r="G209" i="2"/>
  <c r="AC209" i="2"/>
  <c r="AD209" i="2" s="1"/>
  <c r="E209" i="2"/>
  <c r="D209" i="2"/>
  <c r="F209" i="2" s="1"/>
  <c r="AB209" i="2" s="1"/>
  <c r="V209" i="2"/>
  <c r="F57" i="33"/>
  <c r="W207" i="2"/>
  <c r="B208" i="2"/>
  <c r="I60" i="32"/>
  <c r="G60" i="32"/>
  <c r="DF208" i="2"/>
  <c r="CH208" i="2"/>
  <c r="BJ208" i="2"/>
  <c r="AL208" i="2"/>
  <c r="EB208" i="2"/>
  <c r="DD208" i="2"/>
  <c r="CF208" i="2"/>
  <c r="BH208" i="2"/>
  <c r="AJ208" i="2"/>
  <c r="DZ208" i="2"/>
  <c r="DB208" i="2"/>
  <c r="CD208" i="2"/>
  <c r="BF208" i="2"/>
  <c r="AH208" i="2"/>
  <c r="DX208" i="2"/>
  <c r="CZ208" i="2"/>
  <c r="CB208" i="2"/>
  <c r="BD208" i="2"/>
  <c r="DV208" i="2"/>
  <c r="CX208" i="2"/>
  <c r="BZ208" i="2"/>
  <c r="BB208" i="2"/>
  <c r="DT208" i="2"/>
  <c r="CV208" i="2"/>
  <c r="BX208" i="2"/>
  <c r="AZ208" i="2"/>
  <c r="DR208" i="2"/>
  <c r="CT208" i="2"/>
  <c r="BV208" i="2"/>
  <c r="AX208" i="2"/>
  <c r="DP208" i="2"/>
  <c r="CR208" i="2"/>
  <c r="BT208" i="2"/>
  <c r="AV208" i="2"/>
  <c r="DN208" i="2"/>
  <c r="CP208" i="2"/>
  <c r="BR208" i="2"/>
  <c r="AT208" i="2"/>
  <c r="A208" i="2"/>
  <c r="DL208" i="2"/>
  <c r="CN208" i="2"/>
  <c r="BP208" i="2"/>
  <c r="AR208" i="2"/>
  <c r="DJ208" i="2"/>
  <c r="CL208" i="2"/>
  <c r="BN208" i="2"/>
  <c r="AP208" i="2"/>
  <c r="S208" i="2"/>
  <c r="T208" i="2" s="1"/>
  <c r="DH208" i="2"/>
  <c r="CJ208" i="2"/>
  <c r="BL208" i="2"/>
  <c r="AN208" i="2"/>
  <c r="H34" i="33"/>
  <c r="H32" i="33"/>
  <c r="H22" i="33"/>
  <c r="H20" i="33"/>
  <c r="H19" i="33"/>
  <c r="H30" i="33"/>
  <c r="H31" i="33" s="1"/>
  <c r="H18" i="33"/>
  <c r="H39" i="33"/>
  <c r="H17" i="33"/>
  <c r="H38" i="33"/>
  <c r="H11" i="33"/>
  <c r="H10" i="33"/>
  <c r="H16" i="33"/>
  <c r="H15" i="33"/>
  <c r="H25" i="33"/>
  <c r="H33" i="33"/>
  <c r="H23" i="33"/>
  <c r="H14" i="33"/>
  <c r="H13" i="33"/>
  <c r="H24" i="33"/>
  <c r="H21" i="33"/>
  <c r="G18" i="11"/>
  <c r="J4" i="33"/>
  <c r="I6" i="33"/>
  <c r="H26" i="33" l="1"/>
  <c r="H57" i="33" s="1"/>
  <c r="W208" i="2"/>
  <c r="B209" i="2"/>
  <c r="I25" i="33"/>
  <c r="I34" i="33"/>
  <c r="I33" i="33"/>
  <c r="I24" i="33"/>
  <c r="I20" i="33"/>
  <c r="I19" i="33"/>
  <c r="I30" i="33"/>
  <c r="I31" i="33" s="1"/>
  <c r="I18" i="33"/>
  <c r="I39" i="33"/>
  <c r="I17" i="33"/>
  <c r="I38" i="33"/>
  <c r="I16" i="33"/>
  <c r="I22" i="33"/>
  <c r="I11" i="33"/>
  <c r="I10" i="33"/>
  <c r="I15" i="33"/>
  <c r="I23" i="33"/>
  <c r="I14" i="33"/>
  <c r="I13" i="33"/>
  <c r="I32" i="33"/>
  <c r="I21" i="33"/>
  <c r="K4" i="33"/>
  <c r="J6" i="33"/>
  <c r="J9" i="33" s="1"/>
  <c r="I8" i="33"/>
  <c r="DN209" i="2"/>
  <c r="CP209" i="2"/>
  <c r="BR209" i="2"/>
  <c r="AT209" i="2"/>
  <c r="A209" i="2"/>
  <c r="DL209" i="2"/>
  <c r="CN209" i="2"/>
  <c r="BP209" i="2"/>
  <c r="AR209" i="2"/>
  <c r="DJ209" i="2"/>
  <c r="CL209" i="2"/>
  <c r="BN209" i="2"/>
  <c r="AP209" i="2"/>
  <c r="S209" i="2"/>
  <c r="T209" i="2" s="1"/>
  <c r="DH209" i="2"/>
  <c r="CJ209" i="2"/>
  <c r="BL209" i="2"/>
  <c r="AN209" i="2"/>
  <c r="DF209" i="2"/>
  <c r="CH209" i="2"/>
  <c r="BJ209" i="2"/>
  <c r="AL209" i="2"/>
  <c r="EB209" i="2"/>
  <c r="DD209" i="2"/>
  <c r="CF209" i="2"/>
  <c r="BH209" i="2"/>
  <c r="AJ209" i="2"/>
  <c r="DZ209" i="2"/>
  <c r="DB209" i="2"/>
  <c r="CD209" i="2"/>
  <c r="BF209" i="2"/>
  <c r="AH209" i="2"/>
  <c r="DX209" i="2"/>
  <c r="CZ209" i="2"/>
  <c r="CB209" i="2"/>
  <c r="BD209" i="2"/>
  <c r="DV209" i="2"/>
  <c r="CX209" i="2"/>
  <c r="BZ209" i="2"/>
  <c r="BB209" i="2"/>
  <c r="DT209" i="2"/>
  <c r="CV209" i="2"/>
  <c r="BX209" i="2"/>
  <c r="AZ209" i="2"/>
  <c r="DR209" i="2"/>
  <c r="CT209" i="2"/>
  <c r="BV209" i="2"/>
  <c r="AX209" i="2"/>
  <c r="DP209" i="2"/>
  <c r="CR209" i="2"/>
  <c r="BT209" i="2"/>
  <c r="AV209" i="2"/>
  <c r="AC210" i="2"/>
  <c r="AD210" i="2" s="1"/>
  <c r="E210" i="2"/>
  <c r="D210" i="2"/>
  <c r="F210" i="2" s="1"/>
  <c r="AB210" i="2" s="1"/>
  <c r="V210" i="2"/>
  <c r="C211" i="2"/>
  <c r="G210" i="2"/>
  <c r="H18" i="11"/>
  <c r="C18" i="11"/>
  <c r="E18" i="11" s="1"/>
  <c r="I9" i="33"/>
  <c r="J8" i="33" l="1"/>
  <c r="I26" i="33"/>
  <c r="I57" i="33" s="1"/>
  <c r="G211" i="2"/>
  <c r="AC211" i="2"/>
  <c r="AD211" i="2" s="1"/>
  <c r="E211" i="2"/>
  <c r="D211" i="2"/>
  <c r="V211" i="2"/>
  <c r="C212" i="2"/>
  <c r="J34" i="33"/>
  <c r="J33" i="33"/>
  <c r="J23" i="33"/>
  <c r="J19" i="33"/>
  <c r="J30" i="33"/>
  <c r="J31" i="33" s="1"/>
  <c r="J18" i="33"/>
  <c r="J39" i="33"/>
  <c r="J17" i="33"/>
  <c r="J38" i="33"/>
  <c r="J16" i="33"/>
  <c r="J20" i="33"/>
  <c r="J11" i="33"/>
  <c r="J10" i="33"/>
  <c r="J15" i="33"/>
  <c r="J25" i="33"/>
  <c r="J14" i="33"/>
  <c r="J12" i="33"/>
  <c r="J13" i="33"/>
  <c r="J32" i="33"/>
  <c r="J24" i="33"/>
  <c r="J22" i="33"/>
  <c r="J21" i="33"/>
  <c r="W209" i="2"/>
  <c r="B210" i="2"/>
  <c r="DV210" i="2"/>
  <c r="CX210" i="2"/>
  <c r="BZ210" i="2"/>
  <c r="BB210" i="2"/>
  <c r="DT210" i="2"/>
  <c r="CV210" i="2"/>
  <c r="BX210" i="2"/>
  <c r="AZ210" i="2"/>
  <c r="DR210" i="2"/>
  <c r="CT210" i="2"/>
  <c r="BV210" i="2"/>
  <c r="AX210" i="2"/>
  <c r="DP210" i="2"/>
  <c r="CR210" i="2"/>
  <c r="BT210" i="2"/>
  <c r="AV210" i="2"/>
  <c r="DN210" i="2"/>
  <c r="CP210" i="2"/>
  <c r="BR210" i="2"/>
  <c r="AT210" i="2"/>
  <c r="A210" i="2"/>
  <c r="DL210" i="2"/>
  <c r="CN210" i="2"/>
  <c r="BP210" i="2"/>
  <c r="AR210" i="2"/>
  <c r="DJ210" i="2"/>
  <c r="CL210" i="2"/>
  <c r="BN210" i="2"/>
  <c r="AP210" i="2"/>
  <c r="S210" i="2"/>
  <c r="T210" i="2" s="1"/>
  <c r="DH210" i="2"/>
  <c r="CJ210" i="2"/>
  <c r="BL210" i="2"/>
  <c r="AN210" i="2"/>
  <c r="DF210" i="2"/>
  <c r="CH210" i="2"/>
  <c r="BJ210" i="2"/>
  <c r="AL210" i="2"/>
  <c r="EB210" i="2"/>
  <c r="DD210" i="2"/>
  <c r="CF210" i="2"/>
  <c r="BH210" i="2"/>
  <c r="AJ210" i="2"/>
  <c r="DZ210" i="2"/>
  <c r="DB210" i="2"/>
  <c r="CD210" i="2"/>
  <c r="BF210" i="2"/>
  <c r="AH210" i="2"/>
  <c r="DX210" i="2"/>
  <c r="CZ210" i="2"/>
  <c r="CB210" i="2"/>
  <c r="BD210" i="2"/>
  <c r="L4" i="33"/>
  <c r="K6" i="33"/>
  <c r="K9" i="33" s="1"/>
  <c r="F211" i="2" l="1"/>
  <c r="AB211" i="2" s="1"/>
  <c r="J26" i="33"/>
  <c r="J57" i="33" s="1"/>
  <c r="K8" i="33"/>
  <c r="C213" i="2"/>
  <c r="G212" i="2"/>
  <c r="AC212" i="2"/>
  <c r="AD212" i="2" s="1"/>
  <c r="E212" i="2"/>
  <c r="D212" i="2"/>
  <c r="V212" i="2"/>
  <c r="W210" i="2"/>
  <c r="B211" i="2"/>
  <c r="DF211" i="2"/>
  <c r="CH211" i="2"/>
  <c r="BJ211" i="2"/>
  <c r="AL211" i="2"/>
  <c r="EB211" i="2"/>
  <c r="DD211" i="2"/>
  <c r="CF211" i="2"/>
  <c r="BH211" i="2"/>
  <c r="AJ211" i="2"/>
  <c r="DZ211" i="2"/>
  <c r="DB211" i="2"/>
  <c r="CD211" i="2"/>
  <c r="BF211" i="2"/>
  <c r="AH211" i="2"/>
  <c r="DX211" i="2"/>
  <c r="CZ211" i="2"/>
  <c r="CB211" i="2"/>
  <c r="BD211" i="2"/>
  <c r="DV211" i="2"/>
  <c r="CX211" i="2"/>
  <c r="BZ211" i="2"/>
  <c r="BB211" i="2"/>
  <c r="DT211" i="2"/>
  <c r="CV211" i="2"/>
  <c r="BX211" i="2"/>
  <c r="AZ211" i="2"/>
  <c r="DR211" i="2"/>
  <c r="CT211" i="2"/>
  <c r="BV211" i="2"/>
  <c r="AX211" i="2"/>
  <c r="DP211" i="2"/>
  <c r="CR211" i="2"/>
  <c r="BT211" i="2"/>
  <c r="AV211" i="2"/>
  <c r="DN211" i="2"/>
  <c r="CP211" i="2"/>
  <c r="BR211" i="2"/>
  <c r="AT211" i="2"/>
  <c r="A211" i="2"/>
  <c r="DL211" i="2"/>
  <c r="CN211" i="2"/>
  <c r="BP211" i="2"/>
  <c r="AR211" i="2"/>
  <c r="DJ211" i="2"/>
  <c r="CL211" i="2"/>
  <c r="BN211" i="2"/>
  <c r="AP211" i="2"/>
  <c r="S211" i="2"/>
  <c r="T211" i="2" s="1"/>
  <c r="DH211" i="2"/>
  <c r="CJ211" i="2"/>
  <c r="BL211" i="2"/>
  <c r="AN211" i="2"/>
  <c r="M4" i="33"/>
  <c r="L6" i="33"/>
  <c r="K33" i="33"/>
  <c r="K32" i="33"/>
  <c r="K22" i="33"/>
  <c r="K30" i="33"/>
  <c r="K31" i="33" s="1"/>
  <c r="K18" i="33"/>
  <c r="K39" i="33"/>
  <c r="K17" i="33"/>
  <c r="K38" i="33"/>
  <c r="K25" i="33"/>
  <c r="K10" i="33"/>
  <c r="K15" i="33"/>
  <c r="K34" i="33"/>
  <c r="K16" i="33"/>
  <c r="K14" i="33"/>
  <c r="K23" i="33"/>
  <c r="K12" i="33"/>
  <c r="N12" i="33" s="1"/>
  <c r="K13" i="33"/>
  <c r="K19" i="33"/>
  <c r="K24" i="33"/>
  <c r="K20" i="33"/>
  <c r="K11" i="33"/>
  <c r="K21" i="33"/>
  <c r="H19" i="9"/>
  <c r="I19" i="9"/>
  <c r="F212" i="2" l="1"/>
  <c r="AB212" i="2" s="1"/>
  <c r="K26" i="33"/>
  <c r="K57" i="33" s="1"/>
  <c r="L20" i="33"/>
  <c r="L39" i="33"/>
  <c r="L38" i="33"/>
  <c r="L16" i="33"/>
  <c r="L25" i="33"/>
  <c r="L34" i="33"/>
  <c r="L18" i="33"/>
  <c r="L15" i="33"/>
  <c r="L14" i="33"/>
  <c r="L23" i="33"/>
  <c r="L13" i="33"/>
  <c r="L33" i="33"/>
  <c r="L19" i="33"/>
  <c r="L30" i="33"/>
  <c r="L31" i="33" s="1"/>
  <c r="L17" i="33"/>
  <c r="L24" i="33"/>
  <c r="L32" i="33"/>
  <c r="L22" i="33"/>
  <c r="L11" i="33"/>
  <c r="L10" i="33"/>
  <c r="L21" i="33"/>
  <c r="W211" i="2"/>
  <c r="B212" i="2"/>
  <c r="L8" i="33"/>
  <c r="L9" i="33"/>
  <c r="B4" i="34"/>
  <c r="M6" i="33"/>
  <c r="E213" i="2"/>
  <c r="D213" i="2"/>
  <c r="F213" i="2" s="1"/>
  <c r="AB213" i="2" s="1"/>
  <c r="C214" i="2"/>
  <c r="V213" i="2"/>
  <c r="AC213" i="2"/>
  <c r="AD213" i="2" s="1"/>
  <c r="G213" i="2"/>
  <c r="DN212" i="2"/>
  <c r="CP212" i="2"/>
  <c r="BR212" i="2"/>
  <c r="AT212" i="2"/>
  <c r="A212" i="2"/>
  <c r="DL212" i="2"/>
  <c r="CN212" i="2"/>
  <c r="BP212" i="2"/>
  <c r="AR212" i="2"/>
  <c r="DJ212" i="2"/>
  <c r="CL212" i="2"/>
  <c r="BN212" i="2"/>
  <c r="AP212" i="2"/>
  <c r="S212" i="2"/>
  <c r="T212" i="2" s="1"/>
  <c r="DH212" i="2"/>
  <c r="CJ212" i="2"/>
  <c r="BL212" i="2"/>
  <c r="AN212" i="2"/>
  <c r="DF212" i="2"/>
  <c r="CH212" i="2"/>
  <c r="BJ212" i="2"/>
  <c r="AL212" i="2"/>
  <c r="EB212" i="2"/>
  <c r="DD212" i="2"/>
  <c r="CF212" i="2"/>
  <c r="BH212" i="2"/>
  <c r="AJ212" i="2"/>
  <c r="DZ212" i="2"/>
  <c r="DB212" i="2"/>
  <c r="CD212" i="2"/>
  <c r="BF212" i="2"/>
  <c r="AH212" i="2"/>
  <c r="DX212" i="2"/>
  <c r="CZ212" i="2"/>
  <c r="CB212" i="2"/>
  <c r="BD212" i="2"/>
  <c r="DV212" i="2"/>
  <c r="CX212" i="2"/>
  <c r="BZ212" i="2"/>
  <c r="BB212" i="2"/>
  <c r="DT212" i="2"/>
  <c r="CV212" i="2"/>
  <c r="BX212" i="2"/>
  <c r="AZ212" i="2"/>
  <c r="DR212" i="2"/>
  <c r="CT212" i="2"/>
  <c r="BV212" i="2"/>
  <c r="AX212" i="2"/>
  <c r="DP212" i="2"/>
  <c r="CR212" i="2"/>
  <c r="BT212" i="2"/>
  <c r="AV212" i="2"/>
  <c r="L26" i="33" l="1"/>
  <c r="L57" i="33" s="1"/>
  <c r="C4" i="34"/>
  <c r="B6" i="34"/>
  <c r="B7" i="34" s="1"/>
  <c r="DR213" i="2"/>
  <c r="CT213" i="2"/>
  <c r="BV213" i="2"/>
  <c r="AX213" i="2"/>
  <c r="DP213" i="2"/>
  <c r="CR213" i="2"/>
  <c r="BT213" i="2"/>
  <c r="AV213" i="2"/>
  <c r="DN213" i="2"/>
  <c r="CP213" i="2"/>
  <c r="BR213" i="2"/>
  <c r="AT213" i="2"/>
  <c r="DL213" i="2"/>
  <c r="CN213" i="2"/>
  <c r="BP213" i="2"/>
  <c r="AR213" i="2"/>
  <c r="DJ213" i="2"/>
  <c r="CL213" i="2"/>
  <c r="BN213" i="2"/>
  <c r="AP213" i="2"/>
  <c r="A213" i="2"/>
  <c r="DH213" i="2"/>
  <c r="CJ213" i="2"/>
  <c r="BL213" i="2"/>
  <c r="AN213" i="2"/>
  <c r="DF213" i="2"/>
  <c r="CH213" i="2"/>
  <c r="BJ213" i="2"/>
  <c r="AL213" i="2"/>
  <c r="S213" i="2"/>
  <c r="T213" i="2" s="1"/>
  <c r="EB213" i="2"/>
  <c r="DD213" i="2"/>
  <c r="CF213" i="2"/>
  <c r="BH213" i="2"/>
  <c r="AJ213" i="2"/>
  <c r="DZ213" i="2"/>
  <c r="DB213" i="2"/>
  <c r="CD213" i="2"/>
  <c r="BF213" i="2"/>
  <c r="AH213" i="2"/>
  <c r="DX213" i="2"/>
  <c r="CZ213" i="2"/>
  <c r="CB213" i="2"/>
  <c r="BD213" i="2"/>
  <c r="DV213" i="2"/>
  <c r="CX213" i="2"/>
  <c r="BZ213" i="2"/>
  <c r="BB213" i="2"/>
  <c r="DT213" i="2"/>
  <c r="CV213" i="2"/>
  <c r="BX213" i="2"/>
  <c r="AZ213" i="2"/>
  <c r="W212" i="2"/>
  <c r="B213" i="2"/>
  <c r="M32" i="33"/>
  <c r="N32" i="33" s="1"/>
  <c r="M19" i="33"/>
  <c r="N19" i="33" s="1"/>
  <c r="M39" i="33"/>
  <c r="N39" i="33" s="1"/>
  <c r="M38" i="33"/>
  <c r="N38" i="33" s="1"/>
  <c r="M25" i="33"/>
  <c r="N25" i="33" s="1"/>
  <c r="M34" i="33"/>
  <c r="N34" i="33" s="1"/>
  <c r="M33" i="33"/>
  <c r="N33" i="33" s="1"/>
  <c r="M24" i="33"/>
  <c r="N24" i="33" s="1"/>
  <c r="M14" i="33"/>
  <c r="N14" i="33" s="1"/>
  <c r="M23" i="33"/>
  <c r="N23" i="33" s="1"/>
  <c r="M16" i="33"/>
  <c r="N16" i="33" s="1"/>
  <c r="M13" i="33"/>
  <c r="N13" i="33" s="1"/>
  <c r="M30" i="33"/>
  <c r="N30" i="33" s="1"/>
  <c r="M17" i="33"/>
  <c r="N17" i="33" s="1"/>
  <c r="M22" i="33"/>
  <c r="N22" i="33" s="1"/>
  <c r="M11" i="33"/>
  <c r="N11" i="33" s="1"/>
  <c r="M20" i="33"/>
  <c r="N20" i="33" s="1"/>
  <c r="M10" i="33"/>
  <c r="N10" i="33" s="1"/>
  <c r="M18" i="33"/>
  <c r="N18" i="33" s="1"/>
  <c r="M15" i="33"/>
  <c r="N15" i="33" s="1"/>
  <c r="N6" i="33"/>
  <c r="M21" i="33"/>
  <c r="N21" i="33" s="1"/>
  <c r="AC214" i="2"/>
  <c r="AD214" i="2" s="1"/>
  <c r="E214" i="2"/>
  <c r="D214" i="2"/>
  <c r="V214" i="2"/>
  <c r="C215" i="2"/>
  <c r="G214" i="2"/>
  <c r="M9" i="33"/>
  <c r="N9" i="33" s="1"/>
  <c r="M8" i="33"/>
  <c r="N8" i="33" s="1"/>
  <c r="J19" i="9"/>
  <c r="F19" i="9"/>
  <c r="L19" i="9"/>
  <c r="L19" i="8"/>
  <c r="M19" i="9"/>
  <c r="F19" i="8"/>
  <c r="O19" i="8"/>
  <c r="N19" i="9"/>
  <c r="G19" i="9"/>
  <c r="I19" i="8"/>
  <c r="K19" i="9"/>
  <c r="N19" i="8" l="1"/>
  <c r="Q19" i="8"/>
  <c r="K19" i="8"/>
  <c r="J19" i="8"/>
  <c r="M19" i="8"/>
  <c r="H19" i="8"/>
  <c r="G19" i="8"/>
  <c r="R19" i="8"/>
  <c r="S19" i="8" s="1"/>
  <c r="P19" i="8"/>
  <c r="O19" i="9"/>
  <c r="P19" i="9" s="1"/>
  <c r="B39" i="34"/>
  <c r="B17" i="34"/>
  <c r="B11" i="34"/>
  <c r="B38" i="34"/>
  <c r="B16" i="34"/>
  <c r="B10" i="34"/>
  <c r="B15" i="34"/>
  <c r="B25" i="34"/>
  <c r="B14" i="34"/>
  <c r="B34" i="34"/>
  <c r="B33" i="34"/>
  <c r="B24" i="34"/>
  <c r="B13" i="34"/>
  <c r="B23" i="34"/>
  <c r="B32" i="34"/>
  <c r="B21" i="34"/>
  <c r="B20" i="34"/>
  <c r="B19" i="34"/>
  <c r="B30" i="34"/>
  <c r="B31" i="34" s="1"/>
  <c r="B18" i="34"/>
  <c r="B12" i="34"/>
  <c r="D4" i="34"/>
  <c r="C6" i="34"/>
  <c r="C9" i="34" s="1"/>
  <c r="M31" i="33"/>
  <c r="N31" i="33" s="1"/>
  <c r="B8" i="34"/>
  <c r="B9" i="34"/>
  <c r="DV214" i="2"/>
  <c r="CX214" i="2"/>
  <c r="BZ214" i="2"/>
  <c r="BB214" i="2"/>
  <c r="DT214" i="2"/>
  <c r="CV214" i="2"/>
  <c r="BX214" i="2"/>
  <c r="AZ214" i="2"/>
  <c r="DR214" i="2"/>
  <c r="CT214" i="2"/>
  <c r="BV214" i="2"/>
  <c r="AX214" i="2"/>
  <c r="DP214" i="2"/>
  <c r="CR214" i="2"/>
  <c r="BT214" i="2"/>
  <c r="AV214" i="2"/>
  <c r="DN214" i="2"/>
  <c r="CP214" i="2"/>
  <c r="BR214" i="2"/>
  <c r="AT214" i="2"/>
  <c r="DL214" i="2"/>
  <c r="CN214" i="2"/>
  <c r="BP214" i="2"/>
  <c r="AR214" i="2"/>
  <c r="A214" i="2"/>
  <c r="DJ214" i="2"/>
  <c r="CL214" i="2"/>
  <c r="BN214" i="2"/>
  <c r="AP214" i="2"/>
  <c r="DH214" i="2"/>
  <c r="CJ214" i="2"/>
  <c r="BL214" i="2"/>
  <c r="S214" i="2"/>
  <c r="T214" i="2" s="1"/>
  <c r="DF214" i="2"/>
  <c r="CH214" i="2"/>
  <c r="BJ214" i="2"/>
  <c r="AN214" i="2"/>
  <c r="EB214" i="2"/>
  <c r="DD214" i="2"/>
  <c r="CF214" i="2"/>
  <c r="BH214" i="2"/>
  <c r="AL214" i="2"/>
  <c r="DZ214" i="2"/>
  <c r="DB214" i="2"/>
  <c r="CD214" i="2"/>
  <c r="BF214" i="2"/>
  <c r="AJ214" i="2"/>
  <c r="DX214" i="2"/>
  <c r="CZ214" i="2"/>
  <c r="CB214" i="2"/>
  <c r="BD214" i="2"/>
  <c r="AH214" i="2"/>
  <c r="G215" i="2"/>
  <c r="AC215" i="2"/>
  <c r="AD215" i="2" s="1"/>
  <c r="E215" i="2"/>
  <c r="D215" i="2"/>
  <c r="F215" i="2" s="1"/>
  <c r="AB215" i="2" s="1"/>
  <c r="V215" i="2"/>
  <c r="C216" i="2"/>
  <c r="W213" i="2"/>
  <c r="B214" i="2"/>
  <c r="F214" i="2"/>
  <c r="AB214" i="2" s="1"/>
  <c r="M26" i="33"/>
  <c r="E19" i="8"/>
  <c r="E19" i="9"/>
  <c r="B19" i="8"/>
  <c r="B19" i="9"/>
  <c r="C8" i="34" l="1"/>
  <c r="N26" i="33"/>
  <c r="M57" i="33"/>
  <c r="DF215" i="2"/>
  <c r="CH215" i="2"/>
  <c r="BJ215" i="2"/>
  <c r="AL215" i="2"/>
  <c r="EB215" i="2"/>
  <c r="DD215" i="2"/>
  <c r="CF215" i="2"/>
  <c r="BH215" i="2"/>
  <c r="AJ215" i="2"/>
  <c r="DZ215" i="2"/>
  <c r="DB215" i="2"/>
  <c r="CD215" i="2"/>
  <c r="BF215" i="2"/>
  <c r="AH215" i="2"/>
  <c r="DX215" i="2"/>
  <c r="CZ215" i="2"/>
  <c r="CB215" i="2"/>
  <c r="BD215" i="2"/>
  <c r="DV215" i="2"/>
  <c r="CX215" i="2"/>
  <c r="BZ215" i="2"/>
  <c r="BB215" i="2"/>
  <c r="DT215" i="2"/>
  <c r="CV215" i="2"/>
  <c r="BX215" i="2"/>
  <c r="AZ215" i="2"/>
  <c r="DR215" i="2"/>
  <c r="CT215" i="2"/>
  <c r="BV215" i="2"/>
  <c r="AX215" i="2"/>
  <c r="DP215" i="2"/>
  <c r="CR215" i="2"/>
  <c r="BT215" i="2"/>
  <c r="AV215" i="2"/>
  <c r="DN215" i="2"/>
  <c r="CP215" i="2"/>
  <c r="BR215" i="2"/>
  <c r="AT215" i="2"/>
  <c r="A215" i="2"/>
  <c r="DL215" i="2"/>
  <c r="CN215" i="2"/>
  <c r="BP215" i="2"/>
  <c r="AR215" i="2"/>
  <c r="DJ215" i="2"/>
  <c r="CL215" i="2"/>
  <c r="BN215" i="2"/>
  <c r="AP215" i="2"/>
  <c r="S215" i="2"/>
  <c r="T215" i="2" s="1"/>
  <c r="DH215" i="2"/>
  <c r="CJ215" i="2"/>
  <c r="BL215" i="2"/>
  <c r="AN215" i="2"/>
  <c r="E4" i="34"/>
  <c r="D6" i="34"/>
  <c r="D8" i="34" s="1"/>
  <c r="C217" i="2"/>
  <c r="G216" i="2"/>
  <c r="AC216" i="2"/>
  <c r="AD216" i="2" s="1"/>
  <c r="E216" i="2"/>
  <c r="D216" i="2"/>
  <c r="V216" i="2"/>
  <c r="W214" i="2"/>
  <c r="B215" i="2"/>
  <c r="C38" i="34"/>
  <c r="C16" i="34"/>
  <c r="C10" i="34"/>
  <c r="C15" i="34"/>
  <c r="C25" i="34"/>
  <c r="C14" i="34"/>
  <c r="C34" i="34"/>
  <c r="C33" i="34"/>
  <c r="C24" i="34"/>
  <c r="C13" i="34"/>
  <c r="C23" i="34"/>
  <c r="C32" i="34"/>
  <c r="C22" i="34"/>
  <c r="C21" i="34"/>
  <c r="C20" i="34"/>
  <c r="C19" i="34"/>
  <c r="C30" i="34"/>
  <c r="C18" i="34"/>
  <c r="C12" i="34"/>
  <c r="C11" i="34"/>
  <c r="C39" i="34"/>
  <c r="C17" i="34"/>
  <c r="B26" i="34"/>
  <c r="F19" i="3"/>
  <c r="F19" i="12"/>
  <c r="G19" i="10"/>
  <c r="F19" i="4"/>
  <c r="H19" i="12" l="1"/>
  <c r="G19" i="12"/>
  <c r="G19" i="3"/>
  <c r="H19" i="3"/>
  <c r="W215" i="2"/>
  <c r="B216" i="2"/>
  <c r="F216" i="2"/>
  <c r="AB216" i="2" s="1"/>
  <c r="D15" i="34"/>
  <c r="D25" i="34"/>
  <c r="D14" i="34"/>
  <c r="D34" i="34"/>
  <c r="D33" i="34"/>
  <c r="D24" i="34"/>
  <c r="D13" i="34"/>
  <c r="D23" i="34"/>
  <c r="D32" i="34"/>
  <c r="D22" i="34"/>
  <c r="D20" i="34"/>
  <c r="D19" i="34"/>
  <c r="D30" i="34"/>
  <c r="D31" i="34" s="1"/>
  <c r="D18" i="34"/>
  <c r="D39" i="34"/>
  <c r="D17" i="34"/>
  <c r="D11" i="34"/>
  <c r="D10" i="34"/>
  <c r="D38" i="34"/>
  <c r="D16" i="34"/>
  <c r="D21" i="34"/>
  <c r="DN216" i="2"/>
  <c r="CP216" i="2"/>
  <c r="BR216" i="2"/>
  <c r="AT216" i="2"/>
  <c r="A216" i="2"/>
  <c r="DL216" i="2"/>
  <c r="CN216" i="2"/>
  <c r="BP216" i="2"/>
  <c r="AR216" i="2"/>
  <c r="DJ216" i="2"/>
  <c r="CL216" i="2"/>
  <c r="BN216" i="2"/>
  <c r="AP216" i="2"/>
  <c r="S216" i="2"/>
  <c r="T216" i="2" s="1"/>
  <c r="DH216" i="2"/>
  <c r="CJ216" i="2"/>
  <c r="BL216" i="2"/>
  <c r="AN216" i="2"/>
  <c r="DF216" i="2"/>
  <c r="CH216" i="2"/>
  <c r="BJ216" i="2"/>
  <c r="AL216" i="2"/>
  <c r="EB216" i="2"/>
  <c r="DD216" i="2"/>
  <c r="CF216" i="2"/>
  <c r="BH216" i="2"/>
  <c r="AJ216" i="2"/>
  <c r="DZ216" i="2"/>
  <c r="DB216" i="2"/>
  <c r="CD216" i="2"/>
  <c r="BF216" i="2"/>
  <c r="AH216" i="2"/>
  <c r="DX216" i="2"/>
  <c r="CZ216" i="2"/>
  <c r="CB216" i="2"/>
  <c r="BD216" i="2"/>
  <c r="DV216" i="2"/>
  <c r="CX216" i="2"/>
  <c r="BZ216" i="2"/>
  <c r="BB216" i="2"/>
  <c r="DT216" i="2"/>
  <c r="CV216" i="2"/>
  <c r="BX216" i="2"/>
  <c r="AZ216" i="2"/>
  <c r="DR216" i="2"/>
  <c r="CT216" i="2"/>
  <c r="BV216" i="2"/>
  <c r="AX216" i="2"/>
  <c r="DP216" i="2"/>
  <c r="CR216" i="2"/>
  <c r="BT216" i="2"/>
  <c r="AV216" i="2"/>
  <c r="F4" i="34"/>
  <c r="E6" i="34"/>
  <c r="E8" i="34" s="1"/>
  <c r="N57" i="33"/>
  <c r="C31" i="34"/>
  <c r="AC217" i="2"/>
  <c r="AD217" i="2" s="1"/>
  <c r="E217" i="2"/>
  <c r="D217" i="2"/>
  <c r="V217" i="2"/>
  <c r="C218" i="2"/>
  <c r="G217" i="2"/>
  <c r="H60" i="33"/>
  <c r="B60" i="33"/>
  <c r="B27" i="33"/>
  <c r="C27" i="33"/>
  <c r="D27" i="33"/>
  <c r="E27" i="33"/>
  <c r="F27" i="33"/>
  <c r="G27" i="33"/>
  <c r="H27" i="33"/>
  <c r="I27" i="33"/>
  <c r="J27" i="33"/>
  <c r="K27" i="33"/>
  <c r="L27" i="33"/>
  <c r="M27" i="33"/>
  <c r="C26" i="34"/>
  <c r="D9" i="34"/>
  <c r="B57" i="34"/>
  <c r="E19" i="12"/>
  <c r="O19" i="3"/>
  <c r="B19" i="3"/>
  <c r="E19" i="4"/>
  <c r="B19" i="12"/>
  <c r="E19" i="3"/>
  <c r="C19" i="10"/>
  <c r="H19" i="4"/>
  <c r="J19" i="4"/>
  <c r="F19" i="10"/>
  <c r="G19" i="4"/>
  <c r="B19" i="4"/>
  <c r="I19" i="4"/>
  <c r="K19" i="4"/>
  <c r="B19" i="6" l="1"/>
  <c r="B19" i="5"/>
  <c r="B19" i="7"/>
  <c r="C19" i="3"/>
  <c r="E19" i="6"/>
  <c r="E19" i="5"/>
  <c r="E19" i="7"/>
  <c r="C19" i="4"/>
  <c r="O19" i="4"/>
  <c r="P19" i="4" s="1"/>
  <c r="Z19" i="11" s="1"/>
  <c r="K28" i="33"/>
  <c r="K58" i="33" s="1"/>
  <c r="K59" i="33" s="1"/>
  <c r="J28" i="33"/>
  <c r="J58" i="33" s="1"/>
  <c r="J59" i="33" s="1"/>
  <c r="E9" i="34"/>
  <c r="D26" i="34"/>
  <c r="I28" i="33"/>
  <c r="I58" i="33" s="1"/>
  <c r="I59" i="33" s="1"/>
  <c r="W216" i="2"/>
  <c r="B217" i="2"/>
  <c r="F28" i="33"/>
  <c r="E28" i="33"/>
  <c r="E58" i="33" s="1"/>
  <c r="E59" i="33" s="1"/>
  <c r="F217" i="2"/>
  <c r="AB217" i="2" s="1"/>
  <c r="L28" i="33"/>
  <c r="L58" i="33" s="1"/>
  <c r="L59" i="33" s="1"/>
  <c r="G4" i="34"/>
  <c r="F6" i="34"/>
  <c r="D28" i="33"/>
  <c r="D58" i="33" s="1"/>
  <c r="D59" i="33" s="1"/>
  <c r="H28" i="33"/>
  <c r="H58" i="33" s="1"/>
  <c r="H59" i="33" s="1"/>
  <c r="G218" i="2"/>
  <c r="AC218" i="2"/>
  <c r="AD218" i="2" s="1"/>
  <c r="E218" i="2"/>
  <c r="D218" i="2"/>
  <c r="V218" i="2"/>
  <c r="C219" i="2"/>
  <c r="C28" i="33"/>
  <c r="C58" i="33" s="1"/>
  <c r="C59" i="33" s="1"/>
  <c r="C57" i="34"/>
  <c r="N27" i="33"/>
  <c r="B28" i="33"/>
  <c r="B58" i="33" s="1"/>
  <c r="E25" i="34"/>
  <c r="E14" i="34"/>
  <c r="E34" i="34"/>
  <c r="E33" i="34"/>
  <c r="E24" i="34"/>
  <c r="E13" i="34"/>
  <c r="E23" i="34"/>
  <c r="E32" i="34"/>
  <c r="E22" i="34"/>
  <c r="E20" i="34"/>
  <c r="E19" i="34"/>
  <c r="E30" i="34"/>
  <c r="E31" i="34" s="1"/>
  <c r="E18" i="34"/>
  <c r="E39" i="34"/>
  <c r="E17" i="34"/>
  <c r="E11" i="34"/>
  <c r="E38" i="34"/>
  <c r="E16" i="34"/>
  <c r="E10" i="34"/>
  <c r="E15" i="34"/>
  <c r="E21" i="34"/>
  <c r="DV217" i="2"/>
  <c r="CX217" i="2"/>
  <c r="BZ217" i="2"/>
  <c r="BB217" i="2"/>
  <c r="DT217" i="2"/>
  <c r="CV217" i="2"/>
  <c r="BX217" i="2"/>
  <c r="AZ217" i="2"/>
  <c r="DR217" i="2"/>
  <c r="CT217" i="2"/>
  <c r="BV217" i="2"/>
  <c r="AX217" i="2"/>
  <c r="DP217" i="2"/>
  <c r="CR217" i="2"/>
  <c r="BT217" i="2"/>
  <c r="AV217" i="2"/>
  <c r="DN217" i="2"/>
  <c r="CP217" i="2"/>
  <c r="BR217" i="2"/>
  <c r="AT217" i="2"/>
  <c r="A217" i="2"/>
  <c r="DL217" i="2"/>
  <c r="CN217" i="2"/>
  <c r="BP217" i="2"/>
  <c r="AR217" i="2"/>
  <c r="DJ217" i="2"/>
  <c r="CL217" i="2"/>
  <c r="BN217" i="2"/>
  <c r="AP217" i="2"/>
  <c r="S217" i="2"/>
  <c r="T217" i="2" s="1"/>
  <c r="DH217" i="2"/>
  <c r="CJ217" i="2"/>
  <c r="BL217" i="2"/>
  <c r="AN217" i="2"/>
  <c r="DF217" i="2"/>
  <c r="CH217" i="2"/>
  <c r="BJ217" i="2"/>
  <c r="AL217" i="2"/>
  <c r="EB217" i="2"/>
  <c r="DD217" i="2"/>
  <c r="CF217" i="2"/>
  <c r="BH217" i="2"/>
  <c r="AJ217" i="2"/>
  <c r="DZ217" i="2"/>
  <c r="DB217" i="2"/>
  <c r="CD217" i="2"/>
  <c r="BF217" i="2"/>
  <c r="AH217" i="2"/>
  <c r="DX217" i="2"/>
  <c r="CZ217" i="2"/>
  <c r="CB217" i="2"/>
  <c r="BD217" i="2"/>
  <c r="G28" i="33"/>
  <c r="M28" i="33"/>
  <c r="M58" i="33" s="1"/>
  <c r="M59" i="33" s="1"/>
  <c r="H19" i="10"/>
  <c r="E26" i="34" l="1"/>
  <c r="E57" i="34" s="1"/>
  <c r="J19" i="10"/>
  <c r="K19" i="10" s="1"/>
  <c r="I19" i="10"/>
  <c r="B59" i="33"/>
  <c r="G58" i="33"/>
  <c r="G59" i="33" s="1"/>
  <c r="F9" i="34"/>
  <c r="F58" i="33"/>
  <c r="F59" i="33" s="1"/>
  <c r="D57" i="34"/>
  <c r="DF218" i="2"/>
  <c r="CH218" i="2"/>
  <c r="BJ218" i="2"/>
  <c r="AL218" i="2"/>
  <c r="EB218" i="2"/>
  <c r="DD218" i="2"/>
  <c r="CF218" i="2"/>
  <c r="BH218" i="2"/>
  <c r="AJ218" i="2"/>
  <c r="DZ218" i="2"/>
  <c r="DB218" i="2"/>
  <c r="CD218" i="2"/>
  <c r="BF218" i="2"/>
  <c r="AH218" i="2"/>
  <c r="DX218" i="2"/>
  <c r="CZ218" i="2"/>
  <c r="CB218" i="2"/>
  <c r="BD218" i="2"/>
  <c r="DV218" i="2"/>
  <c r="CX218" i="2"/>
  <c r="BZ218" i="2"/>
  <c r="BB218" i="2"/>
  <c r="DT218" i="2"/>
  <c r="CV218" i="2"/>
  <c r="BX218" i="2"/>
  <c r="AZ218" i="2"/>
  <c r="DR218" i="2"/>
  <c r="CT218" i="2"/>
  <c r="BV218" i="2"/>
  <c r="AX218" i="2"/>
  <c r="DP218" i="2"/>
  <c r="CR218" i="2"/>
  <c r="BT218" i="2"/>
  <c r="AV218" i="2"/>
  <c r="DN218" i="2"/>
  <c r="CP218" i="2"/>
  <c r="BR218" i="2"/>
  <c r="AT218" i="2"/>
  <c r="A218" i="2"/>
  <c r="DL218" i="2"/>
  <c r="CN218" i="2"/>
  <c r="BP218" i="2"/>
  <c r="AR218" i="2"/>
  <c r="DJ218" i="2"/>
  <c r="CL218" i="2"/>
  <c r="BN218" i="2"/>
  <c r="AP218" i="2"/>
  <c r="S218" i="2"/>
  <c r="T218" i="2" s="1"/>
  <c r="DH218" i="2"/>
  <c r="CJ218" i="2"/>
  <c r="BL218" i="2"/>
  <c r="AN218" i="2"/>
  <c r="H4" i="34"/>
  <c r="G6" i="34"/>
  <c r="D19" i="11"/>
  <c r="O19" i="11" s="1"/>
  <c r="D19" i="5"/>
  <c r="D19" i="6" s="1"/>
  <c r="C220" i="2"/>
  <c r="G219" i="2"/>
  <c r="AC219" i="2"/>
  <c r="AD219" i="2" s="1"/>
  <c r="E219" i="2"/>
  <c r="D219" i="2"/>
  <c r="V219" i="2"/>
  <c r="W217" i="2"/>
  <c r="B218" i="2"/>
  <c r="F25" i="34"/>
  <c r="F14" i="34"/>
  <c r="F34" i="34"/>
  <c r="F33" i="34"/>
  <c r="F24" i="34"/>
  <c r="F13" i="34"/>
  <c r="F23" i="34"/>
  <c r="F32" i="34"/>
  <c r="F22" i="34"/>
  <c r="F20" i="34"/>
  <c r="F19" i="34"/>
  <c r="F30" i="34"/>
  <c r="F31" i="34" s="1"/>
  <c r="F18" i="34"/>
  <c r="F39" i="34"/>
  <c r="F17" i="34"/>
  <c r="F11" i="34"/>
  <c r="F38" i="34"/>
  <c r="F16" i="34"/>
  <c r="F10" i="34"/>
  <c r="F15" i="34"/>
  <c r="F21" i="34"/>
  <c r="N28" i="33"/>
  <c r="F218" i="2"/>
  <c r="AB218" i="2" s="1"/>
  <c r="F8" i="34"/>
  <c r="F219" i="2" l="1"/>
  <c r="AB219" i="2" s="1"/>
  <c r="V19" i="11"/>
  <c r="J19" i="11"/>
  <c r="P19" i="11"/>
  <c r="T19" i="11"/>
  <c r="U19" i="11"/>
  <c r="K19" i="11"/>
  <c r="F26" i="34"/>
  <c r="F57" i="34" s="1"/>
  <c r="G34" i="34"/>
  <c r="G33" i="34"/>
  <c r="G24" i="34"/>
  <c r="G13" i="34"/>
  <c r="G23" i="34"/>
  <c r="G32" i="34"/>
  <c r="G22" i="34"/>
  <c r="G20" i="34"/>
  <c r="G19" i="34"/>
  <c r="G30" i="34"/>
  <c r="G31" i="34" s="1"/>
  <c r="G18" i="34"/>
  <c r="G39" i="34"/>
  <c r="G17" i="34"/>
  <c r="G11" i="34"/>
  <c r="G38" i="34"/>
  <c r="G16" i="34"/>
  <c r="G10" i="34"/>
  <c r="G15" i="34"/>
  <c r="G25" i="34"/>
  <c r="G14" i="34"/>
  <c r="G21" i="34"/>
  <c r="W19" i="11"/>
  <c r="G9" i="34"/>
  <c r="N58" i="33"/>
  <c r="N59" i="33" s="1"/>
  <c r="F60" i="33" s="1"/>
  <c r="Q19" i="11"/>
  <c r="L19" i="11"/>
  <c r="I4" i="34"/>
  <c r="H6" i="34"/>
  <c r="D19" i="7"/>
  <c r="D19" i="8" s="1"/>
  <c r="D19" i="9" s="1"/>
  <c r="D19" i="10" s="1"/>
  <c r="C19" i="12" s="1"/>
  <c r="R19" i="6"/>
  <c r="W218" i="2"/>
  <c r="B219" i="2"/>
  <c r="X19" i="11"/>
  <c r="R19" i="11"/>
  <c r="M19" i="11"/>
  <c r="G8" i="34"/>
  <c r="Y19" i="11"/>
  <c r="S19" i="11"/>
  <c r="N19" i="11"/>
  <c r="DN219" i="2"/>
  <c r="CP219" i="2"/>
  <c r="BR219" i="2"/>
  <c r="AT219" i="2"/>
  <c r="A219" i="2"/>
  <c r="DL219" i="2"/>
  <c r="CN219" i="2"/>
  <c r="BP219" i="2"/>
  <c r="AR219" i="2"/>
  <c r="DJ219" i="2"/>
  <c r="CL219" i="2"/>
  <c r="BN219" i="2"/>
  <c r="AP219" i="2"/>
  <c r="S219" i="2"/>
  <c r="T219" i="2" s="1"/>
  <c r="DH219" i="2"/>
  <c r="CJ219" i="2"/>
  <c r="BL219" i="2"/>
  <c r="AN219" i="2"/>
  <c r="DF219" i="2"/>
  <c r="CH219" i="2"/>
  <c r="BJ219" i="2"/>
  <c r="AL219" i="2"/>
  <c r="EB219" i="2"/>
  <c r="DD219" i="2"/>
  <c r="CF219" i="2"/>
  <c r="BH219" i="2"/>
  <c r="AJ219" i="2"/>
  <c r="DZ219" i="2"/>
  <c r="DB219" i="2"/>
  <c r="CD219" i="2"/>
  <c r="BF219" i="2"/>
  <c r="AH219" i="2"/>
  <c r="DX219" i="2"/>
  <c r="CZ219" i="2"/>
  <c r="CB219" i="2"/>
  <c r="BD219" i="2"/>
  <c r="DV219" i="2"/>
  <c r="CX219" i="2"/>
  <c r="BZ219" i="2"/>
  <c r="BB219" i="2"/>
  <c r="DT219" i="2"/>
  <c r="CV219" i="2"/>
  <c r="BX219" i="2"/>
  <c r="AZ219" i="2"/>
  <c r="DR219" i="2"/>
  <c r="CT219" i="2"/>
  <c r="BV219" i="2"/>
  <c r="AX219" i="2"/>
  <c r="DP219" i="2"/>
  <c r="CR219" i="2"/>
  <c r="BT219" i="2"/>
  <c r="AV219" i="2"/>
  <c r="AC220" i="2"/>
  <c r="AD220" i="2" s="1"/>
  <c r="E220" i="2"/>
  <c r="D220" i="2"/>
  <c r="F220" i="2" s="1"/>
  <c r="AB220" i="2" s="1"/>
  <c r="V220" i="2"/>
  <c r="C221" i="2"/>
  <c r="G220" i="2"/>
  <c r="H9" i="34" l="1"/>
  <c r="H7" i="34"/>
  <c r="N7" i="34" s="1"/>
  <c r="G26" i="34"/>
  <c r="G57" i="34" s="1"/>
  <c r="G19" i="11"/>
  <c r="H19" i="11" s="1"/>
  <c r="DV220" i="2"/>
  <c r="CX220" i="2"/>
  <c r="BZ220" i="2"/>
  <c r="BB220" i="2"/>
  <c r="DT220" i="2"/>
  <c r="CV220" i="2"/>
  <c r="BX220" i="2"/>
  <c r="AZ220" i="2"/>
  <c r="DR220" i="2"/>
  <c r="CT220" i="2"/>
  <c r="BV220" i="2"/>
  <c r="AX220" i="2"/>
  <c r="DP220" i="2"/>
  <c r="CR220" i="2"/>
  <c r="BT220" i="2"/>
  <c r="AV220" i="2"/>
  <c r="DN220" i="2"/>
  <c r="CP220" i="2"/>
  <c r="BR220" i="2"/>
  <c r="AT220" i="2"/>
  <c r="A220" i="2"/>
  <c r="DL220" i="2"/>
  <c r="CN220" i="2"/>
  <c r="BP220" i="2"/>
  <c r="AR220" i="2"/>
  <c r="DJ220" i="2"/>
  <c r="CL220" i="2"/>
  <c r="BN220" i="2"/>
  <c r="AP220" i="2"/>
  <c r="S220" i="2"/>
  <c r="T220" i="2" s="1"/>
  <c r="DH220" i="2"/>
  <c r="CJ220" i="2"/>
  <c r="BL220" i="2"/>
  <c r="AN220" i="2"/>
  <c r="DF220" i="2"/>
  <c r="CH220" i="2"/>
  <c r="BJ220" i="2"/>
  <c r="AL220" i="2"/>
  <c r="EB220" i="2"/>
  <c r="DD220" i="2"/>
  <c r="CF220" i="2"/>
  <c r="BH220" i="2"/>
  <c r="AJ220" i="2"/>
  <c r="DZ220" i="2"/>
  <c r="DB220" i="2"/>
  <c r="CD220" i="2"/>
  <c r="BF220" i="2"/>
  <c r="AH220" i="2"/>
  <c r="DX220" i="2"/>
  <c r="CZ220" i="2"/>
  <c r="CB220" i="2"/>
  <c r="BD220" i="2"/>
  <c r="H33" i="34"/>
  <c r="H24" i="34"/>
  <c r="H13" i="34"/>
  <c r="H23" i="34"/>
  <c r="H32" i="34"/>
  <c r="H22" i="34"/>
  <c r="H20" i="34"/>
  <c r="H19" i="34"/>
  <c r="H30" i="34"/>
  <c r="H31" i="34" s="1"/>
  <c r="H18" i="34"/>
  <c r="H39" i="34"/>
  <c r="H17" i="34"/>
  <c r="H11" i="34"/>
  <c r="H38" i="34"/>
  <c r="H16" i="34"/>
  <c r="H10" i="34"/>
  <c r="H15" i="34"/>
  <c r="H25" i="34"/>
  <c r="H14" i="34"/>
  <c r="H34" i="34"/>
  <c r="H21" i="34"/>
  <c r="G221" i="2"/>
  <c r="AC221" i="2"/>
  <c r="AD221" i="2" s="1"/>
  <c r="E221" i="2"/>
  <c r="D221" i="2"/>
  <c r="V221" i="2"/>
  <c r="C222" i="2"/>
  <c r="H8" i="34"/>
  <c r="J4" i="34"/>
  <c r="I6" i="34"/>
  <c r="G60" i="33"/>
  <c r="I60" i="33"/>
  <c r="W219" i="2"/>
  <c r="B220" i="2"/>
  <c r="F221" i="2" l="1"/>
  <c r="AB221" i="2" s="1"/>
  <c r="C19" i="11"/>
  <c r="E19" i="11" s="1"/>
  <c r="H26" i="34"/>
  <c r="H57" i="34" s="1"/>
  <c r="K4" i="34"/>
  <c r="J6" i="34"/>
  <c r="C223" i="2"/>
  <c r="G222" i="2"/>
  <c r="AC222" i="2"/>
  <c r="AD222" i="2" s="1"/>
  <c r="E222" i="2"/>
  <c r="D222" i="2"/>
  <c r="V222" i="2"/>
  <c r="W220" i="2"/>
  <c r="B221" i="2"/>
  <c r="DF221" i="2"/>
  <c r="CH221" i="2"/>
  <c r="BJ221" i="2"/>
  <c r="AL221" i="2"/>
  <c r="EB221" i="2"/>
  <c r="DD221" i="2"/>
  <c r="CF221" i="2"/>
  <c r="BH221" i="2"/>
  <c r="AJ221" i="2"/>
  <c r="DZ221" i="2"/>
  <c r="DB221" i="2"/>
  <c r="CD221" i="2"/>
  <c r="BF221" i="2"/>
  <c r="AH221" i="2"/>
  <c r="DX221" i="2"/>
  <c r="CZ221" i="2"/>
  <c r="CB221" i="2"/>
  <c r="BD221" i="2"/>
  <c r="DV221" i="2"/>
  <c r="CX221" i="2"/>
  <c r="BZ221" i="2"/>
  <c r="BB221" i="2"/>
  <c r="DT221" i="2"/>
  <c r="CV221" i="2"/>
  <c r="BX221" i="2"/>
  <c r="AZ221" i="2"/>
  <c r="DR221" i="2"/>
  <c r="CT221" i="2"/>
  <c r="BV221" i="2"/>
  <c r="AX221" i="2"/>
  <c r="DP221" i="2"/>
  <c r="CR221" i="2"/>
  <c r="BT221" i="2"/>
  <c r="AV221" i="2"/>
  <c r="DN221" i="2"/>
  <c r="CP221" i="2"/>
  <c r="BR221" i="2"/>
  <c r="AT221" i="2"/>
  <c r="A221" i="2"/>
  <c r="DL221" i="2"/>
  <c r="CN221" i="2"/>
  <c r="BP221" i="2"/>
  <c r="AR221" i="2"/>
  <c r="DJ221" i="2"/>
  <c r="CL221" i="2"/>
  <c r="BN221" i="2"/>
  <c r="AP221" i="2"/>
  <c r="S221" i="2"/>
  <c r="T221" i="2" s="1"/>
  <c r="DH221" i="2"/>
  <c r="CJ221" i="2"/>
  <c r="BL221" i="2"/>
  <c r="AN221" i="2"/>
  <c r="I23" i="34"/>
  <c r="I32" i="34"/>
  <c r="I22" i="34"/>
  <c r="I20" i="34"/>
  <c r="I19" i="34"/>
  <c r="I30" i="34"/>
  <c r="I31" i="34" s="1"/>
  <c r="I18" i="34"/>
  <c r="I39" i="34"/>
  <c r="I17" i="34"/>
  <c r="I11" i="34"/>
  <c r="I38" i="34"/>
  <c r="I16" i="34"/>
  <c r="I10" i="34"/>
  <c r="I15" i="34"/>
  <c r="I25" i="34"/>
  <c r="I14" i="34"/>
  <c r="I34" i="34"/>
  <c r="I24" i="34"/>
  <c r="I13" i="34"/>
  <c r="I33" i="34"/>
  <c r="I21" i="34"/>
  <c r="I8" i="34"/>
  <c r="I9" i="34"/>
  <c r="I26" i="34" l="1"/>
  <c r="I57" i="34" s="1"/>
  <c r="DN222" i="2"/>
  <c r="CP222" i="2"/>
  <c r="DL222" i="2"/>
  <c r="CN222" i="2"/>
  <c r="BP222" i="2"/>
  <c r="AR222" i="2"/>
  <c r="DJ222" i="2"/>
  <c r="CL222" i="2"/>
  <c r="BN222" i="2"/>
  <c r="AP222" i="2"/>
  <c r="DH222" i="2"/>
  <c r="EB222" i="2"/>
  <c r="DD222" i="2"/>
  <c r="CF222" i="2"/>
  <c r="DZ222" i="2"/>
  <c r="DB222" i="2"/>
  <c r="CD222" i="2"/>
  <c r="DR222" i="2"/>
  <c r="CT222" i="2"/>
  <c r="DX222" i="2"/>
  <c r="BZ222" i="2"/>
  <c r="AX222" i="2"/>
  <c r="A222" i="2"/>
  <c r="DV222" i="2"/>
  <c r="BX222" i="2"/>
  <c r="AV222" i="2"/>
  <c r="DT222" i="2"/>
  <c r="BV222" i="2"/>
  <c r="AT222" i="2"/>
  <c r="S222" i="2"/>
  <c r="T222" i="2" s="1"/>
  <c r="DP222" i="2"/>
  <c r="BT222" i="2"/>
  <c r="AN222" i="2"/>
  <c r="DF222" i="2"/>
  <c r="BR222" i="2"/>
  <c r="AL222" i="2"/>
  <c r="CZ222" i="2"/>
  <c r="BL222" i="2"/>
  <c r="AJ222" i="2"/>
  <c r="CX222" i="2"/>
  <c r="BJ222" i="2"/>
  <c r="AH222" i="2"/>
  <c r="CV222" i="2"/>
  <c r="BH222" i="2"/>
  <c r="CR222" i="2"/>
  <c r="BF222" i="2"/>
  <c r="CJ222" i="2"/>
  <c r="BD222" i="2"/>
  <c r="CH222" i="2"/>
  <c r="BB222" i="2"/>
  <c r="CB222" i="2"/>
  <c r="AZ222" i="2"/>
  <c r="AC223" i="2"/>
  <c r="AD223" i="2" s="1"/>
  <c r="E223" i="2"/>
  <c r="D223" i="2"/>
  <c r="F223" i="2" s="1"/>
  <c r="AB223" i="2" s="1"/>
  <c r="V223" i="2"/>
  <c r="C224" i="2"/>
  <c r="G223" i="2"/>
  <c r="J32" i="34"/>
  <c r="J22" i="34"/>
  <c r="J20" i="34"/>
  <c r="J19" i="34"/>
  <c r="J30" i="34"/>
  <c r="J31" i="34" s="1"/>
  <c r="J18" i="34"/>
  <c r="J39" i="34"/>
  <c r="J17" i="34"/>
  <c r="J11" i="34"/>
  <c r="J38" i="34"/>
  <c r="J16" i="34"/>
  <c r="J10" i="34"/>
  <c r="J15" i="34"/>
  <c r="J25" i="34"/>
  <c r="J14" i="34"/>
  <c r="J34" i="34"/>
  <c r="J12" i="34"/>
  <c r="J33" i="34"/>
  <c r="J24" i="34"/>
  <c r="J13" i="34"/>
  <c r="J23" i="34"/>
  <c r="J21" i="34"/>
  <c r="L4" i="34"/>
  <c r="K6" i="34"/>
  <c r="J8" i="34"/>
  <c r="J9" i="34"/>
  <c r="W221" i="2"/>
  <c r="B222" i="2"/>
  <c r="F222" i="2"/>
  <c r="AB222" i="2" s="1"/>
  <c r="J26" i="34" l="1"/>
  <c r="J57" i="34" s="1"/>
  <c r="K20" i="34"/>
  <c r="K19" i="34"/>
  <c r="K30" i="34"/>
  <c r="K31" i="34" s="1"/>
  <c r="K18" i="34"/>
  <c r="K39" i="34"/>
  <c r="K17" i="34"/>
  <c r="K11" i="34"/>
  <c r="K38" i="34"/>
  <c r="K16" i="34"/>
  <c r="K10" i="34"/>
  <c r="K15" i="34"/>
  <c r="K25" i="34"/>
  <c r="K14" i="34"/>
  <c r="K34" i="34"/>
  <c r="K12" i="34"/>
  <c r="N12" i="34" s="1"/>
  <c r="K33" i="34"/>
  <c r="K24" i="34"/>
  <c r="K13" i="34"/>
  <c r="K23" i="34"/>
  <c r="K32" i="34"/>
  <c r="K22" i="34"/>
  <c r="K21" i="34"/>
  <c r="W222" i="2"/>
  <c r="B223" i="2"/>
  <c r="K8" i="34"/>
  <c r="M4" i="34"/>
  <c r="L6" i="34"/>
  <c r="L9" i="34" s="1"/>
  <c r="K9" i="34"/>
  <c r="G224" i="2"/>
  <c r="D224" i="2"/>
  <c r="V224" i="2"/>
  <c r="C225" i="2"/>
  <c r="AC224" i="2"/>
  <c r="AD224" i="2" s="1"/>
  <c r="E224" i="2"/>
  <c r="DV223" i="2"/>
  <c r="CX223" i="2"/>
  <c r="BZ223" i="2"/>
  <c r="BB223" i="2"/>
  <c r="DT223" i="2"/>
  <c r="CV223" i="2"/>
  <c r="BX223" i="2"/>
  <c r="AZ223" i="2"/>
  <c r="DR223" i="2"/>
  <c r="CT223" i="2"/>
  <c r="BV223" i="2"/>
  <c r="AX223" i="2"/>
  <c r="DP223" i="2"/>
  <c r="CR223" i="2"/>
  <c r="BT223" i="2"/>
  <c r="AV223" i="2"/>
  <c r="DL223" i="2"/>
  <c r="CN223" i="2"/>
  <c r="BP223" i="2"/>
  <c r="AR223" i="2"/>
  <c r="DJ223" i="2"/>
  <c r="CL223" i="2"/>
  <c r="BN223" i="2"/>
  <c r="AP223" i="2"/>
  <c r="S223" i="2"/>
  <c r="T223" i="2" s="1"/>
  <c r="DH223" i="2"/>
  <c r="CJ223" i="2"/>
  <c r="BL223" i="2"/>
  <c r="AN223" i="2"/>
  <c r="DF223" i="2"/>
  <c r="EB223" i="2"/>
  <c r="DD223" i="2"/>
  <c r="CF223" i="2"/>
  <c r="BH223" i="2"/>
  <c r="AJ223" i="2"/>
  <c r="DZ223" i="2"/>
  <c r="DB223" i="2"/>
  <c r="CD223" i="2"/>
  <c r="BF223" i="2"/>
  <c r="AH223" i="2"/>
  <c r="BR223" i="2"/>
  <c r="BJ223" i="2"/>
  <c r="BD223" i="2"/>
  <c r="AT223" i="2"/>
  <c r="AL223" i="2"/>
  <c r="DX223" i="2"/>
  <c r="DN223" i="2"/>
  <c r="CZ223" i="2"/>
  <c r="CP223" i="2"/>
  <c r="CH223" i="2"/>
  <c r="CB223" i="2"/>
  <c r="A223" i="2"/>
  <c r="I20" i="9"/>
  <c r="H20" i="9"/>
  <c r="K26" i="34" l="1"/>
  <c r="K57" i="34" s="1"/>
  <c r="AC225" i="2"/>
  <c r="AD225" i="2" s="1"/>
  <c r="G225" i="2"/>
  <c r="E225" i="2"/>
  <c r="D225" i="2"/>
  <c r="C226" i="2"/>
  <c r="V225" i="2"/>
  <c r="W223" i="2"/>
  <c r="B224" i="2"/>
  <c r="F224" i="2"/>
  <c r="AB224" i="2" s="1"/>
  <c r="DF224" i="2"/>
  <c r="CH224" i="2"/>
  <c r="BJ224" i="2"/>
  <c r="AL224" i="2"/>
  <c r="EB224" i="2"/>
  <c r="DD224" i="2"/>
  <c r="CF224" i="2"/>
  <c r="BH224" i="2"/>
  <c r="AJ224" i="2"/>
  <c r="DZ224" i="2"/>
  <c r="DB224" i="2"/>
  <c r="CD224" i="2"/>
  <c r="BF224" i="2"/>
  <c r="AH224" i="2"/>
  <c r="DX224" i="2"/>
  <c r="CZ224" i="2"/>
  <c r="CB224" i="2"/>
  <c r="BD224" i="2"/>
  <c r="DT224" i="2"/>
  <c r="CV224" i="2"/>
  <c r="BX224" i="2"/>
  <c r="AZ224" i="2"/>
  <c r="DR224" i="2"/>
  <c r="CT224" i="2"/>
  <c r="BV224" i="2"/>
  <c r="AX224" i="2"/>
  <c r="DP224" i="2"/>
  <c r="CR224" i="2"/>
  <c r="BT224" i="2"/>
  <c r="AV224" i="2"/>
  <c r="DN224" i="2"/>
  <c r="CP224" i="2"/>
  <c r="BR224" i="2"/>
  <c r="AT224" i="2"/>
  <c r="A224" i="2"/>
  <c r="DL224" i="2"/>
  <c r="CN224" i="2"/>
  <c r="BP224" i="2"/>
  <c r="AR224" i="2"/>
  <c r="DJ224" i="2"/>
  <c r="CL224" i="2"/>
  <c r="BN224" i="2"/>
  <c r="AP224" i="2"/>
  <c r="S224" i="2"/>
  <c r="T224" i="2" s="1"/>
  <c r="DH224" i="2"/>
  <c r="CJ224" i="2"/>
  <c r="BL224" i="2"/>
  <c r="AN224" i="2"/>
  <c r="DV224" i="2"/>
  <c r="CX224" i="2"/>
  <c r="BZ224" i="2"/>
  <c r="BB224" i="2"/>
  <c r="L19" i="34"/>
  <c r="L30" i="34"/>
  <c r="L31" i="34" s="1"/>
  <c r="L18" i="34"/>
  <c r="L39" i="34"/>
  <c r="L17" i="34"/>
  <c r="L11" i="34"/>
  <c r="L38" i="34"/>
  <c r="L16" i="34"/>
  <c r="L10" i="34"/>
  <c r="L15" i="34"/>
  <c r="L25" i="34"/>
  <c r="L14" i="34"/>
  <c r="L34" i="34"/>
  <c r="L33" i="34"/>
  <c r="L24" i="34"/>
  <c r="L13" i="34"/>
  <c r="L23" i="34"/>
  <c r="L32" i="34"/>
  <c r="L22" i="34"/>
  <c r="L20" i="34"/>
  <c r="L21" i="34"/>
  <c r="B4" i="35"/>
  <c r="M6" i="34"/>
  <c r="L8" i="34"/>
  <c r="F225" i="2" l="1"/>
  <c r="AB225" i="2" s="1"/>
  <c r="L26" i="34"/>
  <c r="L57" i="34" s="1"/>
  <c r="W224" i="2"/>
  <c r="B225" i="2"/>
  <c r="M30" i="34"/>
  <c r="N30" i="34" s="1"/>
  <c r="M18" i="34"/>
  <c r="N18" i="34" s="1"/>
  <c r="M39" i="34"/>
  <c r="N39" i="34" s="1"/>
  <c r="M17" i="34"/>
  <c r="N17" i="34" s="1"/>
  <c r="M11" i="34"/>
  <c r="N11" i="34" s="1"/>
  <c r="M38" i="34"/>
  <c r="N38" i="34" s="1"/>
  <c r="M16" i="34"/>
  <c r="N16" i="34" s="1"/>
  <c r="M10" i="34"/>
  <c r="N10" i="34" s="1"/>
  <c r="M15" i="34"/>
  <c r="N15" i="34" s="1"/>
  <c r="M25" i="34"/>
  <c r="N25" i="34" s="1"/>
  <c r="M14" i="34"/>
  <c r="N14" i="34" s="1"/>
  <c r="M34" i="34"/>
  <c r="N34" i="34" s="1"/>
  <c r="M33" i="34"/>
  <c r="N33" i="34" s="1"/>
  <c r="M24" i="34"/>
  <c r="N24" i="34" s="1"/>
  <c r="M13" i="34"/>
  <c r="N13" i="34" s="1"/>
  <c r="M23" i="34"/>
  <c r="N23" i="34" s="1"/>
  <c r="M32" i="34"/>
  <c r="N32" i="34" s="1"/>
  <c r="M22" i="34"/>
  <c r="N22" i="34" s="1"/>
  <c r="M20" i="34"/>
  <c r="N20" i="34" s="1"/>
  <c r="M19" i="34"/>
  <c r="N19" i="34" s="1"/>
  <c r="N6" i="34"/>
  <c r="M21" i="34"/>
  <c r="N21" i="34" s="1"/>
  <c r="V226" i="2"/>
  <c r="C227" i="2"/>
  <c r="G226" i="2"/>
  <c r="AC226" i="2"/>
  <c r="AD226" i="2" s="1"/>
  <c r="E226" i="2"/>
  <c r="D226" i="2"/>
  <c r="F226" i="2" s="1"/>
  <c r="AB226" i="2" s="1"/>
  <c r="DJ225" i="2"/>
  <c r="CL225" i="2"/>
  <c r="BN225" i="2"/>
  <c r="AP225" i="2"/>
  <c r="A225" i="2"/>
  <c r="DH225" i="2"/>
  <c r="CJ225" i="2"/>
  <c r="BL225" i="2"/>
  <c r="AN225" i="2"/>
  <c r="DF225" i="2"/>
  <c r="CH225" i="2"/>
  <c r="BJ225" i="2"/>
  <c r="AL225" i="2"/>
  <c r="S225" i="2"/>
  <c r="T225" i="2" s="1"/>
  <c r="EB225" i="2"/>
  <c r="DD225" i="2"/>
  <c r="CF225" i="2"/>
  <c r="BH225" i="2"/>
  <c r="AJ225" i="2"/>
  <c r="DX225" i="2"/>
  <c r="CZ225" i="2"/>
  <c r="CB225" i="2"/>
  <c r="BD225" i="2"/>
  <c r="DV225" i="2"/>
  <c r="CX225" i="2"/>
  <c r="BZ225" i="2"/>
  <c r="BB225" i="2"/>
  <c r="DT225" i="2"/>
  <c r="CV225" i="2"/>
  <c r="BX225" i="2"/>
  <c r="AZ225" i="2"/>
  <c r="DR225" i="2"/>
  <c r="CT225" i="2"/>
  <c r="BV225" i="2"/>
  <c r="AX225" i="2"/>
  <c r="DP225" i="2"/>
  <c r="CR225" i="2"/>
  <c r="BT225" i="2"/>
  <c r="AV225" i="2"/>
  <c r="DN225" i="2"/>
  <c r="CP225" i="2"/>
  <c r="BR225" i="2"/>
  <c r="AT225" i="2"/>
  <c r="DL225" i="2"/>
  <c r="CN225" i="2"/>
  <c r="BP225" i="2"/>
  <c r="AR225" i="2"/>
  <c r="CD225" i="2"/>
  <c r="BF225" i="2"/>
  <c r="AH225" i="2"/>
  <c r="DZ225" i="2"/>
  <c r="DB225" i="2"/>
  <c r="C4" i="35"/>
  <c r="B6" i="35"/>
  <c r="M9" i="34"/>
  <c r="N9" i="34" s="1"/>
  <c r="M8" i="34"/>
  <c r="N8" i="34" s="1"/>
  <c r="F20" i="8"/>
  <c r="M20" i="9"/>
  <c r="O20" i="8"/>
  <c r="K20" i="9"/>
  <c r="J20" i="9"/>
  <c r="I20" i="8"/>
  <c r="G20" i="9"/>
  <c r="N20" i="9"/>
  <c r="L20" i="9"/>
  <c r="F20" i="9"/>
  <c r="L20" i="8"/>
  <c r="M31" i="34" l="1"/>
  <c r="N31" i="34" s="1"/>
  <c r="Q20" i="8"/>
  <c r="N20" i="8"/>
  <c r="K20" i="8"/>
  <c r="B8" i="35"/>
  <c r="B7" i="35"/>
  <c r="R20" i="8"/>
  <c r="S20" i="8" s="1"/>
  <c r="H20" i="8"/>
  <c r="G20" i="8"/>
  <c r="P20" i="8"/>
  <c r="J20" i="8"/>
  <c r="M20" i="8"/>
  <c r="O20" i="9"/>
  <c r="P20" i="9" s="1"/>
  <c r="W225" i="2"/>
  <c r="B226" i="2"/>
  <c r="AC227" i="2"/>
  <c r="AD227" i="2" s="1"/>
  <c r="E227" i="2"/>
  <c r="D227" i="2"/>
  <c r="F227" i="2" s="1"/>
  <c r="AB227" i="2" s="1"/>
  <c r="V227" i="2"/>
  <c r="C228" i="2"/>
  <c r="G227" i="2"/>
  <c r="D4" i="35"/>
  <c r="C6" i="35"/>
  <c r="M26" i="34"/>
  <c r="B25" i="35"/>
  <c r="B14" i="35"/>
  <c r="B34" i="35"/>
  <c r="B33" i="35"/>
  <c r="B24" i="35"/>
  <c r="B13" i="35"/>
  <c r="B23" i="35"/>
  <c r="B32" i="35"/>
  <c r="B21" i="35"/>
  <c r="B20" i="35"/>
  <c r="B19" i="35"/>
  <c r="B30" i="35"/>
  <c r="B18" i="35"/>
  <c r="B12" i="35"/>
  <c r="B39" i="35"/>
  <c r="B17" i="35"/>
  <c r="B11" i="35"/>
  <c r="B38" i="35"/>
  <c r="B16" i="35"/>
  <c r="B10" i="35"/>
  <c r="B15" i="35"/>
  <c r="B9" i="35"/>
  <c r="DN226" i="2"/>
  <c r="CP226" i="2"/>
  <c r="BR226" i="2"/>
  <c r="AT226" i="2"/>
  <c r="DL226" i="2"/>
  <c r="CN226" i="2"/>
  <c r="BP226" i="2"/>
  <c r="AR226" i="2"/>
  <c r="A226" i="2"/>
  <c r="DJ226" i="2"/>
  <c r="CL226" i="2"/>
  <c r="BN226" i="2"/>
  <c r="AP226" i="2"/>
  <c r="DH226" i="2"/>
  <c r="CJ226" i="2"/>
  <c r="BL226" i="2"/>
  <c r="S226" i="2"/>
  <c r="T226" i="2" s="1"/>
  <c r="EB226" i="2"/>
  <c r="DD226" i="2"/>
  <c r="CF226" i="2"/>
  <c r="BH226" i="2"/>
  <c r="AL226" i="2"/>
  <c r="DZ226" i="2"/>
  <c r="DB226" i="2"/>
  <c r="CD226" i="2"/>
  <c r="BF226" i="2"/>
  <c r="AJ226" i="2"/>
  <c r="DX226" i="2"/>
  <c r="CZ226" i="2"/>
  <c r="CB226" i="2"/>
  <c r="BD226" i="2"/>
  <c r="AH226" i="2"/>
  <c r="DV226" i="2"/>
  <c r="CX226" i="2"/>
  <c r="BZ226" i="2"/>
  <c r="BB226" i="2"/>
  <c r="DT226" i="2"/>
  <c r="CV226" i="2"/>
  <c r="BX226" i="2"/>
  <c r="AZ226" i="2"/>
  <c r="DR226" i="2"/>
  <c r="CT226" i="2"/>
  <c r="BV226" i="2"/>
  <c r="AX226" i="2"/>
  <c r="DP226" i="2"/>
  <c r="CR226" i="2"/>
  <c r="BT226" i="2"/>
  <c r="AV226" i="2"/>
  <c r="DF226" i="2"/>
  <c r="CH226" i="2"/>
  <c r="BJ226" i="2"/>
  <c r="AN226" i="2"/>
  <c r="E20" i="9"/>
  <c r="B20" i="8"/>
  <c r="B20" i="9"/>
  <c r="E20" i="8"/>
  <c r="B26" i="35" l="1"/>
  <c r="B57" i="35" s="1"/>
  <c r="G228" i="2"/>
  <c r="D228" i="2"/>
  <c r="V228" i="2"/>
  <c r="C229" i="2"/>
  <c r="E228" i="2"/>
  <c r="AC228" i="2"/>
  <c r="AD228" i="2" s="1"/>
  <c r="W226" i="2"/>
  <c r="B227" i="2"/>
  <c r="N26" i="34"/>
  <c r="M57" i="34"/>
  <c r="C25" i="35"/>
  <c r="C14" i="35"/>
  <c r="C34" i="35"/>
  <c r="C33" i="35"/>
  <c r="C24" i="35"/>
  <c r="C13" i="35"/>
  <c r="C23" i="35"/>
  <c r="C32" i="35"/>
  <c r="C22" i="35"/>
  <c r="C21" i="35"/>
  <c r="C20" i="35"/>
  <c r="C19" i="35"/>
  <c r="C30" i="35"/>
  <c r="C31" i="35" s="1"/>
  <c r="C18" i="35"/>
  <c r="C12" i="35"/>
  <c r="C39" i="35"/>
  <c r="C17" i="35"/>
  <c r="C11" i="35"/>
  <c r="C38" i="35"/>
  <c r="C16" i="35"/>
  <c r="C10" i="35"/>
  <c r="C15" i="35"/>
  <c r="C8" i="35"/>
  <c r="C9" i="35"/>
  <c r="DV227" i="2"/>
  <c r="CX227" i="2"/>
  <c r="BZ227" i="2"/>
  <c r="BB227" i="2"/>
  <c r="DT227" i="2"/>
  <c r="CV227" i="2"/>
  <c r="BX227" i="2"/>
  <c r="AZ227" i="2"/>
  <c r="DR227" i="2"/>
  <c r="CT227" i="2"/>
  <c r="BV227" i="2"/>
  <c r="AX227" i="2"/>
  <c r="DP227" i="2"/>
  <c r="CR227" i="2"/>
  <c r="BT227" i="2"/>
  <c r="AV227" i="2"/>
  <c r="DL227" i="2"/>
  <c r="CN227" i="2"/>
  <c r="BP227" i="2"/>
  <c r="AR227" i="2"/>
  <c r="DJ227" i="2"/>
  <c r="CL227" i="2"/>
  <c r="BN227" i="2"/>
  <c r="AP227" i="2"/>
  <c r="S227" i="2"/>
  <c r="T227" i="2" s="1"/>
  <c r="DH227" i="2"/>
  <c r="CJ227" i="2"/>
  <c r="BL227" i="2"/>
  <c r="AN227" i="2"/>
  <c r="DF227" i="2"/>
  <c r="CH227" i="2"/>
  <c r="BJ227" i="2"/>
  <c r="AL227" i="2"/>
  <c r="EB227" i="2"/>
  <c r="DD227" i="2"/>
  <c r="CF227" i="2"/>
  <c r="BH227" i="2"/>
  <c r="AJ227" i="2"/>
  <c r="DZ227" i="2"/>
  <c r="DB227" i="2"/>
  <c r="CD227" i="2"/>
  <c r="BF227" i="2"/>
  <c r="AH227" i="2"/>
  <c r="DX227" i="2"/>
  <c r="CZ227" i="2"/>
  <c r="CB227" i="2"/>
  <c r="BD227" i="2"/>
  <c r="DN227" i="2"/>
  <c r="CP227" i="2"/>
  <c r="BR227" i="2"/>
  <c r="AT227" i="2"/>
  <c r="A227" i="2"/>
  <c r="E4" i="35"/>
  <c r="D6" i="35"/>
  <c r="D9" i="35" s="1"/>
  <c r="B31" i="35"/>
  <c r="F20" i="3"/>
  <c r="F20" i="12"/>
  <c r="F20" i="4"/>
  <c r="G20" i="10"/>
  <c r="H20" i="12" l="1"/>
  <c r="G20" i="12"/>
  <c r="G20" i="3"/>
  <c r="H20" i="3"/>
  <c r="F4" i="35"/>
  <c r="E6" i="35"/>
  <c r="C230" i="2"/>
  <c r="G229" i="2"/>
  <c r="AC229" i="2"/>
  <c r="AD229" i="2" s="1"/>
  <c r="E229" i="2"/>
  <c r="D229" i="2"/>
  <c r="V229" i="2"/>
  <c r="N57" i="34"/>
  <c r="W227" i="2"/>
  <c r="B228" i="2"/>
  <c r="H60" i="34"/>
  <c r="B60" i="34"/>
  <c r="B27" i="34"/>
  <c r="C27" i="34"/>
  <c r="D27" i="34"/>
  <c r="E27" i="34"/>
  <c r="F27" i="34"/>
  <c r="G27" i="34"/>
  <c r="H27" i="34"/>
  <c r="I27" i="34"/>
  <c r="J27" i="34"/>
  <c r="K27" i="34"/>
  <c r="L27" i="34"/>
  <c r="M27" i="34"/>
  <c r="F228" i="2"/>
  <c r="AB228" i="2" s="1"/>
  <c r="DF228" i="2"/>
  <c r="CH228" i="2"/>
  <c r="BJ228" i="2"/>
  <c r="AL228" i="2"/>
  <c r="EB228" i="2"/>
  <c r="DD228" i="2"/>
  <c r="CF228" i="2"/>
  <c r="BH228" i="2"/>
  <c r="AJ228" i="2"/>
  <c r="DZ228" i="2"/>
  <c r="DB228" i="2"/>
  <c r="CD228" i="2"/>
  <c r="BF228" i="2"/>
  <c r="AH228" i="2"/>
  <c r="DX228" i="2"/>
  <c r="CZ228" i="2"/>
  <c r="CB228" i="2"/>
  <c r="BD228" i="2"/>
  <c r="DT228" i="2"/>
  <c r="CV228" i="2"/>
  <c r="BX228" i="2"/>
  <c r="AZ228" i="2"/>
  <c r="DR228" i="2"/>
  <c r="CT228" i="2"/>
  <c r="BV228" i="2"/>
  <c r="AX228" i="2"/>
  <c r="DP228" i="2"/>
  <c r="CR228" i="2"/>
  <c r="BT228" i="2"/>
  <c r="AV228" i="2"/>
  <c r="DN228" i="2"/>
  <c r="CP228" i="2"/>
  <c r="BR228" i="2"/>
  <c r="AT228" i="2"/>
  <c r="A228" i="2"/>
  <c r="DL228" i="2"/>
  <c r="CN228" i="2"/>
  <c r="BP228" i="2"/>
  <c r="AR228" i="2"/>
  <c r="DJ228" i="2"/>
  <c r="CL228" i="2"/>
  <c r="BN228" i="2"/>
  <c r="AP228" i="2"/>
  <c r="S228" i="2"/>
  <c r="T228" i="2" s="1"/>
  <c r="DH228" i="2"/>
  <c r="CJ228" i="2"/>
  <c r="BL228" i="2"/>
  <c r="AN228" i="2"/>
  <c r="DV228" i="2"/>
  <c r="CX228" i="2"/>
  <c r="BZ228" i="2"/>
  <c r="BB228" i="2"/>
  <c r="C26" i="35"/>
  <c r="D34" i="35"/>
  <c r="D33" i="35"/>
  <c r="D24" i="35"/>
  <c r="D13" i="35"/>
  <c r="D23" i="35"/>
  <c r="D32" i="35"/>
  <c r="D22" i="35"/>
  <c r="D20" i="35"/>
  <c r="D19" i="35"/>
  <c r="D30" i="35"/>
  <c r="D31" i="35" s="1"/>
  <c r="D18" i="35"/>
  <c r="D39" i="35"/>
  <c r="D17" i="35"/>
  <c r="D11" i="35"/>
  <c r="D38" i="35"/>
  <c r="D16" i="35"/>
  <c r="D10" i="35"/>
  <c r="D15" i="35"/>
  <c r="D25" i="35"/>
  <c r="D14" i="35"/>
  <c r="D21" i="35"/>
  <c r="D8" i="35"/>
  <c r="C20" i="10"/>
  <c r="O20" i="3"/>
  <c r="G20" i="4"/>
  <c r="B20" i="4"/>
  <c r="E20" i="12"/>
  <c r="J20" i="4"/>
  <c r="B20" i="3"/>
  <c r="H20" i="4"/>
  <c r="F20" i="10"/>
  <c r="K20" i="4"/>
  <c r="E20" i="3"/>
  <c r="E20" i="4"/>
  <c r="I20" i="4"/>
  <c r="B20" i="12"/>
  <c r="F229" i="2" l="1"/>
  <c r="AB229" i="2" s="1"/>
  <c r="B20" i="5"/>
  <c r="C20" i="3"/>
  <c r="B20" i="7"/>
  <c r="B20" i="6"/>
  <c r="C20" i="4"/>
  <c r="E20" i="5"/>
  <c r="E20" i="7"/>
  <c r="E20" i="6"/>
  <c r="O20" i="4"/>
  <c r="P20" i="4" s="1"/>
  <c r="AA20" i="11" s="1"/>
  <c r="N27" i="34"/>
  <c r="B28" i="34"/>
  <c r="B58" i="34" s="1"/>
  <c r="W228" i="2"/>
  <c r="B229" i="2"/>
  <c r="M28" i="34"/>
  <c r="M58" i="34" s="1"/>
  <c r="M59" i="34" s="1"/>
  <c r="L28" i="34"/>
  <c r="L58" i="34" s="1"/>
  <c r="L59" i="34" s="1"/>
  <c r="K28" i="34"/>
  <c r="K58" i="34" s="1"/>
  <c r="K59" i="34" s="1"/>
  <c r="D26" i="35"/>
  <c r="DN229" i="2"/>
  <c r="CP229" i="2"/>
  <c r="BR229" i="2"/>
  <c r="AT229" i="2"/>
  <c r="A229" i="2"/>
  <c r="DL229" i="2"/>
  <c r="CN229" i="2"/>
  <c r="BP229" i="2"/>
  <c r="AR229" i="2"/>
  <c r="DJ229" i="2"/>
  <c r="CL229" i="2"/>
  <c r="BN229" i="2"/>
  <c r="AP229" i="2"/>
  <c r="S229" i="2"/>
  <c r="T229" i="2" s="1"/>
  <c r="DH229" i="2"/>
  <c r="CJ229" i="2"/>
  <c r="BL229" i="2"/>
  <c r="AN229" i="2"/>
  <c r="DF229" i="2"/>
  <c r="CH229" i="2"/>
  <c r="BJ229" i="2"/>
  <c r="AL229" i="2"/>
  <c r="EB229" i="2"/>
  <c r="DD229" i="2"/>
  <c r="CF229" i="2"/>
  <c r="BH229" i="2"/>
  <c r="AJ229" i="2"/>
  <c r="DZ229" i="2"/>
  <c r="DB229" i="2"/>
  <c r="CD229" i="2"/>
  <c r="BF229" i="2"/>
  <c r="AH229" i="2"/>
  <c r="DX229" i="2"/>
  <c r="CZ229" i="2"/>
  <c r="CB229" i="2"/>
  <c r="BD229" i="2"/>
  <c r="DV229" i="2"/>
  <c r="CX229" i="2"/>
  <c r="BZ229" i="2"/>
  <c r="BB229" i="2"/>
  <c r="DT229" i="2"/>
  <c r="CV229" i="2"/>
  <c r="BX229" i="2"/>
  <c r="AZ229" i="2"/>
  <c r="DR229" i="2"/>
  <c r="CT229" i="2"/>
  <c r="BV229" i="2"/>
  <c r="AX229" i="2"/>
  <c r="DP229" i="2"/>
  <c r="CR229" i="2"/>
  <c r="BT229" i="2"/>
  <c r="AV229" i="2"/>
  <c r="I28" i="34"/>
  <c r="I58" i="34" s="1"/>
  <c r="I59" i="34" s="1"/>
  <c r="AC230" i="2"/>
  <c r="AD230" i="2" s="1"/>
  <c r="E230" i="2"/>
  <c r="D230" i="2"/>
  <c r="V230" i="2"/>
  <c r="C231" i="2"/>
  <c r="G230" i="2"/>
  <c r="H28" i="34"/>
  <c r="H58" i="34" s="1"/>
  <c r="H59" i="34" s="1"/>
  <c r="E33" i="35"/>
  <c r="E24" i="35"/>
  <c r="E13" i="35"/>
  <c r="E23" i="35"/>
  <c r="E32" i="35"/>
  <c r="E22" i="35"/>
  <c r="E20" i="35"/>
  <c r="E19" i="35"/>
  <c r="E30" i="35"/>
  <c r="E31" i="35" s="1"/>
  <c r="E18" i="35"/>
  <c r="E39" i="35"/>
  <c r="E17" i="35"/>
  <c r="E11" i="35"/>
  <c r="E38" i="35"/>
  <c r="E16" i="35"/>
  <c r="E10" i="35"/>
  <c r="E15" i="35"/>
  <c r="E25" i="35"/>
  <c r="E14" i="35"/>
  <c r="E34" i="35"/>
  <c r="E21" i="35"/>
  <c r="G28" i="34"/>
  <c r="G58" i="34" s="1"/>
  <c r="G59" i="34" s="1"/>
  <c r="E8" i="35"/>
  <c r="J28" i="34"/>
  <c r="J58" i="34" s="1"/>
  <c r="J59" i="34" s="1"/>
  <c r="F28" i="34"/>
  <c r="F58" i="34" s="1"/>
  <c r="F59" i="34" s="1"/>
  <c r="E9" i="35"/>
  <c r="E28" i="34"/>
  <c r="E58" i="34" s="1"/>
  <c r="E59" i="34" s="1"/>
  <c r="C28" i="34"/>
  <c r="C58" i="34" s="1"/>
  <c r="C59" i="34" s="1"/>
  <c r="C57" i="35"/>
  <c r="D28" i="34"/>
  <c r="D58" i="34" s="1"/>
  <c r="D59" i="34" s="1"/>
  <c r="G4" i="35"/>
  <c r="F6" i="35"/>
  <c r="H20" i="10"/>
  <c r="E26" i="35" l="1"/>
  <c r="E57" i="35" s="1"/>
  <c r="I20" i="10"/>
  <c r="J20" i="10"/>
  <c r="K20" i="10" s="1"/>
  <c r="F230" i="2"/>
  <c r="AB230" i="2" s="1"/>
  <c r="D57" i="35"/>
  <c r="W229" i="2"/>
  <c r="B230" i="2"/>
  <c r="F23" i="35"/>
  <c r="F32" i="35"/>
  <c r="F22" i="35"/>
  <c r="F20" i="35"/>
  <c r="F19" i="35"/>
  <c r="F30" i="35"/>
  <c r="F31" i="35" s="1"/>
  <c r="F18" i="35"/>
  <c r="F39" i="35"/>
  <c r="F17" i="35"/>
  <c r="F11" i="35"/>
  <c r="F38" i="35"/>
  <c r="F16" i="35"/>
  <c r="F10" i="35"/>
  <c r="F15" i="35"/>
  <c r="F25" i="35"/>
  <c r="F14" i="35"/>
  <c r="F34" i="35"/>
  <c r="F24" i="35"/>
  <c r="F13" i="35"/>
  <c r="F33" i="35"/>
  <c r="F21" i="35"/>
  <c r="F8" i="35"/>
  <c r="N58" i="34"/>
  <c r="N59" i="34" s="1"/>
  <c r="F60" i="34" s="1"/>
  <c r="B59" i="34"/>
  <c r="F9" i="35"/>
  <c r="N28" i="34"/>
  <c r="D20" i="11"/>
  <c r="W20" i="11" s="1"/>
  <c r="D20" i="5"/>
  <c r="D20" i="6" s="1"/>
  <c r="DV230" i="2"/>
  <c r="CX230" i="2"/>
  <c r="BZ230" i="2"/>
  <c r="BB230" i="2"/>
  <c r="DT230" i="2"/>
  <c r="CV230" i="2"/>
  <c r="BX230" i="2"/>
  <c r="AZ230" i="2"/>
  <c r="DR230" i="2"/>
  <c r="CT230" i="2"/>
  <c r="BV230" i="2"/>
  <c r="AX230" i="2"/>
  <c r="DP230" i="2"/>
  <c r="CR230" i="2"/>
  <c r="BT230" i="2"/>
  <c r="AV230" i="2"/>
  <c r="DN230" i="2"/>
  <c r="CP230" i="2"/>
  <c r="BR230" i="2"/>
  <c r="AT230" i="2"/>
  <c r="A230" i="2"/>
  <c r="DL230" i="2"/>
  <c r="CN230" i="2"/>
  <c r="BP230" i="2"/>
  <c r="AR230" i="2"/>
  <c r="DJ230" i="2"/>
  <c r="CL230" i="2"/>
  <c r="BN230" i="2"/>
  <c r="AP230" i="2"/>
  <c r="S230" i="2"/>
  <c r="T230" i="2" s="1"/>
  <c r="DH230" i="2"/>
  <c r="CJ230" i="2"/>
  <c r="BL230" i="2"/>
  <c r="AN230" i="2"/>
  <c r="DF230" i="2"/>
  <c r="CH230" i="2"/>
  <c r="BJ230" i="2"/>
  <c r="AL230" i="2"/>
  <c r="EB230" i="2"/>
  <c r="DD230" i="2"/>
  <c r="CF230" i="2"/>
  <c r="BH230" i="2"/>
  <c r="AJ230" i="2"/>
  <c r="DZ230" i="2"/>
  <c r="DB230" i="2"/>
  <c r="CD230" i="2"/>
  <c r="BF230" i="2"/>
  <c r="AH230" i="2"/>
  <c r="DX230" i="2"/>
  <c r="CZ230" i="2"/>
  <c r="CB230" i="2"/>
  <c r="BD230" i="2"/>
  <c r="H4" i="35"/>
  <c r="G6" i="35"/>
  <c r="G9" i="35" s="1"/>
  <c r="G231" i="2"/>
  <c r="AC231" i="2"/>
  <c r="AD231" i="2" s="1"/>
  <c r="E231" i="2"/>
  <c r="D231" i="2"/>
  <c r="F231" i="2" s="1"/>
  <c r="AB231" i="2" s="1"/>
  <c r="V231" i="2"/>
  <c r="C232" i="2"/>
  <c r="R20" i="11" l="1"/>
  <c r="M20" i="11"/>
  <c r="Q20" i="11"/>
  <c r="F26" i="35"/>
  <c r="F57" i="35" s="1"/>
  <c r="L20" i="11"/>
  <c r="X20" i="11"/>
  <c r="I60" i="34"/>
  <c r="G60" i="34"/>
  <c r="G8" i="35"/>
  <c r="Y20" i="11"/>
  <c r="S20" i="11"/>
  <c r="N20" i="11"/>
  <c r="I4" i="35"/>
  <c r="H6" i="35"/>
  <c r="H7" i="35" s="1"/>
  <c r="C233" i="2"/>
  <c r="G232" i="2"/>
  <c r="AC232" i="2"/>
  <c r="AD232" i="2" s="1"/>
  <c r="E232" i="2"/>
  <c r="D232" i="2"/>
  <c r="F232" i="2" s="1"/>
  <c r="AB232" i="2" s="1"/>
  <c r="V232" i="2"/>
  <c r="Z20" i="11"/>
  <c r="W230" i="2"/>
  <c r="B231" i="2"/>
  <c r="T20" i="11"/>
  <c r="O20" i="11"/>
  <c r="U20" i="11"/>
  <c r="P20" i="11"/>
  <c r="G32" i="35"/>
  <c r="G22" i="35"/>
  <c r="G20" i="35"/>
  <c r="G19" i="35"/>
  <c r="G30" i="35"/>
  <c r="G31" i="35" s="1"/>
  <c r="G18" i="35"/>
  <c r="G39" i="35"/>
  <c r="G17" i="35"/>
  <c r="G11" i="35"/>
  <c r="G38" i="35"/>
  <c r="G16" i="35"/>
  <c r="G10" i="35"/>
  <c r="G15" i="35"/>
  <c r="G25" i="35"/>
  <c r="G14" i="35"/>
  <c r="G34" i="35"/>
  <c r="G33" i="35"/>
  <c r="G24" i="35"/>
  <c r="G13" i="35"/>
  <c r="G23" i="35"/>
  <c r="G21" i="35"/>
  <c r="J20" i="11"/>
  <c r="V20" i="11"/>
  <c r="K20" i="11"/>
  <c r="DF231" i="2"/>
  <c r="CH231" i="2"/>
  <c r="BJ231" i="2"/>
  <c r="AL231" i="2"/>
  <c r="EB231" i="2"/>
  <c r="DD231" i="2"/>
  <c r="CF231" i="2"/>
  <c r="BH231" i="2"/>
  <c r="AJ231" i="2"/>
  <c r="DZ231" i="2"/>
  <c r="DB231" i="2"/>
  <c r="CD231" i="2"/>
  <c r="BF231" i="2"/>
  <c r="AH231" i="2"/>
  <c r="DX231" i="2"/>
  <c r="CZ231" i="2"/>
  <c r="CB231" i="2"/>
  <c r="BD231" i="2"/>
  <c r="DV231" i="2"/>
  <c r="CX231" i="2"/>
  <c r="BZ231" i="2"/>
  <c r="BB231" i="2"/>
  <c r="DT231" i="2"/>
  <c r="CV231" i="2"/>
  <c r="BX231" i="2"/>
  <c r="AZ231" i="2"/>
  <c r="DR231" i="2"/>
  <c r="CT231" i="2"/>
  <c r="BV231" i="2"/>
  <c r="AX231" i="2"/>
  <c r="DP231" i="2"/>
  <c r="CR231" i="2"/>
  <c r="BT231" i="2"/>
  <c r="AV231" i="2"/>
  <c r="DN231" i="2"/>
  <c r="CP231" i="2"/>
  <c r="BR231" i="2"/>
  <c r="AT231" i="2"/>
  <c r="A231" i="2"/>
  <c r="DL231" i="2"/>
  <c r="CN231" i="2"/>
  <c r="BP231" i="2"/>
  <c r="AR231" i="2"/>
  <c r="DJ231" i="2"/>
  <c r="CL231" i="2"/>
  <c r="BN231" i="2"/>
  <c r="AP231" i="2"/>
  <c r="S231" i="2"/>
  <c r="T231" i="2" s="1"/>
  <c r="DH231" i="2"/>
  <c r="CJ231" i="2"/>
  <c r="BL231" i="2"/>
  <c r="AN231" i="2"/>
  <c r="D20" i="7"/>
  <c r="D20" i="8" s="1"/>
  <c r="D20" i="9" s="1"/>
  <c r="D20" i="10" s="1"/>
  <c r="C20" i="12" s="1"/>
  <c r="R20" i="6"/>
  <c r="G26" i="35" l="1"/>
  <c r="G57" i="35" s="1"/>
  <c r="DN232" i="2"/>
  <c r="CP232" i="2"/>
  <c r="BR232" i="2"/>
  <c r="AT232" i="2"/>
  <c r="A232" i="2"/>
  <c r="DL232" i="2"/>
  <c r="CN232" i="2"/>
  <c r="BP232" i="2"/>
  <c r="AR232" i="2"/>
  <c r="DJ232" i="2"/>
  <c r="CL232" i="2"/>
  <c r="BN232" i="2"/>
  <c r="AP232" i="2"/>
  <c r="S232" i="2"/>
  <c r="T232" i="2" s="1"/>
  <c r="DH232" i="2"/>
  <c r="CJ232" i="2"/>
  <c r="BL232" i="2"/>
  <c r="AN232" i="2"/>
  <c r="DF232" i="2"/>
  <c r="CH232" i="2"/>
  <c r="BJ232" i="2"/>
  <c r="AL232" i="2"/>
  <c r="EB232" i="2"/>
  <c r="DD232" i="2"/>
  <c r="CF232" i="2"/>
  <c r="BH232" i="2"/>
  <c r="AJ232" i="2"/>
  <c r="DZ232" i="2"/>
  <c r="DB232" i="2"/>
  <c r="CD232" i="2"/>
  <c r="BF232" i="2"/>
  <c r="AH232" i="2"/>
  <c r="DX232" i="2"/>
  <c r="CZ232" i="2"/>
  <c r="CB232" i="2"/>
  <c r="BD232" i="2"/>
  <c r="DV232" i="2"/>
  <c r="CX232" i="2"/>
  <c r="BZ232" i="2"/>
  <c r="BB232" i="2"/>
  <c r="DT232" i="2"/>
  <c r="CV232" i="2"/>
  <c r="BX232" i="2"/>
  <c r="AZ232" i="2"/>
  <c r="DR232" i="2"/>
  <c r="CT232" i="2"/>
  <c r="BV232" i="2"/>
  <c r="AX232" i="2"/>
  <c r="DP232" i="2"/>
  <c r="CR232" i="2"/>
  <c r="BT232" i="2"/>
  <c r="AV232" i="2"/>
  <c r="AC233" i="2"/>
  <c r="AD233" i="2" s="1"/>
  <c r="E233" i="2"/>
  <c r="D233" i="2"/>
  <c r="V233" i="2"/>
  <c r="C234" i="2"/>
  <c r="G233" i="2"/>
  <c r="H20" i="35"/>
  <c r="H19" i="35"/>
  <c r="H30" i="35"/>
  <c r="H31" i="35" s="1"/>
  <c r="H18" i="35"/>
  <c r="N7" i="35"/>
  <c r="H39" i="35"/>
  <c r="H17" i="35"/>
  <c r="H11" i="35"/>
  <c r="H38" i="35"/>
  <c r="H16" i="35"/>
  <c r="H10" i="35"/>
  <c r="H15" i="35"/>
  <c r="H25" i="35"/>
  <c r="H14" i="35"/>
  <c r="H34" i="35"/>
  <c r="H33" i="35"/>
  <c r="H24" i="35"/>
  <c r="H13" i="35"/>
  <c r="H23" i="35"/>
  <c r="H22" i="35"/>
  <c r="H32" i="35"/>
  <c r="H21" i="35"/>
  <c r="J4" i="35"/>
  <c r="I6" i="35"/>
  <c r="I9" i="35" s="1"/>
  <c r="H8" i="35"/>
  <c r="H9" i="35"/>
  <c r="G20" i="11"/>
  <c r="W231" i="2"/>
  <c r="B232" i="2"/>
  <c r="H26" i="35" l="1"/>
  <c r="H57" i="35" s="1"/>
  <c r="F233" i="2"/>
  <c r="AB233" i="2" s="1"/>
  <c r="I19" i="35"/>
  <c r="I30" i="35"/>
  <c r="I31" i="35" s="1"/>
  <c r="I18" i="35"/>
  <c r="I39" i="35"/>
  <c r="I17" i="35"/>
  <c r="I11" i="35"/>
  <c r="I38" i="35"/>
  <c r="I16" i="35"/>
  <c r="I10" i="35"/>
  <c r="I15" i="35"/>
  <c r="I25" i="35"/>
  <c r="I14" i="35"/>
  <c r="I34" i="35"/>
  <c r="I33" i="35"/>
  <c r="I24" i="35"/>
  <c r="I13" i="35"/>
  <c r="I23" i="35"/>
  <c r="I32" i="35"/>
  <c r="I22" i="35"/>
  <c r="I20" i="35"/>
  <c r="I21" i="35"/>
  <c r="K4" i="35"/>
  <c r="J6" i="35"/>
  <c r="J8" i="35" s="1"/>
  <c r="W232" i="2"/>
  <c r="B233" i="2"/>
  <c r="H20" i="11"/>
  <c r="C20" i="11"/>
  <c r="E20" i="11" s="1"/>
  <c r="I8" i="35"/>
  <c r="DV233" i="2"/>
  <c r="CX233" i="2"/>
  <c r="BZ233" i="2"/>
  <c r="BB233" i="2"/>
  <c r="DT233" i="2"/>
  <c r="CV233" i="2"/>
  <c r="BX233" i="2"/>
  <c r="AZ233" i="2"/>
  <c r="DR233" i="2"/>
  <c r="CT233" i="2"/>
  <c r="BV233" i="2"/>
  <c r="AX233" i="2"/>
  <c r="DP233" i="2"/>
  <c r="CR233" i="2"/>
  <c r="BT233" i="2"/>
  <c r="AV233" i="2"/>
  <c r="DN233" i="2"/>
  <c r="CP233" i="2"/>
  <c r="BR233" i="2"/>
  <c r="AT233" i="2"/>
  <c r="A233" i="2"/>
  <c r="DL233" i="2"/>
  <c r="CN233" i="2"/>
  <c r="BP233" i="2"/>
  <c r="AR233" i="2"/>
  <c r="DJ233" i="2"/>
  <c r="CL233" i="2"/>
  <c r="BN233" i="2"/>
  <c r="AP233" i="2"/>
  <c r="S233" i="2"/>
  <c r="T233" i="2" s="1"/>
  <c r="DH233" i="2"/>
  <c r="CJ233" i="2"/>
  <c r="BL233" i="2"/>
  <c r="AN233" i="2"/>
  <c r="DF233" i="2"/>
  <c r="CH233" i="2"/>
  <c r="BJ233" i="2"/>
  <c r="AL233" i="2"/>
  <c r="EB233" i="2"/>
  <c r="DD233" i="2"/>
  <c r="CF233" i="2"/>
  <c r="BH233" i="2"/>
  <c r="AJ233" i="2"/>
  <c r="DZ233" i="2"/>
  <c r="DB233" i="2"/>
  <c r="CD233" i="2"/>
  <c r="BF233" i="2"/>
  <c r="AH233" i="2"/>
  <c r="DX233" i="2"/>
  <c r="CZ233" i="2"/>
  <c r="CB233" i="2"/>
  <c r="BD233" i="2"/>
  <c r="G234" i="2"/>
  <c r="AC234" i="2"/>
  <c r="AD234" i="2" s="1"/>
  <c r="E234" i="2"/>
  <c r="D234" i="2"/>
  <c r="F234" i="2" s="1"/>
  <c r="AB234" i="2" s="1"/>
  <c r="V234" i="2"/>
  <c r="C235" i="2"/>
  <c r="J9" i="35" l="1"/>
  <c r="I26" i="35"/>
  <c r="I57" i="35" s="1"/>
  <c r="DF234" i="2"/>
  <c r="CH234" i="2"/>
  <c r="BJ234" i="2"/>
  <c r="AL234" i="2"/>
  <c r="EB234" i="2"/>
  <c r="DD234" i="2"/>
  <c r="CF234" i="2"/>
  <c r="BH234" i="2"/>
  <c r="AJ234" i="2"/>
  <c r="DZ234" i="2"/>
  <c r="DB234" i="2"/>
  <c r="CD234" i="2"/>
  <c r="BF234" i="2"/>
  <c r="AH234" i="2"/>
  <c r="DX234" i="2"/>
  <c r="CZ234" i="2"/>
  <c r="CB234" i="2"/>
  <c r="BD234" i="2"/>
  <c r="DV234" i="2"/>
  <c r="CX234" i="2"/>
  <c r="BZ234" i="2"/>
  <c r="BB234" i="2"/>
  <c r="DT234" i="2"/>
  <c r="CV234" i="2"/>
  <c r="BX234" i="2"/>
  <c r="AZ234" i="2"/>
  <c r="DR234" i="2"/>
  <c r="CT234" i="2"/>
  <c r="BV234" i="2"/>
  <c r="AX234" i="2"/>
  <c r="DP234" i="2"/>
  <c r="CR234" i="2"/>
  <c r="BT234" i="2"/>
  <c r="AV234" i="2"/>
  <c r="DN234" i="2"/>
  <c r="CP234" i="2"/>
  <c r="BR234" i="2"/>
  <c r="AT234" i="2"/>
  <c r="A234" i="2"/>
  <c r="DL234" i="2"/>
  <c r="CN234" i="2"/>
  <c r="BP234" i="2"/>
  <c r="AR234" i="2"/>
  <c r="DJ234" i="2"/>
  <c r="CL234" i="2"/>
  <c r="BN234" i="2"/>
  <c r="AP234" i="2"/>
  <c r="S234" i="2"/>
  <c r="T234" i="2" s="1"/>
  <c r="DH234" i="2"/>
  <c r="CJ234" i="2"/>
  <c r="BL234" i="2"/>
  <c r="AN234" i="2"/>
  <c r="C236" i="2"/>
  <c r="G235" i="2"/>
  <c r="AC235" i="2"/>
  <c r="AD235" i="2" s="1"/>
  <c r="E235" i="2"/>
  <c r="D235" i="2"/>
  <c r="F235" i="2" s="1"/>
  <c r="AB235" i="2" s="1"/>
  <c r="V235" i="2"/>
  <c r="W233" i="2"/>
  <c r="B234" i="2"/>
  <c r="L4" i="35"/>
  <c r="K6" i="35"/>
  <c r="K9" i="35" s="1"/>
  <c r="J30" i="35"/>
  <c r="J31" i="35" s="1"/>
  <c r="J18" i="35"/>
  <c r="J39" i="35"/>
  <c r="J17" i="35"/>
  <c r="J11" i="35"/>
  <c r="J38" i="35"/>
  <c r="J16" i="35"/>
  <c r="J10" i="35"/>
  <c r="J15" i="35"/>
  <c r="J25" i="35"/>
  <c r="J14" i="35"/>
  <c r="J34" i="35"/>
  <c r="J12" i="35"/>
  <c r="J33" i="35"/>
  <c r="J24" i="35"/>
  <c r="J13" i="35"/>
  <c r="J23" i="35"/>
  <c r="J32" i="35"/>
  <c r="J22" i="35"/>
  <c r="J20" i="35"/>
  <c r="J19" i="35"/>
  <c r="J21" i="35"/>
  <c r="J26" i="35" l="1"/>
  <c r="J57" i="35" s="1"/>
  <c r="M4" i="35"/>
  <c r="L6" i="35"/>
  <c r="DN235" i="2"/>
  <c r="CP235" i="2"/>
  <c r="BR235" i="2"/>
  <c r="AT235" i="2"/>
  <c r="A235" i="2"/>
  <c r="DL235" i="2"/>
  <c r="CN235" i="2"/>
  <c r="BP235" i="2"/>
  <c r="AR235" i="2"/>
  <c r="DJ235" i="2"/>
  <c r="CL235" i="2"/>
  <c r="BN235" i="2"/>
  <c r="AP235" i="2"/>
  <c r="S235" i="2"/>
  <c r="T235" i="2" s="1"/>
  <c r="DH235" i="2"/>
  <c r="CJ235" i="2"/>
  <c r="BL235" i="2"/>
  <c r="AN235" i="2"/>
  <c r="DF235" i="2"/>
  <c r="CH235" i="2"/>
  <c r="BJ235" i="2"/>
  <c r="AL235" i="2"/>
  <c r="EB235" i="2"/>
  <c r="DD235" i="2"/>
  <c r="CF235" i="2"/>
  <c r="BH235" i="2"/>
  <c r="AJ235" i="2"/>
  <c r="DZ235" i="2"/>
  <c r="DB235" i="2"/>
  <c r="CD235" i="2"/>
  <c r="BF235" i="2"/>
  <c r="AH235" i="2"/>
  <c r="DX235" i="2"/>
  <c r="CZ235" i="2"/>
  <c r="CB235" i="2"/>
  <c r="BD235" i="2"/>
  <c r="DV235" i="2"/>
  <c r="CX235" i="2"/>
  <c r="BZ235" i="2"/>
  <c r="BB235" i="2"/>
  <c r="DT235" i="2"/>
  <c r="CV235" i="2"/>
  <c r="BX235" i="2"/>
  <c r="AZ235" i="2"/>
  <c r="DR235" i="2"/>
  <c r="CT235" i="2"/>
  <c r="BV235" i="2"/>
  <c r="AX235" i="2"/>
  <c r="DP235" i="2"/>
  <c r="CR235" i="2"/>
  <c r="BT235" i="2"/>
  <c r="AV235" i="2"/>
  <c r="AC236" i="2"/>
  <c r="AD236" i="2" s="1"/>
  <c r="E236" i="2"/>
  <c r="D236" i="2"/>
  <c r="F236" i="2" s="1"/>
  <c r="AB236" i="2" s="1"/>
  <c r="V236" i="2"/>
  <c r="C237" i="2"/>
  <c r="G236" i="2"/>
  <c r="K8" i="35"/>
  <c r="K39" i="35"/>
  <c r="K17" i="35"/>
  <c r="K11" i="35"/>
  <c r="K38" i="35"/>
  <c r="K16" i="35"/>
  <c r="K10" i="35"/>
  <c r="K15" i="35"/>
  <c r="K25" i="35"/>
  <c r="K14" i="35"/>
  <c r="K34" i="35"/>
  <c r="K12" i="35"/>
  <c r="N12" i="35" s="1"/>
  <c r="K33" i="35"/>
  <c r="K24" i="35"/>
  <c r="K13" i="35"/>
  <c r="K23" i="35"/>
  <c r="K32" i="35"/>
  <c r="K22" i="35"/>
  <c r="K20" i="35"/>
  <c r="K19" i="35"/>
  <c r="K18" i="35"/>
  <c r="K30" i="35"/>
  <c r="K31" i="35" s="1"/>
  <c r="K21" i="35"/>
  <c r="W234" i="2"/>
  <c r="B235" i="2"/>
  <c r="I21" i="9"/>
  <c r="H21" i="9"/>
  <c r="K26" i="35" l="1"/>
  <c r="K57" i="35" s="1"/>
  <c r="L38" i="35"/>
  <c r="L16" i="35"/>
  <c r="L10" i="35"/>
  <c r="L15" i="35"/>
  <c r="L25" i="35"/>
  <c r="L14" i="35"/>
  <c r="L34" i="35"/>
  <c r="L33" i="35"/>
  <c r="L24" i="35"/>
  <c r="L13" i="35"/>
  <c r="L23" i="35"/>
  <c r="L32" i="35"/>
  <c r="L22" i="35"/>
  <c r="L20" i="35"/>
  <c r="L19" i="35"/>
  <c r="L30" i="35"/>
  <c r="L31" i="35" s="1"/>
  <c r="L18" i="35"/>
  <c r="L17" i="35"/>
  <c r="L39" i="35"/>
  <c r="L11" i="35"/>
  <c r="L21" i="35"/>
  <c r="B4" i="36"/>
  <c r="M6" i="35"/>
  <c r="DV236" i="2"/>
  <c r="CX236" i="2"/>
  <c r="BZ236" i="2"/>
  <c r="BB236" i="2"/>
  <c r="DT236" i="2"/>
  <c r="CV236" i="2"/>
  <c r="BX236" i="2"/>
  <c r="AZ236" i="2"/>
  <c r="DR236" i="2"/>
  <c r="CT236" i="2"/>
  <c r="BV236" i="2"/>
  <c r="AX236" i="2"/>
  <c r="DP236" i="2"/>
  <c r="CR236" i="2"/>
  <c r="BT236" i="2"/>
  <c r="AV236" i="2"/>
  <c r="DN236" i="2"/>
  <c r="CP236" i="2"/>
  <c r="BR236" i="2"/>
  <c r="AT236" i="2"/>
  <c r="A236" i="2"/>
  <c r="DL236" i="2"/>
  <c r="CN236" i="2"/>
  <c r="BP236" i="2"/>
  <c r="AR236" i="2"/>
  <c r="DJ236" i="2"/>
  <c r="CL236" i="2"/>
  <c r="BN236" i="2"/>
  <c r="AP236" i="2"/>
  <c r="S236" i="2"/>
  <c r="T236" i="2" s="1"/>
  <c r="DH236" i="2"/>
  <c r="CJ236" i="2"/>
  <c r="BL236" i="2"/>
  <c r="AN236" i="2"/>
  <c r="DF236" i="2"/>
  <c r="CH236" i="2"/>
  <c r="BJ236" i="2"/>
  <c r="AL236" i="2"/>
  <c r="EB236" i="2"/>
  <c r="DD236" i="2"/>
  <c r="CF236" i="2"/>
  <c r="BH236" i="2"/>
  <c r="AJ236" i="2"/>
  <c r="DZ236" i="2"/>
  <c r="DB236" i="2"/>
  <c r="CD236" i="2"/>
  <c r="BF236" i="2"/>
  <c r="AH236" i="2"/>
  <c r="DX236" i="2"/>
  <c r="CZ236" i="2"/>
  <c r="CB236" i="2"/>
  <c r="BD236" i="2"/>
  <c r="AC237" i="2"/>
  <c r="AD237" i="2" s="1"/>
  <c r="G237" i="2"/>
  <c r="E237" i="2"/>
  <c r="D237" i="2"/>
  <c r="F237" i="2" s="1"/>
  <c r="AB237" i="2" s="1"/>
  <c r="C238" i="2"/>
  <c r="V237" i="2"/>
  <c r="L8" i="35"/>
  <c r="W235" i="2"/>
  <c r="B236" i="2"/>
  <c r="L9" i="35"/>
  <c r="L26" i="35" l="1"/>
  <c r="L57" i="35" s="1"/>
  <c r="M15" i="35"/>
  <c r="N15" i="35" s="1"/>
  <c r="M25" i="35"/>
  <c r="N25" i="35" s="1"/>
  <c r="M14" i="35"/>
  <c r="N14" i="35" s="1"/>
  <c r="M34" i="35"/>
  <c r="N34" i="35" s="1"/>
  <c r="M33" i="35"/>
  <c r="N33" i="35" s="1"/>
  <c r="M24" i="35"/>
  <c r="N24" i="35" s="1"/>
  <c r="M13" i="35"/>
  <c r="N13" i="35" s="1"/>
  <c r="M23" i="35"/>
  <c r="N23" i="35" s="1"/>
  <c r="M32" i="35"/>
  <c r="N32" i="35" s="1"/>
  <c r="M22" i="35"/>
  <c r="N22" i="35" s="1"/>
  <c r="M20" i="35"/>
  <c r="N20" i="35" s="1"/>
  <c r="M19" i="35"/>
  <c r="N19" i="35" s="1"/>
  <c r="M30" i="35"/>
  <c r="N30" i="35" s="1"/>
  <c r="M18" i="35"/>
  <c r="N18" i="35" s="1"/>
  <c r="M39" i="35"/>
  <c r="N39" i="35" s="1"/>
  <c r="M17" i="35"/>
  <c r="N17" i="35" s="1"/>
  <c r="M11" i="35"/>
  <c r="N11" i="35" s="1"/>
  <c r="M16" i="35"/>
  <c r="N16" i="35" s="1"/>
  <c r="M38" i="35"/>
  <c r="N38" i="35" s="1"/>
  <c r="M10" i="35"/>
  <c r="N10" i="35" s="1"/>
  <c r="N6" i="35"/>
  <c r="M21" i="35"/>
  <c r="N21" i="35" s="1"/>
  <c r="M8" i="35"/>
  <c r="N8" i="35" s="1"/>
  <c r="C4" i="36"/>
  <c r="B6" i="36"/>
  <c r="B7" i="36" s="1"/>
  <c r="G238" i="2"/>
  <c r="AC238" i="2"/>
  <c r="AD238" i="2" s="1"/>
  <c r="E238" i="2"/>
  <c r="D238" i="2"/>
  <c r="V238" i="2"/>
  <c r="C239" i="2"/>
  <c r="W236" i="2"/>
  <c r="B237" i="2"/>
  <c r="M9" i="35"/>
  <c r="N9" i="35" s="1"/>
  <c r="DZ237" i="2"/>
  <c r="DB237" i="2"/>
  <c r="CD237" i="2"/>
  <c r="BF237" i="2"/>
  <c r="AH237" i="2"/>
  <c r="DX237" i="2"/>
  <c r="CZ237" i="2"/>
  <c r="CB237" i="2"/>
  <c r="BD237" i="2"/>
  <c r="DV237" i="2"/>
  <c r="CX237" i="2"/>
  <c r="BZ237" i="2"/>
  <c r="BB237" i="2"/>
  <c r="DT237" i="2"/>
  <c r="CV237" i="2"/>
  <c r="BX237" i="2"/>
  <c r="AZ237" i="2"/>
  <c r="DR237" i="2"/>
  <c r="CT237" i="2"/>
  <c r="BV237" i="2"/>
  <c r="AX237" i="2"/>
  <c r="DP237" i="2"/>
  <c r="CR237" i="2"/>
  <c r="BT237" i="2"/>
  <c r="AV237" i="2"/>
  <c r="DN237" i="2"/>
  <c r="CP237" i="2"/>
  <c r="BR237" i="2"/>
  <c r="AT237" i="2"/>
  <c r="DL237" i="2"/>
  <c r="CN237" i="2"/>
  <c r="BP237" i="2"/>
  <c r="AR237" i="2"/>
  <c r="DJ237" i="2"/>
  <c r="CL237" i="2"/>
  <c r="BN237" i="2"/>
  <c r="AP237" i="2"/>
  <c r="A237" i="2"/>
  <c r="DH237" i="2"/>
  <c r="CJ237" i="2"/>
  <c r="BL237" i="2"/>
  <c r="AN237" i="2"/>
  <c r="DF237" i="2"/>
  <c r="CH237" i="2"/>
  <c r="BJ237" i="2"/>
  <c r="AL237" i="2"/>
  <c r="S237" i="2"/>
  <c r="T237" i="2" s="1"/>
  <c r="EB237" i="2"/>
  <c r="DD237" i="2"/>
  <c r="CF237" i="2"/>
  <c r="BH237" i="2"/>
  <c r="AJ237" i="2"/>
  <c r="N21" i="9"/>
  <c r="K21" i="9"/>
  <c r="M21" i="9"/>
  <c r="L21" i="9"/>
  <c r="L21" i="8"/>
  <c r="O21" i="8"/>
  <c r="F21" i="8"/>
  <c r="F21" i="9"/>
  <c r="I21" i="8"/>
  <c r="J21" i="9"/>
  <c r="G21" i="9"/>
  <c r="K21" i="8" l="1"/>
  <c r="Q21" i="8"/>
  <c r="N21" i="8"/>
  <c r="P21" i="8"/>
  <c r="H21" i="8"/>
  <c r="G21" i="8"/>
  <c r="R21" i="8"/>
  <c r="S21" i="8" s="1"/>
  <c r="O21" i="9"/>
  <c r="P21" i="9" s="1"/>
  <c r="M21" i="8"/>
  <c r="J21" i="8"/>
  <c r="D4" i="36"/>
  <c r="C6" i="36"/>
  <c r="C240" i="2"/>
  <c r="G239" i="2"/>
  <c r="AC239" i="2"/>
  <c r="AD239" i="2" s="1"/>
  <c r="E239" i="2"/>
  <c r="D239" i="2"/>
  <c r="F239" i="2" s="1"/>
  <c r="AB239" i="2" s="1"/>
  <c r="V239" i="2"/>
  <c r="W237" i="2"/>
  <c r="B238" i="2"/>
  <c r="F238" i="2"/>
  <c r="AB238" i="2" s="1"/>
  <c r="M26" i="35"/>
  <c r="M31" i="35"/>
  <c r="N31" i="35" s="1"/>
  <c r="DF238" i="2"/>
  <c r="CH238" i="2"/>
  <c r="BJ238" i="2"/>
  <c r="AN238" i="2"/>
  <c r="EB238" i="2"/>
  <c r="DD238" i="2"/>
  <c r="CF238" i="2"/>
  <c r="BH238" i="2"/>
  <c r="AL238" i="2"/>
  <c r="DZ238" i="2"/>
  <c r="DB238" i="2"/>
  <c r="CD238" i="2"/>
  <c r="BF238" i="2"/>
  <c r="AJ238" i="2"/>
  <c r="DX238" i="2"/>
  <c r="CZ238" i="2"/>
  <c r="CB238" i="2"/>
  <c r="BD238" i="2"/>
  <c r="AH238" i="2"/>
  <c r="DV238" i="2"/>
  <c r="CX238" i="2"/>
  <c r="BZ238" i="2"/>
  <c r="BB238" i="2"/>
  <c r="DT238" i="2"/>
  <c r="CV238" i="2"/>
  <c r="BX238" i="2"/>
  <c r="AZ238" i="2"/>
  <c r="DR238" i="2"/>
  <c r="CT238" i="2"/>
  <c r="BV238" i="2"/>
  <c r="AX238" i="2"/>
  <c r="DP238" i="2"/>
  <c r="CR238" i="2"/>
  <c r="BT238" i="2"/>
  <c r="AV238" i="2"/>
  <c r="DN238" i="2"/>
  <c r="CP238" i="2"/>
  <c r="BR238" i="2"/>
  <c r="AT238" i="2"/>
  <c r="DL238" i="2"/>
  <c r="CN238" i="2"/>
  <c r="BP238" i="2"/>
  <c r="AR238" i="2"/>
  <c r="A238" i="2"/>
  <c r="DJ238" i="2"/>
  <c r="CL238" i="2"/>
  <c r="BN238" i="2"/>
  <c r="AP238" i="2"/>
  <c r="DH238" i="2"/>
  <c r="CJ238" i="2"/>
  <c r="BL238" i="2"/>
  <c r="S238" i="2"/>
  <c r="T238" i="2" s="1"/>
  <c r="B25" i="36"/>
  <c r="B14" i="36"/>
  <c r="B34" i="36"/>
  <c r="B33" i="36"/>
  <c r="B24" i="36"/>
  <c r="B13" i="36"/>
  <c r="B23" i="36"/>
  <c r="B32" i="36"/>
  <c r="B21" i="36"/>
  <c r="B19" i="36"/>
  <c r="B30" i="36"/>
  <c r="B18" i="36"/>
  <c r="B12" i="36"/>
  <c r="B39" i="36"/>
  <c r="B38" i="36"/>
  <c r="B16" i="36"/>
  <c r="B17" i="36"/>
  <c r="B20" i="36"/>
  <c r="B11" i="36"/>
  <c r="B15" i="36"/>
  <c r="B10" i="36"/>
  <c r="B9" i="36"/>
  <c r="B8" i="36"/>
  <c r="B21" i="8"/>
  <c r="E21" i="8"/>
  <c r="E21" i="9"/>
  <c r="B21" i="9"/>
  <c r="B26" i="36" l="1"/>
  <c r="B57" i="36" s="1"/>
  <c r="C34" i="36"/>
  <c r="C33" i="36"/>
  <c r="C24" i="36"/>
  <c r="C13" i="36"/>
  <c r="C23" i="36"/>
  <c r="C32" i="36"/>
  <c r="C22" i="36"/>
  <c r="C21" i="36"/>
  <c r="C20" i="36"/>
  <c r="C30" i="36"/>
  <c r="C31" i="36" s="1"/>
  <c r="C18" i="36"/>
  <c r="C12" i="36"/>
  <c r="C39" i="36"/>
  <c r="C17" i="36"/>
  <c r="C11" i="36"/>
  <c r="C38" i="36"/>
  <c r="C15" i="36"/>
  <c r="C25" i="36"/>
  <c r="C14" i="36"/>
  <c r="C16" i="36"/>
  <c r="C19" i="36"/>
  <c r="C10" i="36"/>
  <c r="AC240" i="2"/>
  <c r="AD240" i="2" s="1"/>
  <c r="E240" i="2"/>
  <c r="D240" i="2"/>
  <c r="F240" i="2" s="1"/>
  <c r="AB240" i="2" s="1"/>
  <c r="V240" i="2"/>
  <c r="C241" i="2"/>
  <c r="G240" i="2"/>
  <c r="N26" i="35"/>
  <c r="M57" i="35"/>
  <c r="C8" i="36"/>
  <c r="C9" i="36"/>
  <c r="E4" i="36"/>
  <c r="D6" i="36"/>
  <c r="D8" i="36" s="1"/>
  <c r="W238" i="2"/>
  <c r="B239" i="2"/>
  <c r="B31" i="36"/>
  <c r="DN239" i="2"/>
  <c r="CP239" i="2"/>
  <c r="BR239" i="2"/>
  <c r="AT239" i="2"/>
  <c r="A239" i="2"/>
  <c r="DL239" i="2"/>
  <c r="CN239" i="2"/>
  <c r="BP239" i="2"/>
  <c r="AR239" i="2"/>
  <c r="DJ239" i="2"/>
  <c r="CL239" i="2"/>
  <c r="BN239" i="2"/>
  <c r="AP239" i="2"/>
  <c r="S239" i="2"/>
  <c r="T239" i="2" s="1"/>
  <c r="DH239" i="2"/>
  <c r="CJ239" i="2"/>
  <c r="BL239" i="2"/>
  <c r="AN239" i="2"/>
  <c r="DF239" i="2"/>
  <c r="CH239" i="2"/>
  <c r="BJ239" i="2"/>
  <c r="AL239" i="2"/>
  <c r="EB239" i="2"/>
  <c r="DD239" i="2"/>
  <c r="CF239" i="2"/>
  <c r="BH239" i="2"/>
  <c r="AJ239" i="2"/>
  <c r="DZ239" i="2"/>
  <c r="DB239" i="2"/>
  <c r="CD239" i="2"/>
  <c r="BF239" i="2"/>
  <c r="AH239" i="2"/>
  <c r="DX239" i="2"/>
  <c r="CZ239" i="2"/>
  <c r="CB239" i="2"/>
  <c r="BD239" i="2"/>
  <c r="DV239" i="2"/>
  <c r="CX239" i="2"/>
  <c r="BZ239" i="2"/>
  <c r="BB239" i="2"/>
  <c r="DT239" i="2"/>
  <c r="CV239" i="2"/>
  <c r="BX239" i="2"/>
  <c r="AZ239" i="2"/>
  <c r="DR239" i="2"/>
  <c r="CT239" i="2"/>
  <c r="BV239" i="2"/>
  <c r="AX239" i="2"/>
  <c r="DP239" i="2"/>
  <c r="CR239" i="2"/>
  <c r="BT239" i="2"/>
  <c r="AV239" i="2"/>
  <c r="F21" i="12"/>
  <c r="F21" i="3"/>
  <c r="G21" i="10"/>
  <c r="F21" i="4"/>
  <c r="D9" i="36" l="1"/>
  <c r="H21" i="12"/>
  <c r="G21" i="12"/>
  <c r="G21" i="3"/>
  <c r="H21" i="3"/>
  <c r="F4" i="36"/>
  <c r="E6" i="36"/>
  <c r="E8" i="36" s="1"/>
  <c r="N57" i="35"/>
  <c r="C26" i="36"/>
  <c r="H60" i="35"/>
  <c r="B60" i="35"/>
  <c r="B27" i="35"/>
  <c r="C27" i="35"/>
  <c r="D27" i="35"/>
  <c r="E27" i="35"/>
  <c r="F27" i="35"/>
  <c r="G27" i="35"/>
  <c r="H27" i="35"/>
  <c r="I27" i="35"/>
  <c r="J27" i="35"/>
  <c r="K27" i="35"/>
  <c r="L27" i="35"/>
  <c r="M27" i="35"/>
  <c r="DV240" i="2"/>
  <c r="CX240" i="2"/>
  <c r="BZ240" i="2"/>
  <c r="BB240" i="2"/>
  <c r="DT240" i="2"/>
  <c r="CV240" i="2"/>
  <c r="BX240" i="2"/>
  <c r="AZ240" i="2"/>
  <c r="DR240" i="2"/>
  <c r="CT240" i="2"/>
  <c r="BV240" i="2"/>
  <c r="AX240" i="2"/>
  <c r="DP240" i="2"/>
  <c r="CR240" i="2"/>
  <c r="BT240" i="2"/>
  <c r="AV240" i="2"/>
  <c r="DN240" i="2"/>
  <c r="CP240" i="2"/>
  <c r="BR240" i="2"/>
  <c r="AT240" i="2"/>
  <c r="A240" i="2"/>
  <c r="DL240" i="2"/>
  <c r="CN240" i="2"/>
  <c r="BP240" i="2"/>
  <c r="AR240" i="2"/>
  <c r="DJ240" i="2"/>
  <c r="CL240" i="2"/>
  <c r="BN240" i="2"/>
  <c r="AP240" i="2"/>
  <c r="S240" i="2"/>
  <c r="T240" i="2" s="1"/>
  <c r="DH240" i="2"/>
  <c r="CJ240" i="2"/>
  <c r="BL240" i="2"/>
  <c r="AN240" i="2"/>
  <c r="DF240" i="2"/>
  <c r="CH240" i="2"/>
  <c r="BJ240" i="2"/>
  <c r="AL240" i="2"/>
  <c r="EB240" i="2"/>
  <c r="DD240" i="2"/>
  <c r="CF240" i="2"/>
  <c r="BH240" i="2"/>
  <c r="AJ240" i="2"/>
  <c r="DZ240" i="2"/>
  <c r="DB240" i="2"/>
  <c r="CD240" i="2"/>
  <c r="BF240" i="2"/>
  <c r="AH240" i="2"/>
  <c r="DX240" i="2"/>
  <c r="CZ240" i="2"/>
  <c r="CB240" i="2"/>
  <c r="BD240" i="2"/>
  <c r="G241" i="2"/>
  <c r="AC241" i="2"/>
  <c r="AD241" i="2" s="1"/>
  <c r="E241" i="2"/>
  <c r="D241" i="2"/>
  <c r="V241" i="2"/>
  <c r="C242" i="2"/>
  <c r="D33" i="36"/>
  <c r="D24" i="36"/>
  <c r="D13" i="36"/>
  <c r="D23" i="36"/>
  <c r="D32" i="36"/>
  <c r="D22" i="36"/>
  <c r="D20" i="36"/>
  <c r="D19" i="36"/>
  <c r="D39" i="36"/>
  <c r="D17" i="36"/>
  <c r="D11" i="36"/>
  <c r="D38" i="36"/>
  <c r="D16" i="36"/>
  <c r="D10" i="36"/>
  <c r="D34" i="36"/>
  <c r="D15" i="36"/>
  <c r="D30" i="36"/>
  <c r="D31" i="36" s="1"/>
  <c r="D18" i="36"/>
  <c r="D14" i="36"/>
  <c r="D25" i="36"/>
  <c r="D21" i="36"/>
  <c r="W239" i="2"/>
  <c r="B240" i="2"/>
  <c r="E21" i="12"/>
  <c r="F21" i="10"/>
  <c r="B21" i="4"/>
  <c r="O21" i="3"/>
  <c r="B21" i="3"/>
  <c r="I21" i="4"/>
  <c r="E21" i="4"/>
  <c r="C21" i="10"/>
  <c r="K21" i="4"/>
  <c r="G21" i="4"/>
  <c r="J21" i="4"/>
  <c r="B21" i="12"/>
  <c r="E21" i="3"/>
  <c r="H21" i="4"/>
  <c r="D26" i="36" l="1"/>
  <c r="C21" i="4"/>
  <c r="E21" i="6"/>
  <c r="E21" i="5"/>
  <c r="E21" i="7"/>
  <c r="C21" i="3"/>
  <c r="B21" i="7"/>
  <c r="B21" i="6"/>
  <c r="B21" i="5"/>
  <c r="O21" i="4"/>
  <c r="P21" i="4" s="1"/>
  <c r="AB21" i="11" s="1"/>
  <c r="D57" i="36"/>
  <c r="G28" i="35"/>
  <c r="G58" i="35" s="1"/>
  <c r="G59" i="35" s="1"/>
  <c r="F28" i="35"/>
  <c r="F58" i="35" s="1"/>
  <c r="F59" i="35" s="1"/>
  <c r="E28" i="35"/>
  <c r="E58" i="35" s="1"/>
  <c r="E59" i="35" s="1"/>
  <c r="E23" i="36"/>
  <c r="E32" i="36"/>
  <c r="E22" i="36"/>
  <c r="E20" i="36"/>
  <c r="E19" i="36"/>
  <c r="E30" i="36"/>
  <c r="E18" i="36"/>
  <c r="E38" i="36"/>
  <c r="E16" i="36"/>
  <c r="E10" i="36"/>
  <c r="E15" i="36"/>
  <c r="E25" i="36"/>
  <c r="E14" i="36"/>
  <c r="E33" i="36"/>
  <c r="E24" i="36"/>
  <c r="E13" i="36"/>
  <c r="E17" i="36"/>
  <c r="E39" i="36"/>
  <c r="E11" i="36"/>
  <c r="E34" i="36"/>
  <c r="E21" i="36"/>
  <c r="D28" i="35"/>
  <c r="D58" i="35" s="1"/>
  <c r="D59" i="35" s="1"/>
  <c r="C28" i="35"/>
  <c r="C58" i="35" s="1"/>
  <c r="C59" i="35" s="1"/>
  <c r="C243" i="2"/>
  <c r="G242" i="2"/>
  <c r="AC242" i="2"/>
  <c r="AD242" i="2" s="1"/>
  <c r="E242" i="2"/>
  <c r="D242" i="2"/>
  <c r="F242" i="2" s="1"/>
  <c r="AB242" i="2" s="1"/>
  <c r="V242" i="2"/>
  <c r="N27" i="35"/>
  <c r="B28" i="35"/>
  <c r="B58" i="35" s="1"/>
  <c r="E9" i="36"/>
  <c r="W240" i="2"/>
  <c r="B241" i="2"/>
  <c r="M28" i="35"/>
  <c r="M58" i="35" s="1"/>
  <c r="M59" i="35" s="1"/>
  <c r="G4" i="36"/>
  <c r="F6" i="36"/>
  <c r="F241" i="2"/>
  <c r="AB241" i="2" s="1"/>
  <c r="L28" i="35"/>
  <c r="L58" i="35" s="1"/>
  <c r="L59" i="35" s="1"/>
  <c r="K28" i="35"/>
  <c r="K58" i="35" s="1"/>
  <c r="K59" i="35" s="1"/>
  <c r="J28" i="35"/>
  <c r="DF241" i="2"/>
  <c r="CH241" i="2"/>
  <c r="BJ241" i="2"/>
  <c r="AL241" i="2"/>
  <c r="EB241" i="2"/>
  <c r="DD241" i="2"/>
  <c r="CF241" i="2"/>
  <c r="BH241" i="2"/>
  <c r="AJ241" i="2"/>
  <c r="DZ241" i="2"/>
  <c r="DB241" i="2"/>
  <c r="CD241" i="2"/>
  <c r="BF241" i="2"/>
  <c r="AH241" i="2"/>
  <c r="DX241" i="2"/>
  <c r="CZ241" i="2"/>
  <c r="CB241" i="2"/>
  <c r="BD241" i="2"/>
  <c r="DV241" i="2"/>
  <c r="CX241" i="2"/>
  <c r="BZ241" i="2"/>
  <c r="BB241" i="2"/>
  <c r="DT241" i="2"/>
  <c r="CV241" i="2"/>
  <c r="BX241" i="2"/>
  <c r="AZ241" i="2"/>
  <c r="DR241" i="2"/>
  <c r="CT241" i="2"/>
  <c r="BV241" i="2"/>
  <c r="AX241" i="2"/>
  <c r="DP241" i="2"/>
  <c r="CR241" i="2"/>
  <c r="BT241" i="2"/>
  <c r="AV241" i="2"/>
  <c r="DN241" i="2"/>
  <c r="CP241" i="2"/>
  <c r="BR241" i="2"/>
  <c r="AT241" i="2"/>
  <c r="A241" i="2"/>
  <c r="DL241" i="2"/>
  <c r="CN241" i="2"/>
  <c r="BP241" i="2"/>
  <c r="AR241" i="2"/>
  <c r="DJ241" i="2"/>
  <c r="CL241" i="2"/>
  <c r="BN241" i="2"/>
  <c r="AP241" i="2"/>
  <c r="S241" i="2"/>
  <c r="T241" i="2" s="1"/>
  <c r="DH241" i="2"/>
  <c r="CJ241" i="2"/>
  <c r="BL241" i="2"/>
  <c r="AN241" i="2"/>
  <c r="I28" i="35"/>
  <c r="I58" i="35" s="1"/>
  <c r="I59" i="35" s="1"/>
  <c r="H28" i="35"/>
  <c r="H58" i="35" s="1"/>
  <c r="H59" i="35" s="1"/>
  <c r="C57" i="36"/>
  <c r="H21" i="10"/>
  <c r="I21" i="10" l="1"/>
  <c r="J21" i="10"/>
  <c r="K21" i="10" s="1"/>
  <c r="J58" i="35"/>
  <c r="J59" i="35" s="1"/>
  <c r="F8" i="36"/>
  <c r="F9" i="36"/>
  <c r="E26" i="36"/>
  <c r="B59" i="35"/>
  <c r="N28" i="35"/>
  <c r="D21" i="11"/>
  <c r="W21" i="11" s="1"/>
  <c r="D21" i="5"/>
  <c r="D21" i="6" s="1"/>
  <c r="W241" i="2"/>
  <c r="B242" i="2"/>
  <c r="E31" i="36"/>
  <c r="F32" i="36"/>
  <c r="F22" i="36"/>
  <c r="F20" i="36"/>
  <c r="F19" i="36"/>
  <c r="F30" i="36"/>
  <c r="F31" i="36" s="1"/>
  <c r="F18" i="36"/>
  <c r="F39" i="36"/>
  <c r="F17" i="36"/>
  <c r="F11" i="36"/>
  <c r="F15" i="36"/>
  <c r="F34" i="36"/>
  <c r="F23" i="36"/>
  <c r="F33" i="36"/>
  <c r="F24" i="36"/>
  <c r="F13" i="36"/>
  <c r="F16" i="36"/>
  <c r="F38" i="36"/>
  <c r="F10" i="36"/>
  <c r="F25" i="36"/>
  <c r="F14" i="36"/>
  <c r="F21" i="36"/>
  <c r="DN242" i="2"/>
  <c r="CP242" i="2"/>
  <c r="BR242" i="2"/>
  <c r="AT242" i="2"/>
  <c r="A242" i="2"/>
  <c r="DL242" i="2"/>
  <c r="CN242" i="2"/>
  <c r="BP242" i="2"/>
  <c r="AR242" i="2"/>
  <c r="DJ242" i="2"/>
  <c r="CL242" i="2"/>
  <c r="BN242" i="2"/>
  <c r="AP242" i="2"/>
  <c r="S242" i="2"/>
  <c r="T242" i="2" s="1"/>
  <c r="DH242" i="2"/>
  <c r="CJ242" i="2"/>
  <c r="BL242" i="2"/>
  <c r="AN242" i="2"/>
  <c r="DF242" i="2"/>
  <c r="CH242" i="2"/>
  <c r="BJ242" i="2"/>
  <c r="AL242" i="2"/>
  <c r="EB242" i="2"/>
  <c r="DD242" i="2"/>
  <c r="CF242" i="2"/>
  <c r="BH242" i="2"/>
  <c r="AJ242" i="2"/>
  <c r="DZ242" i="2"/>
  <c r="DB242" i="2"/>
  <c r="CD242" i="2"/>
  <c r="BF242" i="2"/>
  <c r="AH242" i="2"/>
  <c r="DX242" i="2"/>
  <c r="CZ242" i="2"/>
  <c r="CB242" i="2"/>
  <c r="BD242" i="2"/>
  <c r="DV242" i="2"/>
  <c r="CX242" i="2"/>
  <c r="BZ242" i="2"/>
  <c r="BB242" i="2"/>
  <c r="DT242" i="2"/>
  <c r="CV242" i="2"/>
  <c r="BX242" i="2"/>
  <c r="AZ242" i="2"/>
  <c r="DR242" i="2"/>
  <c r="CT242" i="2"/>
  <c r="BV242" i="2"/>
  <c r="AX242" i="2"/>
  <c r="DP242" i="2"/>
  <c r="CR242" i="2"/>
  <c r="BT242" i="2"/>
  <c r="AV242" i="2"/>
  <c r="H4" i="36"/>
  <c r="G6" i="36"/>
  <c r="AC243" i="2"/>
  <c r="AD243" i="2" s="1"/>
  <c r="E243" i="2"/>
  <c r="D243" i="2"/>
  <c r="V243" i="2"/>
  <c r="C244" i="2"/>
  <c r="G243" i="2"/>
  <c r="N58" i="35" l="1"/>
  <c r="N59" i="35" s="1"/>
  <c r="F60" i="35" s="1"/>
  <c r="I60" i="35" s="1"/>
  <c r="M21" i="11"/>
  <c r="Z21" i="11"/>
  <c r="Y21" i="11"/>
  <c r="R21" i="11"/>
  <c r="F26" i="36"/>
  <c r="F57" i="36" s="1"/>
  <c r="L21" i="11"/>
  <c r="R21" i="6"/>
  <c r="D21" i="7"/>
  <c r="D21" i="8" s="1"/>
  <c r="D21" i="9" s="1"/>
  <c r="D21" i="10" s="1"/>
  <c r="C21" i="12" s="1"/>
  <c r="F243" i="2"/>
  <c r="AB243" i="2" s="1"/>
  <c r="X21" i="11"/>
  <c r="E57" i="36"/>
  <c r="G20" i="36"/>
  <c r="G19" i="36"/>
  <c r="G30" i="36"/>
  <c r="G31" i="36" s="1"/>
  <c r="G18" i="36"/>
  <c r="G39" i="36"/>
  <c r="G17" i="36"/>
  <c r="G11" i="36"/>
  <c r="G38" i="36"/>
  <c r="G16" i="36"/>
  <c r="G10" i="36"/>
  <c r="G25" i="36"/>
  <c r="G14" i="36"/>
  <c r="G34" i="36"/>
  <c r="G33" i="36"/>
  <c r="G24" i="36"/>
  <c r="G13" i="36"/>
  <c r="G32" i="36"/>
  <c r="G22" i="36"/>
  <c r="G23" i="36"/>
  <c r="G15" i="36"/>
  <c r="G21" i="36"/>
  <c r="S21" i="11"/>
  <c r="N21" i="11"/>
  <c r="T21" i="11"/>
  <c r="O21" i="11"/>
  <c r="U21" i="11"/>
  <c r="AA21" i="11"/>
  <c r="J21" i="11"/>
  <c r="P21" i="11"/>
  <c r="G8" i="36"/>
  <c r="V21" i="11"/>
  <c r="W242" i="2"/>
  <c r="B243" i="2"/>
  <c r="I4" i="36"/>
  <c r="H6" i="36"/>
  <c r="DV243" i="2"/>
  <c r="CX243" i="2"/>
  <c r="BZ243" i="2"/>
  <c r="BB243" i="2"/>
  <c r="DT243" i="2"/>
  <c r="CV243" i="2"/>
  <c r="BX243" i="2"/>
  <c r="AZ243" i="2"/>
  <c r="DR243" i="2"/>
  <c r="CT243" i="2"/>
  <c r="BV243" i="2"/>
  <c r="AX243" i="2"/>
  <c r="DP243" i="2"/>
  <c r="CR243" i="2"/>
  <c r="BT243" i="2"/>
  <c r="AV243" i="2"/>
  <c r="DN243" i="2"/>
  <c r="CP243" i="2"/>
  <c r="BR243" i="2"/>
  <c r="AT243" i="2"/>
  <c r="A243" i="2"/>
  <c r="DL243" i="2"/>
  <c r="CN243" i="2"/>
  <c r="BP243" i="2"/>
  <c r="AR243" i="2"/>
  <c r="DJ243" i="2"/>
  <c r="CL243" i="2"/>
  <c r="BN243" i="2"/>
  <c r="AP243" i="2"/>
  <c r="S243" i="2"/>
  <c r="T243" i="2" s="1"/>
  <c r="DH243" i="2"/>
  <c r="CJ243" i="2"/>
  <c r="BL243" i="2"/>
  <c r="AN243" i="2"/>
  <c r="DF243" i="2"/>
  <c r="CH243" i="2"/>
  <c r="BJ243" i="2"/>
  <c r="AL243" i="2"/>
  <c r="EB243" i="2"/>
  <c r="DD243" i="2"/>
  <c r="CF243" i="2"/>
  <c r="BH243" i="2"/>
  <c r="AJ243" i="2"/>
  <c r="DZ243" i="2"/>
  <c r="DB243" i="2"/>
  <c r="CD243" i="2"/>
  <c r="BF243" i="2"/>
  <c r="AH243" i="2"/>
  <c r="DX243" i="2"/>
  <c r="CZ243" i="2"/>
  <c r="CB243" i="2"/>
  <c r="BD243" i="2"/>
  <c r="K21" i="11"/>
  <c r="G9" i="36"/>
  <c r="G244" i="2"/>
  <c r="AC244" i="2"/>
  <c r="AD244" i="2" s="1"/>
  <c r="E244" i="2"/>
  <c r="D244" i="2"/>
  <c r="V244" i="2"/>
  <c r="C245" i="2"/>
  <c r="Q21" i="11"/>
  <c r="G60" i="35" l="1"/>
  <c r="H8" i="36"/>
  <c r="H7" i="36"/>
  <c r="N7" i="36" s="1"/>
  <c r="G26" i="36"/>
  <c r="G57" i="36" s="1"/>
  <c r="G21" i="11"/>
  <c r="H19" i="36"/>
  <c r="H30" i="36"/>
  <c r="H31" i="36" s="1"/>
  <c r="H18" i="36"/>
  <c r="H39" i="36"/>
  <c r="H17" i="36"/>
  <c r="H11" i="36"/>
  <c r="H38" i="36"/>
  <c r="H16" i="36"/>
  <c r="H10" i="36"/>
  <c r="H15" i="36"/>
  <c r="H25" i="36"/>
  <c r="H14" i="36"/>
  <c r="H34" i="36"/>
  <c r="H33" i="36"/>
  <c r="H23" i="36"/>
  <c r="H20" i="36"/>
  <c r="H24" i="36"/>
  <c r="H13" i="36"/>
  <c r="H32" i="36"/>
  <c r="H22" i="36"/>
  <c r="H21" i="36"/>
  <c r="J4" i="36"/>
  <c r="I6" i="36"/>
  <c r="I9" i="36" s="1"/>
  <c r="W243" i="2"/>
  <c r="B244" i="2"/>
  <c r="H9" i="36"/>
  <c r="C246" i="2"/>
  <c r="G245" i="2"/>
  <c r="AC245" i="2"/>
  <c r="AD245" i="2" s="1"/>
  <c r="E245" i="2"/>
  <c r="D245" i="2"/>
  <c r="V245" i="2"/>
  <c r="F244" i="2"/>
  <c r="AB244" i="2" s="1"/>
  <c r="DF244" i="2"/>
  <c r="CH244" i="2"/>
  <c r="BJ244" i="2"/>
  <c r="AL244" i="2"/>
  <c r="EB244" i="2"/>
  <c r="DD244" i="2"/>
  <c r="CF244" i="2"/>
  <c r="BH244" i="2"/>
  <c r="AJ244" i="2"/>
  <c r="DZ244" i="2"/>
  <c r="DB244" i="2"/>
  <c r="CD244" i="2"/>
  <c r="BF244" i="2"/>
  <c r="AH244" i="2"/>
  <c r="DX244" i="2"/>
  <c r="CZ244" i="2"/>
  <c r="CB244" i="2"/>
  <c r="BD244" i="2"/>
  <c r="DV244" i="2"/>
  <c r="CX244" i="2"/>
  <c r="BZ244" i="2"/>
  <c r="BB244" i="2"/>
  <c r="DT244" i="2"/>
  <c r="CV244" i="2"/>
  <c r="BX244" i="2"/>
  <c r="AZ244" i="2"/>
  <c r="DR244" i="2"/>
  <c r="CT244" i="2"/>
  <c r="BV244" i="2"/>
  <c r="AX244" i="2"/>
  <c r="DP244" i="2"/>
  <c r="CR244" i="2"/>
  <c r="BT244" i="2"/>
  <c r="AV244" i="2"/>
  <c r="DN244" i="2"/>
  <c r="CP244" i="2"/>
  <c r="BR244" i="2"/>
  <c r="AT244" i="2"/>
  <c r="A244" i="2"/>
  <c r="DL244" i="2"/>
  <c r="CN244" i="2"/>
  <c r="BP244" i="2"/>
  <c r="AR244" i="2"/>
  <c r="DJ244" i="2"/>
  <c r="CL244" i="2"/>
  <c r="BN244" i="2"/>
  <c r="AP244" i="2"/>
  <c r="S244" i="2"/>
  <c r="T244" i="2" s="1"/>
  <c r="DH244" i="2"/>
  <c r="CJ244" i="2"/>
  <c r="BL244" i="2"/>
  <c r="AN244" i="2"/>
  <c r="I8" i="36" l="1"/>
  <c r="DN245" i="2"/>
  <c r="CP245" i="2"/>
  <c r="BR245" i="2"/>
  <c r="AT245" i="2"/>
  <c r="A245" i="2"/>
  <c r="DL245" i="2"/>
  <c r="CN245" i="2"/>
  <c r="BP245" i="2"/>
  <c r="AR245" i="2"/>
  <c r="DJ245" i="2"/>
  <c r="CL245" i="2"/>
  <c r="BN245" i="2"/>
  <c r="AP245" i="2"/>
  <c r="S245" i="2"/>
  <c r="T245" i="2" s="1"/>
  <c r="DH245" i="2"/>
  <c r="CJ245" i="2"/>
  <c r="BL245" i="2"/>
  <c r="AN245" i="2"/>
  <c r="DF245" i="2"/>
  <c r="CH245" i="2"/>
  <c r="BJ245" i="2"/>
  <c r="AL245" i="2"/>
  <c r="EB245" i="2"/>
  <c r="DD245" i="2"/>
  <c r="CF245" i="2"/>
  <c r="BH245" i="2"/>
  <c r="AJ245" i="2"/>
  <c r="DZ245" i="2"/>
  <c r="DB245" i="2"/>
  <c r="CD245" i="2"/>
  <c r="BF245" i="2"/>
  <c r="AH245" i="2"/>
  <c r="DX245" i="2"/>
  <c r="CZ245" i="2"/>
  <c r="CB245" i="2"/>
  <c r="BD245" i="2"/>
  <c r="DV245" i="2"/>
  <c r="CX245" i="2"/>
  <c r="BZ245" i="2"/>
  <c r="BB245" i="2"/>
  <c r="DT245" i="2"/>
  <c r="CV245" i="2"/>
  <c r="BX245" i="2"/>
  <c r="AZ245" i="2"/>
  <c r="DR245" i="2"/>
  <c r="CT245" i="2"/>
  <c r="BV245" i="2"/>
  <c r="AX245" i="2"/>
  <c r="DP245" i="2"/>
  <c r="CR245" i="2"/>
  <c r="BT245" i="2"/>
  <c r="AV245" i="2"/>
  <c r="AC246" i="2"/>
  <c r="AD246" i="2" s="1"/>
  <c r="E246" i="2"/>
  <c r="D246" i="2"/>
  <c r="F246" i="2" s="1"/>
  <c r="AB246" i="2" s="1"/>
  <c r="V246" i="2"/>
  <c r="C247" i="2"/>
  <c r="G246" i="2"/>
  <c r="H26" i="36"/>
  <c r="H21" i="11"/>
  <c r="C21" i="11"/>
  <c r="E21" i="11" s="1"/>
  <c r="W244" i="2"/>
  <c r="B245" i="2"/>
  <c r="I30" i="36"/>
  <c r="I31" i="36" s="1"/>
  <c r="I18" i="36"/>
  <c r="I39" i="36"/>
  <c r="I17" i="36"/>
  <c r="I11" i="36"/>
  <c r="I38" i="36"/>
  <c r="I16" i="36"/>
  <c r="I10" i="36"/>
  <c r="I15" i="36"/>
  <c r="I34" i="36"/>
  <c r="I33" i="36"/>
  <c r="I24" i="36"/>
  <c r="I13" i="36"/>
  <c r="I32" i="36"/>
  <c r="I22" i="36"/>
  <c r="I19" i="36"/>
  <c r="I20" i="36"/>
  <c r="I23" i="36"/>
  <c r="I25" i="36"/>
  <c r="I14" i="36"/>
  <c r="I21" i="36"/>
  <c r="F245" i="2"/>
  <c r="AB245" i="2" s="1"/>
  <c r="K4" i="36"/>
  <c r="J6" i="36"/>
  <c r="J9" i="36" s="1"/>
  <c r="I26" i="36" l="1"/>
  <c r="I57" i="36" s="1"/>
  <c r="J8" i="36"/>
  <c r="H57" i="36"/>
  <c r="G247" i="2"/>
  <c r="AC247" i="2"/>
  <c r="AD247" i="2" s="1"/>
  <c r="E247" i="2"/>
  <c r="D247" i="2"/>
  <c r="F247" i="2" s="1"/>
  <c r="AB247" i="2" s="1"/>
  <c r="V247" i="2"/>
  <c r="C248" i="2"/>
  <c r="W245" i="2"/>
  <c r="B246" i="2"/>
  <c r="DV246" i="2"/>
  <c r="CX246" i="2"/>
  <c r="BZ246" i="2"/>
  <c r="BB246" i="2"/>
  <c r="DT246" i="2"/>
  <c r="CV246" i="2"/>
  <c r="BX246" i="2"/>
  <c r="AZ246" i="2"/>
  <c r="DR246" i="2"/>
  <c r="CT246" i="2"/>
  <c r="BV246" i="2"/>
  <c r="AX246" i="2"/>
  <c r="DP246" i="2"/>
  <c r="CR246" i="2"/>
  <c r="BT246" i="2"/>
  <c r="AV246" i="2"/>
  <c r="DN246" i="2"/>
  <c r="CP246" i="2"/>
  <c r="BR246" i="2"/>
  <c r="AT246" i="2"/>
  <c r="A246" i="2"/>
  <c r="DL246" i="2"/>
  <c r="CN246" i="2"/>
  <c r="BP246" i="2"/>
  <c r="AR246" i="2"/>
  <c r="DJ246" i="2"/>
  <c r="CL246" i="2"/>
  <c r="BN246" i="2"/>
  <c r="AP246" i="2"/>
  <c r="S246" i="2"/>
  <c r="T246" i="2" s="1"/>
  <c r="DH246" i="2"/>
  <c r="CJ246" i="2"/>
  <c r="BL246" i="2"/>
  <c r="AN246" i="2"/>
  <c r="DF246" i="2"/>
  <c r="CH246" i="2"/>
  <c r="BJ246" i="2"/>
  <c r="AL246" i="2"/>
  <c r="EB246" i="2"/>
  <c r="DD246" i="2"/>
  <c r="CF246" i="2"/>
  <c r="BH246" i="2"/>
  <c r="AJ246" i="2"/>
  <c r="DZ246" i="2"/>
  <c r="DB246" i="2"/>
  <c r="CD246" i="2"/>
  <c r="BF246" i="2"/>
  <c r="AH246" i="2"/>
  <c r="DX246" i="2"/>
  <c r="CZ246" i="2"/>
  <c r="CB246" i="2"/>
  <c r="BD246" i="2"/>
  <c r="J39" i="36"/>
  <c r="J17" i="36"/>
  <c r="J11" i="36"/>
  <c r="J38" i="36"/>
  <c r="J16" i="36"/>
  <c r="J10" i="36"/>
  <c r="J15" i="36"/>
  <c r="J25" i="36"/>
  <c r="J14" i="36"/>
  <c r="J33" i="36"/>
  <c r="J24" i="36"/>
  <c r="J13" i="36"/>
  <c r="J23" i="36"/>
  <c r="J32" i="36"/>
  <c r="J20" i="36"/>
  <c r="J30" i="36"/>
  <c r="J31" i="36" s="1"/>
  <c r="J18" i="36"/>
  <c r="J12" i="36"/>
  <c r="J19" i="36"/>
  <c r="J22" i="36"/>
  <c r="J34" i="36"/>
  <c r="J21" i="36"/>
  <c r="L4" i="36"/>
  <c r="K6" i="36"/>
  <c r="J26" i="36" l="1"/>
  <c r="J57" i="36" s="1"/>
  <c r="W246" i="2"/>
  <c r="B247" i="2"/>
  <c r="DF247" i="2"/>
  <c r="CH247" i="2"/>
  <c r="BJ247" i="2"/>
  <c r="AL247" i="2"/>
  <c r="EB247" i="2"/>
  <c r="DD247" i="2"/>
  <c r="CF247" i="2"/>
  <c r="BH247" i="2"/>
  <c r="AJ247" i="2"/>
  <c r="DZ247" i="2"/>
  <c r="DB247" i="2"/>
  <c r="CD247" i="2"/>
  <c r="BF247" i="2"/>
  <c r="AH247" i="2"/>
  <c r="DX247" i="2"/>
  <c r="CZ247" i="2"/>
  <c r="CB247" i="2"/>
  <c r="BD247" i="2"/>
  <c r="DV247" i="2"/>
  <c r="CX247" i="2"/>
  <c r="BZ247" i="2"/>
  <c r="BB247" i="2"/>
  <c r="DT247" i="2"/>
  <c r="CV247" i="2"/>
  <c r="BX247" i="2"/>
  <c r="AZ247" i="2"/>
  <c r="DR247" i="2"/>
  <c r="CT247" i="2"/>
  <c r="BV247" i="2"/>
  <c r="AX247" i="2"/>
  <c r="DP247" i="2"/>
  <c r="CR247" i="2"/>
  <c r="BT247" i="2"/>
  <c r="AV247" i="2"/>
  <c r="DN247" i="2"/>
  <c r="CP247" i="2"/>
  <c r="BR247" i="2"/>
  <c r="AT247" i="2"/>
  <c r="A247" i="2"/>
  <c r="DL247" i="2"/>
  <c r="CN247" i="2"/>
  <c r="BP247" i="2"/>
  <c r="AR247" i="2"/>
  <c r="DJ247" i="2"/>
  <c r="CL247" i="2"/>
  <c r="BN247" i="2"/>
  <c r="AP247" i="2"/>
  <c r="S247" i="2"/>
  <c r="T247" i="2" s="1"/>
  <c r="DH247" i="2"/>
  <c r="CJ247" i="2"/>
  <c r="BL247" i="2"/>
  <c r="AN247" i="2"/>
  <c r="K38" i="36"/>
  <c r="K16" i="36"/>
  <c r="K10" i="36"/>
  <c r="K15" i="36"/>
  <c r="K25" i="36"/>
  <c r="K14" i="36"/>
  <c r="K34" i="36"/>
  <c r="K12" i="36"/>
  <c r="N12" i="36" s="1"/>
  <c r="K23" i="36"/>
  <c r="K32" i="36"/>
  <c r="K22" i="36"/>
  <c r="K19" i="36"/>
  <c r="K39" i="36"/>
  <c r="K17" i="36"/>
  <c r="K11" i="36"/>
  <c r="K33" i="36"/>
  <c r="K24" i="36"/>
  <c r="K13" i="36"/>
  <c r="K20" i="36"/>
  <c r="K30" i="36"/>
  <c r="K31" i="36" s="1"/>
  <c r="K18" i="36"/>
  <c r="K21" i="36"/>
  <c r="K8" i="36"/>
  <c r="M4" i="36"/>
  <c r="L6" i="36"/>
  <c r="L8" i="36" s="1"/>
  <c r="K9" i="36"/>
  <c r="C249" i="2"/>
  <c r="G248" i="2"/>
  <c r="AC248" i="2"/>
  <c r="AD248" i="2" s="1"/>
  <c r="E248" i="2"/>
  <c r="D248" i="2"/>
  <c r="V248" i="2"/>
  <c r="I22" i="9"/>
  <c r="H22" i="9"/>
  <c r="K26" i="36" l="1"/>
  <c r="K57" i="36" s="1"/>
  <c r="B4" i="37"/>
  <c r="M6" i="36"/>
  <c r="W247" i="2"/>
  <c r="B248" i="2"/>
  <c r="F248" i="2"/>
  <c r="AB248" i="2" s="1"/>
  <c r="L15" i="36"/>
  <c r="L25" i="36"/>
  <c r="L14" i="36"/>
  <c r="L34" i="36"/>
  <c r="L33" i="36"/>
  <c r="L24" i="36"/>
  <c r="L13" i="36"/>
  <c r="L32" i="36"/>
  <c r="L22" i="36"/>
  <c r="L20" i="36"/>
  <c r="L30" i="36"/>
  <c r="L31" i="36" s="1"/>
  <c r="L18" i="36"/>
  <c r="L38" i="36"/>
  <c r="L16" i="36"/>
  <c r="L10" i="36"/>
  <c r="L39" i="36"/>
  <c r="L23" i="36"/>
  <c r="L19" i="36"/>
  <c r="L11" i="36"/>
  <c r="L17" i="36"/>
  <c r="L21" i="36"/>
  <c r="L9" i="36"/>
  <c r="DN248" i="2"/>
  <c r="CP248" i="2"/>
  <c r="BR248" i="2"/>
  <c r="AT248" i="2"/>
  <c r="A248" i="2"/>
  <c r="DL248" i="2"/>
  <c r="CN248" i="2"/>
  <c r="BP248" i="2"/>
  <c r="AR248" i="2"/>
  <c r="DJ248" i="2"/>
  <c r="CL248" i="2"/>
  <c r="BN248" i="2"/>
  <c r="AP248" i="2"/>
  <c r="S248" i="2"/>
  <c r="T248" i="2" s="1"/>
  <c r="DH248" i="2"/>
  <c r="CJ248" i="2"/>
  <c r="BL248" i="2"/>
  <c r="AN248" i="2"/>
  <c r="DF248" i="2"/>
  <c r="CH248" i="2"/>
  <c r="BJ248" i="2"/>
  <c r="AL248" i="2"/>
  <c r="EB248" i="2"/>
  <c r="DD248" i="2"/>
  <c r="CF248" i="2"/>
  <c r="BH248" i="2"/>
  <c r="AJ248" i="2"/>
  <c r="DZ248" i="2"/>
  <c r="DB248" i="2"/>
  <c r="CD248" i="2"/>
  <c r="BF248" i="2"/>
  <c r="AH248" i="2"/>
  <c r="DX248" i="2"/>
  <c r="CZ248" i="2"/>
  <c r="CB248" i="2"/>
  <c r="BD248" i="2"/>
  <c r="DV248" i="2"/>
  <c r="CX248" i="2"/>
  <c r="BZ248" i="2"/>
  <c r="BB248" i="2"/>
  <c r="DT248" i="2"/>
  <c r="CV248" i="2"/>
  <c r="BX248" i="2"/>
  <c r="AZ248" i="2"/>
  <c r="DR248" i="2"/>
  <c r="CT248" i="2"/>
  <c r="BV248" i="2"/>
  <c r="AX248" i="2"/>
  <c r="DP248" i="2"/>
  <c r="CR248" i="2"/>
  <c r="BT248" i="2"/>
  <c r="AV248" i="2"/>
  <c r="E249" i="2"/>
  <c r="D249" i="2"/>
  <c r="F249" i="2" s="1"/>
  <c r="AB249" i="2" s="1"/>
  <c r="C250" i="2"/>
  <c r="V249" i="2"/>
  <c r="AC249" i="2"/>
  <c r="AD249" i="2" s="1"/>
  <c r="G249" i="2"/>
  <c r="L26" i="36" l="1"/>
  <c r="L57" i="36" s="1"/>
  <c r="AC250" i="2"/>
  <c r="AD250" i="2" s="1"/>
  <c r="E250" i="2"/>
  <c r="D250" i="2"/>
  <c r="V250" i="2"/>
  <c r="C251" i="2"/>
  <c r="G250" i="2"/>
  <c r="M25" i="36"/>
  <c r="N25" i="36" s="1"/>
  <c r="M14" i="36"/>
  <c r="N14" i="36" s="1"/>
  <c r="M34" i="36"/>
  <c r="N34" i="36" s="1"/>
  <c r="M33" i="36"/>
  <c r="N33" i="36" s="1"/>
  <c r="M24" i="36"/>
  <c r="N24" i="36" s="1"/>
  <c r="M13" i="36"/>
  <c r="N13" i="36" s="1"/>
  <c r="M23" i="36"/>
  <c r="N23" i="36" s="1"/>
  <c r="M20" i="36"/>
  <c r="N20" i="36" s="1"/>
  <c r="M19" i="36"/>
  <c r="N19" i="36" s="1"/>
  <c r="M30" i="36"/>
  <c r="N30" i="36" s="1"/>
  <c r="M39" i="36"/>
  <c r="N39" i="36" s="1"/>
  <c r="M17" i="36"/>
  <c r="N17" i="36" s="1"/>
  <c r="M11" i="36"/>
  <c r="N11" i="36" s="1"/>
  <c r="M15" i="36"/>
  <c r="N15" i="36" s="1"/>
  <c r="M32" i="36"/>
  <c r="N32" i="36" s="1"/>
  <c r="M16" i="36"/>
  <c r="N16" i="36" s="1"/>
  <c r="M38" i="36"/>
  <c r="N38" i="36" s="1"/>
  <c r="M22" i="36"/>
  <c r="N22" i="36" s="1"/>
  <c r="M18" i="36"/>
  <c r="N18" i="36" s="1"/>
  <c r="M10" i="36"/>
  <c r="N10" i="36" s="1"/>
  <c r="N6" i="36"/>
  <c r="M21" i="36"/>
  <c r="N21" i="36" s="1"/>
  <c r="M9" i="36"/>
  <c r="N9" i="36" s="1"/>
  <c r="C4" i="37"/>
  <c r="B6" i="37"/>
  <c r="B7" i="37" s="1"/>
  <c r="M8" i="36"/>
  <c r="N8" i="36" s="1"/>
  <c r="W248" i="2"/>
  <c r="B249" i="2"/>
  <c r="DR249" i="2"/>
  <c r="CT249" i="2"/>
  <c r="BV249" i="2"/>
  <c r="AX249" i="2"/>
  <c r="DP249" i="2"/>
  <c r="CR249" i="2"/>
  <c r="BT249" i="2"/>
  <c r="AV249" i="2"/>
  <c r="DN249" i="2"/>
  <c r="CP249" i="2"/>
  <c r="BR249" i="2"/>
  <c r="AT249" i="2"/>
  <c r="DL249" i="2"/>
  <c r="CN249" i="2"/>
  <c r="BP249" i="2"/>
  <c r="AR249" i="2"/>
  <c r="DJ249" i="2"/>
  <c r="CL249" i="2"/>
  <c r="BN249" i="2"/>
  <c r="AP249" i="2"/>
  <c r="A249" i="2"/>
  <c r="DH249" i="2"/>
  <c r="CJ249" i="2"/>
  <c r="BL249" i="2"/>
  <c r="AN249" i="2"/>
  <c r="DF249" i="2"/>
  <c r="CH249" i="2"/>
  <c r="BJ249" i="2"/>
  <c r="AL249" i="2"/>
  <c r="S249" i="2"/>
  <c r="T249" i="2" s="1"/>
  <c r="EB249" i="2"/>
  <c r="DD249" i="2"/>
  <c r="CF249" i="2"/>
  <c r="BH249" i="2"/>
  <c r="AJ249" i="2"/>
  <c r="DZ249" i="2"/>
  <c r="DB249" i="2"/>
  <c r="CD249" i="2"/>
  <c r="BF249" i="2"/>
  <c r="AH249" i="2"/>
  <c r="DX249" i="2"/>
  <c r="CZ249" i="2"/>
  <c r="CB249" i="2"/>
  <c r="BD249" i="2"/>
  <c r="DV249" i="2"/>
  <c r="CX249" i="2"/>
  <c r="BZ249" i="2"/>
  <c r="BB249" i="2"/>
  <c r="DT249" i="2"/>
  <c r="CV249" i="2"/>
  <c r="BX249" i="2"/>
  <c r="AZ249" i="2"/>
  <c r="K22" i="9"/>
  <c r="L22" i="9"/>
  <c r="O22" i="8"/>
  <c r="F22" i="9"/>
  <c r="M22" i="9"/>
  <c r="I22" i="8"/>
  <c r="F22" i="8"/>
  <c r="G22" i="9"/>
  <c r="N22" i="9"/>
  <c r="J22" i="9"/>
  <c r="L22" i="8"/>
  <c r="F250" i="2" l="1"/>
  <c r="AB250" i="2" s="1"/>
  <c r="Q22" i="8"/>
  <c r="K22" i="8"/>
  <c r="N22" i="8"/>
  <c r="M31" i="36"/>
  <c r="N31" i="36" s="1"/>
  <c r="R22" i="8"/>
  <c r="S22" i="8" s="1"/>
  <c r="H22" i="8"/>
  <c r="G22" i="8"/>
  <c r="O22" i="9"/>
  <c r="P22" i="9" s="1"/>
  <c r="P22" i="8"/>
  <c r="J22" i="8"/>
  <c r="M22" i="8"/>
  <c r="M26" i="36"/>
  <c r="DV250" i="2"/>
  <c r="CX250" i="2"/>
  <c r="BZ250" i="2"/>
  <c r="BB250" i="2"/>
  <c r="DT250" i="2"/>
  <c r="CV250" i="2"/>
  <c r="BX250" i="2"/>
  <c r="AZ250" i="2"/>
  <c r="DR250" i="2"/>
  <c r="CT250" i="2"/>
  <c r="BV250" i="2"/>
  <c r="AX250" i="2"/>
  <c r="DP250" i="2"/>
  <c r="CR250" i="2"/>
  <c r="BT250" i="2"/>
  <c r="AV250" i="2"/>
  <c r="DN250" i="2"/>
  <c r="CP250" i="2"/>
  <c r="BR250" i="2"/>
  <c r="AT250" i="2"/>
  <c r="DL250" i="2"/>
  <c r="CN250" i="2"/>
  <c r="BP250" i="2"/>
  <c r="AR250" i="2"/>
  <c r="A250" i="2"/>
  <c r="DJ250" i="2"/>
  <c r="CL250" i="2"/>
  <c r="BN250" i="2"/>
  <c r="AP250" i="2"/>
  <c r="DH250" i="2"/>
  <c r="CJ250" i="2"/>
  <c r="BL250" i="2"/>
  <c r="S250" i="2"/>
  <c r="T250" i="2" s="1"/>
  <c r="DF250" i="2"/>
  <c r="CH250" i="2"/>
  <c r="BJ250" i="2"/>
  <c r="AN250" i="2"/>
  <c r="EB250" i="2"/>
  <c r="DD250" i="2"/>
  <c r="CF250" i="2"/>
  <c r="BH250" i="2"/>
  <c r="AL250" i="2"/>
  <c r="DZ250" i="2"/>
  <c r="DB250" i="2"/>
  <c r="CD250" i="2"/>
  <c r="BF250" i="2"/>
  <c r="AJ250" i="2"/>
  <c r="DX250" i="2"/>
  <c r="CZ250" i="2"/>
  <c r="CB250" i="2"/>
  <c r="BD250" i="2"/>
  <c r="AH250" i="2"/>
  <c r="G251" i="2"/>
  <c r="AC251" i="2"/>
  <c r="AD251" i="2" s="1"/>
  <c r="E251" i="2"/>
  <c r="D251" i="2"/>
  <c r="F251" i="2" s="1"/>
  <c r="AB251" i="2" s="1"/>
  <c r="V251" i="2"/>
  <c r="C252" i="2"/>
  <c r="W249" i="2"/>
  <c r="B250" i="2"/>
  <c r="B23" i="37"/>
  <c r="B32" i="37"/>
  <c r="B21" i="37"/>
  <c r="B20" i="37"/>
  <c r="B19" i="37"/>
  <c r="B30" i="37"/>
  <c r="B18" i="37"/>
  <c r="B12" i="37"/>
  <c r="B39" i="37"/>
  <c r="B17" i="37"/>
  <c r="B38" i="37"/>
  <c r="B16" i="37"/>
  <c r="B10" i="37"/>
  <c r="B15" i="37"/>
  <c r="B25" i="37"/>
  <c r="B14" i="37"/>
  <c r="B33" i="37"/>
  <c r="B24" i="37"/>
  <c r="B13" i="37"/>
  <c r="B34" i="37"/>
  <c r="B11" i="37"/>
  <c r="D4" i="37"/>
  <c r="C6" i="37"/>
  <c r="B9" i="37"/>
  <c r="B8" i="37"/>
  <c r="B22" i="8"/>
  <c r="B22" i="9"/>
  <c r="E22" i="8"/>
  <c r="E22" i="9"/>
  <c r="DF251" i="2" l="1"/>
  <c r="CH251" i="2"/>
  <c r="BJ251" i="2"/>
  <c r="AL251" i="2"/>
  <c r="EB251" i="2"/>
  <c r="DD251" i="2"/>
  <c r="CF251" i="2"/>
  <c r="BH251" i="2"/>
  <c r="AJ251" i="2"/>
  <c r="DZ251" i="2"/>
  <c r="DB251" i="2"/>
  <c r="CD251" i="2"/>
  <c r="BF251" i="2"/>
  <c r="AH251" i="2"/>
  <c r="DX251" i="2"/>
  <c r="CZ251" i="2"/>
  <c r="CB251" i="2"/>
  <c r="BD251" i="2"/>
  <c r="DV251" i="2"/>
  <c r="CX251" i="2"/>
  <c r="BZ251" i="2"/>
  <c r="BB251" i="2"/>
  <c r="DT251" i="2"/>
  <c r="CV251" i="2"/>
  <c r="BX251" i="2"/>
  <c r="AZ251" i="2"/>
  <c r="DR251" i="2"/>
  <c r="CT251" i="2"/>
  <c r="BV251" i="2"/>
  <c r="AX251" i="2"/>
  <c r="DP251" i="2"/>
  <c r="CR251" i="2"/>
  <c r="BT251" i="2"/>
  <c r="AV251" i="2"/>
  <c r="DN251" i="2"/>
  <c r="CP251" i="2"/>
  <c r="BR251" i="2"/>
  <c r="AT251" i="2"/>
  <c r="A251" i="2"/>
  <c r="DL251" i="2"/>
  <c r="CN251" i="2"/>
  <c r="BP251" i="2"/>
  <c r="AR251" i="2"/>
  <c r="DJ251" i="2"/>
  <c r="CL251" i="2"/>
  <c r="BN251" i="2"/>
  <c r="AP251" i="2"/>
  <c r="S251" i="2"/>
  <c r="T251" i="2" s="1"/>
  <c r="DH251" i="2"/>
  <c r="CJ251" i="2"/>
  <c r="BL251" i="2"/>
  <c r="AN251" i="2"/>
  <c r="C9" i="37"/>
  <c r="C32" i="37"/>
  <c r="C22" i="37"/>
  <c r="C21" i="37"/>
  <c r="C20" i="37"/>
  <c r="C19" i="37"/>
  <c r="C30" i="37"/>
  <c r="C31" i="37" s="1"/>
  <c r="C18" i="37"/>
  <c r="C12" i="37"/>
  <c r="C39" i="37"/>
  <c r="C17" i="37"/>
  <c r="C11" i="37"/>
  <c r="C38" i="37"/>
  <c r="C16" i="37"/>
  <c r="C15" i="37"/>
  <c r="C25" i="37"/>
  <c r="C14" i="37"/>
  <c r="C34" i="37"/>
  <c r="C23" i="37"/>
  <c r="C24" i="37"/>
  <c r="C13" i="37"/>
  <c r="C33" i="37"/>
  <c r="C10" i="37"/>
  <c r="N26" i="36"/>
  <c r="M57" i="36"/>
  <c r="E4" i="37"/>
  <c r="D6" i="37"/>
  <c r="W250" i="2"/>
  <c r="B251" i="2"/>
  <c r="C253" i="2"/>
  <c r="G252" i="2"/>
  <c r="AC252" i="2"/>
  <c r="AD252" i="2" s="1"/>
  <c r="E252" i="2"/>
  <c r="D252" i="2"/>
  <c r="V252" i="2"/>
  <c r="B26" i="37"/>
  <c r="C8" i="37"/>
  <c r="B31" i="37"/>
  <c r="G22" i="10"/>
  <c r="F22" i="4"/>
  <c r="F22" i="3"/>
  <c r="F22" i="12"/>
  <c r="H22" i="12" l="1"/>
  <c r="G22" i="12"/>
  <c r="G22" i="3"/>
  <c r="H22" i="3"/>
  <c r="D8" i="37"/>
  <c r="AC253" i="2"/>
  <c r="AD253" i="2" s="1"/>
  <c r="E253" i="2"/>
  <c r="D253" i="2"/>
  <c r="F253" i="2" s="1"/>
  <c r="AB253" i="2" s="1"/>
  <c r="V253" i="2"/>
  <c r="C254" i="2"/>
  <c r="G253" i="2"/>
  <c r="N57" i="36"/>
  <c r="C26" i="37"/>
  <c r="B60" i="36"/>
  <c r="H60" i="36"/>
  <c r="B27" i="36"/>
  <c r="C27" i="36"/>
  <c r="D27" i="36"/>
  <c r="E27" i="36"/>
  <c r="F27" i="36"/>
  <c r="G27" i="36"/>
  <c r="H27" i="36"/>
  <c r="I27" i="36"/>
  <c r="J27" i="36"/>
  <c r="K27" i="36"/>
  <c r="L27" i="36"/>
  <c r="M27" i="36"/>
  <c r="DN252" i="2"/>
  <c r="CP252" i="2"/>
  <c r="BR252" i="2"/>
  <c r="AT252" i="2"/>
  <c r="A252" i="2"/>
  <c r="DL252" i="2"/>
  <c r="CN252" i="2"/>
  <c r="BP252" i="2"/>
  <c r="AR252" i="2"/>
  <c r="DJ252" i="2"/>
  <c r="CL252" i="2"/>
  <c r="BN252" i="2"/>
  <c r="AP252" i="2"/>
  <c r="S252" i="2"/>
  <c r="T252" i="2" s="1"/>
  <c r="DH252" i="2"/>
  <c r="CJ252" i="2"/>
  <c r="BL252" i="2"/>
  <c r="AN252" i="2"/>
  <c r="DF252" i="2"/>
  <c r="CH252" i="2"/>
  <c r="BJ252" i="2"/>
  <c r="AL252" i="2"/>
  <c r="EB252" i="2"/>
  <c r="DD252" i="2"/>
  <c r="CF252" i="2"/>
  <c r="BH252" i="2"/>
  <c r="AJ252" i="2"/>
  <c r="DZ252" i="2"/>
  <c r="DB252" i="2"/>
  <c r="CD252" i="2"/>
  <c r="BF252" i="2"/>
  <c r="AH252" i="2"/>
  <c r="DX252" i="2"/>
  <c r="CZ252" i="2"/>
  <c r="CB252" i="2"/>
  <c r="BD252" i="2"/>
  <c r="DV252" i="2"/>
  <c r="CX252" i="2"/>
  <c r="BZ252" i="2"/>
  <c r="BB252" i="2"/>
  <c r="DT252" i="2"/>
  <c r="CV252" i="2"/>
  <c r="BX252" i="2"/>
  <c r="AZ252" i="2"/>
  <c r="DR252" i="2"/>
  <c r="CT252" i="2"/>
  <c r="BV252" i="2"/>
  <c r="AX252" i="2"/>
  <c r="DP252" i="2"/>
  <c r="CR252" i="2"/>
  <c r="BT252" i="2"/>
  <c r="AV252" i="2"/>
  <c r="B57" i="37"/>
  <c r="D20" i="37"/>
  <c r="D19" i="37"/>
  <c r="D30" i="37"/>
  <c r="D31" i="37" s="1"/>
  <c r="D18" i="37"/>
  <c r="D39" i="37"/>
  <c r="D17" i="37"/>
  <c r="D11" i="37"/>
  <c r="D38" i="37"/>
  <c r="D16" i="37"/>
  <c r="D10" i="37"/>
  <c r="D15" i="37"/>
  <c r="D25" i="37"/>
  <c r="D14" i="37"/>
  <c r="D34" i="37"/>
  <c r="D33" i="37"/>
  <c r="D24" i="37"/>
  <c r="D13" i="37"/>
  <c r="D32" i="37"/>
  <c r="D22" i="37"/>
  <c r="D23" i="37"/>
  <c r="D21" i="37"/>
  <c r="W251" i="2"/>
  <c r="B252" i="2"/>
  <c r="D9" i="37"/>
  <c r="F252" i="2"/>
  <c r="AB252" i="2" s="1"/>
  <c r="F4" i="37"/>
  <c r="E6" i="37"/>
  <c r="E22" i="12"/>
  <c r="B22" i="3"/>
  <c r="B22" i="12"/>
  <c r="I22" i="4"/>
  <c r="E22" i="3"/>
  <c r="J22" i="4"/>
  <c r="O22" i="3"/>
  <c r="E22" i="4"/>
  <c r="B22" i="4"/>
  <c r="C22" i="10"/>
  <c r="H22" i="4"/>
  <c r="K22" i="4"/>
  <c r="F22" i="10"/>
  <c r="G22" i="4"/>
  <c r="O22" i="4" l="1"/>
  <c r="P22" i="4" s="1"/>
  <c r="AC22" i="11" s="1"/>
  <c r="E22" i="5"/>
  <c r="E22" i="7"/>
  <c r="E22" i="6"/>
  <c r="C22" i="4"/>
  <c r="B22" i="6"/>
  <c r="B22" i="5"/>
  <c r="B22" i="7"/>
  <c r="C22" i="3"/>
  <c r="D26" i="37"/>
  <c r="E28" i="36"/>
  <c r="E58" i="36" s="1"/>
  <c r="E59" i="36" s="1"/>
  <c r="D28" i="36"/>
  <c r="D58" i="36" s="1"/>
  <c r="D59" i="36" s="1"/>
  <c r="C28" i="36"/>
  <c r="C58" i="36" s="1"/>
  <c r="C59" i="36" s="1"/>
  <c r="DV253" i="2"/>
  <c r="CX253" i="2"/>
  <c r="BZ253" i="2"/>
  <c r="BB253" i="2"/>
  <c r="DT253" i="2"/>
  <c r="CV253" i="2"/>
  <c r="BX253" i="2"/>
  <c r="AZ253" i="2"/>
  <c r="DR253" i="2"/>
  <c r="CT253" i="2"/>
  <c r="BV253" i="2"/>
  <c r="AX253" i="2"/>
  <c r="DP253" i="2"/>
  <c r="CR253" i="2"/>
  <c r="BT253" i="2"/>
  <c r="AV253" i="2"/>
  <c r="DN253" i="2"/>
  <c r="CP253" i="2"/>
  <c r="BR253" i="2"/>
  <c r="AT253" i="2"/>
  <c r="A253" i="2"/>
  <c r="DL253" i="2"/>
  <c r="CN253" i="2"/>
  <c r="BP253" i="2"/>
  <c r="AR253" i="2"/>
  <c r="DJ253" i="2"/>
  <c r="CL253" i="2"/>
  <c r="BN253" i="2"/>
  <c r="AP253" i="2"/>
  <c r="S253" i="2"/>
  <c r="T253" i="2" s="1"/>
  <c r="DH253" i="2"/>
  <c r="CJ253" i="2"/>
  <c r="BL253" i="2"/>
  <c r="AN253" i="2"/>
  <c r="DF253" i="2"/>
  <c r="CH253" i="2"/>
  <c r="BJ253" i="2"/>
  <c r="AL253" i="2"/>
  <c r="EB253" i="2"/>
  <c r="DD253" i="2"/>
  <c r="CF253" i="2"/>
  <c r="BH253" i="2"/>
  <c r="AJ253" i="2"/>
  <c r="DZ253" i="2"/>
  <c r="DB253" i="2"/>
  <c r="CD253" i="2"/>
  <c r="BF253" i="2"/>
  <c r="AH253" i="2"/>
  <c r="DX253" i="2"/>
  <c r="CZ253" i="2"/>
  <c r="CB253" i="2"/>
  <c r="BD253" i="2"/>
  <c r="N27" i="36"/>
  <c r="B28" i="36"/>
  <c r="B58" i="36" s="1"/>
  <c r="G254" i="2"/>
  <c r="AC254" i="2"/>
  <c r="AD254" i="2" s="1"/>
  <c r="E254" i="2"/>
  <c r="D254" i="2"/>
  <c r="F254" i="2" s="1"/>
  <c r="AB254" i="2" s="1"/>
  <c r="V254" i="2"/>
  <c r="C255" i="2"/>
  <c r="W252" i="2"/>
  <c r="B253" i="2"/>
  <c r="L28" i="36"/>
  <c r="L58" i="36" s="1"/>
  <c r="L59" i="36" s="1"/>
  <c r="M28" i="36"/>
  <c r="M58" i="36" s="1"/>
  <c r="M59" i="36" s="1"/>
  <c r="K28" i="36"/>
  <c r="K58" i="36" s="1"/>
  <c r="K59" i="36" s="1"/>
  <c r="J28" i="36"/>
  <c r="J58" i="36" s="1"/>
  <c r="J59" i="36" s="1"/>
  <c r="E19" i="37"/>
  <c r="E30" i="37"/>
  <c r="E31" i="37" s="1"/>
  <c r="E18" i="37"/>
  <c r="E39" i="37"/>
  <c r="E17" i="37"/>
  <c r="E11" i="37"/>
  <c r="E38" i="37"/>
  <c r="E16" i="37"/>
  <c r="E10" i="37"/>
  <c r="E15" i="37"/>
  <c r="E25" i="37"/>
  <c r="E14" i="37"/>
  <c r="E34" i="37"/>
  <c r="E33" i="37"/>
  <c r="E24" i="37"/>
  <c r="E13" i="37"/>
  <c r="E23" i="37"/>
  <c r="E20" i="37"/>
  <c r="E22" i="37"/>
  <c r="E32" i="37"/>
  <c r="E21" i="37"/>
  <c r="G4" i="37"/>
  <c r="F6" i="37"/>
  <c r="I28" i="36"/>
  <c r="I58" i="36" s="1"/>
  <c r="I59" i="36" s="1"/>
  <c r="H28" i="36"/>
  <c r="H58" i="36" s="1"/>
  <c r="H59" i="36" s="1"/>
  <c r="C57" i="37"/>
  <c r="E8" i="37"/>
  <c r="G28" i="36"/>
  <c r="G58" i="36" s="1"/>
  <c r="G59" i="36" s="1"/>
  <c r="E9" i="37"/>
  <c r="F28" i="36"/>
  <c r="F58" i="36" s="1"/>
  <c r="F59" i="36" s="1"/>
  <c r="H22" i="10"/>
  <c r="E26" i="37" l="1"/>
  <c r="E57" i="37" s="1"/>
  <c r="I22" i="10"/>
  <c r="J22" i="10"/>
  <c r="K22" i="10" s="1"/>
  <c r="H4" i="37"/>
  <c r="G6" i="37"/>
  <c r="F30" i="37"/>
  <c r="F31" i="37" s="1"/>
  <c r="F18" i="37"/>
  <c r="F39" i="37"/>
  <c r="F17" i="37"/>
  <c r="F11" i="37"/>
  <c r="F38" i="37"/>
  <c r="F16" i="37"/>
  <c r="F10" i="37"/>
  <c r="F15" i="37"/>
  <c r="F25" i="37"/>
  <c r="F14" i="37"/>
  <c r="F34" i="37"/>
  <c r="F33" i="37"/>
  <c r="F24" i="37"/>
  <c r="F13" i="37"/>
  <c r="F23" i="37"/>
  <c r="F32" i="37"/>
  <c r="F22" i="37"/>
  <c r="F19" i="37"/>
  <c r="F20" i="37"/>
  <c r="F21" i="37"/>
  <c r="C256" i="2"/>
  <c r="G255" i="2"/>
  <c r="AC255" i="2"/>
  <c r="AD255" i="2" s="1"/>
  <c r="E255" i="2"/>
  <c r="D255" i="2"/>
  <c r="V255" i="2"/>
  <c r="D22" i="11"/>
  <c r="W22" i="11" s="1"/>
  <c r="D22" i="5"/>
  <c r="D22" i="6" s="1"/>
  <c r="W253" i="2"/>
  <c r="B254" i="2"/>
  <c r="F8" i="37"/>
  <c r="D57" i="37"/>
  <c r="DF254" i="2"/>
  <c r="CH254" i="2"/>
  <c r="BJ254" i="2"/>
  <c r="AL254" i="2"/>
  <c r="EB254" i="2"/>
  <c r="DD254" i="2"/>
  <c r="CF254" i="2"/>
  <c r="BH254" i="2"/>
  <c r="AJ254" i="2"/>
  <c r="DZ254" i="2"/>
  <c r="DB254" i="2"/>
  <c r="CD254" i="2"/>
  <c r="BF254" i="2"/>
  <c r="AH254" i="2"/>
  <c r="DX254" i="2"/>
  <c r="CZ254" i="2"/>
  <c r="CB254" i="2"/>
  <c r="BD254" i="2"/>
  <c r="DV254" i="2"/>
  <c r="CX254" i="2"/>
  <c r="BZ254" i="2"/>
  <c r="BB254" i="2"/>
  <c r="DT254" i="2"/>
  <c r="CV254" i="2"/>
  <c r="BX254" i="2"/>
  <c r="AZ254" i="2"/>
  <c r="DR254" i="2"/>
  <c r="CT254" i="2"/>
  <c r="BV254" i="2"/>
  <c r="AX254" i="2"/>
  <c r="DP254" i="2"/>
  <c r="CR254" i="2"/>
  <c r="BT254" i="2"/>
  <c r="AV254" i="2"/>
  <c r="DN254" i="2"/>
  <c r="CP254" i="2"/>
  <c r="BR254" i="2"/>
  <c r="AT254" i="2"/>
  <c r="A254" i="2"/>
  <c r="DL254" i="2"/>
  <c r="CN254" i="2"/>
  <c r="BP254" i="2"/>
  <c r="AR254" i="2"/>
  <c r="DJ254" i="2"/>
  <c r="CL254" i="2"/>
  <c r="BN254" i="2"/>
  <c r="AP254" i="2"/>
  <c r="S254" i="2"/>
  <c r="T254" i="2" s="1"/>
  <c r="DH254" i="2"/>
  <c r="CJ254" i="2"/>
  <c r="BL254" i="2"/>
  <c r="AN254" i="2"/>
  <c r="N58" i="36"/>
  <c r="N59" i="36" s="1"/>
  <c r="F60" i="36" s="1"/>
  <c r="B59" i="36"/>
  <c r="N28" i="36"/>
  <c r="F9" i="37"/>
  <c r="Y22" i="11" l="1"/>
  <c r="J22" i="11"/>
  <c r="P22" i="11"/>
  <c r="F26" i="37"/>
  <c r="F57" i="37" s="1"/>
  <c r="Q22" i="11"/>
  <c r="L22" i="11"/>
  <c r="DN255" i="2"/>
  <c r="CP255" i="2"/>
  <c r="BR255" i="2"/>
  <c r="AT255" i="2"/>
  <c r="A255" i="2"/>
  <c r="DL255" i="2"/>
  <c r="CN255" i="2"/>
  <c r="BP255" i="2"/>
  <c r="AR255" i="2"/>
  <c r="DJ255" i="2"/>
  <c r="CL255" i="2"/>
  <c r="BN255" i="2"/>
  <c r="AP255" i="2"/>
  <c r="S255" i="2"/>
  <c r="T255" i="2" s="1"/>
  <c r="DH255" i="2"/>
  <c r="CJ255" i="2"/>
  <c r="BL255" i="2"/>
  <c r="AN255" i="2"/>
  <c r="DF255" i="2"/>
  <c r="CH255" i="2"/>
  <c r="BJ255" i="2"/>
  <c r="AL255" i="2"/>
  <c r="EB255" i="2"/>
  <c r="DD255" i="2"/>
  <c r="CF255" i="2"/>
  <c r="BH255" i="2"/>
  <c r="AJ255" i="2"/>
  <c r="DZ255" i="2"/>
  <c r="DB255" i="2"/>
  <c r="CD255" i="2"/>
  <c r="BF255" i="2"/>
  <c r="AH255" i="2"/>
  <c r="DX255" i="2"/>
  <c r="CZ255" i="2"/>
  <c r="CB255" i="2"/>
  <c r="BD255" i="2"/>
  <c r="DV255" i="2"/>
  <c r="CX255" i="2"/>
  <c r="BZ255" i="2"/>
  <c r="BB255" i="2"/>
  <c r="DT255" i="2"/>
  <c r="CV255" i="2"/>
  <c r="BX255" i="2"/>
  <c r="AZ255" i="2"/>
  <c r="DR255" i="2"/>
  <c r="CT255" i="2"/>
  <c r="BV255" i="2"/>
  <c r="AX255" i="2"/>
  <c r="DP255" i="2"/>
  <c r="CR255" i="2"/>
  <c r="BT255" i="2"/>
  <c r="AV255" i="2"/>
  <c r="X22" i="11"/>
  <c r="AC256" i="2"/>
  <c r="AD256" i="2" s="1"/>
  <c r="E256" i="2"/>
  <c r="D256" i="2"/>
  <c r="V256" i="2"/>
  <c r="C257" i="2"/>
  <c r="G256" i="2"/>
  <c r="R22" i="11"/>
  <c r="M22" i="11"/>
  <c r="S22" i="11"/>
  <c r="N22" i="11"/>
  <c r="Z22" i="11"/>
  <c r="G39" i="37"/>
  <c r="G17" i="37"/>
  <c r="G11" i="37"/>
  <c r="G38" i="37"/>
  <c r="G16" i="37"/>
  <c r="G10" i="37"/>
  <c r="G15" i="37"/>
  <c r="G25" i="37"/>
  <c r="G14" i="37"/>
  <c r="G34" i="37"/>
  <c r="G33" i="37"/>
  <c r="G24" i="37"/>
  <c r="G13" i="37"/>
  <c r="G23" i="37"/>
  <c r="G32" i="37"/>
  <c r="G22" i="37"/>
  <c r="G20" i="37"/>
  <c r="G30" i="37"/>
  <c r="G31" i="37" s="1"/>
  <c r="G18" i="37"/>
  <c r="G19" i="37"/>
  <c r="G21" i="37"/>
  <c r="G60" i="36"/>
  <c r="I60" i="36"/>
  <c r="T22" i="11"/>
  <c r="O22" i="11"/>
  <c r="I4" i="37"/>
  <c r="H6" i="37"/>
  <c r="H7" i="37" s="1"/>
  <c r="U22" i="11"/>
  <c r="AA22" i="11"/>
  <c r="W254" i="2"/>
  <c r="B255" i="2"/>
  <c r="G8" i="37"/>
  <c r="AB22" i="11"/>
  <c r="V22" i="11"/>
  <c r="F255" i="2"/>
  <c r="AB255" i="2" s="1"/>
  <c r="G9" i="37"/>
  <c r="D22" i="7"/>
  <c r="D22" i="8" s="1"/>
  <c r="D22" i="9" s="1"/>
  <c r="D22" i="10" s="1"/>
  <c r="C22" i="12" s="1"/>
  <c r="R22" i="6"/>
  <c r="K22" i="11"/>
  <c r="G22" i="11" l="1"/>
  <c r="H22" i="11" s="1"/>
  <c r="G26" i="37"/>
  <c r="G57" i="37" s="1"/>
  <c r="DV256" i="2"/>
  <c r="CX256" i="2"/>
  <c r="BZ256" i="2"/>
  <c r="BB256" i="2"/>
  <c r="DT256" i="2"/>
  <c r="CV256" i="2"/>
  <c r="BX256" i="2"/>
  <c r="AZ256" i="2"/>
  <c r="DR256" i="2"/>
  <c r="CT256" i="2"/>
  <c r="BV256" i="2"/>
  <c r="AX256" i="2"/>
  <c r="DP256" i="2"/>
  <c r="CR256" i="2"/>
  <c r="BT256" i="2"/>
  <c r="AV256" i="2"/>
  <c r="DN256" i="2"/>
  <c r="CP256" i="2"/>
  <c r="BR256" i="2"/>
  <c r="AT256" i="2"/>
  <c r="A256" i="2"/>
  <c r="DL256" i="2"/>
  <c r="CN256" i="2"/>
  <c r="BP256" i="2"/>
  <c r="AR256" i="2"/>
  <c r="DJ256" i="2"/>
  <c r="CL256" i="2"/>
  <c r="BN256" i="2"/>
  <c r="AP256" i="2"/>
  <c r="S256" i="2"/>
  <c r="T256" i="2" s="1"/>
  <c r="DH256" i="2"/>
  <c r="CJ256" i="2"/>
  <c r="BL256" i="2"/>
  <c r="AN256" i="2"/>
  <c r="DF256" i="2"/>
  <c r="CH256" i="2"/>
  <c r="BJ256" i="2"/>
  <c r="AL256" i="2"/>
  <c r="EB256" i="2"/>
  <c r="DD256" i="2"/>
  <c r="CF256" i="2"/>
  <c r="BH256" i="2"/>
  <c r="AJ256" i="2"/>
  <c r="DZ256" i="2"/>
  <c r="DB256" i="2"/>
  <c r="CD256" i="2"/>
  <c r="BF256" i="2"/>
  <c r="AH256" i="2"/>
  <c r="DX256" i="2"/>
  <c r="CZ256" i="2"/>
  <c r="CB256" i="2"/>
  <c r="BD256" i="2"/>
  <c r="G257" i="2"/>
  <c r="AC257" i="2"/>
  <c r="AD257" i="2" s="1"/>
  <c r="E257" i="2"/>
  <c r="D257" i="2"/>
  <c r="F257" i="2" s="1"/>
  <c r="AB257" i="2" s="1"/>
  <c r="V257" i="2"/>
  <c r="C258" i="2"/>
  <c r="H38" i="37"/>
  <c r="H16" i="37"/>
  <c r="H10" i="37"/>
  <c r="H15" i="37"/>
  <c r="H25" i="37"/>
  <c r="H14" i="37"/>
  <c r="H34" i="37"/>
  <c r="H33" i="37"/>
  <c r="H24" i="37"/>
  <c r="H13" i="37"/>
  <c r="H23" i="37"/>
  <c r="H32" i="37"/>
  <c r="H22" i="37"/>
  <c r="H20" i="37"/>
  <c r="H19" i="37"/>
  <c r="H39" i="37"/>
  <c r="H17" i="37"/>
  <c r="H11" i="37"/>
  <c r="H30" i="37"/>
  <c r="H31" i="37" s="1"/>
  <c r="H18" i="37"/>
  <c r="N7" i="37"/>
  <c r="H21" i="37"/>
  <c r="W255" i="2"/>
  <c r="B256" i="2"/>
  <c r="J4" i="37"/>
  <c r="I6" i="37"/>
  <c r="I9" i="37" s="1"/>
  <c r="F256" i="2"/>
  <c r="AB256" i="2" s="1"/>
  <c r="H8" i="37"/>
  <c r="H9" i="37"/>
  <c r="C22" i="11" l="1"/>
  <c r="E22" i="11" s="1"/>
  <c r="H26" i="37"/>
  <c r="DF257" i="2"/>
  <c r="CH257" i="2"/>
  <c r="BJ257" i="2"/>
  <c r="AL257" i="2"/>
  <c r="EB257" i="2"/>
  <c r="DD257" i="2"/>
  <c r="CF257" i="2"/>
  <c r="BH257" i="2"/>
  <c r="AJ257" i="2"/>
  <c r="DZ257" i="2"/>
  <c r="DB257" i="2"/>
  <c r="CD257" i="2"/>
  <c r="BF257" i="2"/>
  <c r="AH257" i="2"/>
  <c r="DX257" i="2"/>
  <c r="CZ257" i="2"/>
  <c r="CB257" i="2"/>
  <c r="BD257" i="2"/>
  <c r="DV257" i="2"/>
  <c r="CX257" i="2"/>
  <c r="BZ257" i="2"/>
  <c r="BB257" i="2"/>
  <c r="DT257" i="2"/>
  <c r="CV257" i="2"/>
  <c r="BX257" i="2"/>
  <c r="AZ257" i="2"/>
  <c r="DR257" i="2"/>
  <c r="CT257" i="2"/>
  <c r="BV257" i="2"/>
  <c r="AX257" i="2"/>
  <c r="DP257" i="2"/>
  <c r="CR257" i="2"/>
  <c r="BT257" i="2"/>
  <c r="AV257" i="2"/>
  <c r="DN257" i="2"/>
  <c r="CP257" i="2"/>
  <c r="BR257" i="2"/>
  <c r="AT257" i="2"/>
  <c r="A257" i="2"/>
  <c r="DL257" i="2"/>
  <c r="CN257" i="2"/>
  <c r="BP257" i="2"/>
  <c r="AR257" i="2"/>
  <c r="DJ257" i="2"/>
  <c r="CL257" i="2"/>
  <c r="BN257" i="2"/>
  <c r="AP257" i="2"/>
  <c r="S257" i="2"/>
  <c r="T257" i="2" s="1"/>
  <c r="DH257" i="2"/>
  <c r="CJ257" i="2"/>
  <c r="BL257" i="2"/>
  <c r="AN257" i="2"/>
  <c r="C259" i="2"/>
  <c r="G258" i="2"/>
  <c r="AC258" i="2"/>
  <c r="AD258" i="2" s="1"/>
  <c r="E258" i="2"/>
  <c r="D258" i="2"/>
  <c r="V258" i="2"/>
  <c r="K4" i="37"/>
  <c r="J6" i="37"/>
  <c r="J9" i="37" s="1"/>
  <c r="W256" i="2"/>
  <c r="B257" i="2"/>
  <c r="I15" i="37"/>
  <c r="I25" i="37"/>
  <c r="I14" i="37"/>
  <c r="I34" i="37"/>
  <c r="I33" i="37"/>
  <c r="I24" i="37"/>
  <c r="I13" i="37"/>
  <c r="I23" i="37"/>
  <c r="I32" i="37"/>
  <c r="I22" i="37"/>
  <c r="I20" i="37"/>
  <c r="I19" i="37"/>
  <c r="I30" i="37"/>
  <c r="I31" i="37" s="1"/>
  <c r="I18" i="37"/>
  <c r="I38" i="37"/>
  <c r="I16" i="37"/>
  <c r="I10" i="37"/>
  <c r="I11" i="37"/>
  <c r="I39" i="37"/>
  <c r="I17" i="37"/>
  <c r="I21" i="37"/>
  <c r="I8" i="37"/>
  <c r="I26" i="37" l="1"/>
  <c r="I57" i="37" s="1"/>
  <c r="F258" i="2"/>
  <c r="AB258" i="2" s="1"/>
  <c r="DN258" i="2"/>
  <c r="CP258" i="2"/>
  <c r="BR258" i="2"/>
  <c r="AT258" i="2"/>
  <c r="A258" i="2"/>
  <c r="DL258" i="2"/>
  <c r="CN258" i="2"/>
  <c r="BP258" i="2"/>
  <c r="AR258" i="2"/>
  <c r="DJ258" i="2"/>
  <c r="CL258" i="2"/>
  <c r="BN258" i="2"/>
  <c r="AP258" i="2"/>
  <c r="S258" i="2"/>
  <c r="T258" i="2" s="1"/>
  <c r="DH258" i="2"/>
  <c r="CJ258" i="2"/>
  <c r="BL258" i="2"/>
  <c r="AN258" i="2"/>
  <c r="DF258" i="2"/>
  <c r="CH258" i="2"/>
  <c r="BJ258" i="2"/>
  <c r="AL258" i="2"/>
  <c r="EB258" i="2"/>
  <c r="DD258" i="2"/>
  <c r="CF258" i="2"/>
  <c r="BH258" i="2"/>
  <c r="AJ258" i="2"/>
  <c r="DZ258" i="2"/>
  <c r="DB258" i="2"/>
  <c r="CD258" i="2"/>
  <c r="BF258" i="2"/>
  <c r="AH258" i="2"/>
  <c r="DX258" i="2"/>
  <c r="CZ258" i="2"/>
  <c r="CB258" i="2"/>
  <c r="BD258" i="2"/>
  <c r="DV258" i="2"/>
  <c r="CX258" i="2"/>
  <c r="BZ258" i="2"/>
  <c r="BB258" i="2"/>
  <c r="DT258" i="2"/>
  <c r="CV258" i="2"/>
  <c r="BX258" i="2"/>
  <c r="AZ258" i="2"/>
  <c r="DR258" i="2"/>
  <c r="CT258" i="2"/>
  <c r="BV258" i="2"/>
  <c r="AX258" i="2"/>
  <c r="DP258" i="2"/>
  <c r="CR258" i="2"/>
  <c r="BT258" i="2"/>
  <c r="AV258" i="2"/>
  <c r="J25" i="37"/>
  <c r="J14" i="37"/>
  <c r="J34" i="37"/>
  <c r="J12" i="37"/>
  <c r="J33" i="37"/>
  <c r="J24" i="37"/>
  <c r="J13" i="37"/>
  <c r="J23" i="37"/>
  <c r="J32" i="37"/>
  <c r="J22" i="37"/>
  <c r="J20" i="37"/>
  <c r="J19" i="37"/>
  <c r="J30" i="37"/>
  <c r="J31" i="37" s="1"/>
  <c r="J18" i="37"/>
  <c r="J39" i="37"/>
  <c r="J17" i="37"/>
  <c r="J11" i="37"/>
  <c r="J15" i="37"/>
  <c r="J10" i="37"/>
  <c r="J38" i="37"/>
  <c r="J16" i="37"/>
  <c r="J21" i="37"/>
  <c r="L4" i="37"/>
  <c r="K6" i="37"/>
  <c r="AC259" i="2"/>
  <c r="AD259" i="2" s="1"/>
  <c r="E259" i="2"/>
  <c r="D259" i="2"/>
  <c r="V259" i="2"/>
  <c r="C260" i="2"/>
  <c r="G259" i="2"/>
  <c r="J8" i="37"/>
  <c r="W257" i="2"/>
  <c r="B258" i="2"/>
  <c r="H57" i="37"/>
  <c r="J26" i="37" l="1"/>
  <c r="J57" i="37" s="1"/>
  <c r="DV259" i="2"/>
  <c r="CX259" i="2"/>
  <c r="BZ259" i="2"/>
  <c r="BB259" i="2"/>
  <c r="DT259" i="2"/>
  <c r="CV259" i="2"/>
  <c r="BX259" i="2"/>
  <c r="AZ259" i="2"/>
  <c r="DR259" i="2"/>
  <c r="CT259" i="2"/>
  <c r="BV259" i="2"/>
  <c r="AX259" i="2"/>
  <c r="DP259" i="2"/>
  <c r="CR259" i="2"/>
  <c r="BT259" i="2"/>
  <c r="AV259" i="2"/>
  <c r="DN259" i="2"/>
  <c r="CP259" i="2"/>
  <c r="BR259" i="2"/>
  <c r="AT259" i="2"/>
  <c r="A259" i="2"/>
  <c r="DL259" i="2"/>
  <c r="CN259" i="2"/>
  <c r="BP259" i="2"/>
  <c r="AR259" i="2"/>
  <c r="DJ259" i="2"/>
  <c r="CL259" i="2"/>
  <c r="BN259" i="2"/>
  <c r="AP259" i="2"/>
  <c r="S259" i="2"/>
  <c r="T259" i="2" s="1"/>
  <c r="DH259" i="2"/>
  <c r="CJ259" i="2"/>
  <c r="BL259" i="2"/>
  <c r="AN259" i="2"/>
  <c r="DF259" i="2"/>
  <c r="CH259" i="2"/>
  <c r="BJ259" i="2"/>
  <c r="AL259" i="2"/>
  <c r="EB259" i="2"/>
  <c r="DD259" i="2"/>
  <c r="CF259" i="2"/>
  <c r="BH259" i="2"/>
  <c r="AJ259" i="2"/>
  <c r="DZ259" i="2"/>
  <c r="DB259" i="2"/>
  <c r="CD259" i="2"/>
  <c r="BF259" i="2"/>
  <c r="AH259" i="2"/>
  <c r="DX259" i="2"/>
  <c r="CZ259" i="2"/>
  <c r="CB259" i="2"/>
  <c r="BD259" i="2"/>
  <c r="F259" i="2"/>
  <c r="AB259" i="2" s="1"/>
  <c r="K25" i="37"/>
  <c r="K14" i="37"/>
  <c r="K34" i="37"/>
  <c r="K12" i="37"/>
  <c r="N12" i="37" s="1"/>
  <c r="K33" i="37"/>
  <c r="K24" i="37"/>
  <c r="K13" i="37"/>
  <c r="K23" i="37"/>
  <c r="K32" i="37"/>
  <c r="K22" i="37"/>
  <c r="K20" i="37"/>
  <c r="K19" i="37"/>
  <c r="K30" i="37"/>
  <c r="K31" i="37" s="1"/>
  <c r="K18" i="37"/>
  <c r="K39" i="37"/>
  <c r="K17" i="37"/>
  <c r="K11" i="37"/>
  <c r="K38" i="37"/>
  <c r="K16" i="37"/>
  <c r="K10" i="37"/>
  <c r="K15" i="37"/>
  <c r="K21" i="37"/>
  <c r="K9" i="37"/>
  <c r="W258" i="2"/>
  <c r="B259" i="2"/>
  <c r="M4" i="37"/>
  <c r="L6" i="37"/>
  <c r="L9" i="37" s="1"/>
  <c r="K8" i="37"/>
  <c r="G260" i="2"/>
  <c r="AC260" i="2"/>
  <c r="AD260" i="2" s="1"/>
  <c r="E260" i="2"/>
  <c r="D260" i="2"/>
  <c r="V260" i="2"/>
  <c r="C261" i="2"/>
  <c r="H23" i="9"/>
  <c r="I23" i="9"/>
  <c r="K26" i="37" l="1"/>
  <c r="K57" i="37" s="1"/>
  <c r="AC261" i="2"/>
  <c r="AD261" i="2" s="1"/>
  <c r="G261" i="2"/>
  <c r="E261" i="2"/>
  <c r="D261" i="2"/>
  <c r="F261" i="2" s="1"/>
  <c r="AB261" i="2" s="1"/>
  <c r="C262" i="2"/>
  <c r="V261" i="2"/>
  <c r="W259" i="2"/>
  <c r="B260" i="2"/>
  <c r="F260" i="2"/>
  <c r="AB260" i="2" s="1"/>
  <c r="L34" i="37"/>
  <c r="L33" i="37"/>
  <c r="L24" i="37"/>
  <c r="L13" i="37"/>
  <c r="L23" i="37"/>
  <c r="L32" i="37"/>
  <c r="L22" i="37"/>
  <c r="L20" i="37"/>
  <c r="L19" i="37"/>
  <c r="L30" i="37"/>
  <c r="L31" i="37" s="1"/>
  <c r="L18" i="37"/>
  <c r="L39" i="37"/>
  <c r="L17" i="37"/>
  <c r="L11" i="37"/>
  <c r="L38" i="37"/>
  <c r="L16" i="37"/>
  <c r="L10" i="37"/>
  <c r="L15" i="37"/>
  <c r="L25" i="37"/>
  <c r="L14" i="37"/>
  <c r="L21" i="37"/>
  <c r="L8" i="37"/>
  <c r="B4" i="38"/>
  <c r="M6" i="37"/>
  <c r="DF260" i="2"/>
  <c r="CH260" i="2"/>
  <c r="BJ260" i="2"/>
  <c r="AL260" i="2"/>
  <c r="EB260" i="2"/>
  <c r="DD260" i="2"/>
  <c r="CF260" i="2"/>
  <c r="BH260" i="2"/>
  <c r="AJ260" i="2"/>
  <c r="DZ260" i="2"/>
  <c r="DB260" i="2"/>
  <c r="CD260" i="2"/>
  <c r="BF260" i="2"/>
  <c r="AH260" i="2"/>
  <c r="DX260" i="2"/>
  <c r="CZ260" i="2"/>
  <c r="CB260" i="2"/>
  <c r="BD260" i="2"/>
  <c r="DV260" i="2"/>
  <c r="CX260" i="2"/>
  <c r="BZ260" i="2"/>
  <c r="BB260" i="2"/>
  <c r="DT260" i="2"/>
  <c r="CV260" i="2"/>
  <c r="BX260" i="2"/>
  <c r="AZ260" i="2"/>
  <c r="DR260" i="2"/>
  <c r="CT260" i="2"/>
  <c r="BV260" i="2"/>
  <c r="AX260" i="2"/>
  <c r="DP260" i="2"/>
  <c r="CR260" i="2"/>
  <c r="BT260" i="2"/>
  <c r="AV260" i="2"/>
  <c r="DN260" i="2"/>
  <c r="CP260" i="2"/>
  <c r="BR260" i="2"/>
  <c r="AT260" i="2"/>
  <c r="A260" i="2"/>
  <c r="DL260" i="2"/>
  <c r="CN260" i="2"/>
  <c r="BP260" i="2"/>
  <c r="AR260" i="2"/>
  <c r="DJ260" i="2"/>
  <c r="CL260" i="2"/>
  <c r="BN260" i="2"/>
  <c r="AP260" i="2"/>
  <c r="S260" i="2"/>
  <c r="T260" i="2" s="1"/>
  <c r="DH260" i="2"/>
  <c r="CJ260" i="2"/>
  <c r="BL260" i="2"/>
  <c r="AN260" i="2"/>
  <c r="L26" i="37" l="1"/>
  <c r="L57" i="37" s="1"/>
  <c r="M33" i="37"/>
  <c r="N33" i="37" s="1"/>
  <c r="M24" i="37"/>
  <c r="N24" i="37" s="1"/>
  <c r="M13" i="37"/>
  <c r="N13" i="37" s="1"/>
  <c r="M23" i="37"/>
  <c r="N23" i="37" s="1"/>
  <c r="M32" i="37"/>
  <c r="N32" i="37" s="1"/>
  <c r="M22" i="37"/>
  <c r="N22" i="37" s="1"/>
  <c r="M20" i="37"/>
  <c r="N20" i="37" s="1"/>
  <c r="M19" i="37"/>
  <c r="N19" i="37" s="1"/>
  <c r="M30" i="37"/>
  <c r="N30" i="37" s="1"/>
  <c r="M18" i="37"/>
  <c r="N18" i="37" s="1"/>
  <c r="M39" i="37"/>
  <c r="N39" i="37" s="1"/>
  <c r="M17" i="37"/>
  <c r="N17" i="37" s="1"/>
  <c r="M11" i="37"/>
  <c r="N11" i="37" s="1"/>
  <c r="M38" i="37"/>
  <c r="N38" i="37" s="1"/>
  <c r="M16" i="37"/>
  <c r="N16" i="37" s="1"/>
  <c r="M10" i="37"/>
  <c r="N10" i="37" s="1"/>
  <c r="M15" i="37"/>
  <c r="N15" i="37" s="1"/>
  <c r="M34" i="37"/>
  <c r="N34" i="37" s="1"/>
  <c r="M25" i="37"/>
  <c r="N25" i="37" s="1"/>
  <c r="M14" i="37"/>
  <c r="N14" i="37" s="1"/>
  <c r="N6" i="37"/>
  <c r="M21" i="37"/>
  <c r="N21" i="37" s="1"/>
  <c r="C4" i="38"/>
  <c r="B6" i="38"/>
  <c r="W260" i="2"/>
  <c r="B261" i="2"/>
  <c r="V262" i="2"/>
  <c r="C263" i="2"/>
  <c r="G262" i="2"/>
  <c r="AC262" i="2"/>
  <c r="AD262" i="2" s="1"/>
  <c r="E262" i="2"/>
  <c r="D262" i="2"/>
  <c r="F262" i="2" s="1"/>
  <c r="AB262" i="2" s="1"/>
  <c r="M8" i="37"/>
  <c r="N8" i="37" s="1"/>
  <c r="DJ261" i="2"/>
  <c r="CL261" i="2"/>
  <c r="BN261" i="2"/>
  <c r="AP261" i="2"/>
  <c r="A261" i="2"/>
  <c r="DH261" i="2"/>
  <c r="CJ261" i="2"/>
  <c r="BL261" i="2"/>
  <c r="AN261" i="2"/>
  <c r="DF261" i="2"/>
  <c r="CH261" i="2"/>
  <c r="BJ261" i="2"/>
  <c r="AL261" i="2"/>
  <c r="S261" i="2"/>
  <c r="T261" i="2" s="1"/>
  <c r="EB261" i="2"/>
  <c r="DD261" i="2"/>
  <c r="CF261" i="2"/>
  <c r="BH261" i="2"/>
  <c r="AJ261" i="2"/>
  <c r="DZ261" i="2"/>
  <c r="DB261" i="2"/>
  <c r="CD261" i="2"/>
  <c r="BF261" i="2"/>
  <c r="AH261" i="2"/>
  <c r="DX261" i="2"/>
  <c r="CZ261" i="2"/>
  <c r="CB261" i="2"/>
  <c r="BD261" i="2"/>
  <c r="DV261" i="2"/>
  <c r="CX261" i="2"/>
  <c r="BZ261" i="2"/>
  <c r="BB261" i="2"/>
  <c r="DT261" i="2"/>
  <c r="CV261" i="2"/>
  <c r="BX261" i="2"/>
  <c r="AZ261" i="2"/>
  <c r="DR261" i="2"/>
  <c r="CT261" i="2"/>
  <c r="BV261" i="2"/>
  <c r="AX261" i="2"/>
  <c r="DP261" i="2"/>
  <c r="CR261" i="2"/>
  <c r="BT261" i="2"/>
  <c r="AV261" i="2"/>
  <c r="DN261" i="2"/>
  <c r="CP261" i="2"/>
  <c r="BR261" i="2"/>
  <c r="AT261" i="2"/>
  <c r="DL261" i="2"/>
  <c r="CN261" i="2"/>
  <c r="BP261" i="2"/>
  <c r="AR261" i="2"/>
  <c r="M9" i="37"/>
  <c r="N9" i="37" s="1"/>
  <c r="O23" i="8"/>
  <c r="M23" i="9"/>
  <c r="I23" i="8"/>
  <c r="J23" i="9"/>
  <c r="L23" i="9"/>
  <c r="N23" i="9"/>
  <c r="G23" i="9"/>
  <c r="L23" i="8"/>
  <c r="K23" i="9"/>
  <c r="F23" i="8"/>
  <c r="F23" i="9"/>
  <c r="N23" i="8" l="1"/>
  <c r="K23" i="8"/>
  <c r="Q23" i="8"/>
  <c r="B9" i="38"/>
  <c r="B7" i="38"/>
  <c r="B8" i="38"/>
  <c r="H23" i="8"/>
  <c r="G23" i="8"/>
  <c r="R23" i="8"/>
  <c r="S23" i="8" s="1"/>
  <c r="P23" i="8"/>
  <c r="O23" i="9"/>
  <c r="P23" i="9" s="1"/>
  <c r="J23" i="8"/>
  <c r="M23" i="8"/>
  <c r="DN262" i="2"/>
  <c r="CP262" i="2"/>
  <c r="BR262" i="2"/>
  <c r="AT262" i="2"/>
  <c r="DL262" i="2"/>
  <c r="CN262" i="2"/>
  <c r="BP262" i="2"/>
  <c r="AR262" i="2"/>
  <c r="A262" i="2"/>
  <c r="DJ262" i="2"/>
  <c r="CL262" i="2"/>
  <c r="BN262" i="2"/>
  <c r="AP262" i="2"/>
  <c r="DH262" i="2"/>
  <c r="CJ262" i="2"/>
  <c r="BL262" i="2"/>
  <c r="S262" i="2"/>
  <c r="T262" i="2" s="1"/>
  <c r="DF262" i="2"/>
  <c r="CH262" i="2"/>
  <c r="BJ262" i="2"/>
  <c r="AN262" i="2"/>
  <c r="EB262" i="2"/>
  <c r="DD262" i="2"/>
  <c r="CF262" i="2"/>
  <c r="BH262" i="2"/>
  <c r="AL262" i="2"/>
  <c r="DZ262" i="2"/>
  <c r="DB262" i="2"/>
  <c r="CD262" i="2"/>
  <c r="BF262" i="2"/>
  <c r="AJ262" i="2"/>
  <c r="DX262" i="2"/>
  <c r="CZ262" i="2"/>
  <c r="CB262" i="2"/>
  <c r="BD262" i="2"/>
  <c r="AH262" i="2"/>
  <c r="DV262" i="2"/>
  <c r="CX262" i="2"/>
  <c r="BZ262" i="2"/>
  <c r="BB262" i="2"/>
  <c r="DT262" i="2"/>
  <c r="CV262" i="2"/>
  <c r="BX262" i="2"/>
  <c r="AZ262" i="2"/>
  <c r="DR262" i="2"/>
  <c r="CT262" i="2"/>
  <c r="BV262" i="2"/>
  <c r="AX262" i="2"/>
  <c r="DP262" i="2"/>
  <c r="CR262" i="2"/>
  <c r="BT262" i="2"/>
  <c r="AV262" i="2"/>
  <c r="AC263" i="2"/>
  <c r="AD263" i="2" s="1"/>
  <c r="E263" i="2"/>
  <c r="D263" i="2"/>
  <c r="V263" i="2"/>
  <c r="C264" i="2"/>
  <c r="G263" i="2"/>
  <c r="W261" i="2"/>
  <c r="B262" i="2"/>
  <c r="M26" i="37"/>
  <c r="B19" i="38"/>
  <c r="B30" i="38"/>
  <c r="B31" i="38" s="1"/>
  <c r="B18" i="38"/>
  <c r="B12" i="38"/>
  <c r="B39" i="38"/>
  <c r="B17" i="38"/>
  <c r="B11" i="38"/>
  <c r="B38" i="38"/>
  <c r="B16" i="38"/>
  <c r="B10" i="38"/>
  <c r="B15" i="38"/>
  <c r="B25" i="38"/>
  <c r="B14" i="38"/>
  <c r="B34" i="38"/>
  <c r="B33" i="38"/>
  <c r="B24" i="38"/>
  <c r="B13" i="38"/>
  <c r="B23" i="38"/>
  <c r="B20" i="38"/>
  <c r="B32" i="38"/>
  <c r="B21" i="38"/>
  <c r="D4" i="38"/>
  <c r="C6" i="38"/>
  <c r="M31" i="37"/>
  <c r="N31" i="37" s="1"/>
  <c r="E23" i="9"/>
  <c r="E23" i="8"/>
  <c r="B23" i="9"/>
  <c r="B23" i="8"/>
  <c r="N26" i="37" l="1"/>
  <c r="M57" i="37"/>
  <c r="C30" i="38"/>
  <c r="C18" i="38"/>
  <c r="C12" i="38"/>
  <c r="C39" i="38"/>
  <c r="C17" i="38"/>
  <c r="C11" i="38"/>
  <c r="C38" i="38"/>
  <c r="C16" i="38"/>
  <c r="C10" i="38"/>
  <c r="C15" i="38"/>
  <c r="C25" i="38"/>
  <c r="C14" i="38"/>
  <c r="C34" i="38"/>
  <c r="C33" i="38"/>
  <c r="C24" i="38"/>
  <c r="C13" i="38"/>
  <c r="C23" i="38"/>
  <c r="C32" i="38"/>
  <c r="C22" i="38"/>
  <c r="C21" i="38"/>
  <c r="C31" i="38"/>
  <c r="C19" i="38"/>
  <c r="C20" i="38"/>
  <c r="E4" i="38"/>
  <c r="D6" i="38"/>
  <c r="DV263" i="2"/>
  <c r="CX263" i="2"/>
  <c r="BZ263" i="2"/>
  <c r="BB263" i="2"/>
  <c r="DT263" i="2"/>
  <c r="CV263" i="2"/>
  <c r="BX263" i="2"/>
  <c r="AZ263" i="2"/>
  <c r="DR263" i="2"/>
  <c r="CT263" i="2"/>
  <c r="BV263" i="2"/>
  <c r="AX263" i="2"/>
  <c r="DP263" i="2"/>
  <c r="CR263" i="2"/>
  <c r="BT263" i="2"/>
  <c r="AV263" i="2"/>
  <c r="DN263" i="2"/>
  <c r="CP263" i="2"/>
  <c r="BR263" i="2"/>
  <c r="AT263" i="2"/>
  <c r="A263" i="2"/>
  <c r="DL263" i="2"/>
  <c r="CN263" i="2"/>
  <c r="BP263" i="2"/>
  <c r="AR263" i="2"/>
  <c r="DJ263" i="2"/>
  <c r="CL263" i="2"/>
  <c r="BN263" i="2"/>
  <c r="AP263" i="2"/>
  <c r="S263" i="2"/>
  <c r="T263" i="2" s="1"/>
  <c r="DH263" i="2"/>
  <c r="CJ263" i="2"/>
  <c r="BL263" i="2"/>
  <c r="AN263" i="2"/>
  <c r="DF263" i="2"/>
  <c r="CH263" i="2"/>
  <c r="BJ263" i="2"/>
  <c r="AL263" i="2"/>
  <c r="EB263" i="2"/>
  <c r="DD263" i="2"/>
  <c r="CF263" i="2"/>
  <c r="BH263" i="2"/>
  <c r="AJ263" i="2"/>
  <c r="DZ263" i="2"/>
  <c r="DB263" i="2"/>
  <c r="CD263" i="2"/>
  <c r="BF263" i="2"/>
  <c r="AH263" i="2"/>
  <c r="DX263" i="2"/>
  <c r="CZ263" i="2"/>
  <c r="CB263" i="2"/>
  <c r="BD263" i="2"/>
  <c r="C8" i="38"/>
  <c r="G264" i="2"/>
  <c r="AC264" i="2"/>
  <c r="AD264" i="2" s="1"/>
  <c r="E264" i="2"/>
  <c r="D264" i="2"/>
  <c r="V264" i="2"/>
  <c r="C265" i="2"/>
  <c r="C9" i="38"/>
  <c r="W262" i="2"/>
  <c r="B263" i="2"/>
  <c r="F263" i="2"/>
  <c r="AB263" i="2" s="1"/>
  <c r="B26" i="38"/>
  <c r="G23" i="10"/>
  <c r="F23" i="12"/>
  <c r="F23" i="3"/>
  <c r="F23" i="4"/>
  <c r="C26" i="38" l="1"/>
  <c r="C57" i="38" s="1"/>
  <c r="H23" i="12"/>
  <c r="G23" i="12"/>
  <c r="G23" i="3"/>
  <c r="H23" i="3"/>
  <c r="D39" i="38"/>
  <c r="D17" i="38"/>
  <c r="D11" i="38"/>
  <c r="D38" i="38"/>
  <c r="D16" i="38"/>
  <c r="D10" i="38"/>
  <c r="D15" i="38"/>
  <c r="D25" i="38"/>
  <c r="D14" i="38"/>
  <c r="D34" i="38"/>
  <c r="D33" i="38"/>
  <c r="D24" i="38"/>
  <c r="D13" i="38"/>
  <c r="D23" i="38"/>
  <c r="D32" i="38"/>
  <c r="D22" i="38"/>
  <c r="D20" i="38"/>
  <c r="D30" i="38"/>
  <c r="D31" i="38" s="1"/>
  <c r="D18" i="38"/>
  <c r="D19" i="38"/>
  <c r="D21" i="38"/>
  <c r="F4" i="38"/>
  <c r="E6" i="38"/>
  <c r="N57" i="37"/>
  <c r="D8" i="38"/>
  <c r="H60" i="37"/>
  <c r="B60" i="37"/>
  <c r="B27" i="37"/>
  <c r="C27" i="37"/>
  <c r="D27" i="37"/>
  <c r="E27" i="37"/>
  <c r="F27" i="37"/>
  <c r="G27" i="37"/>
  <c r="H27" i="37"/>
  <c r="I27" i="37"/>
  <c r="J27" i="37"/>
  <c r="K27" i="37"/>
  <c r="L27" i="37"/>
  <c r="M27" i="37"/>
  <c r="D9" i="38"/>
  <c r="C266" i="2"/>
  <c r="G265" i="2"/>
  <c r="AC265" i="2"/>
  <c r="AD265" i="2" s="1"/>
  <c r="E265" i="2"/>
  <c r="D265" i="2"/>
  <c r="V265" i="2"/>
  <c r="B57" i="38"/>
  <c r="W263" i="2"/>
  <c r="B264" i="2"/>
  <c r="DF264" i="2"/>
  <c r="CH264" i="2"/>
  <c r="BJ264" i="2"/>
  <c r="AL264" i="2"/>
  <c r="EB264" i="2"/>
  <c r="DD264" i="2"/>
  <c r="CF264" i="2"/>
  <c r="BH264" i="2"/>
  <c r="AJ264" i="2"/>
  <c r="DZ264" i="2"/>
  <c r="DB264" i="2"/>
  <c r="CD264" i="2"/>
  <c r="BF264" i="2"/>
  <c r="AH264" i="2"/>
  <c r="DX264" i="2"/>
  <c r="CZ264" i="2"/>
  <c r="CB264" i="2"/>
  <c r="BD264" i="2"/>
  <c r="DV264" i="2"/>
  <c r="CX264" i="2"/>
  <c r="BZ264" i="2"/>
  <c r="BB264" i="2"/>
  <c r="DT264" i="2"/>
  <c r="CV264" i="2"/>
  <c r="BX264" i="2"/>
  <c r="AZ264" i="2"/>
  <c r="DR264" i="2"/>
  <c r="CT264" i="2"/>
  <c r="BV264" i="2"/>
  <c r="AX264" i="2"/>
  <c r="DP264" i="2"/>
  <c r="CR264" i="2"/>
  <c r="BT264" i="2"/>
  <c r="AV264" i="2"/>
  <c r="DN264" i="2"/>
  <c r="CP264" i="2"/>
  <c r="BR264" i="2"/>
  <c r="AT264" i="2"/>
  <c r="A264" i="2"/>
  <c r="DL264" i="2"/>
  <c r="CN264" i="2"/>
  <c r="BP264" i="2"/>
  <c r="AR264" i="2"/>
  <c r="DJ264" i="2"/>
  <c r="CL264" i="2"/>
  <c r="BN264" i="2"/>
  <c r="AP264" i="2"/>
  <c r="S264" i="2"/>
  <c r="T264" i="2" s="1"/>
  <c r="DH264" i="2"/>
  <c r="CJ264" i="2"/>
  <c r="BL264" i="2"/>
  <c r="AN264" i="2"/>
  <c r="F264" i="2"/>
  <c r="AB264" i="2" s="1"/>
  <c r="I23" i="4"/>
  <c r="B23" i="12"/>
  <c r="E23" i="4"/>
  <c r="K23" i="4"/>
  <c r="H23" i="4"/>
  <c r="E23" i="12"/>
  <c r="F23" i="10"/>
  <c r="J23" i="4"/>
  <c r="O23" i="3"/>
  <c r="C23" i="10"/>
  <c r="B23" i="3"/>
  <c r="B23" i="4"/>
  <c r="G23" i="4"/>
  <c r="E23" i="3"/>
  <c r="D26" i="38" l="1"/>
  <c r="D57" i="38" s="1"/>
  <c r="E23" i="7"/>
  <c r="E23" i="6"/>
  <c r="E23" i="5"/>
  <c r="O23" i="4"/>
  <c r="P23" i="4" s="1"/>
  <c r="AD23" i="11" s="1"/>
  <c r="C23" i="4"/>
  <c r="B23" i="5"/>
  <c r="B23" i="7"/>
  <c r="C23" i="3"/>
  <c r="B23" i="6"/>
  <c r="G28" i="37"/>
  <c r="G58" i="37" s="1"/>
  <c r="G59" i="37" s="1"/>
  <c r="J28" i="37"/>
  <c r="J58" i="37" s="1"/>
  <c r="J59" i="37" s="1"/>
  <c r="F28" i="37"/>
  <c r="F58" i="37" s="1"/>
  <c r="F59" i="37" s="1"/>
  <c r="DN265" i="2"/>
  <c r="CP265" i="2"/>
  <c r="BR265" i="2"/>
  <c r="AT265" i="2"/>
  <c r="A265" i="2"/>
  <c r="DL265" i="2"/>
  <c r="CN265" i="2"/>
  <c r="BP265" i="2"/>
  <c r="AR265" i="2"/>
  <c r="DJ265" i="2"/>
  <c r="CL265" i="2"/>
  <c r="BN265" i="2"/>
  <c r="AP265" i="2"/>
  <c r="S265" i="2"/>
  <c r="T265" i="2" s="1"/>
  <c r="DH265" i="2"/>
  <c r="CJ265" i="2"/>
  <c r="BL265" i="2"/>
  <c r="AN265" i="2"/>
  <c r="DF265" i="2"/>
  <c r="CH265" i="2"/>
  <c r="BJ265" i="2"/>
  <c r="AL265" i="2"/>
  <c r="EB265" i="2"/>
  <c r="DD265" i="2"/>
  <c r="CF265" i="2"/>
  <c r="BH265" i="2"/>
  <c r="AJ265" i="2"/>
  <c r="DZ265" i="2"/>
  <c r="DB265" i="2"/>
  <c r="CD265" i="2"/>
  <c r="BF265" i="2"/>
  <c r="AH265" i="2"/>
  <c r="DX265" i="2"/>
  <c r="CZ265" i="2"/>
  <c r="CB265" i="2"/>
  <c r="BD265" i="2"/>
  <c r="DV265" i="2"/>
  <c r="CX265" i="2"/>
  <c r="BZ265" i="2"/>
  <c r="BB265" i="2"/>
  <c r="DT265" i="2"/>
  <c r="CV265" i="2"/>
  <c r="BX265" i="2"/>
  <c r="AZ265" i="2"/>
  <c r="DR265" i="2"/>
  <c r="CT265" i="2"/>
  <c r="BV265" i="2"/>
  <c r="AX265" i="2"/>
  <c r="DP265" i="2"/>
  <c r="CR265" i="2"/>
  <c r="BT265" i="2"/>
  <c r="AV265" i="2"/>
  <c r="E28" i="37"/>
  <c r="E58" i="37" s="1"/>
  <c r="E59" i="37" s="1"/>
  <c r="AC266" i="2"/>
  <c r="AD266" i="2" s="1"/>
  <c r="E266" i="2"/>
  <c r="D266" i="2"/>
  <c r="V266" i="2"/>
  <c r="C267" i="2"/>
  <c r="G266" i="2"/>
  <c r="D28" i="37"/>
  <c r="D58" i="37" s="1"/>
  <c r="D59" i="37" s="1"/>
  <c r="N27" i="37"/>
  <c r="B28" i="37"/>
  <c r="B58" i="37" s="1"/>
  <c r="C28" i="37"/>
  <c r="C58" i="37" s="1"/>
  <c r="C59" i="37" s="1"/>
  <c r="M28" i="37"/>
  <c r="M58" i="37" s="1"/>
  <c r="M59" i="37" s="1"/>
  <c r="G4" i="38"/>
  <c r="F6" i="38"/>
  <c r="E38" i="38"/>
  <c r="E16" i="38"/>
  <c r="E10" i="38"/>
  <c r="E15" i="38"/>
  <c r="E25" i="38"/>
  <c r="E14" i="38"/>
  <c r="E34" i="38"/>
  <c r="E33" i="38"/>
  <c r="E24" i="38"/>
  <c r="E13" i="38"/>
  <c r="E23" i="38"/>
  <c r="E32" i="38"/>
  <c r="E22" i="38"/>
  <c r="E20" i="38"/>
  <c r="E19" i="38"/>
  <c r="E39" i="38"/>
  <c r="E17" i="38"/>
  <c r="E11" i="38"/>
  <c r="E30" i="38"/>
  <c r="E31" i="38" s="1"/>
  <c r="E18" i="38"/>
  <c r="E21" i="38"/>
  <c r="L28" i="37"/>
  <c r="L58" i="37" s="1"/>
  <c r="L59" i="37" s="1"/>
  <c r="K28" i="37"/>
  <c r="K58" i="37" s="1"/>
  <c r="K59" i="37" s="1"/>
  <c r="E8" i="38"/>
  <c r="W264" i="2"/>
  <c r="B265" i="2"/>
  <c r="I28" i="37"/>
  <c r="I58" i="37" s="1"/>
  <c r="I59" i="37" s="1"/>
  <c r="E9" i="38"/>
  <c r="F265" i="2"/>
  <c r="AB265" i="2" s="1"/>
  <c r="H28" i="37"/>
  <c r="H58" i="37" s="1"/>
  <c r="H59" i="37" s="1"/>
  <c r="H23" i="10"/>
  <c r="J23" i="10" l="1"/>
  <c r="K23" i="10" s="1"/>
  <c r="I23" i="10"/>
  <c r="F15" i="38"/>
  <c r="F25" i="38"/>
  <c r="F14" i="38"/>
  <c r="F34" i="38"/>
  <c r="F33" i="38"/>
  <c r="F24" i="38"/>
  <c r="F13" i="38"/>
  <c r="F23" i="38"/>
  <c r="F32" i="38"/>
  <c r="F22" i="38"/>
  <c r="F20" i="38"/>
  <c r="F19" i="38"/>
  <c r="F30" i="38"/>
  <c r="F31" i="38" s="1"/>
  <c r="F18" i="38"/>
  <c r="F38" i="38"/>
  <c r="F16" i="38"/>
  <c r="F10" i="38"/>
  <c r="F11" i="38"/>
  <c r="F39" i="38"/>
  <c r="F17" i="38"/>
  <c r="F21" i="38"/>
  <c r="W265" i="2"/>
  <c r="B266" i="2"/>
  <c r="F266" i="2"/>
  <c r="AB266" i="2" s="1"/>
  <c r="H4" i="38"/>
  <c r="G6" i="38"/>
  <c r="N28" i="37"/>
  <c r="E26" i="38"/>
  <c r="F8" i="38"/>
  <c r="N58" i="37"/>
  <c r="N59" i="37" s="1"/>
  <c r="F60" i="37" s="1"/>
  <c r="B59" i="37"/>
  <c r="F9" i="38"/>
  <c r="DV266" i="2"/>
  <c r="CX266" i="2"/>
  <c r="BZ266" i="2"/>
  <c r="BB266" i="2"/>
  <c r="DT266" i="2"/>
  <c r="CV266" i="2"/>
  <c r="BX266" i="2"/>
  <c r="AZ266" i="2"/>
  <c r="DR266" i="2"/>
  <c r="CT266" i="2"/>
  <c r="BV266" i="2"/>
  <c r="AX266" i="2"/>
  <c r="DP266" i="2"/>
  <c r="CR266" i="2"/>
  <c r="BT266" i="2"/>
  <c r="AV266" i="2"/>
  <c r="DN266" i="2"/>
  <c r="CP266" i="2"/>
  <c r="BR266" i="2"/>
  <c r="AT266" i="2"/>
  <c r="A266" i="2"/>
  <c r="DL266" i="2"/>
  <c r="CN266" i="2"/>
  <c r="BP266" i="2"/>
  <c r="AR266" i="2"/>
  <c r="DJ266" i="2"/>
  <c r="CL266" i="2"/>
  <c r="BN266" i="2"/>
  <c r="AP266" i="2"/>
  <c r="S266" i="2"/>
  <c r="T266" i="2" s="1"/>
  <c r="DH266" i="2"/>
  <c r="CJ266" i="2"/>
  <c r="BL266" i="2"/>
  <c r="AN266" i="2"/>
  <c r="DF266" i="2"/>
  <c r="CH266" i="2"/>
  <c r="BJ266" i="2"/>
  <c r="AL266" i="2"/>
  <c r="EB266" i="2"/>
  <c r="DD266" i="2"/>
  <c r="CF266" i="2"/>
  <c r="BH266" i="2"/>
  <c r="AJ266" i="2"/>
  <c r="DZ266" i="2"/>
  <c r="DB266" i="2"/>
  <c r="CD266" i="2"/>
  <c r="BF266" i="2"/>
  <c r="AH266" i="2"/>
  <c r="DX266" i="2"/>
  <c r="CZ266" i="2"/>
  <c r="CB266" i="2"/>
  <c r="BD266" i="2"/>
  <c r="G267" i="2"/>
  <c r="AC267" i="2"/>
  <c r="AD267" i="2" s="1"/>
  <c r="E267" i="2"/>
  <c r="D267" i="2"/>
  <c r="V267" i="2"/>
  <c r="C268" i="2"/>
  <c r="D23" i="11"/>
  <c r="V23" i="11" s="1"/>
  <c r="D23" i="5"/>
  <c r="D23" i="6" s="1"/>
  <c r="W23" i="11" l="1"/>
  <c r="L23" i="11"/>
  <c r="Y23" i="11"/>
  <c r="M23" i="11"/>
  <c r="Q23" i="11"/>
  <c r="AC23" i="11"/>
  <c r="F26" i="38"/>
  <c r="F57" i="38" s="1"/>
  <c r="R23" i="11"/>
  <c r="K23" i="11"/>
  <c r="I60" i="37"/>
  <c r="G60" i="37"/>
  <c r="X23" i="11"/>
  <c r="E57" i="38"/>
  <c r="G25" i="38"/>
  <c r="G14" i="38"/>
  <c r="G34" i="38"/>
  <c r="G33" i="38"/>
  <c r="G24" i="38"/>
  <c r="G13" i="38"/>
  <c r="G23" i="38"/>
  <c r="G32" i="38"/>
  <c r="G22" i="38"/>
  <c r="G20" i="38"/>
  <c r="G19" i="38"/>
  <c r="G30" i="38"/>
  <c r="G31" i="38" s="1"/>
  <c r="G18" i="38"/>
  <c r="G39" i="38"/>
  <c r="G17" i="38"/>
  <c r="G11" i="38"/>
  <c r="G15" i="38"/>
  <c r="G10" i="38"/>
  <c r="G38" i="38"/>
  <c r="G16" i="38"/>
  <c r="G21" i="38"/>
  <c r="D23" i="7"/>
  <c r="D23" i="8" s="1"/>
  <c r="D23" i="9" s="1"/>
  <c r="D23" i="10" s="1"/>
  <c r="C23" i="12" s="1"/>
  <c r="R23" i="6"/>
  <c r="C269" i="2"/>
  <c r="G268" i="2"/>
  <c r="AC268" i="2"/>
  <c r="AD268" i="2" s="1"/>
  <c r="E268" i="2"/>
  <c r="D268" i="2"/>
  <c r="V268" i="2"/>
  <c r="G9" i="38"/>
  <c r="W266" i="2"/>
  <c r="B267" i="2"/>
  <c r="I4" i="38"/>
  <c r="H6" i="38"/>
  <c r="H7" i="38" s="1"/>
  <c r="O23" i="11"/>
  <c r="T23" i="11"/>
  <c r="F267" i="2"/>
  <c r="AB267" i="2" s="1"/>
  <c r="Z23" i="11"/>
  <c r="AA23" i="11"/>
  <c r="U23" i="11"/>
  <c r="G8" i="38"/>
  <c r="J23" i="11"/>
  <c r="N23" i="11"/>
  <c r="S23" i="11"/>
  <c r="P23" i="11"/>
  <c r="AB23" i="11"/>
  <c r="DF267" i="2"/>
  <c r="CH267" i="2"/>
  <c r="BJ267" i="2"/>
  <c r="AL267" i="2"/>
  <c r="EB267" i="2"/>
  <c r="DD267" i="2"/>
  <c r="CF267" i="2"/>
  <c r="BH267" i="2"/>
  <c r="AJ267" i="2"/>
  <c r="DZ267" i="2"/>
  <c r="DB267" i="2"/>
  <c r="CD267" i="2"/>
  <c r="BF267" i="2"/>
  <c r="AH267" i="2"/>
  <c r="DX267" i="2"/>
  <c r="CZ267" i="2"/>
  <c r="CB267" i="2"/>
  <c r="BD267" i="2"/>
  <c r="DV267" i="2"/>
  <c r="CX267" i="2"/>
  <c r="BZ267" i="2"/>
  <c r="BB267" i="2"/>
  <c r="DT267" i="2"/>
  <c r="CV267" i="2"/>
  <c r="BX267" i="2"/>
  <c r="AZ267" i="2"/>
  <c r="DR267" i="2"/>
  <c r="CT267" i="2"/>
  <c r="BV267" i="2"/>
  <c r="AX267" i="2"/>
  <c r="DP267" i="2"/>
  <c r="CR267" i="2"/>
  <c r="BT267" i="2"/>
  <c r="AV267" i="2"/>
  <c r="DN267" i="2"/>
  <c r="CP267" i="2"/>
  <c r="BR267" i="2"/>
  <c r="AT267" i="2"/>
  <c r="A267" i="2"/>
  <c r="DL267" i="2"/>
  <c r="CN267" i="2"/>
  <c r="BP267" i="2"/>
  <c r="AR267" i="2"/>
  <c r="DJ267" i="2"/>
  <c r="CL267" i="2"/>
  <c r="BN267" i="2"/>
  <c r="AP267" i="2"/>
  <c r="S267" i="2"/>
  <c r="T267" i="2" s="1"/>
  <c r="DH267" i="2"/>
  <c r="CJ267" i="2"/>
  <c r="BL267" i="2"/>
  <c r="AN267" i="2"/>
  <c r="F268" i="2" l="1"/>
  <c r="AB268" i="2" s="1"/>
  <c r="G26" i="38"/>
  <c r="G57" i="38" s="1"/>
  <c r="H25" i="38"/>
  <c r="H14" i="38"/>
  <c r="H34" i="38"/>
  <c r="H33" i="38"/>
  <c r="H24" i="38"/>
  <c r="H13" i="38"/>
  <c r="H23" i="38"/>
  <c r="H32" i="38"/>
  <c r="H22" i="38"/>
  <c r="H20" i="38"/>
  <c r="H19" i="38"/>
  <c r="H30" i="38"/>
  <c r="H31" i="38" s="1"/>
  <c r="H18" i="38"/>
  <c r="N7" i="38"/>
  <c r="H39" i="38"/>
  <c r="H17" i="38"/>
  <c r="H11" i="38"/>
  <c r="H38" i="38"/>
  <c r="H16" i="38"/>
  <c r="H10" i="38"/>
  <c r="H15" i="38"/>
  <c r="H21" i="38"/>
  <c r="DN268" i="2"/>
  <c r="CP268" i="2"/>
  <c r="BR268" i="2"/>
  <c r="AT268" i="2"/>
  <c r="A268" i="2"/>
  <c r="DL268" i="2"/>
  <c r="CN268" i="2"/>
  <c r="BP268" i="2"/>
  <c r="AR268" i="2"/>
  <c r="DJ268" i="2"/>
  <c r="CL268" i="2"/>
  <c r="BN268" i="2"/>
  <c r="AP268" i="2"/>
  <c r="S268" i="2"/>
  <c r="T268" i="2" s="1"/>
  <c r="DH268" i="2"/>
  <c r="CJ268" i="2"/>
  <c r="BL268" i="2"/>
  <c r="AN268" i="2"/>
  <c r="DF268" i="2"/>
  <c r="CH268" i="2"/>
  <c r="BJ268" i="2"/>
  <c r="AL268" i="2"/>
  <c r="EB268" i="2"/>
  <c r="DD268" i="2"/>
  <c r="CF268" i="2"/>
  <c r="BH268" i="2"/>
  <c r="AJ268" i="2"/>
  <c r="DZ268" i="2"/>
  <c r="DB268" i="2"/>
  <c r="CD268" i="2"/>
  <c r="BF268" i="2"/>
  <c r="AH268" i="2"/>
  <c r="DX268" i="2"/>
  <c r="CZ268" i="2"/>
  <c r="CB268" i="2"/>
  <c r="BD268" i="2"/>
  <c r="DV268" i="2"/>
  <c r="CX268" i="2"/>
  <c r="BZ268" i="2"/>
  <c r="BB268" i="2"/>
  <c r="DT268" i="2"/>
  <c r="CV268" i="2"/>
  <c r="BX268" i="2"/>
  <c r="AZ268" i="2"/>
  <c r="DR268" i="2"/>
  <c r="CT268" i="2"/>
  <c r="BV268" i="2"/>
  <c r="AX268" i="2"/>
  <c r="DP268" i="2"/>
  <c r="CR268" i="2"/>
  <c r="BT268" i="2"/>
  <c r="AV268" i="2"/>
  <c r="H9" i="38"/>
  <c r="AC269" i="2"/>
  <c r="AD269" i="2" s="1"/>
  <c r="E269" i="2"/>
  <c r="D269" i="2"/>
  <c r="V269" i="2"/>
  <c r="C270" i="2"/>
  <c r="G269" i="2"/>
  <c r="G23" i="11"/>
  <c r="H8" i="38"/>
  <c r="J4" i="38"/>
  <c r="I6" i="38"/>
  <c r="W267" i="2"/>
  <c r="B268" i="2"/>
  <c r="G270" i="2" l="1"/>
  <c r="AC270" i="2"/>
  <c r="AD270" i="2" s="1"/>
  <c r="E270" i="2"/>
  <c r="D270" i="2"/>
  <c r="V270" i="2"/>
  <c r="C271" i="2"/>
  <c r="DV269" i="2"/>
  <c r="CX269" i="2"/>
  <c r="BZ269" i="2"/>
  <c r="BB269" i="2"/>
  <c r="DT269" i="2"/>
  <c r="CV269" i="2"/>
  <c r="BX269" i="2"/>
  <c r="AZ269" i="2"/>
  <c r="DR269" i="2"/>
  <c r="CT269" i="2"/>
  <c r="BV269" i="2"/>
  <c r="AX269" i="2"/>
  <c r="DP269" i="2"/>
  <c r="CR269" i="2"/>
  <c r="BT269" i="2"/>
  <c r="AV269" i="2"/>
  <c r="DN269" i="2"/>
  <c r="CP269" i="2"/>
  <c r="BR269" i="2"/>
  <c r="AT269" i="2"/>
  <c r="A269" i="2"/>
  <c r="DL269" i="2"/>
  <c r="CN269" i="2"/>
  <c r="BP269" i="2"/>
  <c r="AR269" i="2"/>
  <c r="DJ269" i="2"/>
  <c r="CL269" i="2"/>
  <c r="BN269" i="2"/>
  <c r="AP269" i="2"/>
  <c r="S269" i="2"/>
  <c r="T269" i="2" s="1"/>
  <c r="DH269" i="2"/>
  <c r="CJ269" i="2"/>
  <c r="BL269" i="2"/>
  <c r="AN269" i="2"/>
  <c r="DF269" i="2"/>
  <c r="CH269" i="2"/>
  <c r="BJ269" i="2"/>
  <c r="AL269" i="2"/>
  <c r="EB269" i="2"/>
  <c r="DD269" i="2"/>
  <c r="CF269" i="2"/>
  <c r="BH269" i="2"/>
  <c r="AJ269" i="2"/>
  <c r="DZ269" i="2"/>
  <c r="DB269" i="2"/>
  <c r="CD269" i="2"/>
  <c r="BF269" i="2"/>
  <c r="AH269" i="2"/>
  <c r="DX269" i="2"/>
  <c r="CZ269" i="2"/>
  <c r="CB269" i="2"/>
  <c r="BD269" i="2"/>
  <c r="W268" i="2"/>
  <c r="B269" i="2"/>
  <c r="H26" i="38"/>
  <c r="F269" i="2"/>
  <c r="AB269" i="2" s="1"/>
  <c r="I34" i="38"/>
  <c r="I33" i="38"/>
  <c r="I24" i="38"/>
  <c r="I13" i="38"/>
  <c r="I23" i="38"/>
  <c r="I32" i="38"/>
  <c r="I22" i="38"/>
  <c r="I20" i="38"/>
  <c r="I19" i="38"/>
  <c r="I30" i="38"/>
  <c r="I31" i="38" s="1"/>
  <c r="I18" i="38"/>
  <c r="I39" i="38"/>
  <c r="I17" i="38"/>
  <c r="I11" i="38"/>
  <c r="I38" i="38"/>
  <c r="I16" i="38"/>
  <c r="I10" i="38"/>
  <c r="I15" i="38"/>
  <c r="I25" i="38"/>
  <c r="I14" i="38"/>
  <c r="I21" i="38"/>
  <c r="I8" i="38"/>
  <c r="I9" i="38"/>
  <c r="H23" i="11"/>
  <c r="C23" i="11"/>
  <c r="E23" i="11" s="1"/>
  <c r="K4" i="38"/>
  <c r="J6" i="38"/>
  <c r="F270" i="2" l="1"/>
  <c r="AB270" i="2" s="1"/>
  <c r="I26" i="38"/>
  <c r="I57" i="38" s="1"/>
  <c r="C272" i="2"/>
  <c r="G271" i="2"/>
  <c r="AC271" i="2"/>
  <c r="AD271" i="2" s="1"/>
  <c r="E271" i="2"/>
  <c r="D271" i="2"/>
  <c r="F271" i="2" s="1"/>
  <c r="AB271" i="2" s="1"/>
  <c r="V271" i="2"/>
  <c r="W269" i="2"/>
  <c r="B270" i="2"/>
  <c r="J33" i="38"/>
  <c r="J24" i="38"/>
  <c r="J13" i="38"/>
  <c r="J23" i="38"/>
  <c r="J32" i="38"/>
  <c r="J22" i="38"/>
  <c r="J20" i="38"/>
  <c r="J19" i="38"/>
  <c r="J30" i="38"/>
  <c r="J31" i="38" s="1"/>
  <c r="J18" i="38"/>
  <c r="J39" i="38"/>
  <c r="J17" i="38"/>
  <c r="J11" i="38"/>
  <c r="J38" i="38"/>
  <c r="J16" i="38"/>
  <c r="J10" i="38"/>
  <c r="J15" i="38"/>
  <c r="J34" i="38"/>
  <c r="J12" i="38"/>
  <c r="J25" i="38"/>
  <c r="J14" i="38"/>
  <c r="J21" i="38"/>
  <c r="J8" i="38"/>
  <c r="J9" i="38"/>
  <c r="L4" i="38"/>
  <c r="K6" i="38"/>
  <c r="H57" i="38"/>
  <c r="DF270" i="2"/>
  <c r="CH270" i="2"/>
  <c r="BJ270" i="2"/>
  <c r="AL270" i="2"/>
  <c r="EB270" i="2"/>
  <c r="DD270" i="2"/>
  <c r="CF270" i="2"/>
  <c r="BH270" i="2"/>
  <c r="AJ270" i="2"/>
  <c r="DZ270" i="2"/>
  <c r="DB270" i="2"/>
  <c r="CD270" i="2"/>
  <c r="BF270" i="2"/>
  <c r="AH270" i="2"/>
  <c r="DX270" i="2"/>
  <c r="CZ270" i="2"/>
  <c r="CB270" i="2"/>
  <c r="BD270" i="2"/>
  <c r="DV270" i="2"/>
  <c r="CX270" i="2"/>
  <c r="BZ270" i="2"/>
  <c r="BB270" i="2"/>
  <c r="DT270" i="2"/>
  <c r="CV270" i="2"/>
  <c r="BX270" i="2"/>
  <c r="AZ270" i="2"/>
  <c r="DR270" i="2"/>
  <c r="CT270" i="2"/>
  <c r="BV270" i="2"/>
  <c r="AX270" i="2"/>
  <c r="DP270" i="2"/>
  <c r="CR270" i="2"/>
  <c r="BT270" i="2"/>
  <c r="AV270" i="2"/>
  <c r="DN270" i="2"/>
  <c r="CP270" i="2"/>
  <c r="BR270" i="2"/>
  <c r="AT270" i="2"/>
  <c r="A270" i="2"/>
  <c r="DL270" i="2"/>
  <c r="CN270" i="2"/>
  <c r="BP270" i="2"/>
  <c r="AR270" i="2"/>
  <c r="DJ270" i="2"/>
  <c r="CL270" i="2"/>
  <c r="BN270" i="2"/>
  <c r="AP270" i="2"/>
  <c r="S270" i="2"/>
  <c r="T270" i="2" s="1"/>
  <c r="DH270" i="2"/>
  <c r="CJ270" i="2"/>
  <c r="BL270" i="2"/>
  <c r="AN270" i="2"/>
  <c r="J26" i="38" l="1"/>
  <c r="J57" i="38" s="1"/>
  <c r="K23" i="38"/>
  <c r="K32" i="38"/>
  <c r="K22" i="38"/>
  <c r="K20" i="38"/>
  <c r="K19" i="38"/>
  <c r="K30" i="38"/>
  <c r="K31" i="38" s="1"/>
  <c r="K18" i="38"/>
  <c r="K39" i="38"/>
  <c r="K17" i="38"/>
  <c r="K11" i="38"/>
  <c r="K38" i="38"/>
  <c r="K16" i="38"/>
  <c r="K10" i="38"/>
  <c r="K15" i="38"/>
  <c r="K25" i="38"/>
  <c r="K14" i="38"/>
  <c r="K33" i="38"/>
  <c r="K24" i="38"/>
  <c r="K13" i="38"/>
  <c r="K34" i="38"/>
  <c r="K12" i="38"/>
  <c r="N12" i="38" s="1"/>
  <c r="K21" i="38"/>
  <c r="K8" i="38"/>
  <c r="W270" i="2"/>
  <c r="B271" i="2"/>
  <c r="DN271" i="2"/>
  <c r="CP271" i="2"/>
  <c r="BR271" i="2"/>
  <c r="AT271" i="2"/>
  <c r="A271" i="2"/>
  <c r="DL271" i="2"/>
  <c r="CN271" i="2"/>
  <c r="BP271" i="2"/>
  <c r="AR271" i="2"/>
  <c r="DJ271" i="2"/>
  <c r="CL271" i="2"/>
  <c r="BN271" i="2"/>
  <c r="AP271" i="2"/>
  <c r="S271" i="2"/>
  <c r="T271" i="2" s="1"/>
  <c r="DH271" i="2"/>
  <c r="CJ271" i="2"/>
  <c r="BL271" i="2"/>
  <c r="AN271" i="2"/>
  <c r="DF271" i="2"/>
  <c r="CH271" i="2"/>
  <c r="BJ271" i="2"/>
  <c r="AL271" i="2"/>
  <c r="EB271" i="2"/>
  <c r="DD271" i="2"/>
  <c r="CF271" i="2"/>
  <c r="BH271" i="2"/>
  <c r="AJ271" i="2"/>
  <c r="DZ271" i="2"/>
  <c r="DB271" i="2"/>
  <c r="CD271" i="2"/>
  <c r="BF271" i="2"/>
  <c r="AH271" i="2"/>
  <c r="DX271" i="2"/>
  <c r="CZ271" i="2"/>
  <c r="CB271" i="2"/>
  <c r="BD271" i="2"/>
  <c r="DV271" i="2"/>
  <c r="CX271" i="2"/>
  <c r="BZ271" i="2"/>
  <c r="BB271" i="2"/>
  <c r="DT271" i="2"/>
  <c r="CV271" i="2"/>
  <c r="BX271" i="2"/>
  <c r="AZ271" i="2"/>
  <c r="DR271" i="2"/>
  <c r="CT271" i="2"/>
  <c r="BV271" i="2"/>
  <c r="AX271" i="2"/>
  <c r="DP271" i="2"/>
  <c r="CR271" i="2"/>
  <c r="BT271" i="2"/>
  <c r="AV271" i="2"/>
  <c r="K9" i="38"/>
  <c r="AC272" i="2"/>
  <c r="AD272" i="2" s="1"/>
  <c r="E272" i="2"/>
  <c r="D272" i="2"/>
  <c r="F272" i="2" s="1"/>
  <c r="AB272" i="2" s="1"/>
  <c r="V272" i="2"/>
  <c r="C273" i="2"/>
  <c r="G272" i="2"/>
  <c r="M4" i="38"/>
  <c r="L6" i="38"/>
  <c r="L8" i="38" s="1"/>
  <c r="I24" i="9"/>
  <c r="H24" i="9"/>
  <c r="K26" i="38" l="1"/>
  <c r="K57" i="38" s="1"/>
  <c r="L9" i="38"/>
  <c r="DV272" i="2"/>
  <c r="CX272" i="2"/>
  <c r="BZ272" i="2"/>
  <c r="BB272" i="2"/>
  <c r="DT272" i="2"/>
  <c r="CV272" i="2"/>
  <c r="BX272" i="2"/>
  <c r="AZ272" i="2"/>
  <c r="DR272" i="2"/>
  <c r="CT272" i="2"/>
  <c r="BV272" i="2"/>
  <c r="AX272" i="2"/>
  <c r="DP272" i="2"/>
  <c r="CR272" i="2"/>
  <c r="BT272" i="2"/>
  <c r="AV272" i="2"/>
  <c r="DN272" i="2"/>
  <c r="CP272" i="2"/>
  <c r="BR272" i="2"/>
  <c r="AT272" i="2"/>
  <c r="A272" i="2"/>
  <c r="DL272" i="2"/>
  <c r="CN272" i="2"/>
  <c r="BP272" i="2"/>
  <c r="AR272" i="2"/>
  <c r="DJ272" i="2"/>
  <c r="CL272" i="2"/>
  <c r="BN272" i="2"/>
  <c r="AP272" i="2"/>
  <c r="S272" i="2"/>
  <c r="T272" i="2" s="1"/>
  <c r="DH272" i="2"/>
  <c r="CJ272" i="2"/>
  <c r="BL272" i="2"/>
  <c r="AN272" i="2"/>
  <c r="DF272" i="2"/>
  <c r="CH272" i="2"/>
  <c r="BJ272" i="2"/>
  <c r="AL272" i="2"/>
  <c r="EB272" i="2"/>
  <c r="DD272" i="2"/>
  <c r="CF272" i="2"/>
  <c r="BH272" i="2"/>
  <c r="AJ272" i="2"/>
  <c r="DZ272" i="2"/>
  <c r="DB272" i="2"/>
  <c r="CD272" i="2"/>
  <c r="BF272" i="2"/>
  <c r="AH272" i="2"/>
  <c r="DX272" i="2"/>
  <c r="CZ272" i="2"/>
  <c r="CB272" i="2"/>
  <c r="BD272" i="2"/>
  <c r="AC273" i="2"/>
  <c r="AD273" i="2" s="1"/>
  <c r="G273" i="2"/>
  <c r="E273" i="2"/>
  <c r="D273" i="2"/>
  <c r="C274" i="2"/>
  <c r="V273" i="2"/>
  <c r="W271" i="2"/>
  <c r="B272" i="2"/>
  <c r="L32" i="38"/>
  <c r="L22" i="38"/>
  <c r="L20" i="38"/>
  <c r="L19" i="38"/>
  <c r="L30" i="38"/>
  <c r="L31" i="38" s="1"/>
  <c r="L18" i="38"/>
  <c r="L39" i="38"/>
  <c r="L17" i="38"/>
  <c r="L11" i="38"/>
  <c r="L38" i="38"/>
  <c r="L16" i="38"/>
  <c r="L10" i="38"/>
  <c r="L15" i="38"/>
  <c r="L25" i="38"/>
  <c r="L14" i="38"/>
  <c r="L34" i="38"/>
  <c r="L23" i="38"/>
  <c r="L24" i="38"/>
  <c r="L33" i="38"/>
  <c r="L13" i="38"/>
  <c r="L21" i="38"/>
  <c r="B4" i="39"/>
  <c r="M6" i="38"/>
  <c r="M8" i="38" s="1"/>
  <c r="N8" i="38" s="1"/>
  <c r="L26" i="38" l="1"/>
  <c r="L57" i="38" s="1"/>
  <c r="M9" i="38"/>
  <c r="N9" i="38" s="1"/>
  <c r="F273" i="2"/>
  <c r="AB273" i="2" s="1"/>
  <c r="DZ273" i="2"/>
  <c r="DB273" i="2"/>
  <c r="CD273" i="2"/>
  <c r="BF273" i="2"/>
  <c r="AH273" i="2"/>
  <c r="DX273" i="2"/>
  <c r="CZ273" i="2"/>
  <c r="CB273" i="2"/>
  <c r="BD273" i="2"/>
  <c r="DV273" i="2"/>
  <c r="CX273" i="2"/>
  <c r="BZ273" i="2"/>
  <c r="BB273" i="2"/>
  <c r="DT273" i="2"/>
  <c r="CV273" i="2"/>
  <c r="BX273" i="2"/>
  <c r="AZ273" i="2"/>
  <c r="DR273" i="2"/>
  <c r="CT273" i="2"/>
  <c r="BV273" i="2"/>
  <c r="AX273" i="2"/>
  <c r="DP273" i="2"/>
  <c r="CR273" i="2"/>
  <c r="BT273" i="2"/>
  <c r="AV273" i="2"/>
  <c r="DN273" i="2"/>
  <c r="CP273" i="2"/>
  <c r="BR273" i="2"/>
  <c r="AT273" i="2"/>
  <c r="DL273" i="2"/>
  <c r="CN273" i="2"/>
  <c r="BP273" i="2"/>
  <c r="AR273" i="2"/>
  <c r="DJ273" i="2"/>
  <c r="CL273" i="2"/>
  <c r="BN273" i="2"/>
  <c r="AP273" i="2"/>
  <c r="A273" i="2"/>
  <c r="DH273" i="2"/>
  <c r="CJ273" i="2"/>
  <c r="BL273" i="2"/>
  <c r="AN273" i="2"/>
  <c r="DF273" i="2"/>
  <c r="CH273" i="2"/>
  <c r="BJ273" i="2"/>
  <c r="AL273" i="2"/>
  <c r="S273" i="2"/>
  <c r="T273" i="2" s="1"/>
  <c r="EB273" i="2"/>
  <c r="DD273" i="2"/>
  <c r="CF273" i="2"/>
  <c r="BH273" i="2"/>
  <c r="AJ273" i="2"/>
  <c r="C4" i="39"/>
  <c r="B6" i="39"/>
  <c r="B7" i="39" s="1"/>
  <c r="W272" i="2"/>
  <c r="B273" i="2"/>
  <c r="M20" i="38"/>
  <c r="N20" i="38" s="1"/>
  <c r="M19" i="38"/>
  <c r="N19" i="38" s="1"/>
  <c r="M30" i="38"/>
  <c r="N30" i="38" s="1"/>
  <c r="M18" i="38"/>
  <c r="N18" i="38" s="1"/>
  <c r="M39" i="38"/>
  <c r="N39" i="38" s="1"/>
  <c r="M17" i="38"/>
  <c r="N17" i="38" s="1"/>
  <c r="M11" i="38"/>
  <c r="N11" i="38" s="1"/>
  <c r="M38" i="38"/>
  <c r="N38" i="38" s="1"/>
  <c r="M16" i="38"/>
  <c r="N16" i="38" s="1"/>
  <c r="M10" i="38"/>
  <c r="N10" i="38" s="1"/>
  <c r="M15" i="38"/>
  <c r="N15" i="38" s="1"/>
  <c r="M25" i="38"/>
  <c r="N25" i="38" s="1"/>
  <c r="M14" i="38"/>
  <c r="N14" i="38" s="1"/>
  <c r="M34" i="38"/>
  <c r="N34" i="38" s="1"/>
  <c r="M33" i="38"/>
  <c r="N33" i="38" s="1"/>
  <c r="M24" i="38"/>
  <c r="N24" i="38" s="1"/>
  <c r="M13" i="38"/>
  <c r="N13" i="38" s="1"/>
  <c r="M32" i="38"/>
  <c r="N32" i="38" s="1"/>
  <c r="M22" i="38"/>
  <c r="N22" i="38" s="1"/>
  <c r="M23" i="38"/>
  <c r="N23" i="38" s="1"/>
  <c r="N6" i="38"/>
  <c r="M21" i="38"/>
  <c r="N21" i="38" s="1"/>
  <c r="G274" i="2"/>
  <c r="AC274" i="2"/>
  <c r="AD274" i="2" s="1"/>
  <c r="E274" i="2"/>
  <c r="D274" i="2"/>
  <c r="V274" i="2"/>
  <c r="C275" i="2"/>
  <c r="O24" i="8"/>
  <c r="J24" i="9"/>
  <c r="K24" i="9"/>
  <c r="L24" i="9"/>
  <c r="F24" i="8"/>
  <c r="F24" i="9"/>
  <c r="L24" i="8"/>
  <c r="G24" i="9"/>
  <c r="N24" i="9"/>
  <c r="M24" i="9"/>
  <c r="I24" i="8"/>
  <c r="Q24" i="8" l="1"/>
  <c r="K24" i="8"/>
  <c r="N24" i="8"/>
  <c r="B8" i="39"/>
  <c r="B9" i="39"/>
  <c r="J24" i="8"/>
  <c r="M24" i="8"/>
  <c r="O24" i="9"/>
  <c r="P24" i="9" s="1"/>
  <c r="R24" i="8"/>
  <c r="S24" i="8" s="1"/>
  <c r="H24" i="8"/>
  <c r="G24" i="8"/>
  <c r="P24" i="8"/>
  <c r="DF274" i="2"/>
  <c r="CH274" i="2"/>
  <c r="BJ274" i="2"/>
  <c r="AN274" i="2"/>
  <c r="EB274" i="2"/>
  <c r="DD274" i="2"/>
  <c r="CF274" i="2"/>
  <c r="BH274" i="2"/>
  <c r="AL274" i="2"/>
  <c r="DZ274" i="2"/>
  <c r="DB274" i="2"/>
  <c r="CD274" i="2"/>
  <c r="BF274" i="2"/>
  <c r="AJ274" i="2"/>
  <c r="DX274" i="2"/>
  <c r="CZ274" i="2"/>
  <c r="CB274" i="2"/>
  <c r="BD274" i="2"/>
  <c r="AH274" i="2"/>
  <c r="DV274" i="2"/>
  <c r="CX274" i="2"/>
  <c r="BZ274" i="2"/>
  <c r="BB274" i="2"/>
  <c r="DT274" i="2"/>
  <c r="CV274" i="2"/>
  <c r="BX274" i="2"/>
  <c r="AZ274" i="2"/>
  <c r="DR274" i="2"/>
  <c r="CT274" i="2"/>
  <c r="BV274" i="2"/>
  <c r="AX274" i="2"/>
  <c r="DP274" i="2"/>
  <c r="CR274" i="2"/>
  <c r="BT274" i="2"/>
  <c r="AV274" i="2"/>
  <c r="DN274" i="2"/>
  <c r="CP274" i="2"/>
  <c r="BR274" i="2"/>
  <c r="AT274" i="2"/>
  <c r="DL274" i="2"/>
  <c r="CN274" i="2"/>
  <c r="BP274" i="2"/>
  <c r="AR274" i="2"/>
  <c r="A274" i="2"/>
  <c r="DJ274" i="2"/>
  <c r="CL274" i="2"/>
  <c r="BN274" i="2"/>
  <c r="AP274" i="2"/>
  <c r="DH274" i="2"/>
  <c r="CJ274" i="2"/>
  <c r="BL274" i="2"/>
  <c r="S274" i="2"/>
  <c r="T274" i="2" s="1"/>
  <c r="M26" i="38"/>
  <c r="M31" i="38"/>
  <c r="N31" i="38" s="1"/>
  <c r="C276" i="2"/>
  <c r="G275" i="2"/>
  <c r="AC275" i="2"/>
  <c r="AD275" i="2" s="1"/>
  <c r="E275" i="2"/>
  <c r="D275" i="2"/>
  <c r="V275" i="2"/>
  <c r="W273" i="2"/>
  <c r="B274" i="2"/>
  <c r="F274" i="2"/>
  <c r="AB274" i="2" s="1"/>
  <c r="B32" i="39"/>
  <c r="B21" i="39"/>
  <c r="B20" i="39"/>
  <c r="B19" i="39"/>
  <c r="B30" i="39"/>
  <c r="B31" i="39" s="1"/>
  <c r="B18" i="39"/>
  <c r="B12" i="39"/>
  <c r="B39" i="39"/>
  <c r="B17" i="39"/>
  <c r="B11" i="39"/>
  <c r="B38" i="39"/>
  <c r="B16" i="39"/>
  <c r="B10" i="39"/>
  <c r="B15" i="39"/>
  <c r="B25" i="39"/>
  <c r="B14" i="39"/>
  <c r="B34" i="39"/>
  <c r="B33" i="39"/>
  <c r="B24" i="39"/>
  <c r="B13" i="39"/>
  <c r="B23" i="39"/>
  <c r="D4" i="39"/>
  <c r="C6" i="39"/>
  <c r="B24" i="8"/>
  <c r="B24" i="9"/>
  <c r="E24" i="9"/>
  <c r="E24" i="8"/>
  <c r="F275" i="2" l="1"/>
  <c r="AB275" i="2" s="1"/>
  <c r="N26" i="38"/>
  <c r="M57" i="38"/>
  <c r="E4" i="39"/>
  <c r="D6" i="39"/>
  <c r="D9" i="39" s="1"/>
  <c r="W274" i="2"/>
  <c r="B275" i="2"/>
  <c r="C20" i="39"/>
  <c r="C19" i="39"/>
  <c r="C30" i="39"/>
  <c r="C18" i="39"/>
  <c r="C12" i="39"/>
  <c r="C39" i="39"/>
  <c r="C17" i="39"/>
  <c r="C11" i="39"/>
  <c r="C38" i="39"/>
  <c r="C16" i="39"/>
  <c r="C10" i="39"/>
  <c r="C15" i="39"/>
  <c r="C25" i="39"/>
  <c r="C14" i="39"/>
  <c r="C34" i="39"/>
  <c r="C33" i="39"/>
  <c r="C24" i="39"/>
  <c r="C13" i="39"/>
  <c r="C23" i="39"/>
  <c r="C22" i="39"/>
  <c r="C32" i="39"/>
  <c r="C21" i="39"/>
  <c r="B26" i="39"/>
  <c r="C8" i="39"/>
  <c r="DN275" i="2"/>
  <c r="CP275" i="2"/>
  <c r="BR275" i="2"/>
  <c r="AT275" i="2"/>
  <c r="A275" i="2"/>
  <c r="DL275" i="2"/>
  <c r="CN275" i="2"/>
  <c r="BP275" i="2"/>
  <c r="AR275" i="2"/>
  <c r="DJ275" i="2"/>
  <c r="CL275" i="2"/>
  <c r="BN275" i="2"/>
  <c r="AP275" i="2"/>
  <c r="S275" i="2"/>
  <c r="T275" i="2" s="1"/>
  <c r="DH275" i="2"/>
  <c r="CJ275" i="2"/>
  <c r="BL275" i="2"/>
  <c r="AN275" i="2"/>
  <c r="DF275" i="2"/>
  <c r="CH275" i="2"/>
  <c r="BJ275" i="2"/>
  <c r="AL275" i="2"/>
  <c r="EB275" i="2"/>
  <c r="DD275" i="2"/>
  <c r="CF275" i="2"/>
  <c r="BH275" i="2"/>
  <c r="AJ275" i="2"/>
  <c r="DZ275" i="2"/>
  <c r="DB275" i="2"/>
  <c r="CD275" i="2"/>
  <c r="BF275" i="2"/>
  <c r="AH275" i="2"/>
  <c r="DX275" i="2"/>
  <c r="CZ275" i="2"/>
  <c r="CB275" i="2"/>
  <c r="BD275" i="2"/>
  <c r="DV275" i="2"/>
  <c r="CX275" i="2"/>
  <c r="BZ275" i="2"/>
  <c r="BB275" i="2"/>
  <c r="DT275" i="2"/>
  <c r="CV275" i="2"/>
  <c r="BX275" i="2"/>
  <c r="AZ275" i="2"/>
  <c r="DR275" i="2"/>
  <c r="CT275" i="2"/>
  <c r="BV275" i="2"/>
  <c r="AX275" i="2"/>
  <c r="DP275" i="2"/>
  <c r="CR275" i="2"/>
  <c r="BT275" i="2"/>
  <c r="AV275" i="2"/>
  <c r="C9" i="39"/>
  <c r="AC276" i="2"/>
  <c r="AD276" i="2" s="1"/>
  <c r="E276" i="2"/>
  <c r="D276" i="2"/>
  <c r="F276" i="2" s="1"/>
  <c r="AB276" i="2" s="1"/>
  <c r="V276" i="2"/>
  <c r="C277" i="2"/>
  <c r="G276" i="2"/>
  <c r="G24" i="10"/>
  <c r="F24" i="12"/>
  <c r="F24" i="3"/>
  <c r="F24" i="4"/>
  <c r="C26" i="39" l="1"/>
  <c r="C57" i="39" s="1"/>
  <c r="D8" i="39"/>
  <c r="G24" i="3"/>
  <c r="H24" i="3"/>
  <c r="H24" i="12"/>
  <c r="G24" i="12"/>
  <c r="C31" i="39"/>
  <c r="G277" i="2"/>
  <c r="AC277" i="2"/>
  <c r="AD277" i="2" s="1"/>
  <c r="E277" i="2"/>
  <c r="D277" i="2"/>
  <c r="V277" i="2"/>
  <c r="C278" i="2"/>
  <c r="DV276" i="2"/>
  <c r="CX276" i="2"/>
  <c r="BZ276" i="2"/>
  <c r="BB276" i="2"/>
  <c r="DT276" i="2"/>
  <c r="CV276" i="2"/>
  <c r="BX276" i="2"/>
  <c r="AZ276" i="2"/>
  <c r="DR276" i="2"/>
  <c r="CT276" i="2"/>
  <c r="BV276" i="2"/>
  <c r="AX276" i="2"/>
  <c r="DP276" i="2"/>
  <c r="CR276" i="2"/>
  <c r="BT276" i="2"/>
  <c r="AV276" i="2"/>
  <c r="DN276" i="2"/>
  <c r="CP276" i="2"/>
  <c r="BR276" i="2"/>
  <c r="AT276" i="2"/>
  <c r="A276" i="2"/>
  <c r="DL276" i="2"/>
  <c r="CN276" i="2"/>
  <c r="BP276" i="2"/>
  <c r="AR276" i="2"/>
  <c r="DJ276" i="2"/>
  <c r="CL276" i="2"/>
  <c r="BN276" i="2"/>
  <c r="AP276" i="2"/>
  <c r="S276" i="2"/>
  <c r="T276" i="2" s="1"/>
  <c r="DH276" i="2"/>
  <c r="CJ276" i="2"/>
  <c r="BL276" i="2"/>
  <c r="AN276" i="2"/>
  <c r="DF276" i="2"/>
  <c r="CH276" i="2"/>
  <c r="BJ276" i="2"/>
  <c r="AL276" i="2"/>
  <c r="EB276" i="2"/>
  <c r="DD276" i="2"/>
  <c r="CF276" i="2"/>
  <c r="BH276" i="2"/>
  <c r="AJ276" i="2"/>
  <c r="DZ276" i="2"/>
  <c r="DB276" i="2"/>
  <c r="CD276" i="2"/>
  <c r="BF276" i="2"/>
  <c r="AH276" i="2"/>
  <c r="DX276" i="2"/>
  <c r="CZ276" i="2"/>
  <c r="CB276" i="2"/>
  <c r="BD276" i="2"/>
  <c r="W275" i="2"/>
  <c r="B276" i="2"/>
  <c r="N57" i="38"/>
  <c r="B57" i="39"/>
  <c r="B60" i="38"/>
  <c r="H60" i="38"/>
  <c r="B27" i="38"/>
  <c r="C27" i="38"/>
  <c r="D27" i="38"/>
  <c r="E27" i="38"/>
  <c r="F27" i="38"/>
  <c r="G27" i="38"/>
  <c r="H27" i="38"/>
  <c r="I27" i="38"/>
  <c r="J27" i="38"/>
  <c r="K27" i="38"/>
  <c r="L27" i="38"/>
  <c r="M27" i="38"/>
  <c r="D19" i="39"/>
  <c r="D30" i="39"/>
  <c r="D31" i="39" s="1"/>
  <c r="D18" i="39"/>
  <c r="D39" i="39"/>
  <c r="D17" i="39"/>
  <c r="D11" i="39"/>
  <c r="D38" i="39"/>
  <c r="D16" i="39"/>
  <c r="D10" i="39"/>
  <c r="D15" i="39"/>
  <c r="D25" i="39"/>
  <c r="D14" i="39"/>
  <c r="D34" i="39"/>
  <c r="D33" i="39"/>
  <c r="D24" i="39"/>
  <c r="D13" i="39"/>
  <c r="D23" i="39"/>
  <c r="D32" i="39"/>
  <c r="D22" i="39"/>
  <c r="D20" i="39"/>
  <c r="D21" i="39"/>
  <c r="F4" i="39"/>
  <c r="E6" i="39"/>
  <c r="E24" i="4"/>
  <c r="B24" i="3"/>
  <c r="K24" i="4"/>
  <c r="C24" i="10"/>
  <c r="J24" i="4"/>
  <c r="B24" i="12"/>
  <c r="I24" i="4"/>
  <c r="E24" i="3"/>
  <c r="H24" i="4"/>
  <c r="G24" i="4"/>
  <c r="B24" i="4"/>
  <c r="E24" i="12"/>
  <c r="O24" i="3"/>
  <c r="F24" i="10"/>
  <c r="D26" i="39" l="1"/>
  <c r="C24" i="3"/>
  <c r="B24" i="6"/>
  <c r="B24" i="5"/>
  <c r="B24" i="7"/>
  <c r="C24" i="4"/>
  <c r="O24" i="4"/>
  <c r="P24" i="4" s="1"/>
  <c r="AE24" i="11" s="1"/>
  <c r="E24" i="5"/>
  <c r="E24" i="7"/>
  <c r="E24" i="6"/>
  <c r="D57" i="39"/>
  <c r="C28" i="38"/>
  <c r="C58" i="38" s="1"/>
  <c r="C59" i="38" s="1"/>
  <c r="N27" i="38"/>
  <c r="B28" i="38"/>
  <c r="B58" i="38" s="1"/>
  <c r="DF277" i="2"/>
  <c r="CH277" i="2"/>
  <c r="BJ277" i="2"/>
  <c r="AL277" i="2"/>
  <c r="EB277" i="2"/>
  <c r="DD277" i="2"/>
  <c r="CF277" i="2"/>
  <c r="BH277" i="2"/>
  <c r="AJ277" i="2"/>
  <c r="DZ277" i="2"/>
  <c r="DB277" i="2"/>
  <c r="CD277" i="2"/>
  <c r="BF277" i="2"/>
  <c r="AH277" i="2"/>
  <c r="DX277" i="2"/>
  <c r="CZ277" i="2"/>
  <c r="CB277" i="2"/>
  <c r="BD277" i="2"/>
  <c r="DV277" i="2"/>
  <c r="CX277" i="2"/>
  <c r="BZ277" i="2"/>
  <c r="BB277" i="2"/>
  <c r="DT277" i="2"/>
  <c r="CV277" i="2"/>
  <c r="BX277" i="2"/>
  <c r="AZ277" i="2"/>
  <c r="DR277" i="2"/>
  <c r="CT277" i="2"/>
  <c r="BV277" i="2"/>
  <c r="AX277" i="2"/>
  <c r="DP277" i="2"/>
  <c r="CR277" i="2"/>
  <c r="BT277" i="2"/>
  <c r="AV277" i="2"/>
  <c r="DN277" i="2"/>
  <c r="CP277" i="2"/>
  <c r="BR277" i="2"/>
  <c r="AT277" i="2"/>
  <c r="A277" i="2"/>
  <c r="DL277" i="2"/>
  <c r="CN277" i="2"/>
  <c r="BP277" i="2"/>
  <c r="AR277" i="2"/>
  <c r="DJ277" i="2"/>
  <c r="CL277" i="2"/>
  <c r="BN277" i="2"/>
  <c r="AP277" i="2"/>
  <c r="S277" i="2"/>
  <c r="T277" i="2" s="1"/>
  <c r="DH277" i="2"/>
  <c r="CJ277" i="2"/>
  <c r="BL277" i="2"/>
  <c r="AN277" i="2"/>
  <c r="M28" i="38"/>
  <c r="M58" i="38" s="1"/>
  <c r="M59" i="38" s="1"/>
  <c r="L28" i="38"/>
  <c r="L58" i="38" s="1"/>
  <c r="L59" i="38" s="1"/>
  <c r="K28" i="38"/>
  <c r="K58" i="38" s="1"/>
  <c r="K59" i="38" s="1"/>
  <c r="E30" i="39"/>
  <c r="E31" i="39" s="1"/>
  <c r="E18" i="39"/>
  <c r="E39" i="39"/>
  <c r="E17" i="39"/>
  <c r="E11" i="39"/>
  <c r="E38" i="39"/>
  <c r="E16" i="39"/>
  <c r="E10" i="39"/>
  <c r="E15" i="39"/>
  <c r="E25" i="39"/>
  <c r="E14" i="39"/>
  <c r="E34" i="39"/>
  <c r="E33" i="39"/>
  <c r="E24" i="39"/>
  <c r="E13" i="39"/>
  <c r="E23" i="39"/>
  <c r="E32" i="39"/>
  <c r="E22" i="39"/>
  <c r="E20" i="39"/>
  <c r="E19" i="39"/>
  <c r="E21" i="39"/>
  <c r="J28" i="38"/>
  <c r="J58" i="38" s="1"/>
  <c r="J59" i="38" s="1"/>
  <c r="G4" i="39"/>
  <c r="F6" i="39"/>
  <c r="I28" i="38"/>
  <c r="I58" i="38" s="1"/>
  <c r="I59" i="38" s="1"/>
  <c r="H28" i="38"/>
  <c r="H58" i="38" s="1"/>
  <c r="H59" i="38" s="1"/>
  <c r="G28" i="38"/>
  <c r="G58" i="38" s="1"/>
  <c r="G59" i="38" s="1"/>
  <c r="C279" i="2"/>
  <c r="G278" i="2"/>
  <c r="AC278" i="2"/>
  <c r="AD278" i="2" s="1"/>
  <c r="E278" i="2"/>
  <c r="D278" i="2"/>
  <c r="V278" i="2"/>
  <c r="E9" i="39"/>
  <c r="F28" i="38"/>
  <c r="F58" i="38" s="1"/>
  <c r="F59" i="38" s="1"/>
  <c r="W276" i="2"/>
  <c r="B277" i="2"/>
  <c r="E8" i="39"/>
  <c r="E28" i="38"/>
  <c r="E58" i="38" s="1"/>
  <c r="E59" i="38" s="1"/>
  <c r="F277" i="2"/>
  <c r="AB277" i="2" s="1"/>
  <c r="D28" i="38"/>
  <c r="D58" i="38" s="1"/>
  <c r="D59" i="38" s="1"/>
  <c r="H24" i="10"/>
  <c r="F278" i="2" l="1"/>
  <c r="AB278" i="2" s="1"/>
  <c r="E26" i="39"/>
  <c r="E57" i="39" s="1"/>
  <c r="I24" i="10"/>
  <c r="J24" i="10"/>
  <c r="K24" i="10" s="1"/>
  <c r="F8" i="39"/>
  <c r="F9" i="39"/>
  <c r="N58" i="38"/>
  <c r="N59" i="38" s="1"/>
  <c r="F60" i="38" s="1"/>
  <c r="B59" i="38"/>
  <c r="W277" i="2"/>
  <c r="B278" i="2"/>
  <c r="N28" i="38"/>
  <c r="F39" i="39"/>
  <c r="F17" i="39"/>
  <c r="F11" i="39"/>
  <c r="F38" i="39"/>
  <c r="F16" i="39"/>
  <c r="F10" i="39"/>
  <c r="F15" i="39"/>
  <c r="F25" i="39"/>
  <c r="F14" i="39"/>
  <c r="F34" i="39"/>
  <c r="F33" i="39"/>
  <c r="F24" i="39"/>
  <c r="F13" i="39"/>
  <c r="F23" i="39"/>
  <c r="F32" i="39"/>
  <c r="F22" i="39"/>
  <c r="F20" i="39"/>
  <c r="F19" i="39"/>
  <c r="F18" i="39"/>
  <c r="F30" i="39"/>
  <c r="F31" i="39" s="1"/>
  <c r="F21" i="39"/>
  <c r="DN278" i="2"/>
  <c r="CP278" i="2"/>
  <c r="BR278" i="2"/>
  <c r="AT278" i="2"/>
  <c r="A278" i="2"/>
  <c r="DL278" i="2"/>
  <c r="CN278" i="2"/>
  <c r="BP278" i="2"/>
  <c r="AR278" i="2"/>
  <c r="DJ278" i="2"/>
  <c r="CL278" i="2"/>
  <c r="BN278" i="2"/>
  <c r="AP278" i="2"/>
  <c r="S278" i="2"/>
  <c r="T278" i="2" s="1"/>
  <c r="DH278" i="2"/>
  <c r="CJ278" i="2"/>
  <c r="BL278" i="2"/>
  <c r="AN278" i="2"/>
  <c r="DF278" i="2"/>
  <c r="CH278" i="2"/>
  <c r="BJ278" i="2"/>
  <c r="AL278" i="2"/>
  <c r="EB278" i="2"/>
  <c r="DD278" i="2"/>
  <c r="CF278" i="2"/>
  <c r="BH278" i="2"/>
  <c r="AJ278" i="2"/>
  <c r="DZ278" i="2"/>
  <c r="DB278" i="2"/>
  <c r="CD278" i="2"/>
  <c r="BF278" i="2"/>
  <c r="AH278" i="2"/>
  <c r="DX278" i="2"/>
  <c r="CZ278" i="2"/>
  <c r="CB278" i="2"/>
  <c r="BD278" i="2"/>
  <c r="DV278" i="2"/>
  <c r="CX278" i="2"/>
  <c r="BZ278" i="2"/>
  <c r="BB278" i="2"/>
  <c r="DT278" i="2"/>
  <c r="CV278" i="2"/>
  <c r="BX278" i="2"/>
  <c r="AZ278" i="2"/>
  <c r="DR278" i="2"/>
  <c r="CT278" i="2"/>
  <c r="BV278" i="2"/>
  <c r="AX278" i="2"/>
  <c r="DP278" i="2"/>
  <c r="CR278" i="2"/>
  <c r="BT278" i="2"/>
  <c r="AV278" i="2"/>
  <c r="AC279" i="2"/>
  <c r="AD279" i="2" s="1"/>
  <c r="E279" i="2"/>
  <c r="D279" i="2"/>
  <c r="F279" i="2" s="1"/>
  <c r="AB279" i="2" s="1"/>
  <c r="V279" i="2"/>
  <c r="C280" i="2"/>
  <c r="G279" i="2"/>
  <c r="H4" i="39"/>
  <c r="G6" i="39"/>
  <c r="G9" i="39" s="1"/>
  <c r="D24" i="11"/>
  <c r="V24" i="11" s="1"/>
  <c r="D24" i="5"/>
  <c r="D24" i="6" s="1"/>
  <c r="S24" i="11" l="1"/>
  <c r="U24" i="11"/>
  <c r="T24" i="11"/>
  <c r="W24" i="11"/>
  <c r="Y24" i="11"/>
  <c r="O24" i="11"/>
  <c r="AA24" i="11"/>
  <c r="M24" i="11"/>
  <c r="N24" i="11"/>
  <c r="P24" i="11"/>
  <c r="Z24" i="11"/>
  <c r="Q24" i="11"/>
  <c r="AC24" i="11"/>
  <c r="F26" i="39"/>
  <c r="F57" i="39" s="1"/>
  <c r="L24" i="11"/>
  <c r="R24" i="11"/>
  <c r="X24" i="11"/>
  <c r="AD24" i="11"/>
  <c r="DV279" i="2"/>
  <c r="CX279" i="2"/>
  <c r="BZ279" i="2"/>
  <c r="BB279" i="2"/>
  <c r="DT279" i="2"/>
  <c r="CV279" i="2"/>
  <c r="BX279" i="2"/>
  <c r="AZ279" i="2"/>
  <c r="DR279" i="2"/>
  <c r="CT279" i="2"/>
  <c r="BV279" i="2"/>
  <c r="AX279" i="2"/>
  <c r="DP279" i="2"/>
  <c r="CR279" i="2"/>
  <c r="BT279" i="2"/>
  <c r="AV279" i="2"/>
  <c r="DN279" i="2"/>
  <c r="CP279" i="2"/>
  <c r="BR279" i="2"/>
  <c r="AT279" i="2"/>
  <c r="A279" i="2"/>
  <c r="DL279" i="2"/>
  <c r="CN279" i="2"/>
  <c r="BP279" i="2"/>
  <c r="AR279" i="2"/>
  <c r="DJ279" i="2"/>
  <c r="CL279" i="2"/>
  <c r="BN279" i="2"/>
  <c r="AP279" i="2"/>
  <c r="S279" i="2"/>
  <c r="T279" i="2" s="1"/>
  <c r="DH279" i="2"/>
  <c r="CJ279" i="2"/>
  <c r="BL279" i="2"/>
  <c r="AN279" i="2"/>
  <c r="DF279" i="2"/>
  <c r="CH279" i="2"/>
  <c r="BJ279" i="2"/>
  <c r="AL279" i="2"/>
  <c r="EB279" i="2"/>
  <c r="DD279" i="2"/>
  <c r="CF279" i="2"/>
  <c r="BH279" i="2"/>
  <c r="AJ279" i="2"/>
  <c r="DZ279" i="2"/>
  <c r="DB279" i="2"/>
  <c r="CD279" i="2"/>
  <c r="BF279" i="2"/>
  <c r="AH279" i="2"/>
  <c r="DX279" i="2"/>
  <c r="CZ279" i="2"/>
  <c r="CB279" i="2"/>
  <c r="BD279" i="2"/>
  <c r="W278" i="2"/>
  <c r="B279" i="2"/>
  <c r="G280" i="2"/>
  <c r="AC280" i="2"/>
  <c r="AD280" i="2" s="1"/>
  <c r="E280" i="2"/>
  <c r="D280" i="2"/>
  <c r="F280" i="2" s="1"/>
  <c r="AB280" i="2" s="1"/>
  <c r="V280" i="2"/>
  <c r="C281" i="2"/>
  <c r="D24" i="7"/>
  <c r="D24" i="8" s="1"/>
  <c r="D24" i="9" s="1"/>
  <c r="D24" i="10" s="1"/>
  <c r="C24" i="12" s="1"/>
  <c r="R24" i="6"/>
  <c r="J24" i="11"/>
  <c r="AB24" i="11"/>
  <c r="K24" i="11"/>
  <c r="G38" i="39"/>
  <c r="G16" i="39"/>
  <c r="G10" i="39"/>
  <c r="G15" i="39"/>
  <c r="G25" i="39"/>
  <c r="G14" i="39"/>
  <c r="G34" i="39"/>
  <c r="G33" i="39"/>
  <c r="G24" i="39"/>
  <c r="G13" i="39"/>
  <c r="G23" i="39"/>
  <c r="G32" i="39"/>
  <c r="G22" i="39"/>
  <c r="G20" i="39"/>
  <c r="G19" i="39"/>
  <c r="G30" i="39"/>
  <c r="G31" i="39" s="1"/>
  <c r="G18" i="39"/>
  <c r="G39" i="39"/>
  <c r="G17" i="39"/>
  <c r="G11" i="39"/>
  <c r="G21" i="39"/>
  <c r="I60" i="38"/>
  <c r="G60" i="38"/>
  <c r="I4" i="39"/>
  <c r="H6" i="39"/>
  <c r="G8" i="39"/>
  <c r="H9" i="39" l="1"/>
  <c r="H7" i="39"/>
  <c r="N7" i="39" s="1"/>
  <c r="G26" i="39"/>
  <c r="G57" i="39" s="1"/>
  <c r="H8" i="39"/>
  <c r="C282" i="2"/>
  <c r="G281" i="2"/>
  <c r="AC281" i="2"/>
  <c r="AD281" i="2" s="1"/>
  <c r="E281" i="2"/>
  <c r="D281" i="2"/>
  <c r="F281" i="2" s="1"/>
  <c r="AB281" i="2" s="1"/>
  <c r="V281" i="2"/>
  <c r="W279" i="2"/>
  <c r="B280" i="2"/>
  <c r="DF280" i="2"/>
  <c r="CH280" i="2"/>
  <c r="BJ280" i="2"/>
  <c r="AL280" i="2"/>
  <c r="EB280" i="2"/>
  <c r="DD280" i="2"/>
  <c r="CF280" i="2"/>
  <c r="BH280" i="2"/>
  <c r="AJ280" i="2"/>
  <c r="DZ280" i="2"/>
  <c r="DB280" i="2"/>
  <c r="CD280" i="2"/>
  <c r="BF280" i="2"/>
  <c r="AH280" i="2"/>
  <c r="DX280" i="2"/>
  <c r="CZ280" i="2"/>
  <c r="CB280" i="2"/>
  <c r="BD280" i="2"/>
  <c r="DV280" i="2"/>
  <c r="CX280" i="2"/>
  <c r="BZ280" i="2"/>
  <c r="BB280" i="2"/>
  <c r="DT280" i="2"/>
  <c r="CV280" i="2"/>
  <c r="BX280" i="2"/>
  <c r="AZ280" i="2"/>
  <c r="DR280" i="2"/>
  <c r="CT280" i="2"/>
  <c r="BV280" i="2"/>
  <c r="AX280" i="2"/>
  <c r="DP280" i="2"/>
  <c r="CR280" i="2"/>
  <c r="BT280" i="2"/>
  <c r="AV280" i="2"/>
  <c r="DN280" i="2"/>
  <c r="CP280" i="2"/>
  <c r="BR280" i="2"/>
  <c r="AT280" i="2"/>
  <c r="A280" i="2"/>
  <c r="DL280" i="2"/>
  <c r="CN280" i="2"/>
  <c r="BP280" i="2"/>
  <c r="AR280" i="2"/>
  <c r="DJ280" i="2"/>
  <c r="CL280" i="2"/>
  <c r="BN280" i="2"/>
  <c r="AP280" i="2"/>
  <c r="S280" i="2"/>
  <c r="T280" i="2" s="1"/>
  <c r="DH280" i="2"/>
  <c r="CJ280" i="2"/>
  <c r="BL280" i="2"/>
  <c r="AN280" i="2"/>
  <c r="H15" i="39"/>
  <c r="H25" i="39"/>
  <c r="H14" i="39"/>
  <c r="H34" i="39"/>
  <c r="H33" i="39"/>
  <c r="H24" i="39"/>
  <c r="H13" i="39"/>
  <c r="H23" i="39"/>
  <c r="H32" i="39"/>
  <c r="H22" i="39"/>
  <c r="H20" i="39"/>
  <c r="H19" i="39"/>
  <c r="H30" i="39"/>
  <c r="H31" i="39" s="1"/>
  <c r="H18" i="39"/>
  <c r="H39" i="39"/>
  <c r="H17" i="39"/>
  <c r="H11" i="39"/>
  <c r="H38" i="39"/>
  <c r="H16" i="39"/>
  <c r="H10" i="39"/>
  <c r="H21" i="39"/>
  <c r="J4" i="39"/>
  <c r="I6" i="39"/>
  <c r="I8" i="39" s="1"/>
  <c r="G24" i="11"/>
  <c r="H26" i="39" l="1"/>
  <c r="H57" i="39" s="1"/>
  <c r="W280" i="2"/>
  <c r="B281" i="2"/>
  <c r="DN281" i="2"/>
  <c r="CP281" i="2"/>
  <c r="BR281" i="2"/>
  <c r="AT281" i="2"/>
  <c r="A281" i="2"/>
  <c r="DL281" i="2"/>
  <c r="CN281" i="2"/>
  <c r="BP281" i="2"/>
  <c r="AR281" i="2"/>
  <c r="DJ281" i="2"/>
  <c r="CL281" i="2"/>
  <c r="BN281" i="2"/>
  <c r="AP281" i="2"/>
  <c r="S281" i="2"/>
  <c r="T281" i="2" s="1"/>
  <c r="DH281" i="2"/>
  <c r="CJ281" i="2"/>
  <c r="BL281" i="2"/>
  <c r="AN281" i="2"/>
  <c r="DF281" i="2"/>
  <c r="CH281" i="2"/>
  <c r="BJ281" i="2"/>
  <c r="AL281" i="2"/>
  <c r="EB281" i="2"/>
  <c r="DD281" i="2"/>
  <c r="CF281" i="2"/>
  <c r="BH281" i="2"/>
  <c r="AJ281" i="2"/>
  <c r="DZ281" i="2"/>
  <c r="DB281" i="2"/>
  <c r="CD281" i="2"/>
  <c r="BF281" i="2"/>
  <c r="AH281" i="2"/>
  <c r="DX281" i="2"/>
  <c r="CZ281" i="2"/>
  <c r="CB281" i="2"/>
  <c r="BD281" i="2"/>
  <c r="DV281" i="2"/>
  <c r="CX281" i="2"/>
  <c r="BZ281" i="2"/>
  <c r="BB281" i="2"/>
  <c r="DT281" i="2"/>
  <c r="CV281" i="2"/>
  <c r="BX281" i="2"/>
  <c r="AZ281" i="2"/>
  <c r="DR281" i="2"/>
  <c r="CT281" i="2"/>
  <c r="BV281" i="2"/>
  <c r="AX281" i="2"/>
  <c r="DP281" i="2"/>
  <c r="CR281" i="2"/>
  <c r="BT281" i="2"/>
  <c r="AV281" i="2"/>
  <c r="AC282" i="2"/>
  <c r="AD282" i="2" s="1"/>
  <c r="E282" i="2"/>
  <c r="D282" i="2"/>
  <c r="V282" i="2"/>
  <c r="C283" i="2"/>
  <c r="G282" i="2"/>
  <c r="H24" i="11"/>
  <c r="C24" i="11"/>
  <c r="E24" i="11" s="1"/>
  <c r="I25" i="39"/>
  <c r="I14" i="39"/>
  <c r="I34" i="39"/>
  <c r="I33" i="39"/>
  <c r="I24" i="39"/>
  <c r="I13" i="39"/>
  <c r="I23" i="39"/>
  <c r="I32" i="39"/>
  <c r="I22" i="39"/>
  <c r="I20" i="39"/>
  <c r="I19" i="39"/>
  <c r="I30" i="39"/>
  <c r="I31" i="39" s="1"/>
  <c r="I18" i="39"/>
  <c r="I39" i="39"/>
  <c r="I17" i="39"/>
  <c r="I11" i="39"/>
  <c r="I38" i="39"/>
  <c r="I16" i="39"/>
  <c r="I10" i="39"/>
  <c r="I15" i="39"/>
  <c r="I21" i="39"/>
  <c r="I9" i="39"/>
  <c r="K4" i="39"/>
  <c r="J6" i="39"/>
  <c r="I26" i="39" l="1"/>
  <c r="I57" i="39" s="1"/>
  <c r="F282" i="2"/>
  <c r="AB282" i="2" s="1"/>
  <c r="J25" i="39"/>
  <c r="J14" i="39"/>
  <c r="J34" i="39"/>
  <c r="J12" i="39"/>
  <c r="J33" i="39"/>
  <c r="J24" i="39"/>
  <c r="J13" i="39"/>
  <c r="J23" i="39"/>
  <c r="J32" i="39"/>
  <c r="J22" i="39"/>
  <c r="J20" i="39"/>
  <c r="J19" i="39"/>
  <c r="J30" i="39"/>
  <c r="J31" i="39" s="1"/>
  <c r="J18" i="39"/>
  <c r="J39" i="39"/>
  <c r="J17" i="39"/>
  <c r="J11" i="39"/>
  <c r="J38" i="39"/>
  <c r="J16" i="39"/>
  <c r="J10" i="39"/>
  <c r="J15" i="39"/>
  <c r="J21" i="39"/>
  <c r="J8" i="39"/>
  <c r="DV282" i="2"/>
  <c r="CX282" i="2"/>
  <c r="BZ282" i="2"/>
  <c r="BB282" i="2"/>
  <c r="DT282" i="2"/>
  <c r="CV282" i="2"/>
  <c r="BX282" i="2"/>
  <c r="AZ282" i="2"/>
  <c r="DR282" i="2"/>
  <c r="CT282" i="2"/>
  <c r="BV282" i="2"/>
  <c r="AX282" i="2"/>
  <c r="DP282" i="2"/>
  <c r="CR282" i="2"/>
  <c r="BT282" i="2"/>
  <c r="AV282" i="2"/>
  <c r="DN282" i="2"/>
  <c r="CP282" i="2"/>
  <c r="BR282" i="2"/>
  <c r="AT282" i="2"/>
  <c r="A282" i="2"/>
  <c r="DL282" i="2"/>
  <c r="CN282" i="2"/>
  <c r="BP282" i="2"/>
  <c r="AR282" i="2"/>
  <c r="DJ282" i="2"/>
  <c r="CL282" i="2"/>
  <c r="BN282" i="2"/>
  <c r="AP282" i="2"/>
  <c r="S282" i="2"/>
  <c r="T282" i="2" s="1"/>
  <c r="DH282" i="2"/>
  <c r="CJ282" i="2"/>
  <c r="BL282" i="2"/>
  <c r="AN282" i="2"/>
  <c r="DF282" i="2"/>
  <c r="CH282" i="2"/>
  <c r="BJ282" i="2"/>
  <c r="AL282" i="2"/>
  <c r="EB282" i="2"/>
  <c r="DD282" i="2"/>
  <c r="CF282" i="2"/>
  <c r="BH282" i="2"/>
  <c r="AJ282" i="2"/>
  <c r="DZ282" i="2"/>
  <c r="DB282" i="2"/>
  <c r="CD282" i="2"/>
  <c r="BF282" i="2"/>
  <c r="AH282" i="2"/>
  <c r="DX282" i="2"/>
  <c r="CZ282" i="2"/>
  <c r="CB282" i="2"/>
  <c r="BD282" i="2"/>
  <c r="J9" i="39"/>
  <c r="L4" i="39"/>
  <c r="K6" i="39"/>
  <c r="G283" i="2"/>
  <c r="AC283" i="2"/>
  <c r="AD283" i="2" s="1"/>
  <c r="E283" i="2"/>
  <c r="D283" i="2"/>
  <c r="V283" i="2"/>
  <c r="C284" i="2"/>
  <c r="W281" i="2"/>
  <c r="B282" i="2"/>
  <c r="J26" i="39" l="1"/>
  <c r="J57" i="39" s="1"/>
  <c r="DF283" i="2"/>
  <c r="CH283" i="2"/>
  <c r="BJ283" i="2"/>
  <c r="AL283" i="2"/>
  <c r="EB283" i="2"/>
  <c r="DD283" i="2"/>
  <c r="CF283" i="2"/>
  <c r="BH283" i="2"/>
  <c r="AJ283" i="2"/>
  <c r="DZ283" i="2"/>
  <c r="DB283" i="2"/>
  <c r="CD283" i="2"/>
  <c r="BF283" i="2"/>
  <c r="AH283" i="2"/>
  <c r="DX283" i="2"/>
  <c r="CZ283" i="2"/>
  <c r="CB283" i="2"/>
  <c r="BD283" i="2"/>
  <c r="DV283" i="2"/>
  <c r="CX283" i="2"/>
  <c r="BZ283" i="2"/>
  <c r="BB283" i="2"/>
  <c r="DT283" i="2"/>
  <c r="CV283" i="2"/>
  <c r="BX283" i="2"/>
  <c r="AZ283" i="2"/>
  <c r="DR283" i="2"/>
  <c r="CT283" i="2"/>
  <c r="BV283" i="2"/>
  <c r="AX283" i="2"/>
  <c r="DP283" i="2"/>
  <c r="CR283" i="2"/>
  <c r="BT283" i="2"/>
  <c r="AV283" i="2"/>
  <c r="DN283" i="2"/>
  <c r="CP283" i="2"/>
  <c r="BR283" i="2"/>
  <c r="AT283" i="2"/>
  <c r="A283" i="2"/>
  <c r="DL283" i="2"/>
  <c r="CN283" i="2"/>
  <c r="BP283" i="2"/>
  <c r="AR283" i="2"/>
  <c r="DJ283" i="2"/>
  <c r="CL283" i="2"/>
  <c r="BN283" i="2"/>
  <c r="AP283" i="2"/>
  <c r="S283" i="2"/>
  <c r="T283" i="2" s="1"/>
  <c r="DH283" i="2"/>
  <c r="CJ283" i="2"/>
  <c r="BL283" i="2"/>
  <c r="AN283" i="2"/>
  <c r="K34" i="39"/>
  <c r="K12" i="39"/>
  <c r="N12" i="39" s="1"/>
  <c r="K33" i="39"/>
  <c r="K24" i="39"/>
  <c r="K13" i="39"/>
  <c r="K23" i="39"/>
  <c r="K32" i="39"/>
  <c r="K22" i="39"/>
  <c r="K20" i="39"/>
  <c r="K19" i="39"/>
  <c r="K30" i="39"/>
  <c r="K31" i="39" s="1"/>
  <c r="K18" i="39"/>
  <c r="K39" i="39"/>
  <c r="K17" i="39"/>
  <c r="K11" i="39"/>
  <c r="K38" i="39"/>
  <c r="K16" i="39"/>
  <c r="K10" i="39"/>
  <c r="K15" i="39"/>
  <c r="K25" i="39"/>
  <c r="K14" i="39"/>
  <c r="K21" i="39"/>
  <c r="K9" i="39"/>
  <c r="K8" i="39"/>
  <c r="M4" i="39"/>
  <c r="L6" i="39"/>
  <c r="W282" i="2"/>
  <c r="B283" i="2"/>
  <c r="C285" i="2"/>
  <c r="G284" i="2"/>
  <c r="AC284" i="2"/>
  <c r="AD284" i="2" s="1"/>
  <c r="E284" i="2"/>
  <c r="D284" i="2"/>
  <c r="F284" i="2" s="1"/>
  <c r="AB284" i="2" s="1"/>
  <c r="V284" i="2"/>
  <c r="F283" i="2"/>
  <c r="AB283" i="2" s="1"/>
  <c r="I25" i="9"/>
  <c r="H25" i="9"/>
  <c r="K26" i="39" l="1"/>
  <c r="K57" i="39" s="1"/>
  <c r="L33" i="39"/>
  <c r="L24" i="39"/>
  <c r="L13" i="39"/>
  <c r="L23" i="39"/>
  <c r="L32" i="39"/>
  <c r="L22" i="39"/>
  <c r="L20" i="39"/>
  <c r="L19" i="39"/>
  <c r="L30" i="39"/>
  <c r="L31" i="39" s="1"/>
  <c r="L18" i="39"/>
  <c r="L39" i="39"/>
  <c r="L17" i="39"/>
  <c r="L11" i="39"/>
  <c r="L38" i="39"/>
  <c r="L16" i="39"/>
  <c r="L10" i="39"/>
  <c r="L15" i="39"/>
  <c r="L25" i="39"/>
  <c r="L14" i="39"/>
  <c r="L34" i="39"/>
  <c r="L21" i="39"/>
  <c r="L8" i="39"/>
  <c r="B4" i="40"/>
  <c r="M6" i="39"/>
  <c r="M9" i="39" s="1"/>
  <c r="W283" i="2"/>
  <c r="B284" i="2"/>
  <c r="L9" i="39"/>
  <c r="DN284" i="2"/>
  <c r="CP284" i="2"/>
  <c r="BR284" i="2"/>
  <c r="AT284" i="2"/>
  <c r="A284" i="2"/>
  <c r="DL284" i="2"/>
  <c r="CN284" i="2"/>
  <c r="BP284" i="2"/>
  <c r="AR284" i="2"/>
  <c r="DJ284" i="2"/>
  <c r="CL284" i="2"/>
  <c r="BN284" i="2"/>
  <c r="AP284" i="2"/>
  <c r="S284" i="2"/>
  <c r="T284" i="2" s="1"/>
  <c r="DH284" i="2"/>
  <c r="CJ284" i="2"/>
  <c r="BL284" i="2"/>
  <c r="AN284" i="2"/>
  <c r="DF284" i="2"/>
  <c r="CH284" i="2"/>
  <c r="BJ284" i="2"/>
  <c r="AL284" i="2"/>
  <c r="EB284" i="2"/>
  <c r="DD284" i="2"/>
  <c r="CF284" i="2"/>
  <c r="BH284" i="2"/>
  <c r="AJ284" i="2"/>
  <c r="DZ284" i="2"/>
  <c r="DB284" i="2"/>
  <c r="CD284" i="2"/>
  <c r="BF284" i="2"/>
  <c r="AH284" i="2"/>
  <c r="DX284" i="2"/>
  <c r="CZ284" i="2"/>
  <c r="CB284" i="2"/>
  <c r="BD284" i="2"/>
  <c r="DV284" i="2"/>
  <c r="CX284" i="2"/>
  <c r="BZ284" i="2"/>
  <c r="BB284" i="2"/>
  <c r="DT284" i="2"/>
  <c r="CV284" i="2"/>
  <c r="BX284" i="2"/>
  <c r="AZ284" i="2"/>
  <c r="DR284" i="2"/>
  <c r="CT284" i="2"/>
  <c r="BV284" i="2"/>
  <c r="AX284" i="2"/>
  <c r="DP284" i="2"/>
  <c r="CR284" i="2"/>
  <c r="BT284" i="2"/>
  <c r="AV284" i="2"/>
  <c r="E285" i="2"/>
  <c r="D285" i="2"/>
  <c r="F285" i="2" s="1"/>
  <c r="AB285" i="2" s="1"/>
  <c r="C286" i="2"/>
  <c r="V285" i="2"/>
  <c r="AC285" i="2"/>
  <c r="AD285" i="2" s="1"/>
  <c r="G285" i="2"/>
  <c r="N9" i="39" l="1"/>
  <c r="L26" i="39"/>
  <c r="L57" i="39" s="1"/>
  <c r="AC286" i="2"/>
  <c r="AD286" i="2" s="1"/>
  <c r="E286" i="2"/>
  <c r="D286" i="2"/>
  <c r="V286" i="2"/>
  <c r="C287" i="2"/>
  <c r="G286" i="2"/>
  <c r="C4" i="40"/>
  <c r="B6" i="40"/>
  <c r="M8" i="39"/>
  <c r="N8" i="39" s="1"/>
  <c r="W284" i="2"/>
  <c r="B285" i="2"/>
  <c r="M23" i="39"/>
  <c r="N23" i="39" s="1"/>
  <c r="M32" i="39"/>
  <c r="N32" i="39" s="1"/>
  <c r="M22" i="39"/>
  <c r="N22" i="39" s="1"/>
  <c r="M20" i="39"/>
  <c r="N20" i="39" s="1"/>
  <c r="M19" i="39"/>
  <c r="N19" i="39" s="1"/>
  <c r="M30" i="39"/>
  <c r="N30" i="39" s="1"/>
  <c r="M18" i="39"/>
  <c r="N18" i="39" s="1"/>
  <c r="M39" i="39"/>
  <c r="N39" i="39" s="1"/>
  <c r="M17" i="39"/>
  <c r="N17" i="39" s="1"/>
  <c r="M11" i="39"/>
  <c r="N11" i="39" s="1"/>
  <c r="M38" i="39"/>
  <c r="N38" i="39" s="1"/>
  <c r="M16" i="39"/>
  <c r="N16" i="39" s="1"/>
  <c r="M10" i="39"/>
  <c r="N10" i="39" s="1"/>
  <c r="M15" i="39"/>
  <c r="N15" i="39" s="1"/>
  <c r="M25" i="39"/>
  <c r="N25" i="39" s="1"/>
  <c r="M14" i="39"/>
  <c r="N14" i="39" s="1"/>
  <c r="M34" i="39"/>
  <c r="N34" i="39" s="1"/>
  <c r="M24" i="39"/>
  <c r="N24" i="39" s="1"/>
  <c r="M13" i="39"/>
  <c r="N13" i="39" s="1"/>
  <c r="M33" i="39"/>
  <c r="N33" i="39" s="1"/>
  <c r="N6" i="39"/>
  <c r="M21" i="39"/>
  <c r="N21" i="39" s="1"/>
  <c r="DR285" i="2"/>
  <c r="CT285" i="2"/>
  <c r="BV285" i="2"/>
  <c r="AX285" i="2"/>
  <c r="DP285" i="2"/>
  <c r="CR285" i="2"/>
  <c r="BT285" i="2"/>
  <c r="AV285" i="2"/>
  <c r="DN285" i="2"/>
  <c r="CP285" i="2"/>
  <c r="BR285" i="2"/>
  <c r="AT285" i="2"/>
  <c r="DL285" i="2"/>
  <c r="CN285" i="2"/>
  <c r="BP285" i="2"/>
  <c r="AR285" i="2"/>
  <c r="DJ285" i="2"/>
  <c r="CL285" i="2"/>
  <c r="BN285" i="2"/>
  <c r="AP285" i="2"/>
  <c r="A285" i="2"/>
  <c r="DH285" i="2"/>
  <c r="CJ285" i="2"/>
  <c r="BL285" i="2"/>
  <c r="AN285" i="2"/>
  <c r="DF285" i="2"/>
  <c r="CH285" i="2"/>
  <c r="BJ285" i="2"/>
  <c r="AL285" i="2"/>
  <c r="S285" i="2"/>
  <c r="T285" i="2" s="1"/>
  <c r="EB285" i="2"/>
  <c r="DD285" i="2"/>
  <c r="CF285" i="2"/>
  <c r="BH285" i="2"/>
  <c r="AJ285" i="2"/>
  <c r="DZ285" i="2"/>
  <c r="DB285" i="2"/>
  <c r="CD285" i="2"/>
  <c r="BF285" i="2"/>
  <c r="AH285" i="2"/>
  <c r="DX285" i="2"/>
  <c r="CZ285" i="2"/>
  <c r="CB285" i="2"/>
  <c r="BD285" i="2"/>
  <c r="DV285" i="2"/>
  <c r="CX285" i="2"/>
  <c r="BZ285" i="2"/>
  <c r="BB285" i="2"/>
  <c r="DT285" i="2"/>
  <c r="CV285" i="2"/>
  <c r="BX285" i="2"/>
  <c r="AZ285" i="2"/>
  <c r="N25" i="9"/>
  <c r="G25" i="9"/>
  <c r="L25" i="8"/>
  <c r="O25" i="8"/>
  <c r="F25" i="8"/>
  <c r="I25" i="8"/>
  <c r="J25" i="9"/>
  <c r="F25" i="9"/>
  <c r="M25" i="9"/>
  <c r="K25" i="9"/>
  <c r="L25" i="9"/>
  <c r="F286" i="2" l="1"/>
  <c r="AB286" i="2" s="1"/>
  <c r="N25" i="8"/>
  <c r="Q25" i="8"/>
  <c r="K25" i="8"/>
  <c r="B9" i="40"/>
  <c r="B7" i="40"/>
  <c r="B8" i="40"/>
  <c r="O25" i="9"/>
  <c r="P25" i="9" s="1"/>
  <c r="H25" i="8"/>
  <c r="G25" i="8"/>
  <c r="R25" i="8"/>
  <c r="S25" i="8" s="1"/>
  <c r="P25" i="8"/>
  <c r="J25" i="8"/>
  <c r="M25" i="8"/>
  <c r="DV286" i="2"/>
  <c r="CX286" i="2"/>
  <c r="BZ286" i="2"/>
  <c r="BB286" i="2"/>
  <c r="DT286" i="2"/>
  <c r="CV286" i="2"/>
  <c r="BX286" i="2"/>
  <c r="AZ286" i="2"/>
  <c r="DR286" i="2"/>
  <c r="CT286" i="2"/>
  <c r="BV286" i="2"/>
  <c r="AX286" i="2"/>
  <c r="DP286" i="2"/>
  <c r="CR286" i="2"/>
  <c r="BT286" i="2"/>
  <c r="AV286" i="2"/>
  <c r="DN286" i="2"/>
  <c r="CP286" i="2"/>
  <c r="BR286" i="2"/>
  <c r="AT286" i="2"/>
  <c r="DL286" i="2"/>
  <c r="CN286" i="2"/>
  <c r="BP286" i="2"/>
  <c r="AR286" i="2"/>
  <c r="A286" i="2"/>
  <c r="DJ286" i="2"/>
  <c r="CL286" i="2"/>
  <c r="BN286" i="2"/>
  <c r="AP286" i="2"/>
  <c r="DH286" i="2"/>
  <c r="CJ286" i="2"/>
  <c r="BL286" i="2"/>
  <c r="S286" i="2"/>
  <c r="T286" i="2" s="1"/>
  <c r="DF286" i="2"/>
  <c r="CH286" i="2"/>
  <c r="BJ286" i="2"/>
  <c r="AN286" i="2"/>
  <c r="EB286" i="2"/>
  <c r="DD286" i="2"/>
  <c r="CF286" i="2"/>
  <c r="BH286" i="2"/>
  <c r="AL286" i="2"/>
  <c r="DZ286" i="2"/>
  <c r="DB286" i="2"/>
  <c r="CD286" i="2"/>
  <c r="BF286" i="2"/>
  <c r="AJ286" i="2"/>
  <c r="DX286" i="2"/>
  <c r="CZ286" i="2"/>
  <c r="CB286" i="2"/>
  <c r="BD286" i="2"/>
  <c r="AH286" i="2"/>
  <c r="G287" i="2"/>
  <c r="AC287" i="2"/>
  <c r="AD287" i="2" s="1"/>
  <c r="E287" i="2"/>
  <c r="D287" i="2"/>
  <c r="F287" i="2" s="1"/>
  <c r="AB287" i="2" s="1"/>
  <c r="V287" i="2"/>
  <c r="C288" i="2"/>
  <c r="W285" i="2"/>
  <c r="B286" i="2"/>
  <c r="M26" i="39"/>
  <c r="B30" i="40"/>
  <c r="B31" i="40" s="1"/>
  <c r="B18" i="40"/>
  <c r="B12" i="40"/>
  <c r="B39" i="40"/>
  <c r="B17" i="40"/>
  <c r="B11" i="40"/>
  <c r="B38" i="40"/>
  <c r="B16" i="40"/>
  <c r="B10" i="40"/>
  <c r="B15" i="40"/>
  <c r="B25" i="40"/>
  <c r="B14" i="40"/>
  <c r="B34" i="40"/>
  <c r="B33" i="40"/>
  <c r="B24" i="40"/>
  <c r="B13" i="40"/>
  <c r="B23" i="40"/>
  <c r="B32" i="40"/>
  <c r="B21" i="40"/>
  <c r="B20" i="40"/>
  <c r="B19" i="40"/>
  <c r="D4" i="40"/>
  <c r="C6" i="40"/>
  <c r="M31" i="39"/>
  <c r="N31" i="39" s="1"/>
  <c r="E25" i="8"/>
  <c r="E25" i="9"/>
  <c r="B25" i="8"/>
  <c r="B25" i="9"/>
  <c r="DF287" i="2" l="1"/>
  <c r="CH287" i="2"/>
  <c r="BJ287" i="2"/>
  <c r="AL287" i="2"/>
  <c r="EB287" i="2"/>
  <c r="DD287" i="2"/>
  <c r="CF287" i="2"/>
  <c r="BH287" i="2"/>
  <c r="AJ287" i="2"/>
  <c r="DZ287" i="2"/>
  <c r="DB287" i="2"/>
  <c r="CD287" i="2"/>
  <c r="BF287" i="2"/>
  <c r="AH287" i="2"/>
  <c r="DX287" i="2"/>
  <c r="CZ287" i="2"/>
  <c r="CB287" i="2"/>
  <c r="BD287" i="2"/>
  <c r="DV287" i="2"/>
  <c r="CX287" i="2"/>
  <c r="BZ287" i="2"/>
  <c r="BB287" i="2"/>
  <c r="DT287" i="2"/>
  <c r="CV287" i="2"/>
  <c r="BX287" i="2"/>
  <c r="AZ287" i="2"/>
  <c r="DR287" i="2"/>
  <c r="CT287" i="2"/>
  <c r="BV287" i="2"/>
  <c r="AX287" i="2"/>
  <c r="DP287" i="2"/>
  <c r="CR287" i="2"/>
  <c r="BT287" i="2"/>
  <c r="AV287" i="2"/>
  <c r="DN287" i="2"/>
  <c r="CP287" i="2"/>
  <c r="BR287" i="2"/>
  <c r="AT287" i="2"/>
  <c r="A287" i="2"/>
  <c r="DL287" i="2"/>
  <c r="CN287" i="2"/>
  <c r="BP287" i="2"/>
  <c r="AR287" i="2"/>
  <c r="DJ287" i="2"/>
  <c r="CL287" i="2"/>
  <c r="BN287" i="2"/>
  <c r="AP287" i="2"/>
  <c r="S287" i="2"/>
  <c r="T287" i="2" s="1"/>
  <c r="DH287" i="2"/>
  <c r="CJ287" i="2"/>
  <c r="BL287" i="2"/>
  <c r="AN287" i="2"/>
  <c r="N26" i="39"/>
  <c r="M57" i="39"/>
  <c r="B26" i="40"/>
  <c r="W286" i="2"/>
  <c r="B287" i="2"/>
  <c r="E4" i="40"/>
  <c r="D6" i="40"/>
  <c r="D8" i="40" s="1"/>
  <c r="C289" i="2"/>
  <c r="G288" i="2"/>
  <c r="AC288" i="2"/>
  <c r="AD288" i="2" s="1"/>
  <c r="E288" i="2"/>
  <c r="D288" i="2"/>
  <c r="V288" i="2"/>
  <c r="C39" i="40"/>
  <c r="C17" i="40"/>
  <c r="C11" i="40"/>
  <c r="C38" i="40"/>
  <c r="C16" i="40"/>
  <c r="C10" i="40"/>
  <c r="C15" i="40"/>
  <c r="C25" i="40"/>
  <c r="C14" i="40"/>
  <c r="C34" i="40"/>
  <c r="C33" i="40"/>
  <c r="C24" i="40"/>
  <c r="C13" i="40"/>
  <c r="C23" i="40"/>
  <c r="C32" i="40"/>
  <c r="C22" i="40"/>
  <c r="C21" i="40"/>
  <c r="C20" i="40"/>
  <c r="C19" i="40"/>
  <c r="C12" i="40"/>
  <c r="C30" i="40"/>
  <c r="C18" i="40"/>
  <c r="C8" i="40"/>
  <c r="C9" i="40"/>
  <c r="F25" i="4"/>
  <c r="G25" i="10"/>
  <c r="F25" i="12"/>
  <c r="F25" i="3"/>
  <c r="H25" i="12" l="1"/>
  <c r="G25" i="12"/>
  <c r="G25" i="3"/>
  <c r="H25" i="3"/>
  <c r="B57" i="40"/>
  <c r="DN288" i="2"/>
  <c r="CP288" i="2"/>
  <c r="BR288" i="2"/>
  <c r="AT288" i="2"/>
  <c r="A288" i="2"/>
  <c r="DL288" i="2"/>
  <c r="CN288" i="2"/>
  <c r="BP288" i="2"/>
  <c r="AR288" i="2"/>
  <c r="DJ288" i="2"/>
  <c r="CL288" i="2"/>
  <c r="BN288" i="2"/>
  <c r="AP288" i="2"/>
  <c r="S288" i="2"/>
  <c r="T288" i="2" s="1"/>
  <c r="DH288" i="2"/>
  <c r="CJ288" i="2"/>
  <c r="BL288" i="2"/>
  <c r="AN288" i="2"/>
  <c r="DF288" i="2"/>
  <c r="CH288" i="2"/>
  <c r="BJ288" i="2"/>
  <c r="AL288" i="2"/>
  <c r="EB288" i="2"/>
  <c r="DD288" i="2"/>
  <c r="CF288" i="2"/>
  <c r="BH288" i="2"/>
  <c r="AJ288" i="2"/>
  <c r="DZ288" i="2"/>
  <c r="DB288" i="2"/>
  <c r="CD288" i="2"/>
  <c r="BF288" i="2"/>
  <c r="AH288" i="2"/>
  <c r="DX288" i="2"/>
  <c r="CZ288" i="2"/>
  <c r="CB288" i="2"/>
  <c r="BD288" i="2"/>
  <c r="DV288" i="2"/>
  <c r="CX288" i="2"/>
  <c r="BZ288" i="2"/>
  <c r="BB288" i="2"/>
  <c r="DT288" i="2"/>
  <c r="CV288" i="2"/>
  <c r="BX288" i="2"/>
  <c r="AZ288" i="2"/>
  <c r="DR288" i="2"/>
  <c r="CT288" i="2"/>
  <c r="BV288" i="2"/>
  <c r="AX288" i="2"/>
  <c r="DP288" i="2"/>
  <c r="CR288" i="2"/>
  <c r="BT288" i="2"/>
  <c r="AV288" i="2"/>
  <c r="AC289" i="2"/>
  <c r="AD289" i="2" s="1"/>
  <c r="E289" i="2"/>
  <c r="D289" i="2"/>
  <c r="V289" i="2"/>
  <c r="C290" i="2"/>
  <c r="G289" i="2"/>
  <c r="N57" i="39"/>
  <c r="H60" i="39"/>
  <c r="B60" i="39"/>
  <c r="B27" i="39"/>
  <c r="C27" i="39"/>
  <c r="D27" i="39"/>
  <c r="E27" i="39"/>
  <c r="F27" i="39"/>
  <c r="G27" i="39"/>
  <c r="H27" i="39"/>
  <c r="I27" i="39"/>
  <c r="J27" i="39"/>
  <c r="K27" i="39"/>
  <c r="L27" i="39"/>
  <c r="M27" i="39"/>
  <c r="F4" i="40"/>
  <c r="E6" i="40"/>
  <c r="E9" i="40" s="1"/>
  <c r="D38" i="40"/>
  <c r="D16" i="40"/>
  <c r="D10" i="40"/>
  <c r="D15" i="40"/>
  <c r="D25" i="40"/>
  <c r="D14" i="40"/>
  <c r="D34" i="40"/>
  <c r="D33" i="40"/>
  <c r="D24" i="40"/>
  <c r="D13" i="40"/>
  <c r="D23" i="40"/>
  <c r="D32" i="40"/>
  <c r="D22" i="40"/>
  <c r="D20" i="40"/>
  <c r="D19" i="40"/>
  <c r="D30" i="40"/>
  <c r="D18" i="40"/>
  <c r="D11" i="40"/>
  <c r="D39" i="40"/>
  <c r="D17" i="40"/>
  <c r="D21" i="40"/>
  <c r="C31" i="40"/>
  <c r="D9" i="40"/>
  <c r="W287" i="2"/>
  <c r="B288" i="2"/>
  <c r="C26" i="40"/>
  <c r="F288" i="2"/>
  <c r="AB288" i="2" s="1"/>
  <c r="C25" i="10"/>
  <c r="G25" i="4"/>
  <c r="B25" i="4"/>
  <c r="J25" i="4"/>
  <c r="E25" i="4"/>
  <c r="K25" i="4"/>
  <c r="H25" i="4"/>
  <c r="F25" i="10"/>
  <c r="E25" i="3"/>
  <c r="O25" i="3"/>
  <c r="E25" i="12"/>
  <c r="I25" i="4"/>
  <c r="B25" i="12"/>
  <c r="B25" i="3"/>
  <c r="D26" i="40" l="1"/>
  <c r="C25" i="4"/>
  <c r="B25" i="5"/>
  <c r="B25" i="7"/>
  <c r="C25" i="3"/>
  <c r="B25" i="6"/>
  <c r="E25" i="7"/>
  <c r="E25" i="6"/>
  <c r="E25" i="5"/>
  <c r="O25" i="4"/>
  <c r="P25" i="4" s="1"/>
  <c r="AF25" i="11" s="1"/>
  <c r="D57" i="40"/>
  <c r="J28" i="39"/>
  <c r="J58" i="39" s="1"/>
  <c r="J59" i="39" s="1"/>
  <c r="H28" i="39"/>
  <c r="H58" i="39" s="1"/>
  <c r="H59" i="39" s="1"/>
  <c r="E15" i="40"/>
  <c r="E25" i="40"/>
  <c r="E14" i="40"/>
  <c r="E34" i="40"/>
  <c r="E33" i="40"/>
  <c r="E24" i="40"/>
  <c r="E13" i="40"/>
  <c r="E23" i="40"/>
  <c r="E32" i="40"/>
  <c r="E22" i="40"/>
  <c r="E20" i="40"/>
  <c r="E19" i="40"/>
  <c r="E30" i="40"/>
  <c r="E31" i="40" s="1"/>
  <c r="E18" i="40"/>
  <c r="E39" i="40"/>
  <c r="E17" i="40"/>
  <c r="E11" i="40"/>
  <c r="E10" i="40"/>
  <c r="E16" i="40"/>
  <c r="E38" i="40"/>
  <c r="E21" i="40"/>
  <c r="G28" i="39"/>
  <c r="G58" i="39" s="1"/>
  <c r="G59" i="39" s="1"/>
  <c r="C57" i="40"/>
  <c r="D31" i="40"/>
  <c r="F28" i="39"/>
  <c r="F58" i="39" s="1"/>
  <c r="F59" i="39" s="1"/>
  <c r="G4" i="40"/>
  <c r="F6" i="40"/>
  <c r="F8" i="40" s="1"/>
  <c r="E28" i="39"/>
  <c r="E58" i="39" s="1"/>
  <c r="E59" i="39" s="1"/>
  <c r="DV289" i="2"/>
  <c r="CX289" i="2"/>
  <c r="BZ289" i="2"/>
  <c r="BB289" i="2"/>
  <c r="DT289" i="2"/>
  <c r="CV289" i="2"/>
  <c r="BX289" i="2"/>
  <c r="AZ289" i="2"/>
  <c r="DR289" i="2"/>
  <c r="CT289" i="2"/>
  <c r="BV289" i="2"/>
  <c r="AX289" i="2"/>
  <c r="DP289" i="2"/>
  <c r="CR289" i="2"/>
  <c r="BT289" i="2"/>
  <c r="AV289" i="2"/>
  <c r="DN289" i="2"/>
  <c r="CP289" i="2"/>
  <c r="BR289" i="2"/>
  <c r="AT289" i="2"/>
  <c r="A289" i="2"/>
  <c r="DL289" i="2"/>
  <c r="CN289" i="2"/>
  <c r="BP289" i="2"/>
  <c r="AR289" i="2"/>
  <c r="DJ289" i="2"/>
  <c r="CL289" i="2"/>
  <c r="BN289" i="2"/>
  <c r="AP289" i="2"/>
  <c r="S289" i="2"/>
  <c r="T289" i="2" s="1"/>
  <c r="DH289" i="2"/>
  <c r="CJ289" i="2"/>
  <c r="BL289" i="2"/>
  <c r="AN289" i="2"/>
  <c r="DF289" i="2"/>
  <c r="CH289" i="2"/>
  <c r="BJ289" i="2"/>
  <c r="AL289" i="2"/>
  <c r="EB289" i="2"/>
  <c r="DD289" i="2"/>
  <c r="CF289" i="2"/>
  <c r="BH289" i="2"/>
  <c r="AJ289" i="2"/>
  <c r="DZ289" i="2"/>
  <c r="DB289" i="2"/>
  <c r="CD289" i="2"/>
  <c r="BF289" i="2"/>
  <c r="AH289" i="2"/>
  <c r="DX289" i="2"/>
  <c r="CZ289" i="2"/>
  <c r="CB289" i="2"/>
  <c r="BD289" i="2"/>
  <c r="D28" i="39"/>
  <c r="D58" i="39" s="1"/>
  <c r="D59" i="39" s="1"/>
  <c r="G290" i="2"/>
  <c r="AC290" i="2"/>
  <c r="AD290" i="2" s="1"/>
  <c r="E290" i="2"/>
  <c r="D290" i="2"/>
  <c r="F290" i="2" s="1"/>
  <c r="AB290" i="2" s="1"/>
  <c r="V290" i="2"/>
  <c r="C291" i="2"/>
  <c r="E8" i="40"/>
  <c r="C28" i="39"/>
  <c r="C58" i="39" s="1"/>
  <c r="C59" i="39" s="1"/>
  <c r="W288" i="2"/>
  <c r="B289" i="2"/>
  <c r="I28" i="39"/>
  <c r="I58" i="39" s="1"/>
  <c r="I59" i="39" s="1"/>
  <c r="N27" i="39"/>
  <c r="B28" i="39"/>
  <c r="B58" i="39" s="1"/>
  <c r="F289" i="2"/>
  <c r="AB289" i="2" s="1"/>
  <c r="L28" i="39"/>
  <c r="L58" i="39" s="1"/>
  <c r="L59" i="39" s="1"/>
  <c r="M28" i="39"/>
  <c r="M58" i="39" s="1"/>
  <c r="M59" i="39" s="1"/>
  <c r="K28" i="39"/>
  <c r="H25" i="10"/>
  <c r="J25" i="10" l="1"/>
  <c r="K25" i="10" s="1"/>
  <c r="I25" i="10"/>
  <c r="H4" i="40"/>
  <c r="G6" i="40"/>
  <c r="G9" i="40" s="1"/>
  <c r="B59" i="39"/>
  <c r="N28" i="39"/>
  <c r="C292" i="2"/>
  <c r="G291" i="2"/>
  <c r="AC291" i="2"/>
  <c r="AD291" i="2" s="1"/>
  <c r="E291" i="2"/>
  <c r="D291" i="2"/>
  <c r="V291" i="2"/>
  <c r="W289" i="2"/>
  <c r="B290" i="2"/>
  <c r="E26" i="40"/>
  <c r="K58" i="39"/>
  <c r="K59" i="39" s="1"/>
  <c r="D25" i="11"/>
  <c r="K25" i="11" s="1"/>
  <c r="D25" i="5"/>
  <c r="D25" i="6" s="1"/>
  <c r="DF290" i="2"/>
  <c r="CH290" i="2"/>
  <c r="BJ290" i="2"/>
  <c r="AL290" i="2"/>
  <c r="EB290" i="2"/>
  <c r="DD290" i="2"/>
  <c r="CF290" i="2"/>
  <c r="BH290" i="2"/>
  <c r="AJ290" i="2"/>
  <c r="DZ290" i="2"/>
  <c r="DB290" i="2"/>
  <c r="CD290" i="2"/>
  <c r="BF290" i="2"/>
  <c r="AH290" i="2"/>
  <c r="DX290" i="2"/>
  <c r="CZ290" i="2"/>
  <c r="CB290" i="2"/>
  <c r="BD290" i="2"/>
  <c r="DV290" i="2"/>
  <c r="CX290" i="2"/>
  <c r="BZ290" i="2"/>
  <c r="BB290" i="2"/>
  <c r="DT290" i="2"/>
  <c r="CV290" i="2"/>
  <c r="BX290" i="2"/>
  <c r="AZ290" i="2"/>
  <c r="DR290" i="2"/>
  <c r="CT290" i="2"/>
  <c r="BV290" i="2"/>
  <c r="AX290" i="2"/>
  <c r="DP290" i="2"/>
  <c r="CR290" i="2"/>
  <c r="BT290" i="2"/>
  <c r="AV290" i="2"/>
  <c r="DN290" i="2"/>
  <c r="CP290" i="2"/>
  <c r="BR290" i="2"/>
  <c r="AT290" i="2"/>
  <c r="A290" i="2"/>
  <c r="DL290" i="2"/>
  <c r="CN290" i="2"/>
  <c r="BP290" i="2"/>
  <c r="AR290" i="2"/>
  <c r="DJ290" i="2"/>
  <c r="CL290" i="2"/>
  <c r="BN290" i="2"/>
  <c r="AP290" i="2"/>
  <c r="S290" i="2"/>
  <c r="T290" i="2" s="1"/>
  <c r="DH290" i="2"/>
  <c r="CJ290" i="2"/>
  <c r="BL290" i="2"/>
  <c r="AN290" i="2"/>
  <c r="F25" i="40"/>
  <c r="F14" i="40"/>
  <c r="F34" i="40"/>
  <c r="F33" i="40"/>
  <c r="F24" i="40"/>
  <c r="F13" i="40"/>
  <c r="F23" i="40"/>
  <c r="F32" i="40"/>
  <c r="F22" i="40"/>
  <c r="F20" i="40"/>
  <c r="F19" i="40"/>
  <c r="F30" i="40"/>
  <c r="F31" i="40" s="1"/>
  <c r="F18" i="40"/>
  <c r="F39" i="40"/>
  <c r="F17" i="40"/>
  <c r="F11" i="40"/>
  <c r="F38" i="40"/>
  <c r="F16" i="40"/>
  <c r="F10" i="40"/>
  <c r="F15" i="40"/>
  <c r="F21" i="40"/>
  <c r="F9" i="40"/>
  <c r="W25" i="11" l="1"/>
  <c r="V25" i="11"/>
  <c r="X25" i="11"/>
  <c r="AB25" i="11"/>
  <c r="Q25" i="11"/>
  <c r="F26" i="40"/>
  <c r="F57" i="40" s="1"/>
  <c r="L25" i="11"/>
  <c r="AC25" i="11"/>
  <c r="I4" i="40"/>
  <c r="H6" i="40"/>
  <c r="H7" i="40" s="1"/>
  <c r="DN291" i="2"/>
  <c r="CP291" i="2"/>
  <c r="BR291" i="2"/>
  <c r="AT291" i="2"/>
  <c r="A291" i="2"/>
  <c r="DL291" i="2"/>
  <c r="CN291" i="2"/>
  <c r="BP291" i="2"/>
  <c r="AR291" i="2"/>
  <c r="DJ291" i="2"/>
  <c r="CL291" i="2"/>
  <c r="BN291" i="2"/>
  <c r="AP291" i="2"/>
  <c r="S291" i="2"/>
  <c r="T291" i="2" s="1"/>
  <c r="DH291" i="2"/>
  <c r="CJ291" i="2"/>
  <c r="BL291" i="2"/>
  <c r="AN291" i="2"/>
  <c r="DF291" i="2"/>
  <c r="CH291" i="2"/>
  <c r="BJ291" i="2"/>
  <c r="AL291" i="2"/>
  <c r="EB291" i="2"/>
  <c r="DD291" i="2"/>
  <c r="CF291" i="2"/>
  <c r="BH291" i="2"/>
  <c r="AJ291" i="2"/>
  <c r="DZ291" i="2"/>
  <c r="DB291" i="2"/>
  <c r="CD291" i="2"/>
  <c r="BF291" i="2"/>
  <c r="AH291" i="2"/>
  <c r="DX291" i="2"/>
  <c r="CZ291" i="2"/>
  <c r="CB291" i="2"/>
  <c r="BD291" i="2"/>
  <c r="DV291" i="2"/>
  <c r="CX291" i="2"/>
  <c r="BZ291" i="2"/>
  <c r="BB291" i="2"/>
  <c r="DT291" i="2"/>
  <c r="CV291" i="2"/>
  <c r="BX291" i="2"/>
  <c r="AZ291" i="2"/>
  <c r="DR291" i="2"/>
  <c r="CT291" i="2"/>
  <c r="BV291" i="2"/>
  <c r="AX291" i="2"/>
  <c r="DP291" i="2"/>
  <c r="CR291" i="2"/>
  <c r="BT291" i="2"/>
  <c r="AV291" i="2"/>
  <c r="S25" i="11"/>
  <c r="M25" i="11"/>
  <c r="R25" i="11"/>
  <c r="AC292" i="2"/>
  <c r="AD292" i="2" s="1"/>
  <c r="E292" i="2"/>
  <c r="D292" i="2"/>
  <c r="F292" i="2" s="1"/>
  <c r="AB292" i="2" s="1"/>
  <c r="V292" i="2"/>
  <c r="C293" i="2"/>
  <c r="G292" i="2"/>
  <c r="AE25" i="11"/>
  <c r="Y25" i="11"/>
  <c r="AD25" i="11"/>
  <c r="D25" i="7"/>
  <c r="D25" i="8" s="1"/>
  <c r="D25" i="9" s="1"/>
  <c r="D25" i="10" s="1"/>
  <c r="C25" i="12" s="1"/>
  <c r="R25" i="6"/>
  <c r="N25" i="11"/>
  <c r="Z25" i="11"/>
  <c r="T25" i="11"/>
  <c r="O25" i="11"/>
  <c r="E57" i="40"/>
  <c r="U25" i="11"/>
  <c r="AA25" i="11"/>
  <c r="N58" i="39"/>
  <c r="N59" i="39" s="1"/>
  <c r="F60" i="39" s="1"/>
  <c r="J25" i="11"/>
  <c r="P25" i="11"/>
  <c r="W290" i="2"/>
  <c r="B291" i="2"/>
  <c r="G25" i="40"/>
  <c r="G14" i="40"/>
  <c r="G34" i="40"/>
  <c r="G33" i="40"/>
  <c r="G24" i="40"/>
  <c r="G13" i="40"/>
  <c r="G23" i="40"/>
  <c r="G32" i="40"/>
  <c r="G22" i="40"/>
  <c r="G20" i="40"/>
  <c r="G19" i="40"/>
  <c r="G30" i="40"/>
  <c r="G31" i="40" s="1"/>
  <c r="G18" i="40"/>
  <c r="G39" i="40"/>
  <c r="G17" i="40"/>
  <c r="G11" i="40"/>
  <c r="G38" i="40"/>
  <c r="G16" i="40"/>
  <c r="G10" i="40"/>
  <c r="G15" i="40"/>
  <c r="G21" i="40"/>
  <c r="F291" i="2"/>
  <c r="AB291" i="2" s="1"/>
  <c r="G8" i="40"/>
  <c r="G25" i="11" l="1"/>
  <c r="C25" i="11" s="1"/>
  <c r="E25" i="11" s="1"/>
  <c r="G26" i="40"/>
  <c r="G57" i="40" s="1"/>
  <c r="H34" i="40"/>
  <c r="H33" i="40"/>
  <c r="H24" i="40"/>
  <c r="H13" i="40"/>
  <c r="H23" i="40"/>
  <c r="H32" i="40"/>
  <c r="H22" i="40"/>
  <c r="H20" i="40"/>
  <c r="H19" i="40"/>
  <c r="H30" i="40"/>
  <c r="H31" i="40" s="1"/>
  <c r="H18" i="40"/>
  <c r="N7" i="40"/>
  <c r="H39" i="40"/>
  <c r="H17" i="40"/>
  <c r="H11" i="40"/>
  <c r="H38" i="40"/>
  <c r="H16" i="40"/>
  <c r="H10" i="40"/>
  <c r="H15" i="40"/>
  <c r="H25" i="40"/>
  <c r="H14" i="40"/>
  <c r="H21" i="40"/>
  <c r="H8" i="40"/>
  <c r="H9" i="40"/>
  <c r="J4" i="40"/>
  <c r="I6" i="40"/>
  <c r="W291" i="2"/>
  <c r="B292" i="2"/>
  <c r="DV292" i="2"/>
  <c r="CX292" i="2"/>
  <c r="BZ292" i="2"/>
  <c r="BB292" i="2"/>
  <c r="DT292" i="2"/>
  <c r="CV292" i="2"/>
  <c r="BX292" i="2"/>
  <c r="AZ292" i="2"/>
  <c r="DR292" i="2"/>
  <c r="CT292" i="2"/>
  <c r="BV292" i="2"/>
  <c r="AX292" i="2"/>
  <c r="DP292" i="2"/>
  <c r="CR292" i="2"/>
  <c r="BT292" i="2"/>
  <c r="AV292" i="2"/>
  <c r="DN292" i="2"/>
  <c r="CP292" i="2"/>
  <c r="BR292" i="2"/>
  <c r="AT292" i="2"/>
  <c r="A292" i="2"/>
  <c r="DL292" i="2"/>
  <c r="CN292" i="2"/>
  <c r="BP292" i="2"/>
  <c r="AR292" i="2"/>
  <c r="DJ292" i="2"/>
  <c r="CL292" i="2"/>
  <c r="BN292" i="2"/>
  <c r="AP292" i="2"/>
  <c r="S292" i="2"/>
  <c r="T292" i="2" s="1"/>
  <c r="DH292" i="2"/>
  <c r="CJ292" i="2"/>
  <c r="BL292" i="2"/>
  <c r="AN292" i="2"/>
  <c r="DF292" i="2"/>
  <c r="CH292" i="2"/>
  <c r="BJ292" i="2"/>
  <c r="AL292" i="2"/>
  <c r="EB292" i="2"/>
  <c r="DD292" i="2"/>
  <c r="CF292" i="2"/>
  <c r="BH292" i="2"/>
  <c r="AJ292" i="2"/>
  <c r="DZ292" i="2"/>
  <c r="DB292" i="2"/>
  <c r="CD292" i="2"/>
  <c r="BF292" i="2"/>
  <c r="AH292" i="2"/>
  <c r="DX292" i="2"/>
  <c r="CZ292" i="2"/>
  <c r="CB292" i="2"/>
  <c r="BD292" i="2"/>
  <c r="G60" i="39"/>
  <c r="I60" i="39"/>
  <c r="G293" i="2"/>
  <c r="AC293" i="2"/>
  <c r="AD293" i="2" s="1"/>
  <c r="E293" i="2"/>
  <c r="D293" i="2"/>
  <c r="V293" i="2"/>
  <c r="C294" i="2"/>
  <c r="H25" i="11" l="1"/>
  <c r="C295" i="2"/>
  <c r="G294" i="2"/>
  <c r="AC294" i="2"/>
  <c r="AD294" i="2" s="1"/>
  <c r="E294" i="2"/>
  <c r="D294" i="2"/>
  <c r="F294" i="2" s="1"/>
  <c r="AB294" i="2" s="1"/>
  <c r="V294" i="2"/>
  <c r="F293" i="2"/>
  <c r="AB293" i="2" s="1"/>
  <c r="H26" i="40"/>
  <c r="I33" i="40"/>
  <c r="I24" i="40"/>
  <c r="I13" i="40"/>
  <c r="I23" i="40"/>
  <c r="I32" i="40"/>
  <c r="I22" i="40"/>
  <c r="I20" i="40"/>
  <c r="I19" i="40"/>
  <c r="I30" i="40"/>
  <c r="I31" i="40" s="1"/>
  <c r="I18" i="40"/>
  <c r="I39" i="40"/>
  <c r="I17" i="40"/>
  <c r="I11" i="40"/>
  <c r="I38" i="40"/>
  <c r="I16" i="40"/>
  <c r="I10" i="40"/>
  <c r="I15" i="40"/>
  <c r="I25" i="40"/>
  <c r="I14" i="40"/>
  <c r="I34" i="40"/>
  <c r="I21" i="40"/>
  <c r="W292" i="2"/>
  <c r="B293" i="2"/>
  <c r="I8" i="40"/>
  <c r="I9" i="40"/>
  <c r="DF293" i="2"/>
  <c r="CH293" i="2"/>
  <c r="BJ293" i="2"/>
  <c r="AL293" i="2"/>
  <c r="EB293" i="2"/>
  <c r="DD293" i="2"/>
  <c r="CF293" i="2"/>
  <c r="BH293" i="2"/>
  <c r="AJ293" i="2"/>
  <c r="DZ293" i="2"/>
  <c r="DB293" i="2"/>
  <c r="CD293" i="2"/>
  <c r="BF293" i="2"/>
  <c r="AH293" i="2"/>
  <c r="DX293" i="2"/>
  <c r="CZ293" i="2"/>
  <c r="CB293" i="2"/>
  <c r="BD293" i="2"/>
  <c r="DV293" i="2"/>
  <c r="CX293" i="2"/>
  <c r="BZ293" i="2"/>
  <c r="BB293" i="2"/>
  <c r="DT293" i="2"/>
  <c r="CV293" i="2"/>
  <c r="BX293" i="2"/>
  <c r="AZ293" i="2"/>
  <c r="DR293" i="2"/>
  <c r="CT293" i="2"/>
  <c r="BV293" i="2"/>
  <c r="AX293" i="2"/>
  <c r="DP293" i="2"/>
  <c r="CR293" i="2"/>
  <c r="BT293" i="2"/>
  <c r="AV293" i="2"/>
  <c r="DN293" i="2"/>
  <c r="CP293" i="2"/>
  <c r="BR293" i="2"/>
  <c r="AT293" i="2"/>
  <c r="A293" i="2"/>
  <c r="DL293" i="2"/>
  <c r="CN293" i="2"/>
  <c r="BP293" i="2"/>
  <c r="AR293" i="2"/>
  <c r="DJ293" i="2"/>
  <c r="CL293" i="2"/>
  <c r="BN293" i="2"/>
  <c r="AP293" i="2"/>
  <c r="S293" i="2"/>
  <c r="T293" i="2" s="1"/>
  <c r="DH293" i="2"/>
  <c r="CJ293" i="2"/>
  <c r="BL293" i="2"/>
  <c r="AN293" i="2"/>
  <c r="K4" i="40"/>
  <c r="J6" i="40"/>
  <c r="J9" i="40" s="1"/>
  <c r="I26" i="40" l="1"/>
  <c r="I57" i="40" s="1"/>
  <c r="H57" i="40"/>
  <c r="W293" i="2"/>
  <c r="B294" i="2"/>
  <c r="L4" i="40"/>
  <c r="K6" i="40"/>
  <c r="K9" i="40" s="1"/>
  <c r="J23" i="40"/>
  <c r="J32" i="40"/>
  <c r="J22" i="40"/>
  <c r="J20" i="40"/>
  <c r="J19" i="40"/>
  <c r="J30" i="40"/>
  <c r="J31" i="40" s="1"/>
  <c r="J18" i="40"/>
  <c r="J39" i="40"/>
  <c r="J17" i="40"/>
  <c r="J11" i="40"/>
  <c r="J38" i="40"/>
  <c r="J16" i="40"/>
  <c r="J10" i="40"/>
  <c r="J15" i="40"/>
  <c r="J25" i="40"/>
  <c r="J14" i="40"/>
  <c r="J34" i="40"/>
  <c r="J12" i="40"/>
  <c r="J24" i="40"/>
  <c r="J13" i="40"/>
  <c r="J33" i="40"/>
  <c r="J21" i="40"/>
  <c r="DN294" i="2"/>
  <c r="CP294" i="2"/>
  <c r="BR294" i="2"/>
  <c r="AT294" i="2"/>
  <c r="A294" i="2"/>
  <c r="DL294" i="2"/>
  <c r="CN294" i="2"/>
  <c r="BP294" i="2"/>
  <c r="AR294" i="2"/>
  <c r="DJ294" i="2"/>
  <c r="CL294" i="2"/>
  <c r="BN294" i="2"/>
  <c r="AP294" i="2"/>
  <c r="S294" i="2"/>
  <c r="T294" i="2" s="1"/>
  <c r="DH294" i="2"/>
  <c r="CJ294" i="2"/>
  <c r="BL294" i="2"/>
  <c r="AN294" i="2"/>
  <c r="DF294" i="2"/>
  <c r="CH294" i="2"/>
  <c r="BJ294" i="2"/>
  <c r="AL294" i="2"/>
  <c r="EB294" i="2"/>
  <c r="DD294" i="2"/>
  <c r="CF294" i="2"/>
  <c r="BH294" i="2"/>
  <c r="AJ294" i="2"/>
  <c r="DZ294" i="2"/>
  <c r="DB294" i="2"/>
  <c r="CD294" i="2"/>
  <c r="BF294" i="2"/>
  <c r="AH294" i="2"/>
  <c r="DX294" i="2"/>
  <c r="CZ294" i="2"/>
  <c r="CB294" i="2"/>
  <c r="BD294" i="2"/>
  <c r="DV294" i="2"/>
  <c r="CX294" i="2"/>
  <c r="BZ294" i="2"/>
  <c r="BB294" i="2"/>
  <c r="DT294" i="2"/>
  <c r="CV294" i="2"/>
  <c r="BX294" i="2"/>
  <c r="AZ294" i="2"/>
  <c r="DR294" i="2"/>
  <c r="CT294" i="2"/>
  <c r="BV294" i="2"/>
  <c r="AX294" i="2"/>
  <c r="DP294" i="2"/>
  <c r="CR294" i="2"/>
  <c r="BT294" i="2"/>
  <c r="AV294" i="2"/>
  <c r="J8" i="40"/>
  <c r="AC295" i="2"/>
  <c r="AD295" i="2" s="1"/>
  <c r="E295" i="2"/>
  <c r="D295" i="2"/>
  <c r="F295" i="2" s="1"/>
  <c r="AB295" i="2" s="1"/>
  <c r="V295" i="2"/>
  <c r="C296" i="2"/>
  <c r="G295" i="2"/>
  <c r="K8" i="40" l="1"/>
  <c r="J26" i="40"/>
  <c r="J57" i="40" s="1"/>
  <c r="G296" i="2"/>
  <c r="AC296" i="2"/>
  <c r="AD296" i="2" s="1"/>
  <c r="E296" i="2"/>
  <c r="D296" i="2"/>
  <c r="F296" i="2" s="1"/>
  <c r="AB296" i="2" s="1"/>
  <c r="V296" i="2"/>
  <c r="C297" i="2"/>
  <c r="W294" i="2"/>
  <c r="B295" i="2"/>
  <c r="DV295" i="2"/>
  <c r="CX295" i="2"/>
  <c r="BZ295" i="2"/>
  <c r="BB295" i="2"/>
  <c r="DT295" i="2"/>
  <c r="CV295" i="2"/>
  <c r="BX295" i="2"/>
  <c r="AZ295" i="2"/>
  <c r="DR295" i="2"/>
  <c r="CT295" i="2"/>
  <c r="BV295" i="2"/>
  <c r="AX295" i="2"/>
  <c r="DP295" i="2"/>
  <c r="CR295" i="2"/>
  <c r="BT295" i="2"/>
  <c r="AV295" i="2"/>
  <c r="DN295" i="2"/>
  <c r="CP295" i="2"/>
  <c r="BR295" i="2"/>
  <c r="AT295" i="2"/>
  <c r="A295" i="2"/>
  <c r="DL295" i="2"/>
  <c r="CN295" i="2"/>
  <c r="BP295" i="2"/>
  <c r="AR295" i="2"/>
  <c r="DJ295" i="2"/>
  <c r="CL295" i="2"/>
  <c r="BN295" i="2"/>
  <c r="AP295" i="2"/>
  <c r="S295" i="2"/>
  <c r="T295" i="2" s="1"/>
  <c r="DH295" i="2"/>
  <c r="CJ295" i="2"/>
  <c r="BL295" i="2"/>
  <c r="AN295" i="2"/>
  <c r="DF295" i="2"/>
  <c r="CH295" i="2"/>
  <c r="BJ295" i="2"/>
  <c r="AL295" i="2"/>
  <c r="EB295" i="2"/>
  <c r="DD295" i="2"/>
  <c r="CF295" i="2"/>
  <c r="BH295" i="2"/>
  <c r="AJ295" i="2"/>
  <c r="DZ295" i="2"/>
  <c r="DB295" i="2"/>
  <c r="CD295" i="2"/>
  <c r="BF295" i="2"/>
  <c r="AH295" i="2"/>
  <c r="DX295" i="2"/>
  <c r="CZ295" i="2"/>
  <c r="CB295" i="2"/>
  <c r="BD295" i="2"/>
  <c r="K32" i="40"/>
  <c r="K22" i="40"/>
  <c r="K20" i="40"/>
  <c r="K19" i="40"/>
  <c r="K30" i="40"/>
  <c r="K31" i="40" s="1"/>
  <c r="K18" i="40"/>
  <c r="K39" i="40"/>
  <c r="K17" i="40"/>
  <c r="K11" i="40"/>
  <c r="K38" i="40"/>
  <c r="K16" i="40"/>
  <c r="K10" i="40"/>
  <c r="K15" i="40"/>
  <c r="K25" i="40"/>
  <c r="K14" i="40"/>
  <c r="K34" i="40"/>
  <c r="K12" i="40"/>
  <c r="N12" i="40" s="1"/>
  <c r="K33" i="40"/>
  <c r="K24" i="40"/>
  <c r="K13" i="40"/>
  <c r="K23" i="40"/>
  <c r="K21" i="40"/>
  <c r="M4" i="40"/>
  <c r="L6" i="40"/>
  <c r="I26" i="9"/>
  <c r="H26" i="9"/>
  <c r="K26" i="40" l="1"/>
  <c r="K57" i="40" s="1"/>
  <c r="AC297" i="2"/>
  <c r="AD297" i="2" s="1"/>
  <c r="G297" i="2"/>
  <c r="E297" i="2"/>
  <c r="D297" i="2"/>
  <c r="C298" i="2"/>
  <c r="V297" i="2"/>
  <c r="W295" i="2"/>
  <c r="B296" i="2"/>
  <c r="DF296" i="2"/>
  <c r="CH296" i="2"/>
  <c r="BJ296" i="2"/>
  <c r="AL296" i="2"/>
  <c r="EB296" i="2"/>
  <c r="DD296" i="2"/>
  <c r="CF296" i="2"/>
  <c r="BH296" i="2"/>
  <c r="AJ296" i="2"/>
  <c r="DZ296" i="2"/>
  <c r="DB296" i="2"/>
  <c r="CD296" i="2"/>
  <c r="BF296" i="2"/>
  <c r="AH296" i="2"/>
  <c r="DX296" i="2"/>
  <c r="CZ296" i="2"/>
  <c r="CB296" i="2"/>
  <c r="BD296" i="2"/>
  <c r="DV296" i="2"/>
  <c r="CX296" i="2"/>
  <c r="BZ296" i="2"/>
  <c r="BB296" i="2"/>
  <c r="DT296" i="2"/>
  <c r="CV296" i="2"/>
  <c r="BX296" i="2"/>
  <c r="AZ296" i="2"/>
  <c r="DR296" i="2"/>
  <c r="CT296" i="2"/>
  <c r="BV296" i="2"/>
  <c r="AX296" i="2"/>
  <c r="DP296" i="2"/>
  <c r="CR296" i="2"/>
  <c r="BT296" i="2"/>
  <c r="AV296" i="2"/>
  <c r="DN296" i="2"/>
  <c r="CP296" i="2"/>
  <c r="BR296" i="2"/>
  <c r="AT296" i="2"/>
  <c r="A296" i="2"/>
  <c r="DL296" i="2"/>
  <c r="CN296" i="2"/>
  <c r="BP296" i="2"/>
  <c r="AR296" i="2"/>
  <c r="DJ296" i="2"/>
  <c r="CL296" i="2"/>
  <c r="BN296" i="2"/>
  <c r="AP296" i="2"/>
  <c r="S296" i="2"/>
  <c r="T296" i="2" s="1"/>
  <c r="DH296" i="2"/>
  <c r="CJ296" i="2"/>
  <c r="BL296" i="2"/>
  <c r="AN296" i="2"/>
  <c r="L20" i="40"/>
  <c r="L19" i="40"/>
  <c r="L30" i="40"/>
  <c r="L31" i="40" s="1"/>
  <c r="L18" i="40"/>
  <c r="L39" i="40"/>
  <c r="L17" i="40"/>
  <c r="L11" i="40"/>
  <c r="L38" i="40"/>
  <c r="L16" i="40"/>
  <c r="L10" i="40"/>
  <c r="L15" i="40"/>
  <c r="L25" i="40"/>
  <c r="L14" i="40"/>
  <c r="L34" i="40"/>
  <c r="L33" i="40"/>
  <c r="L24" i="40"/>
  <c r="L13" i="40"/>
  <c r="L23" i="40"/>
  <c r="L22" i="40"/>
  <c r="L32" i="40"/>
  <c r="L21" i="40"/>
  <c r="B4" i="41"/>
  <c r="M6" i="40"/>
  <c r="L8" i="40"/>
  <c r="L9" i="40"/>
  <c r="F297" i="2" l="1"/>
  <c r="AB297" i="2" s="1"/>
  <c r="L26" i="40"/>
  <c r="L57" i="40" s="1"/>
  <c r="M19" i="40"/>
  <c r="N19" i="40" s="1"/>
  <c r="M30" i="40"/>
  <c r="N30" i="40" s="1"/>
  <c r="M18" i="40"/>
  <c r="N18" i="40" s="1"/>
  <c r="M39" i="40"/>
  <c r="N39" i="40" s="1"/>
  <c r="M17" i="40"/>
  <c r="N17" i="40" s="1"/>
  <c r="M11" i="40"/>
  <c r="N11" i="40" s="1"/>
  <c r="M38" i="40"/>
  <c r="N38" i="40" s="1"/>
  <c r="M16" i="40"/>
  <c r="N16" i="40" s="1"/>
  <c r="M10" i="40"/>
  <c r="N10" i="40" s="1"/>
  <c r="M15" i="40"/>
  <c r="N15" i="40" s="1"/>
  <c r="M25" i="40"/>
  <c r="N25" i="40" s="1"/>
  <c r="M14" i="40"/>
  <c r="N14" i="40" s="1"/>
  <c r="M34" i="40"/>
  <c r="N34" i="40" s="1"/>
  <c r="M33" i="40"/>
  <c r="N33" i="40" s="1"/>
  <c r="M24" i="40"/>
  <c r="N24" i="40" s="1"/>
  <c r="M13" i="40"/>
  <c r="N13" i="40" s="1"/>
  <c r="M23" i="40"/>
  <c r="N23" i="40" s="1"/>
  <c r="M32" i="40"/>
  <c r="N32" i="40" s="1"/>
  <c r="M22" i="40"/>
  <c r="N22" i="40" s="1"/>
  <c r="M20" i="40"/>
  <c r="N20" i="40" s="1"/>
  <c r="N6" i="40"/>
  <c r="M21" i="40"/>
  <c r="N21" i="40" s="1"/>
  <c r="W296" i="2"/>
  <c r="B297" i="2"/>
  <c r="V298" i="2"/>
  <c r="C299" i="2"/>
  <c r="G298" i="2"/>
  <c r="AC298" i="2"/>
  <c r="AD298" i="2" s="1"/>
  <c r="E298" i="2"/>
  <c r="D298" i="2"/>
  <c r="M8" i="40"/>
  <c r="N8" i="40" s="1"/>
  <c r="DJ297" i="2"/>
  <c r="CL297" i="2"/>
  <c r="BN297" i="2"/>
  <c r="AP297" i="2"/>
  <c r="A297" i="2"/>
  <c r="DH297" i="2"/>
  <c r="CJ297" i="2"/>
  <c r="BL297" i="2"/>
  <c r="AN297" i="2"/>
  <c r="DF297" i="2"/>
  <c r="CH297" i="2"/>
  <c r="BJ297" i="2"/>
  <c r="AL297" i="2"/>
  <c r="S297" i="2"/>
  <c r="T297" i="2" s="1"/>
  <c r="EB297" i="2"/>
  <c r="DD297" i="2"/>
  <c r="CF297" i="2"/>
  <c r="BH297" i="2"/>
  <c r="AJ297" i="2"/>
  <c r="DZ297" i="2"/>
  <c r="DB297" i="2"/>
  <c r="CD297" i="2"/>
  <c r="BF297" i="2"/>
  <c r="AH297" i="2"/>
  <c r="DX297" i="2"/>
  <c r="CZ297" i="2"/>
  <c r="CB297" i="2"/>
  <c r="BD297" i="2"/>
  <c r="DV297" i="2"/>
  <c r="CX297" i="2"/>
  <c r="BZ297" i="2"/>
  <c r="BB297" i="2"/>
  <c r="DT297" i="2"/>
  <c r="CV297" i="2"/>
  <c r="BX297" i="2"/>
  <c r="AZ297" i="2"/>
  <c r="DR297" i="2"/>
  <c r="CT297" i="2"/>
  <c r="BV297" i="2"/>
  <c r="AX297" i="2"/>
  <c r="DP297" i="2"/>
  <c r="CR297" i="2"/>
  <c r="BT297" i="2"/>
  <c r="AV297" i="2"/>
  <c r="DN297" i="2"/>
  <c r="CP297" i="2"/>
  <c r="BR297" i="2"/>
  <c r="AT297" i="2"/>
  <c r="DL297" i="2"/>
  <c r="CN297" i="2"/>
  <c r="BP297" i="2"/>
  <c r="AR297" i="2"/>
  <c r="C4" i="41"/>
  <c r="B6" i="41"/>
  <c r="M9" i="40"/>
  <c r="N9" i="40" s="1"/>
  <c r="K26" i="9"/>
  <c r="N26" i="9"/>
  <c r="L26" i="9"/>
  <c r="I26" i="8"/>
  <c r="F26" i="8"/>
  <c r="O26" i="8"/>
  <c r="M26" i="9"/>
  <c r="L26" i="8"/>
  <c r="F26" i="9"/>
  <c r="J26" i="9"/>
  <c r="G26" i="9"/>
  <c r="K26" i="8" l="1"/>
  <c r="Q26" i="8"/>
  <c r="N26" i="8"/>
  <c r="B9" i="41"/>
  <c r="B7" i="41"/>
  <c r="R26" i="8"/>
  <c r="S26" i="8" s="1"/>
  <c r="H26" i="8"/>
  <c r="G26" i="8"/>
  <c r="P26" i="8"/>
  <c r="M26" i="8"/>
  <c r="J26" i="8"/>
  <c r="O26" i="9"/>
  <c r="P26" i="9" s="1"/>
  <c r="AC299" i="2"/>
  <c r="AD299" i="2" s="1"/>
  <c r="E299" i="2"/>
  <c r="D299" i="2"/>
  <c r="F299" i="2" s="1"/>
  <c r="AB299" i="2" s="1"/>
  <c r="V299" i="2"/>
  <c r="C300" i="2"/>
  <c r="G299" i="2"/>
  <c r="W297" i="2"/>
  <c r="B298" i="2"/>
  <c r="B8" i="41"/>
  <c r="M26" i="40"/>
  <c r="F298" i="2"/>
  <c r="AB298" i="2" s="1"/>
  <c r="M31" i="40"/>
  <c r="N31" i="40" s="1"/>
  <c r="B38" i="41"/>
  <c r="B34" i="41"/>
  <c r="B15" i="41"/>
  <c r="B25" i="41"/>
  <c r="B14" i="41"/>
  <c r="B24" i="41"/>
  <c r="B13" i="41"/>
  <c r="B23" i="41"/>
  <c r="B32" i="41"/>
  <c r="B21" i="41"/>
  <c r="B39" i="41"/>
  <c r="B33" i="41"/>
  <c r="B20" i="41"/>
  <c r="B19" i="41"/>
  <c r="B30" i="41"/>
  <c r="B18" i="41"/>
  <c r="B12" i="41"/>
  <c r="B17" i="41"/>
  <c r="B11" i="41"/>
  <c r="B10" i="41"/>
  <c r="B16" i="41"/>
  <c r="D4" i="41"/>
  <c r="C6" i="41"/>
  <c r="DN298" i="2"/>
  <c r="CP298" i="2"/>
  <c r="BR298" i="2"/>
  <c r="AT298" i="2"/>
  <c r="DL298" i="2"/>
  <c r="CN298" i="2"/>
  <c r="BP298" i="2"/>
  <c r="AR298" i="2"/>
  <c r="A298" i="2"/>
  <c r="DJ298" i="2"/>
  <c r="CL298" i="2"/>
  <c r="BN298" i="2"/>
  <c r="AP298" i="2"/>
  <c r="DH298" i="2"/>
  <c r="CJ298" i="2"/>
  <c r="BL298" i="2"/>
  <c r="S298" i="2"/>
  <c r="T298" i="2" s="1"/>
  <c r="DF298" i="2"/>
  <c r="CH298" i="2"/>
  <c r="BJ298" i="2"/>
  <c r="AN298" i="2"/>
  <c r="EB298" i="2"/>
  <c r="DD298" i="2"/>
  <c r="CF298" i="2"/>
  <c r="BH298" i="2"/>
  <c r="AL298" i="2"/>
  <c r="DZ298" i="2"/>
  <c r="DB298" i="2"/>
  <c r="CD298" i="2"/>
  <c r="BF298" i="2"/>
  <c r="AJ298" i="2"/>
  <c r="DX298" i="2"/>
  <c r="CZ298" i="2"/>
  <c r="CB298" i="2"/>
  <c r="BD298" i="2"/>
  <c r="AH298" i="2"/>
  <c r="DV298" i="2"/>
  <c r="CX298" i="2"/>
  <c r="BZ298" i="2"/>
  <c r="BB298" i="2"/>
  <c r="DT298" i="2"/>
  <c r="CV298" i="2"/>
  <c r="BX298" i="2"/>
  <c r="AZ298" i="2"/>
  <c r="DR298" i="2"/>
  <c r="CT298" i="2"/>
  <c r="BV298" i="2"/>
  <c r="AX298" i="2"/>
  <c r="DP298" i="2"/>
  <c r="CR298" i="2"/>
  <c r="BT298" i="2"/>
  <c r="AV298" i="2"/>
  <c r="B26" i="9"/>
  <c r="E26" i="8"/>
  <c r="E26" i="9"/>
  <c r="B26" i="8"/>
  <c r="DV299" i="2" l="1"/>
  <c r="CX299" i="2"/>
  <c r="BZ299" i="2"/>
  <c r="BB299" i="2"/>
  <c r="DT299" i="2"/>
  <c r="CV299" i="2"/>
  <c r="BX299" i="2"/>
  <c r="AZ299" i="2"/>
  <c r="DR299" i="2"/>
  <c r="CT299" i="2"/>
  <c r="BV299" i="2"/>
  <c r="AX299" i="2"/>
  <c r="DP299" i="2"/>
  <c r="CR299" i="2"/>
  <c r="BT299" i="2"/>
  <c r="AV299" i="2"/>
  <c r="DN299" i="2"/>
  <c r="CP299" i="2"/>
  <c r="BR299" i="2"/>
  <c r="AT299" i="2"/>
  <c r="A299" i="2"/>
  <c r="DL299" i="2"/>
  <c r="CN299" i="2"/>
  <c r="BP299" i="2"/>
  <c r="AR299" i="2"/>
  <c r="DJ299" i="2"/>
  <c r="CL299" i="2"/>
  <c r="BN299" i="2"/>
  <c r="AP299" i="2"/>
  <c r="S299" i="2"/>
  <c r="T299" i="2" s="1"/>
  <c r="DH299" i="2"/>
  <c r="CJ299" i="2"/>
  <c r="BL299" i="2"/>
  <c r="AN299" i="2"/>
  <c r="DF299" i="2"/>
  <c r="CH299" i="2"/>
  <c r="BJ299" i="2"/>
  <c r="AL299" i="2"/>
  <c r="EB299" i="2"/>
  <c r="DD299" i="2"/>
  <c r="CF299" i="2"/>
  <c r="BH299" i="2"/>
  <c r="AJ299" i="2"/>
  <c r="DZ299" i="2"/>
  <c r="DB299" i="2"/>
  <c r="CD299" i="2"/>
  <c r="BF299" i="2"/>
  <c r="AH299" i="2"/>
  <c r="DX299" i="2"/>
  <c r="CZ299" i="2"/>
  <c r="CB299" i="2"/>
  <c r="BD299" i="2"/>
  <c r="G300" i="2"/>
  <c r="AC300" i="2"/>
  <c r="AD300" i="2" s="1"/>
  <c r="E300" i="2"/>
  <c r="D300" i="2"/>
  <c r="F300" i="2" s="1"/>
  <c r="AB300" i="2" s="1"/>
  <c r="V300" i="2"/>
  <c r="C301" i="2"/>
  <c r="W298" i="2"/>
  <c r="B299" i="2"/>
  <c r="C39" i="41"/>
  <c r="C33" i="41"/>
  <c r="C25" i="41"/>
  <c r="C14" i="41"/>
  <c r="C24" i="41"/>
  <c r="C13" i="41"/>
  <c r="C23" i="41"/>
  <c r="C32" i="41"/>
  <c r="C22" i="41"/>
  <c r="C21" i="41"/>
  <c r="C20" i="41"/>
  <c r="C19" i="41"/>
  <c r="C30" i="41"/>
  <c r="C31" i="41" s="1"/>
  <c r="C18" i="41"/>
  <c r="C12" i="41"/>
  <c r="C17" i="41"/>
  <c r="C11" i="41"/>
  <c r="C34" i="41"/>
  <c r="C16" i="41"/>
  <c r="C10" i="41"/>
  <c r="C15" i="41"/>
  <c r="C38" i="41"/>
  <c r="C9" i="41"/>
  <c r="N26" i="40"/>
  <c r="M57" i="40"/>
  <c r="E4" i="41"/>
  <c r="D6" i="41"/>
  <c r="C8" i="41"/>
  <c r="B31" i="41"/>
  <c r="B26" i="41"/>
  <c r="F26" i="3"/>
  <c r="F26" i="12"/>
  <c r="F26" i="4"/>
  <c r="G26" i="10"/>
  <c r="C26" i="41" l="1"/>
  <c r="C57" i="41" s="1"/>
  <c r="H26" i="12"/>
  <c r="G26" i="12"/>
  <c r="G26" i="3"/>
  <c r="H26" i="3"/>
  <c r="DF300" i="2"/>
  <c r="CH300" i="2"/>
  <c r="BJ300" i="2"/>
  <c r="AL300" i="2"/>
  <c r="EB300" i="2"/>
  <c r="DD300" i="2"/>
  <c r="CF300" i="2"/>
  <c r="BH300" i="2"/>
  <c r="AJ300" i="2"/>
  <c r="DZ300" i="2"/>
  <c r="DB300" i="2"/>
  <c r="CD300" i="2"/>
  <c r="BF300" i="2"/>
  <c r="AH300" i="2"/>
  <c r="DX300" i="2"/>
  <c r="CZ300" i="2"/>
  <c r="CB300" i="2"/>
  <c r="BD300" i="2"/>
  <c r="DV300" i="2"/>
  <c r="CX300" i="2"/>
  <c r="BZ300" i="2"/>
  <c r="BB300" i="2"/>
  <c r="DT300" i="2"/>
  <c r="CV300" i="2"/>
  <c r="BX300" i="2"/>
  <c r="AZ300" i="2"/>
  <c r="DR300" i="2"/>
  <c r="CT300" i="2"/>
  <c r="BV300" i="2"/>
  <c r="AX300" i="2"/>
  <c r="DP300" i="2"/>
  <c r="CR300" i="2"/>
  <c r="BT300" i="2"/>
  <c r="AV300" i="2"/>
  <c r="DN300" i="2"/>
  <c r="CP300" i="2"/>
  <c r="BR300" i="2"/>
  <c r="AT300" i="2"/>
  <c r="A300" i="2"/>
  <c r="DL300" i="2"/>
  <c r="CN300" i="2"/>
  <c r="BP300" i="2"/>
  <c r="AR300" i="2"/>
  <c r="DJ300" i="2"/>
  <c r="CL300" i="2"/>
  <c r="BN300" i="2"/>
  <c r="AP300" i="2"/>
  <c r="S300" i="2"/>
  <c r="T300" i="2" s="1"/>
  <c r="DH300" i="2"/>
  <c r="CJ300" i="2"/>
  <c r="BL300" i="2"/>
  <c r="AN300" i="2"/>
  <c r="D38" i="41"/>
  <c r="D25" i="41"/>
  <c r="D14" i="41"/>
  <c r="D24" i="41"/>
  <c r="D13" i="41"/>
  <c r="D23" i="41"/>
  <c r="D32" i="41"/>
  <c r="D22" i="41"/>
  <c r="D20" i="41"/>
  <c r="D39" i="41"/>
  <c r="D33" i="41"/>
  <c r="D19" i="41"/>
  <c r="D30" i="41"/>
  <c r="D31" i="41" s="1"/>
  <c r="D18" i="41"/>
  <c r="D17" i="41"/>
  <c r="D11" i="41"/>
  <c r="D34" i="41"/>
  <c r="D16" i="41"/>
  <c r="D10" i="41"/>
  <c r="D15" i="41"/>
  <c r="D21" i="41"/>
  <c r="D8" i="41"/>
  <c r="H60" i="40"/>
  <c r="B60" i="40"/>
  <c r="B27" i="40"/>
  <c r="C27" i="40"/>
  <c r="D27" i="40"/>
  <c r="E27" i="40"/>
  <c r="F27" i="40"/>
  <c r="G27" i="40"/>
  <c r="H27" i="40"/>
  <c r="I27" i="40"/>
  <c r="J27" i="40"/>
  <c r="K27" i="40"/>
  <c r="L27" i="40"/>
  <c r="M27" i="40"/>
  <c r="B57" i="41"/>
  <c r="D9" i="41"/>
  <c r="F4" i="41"/>
  <c r="E6" i="41"/>
  <c r="E9" i="41" s="1"/>
  <c r="C302" i="2"/>
  <c r="G301" i="2"/>
  <c r="AC301" i="2"/>
  <c r="AD301" i="2" s="1"/>
  <c r="E301" i="2"/>
  <c r="D301" i="2"/>
  <c r="V301" i="2"/>
  <c r="W299" i="2"/>
  <c r="B300" i="2"/>
  <c r="N57" i="40"/>
  <c r="E26" i="4"/>
  <c r="F26" i="10"/>
  <c r="E26" i="3"/>
  <c r="G26" i="4"/>
  <c r="J26" i="4"/>
  <c r="B26" i="3"/>
  <c r="C26" i="10"/>
  <c r="H26" i="4"/>
  <c r="E26" i="12"/>
  <c r="I26" i="4"/>
  <c r="K26" i="4"/>
  <c r="O26" i="3"/>
  <c r="B26" i="12"/>
  <c r="B26" i="4"/>
  <c r="B26" i="7" l="1"/>
  <c r="B26" i="6"/>
  <c r="C26" i="3"/>
  <c r="B26" i="5"/>
  <c r="O26" i="4"/>
  <c r="P26" i="4" s="1"/>
  <c r="AG26" i="11" s="1"/>
  <c r="E26" i="6"/>
  <c r="E26" i="5"/>
  <c r="E26" i="7"/>
  <c r="C26" i="4"/>
  <c r="DN301" i="2"/>
  <c r="CP301" i="2"/>
  <c r="BR301" i="2"/>
  <c r="AT301" i="2"/>
  <c r="A301" i="2"/>
  <c r="DL301" i="2"/>
  <c r="CN301" i="2"/>
  <c r="BP301" i="2"/>
  <c r="AR301" i="2"/>
  <c r="DJ301" i="2"/>
  <c r="CL301" i="2"/>
  <c r="BN301" i="2"/>
  <c r="AP301" i="2"/>
  <c r="S301" i="2"/>
  <c r="T301" i="2" s="1"/>
  <c r="DH301" i="2"/>
  <c r="CJ301" i="2"/>
  <c r="BL301" i="2"/>
  <c r="AN301" i="2"/>
  <c r="DF301" i="2"/>
  <c r="CH301" i="2"/>
  <c r="BJ301" i="2"/>
  <c r="AL301" i="2"/>
  <c r="EB301" i="2"/>
  <c r="DD301" i="2"/>
  <c r="CF301" i="2"/>
  <c r="BH301" i="2"/>
  <c r="AJ301" i="2"/>
  <c r="DZ301" i="2"/>
  <c r="DB301" i="2"/>
  <c r="CD301" i="2"/>
  <c r="BF301" i="2"/>
  <c r="AH301" i="2"/>
  <c r="DX301" i="2"/>
  <c r="CZ301" i="2"/>
  <c r="CB301" i="2"/>
  <c r="BD301" i="2"/>
  <c r="DV301" i="2"/>
  <c r="CX301" i="2"/>
  <c r="BZ301" i="2"/>
  <c r="BB301" i="2"/>
  <c r="DT301" i="2"/>
  <c r="CV301" i="2"/>
  <c r="BX301" i="2"/>
  <c r="AZ301" i="2"/>
  <c r="DR301" i="2"/>
  <c r="CT301" i="2"/>
  <c r="BV301" i="2"/>
  <c r="AX301" i="2"/>
  <c r="DP301" i="2"/>
  <c r="CR301" i="2"/>
  <c r="BT301" i="2"/>
  <c r="AV301" i="2"/>
  <c r="AC302" i="2"/>
  <c r="AD302" i="2" s="1"/>
  <c r="E302" i="2"/>
  <c r="D302" i="2"/>
  <c r="V302" i="2"/>
  <c r="C303" i="2"/>
  <c r="G302" i="2"/>
  <c r="D28" i="40"/>
  <c r="D58" i="40" s="1"/>
  <c r="D59" i="40" s="1"/>
  <c r="F28" i="40"/>
  <c r="F58" i="40" s="1"/>
  <c r="F59" i="40" s="1"/>
  <c r="N27" i="40"/>
  <c r="B28" i="40"/>
  <c r="B58" i="40" s="1"/>
  <c r="E28" i="40"/>
  <c r="E58" i="40" s="1"/>
  <c r="E59" i="40" s="1"/>
  <c r="E8" i="41"/>
  <c r="M28" i="40"/>
  <c r="M58" i="40" s="1"/>
  <c r="M59" i="40" s="1"/>
  <c r="D26" i="41"/>
  <c r="L28" i="40"/>
  <c r="G4" i="41"/>
  <c r="F6" i="41"/>
  <c r="K28" i="40"/>
  <c r="K58" i="40" s="1"/>
  <c r="K59" i="40" s="1"/>
  <c r="E24" i="41"/>
  <c r="E13" i="41"/>
  <c r="E23" i="41"/>
  <c r="E32" i="41"/>
  <c r="E22" i="41"/>
  <c r="E20" i="41"/>
  <c r="E39" i="41"/>
  <c r="E33" i="41"/>
  <c r="E19" i="41"/>
  <c r="E30" i="41"/>
  <c r="E31" i="41" s="1"/>
  <c r="E18" i="41"/>
  <c r="E17" i="41"/>
  <c r="E11" i="41"/>
  <c r="E34" i="41"/>
  <c r="E16" i="41"/>
  <c r="E10" i="41"/>
  <c r="E15" i="41"/>
  <c r="E38" i="41"/>
  <c r="E25" i="41"/>
  <c r="E14" i="41"/>
  <c r="E21" i="41"/>
  <c r="J28" i="40"/>
  <c r="J58" i="40" s="1"/>
  <c r="J59" i="40" s="1"/>
  <c r="I28" i="40"/>
  <c r="W300" i="2"/>
  <c r="B301" i="2"/>
  <c r="F301" i="2"/>
  <c r="AB301" i="2" s="1"/>
  <c r="H28" i="40"/>
  <c r="H58" i="40" s="1"/>
  <c r="H59" i="40" s="1"/>
  <c r="C28" i="40"/>
  <c r="G28" i="40"/>
  <c r="G58" i="40" s="1"/>
  <c r="G59" i="40" s="1"/>
  <c r="H26" i="10"/>
  <c r="E26" i="41" l="1"/>
  <c r="E57" i="41" s="1"/>
  <c r="I26" i="10"/>
  <c r="J26" i="10"/>
  <c r="K26" i="10" s="1"/>
  <c r="B59" i="40"/>
  <c r="DV302" i="2"/>
  <c r="CX302" i="2"/>
  <c r="BZ302" i="2"/>
  <c r="BB302" i="2"/>
  <c r="DT302" i="2"/>
  <c r="CV302" i="2"/>
  <c r="BX302" i="2"/>
  <c r="AZ302" i="2"/>
  <c r="DR302" i="2"/>
  <c r="CT302" i="2"/>
  <c r="BV302" i="2"/>
  <c r="AX302" i="2"/>
  <c r="DP302" i="2"/>
  <c r="CR302" i="2"/>
  <c r="BT302" i="2"/>
  <c r="AV302" i="2"/>
  <c r="DN302" i="2"/>
  <c r="CP302" i="2"/>
  <c r="BR302" i="2"/>
  <c r="AT302" i="2"/>
  <c r="A302" i="2"/>
  <c r="DL302" i="2"/>
  <c r="CN302" i="2"/>
  <c r="BP302" i="2"/>
  <c r="AR302" i="2"/>
  <c r="DJ302" i="2"/>
  <c r="CL302" i="2"/>
  <c r="BN302" i="2"/>
  <c r="AP302" i="2"/>
  <c r="S302" i="2"/>
  <c r="T302" i="2" s="1"/>
  <c r="DH302" i="2"/>
  <c r="CJ302" i="2"/>
  <c r="BL302" i="2"/>
  <c r="AN302" i="2"/>
  <c r="DF302" i="2"/>
  <c r="CH302" i="2"/>
  <c r="BJ302" i="2"/>
  <c r="AL302" i="2"/>
  <c r="EB302" i="2"/>
  <c r="DD302" i="2"/>
  <c r="CF302" i="2"/>
  <c r="BH302" i="2"/>
  <c r="AJ302" i="2"/>
  <c r="DZ302" i="2"/>
  <c r="DB302" i="2"/>
  <c r="CD302" i="2"/>
  <c r="BF302" i="2"/>
  <c r="AH302" i="2"/>
  <c r="DX302" i="2"/>
  <c r="CZ302" i="2"/>
  <c r="CB302" i="2"/>
  <c r="BD302" i="2"/>
  <c r="C58" i="40"/>
  <c r="C59" i="40" s="1"/>
  <c r="I58" i="40"/>
  <c r="I59" i="40" s="1"/>
  <c r="L58" i="40"/>
  <c r="L59" i="40" s="1"/>
  <c r="N28" i="40"/>
  <c r="G303" i="2"/>
  <c r="AC303" i="2"/>
  <c r="AD303" i="2" s="1"/>
  <c r="E303" i="2"/>
  <c r="D303" i="2"/>
  <c r="V303" i="2"/>
  <c r="C304" i="2"/>
  <c r="D57" i="41"/>
  <c r="W301" i="2"/>
  <c r="B302" i="2"/>
  <c r="F302" i="2"/>
  <c r="AB302" i="2" s="1"/>
  <c r="F39" i="41"/>
  <c r="F24" i="41"/>
  <c r="F13" i="41"/>
  <c r="F23" i="41"/>
  <c r="F32" i="41"/>
  <c r="F22" i="41"/>
  <c r="F20" i="41"/>
  <c r="F33" i="41"/>
  <c r="F19" i="41"/>
  <c r="F30" i="41"/>
  <c r="F18" i="41"/>
  <c r="F17" i="41"/>
  <c r="F11" i="41"/>
  <c r="F34" i="41"/>
  <c r="F16" i="41"/>
  <c r="F10" i="41"/>
  <c r="F15" i="41"/>
  <c r="F38" i="41"/>
  <c r="F25" i="41"/>
  <c r="F14" i="41"/>
  <c r="F21" i="41"/>
  <c r="F8" i="41"/>
  <c r="F9" i="41"/>
  <c r="D26" i="11"/>
  <c r="K26" i="11" s="1"/>
  <c r="D26" i="5"/>
  <c r="D26" i="6" s="1"/>
  <c r="H4" i="41"/>
  <c r="G6" i="41"/>
  <c r="G9" i="41" s="1"/>
  <c r="Y26" i="11" l="1"/>
  <c r="R26" i="11"/>
  <c r="X26" i="11"/>
  <c r="M26" i="11"/>
  <c r="S26" i="11"/>
  <c r="N26" i="11"/>
  <c r="AE26" i="11"/>
  <c r="T26" i="11"/>
  <c r="F26" i="41"/>
  <c r="F57" i="41" s="1"/>
  <c r="J26" i="11"/>
  <c r="AA26" i="11"/>
  <c r="U26" i="11"/>
  <c r="P26" i="11"/>
  <c r="AB26" i="11"/>
  <c r="V26" i="11"/>
  <c r="AD26" i="11"/>
  <c r="Q26" i="11"/>
  <c r="W26" i="11"/>
  <c r="Z26" i="11"/>
  <c r="O26" i="11"/>
  <c r="AF26" i="11"/>
  <c r="AC26" i="11"/>
  <c r="L26" i="11"/>
  <c r="N58" i="40"/>
  <c r="N59" i="40" s="1"/>
  <c r="F60" i="40" s="1"/>
  <c r="F31" i="41"/>
  <c r="DF303" i="2"/>
  <c r="CH303" i="2"/>
  <c r="BJ303" i="2"/>
  <c r="AL303" i="2"/>
  <c r="EB303" i="2"/>
  <c r="DD303" i="2"/>
  <c r="CF303" i="2"/>
  <c r="BH303" i="2"/>
  <c r="AJ303" i="2"/>
  <c r="DZ303" i="2"/>
  <c r="DB303" i="2"/>
  <c r="CD303" i="2"/>
  <c r="BF303" i="2"/>
  <c r="AH303" i="2"/>
  <c r="DX303" i="2"/>
  <c r="CZ303" i="2"/>
  <c r="CB303" i="2"/>
  <c r="BD303" i="2"/>
  <c r="DV303" i="2"/>
  <c r="CX303" i="2"/>
  <c r="BZ303" i="2"/>
  <c r="BB303" i="2"/>
  <c r="DT303" i="2"/>
  <c r="CV303" i="2"/>
  <c r="BX303" i="2"/>
  <c r="AZ303" i="2"/>
  <c r="DR303" i="2"/>
  <c r="CT303" i="2"/>
  <c r="BV303" i="2"/>
  <c r="AX303" i="2"/>
  <c r="DP303" i="2"/>
  <c r="CR303" i="2"/>
  <c r="BT303" i="2"/>
  <c r="AV303" i="2"/>
  <c r="DN303" i="2"/>
  <c r="CP303" i="2"/>
  <c r="BR303" i="2"/>
  <c r="AT303" i="2"/>
  <c r="A303" i="2"/>
  <c r="DL303" i="2"/>
  <c r="CN303" i="2"/>
  <c r="BP303" i="2"/>
  <c r="AR303" i="2"/>
  <c r="DJ303" i="2"/>
  <c r="CL303" i="2"/>
  <c r="BN303" i="2"/>
  <c r="AP303" i="2"/>
  <c r="S303" i="2"/>
  <c r="T303" i="2" s="1"/>
  <c r="DH303" i="2"/>
  <c r="CJ303" i="2"/>
  <c r="BL303" i="2"/>
  <c r="AN303" i="2"/>
  <c r="R26" i="6"/>
  <c r="D26" i="7"/>
  <c r="D26" i="8" s="1"/>
  <c r="D26" i="9" s="1"/>
  <c r="D26" i="10" s="1"/>
  <c r="C26" i="12" s="1"/>
  <c r="G39" i="41"/>
  <c r="G38" i="41"/>
  <c r="G23" i="41"/>
  <c r="G32" i="41"/>
  <c r="G22" i="41"/>
  <c r="G20" i="41"/>
  <c r="G33" i="41"/>
  <c r="G19" i="41"/>
  <c r="G30" i="41"/>
  <c r="G31" i="41" s="1"/>
  <c r="G18" i="41"/>
  <c r="G17" i="41"/>
  <c r="G11" i="41"/>
  <c r="G34" i="41"/>
  <c r="G16" i="41"/>
  <c r="G10" i="41"/>
  <c r="G15" i="41"/>
  <c r="G25" i="41"/>
  <c r="G14" i="41"/>
  <c r="G24" i="41"/>
  <c r="G13" i="41"/>
  <c r="G21" i="41"/>
  <c r="G8" i="41"/>
  <c r="C305" i="2"/>
  <c r="G304" i="2"/>
  <c r="AC304" i="2"/>
  <c r="AD304" i="2" s="1"/>
  <c r="E304" i="2"/>
  <c r="D304" i="2"/>
  <c r="F304" i="2" s="1"/>
  <c r="AB304" i="2" s="1"/>
  <c r="V304" i="2"/>
  <c r="W302" i="2"/>
  <c r="B303" i="2"/>
  <c r="I4" i="41"/>
  <c r="H6" i="41"/>
  <c r="H7" i="41" s="1"/>
  <c r="F303" i="2"/>
  <c r="AB303" i="2" s="1"/>
  <c r="G26" i="11" l="1"/>
  <c r="H26" i="11" s="1"/>
  <c r="G26" i="41"/>
  <c r="G57" i="41" s="1"/>
  <c r="W303" i="2"/>
  <c r="B304" i="2"/>
  <c r="I60" i="40"/>
  <c r="G60" i="40"/>
  <c r="DN304" i="2"/>
  <c r="CP304" i="2"/>
  <c r="BR304" i="2"/>
  <c r="AT304" i="2"/>
  <c r="A304" i="2"/>
  <c r="DL304" i="2"/>
  <c r="CN304" i="2"/>
  <c r="BP304" i="2"/>
  <c r="AR304" i="2"/>
  <c r="DJ304" i="2"/>
  <c r="CL304" i="2"/>
  <c r="BN304" i="2"/>
  <c r="AP304" i="2"/>
  <c r="S304" i="2"/>
  <c r="T304" i="2" s="1"/>
  <c r="DH304" i="2"/>
  <c r="CJ304" i="2"/>
  <c r="BL304" i="2"/>
  <c r="AN304" i="2"/>
  <c r="DF304" i="2"/>
  <c r="CH304" i="2"/>
  <c r="BJ304" i="2"/>
  <c r="AL304" i="2"/>
  <c r="EB304" i="2"/>
  <c r="DD304" i="2"/>
  <c r="CF304" i="2"/>
  <c r="BH304" i="2"/>
  <c r="AJ304" i="2"/>
  <c r="DZ304" i="2"/>
  <c r="DB304" i="2"/>
  <c r="CD304" i="2"/>
  <c r="BF304" i="2"/>
  <c r="AH304" i="2"/>
  <c r="DX304" i="2"/>
  <c r="CZ304" i="2"/>
  <c r="CB304" i="2"/>
  <c r="BD304" i="2"/>
  <c r="DV304" i="2"/>
  <c r="CX304" i="2"/>
  <c r="BZ304" i="2"/>
  <c r="BB304" i="2"/>
  <c r="DT304" i="2"/>
  <c r="CV304" i="2"/>
  <c r="BX304" i="2"/>
  <c r="AZ304" i="2"/>
  <c r="DR304" i="2"/>
  <c r="CT304" i="2"/>
  <c r="BV304" i="2"/>
  <c r="AX304" i="2"/>
  <c r="DP304" i="2"/>
  <c r="CR304" i="2"/>
  <c r="BT304" i="2"/>
  <c r="AV304" i="2"/>
  <c r="AC305" i="2"/>
  <c r="AD305" i="2" s="1"/>
  <c r="E305" i="2"/>
  <c r="D305" i="2"/>
  <c r="V305" i="2"/>
  <c r="C306" i="2"/>
  <c r="G305" i="2"/>
  <c r="J4" i="41"/>
  <c r="I6" i="41"/>
  <c r="I9" i="41" s="1"/>
  <c r="H34" i="41"/>
  <c r="H39" i="41"/>
  <c r="H38" i="41"/>
  <c r="H32" i="41"/>
  <c r="H22" i="41"/>
  <c r="H20" i="41"/>
  <c r="H33" i="41"/>
  <c r="H19" i="41"/>
  <c r="H30" i="41"/>
  <c r="H31" i="41" s="1"/>
  <c r="H18" i="41"/>
  <c r="N7" i="41"/>
  <c r="H17" i="41"/>
  <c r="H11" i="41"/>
  <c r="H16" i="41"/>
  <c r="H10" i="41"/>
  <c r="H15" i="41"/>
  <c r="H25" i="41"/>
  <c r="H14" i="41"/>
  <c r="H24" i="41"/>
  <c r="H13" i="41"/>
  <c r="H23" i="41"/>
  <c r="H21" i="41"/>
  <c r="H8" i="41"/>
  <c r="H9" i="41"/>
  <c r="C26" i="11" l="1"/>
  <c r="E26" i="11" s="1"/>
  <c r="I8" i="41"/>
  <c r="H26" i="41"/>
  <c r="H57" i="41" s="1"/>
  <c r="K4" i="41"/>
  <c r="J6" i="41"/>
  <c r="DV305" i="2"/>
  <c r="CX305" i="2"/>
  <c r="BZ305" i="2"/>
  <c r="BB305" i="2"/>
  <c r="DT305" i="2"/>
  <c r="CV305" i="2"/>
  <c r="BX305" i="2"/>
  <c r="AZ305" i="2"/>
  <c r="DR305" i="2"/>
  <c r="CT305" i="2"/>
  <c r="BV305" i="2"/>
  <c r="AX305" i="2"/>
  <c r="DP305" i="2"/>
  <c r="CR305" i="2"/>
  <c r="BT305" i="2"/>
  <c r="AV305" i="2"/>
  <c r="DN305" i="2"/>
  <c r="CP305" i="2"/>
  <c r="BR305" i="2"/>
  <c r="AT305" i="2"/>
  <c r="A305" i="2"/>
  <c r="DL305" i="2"/>
  <c r="CN305" i="2"/>
  <c r="BP305" i="2"/>
  <c r="AR305" i="2"/>
  <c r="DJ305" i="2"/>
  <c r="CL305" i="2"/>
  <c r="BN305" i="2"/>
  <c r="AP305" i="2"/>
  <c r="S305" i="2"/>
  <c r="T305" i="2" s="1"/>
  <c r="DH305" i="2"/>
  <c r="CJ305" i="2"/>
  <c r="BL305" i="2"/>
  <c r="AN305" i="2"/>
  <c r="DF305" i="2"/>
  <c r="CH305" i="2"/>
  <c r="BJ305" i="2"/>
  <c r="AL305" i="2"/>
  <c r="EB305" i="2"/>
  <c r="DD305" i="2"/>
  <c r="CF305" i="2"/>
  <c r="BH305" i="2"/>
  <c r="AJ305" i="2"/>
  <c r="DZ305" i="2"/>
  <c r="DB305" i="2"/>
  <c r="CD305" i="2"/>
  <c r="BF305" i="2"/>
  <c r="AH305" i="2"/>
  <c r="DX305" i="2"/>
  <c r="CZ305" i="2"/>
  <c r="CB305" i="2"/>
  <c r="BD305" i="2"/>
  <c r="G306" i="2"/>
  <c r="AC306" i="2"/>
  <c r="AD306" i="2" s="1"/>
  <c r="E306" i="2"/>
  <c r="D306" i="2"/>
  <c r="V306" i="2"/>
  <c r="C307" i="2"/>
  <c r="W304" i="2"/>
  <c r="B305" i="2"/>
  <c r="F305" i="2"/>
  <c r="AB305" i="2" s="1"/>
  <c r="I33" i="41"/>
  <c r="I39" i="41"/>
  <c r="I38" i="41"/>
  <c r="I20" i="41"/>
  <c r="I19" i="41"/>
  <c r="I30" i="41"/>
  <c r="I31" i="41" s="1"/>
  <c r="I18" i="41"/>
  <c r="I17" i="41"/>
  <c r="I11" i="41"/>
  <c r="I16" i="41"/>
  <c r="I10" i="41"/>
  <c r="I34" i="41"/>
  <c r="I15" i="41"/>
  <c r="I25" i="41"/>
  <c r="I14" i="41"/>
  <c r="I24" i="41"/>
  <c r="I13" i="41"/>
  <c r="I23" i="41"/>
  <c r="I22" i="41"/>
  <c r="I32" i="41"/>
  <c r="I21" i="41"/>
  <c r="I26" i="41" l="1"/>
  <c r="I57" i="41" s="1"/>
  <c r="J39" i="41"/>
  <c r="J38" i="41"/>
  <c r="J19" i="41"/>
  <c r="J33" i="41"/>
  <c r="J30" i="41"/>
  <c r="J31" i="41" s="1"/>
  <c r="J18" i="41"/>
  <c r="J17" i="41"/>
  <c r="J11" i="41"/>
  <c r="J16" i="41"/>
  <c r="J10" i="41"/>
  <c r="J34" i="41"/>
  <c r="J15" i="41"/>
  <c r="J25" i="41"/>
  <c r="J14" i="41"/>
  <c r="J12" i="41"/>
  <c r="J24" i="41"/>
  <c r="J13" i="41"/>
  <c r="J23" i="41"/>
  <c r="J32" i="41"/>
  <c r="J22" i="41"/>
  <c r="J20" i="41"/>
  <c r="J21" i="41"/>
  <c r="L4" i="41"/>
  <c r="K6" i="41"/>
  <c r="K9" i="41" s="1"/>
  <c r="C308" i="2"/>
  <c r="G307" i="2"/>
  <c r="AC307" i="2"/>
  <c r="AD307" i="2" s="1"/>
  <c r="E307" i="2"/>
  <c r="D307" i="2"/>
  <c r="V307" i="2"/>
  <c r="W305" i="2"/>
  <c r="B306" i="2"/>
  <c r="J8" i="41"/>
  <c r="F306" i="2"/>
  <c r="AB306" i="2" s="1"/>
  <c r="J9" i="41"/>
  <c r="DF306" i="2"/>
  <c r="CH306" i="2"/>
  <c r="BJ306" i="2"/>
  <c r="AL306" i="2"/>
  <c r="EB306" i="2"/>
  <c r="DD306" i="2"/>
  <c r="CF306" i="2"/>
  <c r="BH306" i="2"/>
  <c r="AJ306" i="2"/>
  <c r="DZ306" i="2"/>
  <c r="DB306" i="2"/>
  <c r="CD306" i="2"/>
  <c r="BF306" i="2"/>
  <c r="AH306" i="2"/>
  <c r="DX306" i="2"/>
  <c r="CZ306" i="2"/>
  <c r="CB306" i="2"/>
  <c r="BD306" i="2"/>
  <c r="DV306" i="2"/>
  <c r="CX306" i="2"/>
  <c r="BZ306" i="2"/>
  <c r="BB306" i="2"/>
  <c r="DT306" i="2"/>
  <c r="CV306" i="2"/>
  <c r="BX306" i="2"/>
  <c r="AZ306" i="2"/>
  <c r="DR306" i="2"/>
  <c r="CT306" i="2"/>
  <c r="BV306" i="2"/>
  <c r="AX306" i="2"/>
  <c r="DP306" i="2"/>
  <c r="CR306" i="2"/>
  <c r="BT306" i="2"/>
  <c r="AV306" i="2"/>
  <c r="DN306" i="2"/>
  <c r="CP306" i="2"/>
  <c r="BR306" i="2"/>
  <c r="AT306" i="2"/>
  <c r="A306" i="2"/>
  <c r="DL306" i="2"/>
  <c r="CN306" i="2"/>
  <c r="BP306" i="2"/>
  <c r="AR306" i="2"/>
  <c r="DJ306" i="2"/>
  <c r="CL306" i="2"/>
  <c r="BN306" i="2"/>
  <c r="AP306" i="2"/>
  <c r="S306" i="2"/>
  <c r="T306" i="2" s="1"/>
  <c r="DH306" i="2"/>
  <c r="CJ306" i="2"/>
  <c r="BL306" i="2"/>
  <c r="AN306" i="2"/>
  <c r="J26" i="41" l="1"/>
  <c r="J57" i="41" s="1"/>
  <c r="M4" i="41"/>
  <c r="L6" i="41"/>
  <c r="K8" i="41"/>
  <c r="W306" i="2"/>
  <c r="B307" i="2"/>
  <c r="F307" i="2"/>
  <c r="AB307" i="2" s="1"/>
  <c r="DN307" i="2"/>
  <c r="CP307" i="2"/>
  <c r="BR307" i="2"/>
  <c r="AT307" i="2"/>
  <c r="A307" i="2"/>
  <c r="DL307" i="2"/>
  <c r="CN307" i="2"/>
  <c r="BP307" i="2"/>
  <c r="AR307" i="2"/>
  <c r="DJ307" i="2"/>
  <c r="CL307" i="2"/>
  <c r="BN307" i="2"/>
  <c r="AP307" i="2"/>
  <c r="S307" i="2"/>
  <c r="T307" i="2" s="1"/>
  <c r="DH307" i="2"/>
  <c r="CJ307" i="2"/>
  <c r="BL307" i="2"/>
  <c r="AN307" i="2"/>
  <c r="DF307" i="2"/>
  <c r="CH307" i="2"/>
  <c r="BJ307" i="2"/>
  <c r="AL307" i="2"/>
  <c r="EB307" i="2"/>
  <c r="DD307" i="2"/>
  <c r="CF307" i="2"/>
  <c r="BH307" i="2"/>
  <c r="AJ307" i="2"/>
  <c r="DZ307" i="2"/>
  <c r="DB307" i="2"/>
  <c r="CD307" i="2"/>
  <c r="BF307" i="2"/>
  <c r="AH307" i="2"/>
  <c r="DX307" i="2"/>
  <c r="CZ307" i="2"/>
  <c r="CB307" i="2"/>
  <c r="BD307" i="2"/>
  <c r="DV307" i="2"/>
  <c r="CX307" i="2"/>
  <c r="BZ307" i="2"/>
  <c r="BB307" i="2"/>
  <c r="DT307" i="2"/>
  <c r="CV307" i="2"/>
  <c r="BX307" i="2"/>
  <c r="AZ307" i="2"/>
  <c r="DR307" i="2"/>
  <c r="CT307" i="2"/>
  <c r="BV307" i="2"/>
  <c r="AX307" i="2"/>
  <c r="DP307" i="2"/>
  <c r="CR307" i="2"/>
  <c r="BT307" i="2"/>
  <c r="AV307" i="2"/>
  <c r="AC308" i="2"/>
  <c r="AD308" i="2" s="1"/>
  <c r="E308" i="2"/>
  <c r="D308" i="2"/>
  <c r="V308" i="2"/>
  <c r="C309" i="2"/>
  <c r="G308" i="2"/>
  <c r="K32" i="41"/>
  <c r="K38" i="41"/>
  <c r="K34" i="41"/>
  <c r="K33" i="41"/>
  <c r="K30" i="41"/>
  <c r="K31" i="41" s="1"/>
  <c r="K18" i="41"/>
  <c r="K17" i="41"/>
  <c r="K11" i="41"/>
  <c r="K16" i="41"/>
  <c r="K10" i="41"/>
  <c r="K15" i="41"/>
  <c r="K39" i="41"/>
  <c r="K25" i="41"/>
  <c r="K14" i="41"/>
  <c r="K12" i="41"/>
  <c r="N12" i="41" s="1"/>
  <c r="K24" i="41"/>
  <c r="K13" i="41"/>
  <c r="K23" i="41"/>
  <c r="K22" i="41"/>
  <c r="K20" i="41"/>
  <c r="K19" i="41"/>
  <c r="K21" i="41"/>
  <c r="I27" i="9"/>
  <c r="H27" i="9"/>
  <c r="K26" i="41" l="1"/>
  <c r="K57" i="41" s="1"/>
  <c r="DV308" i="2"/>
  <c r="CX308" i="2"/>
  <c r="BZ308" i="2"/>
  <c r="BB308" i="2"/>
  <c r="DT308" i="2"/>
  <c r="CV308" i="2"/>
  <c r="BX308" i="2"/>
  <c r="AZ308" i="2"/>
  <c r="DR308" i="2"/>
  <c r="CT308" i="2"/>
  <c r="BV308" i="2"/>
  <c r="AX308" i="2"/>
  <c r="DP308" i="2"/>
  <c r="CR308" i="2"/>
  <c r="BT308" i="2"/>
  <c r="AV308" i="2"/>
  <c r="DN308" i="2"/>
  <c r="CP308" i="2"/>
  <c r="BR308" i="2"/>
  <c r="AT308" i="2"/>
  <c r="A308" i="2"/>
  <c r="DL308" i="2"/>
  <c r="CN308" i="2"/>
  <c r="BP308" i="2"/>
  <c r="AR308" i="2"/>
  <c r="DJ308" i="2"/>
  <c r="CL308" i="2"/>
  <c r="BN308" i="2"/>
  <c r="AP308" i="2"/>
  <c r="S308" i="2"/>
  <c r="T308" i="2" s="1"/>
  <c r="DH308" i="2"/>
  <c r="CJ308" i="2"/>
  <c r="BL308" i="2"/>
  <c r="AN308" i="2"/>
  <c r="DF308" i="2"/>
  <c r="CH308" i="2"/>
  <c r="BJ308" i="2"/>
  <c r="AL308" i="2"/>
  <c r="EB308" i="2"/>
  <c r="DD308" i="2"/>
  <c r="CF308" i="2"/>
  <c r="BH308" i="2"/>
  <c r="AJ308" i="2"/>
  <c r="DZ308" i="2"/>
  <c r="DB308" i="2"/>
  <c r="CD308" i="2"/>
  <c r="BF308" i="2"/>
  <c r="AH308" i="2"/>
  <c r="DX308" i="2"/>
  <c r="CZ308" i="2"/>
  <c r="CB308" i="2"/>
  <c r="BD308" i="2"/>
  <c r="AC309" i="2"/>
  <c r="AD309" i="2" s="1"/>
  <c r="G309" i="2"/>
  <c r="E309" i="2"/>
  <c r="D309" i="2"/>
  <c r="F309" i="2" s="1"/>
  <c r="AB309" i="2" s="1"/>
  <c r="C310" i="2"/>
  <c r="V309" i="2"/>
  <c r="W307" i="2"/>
  <c r="B308" i="2"/>
  <c r="F308" i="2"/>
  <c r="AB308" i="2" s="1"/>
  <c r="L39" i="41"/>
  <c r="L34" i="41"/>
  <c r="L33" i="41"/>
  <c r="L17" i="41"/>
  <c r="L11" i="41"/>
  <c r="L16" i="41"/>
  <c r="L10" i="41"/>
  <c r="L15" i="41"/>
  <c r="L25" i="41"/>
  <c r="L14" i="41"/>
  <c r="L24" i="41"/>
  <c r="L13" i="41"/>
  <c r="L23" i="41"/>
  <c r="L38" i="41"/>
  <c r="L22" i="41"/>
  <c r="L32" i="41"/>
  <c r="L20" i="41"/>
  <c r="L19" i="41"/>
  <c r="L30" i="41"/>
  <c r="L31" i="41" s="1"/>
  <c r="L18" i="41"/>
  <c r="L21" i="41"/>
  <c r="B4" i="42"/>
  <c r="M6" i="41"/>
  <c r="L8" i="41"/>
  <c r="L9" i="41"/>
  <c r="L26" i="41" l="1"/>
  <c r="L57" i="41" s="1"/>
  <c r="G310" i="2"/>
  <c r="AC310" i="2"/>
  <c r="AD310" i="2" s="1"/>
  <c r="E310" i="2"/>
  <c r="D310" i="2"/>
  <c r="F310" i="2" s="1"/>
  <c r="AB310" i="2" s="1"/>
  <c r="V310" i="2"/>
  <c r="C311" i="2"/>
  <c r="DZ309" i="2"/>
  <c r="DB309" i="2"/>
  <c r="CD309" i="2"/>
  <c r="BF309" i="2"/>
  <c r="AH309" i="2"/>
  <c r="DX309" i="2"/>
  <c r="CZ309" i="2"/>
  <c r="CB309" i="2"/>
  <c r="BD309" i="2"/>
  <c r="DV309" i="2"/>
  <c r="CX309" i="2"/>
  <c r="BZ309" i="2"/>
  <c r="BB309" i="2"/>
  <c r="DT309" i="2"/>
  <c r="CV309" i="2"/>
  <c r="BX309" i="2"/>
  <c r="AZ309" i="2"/>
  <c r="DR309" i="2"/>
  <c r="CT309" i="2"/>
  <c r="BV309" i="2"/>
  <c r="AX309" i="2"/>
  <c r="DP309" i="2"/>
  <c r="CR309" i="2"/>
  <c r="BT309" i="2"/>
  <c r="AV309" i="2"/>
  <c r="DN309" i="2"/>
  <c r="CP309" i="2"/>
  <c r="BR309" i="2"/>
  <c r="AT309" i="2"/>
  <c r="DL309" i="2"/>
  <c r="CN309" i="2"/>
  <c r="BP309" i="2"/>
  <c r="AR309" i="2"/>
  <c r="DJ309" i="2"/>
  <c r="CL309" i="2"/>
  <c r="BN309" i="2"/>
  <c r="AP309" i="2"/>
  <c r="A309" i="2"/>
  <c r="DH309" i="2"/>
  <c r="CJ309" i="2"/>
  <c r="BL309" i="2"/>
  <c r="AN309" i="2"/>
  <c r="DF309" i="2"/>
  <c r="CH309" i="2"/>
  <c r="BJ309" i="2"/>
  <c r="AL309" i="2"/>
  <c r="S309" i="2"/>
  <c r="T309" i="2" s="1"/>
  <c r="EB309" i="2"/>
  <c r="DD309" i="2"/>
  <c r="CF309" i="2"/>
  <c r="BH309" i="2"/>
  <c r="AJ309" i="2"/>
  <c r="M39" i="41"/>
  <c r="N39" i="41" s="1"/>
  <c r="M38" i="41"/>
  <c r="N38" i="41" s="1"/>
  <c r="M33" i="41"/>
  <c r="N33" i="41" s="1"/>
  <c r="M16" i="41"/>
  <c r="N16" i="41" s="1"/>
  <c r="M10" i="41"/>
  <c r="N10" i="41" s="1"/>
  <c r="M15" i="41"/>
  <c r="N15" i="41" s="1"/>
  <c r="M34" i="41"/>
  <c r="N34" i="41" s="1"/>
  <c r="M25" i="41"/>
  <c r="N25" i="41" s="1"/>
  <c r="M14" i="41"/>
  <c r="N14" i="41" s="1"/>
  <c r="M24" i="41"/>
  <c r="N24" i="41" s="1"/>
  <c r="M13" i="41"/>
  <c r="N13" i="41" s="1"/>
  <c r="M23" i="41"/>
  <c r="N23" i="41" s="1"/>
  <c r="M22" i="41"/>
  <c r="N22" i="41" s="1"/>
  <c r="M32" i="41"/>
  <c r="N32" i="41" s="1"/>
  <c r="M20" i="41"/>
  <c r="N20" i="41" s="1"/>
  <c r="M19" i="41"/>
  <c r="N19" i="41" s="1"/>
  <c r="M30" i="41"/>
  <c r="N30" i="41" s="1"/>
  <c r="M18" i="41"/>
  <c r="N18" i="41" s="1"/>
  <c r="M11" i="41"/>
  <c r="N11" i="41" s="1"/>
  <c r="M17" i="41"/>
  <c r="N17" i="41" s="1"/>
  <c r="N6" i="41"/>
  <c r="M21" i="41"/>
  <c r="N21" i="41" s="1"/>
  <c r="M8" i="41"/>
  <c r="N8" i="41" s="1"/>
  <c r="M9" i="41"/>
  <c r="N9" i="41" s="1"/>
  <c r="C4" i="42"/>
  <c r="B6" i="42"/>
  <c r="W308" i="2"/>
  <c r="B309" i="2"/>
  <c r="O27" i="8"/>
  <c r="F27" i="8"/>
  <c r="L27" i="8"/>
  <c r="J27" i="9"/>
  <c r="N27" i="9"/>
  <c r="F27" i="9"/>
  <c r="G27" i="9"/>
  <c r="L27" i="9"/>
  <c r="K27" i="9"/>
  <c r="I27" i="8"/>
  <c r="M27" i="9"/>
  <c r="K27" i="8" l="1"/>
  <c r="Q27" i="8"/>
  <c r="N27" i="8"/>
  <c r="B9" i="42"/>
  <c r="B7" i="42"/>
  <c r="M31" i="41"/>
  <c r="N31" i="41" s="1"/>
  <c r="J27" i="8"/>
  <c r="M27" i="8"/>
  <c r="O27" i="9"/>
  <c r="P27" i="9" s="1"/>
  <c r="R27" i="8"/>
  <c r="S27" i="8" s="1"/>
  <c r="H27" i="8"/>
  <c r="G27" i="8"/>
  <c r="P27" i="8"/>
  <c r="B8" i="42"/>
  <c r="M26" i="41"/>
  <c r="C312" i="2"/>
  <c r="G311" i="2"/>
  <c r="AC311" i="2"/>
  <c r="AD311" i="2" s="1"/>
  <c r="E311" i="2"/>
  <c r="D311" i="2"/>
  <c r="V311" i="2"/>
  <c r="W309" i="2"/>
  <c r="B310" i="2"/>
  <c r="B15" i="42"/>
  <c r="B25" i="42"/>
  <c r="B14" i="42"/>
  <c r="B34" i="42"/>
  <c r="B33" i="42"/>
  <c r="B24" i="42"/>
  <c r="B13" i="42"/>
  <c r="B23" i="42"/>
  <c r="B32" i="42"/>
  <c r="B21" i="42"/>
  <c r="B20" i="42"/>
  <c r="B19" i="42"/>
  <c r="B30" i="42"/>
  <c r="B18" i="42"/>
  <c r="B12" i="42"/>
  <c r="B39" i="42"/>
  <c r="B17" i="42"/>
  <c r="B11" i="42"/>
  <c r="B38" i="42"/>
  <c r="B16" i="42"/>
  <c r="B10" i="42"/>
  <c r="DF310" i="2"/>
  <c r="CH310" i="2"/>
  <c r="BJ310" i="2"/>
  <c r="AN310" i="2"/>
  <c r="EB310" i="2"/>
  <c r="DD310" i="2"/>
  <c r="CF310" i="2"/>
  <c r="BH310" i="2"/>
  <c r="AL310" i="2"/>
  <c r="DZ310" i="2"/>
  <c r="DB310" i="2"/>
  <c r="CD310" i="2"/>
  <c r="BF310" i="2"/>
  <c r="AJ310" i="2"/>
  <c r="DX310" i="2"/>
  <c r="CZ310" i="2"/>
  <c r="CB310" i="2"/>
  <c r="BD310" i="2"/>
  <c r="AH310" i="2"/>
  <c r="DV310" i="2"/>
  <c r="CX310" i="2"/>
  <c r="BZ310" i="2"/>
  <c r="BB310" i="2"/>
  <c r="DT310" i="2"/>
  <c r="CV310" i="2"/>
  <c r="BX310" i="2"/>
  <c r="AZ310" i="2"/>
  <c r="DR310" i="2"/>
  <c r="CT310" i="2"/>
  <c r="BV310" i="2"/>
  <c r="AX310" i="2"/>
  <c r="DP310" i="2"/>
  <c r="CR310" i="2"/>
  <c r="BT310" i="2"/>
  <c r="AV310" i="2"/>
  <c r="DN310" i="2"/>
  <c r="CP310" i="2"/>
  <c r="BR310" i="2"/>
  <c r="AT310" i="2"/>
  <c r="DL310" i="2"/>
  <c r="CN310" i="2"/>
  <c r="BP310" i="2"/>
  <c r="AR310" i="2"/>
  <c r="A310" i="2"/>
  <c r="DJ310" i="2"/>
  <c r="CL310" i="2"/>
  <c r="BN310" i="2"/>
  <c r="AP310" i="2"/>
  <c r="DH310" i="2"/>
  <c r="CJ310" i="2"/>
  <c r="BL310" i="2"/>
  <c r="S310" i="2"/>
  <c r="T310" i="2" s="1"/>
  <c r="D4" i="42"/>
  <c r="C6" i="42"/>
  <c r="E27" i="8"/>
  <c r="E27" i="9"/>
  <c r="B27" i="8"/>
  <c r="B27" i="9"/>
  <c r="F311" i="2" l="1"/>
  <c r="AB311" i="2" s="1"/>
  <c r="DN311" i="2"/>
  <c r="CP311" i="2"/>
  <c r="BR311" i="2"/>
  <c r="AT311" i="2"/>
  <c r="A311" i="2"/>
  <c r="DL311" i="2"/>
  <c r="CN311" i="2"/>
  <c r="BP311" i="2"/>
  <c r="AR311" i="2"/>
  <c r="DJ311" i="2"/>
  <c r="CL311" i="2"/>
  <c r="BN311" i="2"/>
  <c r="AP311" i="2"/>
  <c r="S311" i="2"/>
  <c r="T311" i="2" s="1"/>
  <c r="DH311" i="2"/>
  <c r="CJ311" i="2"/>
  <c r="BL311" i="2"/>
  <c r="AN311" i="2"/>
  <c r="DF311" i="2"/>
  <c r="CH311" i="2"/>
  <c r="BJ311" i="2"/>
  <c r="AL311" i="2"/>
  <c r="EB311" i="2"/>
  <c r="DD311" i="2"/>
  <c r="CF311" i="2"/>
  <c r="BH311" i="2"/>
  <c r="AJ311" i="2"/>
  <c r="DZ311" i="2"/>
  <c r="DB311" i="2"/>
  <c r="CD311" i="2"/>
  <c r="BF311" i="2"/>
  <c r="AH311" i="2"/>
  <c r="DX311" i="2"/>
  <c r="CZ311" i="2"/>
  <c r="CB311" i="2"/>
  <c r="BD311" i="2"/>
  <c r="DV311" i="2"/>
  <c r="CX311" i="2"/>
  <c r="BZ311" i="2"/>
  <c r="BB311" i="2"/>
  <c r="DT311" i="2"/>
  <c r="CV311" i="2"/>
  <c r="BX311" i="2"/>
  <c r="AZ311" i="2"/>
  <c r="DR311" i="2"/>
  <c r="CT311" i="2"/>
  <c r="BV311" i="2"/>
  <c r="AX311" i="2"/>
  <c r="DP311" i="2"/>
  <c r="CR311" i="2"/>
  <c r="BT311" i="2"/>
  <c r="AV311" i="2"/>
  <c r="B31" i="42"/>
  <c r="AC312" i="2"/>
  <c r="AD312" i="2" s="1"/>
  <c r="E312" i="2"/>
  <c r="D312" i="2"/>
  <c r="V312" i="2"/>
  <c r="C313" i="2"/>
  <c r="G312" i="2"/>
  <c r="N26" i="41"/>
  <c r="M57" i="41"/>
  <c r="B26" i="42"/>
  <c r="C25" i="42"/>
  <c r="C14" i="42"/>
  <c r="C34" i="42"/>
  <c r="C33" i="42"/>
  <c r="C24" i="42"/>
  <c r="C13" i="42"/>
  <c r="C23" i="42"/>
  <c r="C32" i="42"/>
  <c r="C22" i="42"/>
  <c r="C21" i="42"/>
  <c r="C20" i="42"/>
  <c r="C19" i="42"/>
  <c r="C30" i="42"/>
  <c r="C31" i="42" s="1"/>
  <c r="C18" i="42"/>
  <c r="C12" i="42"/>
  <c r="C39" i="42"/>
  <c r="C17" i="42"/>
  <c r="C11" i="42"/>
  <c r="C38" i="42"/>
  <c r="C16" i="42"/>
  <c r="C10" i="42"/>
  <c r="C15" i="42"/>
  <c r="E4" i="42"/>
  <c r="D6" i="42"/>
  <c r="D9" i="42" s="1"/>
  <c r="C9" i="42"/>
  <c r="C8" i="42"/>
  <c r="W310" i="2"/>
  <c r="B311" i="2"/>
  <c r="F27" i="12"/>
  <c r="F27" i="4"/>
  <c r="G27" i="10"/>
  <c r="F27" i="3"/>
  <c r="H27" i="12" l="1"/>
  <c r="G27" i="12"/>
  <c r="G27" i="3"/>
  <c r="H27" i="3"/>
  <c r="DV312" i="2"/>
  <c r="CX312" i="2"/>
  <c r="BZ312" i="2"/>
  <c r="BB312" i="2"/>
  <c r="DT312" i="2"/>
  <c r="CV312" i="2"/>
  <c r="BX312" i="2"/>
  <c r="AZ312" i="2"/>
  <c r="DR312" i="2"/>
  <c r="CT312" i="2"/>
  <c r="BV312" i="2"/>
  <c r="AX312" i="2"/>
  <c r="DP312" i="2"/>
  <c r="CR312" i="2"/>
  <c r="BT312" i="2"/>
  <c r="AV312" i="2"/>
  <c r="DN312" i="2"/>
  <c r="CP312" i="2"/>
  <c r="BR312" i="2"/>
  <c r="AT312" i="2"/>
  <c r="A312" i="2"/>
  <c r="DL312" i="2"/>
  <c r="CN312" i="2"/>
  <c r="BP312" i="2"/>
  <c r="AR312" i="2"/>
  <c r="DJ312" i="2"/>
  <c r="CL312" i="2"/>
  <c r="BN312" i="2"/>
  <c r="AP312" i="2"/>
  <c r="S312" i="2"/>
  <c r="T312" i="2" s="1"/>
  <c r="DH312" i="2"/>
  <c r="CJ312" i="2"/>
  <c r="BL312" i="2"/>
  <c r="AN312" i="2"/>
  <c r="DF312" i="2"/>
  <c r="CH312" i="2"/>
  <c r="BJ312" i="2"/>
  <c r="AL312" i="2"/>
  <c r="EB312" i="2"/>
  <c r="DD312" i="2"/>
  <c r="CF312" i="2"/>
  <c r="BH312" i="2"/>
  <c r="AJ312" i="2"/>
  <c r="DZ312" i="2"/>
  <c r="DB312" i="2"/>
  <c r="CD312" i="2"/>
  <c r="BF312" i="2"/>
  <c r="AH312" i="2"/>
  <c r="DX312" i="2"/>
  <c r="CZ312" i="2"/>
  <c r="CB312" i="2"/>
  <c r="BD312" i="2"/>
  <c r="G313" i="2"/>
  <c r="AC313" i="2"/>
  <c r="AD313" i="2" s="1"/>
  <c r="E313" i="2"/>
  <c r="D313" i="2"/>
  <c r="F313" i="2" s="1"/>
  <c r="AB313" i="2" s="1"/>
  <c r="V313" i="2"/>
  <c r="C314" i="2"/>
  <c r="C26" i="42"/>
  <c r="W311" i="2"/>
  <c r="B312" i="2"/>
  <c r="D8" i="42"/>
  <c r="F312" i="2"/>
  <c r="AB312" i="2" s="1"/>
  <c r="D25" i="42"/>
  <c r="D14" i="42"/>
  <c r="D34" i="42"/>
  <c r="D33" i="42"/>
  <c r="D24" i="42"/>
  <c r="D13" i="42"/>
  <c r="D23" i="42"/>
  <c r="D32" i="42"/>
  <c r="D22" i="42"/>
  <c r="D20" i="42"/>
  <c r="D19" i="42"/>
  <c r="D30" i="42"/>
  <c r="D31" i="42" s="1"/>
  <c r="D18" i="42"/>
  <c r="D39" i="42"/>
  <c r="D17" i="42"/>
  <c r="D11" i="42"/>
  <c r="D38" i="42"/>
  <c r="D16" i="42"/>
  <c r="D10" i="42"/>
  <c r="D15" i="42"/>
  <c r="D21" i="42"/>
  <c r="F4" i="42"/>
  <c r="E6" i="42"/>
  <c r="E9" i="42" s="1"/>
  <c r="B57" i="42"/>
  <c r="N57" i="41"/>
  <c r="H60" i="41"/>
  <c r="B60" i="41"/>
  <c r="B27" i="41"/>
  <c r="C27" i="41"/>
  <c r="D27" i="41"/>
  <c r="E27" i="41"/>
  <c r="F27" i="41"/>
  <c r="G27" i="41"/>
  <c r="H27" i="41"/>
  <c r="I27" i="41"/>
  <c r="J27" i="41"/>
  <c r="K27" i="41"/>
  <c r="L27" i="41"/>
  <c r="M27" i="41"/>
  <c r="H27" i="4"/>
  <c r="B27" i="4"/>
  <c r="J27" i="4"/>
  <c r="B27" i="12"/>
  <c r="B27" i="3"/>
  <c r="I27" i="4"/>
  <c r="C27" i="10"/>
  <c r="O27" i="3"/>
  <c r="E27" i="4"/>
  <c r="G27" i="4"/>
  <c r="E27" i="3"/>
  <c r="K27" i="4"/>
  <c r="E27" i="12"/>
  <c r="F27" i="10"/>
  <c r="E8" i="42" l="1"/>
  <c r="D26" i="42"/>
  <c r="D57" i="42" s="1"/>
  <c r="O27" i="4"/>
  <c r="P27" i="4" s="1"/>
  <c r="AH27" i="11" s="1"/>
  <c r="C27" i="3"/>
  <c r="B27" i="5"/>
  <c r="B27" i="7"/>
  <c r="B27" i="6"/>
  <c r="E27" i="5"/>
  <c r="E27" i="7"/>
  <c r="E27" i="6"/>
  <c r="C27" i="4"/>
  <c r="F28" i="41"/>
  <c r="F58" i="41" s="1"/>
  <c r="F59" i="41" s="1"/>
  <c r="DF313" i="2"/>
  <c r="CH313" i="2"/>
  <c r="BJ313" i="2"/>
  <c r="AL313" i="2"/>
  <c r="EB313" i="2"/>
  <c r="DD313" i="2"/>
  <c r="CF313" i="2"/>
  <c r="BH313" i="2"/>
  <c r="AJ313" i="2"/>
  <c r="DZ313" i="2"/>
  <c r="DB313" i="2"/>
  <c r="CD313" i="2"/>
  <c r="BF313" i="2"/>
  <c r="AH313" i="2"/>
  <c r="DX313" i="2"/>
  <c r="CZ313" i="2"/>
  <c r="CB313" i="2"/>
  <c r="BD313" i="2"/>
  <c r="DV313" i="2"/>
  <c r="CX313" i="2"/>
  <c r="BZ313" i="2"/>
  <c r="BB313" i="2"/>
  <c r="DT313" i="2"/>
  <c r="CV313" i="2"/>
  <c r="BX313" i="2"/>
  <c r="AZ313" i="2"/>
  <c r="DR313" i="2"/>
  <c r="CT313" i="2"/>
  <c r="BV313" i="2"/>
  <c r="AX313" i="2"/>
  <c r="DP313" i="2"/>
  <c r="CR313" i="2"/>
  <c r="BT313" i="2"/>
  <c r="AV313" i="2"/>
  <c r="DN313" i="2"/>
  <c r="CP313" i="2"/>
  <c r="BR313" i="2"/>
  <c r="AT313" i="2"/>
  <c r="A313" i="2"/>
  <c r="DL313" i="2"/>
  <c r="CN313" i="2"/>
  <c r="BP313" i="2"/>
  <c r="AR313" i="2"/>
  <c r="DJ313" i="2"/>
  <c r="CL313" i="2"/>
  <c r="BN313" i="2"/>
  <c r="AP313" i="2"/>
  <c r="S313" i="2"/>
  <c r="T313" i="2" s="1"/>
  <c r="DH313" i="2"/>
  <c r="CJ313" i="2"/>
  <c r="BL313" i="2"/>
  <c r="AN313" i="2"/>
  <c r="D28" i="41"/>
  <c r="D58" i="41" s="1"/>
  <c r="D59" i="41" s="1"/>
  <c r="N27" i="41"/>
  <c r="B28" i="41"/>
  <c r="M28" i="41"/>
  <c r="M58" i="41" s="1"/>
  <c r="M59" i="41" s="1"/>
  <c r="E28" i="41"/>
  <c r="E58" i="41" s="1"/>
  <c r="E59" i="41" s="1"/>
  <c r="L28" i="41"/>
  <c r="L58" i="41" s="1"/>
  <c r="L59" i="41" s="1"/>
  <c r="E34" i="42"/>
  <c r="E33" i="42"/>
  <c r="E24" i="42"/>
  <c r="E13" i="42"/>
  <c r="E23" i="42"/>
  <c r="E32" i="42"/>
  <c r="E22" i="42"/>
  <c r="E20" i="42"/>
  <c r="E19" i="42"/>
  <c r="E30" i="42"/>
  <c r="E31" i="42" s="1"/>
  <c r="E18" i="42"/>
  <c r="E39" i="42"/>
  <c r="E17" i="42"/>
  <c r="E11" i="42"/>
  <c r="E38" i="42"/>
  <c r="E16" i="42"/>
  <c r="E10" i="42"/>
  <c r="E15" i="42"/>
  <c r="E25" i="42"/>
  <c r="E14" i="42"/>
  <c r="E21" i="42"/>
  <c r="C28" i="41"/>
  <c r="C58" i="41" s="1"/>
  <c r="C59" i="41" s="1"/>
  <c r="K28" i="41"/>
  <c r="K58" i="41" s="1"/>
  <c r="K59" i="41" s="1"/>
  <c r="C57" i="42"/>
  <c r="C315" i="2"/>
  <c r="G314" i="2"/>
  <c r="AC314" i="2"/>
  <c r="AD314" i="2" s="1"/>
  <c r="E314" i="2"/>
  <c r="D314" i="2"/>
  <c r="F314" i="2" s="1"/>
  <c r="AB314" i="2" s="1"/>
  <c r="V314" i="2"/>
  <c r="I28" i="41"/>
  <c r="I58" i="41" s="1"/>
  <c r="I59" i="41" s="1"/>
  <c r="W312" i="2"/>
  <c r="B313" i="2"/>
  <c r="J28" i="41"/>
  <c r="J58" i="41" s="1"/>
  <c r="J59" i="41" s="1"/>
  <c r="H28" i="41"/>
  <c r="H58" i="41" s="1"/>
  <c r="H59" i="41" s="1"/>
  <c r="G4" i="42"/>
  <c r="F6" i="42"/>
  <c r="G28" i="41"/>
  <c r="G58" i="41" s="1"/>
  <c r="G59" i="41" s="1"/>
  <c r="H27" i="10"/>
  <c r="E26" i="42" l="1"/>
  <c r="E57" i="42" s="1"/>
  <c r="J27" i="10"/>
  <c r="K27" i="10" s="1"/>
  <c r="I27" i="10"/>
  <c r="F8" i="42"/>
  <c r="H4" i="42"/>
  <c r="G6" i="42"/>
  <c r="N28" i="41"/>
  <c r="B58" i="41"/>
  <c r="W313" i="2"/>
  <c r="B314" i="2"/>
  <c r="F33" i="42"/>
  <c r="F24" i="42"/>
  <c r="F13" i="42"/>
  <c r="F23" i="42"/>
  <c r="F32" i="42"/>
  <c r="F22" i="42"/>
  <c r="F20" i="42"/>
  <c r="F19" i="42"/>
  <c r="F30" i="42"/>
  <c r="F31" i="42" s="1"/>
  <c r="F18" i="42"/>
  <c r="F39" i="42"/>
  <c r="F17" i="42"/>
  <c r="F11" i="42"/>
  <c r="F38" i="42"/>
  <c r="F16" i="42"/>
  <c r="F10" i="42"/>
  <c r="F15" i="42"/>
  <c r="F25" i="42"/>
  <c r="F14" i="42"/>
  <c r="F34" i="42"/>
  <c r="F21" i="42"/>
  <c r="DN314" i="2"/>
  <c r="CP314" i="2"/>
  <c r="BR314" i="2"/>
  <c r="AT314" i="2"/>
  <c r="A314" i="2"/>
  <c r="DL314" i="2"/>
  <c r="CN314" i="2"/>
  <c r="BP314" i="2"/>
  <c r="AR314" i="2"/>
  <c r="DJ314" i="2"/>
  <c r="CL314" i="2"/>
  <c r="BN314" i="2"/>
  <c r="AP314" i="2"/>
  <c r="S314" i="2"/>
  <c r="T314" i="2" s="1"/>
  <c r="DH314" i="2"/>
  <c r="CJ314" i="2"/>
  <c r="BL314" i="2"/>
  <c r="AN314" i="2"/>
  <c r="DF314" i="2"/>
  <c r="CH314" i="2"/>
  <c r="BJ314" i="2"/>
  <c r="AL314" i="2"/>
  <c r="EB314" i="2"/>
  <c r="DD314" i="2"/>
  <c r="CF314" i="2"/>
  <c r="BH314" i="2"/>
  <c r="AJ314" i="2"/>
  <c r="DZ314" i="2"/>
  <c r="DB314" i="2"/>
  <c r="CD314" i="2"/>
  <c r="BF314" i="2"/>
  <c r="AH314" i="2"/>
  <c r="DX314" i="2"/>
  <c r="CZ314" i="2"/>
  <c r="CB314" i="2"/>
  <c r="BD314" i="2"/>
  <c r="DV314" i="2"/>
  <c r="CX314" i="2"/>
  <c r="BZ314" i="2"/>
  <c r="BB314" i="2"/>
  <c r="DT314" i="2"/>
  <c r="CV314" i="2"/>
  <c r="BX314" i="2"/>
  <c r="AZ314" i="2"/>
  <c r="DR314" i="2"/>
  <c r="CT314" i="2"/>
  <c r="BV314" i="2"/>
  <c r="AX314" i="2"/>
  <c r="DP314" i="2"/>
  <c r="CR314" i="2"/>
  <c r="BT314" i="2"/>
  <c r="AV314" i="2"/>
  <c r="AC315" i="2"/>
  <c r="AD315" i="2" s="1"/>
  <c r="E315" i="2"/>
  <c r="D315" i="2"/>
  <c r="V315" i="2"/>
  <c r="C316" i="2"/>
  <c r="G315" i="2"/>
  <c r="D27" i="11"/>
  <c r="AC27" i="11" s="1"/>
  <c r="D27" i="5"/>
  <c r="D27" i="6" s="1"/>
  <c r="F9" i="42"/>
  <c r="F26" i="42" l="1"/>
  <c r="F57" i="42" s="1"/>
  <c r="M27" i="11"/>
  <c r="R27" i="11"/>
  <c r="X27" i="11"/>
  <c r="Y27" i="11"/>
  <c r="N58" i="41"/>
  <c r="N59" i="41" s="1"/>
  <c r="F60" i="41" s="1"/>
  <c r="B59" i="41"/>
  <c r="D27" i="7"/>
  <c r="D27" i="8" s="1"/>
  <c r="D27" i="9" s="1"/>
  <c r="D27" i="10" s="1"/>
  <c r="C27" i="12" s="1"/>
  <c r="R27" i="6"/>
  <c r="S27" i="11"/>
  <c r="AF27" i="11"/>
  <c r="Z27" i="11"/>
  <c r="U27" i="11"/>
  <c r="O27" i="11"/>
  <c r="AE27" i="11"/>
  <c r="T27" i="11"/>
  <c r="AG27" i="11"/>
  <c r="AA27" i="11"/>
  <c r="DV315" i="2"/>
  <c r="CX315" i="2"/>
  <c r="BZ315" i="2"/>
  <c r="BB315" i="2"/>
  <c r="DT315" i="2"/>
  <c r="CV315" i="2"/>
  <c r="BX315" i="2"/>
  <c r="AZ315" i="2"/>
  <c r="DR315" i="2"/>
  <c r="CT315" i="2"/>
  <c r="BV315" i="2"/>
  <c r="AX315" i="2"/>
  <c r="DP315" i="2"/>
  <c r="CR315" i="2"/>
  <c r="BT315" i="2"/>
  <c r="AV315" i="2"/>
  <c r="DN315" i="2"/>
  <c r="CP315" i="2"/>
  <c r="BR315" i="2"/>
  <c r="AT315" i="2"/>
  <c r="A315" i="2"/>
  <c r="DL315" i="2"/>
  <c r="CN315" i="2"/>
  <c r="BP315" i="2"/>
  <c r="AR315" i="2"/>
  <c r="DJ315" i="2"/>
  <c r="CL315" i="2"/>
  <c r="BN315" i="2"/>
  <c r="AP315" i="2"/>
  <c r="S315" i="2"/>
  <c r="T315" i="2" s="1"/>
  <c r="DH315" i="2"/>
  <c r="CJ315" i="2"/>
  <c r="BL315" i="2"/>
  <c r="AN315" i="2"/>
  <c r="DF315" i="2"/>
  <c r="CH315" i="2"/>
  <c r="BJ315" i="2"/>
  <c r="AL315" i="2"/>
  <c r="EB315" i="2"/>
  <c r="DD315" i="2"/>
  <c r="CF315" i="2"/>
  <c r="BH315" i="2"/>
  <c r="AJ315" i="2"/>
  <c r="DZ315" i="2"/>
  <c r="DB315" i="2"/>
  <c r="CD315" i="2"/>
  <c r="BF315" i="2"/>
  <c r="AH315" i="2"/>
  <c r="DX315" i="2"/>
  <c r="CZ315" i="2"/>
  <c r="CB315" i="2"/>
  <c r="BD315" i="2"/>
  <c r="G316" i="2"/>
  <c r="AC316" i="2"/>
  <c r="AD316" i="2" s="1"/>
  <c r="E316" i="2"/>
  <c r="D316" i="2"/>
  <c r="V316" i="2"/>
  <c r="C317" i="2"/>
  <c r="G23" i="42"/>
  <c r="G32" i="42"/>
  <c r="G22" i="42"/>
  <c r="G20" i="42"/>
  <c r="G19" i="42"/>
  <c r="G30" i="42"/>
  <c r="G31" i="42" s="1"/>
  <c r="G18" i="42"/>
  <c r="G39" i="42"/>
  <c r="G17" i="42"/>
  <c r="G11" i="42"/>
  <c r="G38" i="42"/>
  <c r="G16" i="42"/>
  <c r="G10" i="42"/>
  <c r="G15" i="42"/>
  <c r="G25" i="42"/>
  <c r="G14" i="42"/>
  <c r="G34" i="42"/>
  <c r="G24" i="42"/>
  <c r="G13" i="42"/>
  <c r="G33" i="42"/>
  <c r="G21" i="42"/>
  <c r="N27" i="11"/>
  <c r="P27" i="11"/>
  <c r="AB27" i="11"/>
  <c r="W314" i="2"/>
  <c r="B315" i="2"/>
  <c r="G8" i="42"/>
  <c r="V27" i="11"/>
  <c r="K27" i="11"/>
  <c r="F315" i="2"/>
  <c r="AB315" i="2" s="1"/>
  <c r="G9" i="42"/>
  <c r="AD27" i="11"/>
  <c r="Q27" i="11"/>
  <c r="I4" i="42"/>
  <c r="H6" i="42"/>
  <c r="J27" i="11"/>
  <c r="W27" i="11"/>
  <c r="L27" i="11"/>
  <c r="H8" i="42" l="1"/>
  <c r="H7" i="42"/>
  <c r="N7" i="42" s="1"/>
  <c r="H9" i="42"/>
  <c r="G26" i="42"/>
  <c r="G57" i="42" s="1"/>
  <c r="J4" i="42"/>
  <c r="I6" i="42"/>
  <c r="DF316" i="2"/>
  <c r="CH316" i="2"/>
  <c r="BJ316" i="2"/>
  <c r="AL316" i="2"/>
  <c r="EB316" i="2"/>
  <c r="DD316" i="2"/>
  <c r="CF316" i="2"/>
  <c r="BH316" i="2"/>
  <c r="AJ316" i="2"/>
  <c r="DZ316" i="2"/>
  <c r="DB316" i="2"/>
  <c r="CD316" i="2"/>
  <c r="BF316" i="2"/>
  <c r="AH316" i="2"/>
  <c r="DX316" i="2"/>
  <c r="CZ316" i="2"/>
  <c r="CB316" i="2"/>
  <c r="BD316" i="2"/>
  <c r="DV316" i="2"/>
  <c r="CX316" i="2"/>
  <c r="BZ316" i="2"/>
  <c r="BB316" i="2"/>
  <c r="DT316" i="2"/>
  <c r="CV316" i="2"/>
  <c r="BX316" i="2"/>
  <c r="AZ316" i="2"/>
  <c r="DR316" i="2"/>
  <c r="CT316" i="2"/>
  <c r="BV316" i="2"/>
  <c r="AX316" i="2"/>
  <c r="DP316" i="2"/>
  <c r="CR316" i="2"/>
  <c r="BT316" i="2"/>
  <c r="AV316" i="2"/>
  <c r="DN316" i="2"/>
  <c r="CP316" i="2"/>
  <c r="BR316" i="2"/>
  <c r="AT316" i="2"/>
  <c r="A316" i="2"/>
  <c r="DL316" i="2"/>
  <c r="CN316" i="2"/>
  <c r="BP316" i="2"/>
  <c r="AR316" i="2"/>
  <c r="DJ316" i="2"/>
  <c r="CL316" i="2"/>
  <c r="BN316" i="2"/>
  <c r="AP316" i="2"/>
  <c r="S316" i="2"/>
  <c r="T316" i="2" s="1"/>
  <c r="DH316" i="2"/>
  <c r="CJ316" i="2"/>
  <c r="BL316" i="2"/>
  <c r="AN316" i="2"/>
  <c r="C318" i="2"/>
  <c r="G317" i="2"/>
  <c r="AC317" i="2"/>
  <c r="AD317" i="2" s="1"/>
  <c r="E317" i="2"/>
  <c r="D317" i="2"/>
  <c r="V317" i="2"/>
  <c r="G27" i="11"/>
  <c r="W315" i="2"/>
  <c r="B316" i="2"/>
  <c r="H32" i="42"/>
  <c r="H22" i="42"/>
  <c r="H20" i="42"/>
  <c r="H19" i="42"/>
  <c r="H30" i="42"/>
  <c r="H31" i="42" s="1"/>
  <c r="H18" i="42"/>
  <c r="H39" i="42"/>
  <c r="H17" i="42"/>
  <c r="H11" i="42"/>
  <c r="H38" i="42"/>
  <c r="H16" i="42"/>
  <c r="H10" i="42"/>
  <c r="H15" i="42"/>
  <c r="H25" i="42"/>
  <c r="H14" i="42"/>
  <c r="H34" i="42"/>
  <c r="H33" i="42"/>
  <c r="H24" i="42"/>
  <c r="H13" i="42"/>
  <c r="H23" i="42"/>
  <c r="H21" i="42"/>
  <c r="F316" i="2"/>
  <c r="AB316" i="2" s="1"/>
  <c r="I60" i="41"/>
  <c r="G60" i="41"/>
  <c r="F317" i="2" l="1"/>
  <c r="AB317" i="2" s="1"/>
  <c r="H27" i="11"/>
  <c r="C27" i="11"/>
  <c r="E27" i="11" s="1"/>
  <c r="I20" i="42"/>
  <c r="I19" i="42"/>
  <c r="I30" i="42"/>
  <c r="I31" i="42" s="1"/>
  <c r="I18" i="42"/>
  <c r="I39" i="42"/>
  <c r="I17" i="42"/>
  <c r="I11" i="42"/>
  <c r="I38" i="42"/>
  <c r="I16" i="42"/>
  <c r="I10" i="42"/>
  <c r="I15" i="42"/>
  <c r="I25" i="42"/>
  <c r="I14" i="42"/>
  <c r="I34" i="42"/>
  <c r="I33" i="42"/>
  <c r="I24" i="42"/>
  <c r="I13" i="42"/>
  <c r="I23" i="42"/>
  <c r="I22" i="42"/>
  <c r="I32" i="42"/>
  <c r="I21" i="42"/>
  <c r="K4" i="42"/>
  <c r="J6" i="42"/>
  <c r="W316" i="2"/>
  <c r="B317" i="2"/>
  <c r="I8" i="42"/>
  <c r="DN317" i="2"/>
  <c r="CP317" i="2"/>
  <c r="BR317" i="2"/>
  <c r="AT317" i="2"/>
  <c r="A317" i="2"/>
  <c r="DL317" i="2"/>
  <c r="CN317" i="2"/>
  <c r="BP317" i="2"/>
  <c r="AR317" i="2"/>
  <c r="DJ317" i="2"/>
  <c r="CL317" i="2"/>
  <c r="BN317" i="2"/>
  <c r="AP317" i="2"/>
  <c r="S317" i="2"/>
  <c r="T317" i="2" s="1"/>
  <c r="DH317" i="2"/>
  <c r="CJ317" i="2"/>
  <c r="BL317" i="2"/>
  <c r="AN317" i="2"/>
  <c r="DF317" i="2"/>
  <c r="CH317" i="2"/>
  <c r="BJ317" i="2"/>
  <c r="AL317" i="2"/>
  <c r="EB317" i="2"/>
  <c r="DD317" i="2"/>
  <c r="CF317" i="2"/>
  <c r="BH317" i="2"/>
  <c r="AJ317" i="2"/>
  <c r="DZ317" i="2"/>
  <c r="DB317" i="2"/>
  <c r="CD317" i="2"/>
  <c r="BF317" i="2"/>
  <c r="AH317" i="2"/>
  <c r="DX317" i="2"/>
  <c r="CZ317" i="2"/>
  <c r="CB317" i="2"/>
  <c r="BD317" i="2"/>
  <c r="DV317" i="2"/>
  <c r="CX317" i="2"/>
  <c r="BZ317" i="2"/>
  <c r="BB317" i="2"/>
  <c r="DT317" i="2"/>
  <c r="CV317" i="2"/>
  <c r="BX317" i="2"/>
  <c r="AZ317" i="2"/>
  <c r="DR317" i="2"/>
  <c r="CT317" i="2"/>
  <c r="BV317" i="2"/>
  <c r="AX317" i="2"/>
  <c r="DP317" i="2"/>
  <c r="CR317" i="2"/>
  <c r="BT317" i="2"/>
  <c r="AV317" i="2"/>
  <c r="I9" i="42"/>
  <c r="AC318" i="2"/>
  <c r="AD318" i="2" s="1"/>
  <c r="E318" i="2"/>
  <c r="D318" i="2"/>
  <c r="F318" i="2" s="1"/>
  <c r="AB318" i="2" s="1"/>
  <c r="V318" i="2"/>
  <c r="C319" i="2"/>
  <c r="G318" i="2"/>
  <c r="H26" i="42"/>
  <c r="I26" i="42" l="1"/>
  <c r="I57" i="42" s="1"/>
  <c r="G319" i="2"/>
  <c r="AC319" i="2"/>
  <c r="AD319" i="2" s="1"/>
  <c r="E319" i="2"/>
  <c r="D319" i="2"/>
  <c r="F319" i="2" s="1"/>
  <c r="AB319" i="2" s="1"/>
  <c r="V319" i="2"/>
  <c r="C320" i="2"/>
  <c r="J19" i="42"/>
  <c r="J30" i="42"/>
  <c r="J31" i="42" s="1"/>
  <c r="J18" i="42"/>
  <c r="J39" i="42"/>
  <c r="J17" i="42"/>
  <c r="J11" i="42"/>
  <c r="J38" i="42"/>
  <c r="J16" i="42"/>
  <c r="J10" i="42"/>
  <c r="J15" i="42"/>
  <c r="J25" i="42"/>
  <c r="J14" i="42"/>
  <c r="J34" i="42"/>
  <c r="J12" i="42"/>
  <c r="J33" i="42"/>
  <c r="J24" i="42"/>
  <c r="J13" i="42"/>
  <c r="J23" i="42"/>
  <c r="J32" i="42"/>
  <c r="J22" i="42"/>
  <c r="J20" i="42"/>
  <c r="J21" i="42"/>
  <c r="L4" i="42"/>
  <c r="K6" i="42"/>
  <c r="J8" i="42"/>
  <c r="J9" i="42"/>
  <c r="W317" i="2"/>
  <c r="B318" i="2"/>
  <c r="H57" i="42"/>
  <c r="DV318" i="2"/>
  <c r="CX318" i="2"/>
  <c r="BZ318" i="2"/>
  <c r="BB318" i="2"/>
  <c r="DT318" i="2"/>
  <c r="CV318" i="2"/>
  <c r="BX318" i="2"/>
  <c r="AZ318" i="2"/>
  <c r="DR318" i="2"/>
  <c r="CT318" i="2"/>
  <c r="BV318" i="2"/>
  <c r="AX318" i="2"/>
  <c r="DP318" i="2"/>
  <c r="CR318" i="2"/>
  <c r="BT318" i="2"/>
  <c r="AV318" i="2"/>
  <c r="DN318" i="2"/>
  <c r="CP318" i="2"/>
  <c r="BR318" i="2"/>
  <c r="AT318" i="2"/>
  <c r="A318" i="2"/>
  <c r="DL318" i="2"/>
  <c r="CN318" i="2"/>
  <c r="BP318" i="2"/>
  <c r="AR318" i="2"/>
  <c r="DJ318" i="2"/>
  <c r="CL318" i="2"/>
  <c r="BN318" i="2"/>
  <c r="AP318" i="2"/>
  <c r="S318" i="2"/>
  <c r="T318" i="2" s="1"/>
  <c r="DH318" i="2"/>
  <c r="CJ318" i="2"/>
  <c r="BL318" i="2"/>
  <c r="AN318" i="2"/>
  <c r="DF318" i="2"/>
  <c r="CH318" i="2"/>
  <c r="BJ318" i="2"/>
  <c r="AL318" i="2"/>
  <c r="EB318" i="2"/>
  <c r="DD318" i="2"/>
  <c r="CF318" i="2"/>
  <c r="BH318" i="2"/>
  <c r="AJ318" i="2"/>
  <c r="DZ318" i="2"/>
  <c r="DB318" i="2"/>
  <c r="CD318" i="2"/>
  <c r="BF318" i="2"/>
  <c r="AH318" i="2"/>
  <c r="DX318" i="2"/>
  <c r="CZ318" i="2"/>
  <c r="CB318" i="2"/>
  <c r="BD318" i="2"/>
  <c r="J26" i="42" l="1"/>
  <c r="J57" i="42" s="1"/>
  <c r="C321" i="2"/>
  <c r="G320" i="2"/>
  <c r="AC320" i="2"/>
  <c r="AD320" i="2" s="1"/>
  <c r="E320" i="2"/>
  <c r="D320" i="2"/>
  <c r="V320" i="2"/>
  <c r="W318" i="2"/>
  <c r="B319" i="2"/>
  <c r="K30" i="42"/>
  <c r="K31" i="42" s="1"/>
  <c r="K18" i="42"/>
  <c r="K39" i="42"/>
  <c r="K17" i="42"/>
  <c r="K11" i="42"/>
  <c r="K38" i="42"/>
  <c r="K16" i="42"/>
  <c r="K10" i="42"/>
  <c r="K15" i="42"/>
  <c r="K25" i="42"/>
  <c r="K14" i="42"/>
  <c r="K34" i="42"/>
  <c r="K12" i="42"/>
  <c r="N12" i="42" s="1"/>
  <c r="K33" i="42"/>
  <c r="K24" i="42"/>
  <c r="K13" i="42"/>
  <c r="K23" i="42"/>
  <c r="K32" i="42"/>
  <c r="K22" i="42"/>
  <c r="K20" i="42"/>
  <c r="K19" i="42"/>
  <c r="K21" i="42"/>
  <c r="M4" i="42"/>
  <c r="L6" i="42"/>
  <c r="L9" i="42" s="1"/>
  <c r="K8" i="42"/>
  <c r="DF319" i="2"/>
  <c r="CH319" i="2"/>
  <c r="BJ319" i="2"/>
  <c r="AL319" i="2"/>
  <c r="EB319" i="2"/>
  <c r="DD319" i="2"/>
  <c r="CF319" i="2"/>
  <c r="BH319" i="2"/>
  <c r="AJ319" i="2"/>
  <c r="DZ319" i="2"/>
  <c r="DB319" i="2"/>
  <c r="CD319" i="2"/>
  <c r="BF319" i="2"/>
  <c r="AH319" i="2"/>
  <c r="DX319" i="2"/>
  <c r="CZ319" i="2"/>
  <c r="CB319" i="2"/>
  <c r="BD319" i="2"/>
  <c r="DV319" i="2"/>
  <c r="CX319" i="2"/>
  <c r="BZ319" i="2"/>
  <c r="BB319" i="2"/>
  <c r="DT319" i="2"/>
  <c r="CV319" i="2"/>
  <c r="BX319" i="2"/>
  <c r="AZ319" i="2"/>
  <c r="DR319" i="2"/>
  <c r="CT319" i="2"/>
  <c r="BV319" i="2"/>
  <c r="AX319" i="2"/>
  <c r="DP319" i="2"/>
  <c r="CR319" i="2"/>
  <c r="BT319" i="2"/>
  <c r="AV319" i="2"/>
  <c r="DN319" i="2"/>
  <c r="CP319" i="2"/>
  <c r="BR319" i="2"/>
  <c r="AT319" i="2"/>
  <c r="A319" i="2"/>
  <c r="DL319" i="2"/>
  <c r="CN319" i="2"/>
  <c r="BP319" i="2"/>
  <c r="AR319" i="2"/>
  <c r="DJ319" i="2"/>
  <c r="CL319" i="2"/>
  <c r="BN319" i="2"/>
  <c r="AP319" i="2"/>
  <c r="S319" i="2"/>
  <c r="T319" i="2" s="1"/>
  <c r="DH319" i="2"/>
  <c r="CJ319" i="2"/>
  <c r="BL319" i="2"/>
  <c r="AN319" i="2"/>
  <c r="K9" i="42"/>
  <c r="I28" i="9"/>
  <c r="H28" i="9"/>
  <c r="K26" i="42" l="1"/>
  <c r="K57" i="42" s="1"/>
  <c r="W319" i="2"/>
  <c r="B320" i="2"/>
  <c r="B4" i="43"/>
  <c r="M6" i="42"/>
  <c r="F320" i="2"/>
  <c r="AB320" i="2" s="1"/>
  <c r="L8" i="42"/>
  <c r="DN320" i="2"/>
  <c r="CP320" i="2"/>
  <c r="BR320" i="2"/>
  <c r="AT320" i="2"/>
  <c r="A320" i="2"/>
  <c r="DL320" i="2"/>
  <c r="CN320" i="2"/>
  <c r="BP320" i="2"/>
  <c r="AR320" i="2"/>
  <c r="DJ320" i="2"/>
  <c r="CL320" i="2"/>
  <c r="BN320" i="2"/>
  <c r="AP320" i="2"/>
  <c r="S320" i="2"/>
  <c r="T320" i="2" s="1"/>
  <c r="DH320" i="2"/>
  <c r="CJ320" i="2"/>
  <c r="BL320" i="2"/>
  <c r="AN320" i="2"/>
  <c r="DF320" i="2"/>
  <c r="CH320" i="2"/>
  <c r="BJ320" i="2"/>
  <c r="AL320" i="2"/>
  <c r="EB320" i="2"/>
  <c r="DD320" i="2"/>
  <c r="CF320" i="2"/>
  <c r="BH320" i="2"/>
  <c r="AJ320" i="2"/>
  <c r="DZ320" i="2"/>
  <c r="DB320" i="2"/>
  <c r="CD320" i="2"/>
  <c r="BF320" i="2"/>
  <c r="AH320" i="2"/>
  <c r="DX320" i="2"/>
  <c r="CZ320" i="2"/>
  <c r="CB320" i="2"/>
  <c r="BD320" i="2"/>
  <c r="DV320" i="2"/>
  <c r="CX320" i="2"/>
  <c r="BZ320" i="2"/>
  <c r="BB320" i="2"/>
  <c r="DT320" i="2"/>
  <c r="CV320" i="2"/>
  <c r="BX320" i="2"/>
  <c r="AZ320" i="2"/>
  <c r="DR320" i="2"/>
  <c r="CT320" i="2"/>
  <c r="BV320" i="2"/>
  <c r="AX320" i="2"/>
  <c r="DP320" i="2"/>
  <c r="CR320" i="2"/>
  <c r="BT320" i="2"/>
  <c r="AV320" i="2"/>
  <c r="E321" i="2"/>
  <c r="D321" i="2"/>
  <c r="C322" i="2"/>
  <c r="V321" i="2"/>
  <c r="AC321" i="2"/>
  <c r="AD321" i="2" s="1"/>
  <c r="G321" i="2"/>
  <c r="L39" i="42"/>
  <c r="L17" i="42"/>
  <c r="L11" i="42"/>
  <c r="L38" i="42"/>
  <c r="L16" i="42"/>
  <c r="L10" i="42"/>
  <c r="L15" i="42"/>
  <c r="L25" i="42"/>
  <c r="L14" i="42"/>
  <c r="L34" i="42"/>
  <c r="L33" i="42"/>
  <c r="L24" i="42"/>
  <c r="L13" i="42"/>
  <c r="L23" i="42"/>
  <c r="L32" i="42"/>
  <c r="L22" i="42"/>
  <c r="L20" i="42"/>
  <c r="L19" i="42"/>
  <c r="L30" i="42"/>
  <c r="L31" i="42" s="1"/>
  <c r="L18" i="42"/>
  <c r="L21" i="42"/>
  <c r="F321" i="2" l="1"/>
  <c r="AB321" i="2" s="1"/>
  <c r="L26" i="42"/>
  <c r="L57" i="42" s="1"/>
  <c r="M38" i="42"/>
  <c r="N38" i="42" s="1"/>
  <c r="M16" i="42"/>
  <c r="N16" i="42" s="1"/>
  <c r="M10" i="42"/>
  <c r="N10" i="42" s="1"/>
  <c r="M15" i="42"/>
  <c r="N15" i="42" s="1"/>
  <c r="M25" i="42"/>
  <c r="N25" i="42" s="1"/>
  <c r="M14" i="42"/>
  <c r="N14" i="42" s="1"/>
  <c r="M34" i="42"/>
  <c r="N34" i="42" s="1"/>
  <c r="M33" i="42"/>
  <c r="N33" i="42" s="1"/>
  <c r="M24" i="42"/>
  <c r="N24" i="42" s="1"/>
  <c r="M13" i="42"/>
  <c r="N13" i="42" s="1"/>
  <c r="M23" i="42"/>
  <c r="N23" i="42" s="1"/>
  <c r="M32" i="42"/>
  <c r="N32" i="42" s="1"/>
  <c r="M22" i="42"/>
  <c r="N22" i="42" s="1"/>
  <c r="M20" i="42"/>
  <c r="N20" i="42" s="1"/>
  <c r="M19" i="42"/>
  <c r="N19" i="42" s="1"/>
  <c r="M30" i="42"/>
  <c r="N30" i="42" s="1"/>
  <c r="M18" i="42"/>
  <c r="N18" i="42" s="1"/>
  <c r="M11" i="42"/>
  <c r="N11" i="42" s="1"/>
  <c r="M39" i="42"/>
  <c r="N39" i="42" s="1"/>
  <c r="M17" i="42"/>
  <c r="N17" i="42" s="1"/>
  <c r="N6" i="42"/>
  <c r="M21" i="42"/>
  <c r="N21" i="42" s="1"/>
  <c r="DR321" i="2"/>
  <c r="CT321" i="2"/>
  <c r="BV321" i="2"/>
  <c r="AX321" i="2"/>
  <c r="DP321" i="2"/>
  <c r="CR321" i="2"/>
  <c r="BT321" i="2"/>
  <c r="AV321" i="2"/>
  <c r="DN321" i="2"/>
  <c r="CP321" i="2"/>
  <c r="BR321" i="2"/>
  <c r="AT321" i="2"/>
  <c r="DL321" i="2"/>
  <c r="CN321" i="2"/>
  <c r="BP321" i="2"/>
  <c r="AR321" i="2"/>
  <c r="DJ321" i="2"/>
  <c r="CL321" i="2"/>
  <c r="BN321" i="2"/>
  <c r="AP321" i="2"/>
  <c r="A321" i="2"/>
  <c r="DH321" i="2"/>
  <c r="CJ321" i="2"/>
  <c r="BL321" i="2"/>
  <c r="AN321" i="2"/>
  <c r="DF321" i="2"/>
  <c r="CH321" i="2"/>
  <c r="BJ321" i="2"/>
  <c r="AL321" i="2"/>
  <c r="S321" i="2"/>
  <c r="T321" i="2" s="1"/>
  <c r="EB321" i="2"/>
  <c r="DD321" i="2"/>
  <c r="CF321" i="2"/>
  <c r="BH321" i="2"/>
  <c r="AJ321" i="2"/>
  <c r="DZ321" i="2"/>
  <c r="DB321" i="2"/>
  <c r="CD321" i="2"/>
  <c r="BF321" i="2"/>
  <c r="AH321" i="2"/>
  <c r="DX321" i="2"/>
  <c r="CZ321" i="2"/>
  <c r="CB321" i="2"/>
  <c r="BD321" i="2"/>
  <c r="DV321" i="2"/>
  <c r="CX321" i="2"/>
  <c r="BZ321" i="2"/>
  <c r="BB321" i="2"/>
  <c r="DT321" i="2"/>
  <c r="CV321" i="2"/>
  <c r="BX321" i="2"/>
  <c r="AZ321" i="2"/>
  <c r="C4" i="43"/>
  <c r="B6" i="43"/>
  <c r="B7" i="43" s="1"/>
  <c r="W320" i="2"/>
  <c r="B321" i="2"/>
  <c r="M8" i="42"/>
  <c r="N8" i="42" s="1"/>
  <c r="M9" i="42"/>
  <c r="N9" i="42" s="1"/>
  <c r="AC322" i="2"/>
  <c r="AD322" i="2" s="1"/>
  <c r="E322" i="2"/>
  <c r="D322" i="2"/>
  <c r="F322" i="2" s="1"/>
  <c r="AB322" i="2" s="1"/>
  <c r="V322" i="2"/>
  <c r="C323" i="2"/>
  <c r="G322" i="2"/>
  <c r="O28" i="8"/>
  <c r="I28" i="8"/>
  <c r="F28" i="8"/>
  <c r="K28" i="9"/>
  <c r="M28" i="9"/>
  <c r="J28" i="9"/>
  <c r="L28" i="8"/>
  <c r="N28" i="9"/>
  <c r="F28" i="9"/>
  <c r="L28" i="9"/>
  <c r="G28" i="9"/>
  <c r="Q28" i="8" l="1"/>
  <c r="K28" i="8"/>
  <c r="N28" i="8"/>
  <c r="M31" i="42"/>
  <c r="N31" i="42" s="1"/>
  <c r="R28" i="8"/>
  <c r="S28" i="8" s="1"/>
  <c r="H28" i="8"/>
  <c r="G28" i="8"/>
  <c r="J28" i="8"/>
  <c r="M28" i="8"/>
  <c r="O28" i="9"/>
  <c r="P28" i="9" s="1"/>
  <c r="P28" i="8"/>
  <c r="M26" i="42"/>
  <c r="B34" i="43"/>
  <c r="B33" i="43"/>
  <c r="B24" i="43"/>
  <c r="B13" i="43"/>
  <c r="B23" i="43"/>
  <c r="B32" i="43"/>
  <c r="B21" i="43"/>
  <c r="B20" i="43"/>
  <c r="B19" i="43"/>
  <c r="B30" i="43"/>
  <c r="B31" i="43" s="1"/>
  <c r="B18" i="43"/>
  <c r="B12" i="43"/>
  <c r="B39" i="43"/>
  <c r="B17" i="43"/>
  <c r="B11" i="43"/>
  <c r="B38" i="43"/>
  <c r="B16" i="43"/>
  <c r="B10" i="43"/>
  <c r="B15" i="43"/>
  <c r="B25" i="43"/>
  <c r="B14" i="43"/>
  <c r="G323" i="2"/>
  <c r="AC323" i="2"/>
  <c r="AD323" i="2" s="1"/>
  <c r="E323" i="2"/>
  <c r="D323" i="2"/>
  <c r="V323" i="2"/>
  <c r="C324" i="2"/>
  <c r="B8" i="43"/>
  <c r="W321" i="2"/>
  <c r="B322" i="2"/>
  <c r="B9" i="43"/>
  <c r="D4" i="43"/>
  <c r="C6" i="43"/>
  <c r="C8" i="43" s="1"/>
  <c r="DV322" i="2"/>
  <c r="CX322" i="2"/>
  <c r="BZ322" i="2"/>
  <c r="BB322" i="2"/>
  <c r="DT322" i="2"/>
  <c r="CV322" i="2"/>
  <c r="BX322" i="2"/>
  <c r="AZ322" i="2"/>
  <c r="DR322" i="2"/>
  <c r="CT322" i="2"/>
  <c r="BV322" i="2"/>
  <c r="AX322" i="2"/>
  <c r="DP322" i="2"/>
  <c r="CR322" i="2"/>
  <c r="BT322" i="2"/>
  <c r="AV322" i="2"/>
  <c r="DN322" i="2"/>
  <c r="CP322" i="2"/>
  <c r="BR322" i="2"/>
  <c r="AT322" i="2"/>
  <c r="DL322" i="2"/>
  <c r="CN322" i="2"/>
  <c r="BP322" i="2"/>
  <c r="AR322" i="2"/>
  <c r="A322" i="2"/>
  <c r="DJ322" i="2"/>
  <c r="CL322" i="2"/>
  <c r="BN322" i="2"/>
  <c r="AP322" i="2"/>
  <c r="DH322" i="2"/>
  <c r="CJ322" i="2"/>
  <c r="BL322" i="2"/>
  <c r="S322" i="2"/>
  <c r="T322" i="2" s="1"/>
  <c r="DF322" i="2"/>
  <c r="CH322" i="2"/>
  <c r="BJ322" i="2"/>
  <c r="AN322" i="2"/>
  <c r="EB322" i="2"/>
  <c r="DD322" i="2"/>
  <c r="CF322" i="2"/>
  <c r="BH322" i="2"/>
  <c r="AL322" i="2"/>
  <c r="DZ322" i="2"/>
  <c r="DB322" i="2"/>
  <c r="CD322" i="2"/>
  <c r="BF322" i="2"/>
  <c r="AJ322" i="2"/>
  <c r="DX322" i="2"/>
  <c r="CZ322" i="2"/>
  <c r="CB322" i="2"/>
  <c r="BD322" i="2"/>
  <c r="AH322" i="2"/>
  <c r="B28" i="9"/>
  <c r="E28" i="8"/>
  <c r="E28" i="9"/>
  <c r="B28" i="8"/>
  <c r="E4" i="43" l="1"/>
  <c r="D6" i="43"/>
  <c r="DF323" i="2"/>
  <c r="CH323" i="2"/>
  <c r="BJ323" i="2"/>
  <c r="AL323" i="2"/>
  <c r="EB323" i="2"/>
  <c r="DD323" i="2"/>
  <c r="CF323" i="2"/>
  <c r="BH323" i="2"/>
  <c r="AJ323" i="2"/>
  <c r="DZ323" i="2"/>
  <c r="DB323" i="2"/>
  <c r="CD323" i="2"/>
  <c r="BF323" i="2"/>
  <c r="AH323" i="2"/>
  <c r="DX323" i="2"/>
  <c r="CZ323" i="2"/>
  <c r="CB323" i="2"/>
  <c r="BD323" i="2"/>
  <c r="DV323" i="2"/>
  <c r="CX323" i="2"/>
  <c r="BZ323" i="2"/>
  <c r="BB323" i="2"/>
  <c r="DT323" i="2"/>
  <c r="CV323" i="2"/>
  <c r="BX323" i="2"/>
  <c r="AZ323" i="2"/>
  <c r="DR323" i="2"/>
  <c r="CT323" i="2"/>
  <c r="BV323" i="2"/>
  <c r="AX323" i="2"/>
  <c r="DP323" i="2"/>
  <c r="CR323" i="2"/>
  <c r="BT323" i="2"/>
  <c r="AV323" i="2"/>
  <c r="DN323" i="2"/>
  <c r="CP323" i="2"/>
  <c r="BR323" i="2"/>
  <c r="AT323" i="2"/>
  <c r="A323" i="2"/>
  <c r="DL323" i="2"/>
  <c r="CN323" i="2"/>
  <c r="BP323" i="2"/>
  <c r="AR323" i="2"/>
  <c r="DJ323" i="2"/>
  <c r="CL323" i="2"/>
  <c r="BN323" i="2"/>
  <c r="AP323" i="2"/>
  <c r="S323" i="2"/>
  <c r="T323" i="2" s="1"/>
  <c r="DH323" i="2"/>
  <c r="CJ323" i="2"/>
  <c r="BL323" i="2"/>
  <c r="AN323" i="2"/>
  <c r="B26" i="43"/>
  <c r="N26" i="42"/>
  <c r="M57" i="42"/>
  <c r="C33" i="43"/>
  <c r="C24" i="43"/>
  <c r="C13" i="43"/>
  <c r="C23" i="43"/>
  <c r="C32" i="43"/>
  <c r="C22" i="43"/>
  <c r="C21" i="43"/>
  <c r="C20" i="43"/>
  <c r="C19" i="43"/>
  <c r="C30" i="43"/>
  <c r="C31" i="43" s="1"/>
  <c r="C18" i="43"/>
  <c r="C12" i="43"/>
  <c r="C39" i="43"/>
  <c r="C17" i="43"/>
  <c r="C11" i="43"/>
  <c r="C38" i="43"/>
  <c r="C16" i="43"/>
  <c r="C10" i="43"/>
  <c r="C15" i="43"/>
  <c r="C25" i="43"/>
  <c r="C14" i="43"/>
  <c r="C34" i="43"/>
  <c r="C325" i="2"/>
  <c r="G324" i="2"/>
  <c r="AC324" i="2"/>
  <c r="AD324" i="2" s="1"/>
  <c r="E324" i="2"/>
  <c r="D324" i="2"/>
  <c r="V324" i="2"/>
  <c r="W322" i="2"/>
  <c r="B323" i="2"/>
  <c r="C9" i="43"/>
  <c r="F323" i="2"/>
  <c r="AB323" i="2" s="1"/>
  <c r="F28" i="12"/>
  <c r="F28" i="4"/>
  <c r="G28" i="10"/>
  <c r="F28" i="3"/>
  <c r="F324" i="2" l="1"/>
  <c r="AB324" i="2" s="1"/>
  <c r="C26" i="43"/>
  <c r="C57" i="43" s="1"/>
  <c r="G28" i="3"/>
  <c r="H28" i="3"/>
  <c r="H28" i="12"/>
  <c r="G28" i="12"/>
  <c r="DN324" i="2"/>
  <c r="CP324" i="2"/>
  <c r="BR324" i="2"/>
  <c r="AT324" i="2"/>
  <c r="A324" i="2"/>
  <c r="DL324" i="2"/>
  <c r="CN324" i="2"/>
  <c r="BP324" i="2"/>
  <c r="AR324" i="2"/>
  <c r="DJ324" i="2"/>
  <c r="CL324" i="2"/>
  <c r="BN324" i="2"/>
  <c r="AP324" i="2"/>
  <c r="S324" i="2"/>
  <c r="T324" i="2" s="1"/>
  <c r="DH324" i="2"/>
  <c r="CJ324" i="2"/>
  <c r="BL324" i="2"/>
  <c r="AN324" i="2"/>
  <c r="DF324" i="2"/>
  <c r="CH324" i="2"/>
  <c r="BJ324" i="2"/>
  <c r="AL324" i="2"/>
  <c r="EB324" i="2"/>
  <c r="DD324" i="2"/>
  <c r="CF324" i="2"/>
  <c r="BH324" i="2"/>
  <c r="AJ324" i="2"/>
  <c r="DZ324" i="2"/>
  <c r="DB324" i="2"/>
  <c r="CD324" i="2"/>
  <c r="BF324" i="2"/>
  <c r="AH324" i="2"/>
  <c r="DX324" i="2"/>
  <c r="CZ324" i="2"/>
  <c r="CB324" i="2"/>
  <c r="BD324" i="2"/>
  <c r="DV324" i="2"/>
  <c r="CX324" i="2"/>
  <c r="BZ324" i="2"/>
  <c r="BB324" i="2"/>
  <c r="DT324" i="2"/>
  <c r="CV324" i="2"/>
  <c r="BX324" i="2"/>
  <c r="AZ324" i="2"/>
  <c r="DR324" i="2"/>
  <c r="CT324" i="2"/>
  <c r="BV324" i="2"/>
  <c r="AX324" i="2"/>
  <c r="DP324" i="2"/>
  <c r="CR324" i="2"/>
  <c r="BT324" i="2"/>
  <c r="AV324" i="2"/>
  <c r="B57" i="43"/>
  <c r="N57" i="42"/>
  <c r="H60" i="42"/>
  <c r="B60" i="42"/>
  <c r="B27" i="42"/>
  <c r="C27" i="42"/>
  <c r="D27" i="42"/>
  <c r="E27" i="42"/>
  <c r="F27" i="42"/>
  <c r="G27" i="42"/>
  <c r="H27" i="42"/>
  <c r="I27" i="42"/>
  <c r="J27" i="42"/>
  <c r="K27" i="42"/>
  <c r="L27" i="42"/>
  <c r="M27" i="42"/>
  <c r="D23" i="43"/>
  <c r="D32" i="43"/>
  <c r="D22" i="43"/>
  <c r="D20" i="43"/>
  <c r="D19" i="43"/>
  <c r="D30" i="43"/>
  <c r="D18" i="43"/>
  <c r="D39" i="43"/>
  <c r="D17" i="43"/>
  <c r="D11" i="43"/>
  <c r="D38" i="43"/>
  <c r="D16" i="43"/>
  <c r="D10" i="43"/>
  <c r="D15" i="43"/>
  <c r="D25" i="43"/>
  <c r="D14" i="43"/>
  <c r="D34" i="43"/>
  <c r="D13" i="43"/>
  <c r="D33" i="43"/>
  <c r="D24" i="43"/>
  <c r="D21" i="43"/>
  <c r="D8" i="43"/>
  <c r="W323" i="2"/>
  <c r="B324" i="2"/>
  <c r="D9" i="43"/>
  <c r="AC325" i="2"/>
  <c r="AD325" i="2" s="1"/>
  <c r="E325" i="2"/>
  <c r="D325" i="2"/>
  <c r="F325" i="2" s="1"/>
  <c r="AB325" i="2" s="1"/>
  <c r="V325" i="2"/>
  <c r="C326" i="2"/>
  <c r="G325" i="2"/>
  <c r="F4" i="43"/>
  <c r="E6" i="43"/>
  <c r="O28" i="3"/>
  <c r="H28" i="4"/>
  <c r="B28" i="3"/>
  <c r="I28" i="4"/>
  <c r="J28" i="4"/>
  <c r="F28" i="10"/>
  <c r="E28" i="4"/>
  <c r="G28" i="4"/>
  <c r="B28" i="12"/>
  <c r="K28" i="4"/>
  <c r="C28" i="10"/>
  <c r="B28" i="4"/>
  <c r="E28" i="3"/>
  <c r="E28" i="12"/>
  <c r="D26" i="43" l="1"/>
  <c r="C28" i="4"/>
  <c r="O28" i="4"/>
  <c r="P28" i="4" s="1"/>
  <c r="AI28" i="11" s="1"/>
  <c r="B28" i="7"/>
  <c r="B28" i="6"/>
  <c r="C28" i="3"/>
  <c r="B28" i="5"/>
  <c r="E28" i="6"/>
  <c r="E28" i="5"/>
  <c r="E28" i="7"/>
  <c r="D57" i="43"/>
  <c r="M28" i="42"/>
  <c r="M58" i="42" s="1"/>
  <c r="M59" i="42" s="1"/>
  <c r="L28" i="42"/>
  <c r="L58" i="42" s="1"/>
  <c r="L59" i="42" s="1"/>
  <c r="W324" i="2"/>
  <c r="B325" i="2"/>
  <c r="K28" i="42"/>
  <c r="K58" i="42" s="1"/>
  <c r="K59" i="42" s="1"/>
  <c r="J28" i="42"/>
  <c r="E32" i="43"/>
  <c r="E22" i="43"/>
  <c r="E20" i="43"/>
  <c r="E19" i="43"/>
  <c r="E30" i="43"/>
  <c r="E31" i="43" s="1"/>
  <c r="E18" i="43"/>
  <c r="E39" i="43"/>
  <c r="E17" i="43"/>
  <c r="E11" i="43"/>
  <c r="E38" i="43"/>
  <c r="E16" i="43"/>
  <c r="E10" i="43"/>
  <c r="E15" i="43"/>
  <c r="E25" i="43"/>
  <c r="E14" i="43"/>
  <c r="E34" i="43"/>
  <c r="E33" i="43"/>
  <c r="E24" i="43"/>
  <c r="E13" i="43"/>
  <c r="E23" i="43"/>
  <c r="E21" i="43"/>
  <c r="G4" i="43"/>
  <c r="F6" i="43"/>
  <c r="I28" i="42"/>
  <c r="I58" i="42" s="1"/>
  <c r="I59" i="42" s="1"/>
  <c r="D31" i="43"/>
  <c r="H28" i="42"/>
  <c r="H58" i="42" s="1"/>
  <c r="H59" i="42" s="1"/>
  <c r="G28" i="42"/>
  <c r="G58" i="42" s="1"/>
  <c r="G59" i="42" s="1"/>
  <c r="E8" i="43"/>
  <c r="E9" i="43"/>
  <c r="F28" i="42"/>
  <c r="F58" i="42" s="1"/>
  <c r="F59" i="42" s="1"/>
  <c r="E28" i="42"/>
  <c r="E58" i="42" s="1"/>
  <c r="E59" i="42" s="1"/>
  <c r="D28" i="42"/>
  <c r="D58" i="42" s="1"/>
  <c r="D59" i="42" s="1"/>
  <c r="DV325" i="2"/>
  <c r="CX325" i="2"/>
  <c r="BZ325" i="2"/>
  <c r="BB325" i="2"/>
  <c r="DT325" i="2"/>
  <c r="CV325" i="2"/>
  <c r="BX325" i="2"/>
  <c r="AZ325" i="2"/>
  <c r="DR325" i="2"/>
  <c r="CT325" i="2"/>
  <c r="BV325" i="2"/>
  <c r="AX325" i="2"/>
  <c r="DP325" i="2"/>
  <c r="CR325" i="2"/>
  <c r="BT325" i="2"/>
  <c r="AV325" i="2"/>
  <c r="DN325" i="2"/>
  <c r="CP325" i="2"/>
  <c r="BR325" i="2"/>
  <c r="AT325" i="2"/>
  <c r="A325" i="2"/>
  <c r="DL325" i="2"/>
  <c r="CN325" i="2"/>
  <c r="BP325" i="2"/>
  <c r="AR325" i="2"/>
  <c r="DJ325" i="2"/>
  <c r="CL325" i="2"/>
  <c r="BN325" i="2"/>
  <c r="AP325" i="2"/>
  <c r="S325" i="2"/>
  <c r="T325" i="2" s="1"/>
  <c r="DH325" i="2"/>
  <c r="CJ325" i="2"/>
  <c r="BL325" i="2"/>
  <c r="AN325" i="2"/>
  <c r="DF325" i="2"/>
  <c r="CH325" i="2"/>
  <c r="BJ325" i="2"/>
  <c r="AL325" i="2"/>
  <c r="EB325" i="2"/>
  <c r="DD325" i="2"/>
  <c r="CF325" i="2"/>
  <c r="BH325" i="2"/>
  <c r="AJ325" i="2"/>
  <c r="DZ325" i="2"/>
  <c r="DB325" i="2"/>
  <c r="CD325" i="2"/>
  <c r="BF325" i="2"/>
  <c r="AH325" i="2"/>
  <c r="DX325" i="2"/>
  <c r="CZ325" i="2"/>
  <c r="CB325" i="2"/>
  <c r="BD325" i="2"/>
  <c r="C28" i="42"/>
  <c r="C58" i="42" s="1"/>
  <c r="C59" i="42" s="1"/>
  <c r="G326" i="2"/>
  <c r="AC326" i="2"/>
  <c r="AD326" i="2" s="1"/>
  <c r="E326" i="2"/>
  <c r="D326" i="2"/>
  <c r="V326" i="2"/>
  <c r="C327" i="2"/>
  <c r="N27" i="42"/>
  <c r="B28" i="42"/>
  <c r="H28" i="10"/>
  <c r="E26" i="43" l="1"/>
  <c r="E57" i="43" s="1"/>
  <c r="I28" i="10"/>
  <c r="J28" i="10"/>
  <c r="K28" i="10" s="1"/>
  <c r="N28" i="42"/>
  <c r="DF326" i="2"/>
  <c r="CH326" i="2"/>
  <c r="BJ326" i="2"/>
  <c r="AL326" i="2"/>
  <c r="EB326" i="2"/>
  <c r="DD326" i="2"/>
  <c r="CF326" i="2"/>
  <c r="BH326" i="2"/>
  <c r="AJ326" i="2"/>
  <c r="DZ326" i="2"/>
  <c r="DB326" i="2"/>
  <c r="CD326" i="2"/>
  <c r="BF326" i="2"/>
  <c r="AH326" i="2"/>
  <c r="DX326" i="2"/>
  <c r="CZ326" i="2"/>
  <c r="CB326" i="2"/>
  <c r="BD326" i="2"/>
  <c r="DV326" i="2"/>
  <c r="CX326" i="2"/>
  <c r="BZ326" i="2"/>
  <c r="BB326" i="2"/>
  <c r="DT326" i="2"/>
  <c r="CV326" i="2"/>
  <c r="BX326" i="2"/>
  <c r="AZ326" i="2"/>
  <c r="DR326" i="2"/>
  <c r="CT326" i="2"/>
  <c r="BV326" i="2"/>
  <c r="AX326" i="2"/>
  <c r="DP326" i="2"/>
  <c r="CR326" i="2"/>
  <c r="BT326" i="2"/>
  <c r="AV326" i="2"/>
  <c r="DN326" i="2"/>
  <c r="CP326" i="2"/>
  <c r="BR326" i="2"/>
  <c r="AT326" i="2"/>
  <c r="A326" i="2"/>
  <c r="DL326" i="2"/>
  <c r="CN326" i="2"/>
  <c r="BP326" i="2"/>
  <c r="AR326" i="2"/>
  <c r="DJ326" i="2"/>
  <c r="CL326" i="2"/>
  <c r="BN326" i="2"/>
  <c r="AP326" i="2"/>
  <c r="S326" i="2"/>
  <c r="T326" i="2" s="1"/>
  <c r="DH326" i="2"/>
  <c r="CJ326" i="2"/>
  <c r="BL326" i="2"/>
  <c r="AN326" i="2"/>
  <c r="J58" i="42"/>
  <c r="J59" i="42" s="1"/>
  <c r="B58" i="42"/>
  <c r="H4" i="43"/>
  <c r="G6" i="43"/>
  <c r="G8" i="43" s="1"/>
  <c r="F20" i="43"/>
  <c r="F19" i="43"/>
  <c r="F30" i="43"/>
  <c r="F31" i="43" s="1"/>
  <c r="F18" i="43"/>
  <c r="F39" i="43"/>
  <c r="F17" i="43"/>
  <c r="F11" i="43"/>
  <c r="F38" i="43"/>
  <c r="F16" i="43"/>
  <c r="F10" i="43"/>
  <c r="F15" i="43"/>
  <c r="F25" i="43"/>
  <c r="F14" i="43"/>
  <c r="F34" i="43"/>
  <c r="F33" i="43"/>
  <c r="F24" i="43"/>
  <c r="F13" i="43"/>
  <c r="F23" i="43"/>
  <c r="F22" i="43"/>
  <c r="F32" i="43"/>
  <c r="F21" i="43"/>
  <c r="C328" i="2"/>
  <c r="G327" i="2"/>
  <c r="AC327" i="2"/>
  <c r="AD327" i="2" s="1"/>
  <c r="E327" i="2"/>
  <c r="D327" i="2"/>
  <c r="F327" i="2" s="1"/>
  <c r="AB327" i="2" s="1"/>
  <c r="V327" i="2"/>
  <c r="F8" i="43"/>
  <c r="D28" i="11"/>
  <c r="X28" i="11" s="1"/>
  <c r="D28" i="5"/>
  <c r="D28" i="6" s="1"/>
  <c r="F9" i="43"/>
  <c r="F326" i="2"/>
  <c r="AB326" i="2" s="1"/>
  <c r="W325" i="2"/>
  <c r="B326" i="2"/>
  <c r="G9" i="43" l="1"/>
  <c r="AB28" i="11"/>
  <c r="AF28" i="11"/>
  <c r="AG28" i="11"/>
  <c r="M28" i="11"/>
  <c r="J28" i="11"/>
  <c r="T28" i="11"/>
  <c r="R28" i="11"/>
  <c r="AA28" i="11"/>
  <c r="P28" i="11"/>
  <c r="Q28" i="11"/>
  <c r="AC28" i="11"/>
  <c r="W326" i="2"/>
  <c r="B327" i="2"/>
  <c r="U28" i="11"/>
  <c r="N58" i="42"/>
  <c r="N59" i="42" s="1"/>
  <c r="F60" i="42" s="1"/>
  <c r="B59" i="42"/>
  <c r="DN327" i="2"/>
  <c r="CP327" i="2"/>
  <c r="BR327" i="2"/>
  <c r="AT327" i="2"/>
  <c r="A327" i="2"/>
  <c r="DL327" i="2"/>
  <c r="CN327" i="2"/>
  <c r="BP327" i="2"/>
  <c r="AR327" i="2"/>
  <c r="DJ327" i="2"/>
  <c r="CL327" i="2"/>
  <c r="BN327" i="2"/>
  <c r="AP327" i="2"/>
  <c r="S327" i="2"/>
  <c r="T327" i="2" s="1"/>
  <c r="DH327" i="2"/>
  <c r="CJ327" i="2"/>
  <c r="BL327" i="2"/>
  <c r="AN327" i="2"/>
  <c r="DF327" i="2"/>
  <c r="CH327" i="2"/>
  <c r="BJ327" i="2"/>
  <c r="AL327" i="2"/>
  <c r="EB327" i="2"/>
  <c r="DD327" i="2"/>
  <c r="CF327" i="2"/>
  <c r="BH327" i="2"/>
  <c r="AJ327" i="2"/>
  <c r="DZ327" i="2"/>
  <c r="DB327" i="2"/>
  <c r="CD327" i="2"/>
  <c r="BF327" i="2"/>
  <c r="AH327" i="2"/>
  <c r="DX327" i="2"/>
  <c r="CZ327" i="2"/>
  <c r="CB327" i="2"/>
  <c r="BD327" i="2"/>
  <c r="DV327" i="2"/>
  <c r="CX327" i="2"/>
  <c r="BZ327" i="2"/>
  <c r="BB327" i="2"/>
  <c r="DT327" i="2"/>
  <c r="CV327" i="2"/>
  <c r="BX327" i="2"/>
  <c r="AZ327" i="2"/>
  <c r="DR327" i="2"/>
  <c r="CT327" i="2"/>
  <c r="BV327" i="2"/>
  <c r="AX327" i="2"/>
  <c r="DP327" i="2"/>
  <c r="CR327" i="2"/>
  <c r="BT327" i="2"/>
  <c r="AV327" i="2"/>
  <c r="AC328" i="2"/>
  <c r="AD328" i="2" s="1"/>
  <c r="E328" i="2"/>
  <c r="D328" i="2"/>
  <c r="F328" i="2" s="1"/>
  <c r="AB328" i="2" s="1"/>
  <c r="V328" i="2"/>
  <c r="C329" i="2"/>
  <c r="G328" i="2"/>
  <c r="F26" i="43"/>
  <c r="Y28" i="11"/>
  <c r="AH28" i="11"/>
  <c r="V28" i="11"/>
  <c r="K28" i="11"/>
  <c r="N28" i="11"/>
  <c r="W28" i="11"/>
  <c r="D28" i="7"/>
  <c r="D28" i="8" s="1"/>
  <c r="D28" i="9" s="1"/>
  <c r="D28" i="10" s="1"/>
  <c r="C28" i="12" s="1"/>
  <c r="R28" i="6"/>
  <c r="AD28" i="11"/>
  <c r="Z28" i="11"/>
  <c r="S28" i="11"/>
  <c r="L28" i="11"/>
  <c r="G19" i="43"/>
  <c r="G30" i="43"/>
  <c r="G31" i="43" s="1"/>
  <c r="G18" i="43"/>
  <c r="G39" i="43"/>
  <c r="G17" i="43"/>
  <c r="G11" i="43"/>
  <c r="G38" i="43"/>
  <c r="G16" i="43"/>
  <c r="G10" i="43"/>
  <c r="G15" i="43"/>
  <c r="G25" i="43"/>
  <c r="G14" i="43"/>
  <c r="G34" i="43"/>
  <c r="G33" i="43"/>
  <c r="G24" i="43"/>
  <c r="G13" i="43"/>
  <c r="G23" i="43"/>
  <c r="G32" i="43"/>
  <c r="G22" i="43"/>
  <c r="G20" i="43"/>
  <c r="G21" i="43"/>
  <c r="O28" i="11"/>
  <c r="AE28" i="11"/>
  <c r="I4" i="43"/>
  <c r="H6" i="43"/>
  <c r="H7" i="43" s="1"/>
  <c r="G26" i="43" l="1"/>
  <c r="G57" i="43" s="1"/>
  <c r="H30" i="43"/>
  <c r="H31" i="43" s="1"/>
  <c r="H18" i="43"/>
  <c r="N7" i="43"/>
  <c r="H39" i="43"/>
  <c r="H17" i="43"/>
  <c r="H11" i="43"/>
  <c r="H38" i="43"/>
  <c r="H16" i="43"/>
  <c r="H10" i="43"/>
  <c r="H15" i="43"/>
  <c r="H25" i="43"/>
  <c r="H14" i="43"/>
  <c r="H34" i="43"/>
  <c r="H33" i="43"/>
  <c r="H24" i="43"/>
  <c r="H13" i="43"/>
  <c r="H23" i="43"/>
  <c r="H32" i="43"/>
  <c r="H22" i="43"/>
  <c r="H20" i="43"/>
  <c r="H19" i="43"/>
  <c r="H21" i="43"/>
  <c r="J4" i="43"/>
  <c r="I6" i="43"/>
  <c r="I9" i="43" s="1"/>
  <c r="F57" i="43"/>
  <c r="DV328" i="2"/>
  <c r="CX328" i="2"/>
  <c r="BZ328" i="2"/>
  <c r="BB328" i="2"/>
  <c r="DT328" i="2"/>
  <c r="CV328" i="2"/>
  <c r="BX328" i="2"/>
  <c r="AZ328" i="2"/>
  <c r="DR328" i="2"/>
  <c r="CT328" i="2"/>
  <c r="BV328" i="2"/>
  <c r="AX328" i="2"/>
  <c r="DP328" i="2"/>
  <c r="CR328" i="2"/>
  <c r="BT328" i="2"/>
  <c r="AV328" i="2"/>
  <c r="DN328" i="2"/>
  <c r="CP328" i="2"/>
  <c r="BR328" i="2"/>
  <c r="AT328" i="2"/>
  <c r="A328" i="2"/>
  <c r="DL328" i="2"/>
  <c r="CN328" i="2"/>
  <c r="BP328" i="2"/>
  <c r="AR328" i="2"/>
  <c r="DJ328" i="2"/>
  <c r="CL328" i="2"/>
  <c r="BN328" i="2"/>
  <c r="AP328" i="2"/>
  <c r="S328" i="2"/>
  <c r="T328" i="2" s="1"/>
  <c r="DH328" i="2"/>
  <c r="CJ328" i="2"/>
  <c r="BL328" i="2"/>
  <c r="AN328" i="2"/>
  <c r="DF328" i="2"/>
  <c r="CH328" i="2"/>
  <c r="BJ328" i="2"/>
  <c r="AL328" i="2"/>
  <c r="EB328" i="2"/>
  <c r="DD328" i="2"/>
  <c r="CF328" i="2"/>
  <c r="BH328" i="2"/>
  <c r="AJ328" i="2"/>
  <c r="DZ328" i="2"/>
  <c r="DB328" i="2"/>
  <c r="CD328" i="2"/>
  <c r="BF328" i="2"/>
  <c r="AH328" i="2"/>
  <c r="DX328" i="2"/>
  <c r="CZ328" i="2"/>
  <c r="CB328" i="2"/>
  <c r="BD328" i="2"/>
  <c r="H8" i="43"/>
  <c r="H9" i="43"/>
  <c r="G329" i="2"/>
  <c r="AC329" i="2"/>
  <c r="AD329" i="2" s="1"/>
  <c r="E329" i="2"/>
  <c r="D329" i="2"/>
  <c r="F329" i="2" s="1"/>
  <c r="AB329" i="2" s="1"/>
  <c r="V329" i="2"/>
  <c r="C330" i="2"/>
  <c r="I60" i="42"/>
  <c r="G60" i="42"/>
  <c r="W327" i="2"/>
  <c r="B328" i="2"/>
  <c r="G28" i="11"/>
  <c r="I8" i="43" l="1"/>
  <c r="DF329" i="2"/>
  <c r="CH329" i="2"/>
  <c r="BJ329" i="2"/>
  <c r="AL329" i="2"/>
  <c r="EB329" i="2"/>
  <c r="DD329" i="2"/>
  <c r="CF329" i="2"/>
  <c r="BH329" i="2"/>
  <c r="AJ329" i="2"/>
  <c r="DZ329" i="2"/>
  <c r="DB329" i="2"/>
  <c r="CD329" i="2"/>
  <c r="BF329" i="2"/>
  <c r="AH329" i="2"/>
  <c r="DX329" i="2"/>
  <c r="CZ329" i="2"/>
  <c r="CB329" i="2"/>
  <c r="BD329" i="2"/>
  <c r="DV329" i="2"/>
  <c r="CX329" i="2"/>
  <c r="BZ329" i="2"/>
  <c r="BB329" i="2"/>
  <c r="DT329" i="2"/>
  <c r="CV329" i="2"/>
  <c r="BX329" i="2"/>
  <c r="AZ329" i="2"/>
  <c r="DR329" i="2"/>
  <c r="CT329" i="2"/>
  <c r="BV329" i="2"/>
  <c r="AX329" i="2"/>
  <c r="DP329" i="2"/>
  <c r="CR329" i="2"/>
  <c r="BT329" i="2"/>
  <c r="AV329" i="2"/>
  <c r="DN329" i="2"/>
  <c r="CP329" i="2"/>
  <c r="BR329" i="2"/>
  <c r="AT329" i="2"/>
  <c r="A329" i="2"/>
  <c r="DL329" i="2"/>
  <c r="CN329" i="2"/>
  <c r="BP329" i="2"/>
  <c r="AR329" i="2"/>
  <c r="DJ329" i="2"/>
  <c r="CL329" i="2"/>
  <c r="BN329" i="2"/>
  <c r="AP329" i="2"/>
  <c r="S329" i="2"/>
  <c r="T329" i="2" s="1"/>
  <c r="DH329" i="2"/>
  <c r="CJ329" i="2"/>
  <c r="BL329" i="2"/>
  <c r="AN329" i="2"/>
  <c r="K4" i="43"/>
  <c r="J6" i="43"/>
  <c r="J9" i="43" s="1"/>
  <c r="H28" i="11"/>
  <c r="C28" i="11"/>
  <c r="E28" i="11" s="1"/>
  <c r="H26" i="43"/>
  <c r="W328" i="2"/>
  <c r="B329" i="2"/>
  <c r="C331" i="2"/>
  <c r="G330" i="2"/>
  <c r="AC330" i="2"/>
  <c r="AD330" i="2" s="1"/>
  <c r="E330" i="2"/>
  <c r="D330" i="2"/>
  <c r="V330" i="2"/>
  <c r="I39" i="43"/>
  <c r="I17" i="43"/>
  <c r="I11" i="43"/>
  <c r="I38" i="43"/>
  <c r="I16" i="43"/>
  <c r="I10" i="43"/>
  <c r="I15" i="43"/>
  <c r="I25" i="43"/>
  <c r="I14" i="43"/>
  <c r="I34" i="43"/>
  <c r="I33" i="43"/>
  <c r="I24" i="43"/>
  <c r="I13" i="43"/>
  <c r="I23" i="43"/>
  <c r="I32" i="43"/>
  <c r="I22" i="43"/>
  <c r="I20" i="43"/>
  <c r="I19" i="43"/>
  <c r="I30" i="43"/>
  <c r="I31" i="43" s="1"/>
  <c r="I18" i="43"/>
  <c r="I21" i="43"/>
  <c r="I26" i="43" l="1"/>
  <c r="I57" i="43" s="1"/>
  <c r="W329" i="2"/>
  <c r="B330" i="2"/>
  <c r="F330" i="2"/>
  <c r="AB330" i="2" s="1"/>
  <c r="L4" i="43"/>
  <c r="K6" i="43"/>
  <c r="AC331" i="2"/>
  <c r="AD331" i="2" s="1"/>
  <c r="E331" i="2"/>
  <c r="D331" i="2"/>
  <c r="F331" i="2" s="1"/>
  <c r="AB331" i="2" s="1"/>
  <c r="V331" i="2"/>
  <c r="C332" i="2"/>
  <c r="G331" i="2"/>
  <c r="J38" i="43"/>
  <c r="J16" i="43"/>
  <c r="J10" i="43"/>
  <c r="J15" i="43"/>
  <c r="J25" i="43"/>
  <c r="J14" i="43"/>
  <c r="J34" i="43"/>
  <c r="J12" i="43"/>
  <c r="J33" i="43"/>
  <c r="J24" i="43"/>
  <c r="J13" i="43"/>
  <c r="J23" i="43"/>
  <c r="J32" i="43"/>
  <c r="J22" i="43"/>
  <c r="J20" i="43"/>
  <c r="J19" i="43"/>
  <c r="J30" i="43"/>
  <c r="J31" i="43" s="1"/>
  <c r="J18" i="43"/>
  <c r="J11" i="43"/>
  <c r="J17" i="43"/>
  <c r="J39" i="43"/>
  <c r="J21" i="43"/>
  <c r="J8" i="43"/>
  <c r="H57" i="43"/>
  <c r="DN330" i="2"/>
  <c r="CP330" i="2"/>
  <c r="BR330" i="2"/>
  <c r="AT330" i="2"/>
  <c r="A330" i="2"/>
  <c r="DL330" i="2"/>
  <c r="CN330" i="2"/>
  <c r="BP330" i="2"/>
  <c r="AR330" i="2"/>
  <c r="DJ330" i="2"/>
  <c r="CL330" i="2"/>
  <c r="BN330" i="2"/>
  <c r="AP330" i="2"/>
  <c r="S330" i="2"/>
  <c r="T330" i="2" s="1"/>
  <c r="DH330" i="2"/>
  <c r="CJ330" i="2"/>
  <c r="BL330" i="2"/>
  <c r="AN330" i="2"/>
  <c r="DF330" i="2"/>
  <c r="CH330" i="2"/>
  <c r="BJ330" i="2"/>
  <c r="AL330" i="2"/>
  <c r="EB330" i="2"/>
  <c r="DD330" i="2"/>
  <c r="CF330" i="2"/>
  <c r="BH330" i="2"/>
  <c r="AJ330" i="2"/>
  <c r="DZ330" i="2"/>
  <c r="DB330" i="2"/>
  <c r="CD330" i="2"/>
  <c r="BF330" i="2"/>
  <c r="AH330" i="2"/>
  <c r="DX330" i="2"/>
  <c r="CZ330" i="2"/>
  <c r="CB330" i="2"/>
  <c r="BD330" i="2"/>
  <c r="DV330" i="2"/>
  <c r="CX330" i="2"/>
  <c r="BZ330" i="2"/>
  <c r="BB330" i="2"/>
  <c r="DT330" i="2"/>
  <c r="CV330" i="2"/>
  <c r="BX330" i="2"/>
  <c r="AZ330" i="2"/>
  <c r="DR330" i="2"/>
  <c r="CT330" i="2"/>
  <c r="BV330" i="2"/>
  <c r="AX330" i="2"/>
  <c r="DP330" i="2"/>
  <c r="CR330" i="2"/>
  <c r="BT330" i="2"/>
  <c r="AV330" i="2"/>
  <c r="J26" i="43" l="1"/>
  <c r="J57" i="43" s="1"/>
  <c r="K15" i="43"/>
  <c r="K25" i="43"/>
  <c r="K14" i="43"/>
  <c r="K34" i="43"/>
  <c r="K12" i="43"/>
  <c r="N12" i="43" s="1"/>
  <c r="K33" i="43"/>
  <c r="K24" i="43"/>
  <c r="K13" i="43"/>
  <c r="K23" i="43"/>
  <c r="K32" i="43"/>
  <c r="K22" i="43"/>
  <c r="K20" i="43"/>
  <c r="K19" i="43"/>
  <c r="K30" i="43"/>
  <c r="K31" i="43" s="1"/>
  <c r="K18" i="43"/>
  <c r="K39" i="43"/>
  <c r="K17" i="43"/>
  <c r="K11" i="43"/>
  <c r="K10" i="43"/>
  <c r="K16" i="43"/>
  <c r="K38" i="43"/>
  <c r="K21" i="43"/>
  <c r="M4" i="43"/>
  <c r="L6" i="43"/>
  <c r="L8" i="43" s="1"/>
  <c r="K8" i="43"/>
  <c r="K9" i="43"/>
  <c r="DV331" i="2"/>
  <c r="CX331" i="2"/>
  <c r="BZ331" i="2"/>
  <c r="BB331" i="2"/>
  <c r="DT331" i="2"/>
  <c r="CV331" i="2"/>
  <c r="BX331" i="2"/>
  <c r="AZ331" i="2"/>
  <c r="DR331" i="2"/>
  <c r="CT331" i="2"/>
  <c r="BV331" i="2"/>
  <c r="AX331" i="2"/>
  <c r="DP331" i="2"/>
  <c r="CR331" i="2"/>
  <c r="BT331" i="2"/>
  <c r="AV331" i="2"/>
  <c r="DN331" i="2"/>
  <c r="CP331" i="2"/>
  <c r="BR331" i="2"/>
  <c r="AT331" i="2"/>
  <c r="A331" i="2"/>
  <c r="DL331" i="2"/>
  <c r="CN331" i="2"/>
  <c r="BP331" i="2"/>
  <c r="AR331" i="2"/>
  <c r="DJ331" i="2"/>
  <c r="CL331" i="2"/>
  <c r="BN331" i="2"/>
  <c r="AP331" i="2"/>
  <c r="S331" i="2"/>
  <c r="T331" i="2" s="1"/>
  <c r="DH331" i="2"/>
  <c r="CJ331" i="2"/>
  <c r="BL331" i="2"/>
  <c r="AN331" i="2"/>
  <c r="DF331" i="2"/>
  <c r="CH331" i="2"/>
  <c r="BJ331" i="2"/>
  <c r="AL331" i="2"/>
  <c r="EB331" i="2"/>
  <c r="DD331" i="2"/>
  <c r="CF331" i="2"/>
  <c r="BH331" i="2"/>
  <c r="AJ331" i="2"/>
  <c r="DZ331" i="2"/>
  <c r="DB331" i="2"/>
  <c r="CD331" i="2"/>
  <c r="BF331" i="2"/>
  <c r="AH331" i="2"/>
  <c r="DX331" i="2"/>
  <c r="CZ331" i="2"/>
  <c r="CB331" i="2"/>
  <c r="BD331" i="2"/>
  <c r="G332" i="2"/>
  <c r="AC332" i="2"/>
  <c r="AD332" i="2" s="1"/>
  <c r="E332" i="2"/>
  <c r="D332" i="2"/>
  <c r="V332" i="2"/>
  <c r="C333" i="2"/>
  <c r="W330" i="2"/>
  <c r="B331" i="2"/>
  <c r="I29" i="9"/>
  <c r="H29" i="9"/>
  <c r="K26" i="43" l="1"/>
  <c r="K57" i="43" s="1"/>
  <c r="L9" i="43"/>
  <c r="F332" i="2"/>
  <c r="AB332" i="2" s="1"/>
  <c r="B4" i="44"/>
  <c r="M6" i="43"/>
  <c r="DF332" i="2"/>
  <c r="CH332" i="2"/>
  <c r="BJ332" i="2"/>
  <c r="AL332" i="2"/>
  <c r="EB332" i="2"/>
  <c r="DD332" i="2"/>
  <c r="CF332" i="2"/>
  <c r="BH332" i="2"/>
  <c r="AJ332" i="2"/>
  <c r="DZ332" i="2"/>
  <c r="DB332" i="2"/>
  <c r="CD332" i="2"/>
  <c r="BF332" i="2"/>
  <c r="AH332" i="2"/>
  <c r="DX332" i="2"/>
  <c r="CZ332" i="2"/>
  <c r="CB332" i="2"/>
  <c r="BD332" i="2"/>
  <c r="DV332" i="2"/>
  <c r="CX332" i="2"/>
  <c r="BZ332" i="2"/>
  <c r="BB332" i="2"/>
  <c r="DT332" i="2"/>
  <c r="CV332" i="2"/>
  <c r="BX332" i="2"/>
  <c r="AZ332" i="2"/>
  <c r="DR332" i="2"/>
  <c r="CT332" i="2"/>
  <c r="BV332" i="2"/>
  <c r="AX332" i="2"/>
  <c r="DP332" i="2"/>
  <c r="CR332" i="2"/>
  <c r="BT332" i="2"/>
  <c r="AV332" i="2"/>
  <c r="DN332" i="2"/>
  <c r="CP332" i="2"/>
  <c r="BR332" i="2"/>
  <c r="AT332" i="2"/>
  <c r="A332" i="2"/>
  <c r="DL332" i="2"/>
  <c r="CN332" i="2"/>
  <c r="BP332" i="2"/>
  <c r="AR332" i="2"/>
  <c r="DJ332" i="2"/>
  <c r="CL332" i="2"/>
  <c r="BN332" i="2"/>
  <c r="AP332" i="2"/>
  <c r="S332" i="2"/>
  <c r="T332" i="2" s="1"/>
  <c r="DH332" i="2"/>
  <c r="CJ332" i="2"/>
  <c r="BL332" i="2"/>
  <c r="AN332" i="2"/>
  <c r="AC333" i="2"/>
  <c r="AD333" i="2" s="1"/>
  <c r="G333" i="2"/>
  <c r="E333" i="2"/>
  <c r="D333" i="2"/>
  <c r="C334" i="2"/>
  <c r="V333" i="2"/>
  <c r="W331" i="2"/>
  <c r="B332" i="2"/>
  <c r="L25" i="43"/>
  <c r="L14" i="43"/>
  <c r="L34" i="43"/>
  <c r="L33" i="43"/>
  <c r="L24" i="43"/>
  <c r="L13" i="43"/>
  <c r="L23" i="43"/>
  <c r="L32" i="43"/>
  <c r="L22" i="43"/>
  <c r="L20" i="43"/>
  <c r="L19" i="43"/>
  <c r="L30" i="43"/>
  <c r="L31" i="43" s="1"/>
  <c r="L18" i="43"/>
  <c r="L39" i="43"/>
  <c r="L17" i="43"/>
  <c r="L11" i="43"/>
  <c r="L38" i="43"/>
  <c r="L16" i="43"/>
  <c r="L10" i="43"/>
  <c r="L15" i="43"/>
  <c r="L21" i="43"/>
  <c r="F333" i="2" l="1"/>
  <c r="AB333" i="2" s="1"/>
  <c r="L26" i="43"/>
  <c r="L57" i="43" s="1"/>
  <c r="M25" i="43"/>
  <c r="N25" i="43" s="1"/>
  <c r="M14" i="43"/>
  <c r="N14" i="43" s="1"/>
  <c r="M34" i="43"/>
  <c r="N34" i="43" s="1"/>
  <c r="M33" i="43"/>
  <c r="N33" i="43" s="1"/>
  <c r="M24" i="43"/>
  <c r="N24" i="43" s="1"/>
  <c r="M13" i="43"/>
  <c r="N13" i="43" s="1"/>
  <c r="M23" i="43"/>
  <c r="N23" i="43" s="1"/>
  <c r="M32" i="43"/>
  <c r="N32" i="43" s="1"/>
  <c r="M22" i="43"/>
  <c r="N22" i="43" s="1"/>
  <c r="M20" i="43"/>
  <c r="N20" i="43" s="1"/>
  <c r="M19" i="43"/>
  <c r="N19" i="43" s="1"/>
  <c r="M30" i="43"/>
  <c r="N30" i="43" s="1"/>
  <c r="M18" i="43"/>
  <c r="N18" i="43" s="1"/>
  <c r="M39" i="43"/>
  <c r="N39" i="43" s="1"/>
  <c r="M17" i="43"/>
  <c r="N17" i="43" s="1"/>
  <c r="M11" i="43"/>
  <c r="N11" i="43" s="1"/>
  <c r="M38" i="43"/>
  <c r="N38" i="43" s="1"/>
  <c r="M16" i="43"/>
  <c r="N16" i="43" s="1"/>
  <c r="M10" i="43"/>
  <c r="N10" i="43" s="1"/>
  <c r="M15" i="43"/>
  <c r="N15" i="43" s="1"/>
  <c r="N6" i="43"/>
  <c r="M21" i="43"/>
  <c r="N21" i="43" s="1"/>
  <c r="M8" i="43"/>
  <c r="N8" i="43" s="1"/>
  <c r="M9" i="43"/>
  <c r="N9" i="43" s="1"/>
  <c r="W332" i="2"/>
  <c r="B333" i="2"/>
  <c r="C4" i="44"/>
  <c r="B6" i="44"/>
  <c r="B7" i="44" s="1"/>
  <c r="V334" i="2"/>
  <c r="C335" i="2"/>
  <c r="G334" i="2"/>
  <c r="AC334" i="2"/>
  <c r="AD334" i="2" s="1"/>
  <c r="E334" i="2"/>
  <c r="D334" i="2"/>
  <c r="DJ333" i="2"/>
  <c r="CL333" i="2"/>
  <c r="BN333" i="2"/>
  <c r="AP333" i="2"/>
  <c r="A333" i="2"/>
  <c r="DH333" i="2"/>
  <c r="CJ333" i="2"/>
  <c r="BL333" i="2"/>
  <c r="AN333" i="2"/>
  <c r="DF333" i="2"/>
  <c r="CH333" i="2"/>
  <c r="BJ333" i="2"/>
  <c r="AL333" i="2"/>
  <c r="S333" i="2"/>
  <c r="T333" i="2" s="1"/>
  <c r="EB333" i="2"/>
  <c r="DD333" i="2"/>
  <c r="CF333" i="2"/>
  <c r="BH333" i="2"/>
  <c r="AJ333" i="2"/>
  <c r="DZ333" i="2"/>
  <c r="DB333" i="2"/>
  <c r="CD333" i="2"/>
  <c r="BF333" i="2"/>
  <c r="AH333" i="2"/>
  <c r="DX333" i="2"/>
  <c r="CZ333" i="2"/>
  <c r="CB333" i="2"/>
  <c r="BD333" i="2"/>
  <c r="DV333" i="2"/>
  <c r="CX333" i="2"/>
  <c r="BZ333" i="2"/>
  <c r="BB333" i="2"/>
  <c r="DT333" i="2"/>
  <c r="CV333" i="2"/>
  <c r="BX333" i="2"/>
  <c r="AZ333" i="2"/>
  <c r="DR333" i="2"/>
  <c r="CT333" i="2"/>
  <c r="BV333" i="2"/>
  <c r="AX333" i="2"/>
  <c r="DP333" i="2"/>
  <c r="CR333" i="2"/>
  <c r="BT333" i="2"/>
  <c r="AV333" i="2"/>
  <c r="DN333" i="2"/>
  <c r="CP333" i="2"/>
  <c r="BR333" i="2"/>
  <c r="AT333" i="2"/>
  <c r="DL333" i="2"/>
  <c r="CN333" i="2"/>
  <c r="BP333" i="2"/>
  <c r="AR333" i="2"/>
  <c r="L29" i="9"/>
  <c r="I29" i="8"/>
  <c r="G29" i="9"/>
  <c r="N29" i="9"/>
  <c r="M29" i="9"/>
  <c r="O29" i="8"/>
  <c r="L29" i="8"/>
  <c r="F29" i="9"/>
  <c r="K29" i="9"/>
  <c r="J29" i="9"/>
  <c r="F29" i="8"/>
  <c r="F334" i="2" l="1"/>
  <c r="AB334" i="2" s="1"/>
  <c r="N29" i="8"/>
  <c r="K29" i="8"/>
  <c r="Q29" i="8"/>
  <c r="M31" i="43"/>
  <c r="N31" i="43" s="1"/>
  <c r="P29" i="8"/>
  <c r="M29" i="8"/>
  <c r="J29" i="8"/>
  <c r="R29" i="8"/>
  <c r="S29" i="8" s="1"/>
  <c r="H29" i="8"/>
  <c r="G29" i="8"/>
  <c r="O29" i="9"/>
  <c r="P29" i="9" s="1"/>
  <c r="DN334" i="2"/>
  <c r="CP334" i="2"/>
  <c r="BR334" i="2"/>
  <c r="AT334" i="2"/>
  <c r="DL334" i="2"/>
  <c r="CN334" i="2"/>
  <c r="BP334" i="2"/>
  <c r="AR334" i="2"/>
  <c r="A334" i="2"/>
  <c r="DJ334" i="2"/>
  <c r="CL334" i="2"/>
  <c r="BN334" i="2"/>
  <c r="AP334" i="2"/>
  <c r="DH334" i="2"/>
  <c r="CJ334" i="2"/>
  <c r="BL334" i="2"/>
  <c r="S334" i="2"/>
  <c r="T334" i="2" s="1"/>
  <c r="DF334" i="2"/>
  <c r="CH334" i="2"/>
  <c r="BJ334" i="2"/>
  <c r="AN334" i="2"/>
  <c r="EB334" i="2"/>
  <c r="DD334" i="2"/>
  <c r="CF334" i="2"/>
  <c r="BH334" i="2"/>
  <c r="AL334" i="2"/>
  <c r="DZ334" i="2"/>
  <c r="DB334" i="2"/>
  <c r="CD334" i="2"/>
  <c r="BF334" i="2"/>
  <c r="AJ334" i="2"/>
  <c r="DX334" i="2"/>
  <c r="CZ334" i="2"/>
  <c r="CB334" i="2"/>
  <c r="BD334" i="2"/>
  <c r="AH334" i="2"/>
  <c r="DV334" i="2"/>
  <c r="CX334" i="2"/>
  <c r="BZ334" i="2"/>
  <c r="BB334" i="2"/>
  <c r="DT334" i="2"/>
  <c r="CV334" i="2"/>
  <c r="BX334" i="2"/>
  <c r="AZ334" i="2"/>
  <c r="DR334" i="2"/>
  <c r="CT334" i="2"/>
  <c r="BV334" i="2"/>
  <c r="AX334" i="2"/>
  <c r="DP334" i="2"/>
  <c r="CR334" i="2"/>
  <c r="BT334" i="2"/>
  <c r="AV334" i="2"/>
  <c r="AC335" i="2"/>
  <c r="AD335" i="2" s="1"/>
  <c r="E335" i="2"/>
  <c r="D335" i="2"/>
  <c r="F335" i="2" s="1"/>
  <c r="AB335" i="2" s="1"/>
  <c r="V335" i="2"/>
  <c r="C336" i="2"/>
  <c r="G335" i="2"/>
  <c r="W333" i="2"/>
  <c r="B334" i="2"/>
  <c r="B38" i="44"/>
  <c r="B25" i="44"/>
  <c r="B34" i="44"/>
  <c r="B33" i="44"/>
  <c r="B24" i="44"/>
  <c r="B32" i="44"/>
  <c r="B23" i="44"/>
  <c r="B21" i="44"/>
  <c r="B20" i="44"/>
  <c r="B19" i="44"/>
  <c r="B18" i="44"/>
  <c r="B12" i="44"/>
  <c r="B17" i="44"/>
  <c r="B11" i="44"/>
  <c r="B16" i="44"/>
  <c r="B10" i="44"/>
  <c r="B15" i="44"/>
  <c r="B39" i="44"/>
  <c r="B14" i="44"/>
  <c r="B13" i="44"/>
  <c r="B30" i="44"/>
  <c r="M26" i="43"/>
  <c r="D4" i="44"/>
  <c r="C6" i="44"/>
  <c r="C9" i="44" s="1"/>
  <c r="B9" i="44"/>
  <c r="B8" i="44"/>
  <c r="E29" i="8"/>
  <c r="B29" i="8"/>
  <c r="B29" i="9"/>
  <c r="E29" i="9"/>
  <c r="C8" i="44" l="1"/>
  <c r="B26" i="44"/>
  <c r="B57" i="44" s="1"/>
  <c r="W334" i="2"/>
  <c r="B335" i="2"/>
  <c r="N26" i="43"/>
  <c r="M57" i="43"/>
  <c r="B31" i="44"/>
  <c r="C25" i="44"/>
  <c r="C34" i="44"/>
  <c r="C33" i="44"/>
  <c r="C23" i="44"/>
  <c r="C32" i="44"/>
  <c r="C30" i="44"/>
  <c r="C20" i="44"/>
  <c r="C19" i="44"/>
  <c r="C24" i="44"/>
  <c r="C18" i="44"/>
  <c r="C12" i="44"/>
  <c r="C17" i="44"/>
  <c r="C11" i="44"/>
  <c r="C16" i="44"/>
  <c r="C10" i="44"/>
  <c r="C15" i="44"/>
  <c r="C39" i="44"/>
  <c r="C14" i="44"/>
  <c r="C38" i="44"/>
  <c r="C13" i="44"/>
  <c r="C22" i="44"/>
  <c r="C21" i="44"/>
  <c r="E4" i="44"/>
  <c r="D6" i="44"/>
  <c r="DV335" i="2"/>
  <c r="CX335" i="2"/>
  <c r="BZ335" i="2"/>
  <c r="BB335" i="2"/>
  <c r="DT335" i="2"/>
  <c r="CV335" i="2"/>
  <c r="BX335" i="2"/>
  <c r="AZ335" i="2"/>
  <c r="DR335" i="2"/>
  <c r="CT335" i="2"/>
  <c r="BV335" i="2"/>
  <c r="AX335" i="2"/>
  <c r="DP335" i="2"/>
  <c r="CR335" i="2"/>
  <c r="BT335" i="2"/>
  <c r="AV335" i="2"/>
  <c r="DN335" i="2"/>
  <c r="CP335" i="2"/>
  <c r="BR335" i="2"/>
  <c r="AT335" i="2"/>
  <c r="A335" i="2"/>
  <c r="DL335" i="2"/>
  <c r="CN335" i="2"/>
  <c r="BP335" i="2"/>
  <c r="AR335" i="2"/>
  <c r="DJ335" i="2"/>
  <c r="CL335" i="2"/>
  <c r="BN335" i="2"/>
  <c r="AP335" i="2"/>
  <c r="S335" i="2"/>
  <c r="T335" i="2" s="1"/>
  <c r="DH335" i="2"/>
  <c r="CJ335" i="2"/>
  <c r="BL335" i="2"/>
  <c r="AN335" i="2"/>
  <c r="DF335" i="2"/>
  <c r="CH335" i="2"/>
  <c r="BJ335" i="2"/>
  <c r="AL335" i="2"/>
  <c r="EB335" i="2"/>
  <c r="DD335" i="2"/>
  <c r="CF335" i="2"/>
  <c r="BH335" i="2"/>
  <c r="AJ335" i="2"/>
  <c r="DZ335" i="2"/>
  <c r="DB335" i="2"/>
  <c r="CD335" i="2"/>
  <c r="BF335" i="2"/>
  <c r="AH335" i="2"/>
  <c r="DX335" i="2"/>
  <c r="CZ335" i="2"/>
  <c r="CB335" i="2"/>
  <c r="BD335" i="2"/>
  <c r="G336" i="2"/>
  <c r="AC336" i="2"/>
  <c r="AD336" i="2" s="1"/>
  <c r="E336" i="2"/>
  <c r="D336" i="2"/>
  <c r="V336" i="2"/>
  <c r="C337" i="2"/>
  <c r="F29" i="3"/>
  <c r="F29" i="12"/>
  <c r="G29" i="10"/>
  <c r="F29" i="4"/>
  <c r="H29" i="12" l="1"/>
  <c r="G29" i="12"/>
  <c r="G29" i="3"/>
  <c r="H29" i="3"/>
  <c r="N57" i="43"/>
  <c r="C26" i="44"/>
  <c r="B60" i="43"/>
  <c r="H60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F4" i="44"/>
  <c r="E6" i="44"/>
  <c r="E8" i="44" s="1"/>
  <c r="W335" i="2"/>
  <c r="B336" i="2"/>
  <c r="C31" i="44"/>
  <c r="F336" i="2"/>
  <c r="AB336" i="2" s="1"/>
  <c r="D8" i="44"/>
  <c r="D25" i="44"/>
  <c r="D34" i="44"/>
  <c r="D33" i="44"/>
  <c r="D32" i="44"/>
  <c r="D30" i="44"/>
  <c r="D39" i="44"/>
  <c r="D19" i="44"/>
  <c r="D24" i="44"/>
  <c r="D18" i="44"/>
  <c r="D17" i="44"/>
  <c r="D11" i="44"/>
  <c r="D16" i="44"/>
  <c r="D10" i="44"/>
  <c r="D15" i="44"/>
  <c r="D14" i="44"/>
  <c r="D38" i="44"/>
  <c r="D13" i="44"/>
  <c r="D22" i="44"/>
  <c r="D23" i="44"/>
  <c r="D20" i="44"/>
  <c r="D21" i="44"/>
  <c r="D9" i="44"/>
  <c r="C338" i="2"/>
  <c r="G337" i="2"/>
  <c r="AC337" i="2"/>
  <c r="AD337" i="2" s="1"/>
  <c r="E337" i="2"/>
  <c r="D337" i="2"/>
  <c r="V337" i="2"/>
  <c r="DF336" i="2"/>
  <c r="CH336" i="2"/>
  <c r="BJ336" i="2"/>
  <c r="AL336" i="2"/>
  <c r="EB336" i="2"/>
  <c r="DD336" i="2"/>
  <c r="CF336" i="2"/>
  <c r="BH336" i="2"/>
  <c r="AJ336" i="2"/>
  <c r="DZ336" i="2"/>
  <c r="DB336" i="2"/>
  <c r="CD336" i="2"/>
  <c r="BF336" i="2"/>
  <c r="AH336" i="2"/>
  <c r="DX336" i="2"/>
  <c r="CZ336" i="2"/>
  <c r="CB336" i="2"/>
  <c r="BD336" i="2"/>
  <c r="DV336" i="2"/>
  <c r="CX336" i="2"/>
  <c r="BZ336" i="2"/>
  <c r="BB336" i="2"/>
  <c r="DT336" i="2"/>
  <c r="CV336" i="2"/>
  <c r="BX336" i="2"/>
  <c r="AZ336" i="2"/>
  <c r="DR336" i="2"/>
  <c r="CT336" i="2"/>
  <c r="BV336" i="2"/>
  <c r="AX336" i="2"/>
  <c r="DP336" i="2"/>
  <c r="CR336" i="2"/>
  <c r="BT336" i="2"/>
  <c r="AV336" i="2"/>
  <c r="DN336" i="2"/>
  <c r="CP336" i="2"/>
  <c r="BR336" i="2"/>
  <c r="AT336" i="2"/>
  <c r="A336" i="2"/>
  <c r="DL336" i="2"/>
  <c r="CN336" i="2"/>
  <c r="BP336" i="2"/>
  <c r="AR336" i="2"/>
  <c r="DJ336" i="2"/>
  <c r="CL336" i="2"/>
  <c r="BN336" i="2"/>
  <c r="AP336" i="2"/>
  <c r="S336" i="2"/>
  <c r="T336" i="2" s="1"/>
  <c r="DH336" i="2"/>
  <c r="CJ336" i="2"/>
  <c r="BL336" i="2"/>
  <c r="AN336" i="2"/>
  <c r="E29" i="4"/>
  <c r="K29" i="4"/>
  <c r="I29" i="4"/>
  <c r="J29" i="4"/>
  <c r="E29" i="12"/>
  <c r="B29" i="12"/>
  <c r="H29" i="4"/>
  <c r="C29" i="10"/>
  <c r="F29" i="10"/>
  <c r="B29" i="4"/>
  <c r="G29" i="4"/>
  <c r="O29" i="3"/>
  <c r="E29" i="3"/>
  <c r="B29" i="3"/>
  <c r="D26" i="44" l="1"/>
  <c r="O29" i="4"/>
  <c r="P29" i="4" s="1"/>
  <c r="AJ29" i="11" s="1"/>
  <c r="B29" i="6"/>
  <c r="C29" i="3"/>
  <c r="B29" i="5"/>
  <c r="B29" i="7"/>
  <c r="E29" i="5"/>
  <c r="E29" i="7"/>
  <c r="E29" i="6"/>
  <c r="C29" i="4"/>
  <c r="D57" i="44"/>
  <c r="L28" i="43"/>
  <c r="L58" i="43" s="1"/>
  <c r="L59" i="43" s="1"/>
  <c r="DN337" i="2"/>
  <c r="CP337" i="2"/>
  <c r="BR337" i="2"/>
  <c r="AT337" i="2"/>
  <c r="A337" i="2"/>
  <c r="DL337" i="2"/>
  <c r="CN337" i="2"/>
  <c r="BP337" i="2"/>
  <c r="AR337" i="2"/>
  <c r="DJ337" i="2"/>
  <c r="CL337" i="2"/>
  <c r="BN337" i="2"/>
  <c r="AP337" i="2"/>
  <c r="S337" i="2"/>
  <c r="T337" i="2" s="1"/>
  <c r="DH337" i="2"/>
  <c r="CJ337" i="2"/>
  <c r="BL337" i="2"/>
  <c r="AN337" i="2"/>
  <c r="DF337" i="2"/>
  <c r="CH337" i="2"/>
  <c r="BJ337" i="2"/>
  <c r="AL337" i="2"/>
  <c r="EB337" i="2"/>
  <c r="DD337" i="2"/>
  <c r="CF337" i="2"/>
  <c r="BH337" i="2"/>
  <c r="AJ337" i="2"/>
  <c r="DZ337" i="2"/>
  <c r="DB337" i="2"/>
  <c r="CD337" i="2"/>
  <c r="BF337" i="2"/>
  <c r="AH337" i="2"/>
  <c r="DX337" i="2"/>
  <c r="CZ337" i="2"/>
  <c r="CB337" i="2"/>
  <c r="BD337" i="2"/>
  <c r="DV337" i="2"/>
  <c r="CX337" i="2"/>
  <c r="BZ337" i="2"/>
  <c r="BB337" i="2"/>
  <c r="DT337" i="2"/>
  <c r="CV337" i="2"/>
  <c r="BX337" i="2"/>
  <c r="AZ337" i="2"/>
  <c r="DR337" i="2"/>
  <c r="CT337" i="2"/>
  <c r="BV337" i="2"/>
  <c r="AX337" i="2"/>
  <c r="DP337" i="2"/>
  <c r="CR337" i="2"/>
  <c r="BT337" i="2"/>
  <c r="AV337" i="2"/>
  <c r="K28" i="43"/>
  <c r="K58" i="43" s="1"/>
  <c r="K59" i="43" s="1"/>
  <c r="D31" i="44"/>
  <c r="I28" i="43"/>
  <c r="I58" i="43" s="1"/>
  <c r="I59" i="43" s="1"/>
  <c r="J28" i="43"/>
  <c r="J58" i="43" s="1"/>
  <c r="J59" i="43" s="1"/>
  <c r="E25" i="44"/>
  <c r="E34" i="44"/>
  <c r="E33" i="44"/>
  <c r="E24" i="44"/>
  <c r="E32" i="44"/>
  <c r="E30" i="44"/>
  <c r="E31" i="44" s="1"/>
  <c r="E39" i="44"/>
  <c r="E38" i="44"/>
  <c r="E18" i="44"/>
  <c r="E17" i="44"/>
  <c r="E11" i="44"/>
  <c r="E16" i="44"/>
  <c r="E10" i="44"/>
  <c r="E15" i="44"/>
  <c r="E14" i="44"/>
  <c r="E13" i="44"/>
  <c r="E22" i="44"/>
  <c r="E23" i="44"/>
  <c r="E20" i="44"/>
  <c r="E19" i="44"/>
  <c r="E21" i="44"/>
  <c r="H28" i="43"/>
  <c r="H58" i="43" s="1"/>
  <c r="H59" i="43" s="1"/>
  <c r="C57" i="44"/>
  <c r="G4" i="44"/>
  <c r="F6" i="44"/>
  <c r="F8" i="44" s="1"/>
  <c r="G28" i="43"/>
  <c r="G58" i="43" s="1"/>
  <c r="G59" i="43" s="1"/>
  <c r="AC338" i="2"/>
  <c r="AD338" i="2" s="1"/>
  <c r="E338" i="2"/>
  <c r="D338" i="2"/>
  <c r="F338" i="2" s="1"/>
  <c r="AB338" i="2" s="1"/>
  <c r="V338" i="2"/>
  <c r="C339" i="2"/>
  <c r="G338" i="2"/>
  <c r="F28" i="43"/>
  <c r="F58" i="43" s="1"/>
  <c r="F59" i="43" s="1"/>
  <c r="E9" i="44"/>
  <c r="D28" i="43"/>
  <c r="D58" i="43" s="1"/>
  <c r="D59" i="43" s="1"/>
  <c r="C28" i="43"/>
  <c r="C58" i="43" s="1"/>
  <c r="C59" i="43" s="1"/>
  <c r="F337" i="2"/>
  <c r="AB337" i="2" s="1"/>
  <c r="N27" i="43"/>
  <c r="B28" i="43"/>
  <c r="E28" i="43"/>
  <c r="E58" i="43" s="1"/>
  <c r="E59" i="43" s="1"/>
  <c r="W336" i="2"/>
  <c r="B337" i="2"/>
  <c r="M28" i="43"/>
  <c r="M58" i="43" s="1"/>
  <c r="M59" i="43" s="1"/>
  <c r="H29" i="10"/>
  <c r="E26" i="44" l="1"/>
  <c r="E57" i="44" s="1"/>
  <c r="N28" i="43"/>
  <c r="I29" i="10"/>
  <c r="J29" i="10"/>
  <c r="K29" i="10" s="1"/>
  <c r="B58" i="43"/>
  <c r="F34" i="44"/>
  <c r="F33" i="44"/>
  <c r="F24" i="44"/>
  <c r="F32" i="44"/>
  <c r="F30" i="44"/>
  <c r="F31" i="44" s="1"/>
  <c r="F39" i="44"/>
  <c r="F38" i="44"/>
  <c r="F17" i="44"/>
  <c r="F11" i="44"/>
  <c r="F16" i="44"/>
  <c r="F10" i="44"/>
  <c r="F15" i="44"/>
  <c r="F14" i="44"/>
  <c r="F13" i="44"/>
  <c r="F22" i="44"/>
  <c r="F23" i="44"/>
  <c r="F20" i="44"/>
  <c r="F25" i="44"/>
  <c r="F19" i="44"/>
  <c r="F18" i="44"/>
  <c r="F21" i="44"/>
  <c r="H4" i="44"/>
  <c r="G6" i="44"/>
  <c r="D29" i="11"/>
  <c r="P29" i="11" s="1"/>
  <c r="D29" i="5"/>
  <c r="D29" i="6" s="1"/>
  <c r="DV338" i="2"/>
  <c r="CX338" i="2"/>
  <c r="BZ338" i="2"/>
  <c r="BB338" i="2"/>
  <c r="DT338" i="2"/>
  <c r="CV338" i="2"/>
  <c r="BX338" i="2"/>
  <c r="AZ338" i="2"/>
  <c r="DR338" i="2"/>
  <c r="CT338" i="2"/>
  <c r="BV338" i="2"/>
  <c r="AX338" i="2"/>
  <c r="DP338" i="2"/>
  <c r="CR338" i="2"/>
  <c r="BT338" i="2"/>
  <c r="AV338" i="2"/>
  <c r="DN338" i="2"/>
  <c r="CP338" i="2"/>
  <c r="BR338" i="2"/>
  <c r="AT338" i="2"/>
  <c r="A338" i="2"/>
  <c r="DL338" i="2"/>
  <c r="CN338" i="2"/>
  <c r="BP338" i="2"/>
  <c r="AR338" i="2"/>
  <c r="DJ338" i="2"/>
  <c r="CL338" i="2"/>
  <c r="BN338" i="2"/>
  <c r="AP338" i="2"/>
  <c r="S338" i="2"/>
  <c r="T338" i="2" s="1"/>
  <c r="DH338" i="2"/>
  <c r="CJ338" i="2"/>
  <c r="BL338" i="2"/>
  <c r="AN338" i="2"/>
  <c r="DF338" i="2"/>
  <c r="CH338" i="2"/>
  <c r="BJ338" i="2"/>
  <c r="AL338" i="2"/>
  <c r="EB338" i="2"/>
  <c r="DD338" i="2"/>
  <c r="CF338" i="2"/>
  <c r="BH338" i="2"/>
  <c r="AJ338" i="2"/>
  <c r="DZ338" i="2"/>
  <c r="DB338" i="2"/>
  <c r="CD338" i="2"/>
  <c r="BF338" i="2"/>
  <c r="AH338" i="2"/>
  <c r="DX338" i="2"/>
  <c r="CZ338" i="2"/>
  <c r="CB338" i="2"/>
  <c r="BD338" i="2"/>
  <c r="G339" i="2"/>
  <c r="AC339" i="2"/>
  <c r="AD339" i="2" s="1"/>
  <c r="E339" i="2"/>
  <c r="D339" i="2"/>
  <c r="F339" i="2" s="1"/>
  <c r="AB339" i="2" s="1"/>
  <c r="V339" i="2"/>
  <c r="C340" i="2"/>
  <c r="W337" i="2"/>
  <c r="B338" i="2"/>
  <c r="F9" i="44"/>
  <c r="Y29" i="11" l="1"/>
  <c r="X29" i="11"/>
  <c r="T29" i="11"/>
  <c r="O29" i="11"/>
  <c r="N29" i="11"/>
  <c r="Z29" i="11"/>
  <c r="AD29" i="11"/>
  <c r="AF29" i="11"/>
  <c r="AB29" i="11"/>
  <c r="AE29" i="11"/>
  <c r="AG29" i="11"/>
  <c r="M29" i="11"/>
  <c r="S29" i="11"/>
  <c r="U29" i="11"/>
  <c r="J29" i="11"/>
  <c r="Q29" i="11"/>
  <c r="K29" i="11"/>
  <c r="AC29" i="11"/>
  <c r="W29" i="11"/>
  <c r="AI29" i="11"/>
  <c r="F26" i="44"/>
  <c r="F57" i="44" s="1"/>
  <c r="L29" i="11"/>
  <c r="G33" i="44"/>
  <c r="G24" i="44"/>
  <c r="G23" i="44"/>
  <c r="G32" i="44"/>
  <c r="G30" i="44"/>
  <c r="G31" i="44" s="1"/>
  <c r="G39" i="44"/>
  <c r="G38" i="44"/>
  <c r="G16" i="44"/>
  <c r="G10" i="44"/>
  <c r="G15" i="44"/>
  <c r="G34" i="44"/>
  <c r="G14" i="44"/>
  <c r="G13" i="44"/>
  <c r="G22" i="44"/>
  <c r="G20" i="44"/>
  <c r="G25" i="44"/>
  <c r="G19" i="44"/>
  <c r="G18" i="44"/>
  <c r="G17" i="44"/>
  <c r="G11" i="44"/>
  <c r="G21" i="44"/>
  <c r="I4" i="44"/>
  <c r="H6" i="44"/>
  <c r="N58" i="43"/>
  <c r="N59" i="43" s="1"/>
  <c r="F60" i="43" s="1"/>
  <c r="B59" i="43"/>
  <c r="G8" i="44"/>
  <c r="G9" i="44"/>
  <c r="D29" i="7"/>
  <c r="D29" i="8" s="1"/>
  <c r="D29" i="9" s="1"/>
  <c r="D29" i="10" s="1"/>
  <c r="C29" i="12" s="1"/>
  <c r="R29" i="6"/>
  <c r="C341" i="2"/>
  <c r="G340" i="2"/>
  <c r="AC340" i="2"/>
  <c r="AD340" i="2" s="1"/>
  <c r="E340" i="2"/>
  <c r="D340" i="2"/>
  <c r="V340" i="2"/>
  <c r="W338" i="2"/>
  <c r="B339" i="2"/>
  <c r="V29" i="11"/>
  <c r="AA29" i="11"/>
  <c r="R29" i="11"/>
  <c r="AH29" i="11"/>
  <c r="DF339" i="2"/>
  <c r="CH339" i="2"/>
  <c r="BJ339" i="2"/>
  <c r="AL339" i="2"/>
  <c r="EB339" i="2"/>
  <c r="DD339" i="2"/>
  <c r="CF339" i="2"/>
  <c r="BH339" i="2"/>
  <c r="AJ339" i="2"/>
  <c r="DZ339" i="2"/>
  <c r="DB339" i="2"/>
  <c r="CD339" i="2"/>
  <c r="BF339" i="2"/>
  <c r="AH339" i="2"/>
  <c r="DX339" i="2"/>
  <c r="CZ339" i="2"/>
  <c r="CB339" i="2"/>
  <c r="BD339" i="2"/>
  <c r="DV339" i="2"/>
  <c r="CX339" i="2"/>
  <c r="BZ339" i="2"/>
  <c r="BB339" i="2"/>
  <c r="DT339" i="2"/>
  <c r="CV339" i="2"/>
  <c r="BX339" i="2"/>
  <c r="AZ339" i="2"/>
  <c r="DR339" i="2"/>
  <c r="CT339" i="2"/>
  <c r="BV339" i="2"/>
  <c r="AX339" i="2"/>
  <c r="DP339" i="2"/>
  <c r="CR339" i="2"/>
  <c r="BT339" i="2"/>
  <c r="AV339" i="2"/>
  <c r="DN339" i="2"/>
  <c r="CP339" i="2"/>
  <c r="BR339" i="2"/>
  <c r="AT339" i="2"/>
  <c r="A339" i="2"/>
  <c r="DL339" i="2"/>
  <c r="CN339" i="2"/>
  <c r="BP339" i="2"/>
  <c r="AR339" i="2"/>
  <c r="DJ339" i="2"/>
  <c r="CL339" i="2"/>
  <c r="BN339" i="2"/>
  <c r="AP339" i="2"/>
  <c r="S339" i="2"/>
  <c r="T339" i="2" s="1"/>
  <c r="DH339" i="2"/>
  <c r="CJ339" i="2"/>
  <c r="BL339" i="2"/>
  <c r="AN339" i="2"/>
  <c r="H9" i="44" l="1"/>
  <c r="H7" i="44"/>
  <c r="N7" i="44" s="1"/>
  <c r="G29" i="11"/>
  <c r="H29" i="11" s="1"/>
  <c r="G26" i="44"/>
  <c r="G57" i="44" s="1"/>
  <c r="H8" i="44"/>
  <c r="W339" i="2"/>
  <c r="B340" i="2"/>
  <c r="F340" i="2"/>
  <c r="AB340" i="2" s="1"/>
  <c r="G60" i="43"/>
  <c r="I60" i="43"/>
  <c r="DN340" i="2"/>
  <c r="CP340" i="2"/>
  <c r="BR340" i="2"/>
  <c r="AT340" i="2"/>
  <c r="A340" i="2"/>
  <c r="DL340" i="2"/>
  <c r="CN340" i="2"/>
  <c r="BP340" i="2"/>
  <c r="AR340" i="2"/>
  <c r="DJ340" i="2"/>
  <c r="CL340" i="2"/>
  <c r="BN340" i="2"/>
  <c r="AP340" i="2"/>
  <c r="S340" i="2"/>
  <c r="T340" i="2" s="1"/>
  <c r="DH340" i="2"/>
  <c r="CJ340" i="2"/>
  <c r="BL340" i="2"/>
  <c r="AN340" i="2"/>
  <c r="DF340" i="2"/>
  <c r="CH340" i="2"/>
  <c r="BJ340" i="2"/>
  <c r="AL340" i="2"/>
  <c r="EB340" i="2"/>
  <c r="DD340" i="2"/>
  <c r="CF340" i="2"/>
  <c r="BH340" i="2"/>
  <c r="AJ340" i="2"/>
  <c r="DZ340" i="2"/>
  <c r="DB340" i="2"/>
  <c r="CD340" i="2"/>
  <c r="BF340" i="2"/>
  <c r="AH340" i="2"/>
  <c r="DX340" i="2"/>
  <c r="CZ340" i="2"/>
  <c r="CB340" i="2"/>
  <c r="BD340" i="2"/>
  <c r="DV340" i="2"/>
  <c r="CX340" i="2"/>
  <c r="BZ340" i="2"/>
  <c r="BB340" i="2"/>
  <c r="DT340" i="2"/>
  <c r="CV340" i="2"/>
  <c r="BX340" i="2"/>
  <c r="AZ340" i="2"/>
  <c r="DR340" i="2"/>
  <c r="CT340" i="2"/>
  <c r="BV340" i="2"/>
  <c r="AX340" i="2"/>
  <c r="DP340" i="2"/>
  <c r="CR340" i="2"/>
  <c r="BT340" i="2"/>
  <c r="AV340" i="2"/>
  <c r="C342" i="2"/>
  <c r="AC341" i="2"/>
  <c r="AD341" i="2" s="1"/>
  <c r="E341" i="2"/>
  <c r="D341" i="2"/>
  <c r="V341" i="2"/>
  <c r="G341" i="2"/>
  <c r="H32" i="44"/>
  <c r="H30" i="44"/>
  <c r="H31" i="44" s="1"/>
  <c r="H39" i="44"/>
  <c r="H38" i="44"/>
  <c r="H25" i="44"/>
  <c r="H24" i="44"/>
  <c r="H15" i="44"/>
  <c r="H34" i="44"/>
  <c r="H14" i="44"/>
  <c r="H33" i="44"/>
  <c r="H13" i="44"/>
  <c r="H22" i="44"/>
  <c r="H20" i="44"/>
  <c r="H23" i="44"/>
  <c r="H19" i="44"/>
  <c r="H18" i="44"/>
  <c r="H17" i="44"/>
  <c r="H11" i="44"/>
  <c r="H16" i="44"/>
  <c r="H10" i="44"/>
  <c r="H21" i="44"/>
  <c r="J4" i="44"/>
  <c r="I6" i="44"/>
  <c r="I8" i="44" s="1"/>
  <c r="F341" i="2" l="1"/>
  <c r="AB341" i="2" s="1"/>
  <c r="C29" i="11"/>
  <c r="E29" i="11" s="1"/>
  <c r="W340" i="2"/>
  <c r="B341" i="2"/>
  <c r="G342" i="2"/>
  <c r="C343" i="2"/>
  <c r="E342" i="2"/>
  <c r="D342" i="2"/>
  <c r="F342" i="2" s="1"/>
  <c r="AB342" i="2" s="1"/>
  <c r="AC342" i="2"/>
  <c r="AD342" i="2" s="1"/>
  <c r="V342" i="2"/>
  <c r="I9" i="44"/>
  <c r="K4" i="44"/>
  <c r="J6" i="44"/>
  <c r="DT341" i="2"/>
  <c r="DR341" i="2"/>
  <c r="CT341" i="2"/>
  <c r="DJ341" i="2"/>
  <c r="EB341" i="2"/>
  <c r="DD341" i="2"/>
  <c r="CF341" i="2"/>
  <c r="DB341" i="2"/>
  <c r="BZ341" i="2"/>
  <c r="BB341" i="2"/>
  <c r="CZ341" i="2"/>
  <c r="BX341" i="2"/>
  <c r="AZ341" i="2"/>
  <c r="CX341" i="2"/>
  <c r="BV341" i="2"/>
  <c r="AX341" i="2"/>
  <c r="CV341" i="2"/>
  <c r="BT341" i="2"/>
  <c r="AV341" i="2"/>
  <c r="DZ341" i="2"/>
  <c r="CR341" i="2"/>
  <c r="BR341" i="2"/>
  <c r="AT341" i="2"/>
  <c r="A341" i="2"/>
  <c r="DX341" i="2"/>
  <c r="CP341" i="2"/>
  <c r="BP341" i="2"/>
  <c r="AR341" i="2"/>
  <c r="DV341" i="2"/>
  <c r="CN341" i="2"/>
  <c r="BN341" i="2"/>
  <c r="AP341" i="2"/>
  <c r="S341" i="2"/>
  <c r="T341" i="2" s="1"/>
  <c r="DP341" i="2"/>
  <c r="CL341" i="2"/>
  <c r="BL341" i="2"/>
  <c r="AN341" i="2"/>
  <c r="DN341" i="2"/>
  <c r="CJ341" i="2"/>
  <c r="BJ341" i="2"/>
  <c r="AL341" i="2"/>
  <c r="DL341" i="2"/>
  <c r="CH341" i="2"/>
  <c r="BH341" i="2"/>
  <c r="AJ341" i="2"/>
  <c r="DH341" i="2"/>
  <c r="CD341" i="2"/>
  <c r="BF341" i="2"/>
  <c r="AH341" i="2"/>
  <c r="DF341" i="2"/>
  <c r="CB341" i="2"/>
  <c r="BD341" i="2"/>
  <c r="H26" i="44"/>
  <c r="I32" i="44"/>
  <c r="I30" i="44"/>
  <c r="I31" i="44" s="1"/>
  <c r="I39" i="44"/>
  <c r="I38" i="44"/>
  <c r="I25" i="44"/>
  <c r="I34" i="44"/>
  <c r="I14" i="44"/>
  <c r="I33" i="44"/>
  <c r="I13" i="44"/>
  <c r="I22" i="44"/>
  <c r="I20" i="44"/>
  <c r="I23" i="44"/>
  <c r="I19" i="44"/>
  <c r="I18" i="44"/>
  <c r="I17" i="44"/>
  <c r="I11" i="44"/>
  <c r="I16" i="44"/>
  <c r="I10" i="44"/>
  <c r="I15" i="44"/>
  <c r="I24" i="44"/>
  <c r="I21" i="44"/>
  <c r="I26" i="44" l="1"/>
  <c r="I57" i="44" s="1"/>
  <c r="L4" i="44"/>
  <c r="K6" i="44"/>
  <c r="H57" i="44"/>
  <c r="W341" i="2"/>
  <c r="B342" i="2"/>
  <c r="C344" i="2"/>
  <c r="G343" i="2"/>
  <c r="D343" i="2"/>
  <c r="AC343" i="2"/>
  <c r="AD343" i="2" s="1"/>
  <c r="V343" i="2"/>
  <c r="E343" i="2"/>
  <c r="J30" i="44"/>
  <c r="J31" i="44" s="1"/>
  <c r="J39" i="44"/>
  <c r="J38" i="44"/>
  <c r="J25" i="44"/>
  <c r="J34" i="44"/>
  <c r="J33" i="44"/>
  <c r="J24" i="44"/>
  <c r="J14" i="44"/>
  <c r="J12" i="44"/>
  <c r="J13" i="44"/>
  <c r="J22" i="44"/>
  <c r="J20" i="44"/>
  <c r="J32" i="44"/>
  <c r="J23" i="44"/>
  <c r="J19" i="44"/>
  <c r="J18" i="44"/>
  <c r="J17" i="44"/>
  <c r="J11" i="44"/>
  <c r="J16" i="44"/>
  <c r="J10" i="44"/>
  <c r="J15" i="44"/>
  <c r="J21" i="44"/>
  <c r="EB342" i="2"/>
  <c r="DD342" i="2"/>
  <c r="CF342" i="2"/>
  <c r="BH342" i="2"/>
  <c r="AJ342" i="2"/>
  <c r="DZ342" i="2"/>
  <c r="DB342" i="2"/>
  <c r="CD342" i="2"/>
  <c r="BF342" i="2"/>
  <c r="AH342" i="2"/>
  <c r="DR342" i="2"/>
  <c r="CT342" i="2"/>
  <c r="BV342" i="2"/>
  <c r="AX342" i="2"/>
  <c r="DP342" i="2"/>
  <c r="CR342" i="2"/>
  <c r="BT342" i="2"/>
  <c r="DL342" i="2"/>
  <c r="CN342" i="2"/>
  <c r="BP342" i="2"/>
  <c r="AR342" i="2"/>
  <c r="DJ342" i="2"/>
  <c r="DT342" i="2"/>
  <c r="BZ342" i="2"/>
  <c r="AN342" i="2"/>
  <c r="DN342" i="2"/>
  <c r="BX342" i="2"/>
  <c r="AL342" i="2"/>
  <c r="DH342" i="2"/>
  <c r="BR342" i="2"/>
  <c r="DF342" i="2"/>
  <c r="BN342" i="2"/>
  <c r="A342" i="2"/>
  <c r="CZ342" i="2"/>
  <c r="BL342" i="2"/>
  <c r="CX342" i="2"/>
  <c r="BJ342" i="2"/>
  <c r="CV342" i="2"/>
  <c r="BD342" i="2"/>
  <c r="CP342" i="2"/>
  <c r="BB342" i="2"/>
  <c r="S342" i="2"/>
  <c r="T342" i="2" s="1"/>
  <c r="CL342" i="2"/>
  <c r="AZ342" i="2"/>
  <c r="CJ342" i="2"/>
  <c r="AV342" i="2"/>
  <c r="DX342" i="2"/>
  <c r="CH342" i="2"/>
  <c r="AT342" i="2"/>
  <c r="DV342" i="2"/>
  <c r="CB342" i="2"/>
  <c r="AP342" i="2"/>
  <c r="J8" i="44"/>
  <c r="J9" i="44"/>
  <c r="J26" i="44" l="1"/>
  <c r="J57" i="44" s="1"/>
  <c r="K30" i="44"/>
  <c r="K31" i="44" s="1"/>
  <c r="K39" i="44"/>
  <c r="K38" i="44"/>
  <c r="K25" i="44"/>
  <c r="K34" i="44"/>
  <c r="K33" i="44"/>
  <c r="K24" i="44"/>
  <c r="K12" i="44"/>
  <c r="N12" i="44" s="1"/>
  <c r="K13" i="44"/>
  <c r="K22" i="44"/>
  <c r="K20" i="44"/>
  <c r="K32" i="44"/>
  <c r="K23" i="44"/>
  <c r="K19" i="44"/>
  <c r="K18" i="44"/>
  <c r="K17" i="44"/>
  <c r="K11" i="44"/>
  <c r="K16" i="44"/>
  <c r="K10" i="44"/>
  <c r="K15" i="44"/>
  <c r="K14" i="44"/>
  <c r="K21" i="44"/>
  <c r="K8" i="44"/>
  <c r="W342" i="2"/>
  <c r="B343" i="2"/>
  <c r="K9" i="44"/>
  <c r="M4" i="44"/>
  <c r="L6" i="44"/>
  <c r="F343" i="2"/>
  <c r="AB343" i="2" s="1"/>
  <c r="DL343" i="2"/>
  <c r="CN343" i="2"/>
  <c r="BP343" i="2"/>
  <c r="AR343" i="2"/>
  <c r="DJ343" i="2"/>
  <c r="CL343" i="2"/>
  <c r="BN343" i="2"/>
  <c r="AP343" i="2"/>
  <c r="S343" i="2"/>
  <c r="T343" i="2" s="1"/>
  <c r="DH343" i="2"/>
  <c r="DZ343" i="2"/>
  <c r="DB343" i="2"/>
  <c r="CD343" i="2"/>
  <c r="BF343" i="2"/>
  <c r="AH343" i="2"/>
  <c r="DX343" i="2"/>
  <c r="CZ343" i="2"/>
  <c r="CB343" i="2"/>
  <c r="BD343" i="2"/>
  <c r="DT343" i="2"/>
  <c r="CV343" i="2"/>
  <c r="BX343" i="2"/>
  <c r="AZ343" i="2"/>
  <c r="DR343" i="2"/>
  <c r="CT343" i="2"/>
  <c r="BV343" i="2"/>
  <c r="AX343" i="2"/>
  <c r="CF343" i="2"/>
  <c r="AJ343" i="2"/>
  <c r="EB343" i="2"/>
  <c r="BZ343" i="2"/>
  <c r="DV343" i="2"/>
  <c r="BT343" i="2"/>
  <c r="DP343" i="2"/>
  <c r="BR343" i="2"/>
  <c r="DN343" i="2"/>
  <c r="BL343" i="2"/>
  <c r="DF343" i="2"/>
  <c r="BJ343" i="2"/>
  <c r="DD343" i="2"/>
  <c r="BH343" i="2"/>
  <c r="CX343" i="2"/>
  <c r="BB343" i="2"/>
  <c r="CR343" i="2"/>
  <c r="AV343" i="2"/>
  <c r="CP343" i="2"/>
  <c r="AT343" i="2"/>
  <c r="A343" i="2"/>
  <c r="CJ343" i="2"/>
  <c r="AN343" i="2"/>
  <c r="CH343" i="2"/>
  <c r="AL343" i="2"/>
  <c r="D344" i="2"/>
  <c r="V344" i="2"/>
  <c r="C345" i="2"/>
  <c r="G344" i="2"/>
  <c r="AC344" i="2"/>
  <c r="AD344" i="2" s="1"/>
  <c r="E344" i="2"/>
  <c r="I30" i="9"/>
  <c r="H30" i="9"/>
  <c r="K26" i="44" l="1"/>
  <c r="K57" i="44" s="1"/>
  <c r="L30" i="44"/>
  <c r="L31" i="44" s="1"/>
  <c r="L39" i="44"/>
  <c r="L38" i="44"/>
  <c r="L25" i="44"/>
  <c r="L34" i="44"/>
  <c r="L33" i="44"/>
  <c r="L24" i="44"/>
  <c r="L32" i="44"/>
  <c r="L13" i="44"/>
  <c r="L22" i="44"/>
  <c r="L20" i="44"/>
  <c r="L23" i="44"/>
  <c r="L19" i="44"/>
  <c r="L18" i="44"/>
  <c r="L17" i="44"/>
  <c r="L11" i="44"/>
  <c r="L16" i="44"/>
  <c r="L10" i="44"/>
  <c r="L15" i="44"/>
  <c r="L14" i="44"/>
  <c r="L21" i="44"/>
  <c r="L8" i="44"/>
  <c r="L9" i="44"/>
  <c r="AC345" i="2"/>
  <c r="AD345" i="2" s="1"/>
  <c r="G345" i="2"/>
  <c r="D345" i="2"/>
  <c r="C346" i="2"/>
  <c r="V345" i="2"/>
  <c r="E345" i="2"/>
  <c r="B4" i="45"/>
  <c r="M6" i="44"/>
  <c r="M9" i="44" s="1"/>
  <c r="W343" i="2"/>
  <c r="B344" i="2"/>
  <c r="DV344" i="2"/>
  <c r="CX344" i="2"/>
  <c r="BZ344" i="2"/>
  <c r="BB344" i="2"/>
  <c r="DT344" i="2"/>
  <c r="CV344" i="2"/>
  <c r="BX344" i="2"/>
  <c r="AZ344" i="2"/>
  <c r="DR344" i="2"/>
  <c r="CT344" i="2"/>
  <c r="BV344" i="2"/>
  <c r="AX344" i="2"/>
  <c r="DP344" i="2"/>
  <c r="CR344" i="2"/>
  <c r="BT344" i="2"/>
  <c r="AV344" i="2"/>
  <c r="DL344" i="2"/>
  <c r="CN344" i="2"/>
  <c r="BP344" i="2"/>
  <c r="AR344" i="2"/>
  <c r="DJ344" i="2"/>
  <c r="CL344" i="2"/>
  <c r="BN344" i="2"/>
  <c r="AP344" i="2"/>
  <c r="S344" i="2"/>
  <c r="T344" i="2" s="1"/>
  <c r="DH344" i="2"/>
  <c r="CJ344" i="2"/>
  <c r="BL344" i="2"/>
  <c r="AN344" i="2"/>
  <c r="DF344" i="2"/>
  <c r="CH344" i="2"/>
  <c r="BJ344" i="2"/>
  <c r="AL344" i="2"/>
  <c r="EB344" i="2"/>
  <c r="DD344" i="2"/>
  <c r="CF344" i="2"/>
  <c r="BH344" i="2"/>
  <c r="AJ344" i="2"/>
  <c r="DZ344" i="2"/>
  <c r="DB344" i="2"/>
  <c r="CD344" i="2"/>
  <c r="BF344" i="2"/>
  <c r="AH344" i="2"/>
  <c r="CB344" i="2"/>
  <c r="A344" i="2"/>
  <c r="BR344" i="2"/>
  <c r="BD344" i="2"/>
  <c r="AT344" i="2"/>
  <c r="DX344" i="2"/>
  <c r="DN344" i="2"/>
  <c r="CZ344" i="2"/>
  <c r="CP344" i="2"/>
  <c r="F344" i="2"/>
  <c r="AB344" i="2" s="1"/>
  <c r="N9" i="44" l="1"/>
  <c r="L26" i="44"/>
  <c r="L57" i="44" s="1"/>
  <c r="DZ345" i="2"/>
  <c r="DB345" i="2"/>
  <c r="CD345" i="2"/>
  <c r="BF345" i="2"/>
  <c r="AH345" i="2"/>
  <c r="DX345" i="2"/>
  <c r="CZ345" i="2"/>
  <c r="CB345" i="2"/>
  <c r="BD345" i="2"/>
  <c r="DV345" i="2"/>
  <c r="CX345" i="2"/>
  <c r="BZ345" i="2"/>
  <c r="BB345" i="2"/>
  <c r="DT345" i="2"/>
  <c r="CV345" i="2"/>
  <c r="BX345" i="2"/>
  <c r="AZ345" i="2"/>
  <c r="DP345" i="2"/>
  <c r="CR345" i="2"/>
  <c r="BT345" i="2"/>
  <c r="AV345" i="2"/>
  <c r="DN345" i="2"/>
  <c r="CP345" i="2"/>
  <c r="BR345" i="2"/>
  <c r="AT345" i="2"/>
  <c r="DL345" i="2"/>
  <c r="CN345" i="2"/>
  <c r="BP345" i="2"/>
  <c r="AR345" i="2"/>
  <c r="DJ345" i="2"/>
  <c r="CL345" i="2"/>
  <c r="BN345" i="2"/>
  <c r="AP345" i="2"/>
  <c r="A345" i="2"/>
  <c r="DH345" i="2"/>
  <c r="CJ345" i="2"/>
  <c r="BL345" i="2"/>
  <c r="AN345" i="2"/>
  <c r="DF345" i="2"/>
  <c r="CH345" i="2"/>
  <c r="BJ345" i="2"/>
  <c r="AL345" i="2"/>
  <c r="S345" i="2"/>
  <c r="T345" i="2" s="1"/>
  <c r="EB345" i="2"/>
  <c r="DD345" i="2"/>
  <c r="AX345" i="2"/>
  <c r="AJ345" i="2"/>
  <c r="DR345" i="2"/>
  <c r="CT345" i="2"/>
  <c r="CF345" i="2"/>
  <c r="BV345" i="2"/>
  <c r="BH345" i="2"/>
  <c r="M8" i="44"/>
  <c r="N8" i="44" s="1"/>
  <c r="M39" i="44"/>
  <c r="N39" i="44" s="1"/>
  <c r="M38" i="44"/>
  <c r="N38" i="44" s="1"/>
  <c r="M25" i="44"/>
  <c r="N25" i="44" s="1"/>
  <c r="M34" i="44"/>
  <c r="N34" i="44" s="1"/>
  <c r="M33" i="44"/>
  <c r="N33" i="44" s="1"/>
  <c r="M24" i="44"/>
  <c r="N24" i="44" s="1"/>
  <c r="M23" i="44"/>
  <c r="N23" i="44" s="1"/>
  <c r="M32" i="44"/>
  <c r="N32" i="44" s="1"/>
  <c r="M22" i="44"/>
  <c r="N22" i="44" s="1"/>
  <c r="M20" i="44"/>
  <c r="N20" i="44" s="1"/>
  <c r="M19" i="44"/>
  <c r="N19" i="44" s="1"/>
  <c r="M18" i="44"/>
  <c r="N18" i="44" s="1"/>
  <c r="M17" i="44"/>
  <c r="N17" i="44" s="1"/>
  <c r="M11" i="44"/>
  <c r="N11" i="44" s="1"/>
  <c r="M16" i="44"/>
  <c r="N16" i="44" s="1"/>
  <c r="M10" i="44"/>
  <c r="N10" i="44" s="1"/>
  <c r="M15" i="44"/>
  <c r="N15" i="44" s="1"/>
  <c r="M14" i="44"/>
  <c r="N14" i="44" s="1"/>
  <c r="M30" i="44"/>
  <c r="N30" i="44" s="1"/>
  <c r="M13" i="44"/>
  <c r="N13" i="44" s="1"/>
  <c r="N6" i="44"/>
  <c r="M21" i="44"/>
  <c r="N21" i="44" s="1"/>
  <c r="C4" i="45"/>
  <c r="B6" i="45"/>
  <c r="B7" i="45" s="1"/>
  <c r="W344" i="2"/>
  <c r="B345" i="2"/>
  <c r="G346" i="2"/>
  <c r="AC346" i="2"/>
  <c r="AD346" i="2" s="1"/>
  <c r="E346" i="2"/>
  <c r="D346" i="2"/>
  <c r="V346" i="2"/>
  <c r="C347" i="2"/>
  <c r="F345" i="2"/>
  <c r="AB345" i="2" s="1"/>
  <c r="F30" i="8"/>
  <c r="K30" i="9"/>
  <c r="G30" i="9"/>
  <c r="J30" i="9"/>
  <c r="M30" i="9"/>
  <c r="F30" i="9"/>
  <c r="L30" i="9"/>
  <c r="O30" i="8"/>
  <c r="L30" i="8"/>
  <c r="N30" i="9"/>
  <c r="I30" i="8"/>
  <c r="F346" i="2" l="1"/>
  <c r="AB346" i="2" s="1"/>
  <c r="Q30" i="8"/>
  <c r="K30" i="8"/>
  <c r="N30" i="8"/>
  <c r="R30" i="8"/>
  <c r="S30" i="8" s="1"/>
  <c r="H30" i="8"/>
  <c r="G30" i="8"/>
  <c r="J30" i="8"/>
  <c r="M30" i="8"/>
  <c r="O30" i="9"/>
  <c r="P30" i="9" s="1"/>
  <c r="P30" i="8"/>
  <c r="M31" i="44"/>
  <c r="N31" i="44" s="1"/>
  <c r="B9" i="45"/>
  <c r="DF346" i="2"/>
  <c r="CH346" i="2"/>
  <c r="BJ346" i="2"/>
  <c r="AN346" i="2"/>
  <c r="EB346" i="2"/>
  <c r="DD346" i="2"/>
  <c r="CF346" i="2"/>
  <c r="BH346" i="2"/>
  <c r="AL346" i="2"/>
  <c r="DZ346" i="2"/>
  <c r="DB346" i="2"/>
  <c r="CD346" i="2"/>
  <c r="BF346" i="2"/>
  <c r="AJ346" i="2"/>
  <c r="DX346" i="2"/>
  <c r="CZ346" i="2"/>
  <c r="CB346" i="2"/>
  <c r="BD346" i="2"/>
  <c r="AH346" i="2"/>
  <c r="DT346" i="2"/>
  <c r="CV346" i="2"/>
  <c r="BX346" i="2"/>
  <c r="AZ346" i="2"/>
  <c r="DR346" i="2"/>
  <c r="CT346" i="2"/>
  <c r="BV346" i="2"/>
  <c r="AX346" i="2"/>
  <c r="DP346" i="2"/>
  <c r="CR346" i="2"/>
  <c r="BT346" i="2"/>
  <c r="AV346" i="2"/>
  <c r="DN346" i="2"/>
  <c r="CP346" i="2"/>
  <c r="BR346" i="2"/>
  <c r="AT346" i="2"/>
  <c r="DL346" i="2"/>
  <c r="CN346" i="2"/>
  <c r="BP346" i="2"/>
  <c r="AR346" i="2"/>
  <c r="A346" i="2"/>
  <c r="DJ346" i="2"/>
  <c r="CL346" i="2"/>
  <c r="BN346" i="2"/>
  <c r="AP346" i="2"/>
  <c r="DH346" i="2"/>
  <c r="CJ346" i="2"/>
  <c r="BL346" i="2"/>
  <c r="S346" i="2"/>
  <c r="T346" i="2" s="1"/>
  <c r="DV346" i="2"/>
  <c r="CX346" i="2"/>
  <c r="BZ346" i="2"/>
  <c r="BB346" i="2"/>
  <c r="B25" i="45"/>
  <c r="B14" i="45"/>
  <c r="B34" i="45"/>
  <c r="B33" i="45"/>
  <c r="B24" i="45"/>
  <c r="B13" i="45"/>
  <c r="B23" i="45"/>
  <c r="B32" i="45"/>
  <c r="B21" i="45"/>
  <c r="B20" i="45"/>
  <c r="B19" i="45"/>
  <c r="B30" i="45"/>
  <c r="B18" i="45"/>
  <c r="B12" i="45"/>
  <c r="B39" i="45"/>
  <c r="B17" i="45"/>
  <c r="B11" i="45"/>
  <c r="B38" i="45"/>
  <c r="B16" i="45"/>
  <c r="B10" i="45"/>
  <c r="B15" i="45"/>
  <c r="C348" i="2"/>
  <c r="G347" i="2"/>
  <c r="AC347" i="2"/>
  <c r="AD347" i="2" s="1"/>
  <c r="E347" i="2"/>
  <c r="D347" i="2"/>
  <c r="V347" i="2"/>
  <c r="D4" i="45"/>
  <c r="C6" i="45"/>
  <c r="C9" i="45" s="1"/>
  <c r="W345" i="2"/>
  <c r="B346" i="2"/>
  <c r="B8" i="45"/>
  <c r="M26" i="44"/>
  <c r="E30" i="8"/>
  <c r="B30" i="8"/>
  <c r="E30" i="9"/>
  <c r="B30" i="9"/>
  <c r="B26" i="45" l="1"/>
  <c r="B57" i="45" s="1"/>
  <c r="E4" i="45"/>
  <c r="D6" i="45"/>
  <c r="W346" i="2"/>
  <c r="B347" i="2"/>
  <c r="F347" i="2"/>
  <c r="AB347" i="2" s="1"/>
  <c r="DN347" i="2"/>
  <c r="CP347" i="2"/>
  <c r="BR347" i="2"/>
  <c r="AT347" i="2"/>
  <c r="A347" i="2"/>
  <c r="DL347" i="2"/>
  <c r="CN347" i="2"/>
  <c r="BP347" i="2"/>
  <c r="AR347" i="2"/>
  <c r="DJ347" i="2"/>
  <c r="CL347" i="2"/>
  <c r="BN347" i="2"/>
  <c r="AP347" i="2"/>
  <c r="S347" i="2"/>
  <c r="T347" i="2" s="1"/>
  <c r="DH347" i="2"/>
  <c r="CJ347" i="2"/>
  <c r="BL347" i="2"/>
  <c r="AN347" i="2"/>
  <c r="DF347" i="2"/>
  <c r="CH347" i="2"/>
  <c r="BJ347" i="2"/>
  <c r="AL347" i="2"/>
  <c r="EB347" i="2"/>
  <c r="DD347" i="2"/>
  <c r="CF347" i="2"/>
  <c r="BH347" i="2"/>
  <c r="AJ347" i="2"/>
  <c r="DZ347" i="2"/>
  <c r="DB347" i="2"/>
  <c r="CD347" i="2"/>
  <c r="BF347" i="2"/>
  <c r="AH347" i="2"/>
  <c r="DX347" i="2"/>
  <c r="CZ347" i="2"/>
  <c r="CB347" i="2"/>
  <c r="BD347" i="2"/>
  <c r="DV347" i="2"/>
  <c r="CX347" i="2"/>
  <c r="BZ347" i="2"/>
  <c r="BB347" i="2"/>
  <c r="DT347" i="2"/>
  <c r="CV347" i="2"/>
  <c r="BX347" i="2"/>
  <c r="AZ347" i="2"/>
  <c r="DR347" i="2"/>
  <c r="CT347" i="2"/>
  <c r="BV347" i="2"/>
  <c r="AX347" i="2"/>
  <c r="DP347" i="2"/>
  <c r="CR347" i="2"/>
  <c r="BT347" i="2"/>
  <c r="AV347" i="2"/>
  <c r="AC348" i="2"/>
  <c r="AD348" i="2" s="1"/>
  <c r="E348" i="2"/>
  <c r="D348" i="2"/>
  <c r="V348" i="2"/>
  <c r="C349" i="2"/>
  <c r="G348" i="2"/>
  <c r="C25" i="45"/>
  <c r="C14" i="45"/>
  <c r="C34" i="45"/>
  <c r="C33" i="45"/>
  <c r="C24" i="45"/>
  <c r="C13" i="45"/>
  <c r="C23" i="45"/>
  <c r="C32" i="45"/>
  <c r="C22" i="45"/>
  <c r="C21" i="45"/>
  <c r="C20" i="45"/>
  <c r="C19" i="45"/>
  <c r="C30" i="45"/>
  <c r="C31" i="45" s="1"/>
  <c r="C18" i="45"/>
  <c r="C12" i="45"/>
  <c r="C39" i="45"/>
  <c r="C17" i="45"/>
  <c r="C11" i="45"/>
  <c r="C38" i="45"/>
  <c r="C16" i="45"/>
  <c r="C10" i="45"/>
  <c r="C15" i="45"/>
  <c r="N26" i="44"/>
  <c r="M57" i="44"/>
  <c r="C8" i="45"/>
  <c r="B31" i="45"/>
  <c r="F30" i="3"/>
  <c r="F30" i="4"/>
  <c r="G30" i="10"/>
  <c r="F30" i="12"/>
  <c r="G30" i="3" l="1"/>
  <c r="H30" i="3"/>
  <c r="H30" i="12"/>
  <c r="G30" i="12"/>
  <c r="N57" i="44"/>
  <c r="DV348" i="2"/>
  <c r="CX348" i="2"/>
  <c r="BZ348" i="2"/>
  <c r="BB348" i="2"/>
  <c r="DT348" i="2"/>
  <c r="CV348" i="2"/>
  <c r="BX348" i="2"/>
  <c r="AZ348" i="2"/>
  <c r="DR348" i="2"/>
  <c r="CT348" i="2"/>
  <c r="BV348" i="2"/>
  <c r="AX348" i="2"/>
  <c r="DP348" i="2"/>
  <c r="CR348" i="2"/>
  <c r="BT348" i="2"/>
  <c r="AV348" i="2"/>
  <c r="DN348" i="2"/>
  <c r="CP348" i="2"/>
  <c r="BR348" i="2"/>
  <c r="AT348" i="2"/>
  <c r="A348" i="2"/>
  <c r="DL348" i="2"/>
  <c r="CN348" i="2"/>
  <c r="BP348" i="2"/>
  <c r="AR348" i="2"/>
  <c r="DJ348" i="2"/>
  <c r="CL348" i="2"/>
  <c r="BN348" i="2"/>
  <c r="AP348" i="2"/>
  <c r="S348" i="2"/>
  <c r="T348" i="2" s="1"/>
  <c r="DH348" i="2"/>
  <c r="CJ348" i="2"/>
  <c r="BL348" i="2"/>
  <c r="AN348" i="2"/>
  <c r="DF348" i="2"/>
  <c r="CH348" i="2"/>
  <c r="BJ348" i="2"/>
  <c r="AL348" i="2"/>
  <c r="EB348" i="2"/>
  <c r="DD348" i="2"/>
  <c r="CF348" i="2"/>
  <c r="BH348" i="2"/>
  <c r="AJ348" i="2"/>
  <c r="DZ348" i="2"/>
  <c r="DB348" i="2"/>
  <c r="CD348" i="2"/>
  <c r="BF348" i="2"/>
  <c r="AH348" i="2"/>
  <c r="DX348" i="2"/>
  <c r="CZ348" i="2"/>
  <c r="CB348" i="2"/>
  <c r="BD348" i="2"/>
  <c r="G349" i="2"/>
  <c r="AC349" i="2"/>
  <c r="AD349" i="2" s="1"/>
  <c r="E349" i="2"/>
  <c r="D349" i="2"/>
  <c r="V349" i="2"/>
  <c r="C350" i="2"/>
  <c r="D34" i="45"/>
  <c r="D33" i="45"/>
  <c r="D24" i="45"/>
  <c r="D13" i="45"/>
  <c r="D23" i="45"/>
  <c r="D32" i="45"/>
  <c r="D22" i="45"/>
  <c r="D20" i="45"/>
  <c r="D19" i="45"/>
  <c r="D30" i="45"/>
  <c r="D18" i="45"/>
  <c r="D39" i="45"/>
  <c r="D17" i="45"/>
  <c r="D11" i="45"/>
  <c r="D38" i="45"/>
  <c r="D16" i="45"/>
  <c r="D10" i="45"/>
  <c r="D15" i="45"/>
  <c r="D25" i="45"/>
  <c r="D14" i="45"/>
  <c r="D21" i="45"/>
  <c r="W347" i="2"/>
  <c r="B348" i="2"/>
  <c r="D8" i="45"/>
  <c r="F348" i="2"/>
  <c r="AB348" i="2" s="1"/>
  <c r="D9" i="45"/>
  <c r="F4" i="45"/>
  <c r="E6" i="45"/>
  <c r="E9" i="45" s="1"/>
  <c r="C26" i="45"/>
  <c r="H60" i="44"/>
  <c r="B60" i="44"/>
  <c r="B27" i="44"/>
  <c r="C27" i="44"/>
  <c r="D27" i="44"/>
  <c r="E27" i="44"/>
  <c r="F27" i="44"/>
  <c r="G27" i="44"/>
  <c r="H27" i="44"/>
  <c r="I27" i="44"/>
  <c r="J27" i="44"/>
  <c r="K27" i="44"/>
  <c r="L27" i="44"/>
  <c r="M27" i="44"/>
  <c r="K30" i="4"/>
  <c r="E30" i="3"/>
  <c r="H30" i="4"/>
  <c r="I30" i="4"/>
  <c r="E30" i="4"/>
  <c r="J30" i="4"/>
  <c r="B30" i="3"/>
  <c r="G30" i="4"/>
  <c r="O30" i="3"/>
  <c r="F30" i="10"/>
  <c r="B30" i="4"/>
  <c r="E30" i="12"/>
  <c r="B30" i="12"/>
  <c r="C30" i="10"/>
  <c r="D26" i="45" l="1"/>
  <c r="D57" i="45" s="1"/>
  <c r="C30" i="4"/>
  <c r="E30" i="7"/>
  <c r="E30" i="6"/>
  <c r="E30" i="5"/>
  <c r="O30" i="4"/>
  <c r="P30" i="4" s="1"/>
  <c r="AK30" i="11" s="1"/>
  <c r="C30" i="3"/>
  <c r="B30" i="5"/>
  <c r="B30" i="7"/>
  <c r="B30" i="6"/>
  <c r="F349" i="2"/>
  <c r="AB349" i="2" s="1"/>
  <c r="N27" i="44"/>
  <c r="B28" i="44"/>
  <c r="H28" i="44"/>
  <c r="H58" i="44" s="1"/>
  <c r="H59" i="44" s="1"/>
  <c r="DF349" i="2"/>
  <c r="CH349" i="2"/>
  <c r="BJ349" i="2"/>
  <c r="AL349" i="2"/>
  <c r="EB349" i="2"/>
  <c r="DD349" i="2"/>
  <c r="CF349" i="2"/>
  <c r="BH349" i="2"/>
  <c r="AJ349" i="2"/>
  <c r="DZ349" i="2"/>
  <c r="DB349" i="2"/>
  <c r="CD349" i="2"/>
  <c r="BF349" i="2"/>
  <c r="AH349" i="2"/>
  <c r="DX349" i="2"/>
  <c r="CZ349" i="2"/>
  <c r="CB349" i="2"/>
  <c r="BD349" i="2"/>
  <c r="DV349" i="2"/>
  <c r="CX349" i="2"/>
  <c r="BZ349" i="2"/>
  <c r="BB349" i="2"/>
  <c r="DT349" i="2"/>
  <c r="CV349" i="2"/>
  <c r="BX349" i="2"/>
  <c r="AZ349" i="2"/>
  <c r="DR349" i="2"/>
  <c r="CT349" i="2"/>
  <c r="BV349" i="2"/>
  <c r="AX349" i="2"/>
  <c r="DP349" i="2"/>
  <c r="CR349" i="2"/>
  <c r="BT349" i="2"/>
  <c r="AV349" i="2"/>
  <c r="DN349" i="2"/>
  <c r="CP349" i="2"/>
  <c r="BR349" i="2"/>
  <c r="AT349" i="2"/>
  <c r="A349" i="2"/>
  <c r="DL349" i="2"/>
  <c r="CN349" i="2"/>
  <c r="BP349" i="2"/>
  <c r="AR349" i="2"/>
  <c r="DJ349" i="2"/>
  <c r="CL349" i="2"/>
  <c r="BN349" i="2"/>
  <c r="AP349" i="2"/>
  <c r="S349" i="2"/>
  <c r="T349" i="2" s="1"/>
  <c r="DH349" i="2"/>
  <c r="CJ349" i="2"/>
  <c r="BL349" i="2"/>
  <c r="AN349" i="2"/>
  <c r="F28" i="44"/>
  <c r="F58" i="44" s="1"/>
  <c r="F59" i="44" s="1"/>
  <c r="C57" i="45"/>
  <c r="I28" i="44"/>
  <c r="I58" i="44" s="1"/>
  <c r="I59" i="44" s="1"/>
  <c r="G28" i="44"/>
  <c r="G58" i="44" s="1"/>
  <c r="G59" i="44" s="1"/>
  <c r="E28" i="44"/>
  <c r="E58" i="44" s="1"/>
  <c r="E59" i="44" s="1"/>
  <c r="J28" i="44"/>
  <c r="J58" i="44" s="1"/>
  <c r="J59" i="44" s="1"/>
  <c r="E33" i="45"/>
  <c r="E24" i="45"/>
  <c r="E13" i="45"/>
  <c r="E23" i="45"/>
  <c r="E32" i="45"/>
  <c r="E22" i="45"/>
  <c r="E20" i="45"/>
  <c r="E19" i="45"/>
  <c r="E30" i="45"/>
  <c r="E31" i="45" s="1"/>
  <c r="E18" i="45"/>
  <c r="E39" i="45"/>
  <c r="E17" i="45"/>
  <c r="E11" i="45"/>
  <c r="E38" i="45"/>
  <c r="E16" i="45"/>
  <c r="E10" i="45"/>
  <c r="E15" i="45"/>
  <c r="E25" i="45"/>
  <c r="E14" i="45"/>
  <c r="E34" i="45"/>
  <c r="E21" i="45"/>
  <c r="D28" i="44"/>
  <c r="D58" i="44" s="1"/>
  <c r="D59" i="44" s="1"/>
  <c r="C28" i="44"/>
  <c r="C58" i="44" s="1"/>
  <c r="C59" i="44" s="1"/>
  <c r="E8" i="45"/>
  <c r="L28" i="44"/>
  <c r="G4" i="45"/>
  <c r="F6" i="45"/>
  <c r="C351" i="2"/>
  <c r="G350" i="2"/>
  <c r="AC350" i="2"/>
  <c r="AD350" i="2" s="1"/>
  <c r="E350" i="2"/>
  <c r="D350" i="2"/>
  <c r="V350" i="2"/>
  <c r="M28" i="44"/>
  <c r="K28" i="44"/>
  <c r="K58" i="44" s="1"/>
  <c r="K59" i="44" s="1"/>
  <c r="D31" i="45"/>
  <c r="W348" i="2"/>
  <c r="B349" i="2"/>
  <c r="H30" i="10"/>
  <c r="E26" i="45" l="1"/>
  <c r="E57" i="45" s="1"/>
  <c r="I30" i="10"/>
  <c r="J30" i="10"/>
  <c r="K30" i="10" s="1"/>
  <c r="W349" i="2"/>
  <c r="B350" i="2"/>
  <c r="M58" i="44"/>
  <c r="M59" i="44" s="1"/>
  <c r="N28" i="44"/>
  <c r="B58" i="44"/>
  <c r="F350" i="2"/>
  <c r="AB350" i="2" s="1"/>
  <c r="D30" i="11"/>
  <c r="AI30" i="11" s="1"/>
  <c r="D30" i="5"/>
  <c r="D30" i="6" s="1"/>
  <c r="L58" i="44"/>
  <c r="L59" i="44" s="1"/>
  <c r="AC351" i="2"/>
  <c r="AD351" i="2" s="1"/>
  <c r="E351" i="2"/>
  <c r="D351" i="2"/>
  <c r="F351" i="2" s="1"/>
  <c r="AB351" i="2" s="1"/>
  <c r="V351" i="2"/>
  <c r="C352" i="2"/>
  <c r="G351" i="2"/>
  <c r="F23" i="45"/>
  <c r="F32" i="45"/>
  <c r="F22" i="45"/>
  <c r="F20" i="45"/>
  <c r="F19" i="45"/>
  <c r="F30" i="45"/>
  <c r="F31" i="45" s="1"/>
  <c r="F18" i="45"/>
  <c r="F39" i="45"/>
  <c r="F17" i="45"/>
  <c r="F11" i="45"/>
  <c r="F38" i="45"/>
  <c r="F16" i="45"/>
  <c r="F10" i="45"/>
  <c r="F15" i="45"/>
  <c r="F25" i="45"/>
  <c r="F14" i="45"/>
  <c r="F34" i="45"/>
  <c r="F24" i="45"/>
  <c r="F13" i="45"/>
  <c r="F33" i="45"/>
  <c r="F21" i="45"/>
  <c r="F8" i="45"/>
  <c r="H4" i="45"/>
  <c r="G6" i="45"/>
  <c r="G9" i="45" s="1"/>
  <c r="DN350" i="2"/>
  <c r="CP350" i="2"/>
  <c r="BR350" i="2"/>
  <c r="AT350" i="2"/>
  <c r="A350" i="2"/>
  <c r="DL350" i="2"/>
  <c r="CN350" i="2"/>
  <c r="BP350" i="2"/>
  <c r="AR350" i="2"/>
  <c r="DJ350" i="2"/>
  <c r="CL350" i="2"/>
  <c r="BN350" i="2"/>
  <c r="AP350" i="2"/>
  <c r="S350" i="2"/>
  <c r="T350" i="2" s="1"/>
  <c r="DH350" i="2"/>
  <c r="CJ350" i="2"/>
  <c r="BL350" i="2"/>
  <c r="AN350" i="2"/>
  <c r="DF350" i="2"/>
  <c r="CH350" i="2"/>
  <c r="BJ350" i="2"/>
  <c r="AL350" i="2"/>
  <c r="EB350" i="2"/>
  <c r="DD350" i="2"/>
  <c r="CF350" i="2"/>
  <c r="BH350" i="2"/>
  <c r="AJ350" i="2"/>
  <c r="DZ350" i="2"/>
  <c r="DB350" i="2"/>
  <c r="CD350" i="2"/>
  <c r="BF350" i="2"/>
  <c r="AH350" i="2"/>
  <c r="DX350" i="2"/>
  <c r="CZ350" i="2"/>
  <c r="CB350" i="2"/>
  <c r="BD350" i="2"/>
  <c r="DV350" i="2"/>
  <c r="CX350" i="2"/>
  <c r="BZ350" i="2"/>
  <c r="BB350" i="2"/>
  <c r="DT350" i="2"/>
  <c r="CV350" i="2"/>
  <c r="BX350" i="2"/>
  <c r="AZ350" i="2"/>
  <c r="DR350" i="2"/>
  <c r="CT350" i="2"/>
  <c r="BV350" i="2"/>
  <c r="AX350" i="2"/>
  <c r="DP350" i="2"/>
  <c r="CR350" i="2"/>
  <c r="BT350" i="2"/>
  <c r="AV350" i="2"/>
  <c r="F9" i="45"/>
  <c r="Q30" i="11" l="1"/>
  <c r="G8" i="45"/>
  <c r="F26" i="45"/>
  <c r="F57" i="45" s="1"/>
  <c r="T30" i="11"/>
  <c r="L30" i="11"/>
  <c r="AJ30" i="11"/>
  <c r="D30" i="7"/>
  <c r="D30" i="8" s="1"/>
  <c r="D30" i="9" s="1"/>
  <c r="D30" i="10" s="1"/>
  <c r="C30" i="12" s="1"/>
  <c r="R30" i="6"/>
  <c r="X30" i="11"/>
  <c r="AC30" i="11"/>
  <c r="AF30" i="11"/>
  <c r="M30" i="11"/>
  <c r="R30" i="11"/>
  <c r="U30" i="11"/>
  <c r="Y30" i="11"/>
  <c r="AD30" i="11"/>
  <c r="DV351" i="2"/>
  <c r="CX351" i="2"/>
  <c r="BZ351" i="2"/>
  <c r="BB351" i="2"/>
  <c r="DT351" i="2"/>
  <c r="CV351" i="2"/>
  <c r="BX351" i="2"/>
  <c r="AZ351" i="2"/>
  <c r="DR351" i="2"/>
  <c r="CT351" i="2"/>
  <c r="BV351" i="2"/>
  <c r="AX351" i="2"/>
  <c r="DP351" i="2"/>
  <c r="CR351" i="2"/>
  <c r="BT351" i="2"/>
  <c r="AV351" i="2"/>
  <c r="DN351" i="2"/>
  <c r="CP351" i="2"/>
  <c r="BR351" i="2"/>
  <c r="AT351" i="2"/>
  <c r="A351" i="2"/>
  <c r="DL351" i="2"/>
  <c r="CN351" i="2"/>
  <c r="BP351" i="2"/>
  <c r="AR351" i="2"/>
  <c r="DJ351" i="2"/>
  <c r="CL351" i="2"/>
  <c r="BN351" i="2"/>
  <c r="AP351" i="2"/>
  <c r="S351" i="2"/>
  <c r="T351" i="2" s="1"/>
  <c r="DH351" i="2"/>
  <c r="CJ351" i="2"/>
  <c r="BL351" i="2"/>
  <c r="AN351" i="2"/>
  <c r="DF351" i="2"/>
  <c r="CH351" i="2"/>
  <c r="BJ351" i="2"/>
  <c r="AL351" i="2"/>
  <c r="EB351" i="2"/>
  <c r="DD351" i="2"/>
  <c r="CF351" i="2"/>
  <c r="BH351" i="2"/>
  <c r="AJ351" i="2"/>
  <c r="DZ351" i="2"/>
  <c r="DB351" i="2"/>
  <c r="CD351" i="2"/>
  <c r="BF351" i="2"/>
  <c r="AH351" i="2"/>
  <c r="DX351" i="2"/>
  <c r="CZ351" i="2"/>
  <c r="CB351" i="2"/>
  <c r="BD351" i="2"/>
  <c r="AG30" i="11"/>
  <c r="N30" i="11"/>
  <c r="G32" i="45"/>
  <c r="G22" i="45"/>
  <c r="G20" i="45"/>
  <c r="G19" i="45"/>
  <c r="G30" i="45"/>
  <c r="G31" i="45" s="1"/>
  <c r="G18" i="45"/>
  <c r="G39" i="45"/>
  <c r="G17" i="45"/>
  <c r="G11" i="45"/>
  <c r="G38" i="45"/>
  <c r="G16" i="45"/>
  <c r="G10" i="45"/>
  <c r="G15" i="45"/>
  <c r="G25" i="45"/>
  <c r="G14" i="45"/>
  <c r="G34" i="45"/>
  <c r="G33" i="45"/>
  <c r="G24" i="45"/>
  <c r="G13" i="45"/>
  <c r="G23" i="45"/>
  <c r="G21" i="45"/>
  <c r="G352" i="2"/>
  <c r="AC352" i="2"/>
  <c r="AD352" i="2" s="1"/>
  <c r="E352" i="2"/>
  <c r="D352" i="2"/>
  <c r="V352" i="2"/>
  <c r="C353" i="2"/>
  <c r="J30" i="11"/>
  <c r="Z30" i="11"/>
  <c r="S30" i="11"/>
  <c r="I4" i="45"/>
  <c r="H6" i="45"/>
  <c r="W350" i="2"/>
  <c r="B351" i="2"/>
  <c r="V30" i="11"/>
  <c r="O30" i="11"/>
  <c r="AE30" i="11"/>
  <c r="AH30" i="11"/>
  <c r="AA30" i="11"/>
  <c r="K30" i="11"/>
  <c r="P30" i="11"/>
  <c r="W30" i="11"/>
  <c r="AB30" i="11"/>
  <c r="N58" i="44"/>
  <c r="N59" i="44" s="1"/>
  <c r="F60" i="44" s="1"/>
  <c r="B59" i="44"/>
  <c r="H8" i="45" l="1"/>
  <c r="H7" i="45"/>
  <c r="N7" i="45" s="1"/>
  <c r="G26" i="45"/>
  <c r="G57" i="45" s="1"/>
  <c r="G30" i="11"/>
  <c r="C354" i="2"/>
  <c r="G353" i="2"/>
  <c r="AC353" i="2"/>
  <c r="AD353" i="2" s="1"/>
  <c r="E353" i="2"/>
  <c r="D353" i="2"/>
  <c r="V353" i="2"/>
  <c r="F352" i="2"/>
  <c r="AB352" i="2" s="1"/>
  <c r="G60" i="44"/>
  <c r="I60" i="44"/>
  <c r="W351" i="2"/>
  <c r="B352" i="2"/>
  <c r="J4" i="45"/>
  <c r="I6" i="45"/>
  <c r="H20" i="45"/>
  <c r="H19" i="45"/>
  <c r="H30" i="45"/>
  <c r="H31" i="45" s="1"/>
  <c r="H18" i="45"/>
  <c r="H39" i="45"/>
  <c r="H17" i="45"/>
  <c r="H11" i="45"/>
  <c r="H38" i="45"/>
  <c r="H16" i="45"/>
  <c r="H10" i="45"/>
  <c r="H15" i="45"/>
  <c r="H25" i="45"/>
  <c r="H14" i="45"/>
  <c r="H34" i="45"/>
  <c r="H33" i="45"/>
  <c r="H24" i="45"/>
  <c r="H13" i="45"/>
  <c r="H23" i="45"/>
  <c r="H22" i="45"/>
  <c r="H32" i="45"/>
  <c r="H21" i="45"/>
  <c r="H9" i="45"/>
  <c r="DF352" i="2"/>
  <c r="CH352" i="2"/>
  <c r="BJ352" i="2"/>
  <c r="AL352" i="2"/>
  <c r="EB352" i="2"/>
  <c r="DD352" i="2"/>
  <c r="CF352" i="2"/>
  <c r="BH352" i="2"/>
  <c r="AJ352" i="2"/>
  <c r="DZ352" i="2"/>
  <c r="DB352" i="2"/>
  <c r="CD352" i="2"/>
  <c r="BF352" i="2"/>
  <c r="AH352" i="2"/>
  <c r="DX352" i="2"/>
  <c r="CZ352" i="2"/>
  <c r="CB352" i="2"/>
  <c r="BD352" i="2"/>
  <c r="DV352" i="2"/>
  <c r="CX352" i="2"/>
  <c r="BZ352" i="2"/>
  <c r="BB352" i="2"/>
  <c r="DT352" i="2"/>
  <c r="CV352" i="2"/>
  <c r="BX352" i="2"/>
  <c r="AZ352" i="2"/>
  <c r="DR352" i="2"/>
  <c r="CT352" i="2"/>
  <c r="BV352" i="2"/>
  <c r="AX352" i="2"/>
  <c r="DP352" i="2"/>
  <c r="CR352" i="2"/>
  <c r="BT352" i="2"/>
  <c r="AV352" i="2"/>
  <c r="DN352" i="2"/>
  <c r="CP352" i="2"/>
  <c r="BR352" i="2"/>
  <c r="AT352" i="2"/>
  <c r="A352" i="2"/>
  <c r="DL352" i="2"/>
  <c r="CN352" i="2"/>
  <c r="BP352" i="2"/>
  <c r="AR352" i="2"/>
  <c r="DJ352" i="2"/>
  <c r="CL352" i="2"/>
  <c r="BN352" i="2"/>
  <c r="AP352" i="2"/>
  <c r="S352" i="2"/>
  <c r="T352" i="2" s="1"/>
  <c r="DH352" i="2"/>
  <c r="CJ352" i="2"/>
  <c r="BL352" i="2"/>
  <c r="AN352" i="2"/>
  <c r="H26" i="45" l="1"/>
  <c r="H57" i="45" s="1"/>
  <c r="W352" i="2"/>
  <c r="B353" i="2"/>
  <c r="F353" i="2"/>
  <c r="AB353" i="2" s="1"/>
  <c r="I19" i="45"/>
  <c r="I30" i="45"/>
  <c r="I31" i="45" s="1"/>
  <c r="I18" i="45"/>
  <c r="I39" i="45"/>
  <c r="I17" i="45"/>
  <c r="I11" i="45"/>
  <c r="I38" i="45"/>
  <c r="I16" i="45"/>
  <c r="I10" i="45"/>
  <c r="I15" i="45"/>
  <c r="I25" i="45"/>
  <c r="I14" i="45"/>
  <c r="I34" i="45"/>
  <c r="I33" i="45"/>
  <c r="I24" i="45"/>
  <c r="I13" i="45"/>
  <c r="I23" i="45"/>
  <c r="I32" i="45"/>
  <c r="I22" i="45"/>
  <c r="I20" i="45"/>
  <c r="I21" i="45"/>
  <c r="K4" i="45"/>
  <c r="J6" i="45"/>
  <c r="J9" i="45" s="1"/>
  <c r="DN353" i="2"/>
  <c r="CP353" i="2"/>
  <c r="BR353" i="2"/>
  <c r="AT353" i="2"/>
  <c r="A353" i="2"/>
  <c r="DL353" i="2"/>
  <c r="CN353" i="2"/>
  <c r="BP353" i="2"/>
  <c r="AR353" i="2"/>
  <c r="DJ353" i="2"/>
  <c r="CL353" i="2"/>
  <c r="BN353" i="2"/>
  <c r="AP353" i="2"/>
  <c r="S353" i="2"/>
  <c r="T353" i="2" s="1"/>
  <c r="DH353" i="2"/>
  <c r="CJ353" i="2"/>
  <c r="BL353" i="2"/>
  <c r="AN353" i="2"/>
  <c r="DF353" i="2"/>
  <c r="CH353" i="2"/>
  <c r="BJ353" i="2"/>
  <c r="AL353" i="2"/>
  <c r="EB353" i="2"/>
  <c r="DD353" i="2"/>
  <c r="CF353" i="2"/>
  <c r="BH353" i="2"/>
  <c r="AJ353" i="2"/>
  <c r="DZ353" i="2"/>
  <c r="DB353" i="2"/>
  <c r="CD353" i="2"/>
  <c r="BF353" i="2"/>
  <c r="AH353" i="2"/>
  <c r="DX353" i="2"/>
  <c r="CZ353" i="2"/>
  <c r="CB353" i="2"/>
  <c r="BD353" i="2"/>
  <c r="DV353" i="2"/>
  <c r="CX353" i="2"/>
  <c r="BZ353" i="2"/>
  <c r="BB353" i="2"/>
  <c r="DT353" i="2"/>
  <c r="CV353" i="2"/>
  <c r="BX353" i="2"/>
  <c r="AZ353" i="2"/>
  <c r="DR353" i="2"/>
  <c r="CT353" i="2"/>
  <c r="BV353" i="2"/>
  <c r="AX353" i="2"/>
  <c r="DP353" i="2"/>
  <c r="CR353" i="2"/>
  <c r="BT353" i="2"/>
  <c r="AV353" i="2"/>
  <c r="I8" i="45"/>
  <c r="AC354" i="2"/>
  <c r="AD354" i="2" s="1"/>
  <c r="E354" i="2"/>
  <c r="D354" i="2"/>
  <c r="V354" i="2"/>
  <c r="C355" i="2"/>
  <c r="G354" i="2"/>
  <c r="I9" i="45"/>
  <c r="H30" i="11"/>
  <c r="C30" i="11"/>
  <c r="E30" i="11" s="1"/>
  <c r="J8" i="45" l="1"/>
  <c r="I26" i="45"/>
  <c r="I57" i="45" s="1"/>
  <c r="W353" i="2"/>
  <c r="B354" i="2"/>
  <c r="F354" i="2"/>
  <c r="AB354" i="2" s="1"/>
  <c r="J30" i="45"/>
  <c r="J31" i="45" s="1"/>
  <c r="J18" i="45"/>
  <c r="J39" i="45"/>
  <c r="J17" i="45"/>
  <c r="J11" i="45"/>
  <c r="J38" i="45"/>
  <c r="J16" i="45"/>
  <c r="J10" i="45"/>
  <c r="J15" i="45"/>
  <c r="J25" i="45"/>
  <c r="J14" i="45"/>
  <c r="J34" i="45"/>
  <c r="J12" i="45"/>
  <c r="J33" i="45"/>
  <c r="J24" i="45"/>
  <c r="J13" i="45"/>
  <c r="J23" i="45"/>
  <c r="J32" i="45"/>
  <c r="J22" i="45"/>
  <c r="J20" i="45"/>
  <c r="J19" i="45"/>
  <c r="J21" i="45"/>
  <c r="DV354" i="2"/>
  <c r="CX354" i="2"/>
  <c r="BZ354" i="2"/>
  <c r="BB354" i="2"/>
  <c r="DT354" i="2"/>
  <c r="CV354" i="2"/>
  <c r="BX354" i="2"/>
  <c r="AZ354" i="2"/>
  <c r="DR354" i="2"/>
  <c r="CT354" i="2"/>
  <c r="BV354" i="2"/>
  <c r="AX354" i="2"/>
  <c r="DP354" i="2"/>
  <c r="CR354" i="2"/>
  <c r="BT354" i="2"/>
  <c r="AV354" i="2"/>
  <c r="DN354" i="2"/>
  <c r="CP354" i="2"/>
  <c r="BR354" i="2"/>
  <c r="AT354" i="2"/>
  <c r="A354" i="2"/>
  <c r="DL354" i="2"/>
  <c r="CN354" i="2"/>
  <c r="BP354" i="2"/>
  <c r="AR354" i="2"/>
  <c r="DJ354" i="2"/>
  <c r="CL354" i="2"/>
  <c r="BN354" i="2"/>
  <c r="AP354" i="2"/>
  <c r="S354" i="2"/>
  <c r="T354" i="2" s="1"/>
  <c r="DH354" i="2"/>
  <c r="CJ354" i="2"/>
  <c r="BL354" i="2"/>
  <c r="AN354" i="2"/>
  <c r="DF354" i="2"/>
  <c r="CH354" i="2"/>
  <c r="BJ354" i="2"/>
  <c r="AL354" i="2"/>
  <c r="EB354" i="2"/>
  <c r="DD354" i="2"/>
  <c r="CF354" i="2"/>
  <c r="BH354" i="2"/>
  <c r="AJ354" i="2"/>
  <c r="DZ354" i="2"/>
  <c r="DB354" i="2"/>
  <c r="CD354" i="2"/>
  <c r="BF354" i="2"/>
  <c r="AH354" i="2"/>
  <c r="DX354" i="2"/>
  <c r="CZ354" i="2"/>
  <c r="CB354" i="2"/>
  <c r="BD354" i="2"/>
  <c r="L4" i="45"/>
  <c r="K6" i="45"/>
  <c r="G355" i="2"/>
  <c r="AC355" i="2"/>
  <c r="AD355" i="2" s="1"/>
  <c r="E355" i="2"/>
  <c r="D355" i="2"/>
  <c r="F355" i="2" s="1"/>
  <c r="AB355" i="2" s="1"/>
  <c r="V355" i="2"/>
  <c r="C356" i="2"/>
  <c r="J26" i="45" l="1"/>
  <c r="J57" i="45" s="1"/>
  <c r="K39" i="45"/>
  <c r="K17" i="45"/>
  <c r="K11" i="45"/>
  <c r="K38" i="45"/>
  <c r="K16" i="45"/>
  <c r="K10" i="45"/>
  <c r="K15" i="45"/>
  <c r="K25" i="45"/>
  <c r="K14" i="45"/>
  <c r="K34" i="45"/>
  <c r="K12" i="45"/>
  <c r="N12" i="45" s="1"/>
  <c r="K33" i="45"/>
  <c r="K24" i="45"/>
  <c r="K13" i="45"/>
  <c r="K23" i="45"/>
  <c r="K32" i="45"/>
  <c r="K22" i="45"/>
  <c r="K20" i="45"/>
  <c r="K19" i="45"/>
  <c r="K30" i="45"/>
  <c r="K31" i="45" s="1"/>
  <c r="K18" i="45"/>
  <c r="K21" i="45"/>
  <c r="M4" i="45"/>
  <c r="L6" i="45"/>
  <c r="L9" i="45" s="1"/>
  <c r="K9" i="45"/>
  <c r="DF355" i="2"/>
  <c r="CH355" i="2"/>
  <c r="BJ355" i="2"/>
  <c r="AL355" i="2"/>
  <c r="EB355" i="2"/>
  <c r="DD355" i="2"/>
  <c r="CF355" i="2"/>
  <c r="BH355" i="2"/>
  <c r="AJ355" i="2"/>
  <c r="DZ355" i="2"/>
  <c r="DB355" i="2"/>
  <c r="CD355" i="2"/>
  <c r="BF355" i="2"/>
  <c r="AH355" i="2"/>
  <c r="DX355" i="2"/>
  <c r="CZ355" i="2"/>
  <c r="CB355" i="2"/>
  <c r="BD355" i="2"/>
  <c r="DV355" i="2"/>
  <c r="CX355" i="2"/>
  <c r="BZ355" i="2"/>
  <c r="BB355" i="2"/>
  <c r="DT355" i="2"/>
  <c r="CV355" i="2"/>
  <c r="BX355" i="2"/>
  <c r="AZ355" i="2"/>
  <c r="DR355" i="2"/>
  <c r="CT355" i="2"/>
  <c r="BV355" i="2"/>
  <c r="AX355" i="2"/>
  <c r="DP355" i="2"/>
  <c r="CR355" i="2"/>
  <c r="BT355" i="2"/>
  <c r="AV355" i="2"/>
  <c r="DN355" i="2"/>
  <c r="CP355" i="2"/>
  <c r="BR355" i="2"/>
  <c r="AT355" i="2"/>
  <c r="A355" i="2"/>
  <c r="DL355" i="2"/>
  <c r="CN355" i="2"/>
  <c r="BP355" i="2"/>
  <c r="AR355" i="2"/>
  <c r="DJ355" i="2"/>
  <c r="CL355" i="2"/>
  <c r="BN355" i="2"/>
  <c r="AP355" i="2"/>
  <c r="S355" i="2"/>
  <c r="T355" i="2" s="1"/>
  <c r="DH355" i="2"/>
  <c r="CJ355" i="2"/>
  <c r="BL355" i="2"/>
  <c r="AN355" i="2"/>
  <c r="C357" i="2"/>
  <c r="G356" i="2"/>
  <c r="AC356" i="2"/>
  <c r="AD356" i="2" s="1"/>
  <c r="E356" i="2"/>
  <c r="D356" i="2"/>
  <c r="V356" i="2"/>
  <c r="K8" i="45"/>
  <c r="W354" i="2"/>
  <c r="B355" i="2"/>
  <c r="H31" i="9"/>
  <c r="I31" i="9"/>
  <c r="F356" i="2" l="1"/>
  <c r="AB356" i="2" s="1"/>
  <c r="L8" i="45"/>
  <c r="K26" i="45"/>
  <c r="K57" i="45" s="1"/>
  <c r="DN356" i="2"/>
  <c r="CP356" i="2"/>
  <c r="BR356" i="2"/>
  <c r="AT356" i="2"/>
  <c r="A356" i="2"/>
  <c r="DL356" i="2"/>
  <c r="CN356" i="2"/>
  <c r="BP356" i="2"/>
  <c r="AR356" i="2"/>
  <c r="DJ356" i="2"/>
  <c r="CL356" i="2"/>
  <c r="BN356" i="2"/>
  <c r="AP356" i="2"/>
  <c r="S356" i="2"/>
  <c r="T356" i="2" s="1"/>
  <c r="DH356" i="2"/>
  <c r="CJ356" i="2"/>
  <c r="BL356" i="2"/>
  <c r="AN356" i="2"/>
  <c r="DF356" i="2"/>
  <c r="CH356" i="2"/>
  <c r="BJ356" i="2"/>
  <c r="AL356" i="2"/>
  <c r="EB356" i="2"/>
  <c r="DD356" i="2"/>
  <c r="CF356" i="2"/>
  <c r="BH356" i="2"/>
  <c r="AJ356" i="2"/>
  <c r="DZ356" i="2"/>
  <c r="DB356" i="2"/>
  <c r="CD356" i="2"/>
  <c r="BF356" i="2"/>
  <c r="AH356" i="2"/>
  <c r="DX356" i="2"/>
  <c r="CZ356" i="2"/>
  <c r="CB356" i="2"/>
  <c r="BD356" i="2"/>
  <c r="DV356" i="2"/>
  <c r="CX356" i="2"/>
  <c r="BZ356" i="2"/>
  <c r="BB356" i="2"/>
  <c r="DT356" i="2"/>
  <c r="CV356" i="2"/>
  <c r="BX356" i="2"/>
  <c r="AZ356" i="2"/>
  <c r="DR356" i="2"/>
  <c r="CT356" i="2"/>
  <c r="BV356" i="2"/>
  <c r="AX356" i="2"/>
  <c r="DP356" i="2"/>
  <c r="CR356" i="2"/>
  <c r="BT356" i="2"/>
  <c r="AV356" i="2"/>
  <c r="E357" i="2"/>
  <c r="D357" i="2"/>
  <c r="F357" i="2" s="1"/>
  <c r="AB357" i="2" s="1"/>
  <c r="C358" i="2"/>
  <c r="V357" i="2"/>
  <c r="AC357" i="2"/>
  <c r="AD357" i="2" s="1"/>
  <c r="G357" i="2"/>
  <c r="L38" i="45"/>
  <c r="L16" i="45"/>
  <c r="L10" i="45"/>
  <c r="L15" i="45"/>
  <c r="L25" i="45"/>
  <c r="L14" i="45"/>
  <c r="L34" i="45"/>
  <c r="L33" i="45"/>
  <c r="L24" i="45"/>
  <c r="L13" i="45"/>
  <c r="L23" i="45"/>
  <c r="L32" i="45"/>
  <c r="L22" i="45"/>
  <c r="L20" i="45"/>
  <c r="L19" i="45"/>
  <c r="L30" i="45"/>
  <c r="L31" i="45" s="1"/>
  <c r="L18" i="45"/>
  <c r="L11" i="45"/>
  <c r="L17" i="45"/>
  <c r="L39" i="45"/>
  <c r="L21" i="45"/>
  <c r="W355" i="2"/>
  <c r="B356" i="2"/>
  <c r="B4" i="46"/>
  <c r="M6" i="45"/>
  <c r="L26" i="45" l="1"/>
  <c r="L57" i="45" s="1"/>
  <c r="AC358" i="2"/>
  <c r="AD358" i="2" s="1"/>
  <c r="E358" i="2"/>
  <c r="D358" i="2"/>
  <c r="V358" i="2"/>
  <c r="C359" i="2"/>
  <c r="G358" i="2"/>
  <c r="M15" i="45"/>
  <c r="N15" i="45" s="1"/>
  <c r="M25" i="45"/>
  <c r="N25" i="45" s="1"/>
  <c r="M14" i="45"/>
  <c r="N14" i="45" s="1"/>
  <c r="M34" i="45"/>
  <c r="N34" i="45" s="1"/>
  <c r="M33" i="45"/>
  <c r="N33" i="45" s="1"/>
  <c r="M24" i="45"/>
  <c r="N24" i="45" s="1"/>
  <c r="M13" i="45"/>
  <c r="N13" i="45" s="1"/>
  <c r="M23" i="45"/>
  <c r="N23" i="45" s="1"/>
  <c r="M32" i="45"/>
  <c r="N32" i="45" s="1"/>
  <c r="M22" i="45"/>
  <c r="N22" i="45" s="1"/>
  <c r="M20" i="45"/>
  <c r="N20" i="45" s="1"/>
  <c r="M19" i="45"/>
  <c r="N19" i="45" s="1"/>
  <c r="M30" i="45"/>
  <c r="N30" i="45" s="1"/>
  <c r="M18" i="45"/>
  <c r="N18" i="45" s="1"/>
  <c r="M39" i="45"/>
  <c r="N39" i="45" s="1"/>
  <c r="M17" i="45"/>
  <c r="N17" i="45" s="1"/>
  <c r="M11" i="45"/>
  <c r="N11" i="45" s="1"/>
  <c r="M10" i="45"/>
  <c r="N10" i="45" s="1"/>
  <c r="M16" i="45"/>
  <c r="N16" i="45" s="1"/>
  <c r="M38" i="45"/>
  <c r="N38" i="45" s="1"/>
  <c r="N6" i="45"/>
  <c r="M21" i="45"/>
  <c r="N21" i="45" s="1"/>
  <c r="M8" i="45"/>
  <c r="N8" i="45" s="1"/>
  <c r="M9" i="45"/>
  <c r="N9" i="45" s="1"/>
  <c r="C4" i="46"/>
  <c r="B6" i="46"/>
  <c r="B7" i="46" s="1"/>
  <c r="W356" i="2"/>
  <c r="B357" i="2"/>
  <c r="DR357" i="2"/>
  <c r="CT357" i="2"/>
  <c r="BV357" i="2"/>
  <c r="AX357" i="2"/>
  <c r="DP357" i="2"/>
  <c r="CR357" i="2"/>
  <c r="BT357" i="2"/>
  <c r="AV357" i="2"/>
  <c r="DN357" i="2"/>
  <c r="CP357" i="2"/>
  <c r="BR357" i="2"/>
  <c r="AT357" i="2"/>
  <c r="DL357" i="2"/>
  <c r="CN357" i="2"/>
  <c r="BP357" i="2"/>
  <c r="AR357" i="2"/>
  <c r="DJ357" i="2"/>
  <c r="CL357" i="2"/>
  <c r="BN357" i="2"/>
  <c r="AP357" i="2"/>
  <c r="A357" i="2"/>
  <c r="DH357" i="2"/>
  <c r="CJ357" i="2"/>
  <c r="BL357" i="2"/>
  <c r="AN357" i="2"/>
  <c r="DF357" i="2"/>
  <c r="CH357" i="2"/>
  <c r="BJ357" i="2"/>
  <c r="AL357" i="2"/>
  <c r="S357" i="2"/>
  <c r="T357" i="2" s="1"/>
  <c r="EB357" i="2"/>
  <c r="DD357" i="2"/>
  <c r="CF357" i="2"/>
  <c r="BH357" i="2"/>
  <c r="AJ357" i="2"/>
  <c r="DZ357" i="2"/>
  <c r="DB357" i="2"/>
  <c r="CD357" i="2"/>
  <c r="BF357" i="2"/>
  <c r="AH357" i="2"/>
  <c r="DX357" i="2"/>
  <c r="CZ357" i="2"/>
  <c r="CB357" i="2"/>
  <c r="BD357" i="2"/>
  <c r="DV357" i="2"/>
  <c r="CX357" i="2"/>
  <c r="BZ357" i="2"/>
  <c r="BB357" i="2"/>
  <c r="DT357" i="2"/>
  <c r="CV357" i="2"/>
  <c r="BX357" i="2"/>
  <c r="AZ357" i="2"/>
  <c r="F31" i="8"/>
  <c r="J31" i="9"/>
  <c r="L31" i="8"/>
  <c r="L31" i="9"/>
  <c r="K31" i="9"/>
  <c r="M31" i="9"/>
  <c r="O31" i="8"/>
  <c r="G31" i="9"/>
  <c r="N31" i="9"/>
  <c r="I31" i="8"/>
  <c r="F31" i="9"/>
  <c r="F358" i="2" l="1"/>
  <c r="AB358" i="2" s="1"/>
  <c r="K31" i="8"/>
  <c r="N31" i="8"/>
  <c r="Q31" i="8"/>
  <c r="J31" i="8"/>
  <c r="M31" i="8"/>
  <c r="O31" i="9"/>
  <c r="P31" i="9" s="1"/>
  <c r="P31" i="8"/>
  <c r="R31" i="8"/>
  <c r="S31" i="8" s="1"/>
  <c r="H31" i="8"/>
  <c r="G31" i="8"/>
  <c r="M26" i="45"/>
  <c r="B33" i="46"/>
  <c r="B24" i="46"/>
  <c r="B13" i="46"/>
  <c r="B23" i="46"/>
  <c r="B32" i="46"/>
  <c r="B21" i="46"/>
  <c r="B20" i="46"/>
  <c r="B19" i="46"/>
  <c r="B30" i="46"/>
  <c r="B18" i="46"/>
  <c r="B12" i="46"/>
  <c r="B39" i="46"/>
  <c r="B17" i="46"/>
  <c r="B11" i="46"/>
  <c r="B38" i="46"/>
  <c r="B16" i="46"/>
  <c r="B10" i="46"/>
  <c r="B15" i="46"/>
  <c r="B25" i="46"/>
  <c r="B14" i="46"/>
  <c r="B34" i="46"/>
  <c r="B8" i="46"/>
  <c r="DV358" i="2"/>
  <c r="CX358" i="2"/>
  <c r="BZ358" i="2"/>
  <c r="BB358" i="2"/>
  <c r="DT358" i="2"/>
  <c r="CV358" i="2"/>
  <c r="BX358" i="2"/>
  <c r="AZ358" i="2"/>
  <c r="DR358" i="2"/>
  <c r="CT358" i="2"/>
  <c r="BV358" i="2"/>
  <c r="AX358" i="2"/>
  <c r="DP358" i="2"/>
  <c r="CR358" i="2"/>
  <c r="BT358" i="2"/>
  <c r="AV358" i="2"/>
  <c r="DN358" i="2"/>
  <c r="CP358" i="2"/>
  <c r="BR358" i="2"/>
  <c r="AT358" i="2"/>
  <c r="DL358" i="2"/>
  <c r="CN358" i="2"/>
  <c r="BP358" i="2"/>
  <c r="AR358" i="2"/>
  <c r="A358" i="2"/>
  <c r="DJ358" i="2"/>
  <c r="CL358" i="2"/>
  <c r="BN358" i="2"/>
  <c r="AP358" i="2"/>
  <c r="DH358" i="2"/>
  <c r="CJ358" i="2"/>
  <c r="BL358" i="2"/>
  <c r="S358" i="2"/>
  <c r="T358" i="2" s="1"/>
  <c r="DF358" i="2"/>
  <c r="CH358" i="2"/>
  <c r="BJ358" i="2"/>
  <c r="AN358" i="2"/>
  <c r="EB358" i="2"/>
  <c r="DD358" i="2"/>
  <c r="CF358" i="2"/>
  <c r="BH358" i="2"/>
  <c r="AL358" i="2"/>
  <c r="DZ358" i="2"/>
  <c r="DB358" i="2"/>
  <c r="CD358" i="2"/>
  <c r="BF358" i="2"/>
  <c r="AJ358" i="2"/>
  <c r="DX358" i="2"/>
  <c r="CZ358" i="2"/>
  <c r="CB358" i="2"/>
  <c r="BD358" i="2"/>
  <c r="AH358" i="2"/>
  <c r="B9" i="46"/>
  <c r="G359" i="2"/>
  <c r="AC359" i="2"/>
  <c r="AD359" i="2" s="1"/>
  <c r="E359" i="2"/>
  <c r="D359" i="2"/>
  <c r="V359" i="2"/>
  <c r="C360" i="2"/>
  <c r="W357" i="2"/>
  <c r="B358" i="2"/>
  <c r="D4" i="46"/>
  <c r="C6" i="46"/>
  <c r="M31" i="45"/>
  <c r="N31" i="45" s="1"/>
  <c r="E31" i="8"/>
  <c r="B31" i="9"/>
  <c r="E31" i="9"/>
  <c r="B31" i="8"/>
  <c r="C361" i="2" l="1"/>
  <c r="G360" i="2"/>
  <c r="AC360" i="2"/>
  <c r="AD360" i="2" s="1"/>
  <c r="E360" i="2"/>
  <c r="D360" i="2"/>
  <c r="V360" i="2"/>
  <c r="W358" i="2"/>
  <c r="B359" i="2"/>
  <c r="F359" i="2"/>
  <c r="AB359" i="2" s="1"/>
  <c r="B26" i="46"/>
  <c r="C8" i="46"/>
  <c r="N26" i="45"/>
  <c r="M57" i="45"/>
  <c r="C9" i="46"/>
  <c r="DF359" i="2"/>
  <c r="CH359" i="2"/>
  <c r="BJ359" i="2"/>
  <c r="AL359" i="2"/>
  <c r="EB359" i="2"/>
  <c r="DD359" i="2"/>
  <c r="CF359" i="2"/>
  <c r="BH359" i="2"/>
  <c r="AJ359" i="2"/>
  <c r="DZ359" i="2"/>
  <c r="DB359" i="2"/>
  <c r="CD359" i="2"/>
  <c r="BF359" i="2"/>
  <c r="AH359" i="2"/>
  <c r="DX359" i="2"/>
  <c r="CZ359" i="2"/>
  <c r="CB359" i="2"/>
  <c r="BD359" i="2"/>
  <c r="DV359" i="2"/>
  <c r="CX359" i="2"/>
  <c r="BZ359" i="2"/>
  <c r="BB359" i="2"/>
  <c r="DT359" i="2"/>
  <c r="CV359" i="2"/>
  <c r="BX359" i="2"/>
  <c r="AZ359" i="2"/>
  <c r="DR359" i="2"/>
  <c r="CT359" i="2"/>
  <c r="BV359" i="2"/>
  <c r="AX359" i="2"/>
  <c r="DP359" i="2"/>
  <c r="CR359" i="2"/>
  <c r="BT359" i="2"/>
  <c r="AV359" i="2"/>
  <c r="DN359" i="2"/>
  <c r="CP359" i="2"/>
  <c r="BR359" i="2"/>
  <c r="AT359" i="2"/>
  <c r="A359" i="2"/>
  <c r="DL359" i="2"/>
  <c r="CN359" i="2"/>
  <c r="BP359" i="2"/>
  <c r="AR359" i="2"/>
  <c r="DJ359" i="2"/>
  <c r="CL359" i="2"/>
  <c r="BN359" i="2"/>
  <c r="AP359" i="2"/>
  <c r="S359" i="2"/>
  <c r="T359" i="2" s="1"/>
  <c r="DH359" i="2"/>
  <c r="CJ359" i="2"/>
  <c r="BL359" i="2"/>
  <c r="AN359" i="2"/>
  <c r="B31" i="46"/>
  <c r="E4" i="46"/>
  <c r="D6" i="46"/>
  <c r="D8" i="46" s="1"/>
  <c r="C23" i="46"/>
  <c r="C32" i="46"/>
  <c r="C22" i="46"/>
  <c r="C21" i="46"/>
  <c r="C20" i="46"/>
  <c r="C19" i="46"/>
  <c r="C30" i="46"/>
  <c r="C31" i="46" s="1"/>
  <c r="C18" i="46"/>
  <c r="C12" i="46"/>
  <c r="C39" i="46"/>
  <c r="C17" i="46"/>
  <c r="C11" i="46"/>
  <c r="C38" i="46"/>
  <c r="C16" i="46"/>
  <c r="C10" i="46"/>
  <c r="C15" i="46"/>
  <c r="C25" i="46"/>
  <c r="C14" i="46"/>
  <c r="C34" i="46"/>
  <c r="C24" i="46"/>
  <c r="C13" i="46"/>
  <c r="C33" i="46"/>
  <c r="G31" i="10"/>
  <c r="F31" i="3"/>
  <c r="F31" i="4"/>
  <c r="F31" i="12"/>
  <c r="D9" i="46" l="1"/>
  <c r="C26" i="46"/>
  <c r="C57" i="46" s="1"/>
  <c r="H31" i="12"/>
  <c r="G31" i="12"/>
  <c r="H31" i="3"/>
  <c r="G31" i="3"/>
  <c r="N57" i="45"/>
  <c r="H60" i="45"/>
  <c r="B60" i="45"/>
  <c r="B27" i="45"/>
  <c r="C27" i="45"/>
  <c r="D27" i="45"/>
  <c r="E27" i="45"/>
  <c r="F27" i="45"/>
  <c r="G27" i="45"/>
  <c r="H27" i="45"/>
  <c r="I27" i="45"/>
  <c r="J27" i="45"/>
  <c r="K27" i="45"/>
  <c r="L27" i="45"/>
  <c r="M27" i="45"/>
  <c r="DN360" i="2"/>
  <c r="CP360" i="2"/>
  <c r="BR360" i="2"/>
  <c r="AT360" i="2"/>
  <c r="A360" i="2"/>
  <c r="DL360" i="2"/>
  <c r="CN360" i="2"/>
  <c r="BP360" i="2"/>
  <c r="AR360" i="2"/>
  <c r="DJ360" i="2"/>
  <c r="CL360" i="2"/>
  <c r="BN360" i="2"/>
  <c r="AP360" i="2"/>
  <c r="S360" i="2"/>
  <c r="T360" i="2" s="1"/>
  <c r="DH360" i="2"/>
  <c r="CJ360" i="2"/>
  <c r="BL360" i="2"/>
  <c r="AN360" i="2"/>
  <c r="DF360" i="2"/>
  <c r="CH360" i="2"/>
  <c r="BJ360" i="2"/>
  <c r="AL360" i="2"/>
  <c r="EB360" i="2"/>
  <c r="DD360" i="2"/>
  <c r="CF360" i="2"/>
  <c r="BH360" i="2"/>
  <c r="AJ360" i="2"/>
  <c r="DZ360" i="2"/>
  <c r="DB360" i="2"/>
  <c r="CD360" i="2"/>
  <c r="BF360" i="2"/>
  <c r="AH360" i="2"/>
  <c r="DX360" i="2"/>
  <c r="CZ360" i="2"/>
  <c r="CB360" i="2"/>
  <c r="BD360" i="2"/>
  <c r="DV360" i="2"/>
  <c r="CX360" i="2"/>
  <c r="BZ360" i="2"/>
  <c r="BB360" i="2"/>
  <c r="DT360" i="2"/>
  <c r="CV360" i="2"/>
  <c r="BX360" i="2"/>
  <c r="AZ360" i="2"/>
  <c r="DR360" i="2"/>
  <c r="CT360" i="2"/>
  <c r="BV360" i="2"/>
  <c r="AX360" i="2"/>
  <c r="DP360" i="2"/>
  <c r="CR360" i="2"/>
  <c r="BT360" i="2"/>
  <c r="AV360" i="2"/>
  <c r="AC361" i="2"/>
  <c r="AD361" i="2" s="1"/>
  <c r="E361" i="2"/>
  <c r="D361" i="2"/>
  <c r="V361" i="2"/>
  <c r="C362" i="2"/>
  <c r="G361" i="2"/>
  <c r="B57" i="46"/>
  <c r="D32" i="46"/>
  <c r="D22" i="46"/>
  <c r="D20" i="46"/>
  <c r="D19" i="46"/>
  <c r="D30" i="46"/>
  <c r="D31" i="46" s="1"/>
  <c r="D18" i="46"/>
  <c r="D39" i="46"/>
  <c r="D17" i="46"/>
  <c r="D11" i="46"/>
  <c r="D38" i="46"/>
  <c r="D16" i="46"/>
  <c r="D10" i="46"/>
  <c r="D15" i="46"/>
  <c r="D25" i="46"/>
  <c r="D14" i="46"/>
  <c r="D34" i="46"/>
  <c r="D33" i="46"/>
  <c r="D24" i="46"/>
  <c r="D13" i="46"/>
  <c r="D23" i="46"/>
  <c r="D21" i="46"/>
  <c r="W359" i="2"/>
  <c r="B360" i="2"/>
  <c r="F4" i="46"/>
  <c r="E6" i="46"/>
  <c r="F360" i="2"/>
  <c r="AB360" i="2" s="1"/>
  <c r="C31" i="10"/>
  <c r="B31" i="4"/>
  <c r="J31" i="4"/>
  <c r="H31" i="4"/>
  <c r="E31" i="3"/>
  <c r="F31" i="10"/>
  <c r="E31" i="12"/>
  <c r="B31" i="3"/>
  <c r="K31" i="4"/>
  <c r="B31" i="12"/>
  <c r="E31" i="4"/>
  <c r="I31" i="4"/>
  <c r="O31" i="3"/>
  <c r="G31" i="4"/>
  <c r="E31" i="6" l="1"/>
  <c r="E31" i="5"/>
  <c r="E31" i="7"/>
  <c r="O31" i="4"/>
  <c r="P31" i="4" s="1"/>
  <c r="AL31" i="11" s="1"/>
  <c r="B31" i="6"/>
  <c r="B31" i="5"/>
  <c r="C31" i="3"/>
  <c r="B31" i="7"/>
  <c r="C31" i="4"/>
  <c r="DV361" i="2"/>
  <c r="CX361" i="2"/>
  <c r="BZ361" i="2"/>
  <c r="BB361" i="2"/>
  <c r="DT361" i="2"/>
  <c r="CV361" i="2"/>
  <c r="BX361" i="2"/>
  <c r="AZ361" i="2"/>
  <c r="DR361" i="2"/>
  <c r="CT361" i="2"/>
  <c r="BV361" i="2"/>
  <c r="AX361" i="2"/>
  <c r="DP361" i="2"/>
  <c r="CR361" i="2"/>
  <c r="BT361" i="2"/>
  <c r="AV361" i="2"/>
  <c r="DN361" i="2"/>
  <c r="CP361" i="2"/>
  <c r="BR361" i="2"/>
  <c r="AT361" i="2"/>
  <c r="A361" i="2"/>
  <c r="DL361" i="2"/>
  <c r="CN361" i="2"/>
  <c r="BP361" i="2"/>
  <c r="AR361" i="2"/>
  <c r="DJ361" i="2"/>
  <c r="CL361" i="2"/>
  <c r="BN361" i="2"/>
  <c r="AP361" i="2"/>
  <c r="S361" i="2"/>
  <c r="T361" i="2" s="1"/>
  <c r="DH361" i="2"/>
  <c r="CJ361" i="2"/>
  <c r="BL361" i="2"/>
  <c r="AN361" i="2"/>
  <c r="DF361" i="2"/>
  <c r="CH361" i="2"/>
  <c r="BJ361" i="2"/>
  <c r="AL361" i="2"/>
  <c r="EB361" i="2"/>
  <c r="DD361" i="2"/>
  <c r="CF361" i="2"/>
  <c r="BH361" i="2"/>
  <c r="AJ361" i="2"/>
  <c r="DZ361" i="2"/>
  <c r="DB361" i="2"/>
  <c r="CD361" i="2"/>
  <c r="BF361" i="2"/>
  <c r="AH361" i="2"/>
  <c r="DX361" i="2"/>
  <c r="CZ361" i="2"/>
  <c r="CB361" i="2"/>
  <c r="BD361" i="2"/>
  <c r="E28" i="45"/>
  <c r="E58" i="45" s="1"/>
  <c r="E59" i="45" s="1"/>
  <c r="W360" i="2"/>
  <c r="B361" i="2"/>
  <c r="G4" i="46"/>
  <c r="F6" i="46"/>
  <c r="F9" i="46" s="1"/>
  <c r="D28" i="45"/>
  <c r="D58" i="45" s="1"/>
  <c r="D59" i="45" s="1"/>
  <c r="C28" i="45"/>
  <c r="C58" i="45" s="1"/>
  <c r="C59" i="45" s="1"/>
  <c r="E8" i="46"/>
  <c r="E9" i="46"/>
  <c r="D26" i="46"/>
  <c r="N27" i="45"/>
  <c r="B28" i="45"/>
  <c r="B58" i="45" s="1"/>
  <c r="M28" i="45"/>
  <c r="M58" i="45" s="1"/>
  <c r="M59" i="45" s="1"/>
  <c r="G362" i="2"/>
  <c r="AC362" i="2"/>
  <c r="AD362" i="2" s="1"/>
  <c r="E362" i="2"/>
  <c r="D362" i="2"/>
  <c r="F362" i="2" s="1"/>
  <c r="AB362" i="2" s="1"/>
  <c r="V362" i="2"/>
  <c r="C363" i="2"/>
  <c r="K28" i="45"/>
  <c r="K58" i="45" s="1"/>
  <c r="K59" i="45" s="1"/>
  <c r="J28" i="45"/>
  <c r="J58" i="45" s="1"/>
  <c r="J59" i="45" s="1"/>
  <c r="F361" i="2"/>
  <c r="AB361" i="2" s="1"/>
  <c r="I28" i="45"/>
  <c r="I58" i="45" s="1"/>
  <c r="I59" i="45" s="1"/>
  <c r="H28" i="45"/>
  <c r="H58" i="45" s="1"/>
  <c r="H59" i="45" s="1"/>
  <c r="G28" i="45"/>
  <c r="G58" i="45" s="1"/>
  <c r="G59" i="45" s="1"/>
  <c r="L28" i="45"/>
  <c r="L58" i="45" s="1"/>
  <c r="L59" i="45" s="1"/>
  <c r="E20" i="46"/>
  <c r="E19" i="46"/>
  <c r="E30" i="46"/>
  <c r="E31" i="46" s="1"/>
  <c r="E18" i="46"/>
  <c r="E39" i="46"/>
  <c r="E17" i="46"/>
  <c r="E11" i="46"/>
  <c r="E38" i="46"/>
  <c r="E16" i="46"/>
  <c r="E10" i="46"/>
  <c r="E15" i="46"/>
  <c r="E25" i="46"/>
  <c r="E14" i="46"/>
  <c r="E34" i="46"/>
  <c r="E33" i="46"/>
  <c r="E24" i="46"/>
  <c r="E13" i="46"/>
  <c r="E23" i="46"/>
  <c r="E32" i="46"/>
  <c r="E22" i="46"/>
  <c r="E21" i="46"/>
  <c r="F28" i="45"/>
  <c r="F58" i="45" s="1"/>
  <c r="F59" i="45" s="1"/>
  <c r="H31" i="10"/>
  <c r="F8" i="46" l="1"/>
  <c r="J31" i="10"/>
  <c r="K31" i="10" s="1"/>
  <c r="I31" i="10"/>
  <c r="N58" i="45"/>
  <c r="N59" i="45" s="1"/>
  <c r="F60" i="45" s="1"/>
  <c r="B59" i="45"/>
  <c r="H4" i="46"/>
  <c r="G6" i="46"/>
  <c r="G9" i="46" s="1"/>
  <c r="D31" i="11"/>
  <c r="AC31" i="11" s="1"/>
  <c r="D31" i="5"/>
  <c r="D31" i="6" s="1"/>
  <c r="C364" i="2"/>
  <c r="G363" i="2"/>
  <c r="AC363" i="2"/>
  <c r="AD363" i="2" s="1"/>
  <c r="E363" i="2"/>
  <c r="D363" i="2"/>
  <c r="V363" i="2"/>
  <c r="W361" i="2"/>
  <c r="B362" i="2"/>
  <c r="D57" i="46"/>
  <c r="DF362" i="2"/>
  <c r="CH362" i="2"/>
  <c r="BJ362" i="2"/>
  <c r="AL362" i="2"/>
  <c r="EB362" i="2"/>
  <c r="DD362" i="2"/>
  <c r="CF362" i="2"/>
  <c r="BH362" i="2"/>
  <c r="AJ362" i="2"/>
  <c r="DZ362" i="2"/>
  <c r="DB362" i="2"/>
  <c r="CD362" i="2"/>
  <c r="BF362" i="2"/>
  <c r="AH362" i="2"/>
  <c r="DX362" i="2"/>
  <c r="CZ362" i="2"/>
  <c r="CB362" i="2"/>
  <c r="BD362" i="2"/>
  <c r="DV362" i="2"/>
  <c r="CX362" i="2"/>
  <c r="BZ362" i="2"/>
  <c r="BB362" i="2"/>
  <c r="DT362" i="2"/>
  <c r="CV362" i="2"/>
  <c r="BX362" i="2"/>
  <c r="AZ362" i="2"/>
  <c r="DR362" i="2"/>
  <c r="CT362" i="2"/>
  <c r="BV362" i="2"/>
  <c r="AX362" i="2"/>
  <c r="DP362" i="2"/>
  <c r="CR362" i="2"/>
  <c r="BT362" i="2"/>
  <c r="AV362" i="2"/>
  <c r="DN362" i="2"/>
  <c r="CP362" i="2"/>
  <c r="BR362" i="2"/>
  <c r="AT362" i="2"/>
  <c r="A362" i="2"/>
  <c r="DL362" i="2"/>
  <c r="CN362" i="2"/>
  <c r="BP362" i="2"/>
  <c r="AR362" i="2"/>
  <c r="DJ362" i="2"/>
  <c r="CL362" i="2"/>
  <c r="BN362" i="2"/>
  <c r="AP362" i="2"/>
  <c r="S362" i="2"/>
  <c r="T362" i="2" s="1"/>
  <c r="DH362" i="2"/>
  <c r="CJ362" i="2"/>
  <c r="BL362" i="2"/>
  <c r="AN362" i="2"/>
  <c r="E26" i="46"/>
  <c r="N28" i="45"/>
  <c r="F19" i="46"/>
  <c r="F30" i="46"/>
  <c r="F31" i="46" s="1"/>
  <c r="F18" i="46"/>
  <c r="F39" i="46"/>
  <c r="F17" i="46"/>
  <c r="F11" i="46"/>
  <c r="F38" i="46"/>
  <c r="F16" i="46"/>
  <c r="F10" i="46"/>
  <c r="F15" i="46"/>
  <c r="F25" i="46"/>
  <c r="F14" i="46"/>
  <c r="F34" i="46"/>
  <c r="F33" i="46"/>
  <c r="F24" i="46"/>
  <c r="F13" i="46"/>
  <c r="F23" i="46"/>
  <c r="F32" i="46"/>
  <c r="F22" i="46"/>
  <c r="F20" i="46"/>
  <c r="F21" i="46"/>
  <c r="F363" i="2" l="1"/>
  <c r="AB363" i="2" s="1"/>
  <c r="F26" i="46"/>
  <c r="F57" i="46" s="1"/>
  <c r="M31" i="11"/>
  <c r="O31" i="11"/>
  <c r="G8" i="46"/>
  <c r="J31" i="11"/>
  <c r="DN363" i="2"/>
  <c r="CP363" i="2"/>
  <c r="BR363" i="2"/>
  <c r="AT363" i="2"/>
  <c r="A363" i="2"/>
  <c r="DL363" i="2"/>
  <c r="CN363" i="2"/>
  <c r="BP363" i="2"/>
  <c r="AR363" i="2"/>
  <c r="DJ363" i="2"/>
  <c r="CL363" i="2"/>
  <c r="BN363" i="2"/>
  <c r="AP363" i="2"/>
  <c r="S363" i="2"/>
  <c r="T363" i="2" s="1"/>
  <c r="DH363" i="2"/>
  <c r="CJ363" i="2"/>
  <c r="BL363" i="2"/>
  <c r="AN363" i="2"/>
  <c r="DF363" i="2"/>
  <c r="CH363" i="2"/>
  <c r="BJ363" i="2"/>
  <c r="AL363" i="2"/>
  <c r="EB363" i="2"/>
  <c r="DD363" i="2"/>
  <c r="CF363" i="2"/>
  <c r="BH363" i="2"/>
  <c r="AJ363" i="2"/>
  <c r="DZ363" i="2"/>
  <c r="DB363" i="2"/>
  <c r="CD363" i="2"/>
  <c r="BF363" i="2"/>
  <c r="AH363" i="2"/>
  <c r="DX363" i="2"/>
  <c r="CZ363" i="2"/>
  <c r="CB363" i="2"/>
  <c r="BD363" i="2"/>
  <c r="DV363" i="2"/>
  <c r="CX363" i="2"/>
  <c r="BZ363" i="2"/>
  <c r="BB363" i="2"/>
  <c r="DT363" i="2"/>
  <c r="CV363" i="2"/>
  <c r="BX363" i="2"/>
  <c r="AZ363" i="2"/>
  <c r="DR363" i="2"/>
  <c r="CT363" i="2"/>
  <c r="BV363" i="2"/>
  <c r="AX363" i="2"/>
  <c r="DP363" i="2"/>
  <c r="CR363" i="2"/>
  <c r="BT363" i="2"/>
  <c r="AV363" i="2"/>
  <c r="I4" i="46"/>
  <c r="H6" i="46"/>
  <c r="AC364" i="2"/>
  <c r="AD364" i="2" s="1"/>
  <c r="E364" i="2"/>
  <c r="D364" i="2"/>
  <c r="V364" i="2"/>
  <c r="C365" i="2"/>
  <c r="G364" i="2"/>
  <c r="Y31" i="11"/>
  <c r="R31" i="11"/>
  <c r="V31" i="11"/>
  <c r="AK31" i="11"/>
  <c r="AD31" i="11"/>
  <c r="AH31" i="11"/>
  <c r="N31" i="11"/>
  <c r="D31" i="7"/>
  <c r="D31" i="8" s="1"/>
  <c r="D31" i="9" s="1"/>
  <c r="D31" i="10" s="1"/>
  <c r="C31" i="12" s="1"/>
  <c r="R31" i="6"/>
  <c r="Z31" i="11"/>
  <c r="S31" i="11"/>
  <c r="E57" i="46"/>
  <c r="AE31" i="11"/>
  <c r="G60" i="45"/>
  <c r="I60" i="45"/>
  <c r="K31" i="11"/>
  <c r="AA31" i="11"/>
  <c r="W31" i="11"/>
  <c r="P31" i="11"/>
  <c r="T31" i="11"/>
  <c r="W362" i="2"/>
  <c r="B363" i="2"/>
  <c r="AI31" i="11"/>
  <c r="AB31" i="11"/>
  <c r="AF31" i="11"/>
  <c r="L31" i="11"/>
  <c r="U31" i="11"/>
  <c r="X31" i="11"/>
  <c r="Q31" i="11"/>
  <c r="AG31" i="11"/>
  <c r="AJ31" i="11"/>
  <c r="G30" i="46"/>
  <c r="G31" i="46" s="1"/>
  <c r="G18" i="46"/>
  <c r="G39" i="46"/>
  <c r="G17" i="46"/>
  <c r="G11" i="46"/>
  <c r="G38" i="46"/>
  <c r="G16" i="46"/>
  <c r="G10" i="46"/>
  <c r="G15" i="46"/>
  <c r="G25" i="46"/>
  <c r="G14" i="46"/>
  <c r="G34" i="46"/>
  <c r="G33" i="46"/>
  <c r="G24" i="46"/>
  <c r="G13" i="46"/>
  <c r="G23" i="46"/>
  <c r="G32" i="46"/>
  <c r="G22" i="46"/>
  <c r="G20" i="46"/>
  <c r="G19" i="46"/>
  <c r="G21" i="46"/>
  <c r="H9" i="46" l="1"/>
  <c r="H7" i="46"/>
  <c r="N7" i="46" s="1"/>
  <c r="H8" i="46"/>
  <c r="G31" i="11"/>
  <c r="H31" i="11" s="1"/>
  <c r="G26" i="46"/>
  <c r="G57" i="46" s="1"/>
  <c r="DV364" i="2"/>
  <c r="CX364" i="2"/>
  <c r="BZ364" i="2"/>
  <c r="BB364" i="2"/>
  <c r="DT364" i="2"/>
  <c r="CV364" i="2"/>
  <c r="BX364" i="2"/>
  <c r="AZ364" i="2"/>
  <c r="DR364" i="2"/>
  <c r="CT364" i="2"/>
  <c r="BV364" i="2"/>
  <c r="AX364" i="2"/>
  <c r="DP364" i="2"/>
  <c r="CR364" i="2"/>
  <c r="BT364" i="2"/>
  <c r="AV364" i="2"/>
  <c r="DN364" i="2"/>
  <c r="CP364" i="2"/>
  <c r="BR364" i="2"/>
  <c r="AT364" i="2"/>
  <c r="A364" i="2"/>
  <c r="DL364" i="2"/>
  <c r="CN364" i="2"/>
  <c r="BP364" i="2"/>
  <c r="AR364" i="2"/>
  <c r="DJ364" i="2"/>
  <c r="CL364" i="2"/>
  <c r="BN364" i="2"/>
  <c r="AP364" i="2"/>
  <c r="S364" i="2"/>
  <c r="T364" i="2" s="1"/>
  <c r="DH364" i="2"/>
  <c r="CJ364" i="2"/>
  <c r="BL364" i="2"/>
  <c r="AN364" i="2"/>
  <c r="DF364" i="2"/>
  <c r="CH364" i="2"/>
  <c r="BJ364" i="2"/>
  <c r="AL364" i="2"/>
  <c r="EB364" i="2"/>
  <c r="DD364" i="2"/>
  <c r="CF364" i="2"/>
  <c r="BH364" i="2"/>
  <c r="AJ364" i="2"/>
  <c r="DZ364" i="2"/>
  <c r="DB364" i="2"/>
  <c r="CD364" i="2"/>
  <c r="BF364" i="2"/>
  <c r="AH364" i="2"/>
  <c r="DX364" i="2"/>
  <c r="CZ364" i="2"/>
  <c r="CB364" i="2"/>
  <c r="BD364" i="2"/>
  <c r="G365" i="2"/>
  <c r="AC365" i="2"/>
  <c r="AD365" i="2" s="1"/>
  <c r="E365" i="2"/>
  <c r="D365" i="2"/>
  <c r="V365" i="2"/>
  <c r="C366" i="2"/>
  <c r="W363" i="2"/>
  <c r="B364" i="2"/>
  <c r="F364" i="2"/>
  <c r="AB364" i="2" s="1"/>
  <c r="H39" i="46"/>
  <c r="H17" i="46"/>
  <c r="H11" i="46"/>
  <c r="H38" i="46"/>
  <c r="H16" i="46"/>
  <c r="H10" i="46"/>
  <c r="H15" i="46"/>
  <c r="H25" i="46"/>
  <c r="H14" i="46"/>
  <c r="H34" i="46"/>
  <c r="H33" i="46"/>
  <c r="H24" i="46"/>
  <c r="H13" i="46"/>
  <c r="H23" i="46"/>
  <c r="H32" i="46"/>
  <c r="H22" i="46"/>
  <c r="H20" i="46"/>
  <c r="H19" i="46"/>
  <c r="H30" i="46"/>
  <c r="H31" i="46" s="1"/>
  <c r="H18" i="46"/>
  <c r="H21" i="46"/>
  <c r="J4" i="46"/>
  <c r="I6" i="46"/>
  <c r="F365" i="2" l="1"/>
  <c r="AB365" i="2" s="1"/>
  <c r="C31" i="11"/>
  <c r="E31" i="11" s="1"/>
  <c r="DF365" i="2"/>
  <c r="CH365" i="2"/>
  <c r="BJ365" i="2"/>
  <c r="AL365" i="2"/>
  <c r="EB365" i="2"/>
  <c r="DD365" i="2"/>
  <c r="CF365" i="2"/>
  <c r="BH365" i="2"/>
  <c r="AJ365" i="2"/>
  <c r="DZ365" i="2"/>
  <c r="DB365" i="2"/>
  <c r="CD365" i="2"/>
  <c r="BF365" i="2"/>
  <c r="AH365" i="2"/>
  <c r="DX365" i="2"/>
  <c r="CZ365" i="2"/>
  <c r="CB365" i="2"/>
  <c r="BD365" i="2"/>
  <c r="DV365" i="2"/>
  <c r="CX365" i="2"/>
  <c r="BZ365" i="2"/>
  <c r="BB365" i="2"/>
  <c r="DT365" i="2"/>
  <c r="CV365" i="2"/>
  <c r="BX365" i="2"/>
  <c r="AZ365" i="2"/>
  <c r="DR365" i="2"/>
  <c r="CT365" i="2"/>
  <c r="BV365" i="2"/>
  <c r="AX365" i="2"/>
  <c r="DP365" i="2"/>
  <c r="CR365" i="2"/>
  <c r="BT365" i="2"/>
  <c r="AV365" i="2"/>
  <c r="DN365" i="2"/>
  <c r="CP365" i="2"/>
  <c r="BR365" i="2"/>
  <c r="AT365" i="2"/>
  <c r="A365" i="2"/>
  <c r="DL365" i="2"/>
  <c r="CN365" i="2"/>
  <c r="BP365" i="2"/>
  <c r="AR365" i="2"/>
  <c r="DJ365" i="2"/>
  <c r="CL365" i="2"/>
  <c r="BN365" i="2"/>
  <c r="AP365" i="2"/>
  <c r="S365" i="2"/>
  <c r="T365" i="2" s="1"/>
  <c r="DH365" i="2"/>
  <c r="CJ365" i="2"/>
  <c r="BL365" i="2"/>
  <c r="AN365" i="2"/>
  <c r="H26" i="46"/>
  <c r="I38" i="46"/>
  <c r="I16" i="46"/>
  <c r="I10" i="46"/>
  <c r="I15" i="46"/>
  <c r="I25" i="46"/>
  <c r="I14" i="46"/>
  <c r="I34" i="46"/>
  <c r="I33" i="46"/>
  <c r="I24" i="46"/>
  <c r="I13" i="46"/>
  <c r="I23" i="46"/>
  <c r="I32" i="46"/>
  <c r="I22" i="46"/>
  <c r="I20" i="46"/>
  <c r="I19" i="46"/>
  <c r="I30" i="46"/>
  <c r="I31" i="46" s="1"/>
  <c r="I18" i="46"/>
  <c r="I39" i="46"/>
  <c r="I17" i="46"/>
  <c r="I11" i="46"/>
  <c r="I21" i="46"/>
  <c r="I8" i="46"/>
  <c r="C367" i="2"/>
  <c r="G366" i="2"/>
  <c r="AC366" i="2"/>
  <c r="AD366" i="2" s="1"/>
  <c r="E366" i="2"/>
  <c r="D366" i="2"/>
  <c r="F366" i="2" s="1"/>
  <c r="AB366" i="2" s="1"/>
  <c r="V366" i="2"/>
  <c r="I9" i="46"/>
  <c r="W364" i="2"/>
  <c r="B365" i="2"/>
  <c r="K4" i="46"/>
  <c r="J6" i="46"/>
  <c r="J8" i="46" s="1"/>
  <c r="I26" i="46" l="1"/>
  <c r="I57" i="46" s="1"/>
  <c r="J9" i="46"/>
  <c r="W365" i="2"/>
  <c r="B366" i="2"/>
  <c r="H57" i="46"/>
  <c r="J15" i="46"/>
  <c r="J25" i="46"/>
  <c r="J14" i="46"/>
  <c r="J34" i="46"/>
  <c r="J12" i="46"/>
  <c r="J33" i="46"/>
  <c r="J24" i="46"/>
  <c r="J13" i="46"/>
  <c r="J23" i="46"/>
  <c r="J32" i="46"/>
  <c r="J22" i="46"/>
  <c r="J20" i="46"/>
  <c r="J19" i="46"/>
  <c r="J30" i="46"/>
  <c r="J31" i="46" s="1"/>
  <c r="J18" i="46"/>
  <c r="J39" i="46"/>
  <c r="J17" i="46"/>
  <c r="J11" i="46"/>
  <c r="J38" i="46"/>
  <c r="J16" i="46"/>
  <c r="J10" i="46"/>
  <c r="J21" i="46"/>
  <c r="DN366" i="2"/>
  <c r="CP366" i="2"/>
  <c r="BR366" i="2"/>
  <c r="AT366" i="2"/>
  <c r="A366" i="2"/>
  <c r="DL366" i="2"/>
  <c r="CN366" i="2"/>
  <c r="BP366" i="2"/>
  <c r="AR366" i="2"/>
  <c r="DJ366" i="2"/>
  <c r="CL366" i="2"/>
  <c r="BN366" i="2"/>
  <c r="AP366" i="2"/>
  <c r="S366" i="2"/>
  <c r="T366" i="2" s="1"/>
  <c r="DH366" i="2"/>
  <c r="CJ366" i="2"/>
  <c r="BL366" i="2"/>
  <c r="AN366" i="2"/>
  <c r="DF366" i="2"/>
  <c r="CH366" i="2"/>
  <c r="BJ366" i="2"/>
  <c r="AL366" i="2"/>
  <c r="EB366" i="2"/>
  <c r="DD366" i="2"/>
  <c r="CF366" i="2"/>
  <c r="BH366" i="2"/>
  <c r="AJ366" i="2"/>
  <c r="DZ366" i="2"/>
  <c r="DB366" i="2"/>
  <c r="CD366" i="2"/>
  <c r="BF366" i="2"/>
  <c r="AH366" i="2"/>
  <c r="DX366" i="2"/>
  <c r="CZ366" i="2"/>
  <c r="CB366" i="2"/>
  <c r="BD366" i="2"/>
  <c r="DV366" i="2"/>
  <c r="CX366" i="2"/>
  <c r="BZ366" i="2"/>
  <c r="BB366" i="2"/>
  <c r="DT366" i="2"/>
  <c r="CV366" i="2"/>
  <c r="BX366" i="2"/>
  <c r="AZ366" i="2"/>
  <c r="DR366" i="2"/>
  <c r="CT366" i="2"/>
  <c r="BV366" i="2"/>
  <c r="AX366" i="2"/>
  <c r="DP366" i="2"/>
  <c r="CR366" i="2"/>
  <c r="BT366" i="2"/>
  <c r="AV366" i="2"/>
  <c r="L4" i="46"/>
  <c r="K6" i="46"/>
  <c r="K9" i="46" s="1"/>
  <c r="AC367" i="2"/>
  <c r="AD367" i="2" s="1"/>
  <c r="E367" i="2"/>
  <c r="D367" i="2"/>
  <c r="V367" i="2"/>
  <c r="C368" i="2"/>
  <c r="G367" i="2"/>
  <c r="J26" i="46" l="1"/>
  <c r="J57" i="46" s="1"/>
  <c r="M4" i="46"/>
  <c r="L6" i="46"/>
  <c r="K25" i="46"/>
  <c r="K14" i="46"/>
  <c r="K34" i="46"/>
  <c r="K12" i="46"/>
  <c r="N12" i="46" s="1"/>
  <c r="K33" i="46"/>
  <c r="K24" i="46"/>
  <c r="K13" i="46"/>
  <c r="K23" i="46"/>
  <c r="K32" i="46"/>
  <c r="K22" i="46"/>
  <c r="K20" i="46"/>
  <c r="K19" i="46"/>
  <c r="K30" i="46"/>
  <c r="K31" i="46" s="1"/>
  <c r="K18" i="46"/>
  <c r="K39" i="46"/>
  <c r="K17" i="46"/>
  <c r="K11" i="46"/>
  <c r="K38" i="46"/>
  <c r="K16" i="46"/>
  <c r="K10" i="46"/>
  <c r="K15" i="46"/>
  <c r="K21" i="46"/>
  <c r="K8" i="46"/>
  <c r="DV367" i="2"/>
  <c r="CX367" i="2"/>
  <c r="BZ367" i="2"/>
  <c r="BB367" i="2"/>
  <c r="DT367" i="2"/>
  <c r="CV367" i="2"/>
  <c r="BX367" i="2"/>
  <c r="AZ367" i="2"/>
  <c r="DR367" i="2"/>
  <c r="CT367" i="2"/>
  <c r="BV367" i="2"/>
  <c r="AX367" i="2"/>
  <c r="DP367" i="2"/>
  <c r="CR367" i="2"/>
  <c r="BT367" i="2"/>
  <c r="AV367" i="2"/>
  <c r="DN367" i="2"/>
  <c r="CP367" i="2"/>
  <c r="BR367" i="2"/>
  <c r="AT367" i="2"/>
  <c r="A367" i="2"/>
  <c r="DL367" i="2"/>
  <c r="CN367" i="2"/>
  <c r="BP367" i="2"/>
  <c r="AR367" i="2"/>
  <c r="DJ367" i="2"/>
  <c r="CL367" i="2"/>
  <c r="BN367" i="2"/>
  <c r="AP367" i="2"/>
  <c r="S367" i="2"/>
  <c r="T367" i="2" s="1"/>
  <c r="DH367" i="2"/>
  <c r="CJ367" i="2"/>
  <c r="BL367" i="2"/>
  <c r="AN367" i="2"/>
  <c r="DF367" i="2"/>
  <c r="CH367" i="2"/>
  <c r="BJ367" i="2"/>
  <c r="AL367" i="2"/>
  <c r="EB367" i="2"/>
  <c r="DD367" i="2"/>
  <c r="CF367" i="2"/>
  <c r="BH367" i="2"/>
  <c r="AJ367" i="2"/>
  <c r="DZ367" i="2"/>
  <c r="DB367" i="2"/>
  <c r="CD367" i="2"/>
  <c r="BF367" i="2"/>
  <c r="AH367" i="2"/>
  <c r="DX367" i="2"/>
  <c r="CZ367" i="2"/>
  <c r="CB367" i="2"/>
  <c r="BD367" i="2"/>
  <c r="G368" i="2"/>
  <c r="AC368" i="2"/>
  <c r="AD368" i="2" s="1"/>
  <c r="E368" i="2"/>
  <c r="D368" i="2"/>
  <c r="V368" i="2"/>
  <c r="C369" i="2"/>
  <c r="W366" i="2"/>
  <c r="B367" i="2"/>
  <c r="F367" i="2"/>
  <c r="AB367" i="2" s="1"/>
  <c r="I32" i="9"/>
  <c r="H32" i="9"/>
  <c r="K26" i="46" l="1"/>
  <c r="K57" i="46" s="1"/>
  <c r="DF368" i="2"/>
  <c r="CH368" i="2"/>
  <c r="BJ368" i="2"/>
  <c r="AL368" i="2"/>
  <c r="EB368" i="2"/>
  <c r="DD368" i="2"/>
  <c r="CF368" i="2"/>
  <c r="BH368" i="2"/>
  <c r="AJ368" i="2"/>
  <c r="DZ368" i="2"/>
  <c r="DB368" i="2"/>
  <c r="CD368" i="2"/>
  <c r="BF368" i="2"/>
  <c r="AH368" i="2"/>
  <c r="DX368" i="2"/>
  <c r="CZ368" i="2"/>
  <c r="CB368" i="2"/>
  <c r="BD368" i="2"/>
  <c r="DV368" i="2"/>
  <c r="CX368" i="2"/>
  <c r="BZ368" i="2"/>
  <c r="BB368" i="2"/>
  <c r="DT368" i="2"/>
  <c r="CV368" i="2"/>
  <c r="BX368" i="2"/>
  <c r="AZ368" i="2"/>
  <c r="DR368" i="2"/>
  <c r="CT368" i="2"/>
  <c r="BV368" i="2"/>
  <c r="AX368" i="2"/>
  <c r="DP368" i="2"/>
  <c r="CR368" i="2"/>
  <c r="BT368" i="2"/>
  <c r="AV368" i="2"/>
  <c r="DN368" i="2"/>
  <c r="CP368" i="2"/>
  <c r="BR368" i="2"/>
  <c r="AT368" i="2"/>
  <c r="A368" i="2"/>
  <c r="DL368" i="2"/>
  <c r="CN368" i="2"/>
  <c r="BP368" i="2"/>
  <c r="AR368" i="2"/>
  <c r="DJ368" i="2"/>
  <c r="CL368" i="2"/>
  <c r="BN368" i="2"/>
  <c r="AP368" i="2"/>
  <c r="S368" i="2"/>
  <c r="T368" i="2" s="1"/>
  <c r="DH368" i="2"/>
  <c r="CJ368" i="2"/>
  <c r="BL368" i="2"/>
  <c r="AN368" i="2"/>
  <c r="L25" i="46"/>
  <c r="L14" i="46"/>
  <c r="L34" i="46"/>
  <c r="L33" i="46"/>
  <c r="L24" i="46"/>
  <c r="L13" i="46"/>
  <c r="L23" i="46"/>
  <c r="L32" i="46"/>
  <c r="L22" i="46"/>
  <c r="L20" i="46"/>
  <c r="L19" i="46"/>
  <c r="L30" i="46"/>
  <c r="L31" i="46" s="1"/>
  <c r="L18" i="46"/>
  <c r="L39" i="46"/>
  <c r="L17" i="46"/>
  <c r="L11" i="46"/>
  <c r="L38" i="46"/>
  <c r="L16" i="46"/>
  <c r="L10" i="46"/>
  <c r="L15" i="46"/>
  <c r="L21" i="46"/>
  <c r="L8" i="46"/>
  <c r="L9" i="46"/>
  <c r="B4" i="47"/>
  <c r="M6" i="46"/>
  <c r="W367" i="2"/>
  <c r="B368" i="2"/>
  <c r="AC369" i="2"/>
  <c r="AD369" i="2" s="1"/>
  <c r="G369" i="2"/>
  <c r="E369" i="2"/>
  <c r="D369" i="2"/>
  <c r="C370" i="2"/>
  <c r="V369" i="2"/>
  <c r="F368" i="2"/>
  <c r="AB368" i="2" s="1"/>
  <c r="L26" i="46" l="1"/>
  <c r="L57" i="46" s="1"/>
  <c r="DJ369" i="2"/>
  <c r="CL369" i="2"/>
  <c r="BN369" i="2"/>
  <c r="AP369" i="2"/>
  <c r="A369" i="2"/>
  <c r="DH369" i="2"/>
  <c r="CJ369" i="2"/>
  <c r="BL369" i="2"/>
  <c r="AN369" i="2"/>
  <c r="DF369" i="2"/>
  <c r="CH369" i="2"/>
  <c r="BJ369" i="2"/>
  <c r="AL369" i="2"/>
  <c r="S369" i="2"/>
  <c r="T369" i="2" s="1"/>
  <c r="EB369" i="2"/>
  <c r="DD369" i="2"/>
  <c r="CF369" i="2"/>
  <c r="BH369" i="2"/>
  <c r="AJ369" i="2"/>
  <c r="DZ369" i="2"/>
  <c r="DB369" i="2"/>
  <c r="CD369" i="2"/>
  <c r="BF369" i="2"/>
  <c r="AH369" i="2"/>
  <c r="DX369" i="2"/>
  <c r="CZ369" i="2"/>
  <c r="CB369" i="2"/>
  <c r="BD369" i="2"/>
  <c r="DV369" i="2"/>
  <c r="CX369" i="2"/>
  <c r="BZ369" i="2"/>
  <c r="BB369" i="2"/>
  <c r="DT369" i="2"/>
  <c r="CV369" i="2"/>
  <c r="BX369" i="2"/>
  <c r="AZ369" i="2"/>
  <c r="DR369" i="2"/>
  <c r="CT369" i="2"/>
  <c r="BV369" i="2"/>
  <c r="AX369" i="2"/>
  <c r="DP369" i="2"/>
  <c r="CR369" i="2"/>
  <c r="BT369" i="2"/>
  <c r="AV369" i="2"/>
  <c r="DN369" i="2"/>
  <c r="CP369" i="2"/>
  <c r="BR369" i="2"/>
  <c r="AT369" i="2"/>
  <c r="DL369" i="2"/>
  <c r="CN369" i="2"/>
  <c r="BP369" i="2"/>
  <c r="AR369" i="2"/>
  <c r="M34" i="46"/>
  <c r="N34" i="46" s="1"/>
  <c r="M33" i="46"/>
  <c r="N33" i="46" s="1"/>
  <c r="M24" i="46"/>
  <c r="N24" i="46" s="1"/>
  <c r="M13" i="46"/>
  <c r="N13" i="46" s="1"/>
  <c r="M23" i="46"/>
  <c r="N23" i="46" s="1"/>
  <c r="M32" i="46"/>
  <c r="N32" i="46" s="1"/>
  <c r="M22" i="46"/>
  <c r="N22" i="46" s="1"/>
  <c r="M20" i="46"/>
  <c r="N20" i="46" s="1"/>
  <c r="M19" i="46"/>
  <c r="N19" i="46" s="1"/>
  <c r="M30" i="46"/>
  <c r="N30" i="46" s="1"/>
  <c r="M18" i="46"/>
  <c r="N18" i="46" s="1"/>
  <c r="M39" i="46"/>
  <c r="N39" i="46" s="1"/>
  <c r="M17" i="46"/>
  <c r="N17" i="46" s="1"/>
  <c r="M11" i="46"/>
  <c r="N11" i="46" s="1"/>
  <c r="M38" i="46"/>
  <c r="N38" i="46" s="1"/>
  <c r="M16" i="46"/>
  <c r="N16" i="46" s="1"/>
  <c r="M10" i="46"/>
  <c r="N10" i="46" s="1"/>
  <c r="M15" i="46"/>
  <c r="N15" i="46" s="1"/>
  <c r="M25" i="46"/>
  <c r="N25" i="46" s="1"/>
  <c r="M14" i="46"/>
  <c r="N14" i="46" s="1"/>
  <c r="N6" i="46"/>
  <c r="M21" i="46"/>
  <c r="N21" i="46" s="1"/>
  <c r="C4" i="47"/>
  <c r="B6" i="47"/>
  <c r="B7" i="47" s="1"/>
  <c r="F369" i="2"/>
  <c r="AB369" i="2" s="1"/>
  <c r="W368" i="2"/>
  <c r="B369" i="2"/>
  <c r="M9" i="46"/>
  <c r="N9" i="46" s="1"/>
  <c r="M8" i="46"/>
  <c r="N8" i="46" s="1"/>
  <c r="V370" i="2"/>
  <c r="C371" i="2"/>
  <c r="G370" i="2"/>
  <c r="AC370" i="2"/>
  <c r="AD370" i="2" s="1"/>
  <c r="E370" i="2"/>
  <c r="D370" i="2"/>
  <c r="F370" i="2" s="1"/>
  <c r="AB370" i="2" s="1"/>
  <c r="L32" i="8"/>
  <c r="K32" i="9"/>
  <c r="M32" i="9"/>
  <c r="L32" i="9"/>
  <c r="O32" i="8"/>
  <c r="N32" i="9"/>
  <c r="F32" i="8"/>
  <c r="J32" i="9"/>
  <c r="G32" i="9"/>
  <c r="F32" i="9"/>
  <c r="I32" i="8"/>
  <c r="K32" i="8" l="1"/>
  <c r="N32" i="8"/>
  <c r="Q32" i="8"/>
  <c r="R32" i="8"/>
  <c r="S32" i="8" s="1"/>
  <c r="H32" i="8"/>
  <c r="G32" i="8"/>
  <c r="P32" i="8"/>
  <c r="M32" i="8"/>
  <c r="J32" i="8"/>
  <c r="O32" i="9"/>
  <c r="P32" i="9" s="1"/>
  <c r="B30" i="47"/>
  <c r="B31" i="47" s="1"/>
  <c r="B18" i="47"/>
  <c r="B39" i="47"/>
  <c r="B38" i="47"/>
  <c r="B16" i="47"/>
  <c r="B15" i="47"/>
  <c r="B25" i="47"/>
  <c r="B34" i="47"/>
  <c r="B33" i="47"/>
  <c r="B24" i="47"/>
  <c r="B23" i="47"/>
  <c r="B32" i="47"/>
  <c r="B21" i="47"/>
  <c r="B20" i="47"/>
  <c r="B13" i="47"/>
  <c r="B19" i="47"/>
  <c r="B14" i="47"/>
  <c r="B12" i="47"/>
  <c r="B11" i="47"/>
  <c r="B10" i="47"/>
  <c r="B17" i="47"/>
  <c r="M31" i="46"/>
  <c r="N31" i="46" s="1"/>
  <c r="D4" i="47"/>
  <c r="C6" i="47"/>
  <c r="DN370" i="2"/>
  <c r="CP370" i="2"/>
  <c r="BR370" i="2"/>
  <c r="AT370" i="2"/>
  <c r="DL370" i="2"/>
  <c r="CN370" i="2"/>
  <c r="BP370" i="2"/>
  <c r="AR370" i="2"/>
  <c r="A370" i="2"/>
  <c r="DJ370" i="2"/>
  <c r="CL370" i="2"/>
  <c r="BN370" i="2"/>
  <c r="AP370" i="2"/>
  <c r="DH370" i="2"/>
  <c r="CJ370" i="2"/>
  <c r="BL370" i="2"/>
  <c r="S370" i="2"/>
  <c r="T370" i="2" s="1"/>
  <c r="DF370" i="2"/>
  <c r="CH370" i="2"/>
  <c r="BJ370" i="2"/>
  <c r="AN370" i="2"/>
  <c r="EB370" i="2"/>
  <c r="DD370" i="2"/>
  <c r="CF370" i="2"/>
  <c r="BH370" i="2"/>
  <c r="AL370" i="2"/>
  <c r="DZ370" i="2"/>
  <c r="DB370" i="2"/>
  <c r="CD370" i="2"/>
  <c r="BF370" i="2"/>
  <c r="AJ370" i="2"/>
  <c r="DX370" i="2"/>
  <c r="CZ370" i="2"/>
  <c r="CB370" i="2"/>
  <c r="BD370" i="2"/>
  <c r="AH370" i="2"/>
  <c r="DV370" i="2"/>
  <c r="CX370" i="2"/>
  <c r="BZ370" i="2"/>
  <c r="BB370" i="2"/>
  <c r="DT370" i="2"/>
  <c r="CV370" i="2"/>
  <c r="BX370" i="2"/>
  <c r="AZ370" i="2"/>
  <c r="DR370" i="2"/>
  <c r="CT370" i="2"/>
  <c r="BV370" i="2"/>
  <c r="AX370" i="2"/>
  <c r="DP370" i="2"/>
  <c r="CR370" i="2"/>
  <c r="BT370" i="2"/>
  <c r="AV370" i="2"/>
  <c r="M26" i="46"/>
  <c r="AC371" i="2"/>
  <c r="AD371" i="2" s="1"/>
  <c r="E371" i="2"/>
  <c r="D371" i="2"/>
  <c r="V371" i="2"/>
  <c r="C372" i="2"/>
  <c r="G371" i="2"/>
  <c r="B8" i="47"/>
  <c r="B9" i="47"/>
  <c r="W369" i="2"/>
  <c r="B370" i="2"/>
  <c r="E32" i="9"/>
  <c r="B32" i="9"/>
  <c r="B32" i="8"/>
  <c r="E32" i="8"/>
  <c r="C9" i="47" l="1"/>
  <c r="N26" i="46"/>
  <c r="M57" i="46"/>
  <c r="G372" i="2"/>
  <c r="AC372" i="2"/>
  <c r="AD372" i="2" s="1"/>
  <c r="E372" i="2"/>
  <c r="D372" i="2"/>
  <c r="F372" i="2" s="1"/>
  <c r="AB372" i="2" s="1"/>
  <c r="V372" i="2"/>
  <c r="C373" i="2"/>
  <c r="C39" i="47"/>
  <c r="C17" i="47"/>
  <c r="C38" i="47"/>
  <c r="C15" i="47"/>
  <c r="C25" i="47"/>
  <c r="C14" i="47"/>
  <c r="C34" i="47"/>
  <c r="C33" i="47"/>
  <c r="C24" i="47"/>
  <c r="C23" i="47"/>
  <c r="C32" i="47"/>
  <c r="C22" i="47"/>
  <c r="C21" i="47"/>
  <c r="C20" i="47"/>
  <c r="C19" i="47"/>
  <c r="C12" i="47"/>
  <c r="C11" i="47"/>
  <c r="C10" i="47"/>
  <c r="C18" i="47"/>
  <c r="C30" i="47"/>
  <c r="C31" i="47" s="1"/>
  <c r="C16" i="47"/>
  <c r="C13" i="47"/>
  <c r="W370" i="2"/>
  <c r="B371" i="2"/>
  <c r="DV371" i="2"/>
  <c r="CX371" i="2"/>
  <c r="BZ371" i="2"/>
  <c r="BB371" i="2"/>
  <c r="DT371" i="2"/>
  <c r="CV371" i="2"/>
  <c r="BX371" i="2"/>
  <c r="AZ371" i="2"/>
  <c r="DR371" i="2"/>
  <c r="CT371" i="2"/>
  <c r="BV371" i="2"/>
  <c r="AX371" i="2"/>
  <c r="DP371" i="2"/>
  <c r="CR371" i="2"/>
  <c r="BT371" i="2"/>
  <c r="AV371" i="2"/>
  <c r="DN371" i="2"/>
  <c r="CP371" i="2"/>
  <c r="BR371" i="2"/>
  <c r="AT371" i="2"/>
  <c r="A371" i="2"/>
  <c r="DL371" i="2"/>
  <c r="CN371" i="2"/>
  <c r="BP371" i="2"/>
  <c r="AR371" i="2"/>
  <c r="DJ371" i="2"/>
  <c r="CL371" i="2"/>
  <c r="BN371" i="2"/>
  <c r="AP371" i="2"/>
  <c r="S371" i="2"/>
  <c r="T371" i="2" s="1"/>
  <c r="DH371" i="2"/>
  <c r="CJ371" i="2"/>
  <c r="BL371" i="2"/>
  <c r="AN371" i="2"/>
  <c r="DF371" i="2"/>
  <c r="CH371" i="2"/>
  <c r="BJ371" i="2"/>
  <c r="AL371" i="2"/>
  <c r="EB371" i="2"/>
  <c r="DD371" i="2"/>
  <c r="CF371" i="2"/>
  <c r="BH371" i="2"/>
  <c r="AJ371" i="2"/>
  <c r="DZ371" i="2"/>
  <c r="DB371" i="2"/>
  <c r="CD371" i="2"/>
  <c r="BF371" i="2"/>
  <c r="AH371" i="2"/>
  <c r="DX371" i="2"/>
  <c r="CZ371" i="2"/>
  <c r="CB371" i="2"/>
  <c r="BD371" i="2"/>
  <c r="E4" i="47"/>
  <c r="D6" i="47"/>
  <c r="D9" i="47" s="1"/>
  <c r="F371" i="2"/>
  <c r="AB371" i="2" s="1"/>
  <c r="C8" i="47"/>
  <c r="B26" i="47"/>
  <c r="F32" i="3"/>
  <c r="F32" i="12"/>
  <c r="F32" i="4"/>
  <c r="G32" i="10"/>
  <c r="C26" i="47" l="1"/>
  <c r="C57" i="47" s="1"/>
  <c r="H32" i="12"/>
  <c r="G32" i="12"/>
  <c r="G32" i="3"/>
  <c r="H32" i="3"/>
  <c r="D8" i="47"/>
  <c r="F4" i="47"/>
  <c r="E6" i="47"/>
  <c r="D38" i="47"/>
  <c r="D16" i="47"/>
  <c r="D25" i="47"/>
  <c r="D14" i="47"/>
  <c r="D34" i="47"/>
  <c r="D33" i="47"/>
  <c r="D24" i="47"/>
  <c r="D23" i="47"/>
  <c r="D32" i="47"/>
  <c r="D22" i="47"/>
  <c r="D20" i="47"/>
  <c r="D19" i="47"/>
  <c r="D30" i="47"/>
  <c r="D31" i="47" s="1"/>
  <c r="D18" i="47"/>
  <c r="D15" i="47"/>
  <c r="D11" i="47"/>
  <c r="D10" i="47"/>
  <c r="D17" i="47"/>
  <c r="D39" i="47"/>
  <c r="D13" i="47"/>
  <c r="D21" i="47"/>
  <c r="N57" i="46"/>
  <c r="B57" i="47"/>
  <c r="B60" i="46"/>
  <c r="H60" i="46"/>
  <c r="B27" i="46"/>
  <c r="C27" i="46"/>
  <c r="D27" i="46"/>
  <c r="E27" i="46"/>
  <c r="F27" i="46"/>
  <c r="G27" i="46"/>
  <c r="H27" i="46"/>
  <c r="I27" i="46"/>
  <c r="J27" i="46"/>
  <c r="K27" i="46"/>
  <c r="L27" i="46"/>
  <c r="M27" i="46"/>
  <c r="C374" i="2"/>
  <c r="G373" i="2"/>
  <c r="AC373" i="2"/>
  <c r="AD373" i="2" s="1"/>
  <c r="E373" i="2"/>
  <c r="D373" i="2"/>
  <c r="V373" i="2"/>
  <c r="W371" i="2"/>
  <c r="B372" i="2"/>
  <c r="DF372" i="2"/>
  <c r="CH372" i="2"/>
  <c r="BJ372" i="2"/>
  <c r="AL372" i="2"/>
  <c r="EB372" i="2"/>
  <c r="DD372" i="2"/>
  <c r="CF372" i="2"/>
  <c r="BH372" i="2"/>
  <c r="AJ372" i="2"/>
  <c r="DZ372" i="2"/>
  <c r="DB372" i="2"/>
  <c r="CD372" i="2"/>
  <c r="BF372" i="2"/>
  <c r="AH372" i="2"/>
  <c r="DX372" i="2"/>
  <c r="CZ372" i="2"/>
  <c r="CB372" i="2"/>
  <c r="BD372" i="2"/>
  <c r="DV372" i="2"/>
  <c r="CX372" i="2"/>
  <c r="BZ372" i="2"/>
  <c r="BB372" i="2"/>
  <c r="DT372" i="2"/>
  <c r="CV372" i="2"/>
  <c r="BX372" i="2"/>
  <c r="AZ372" i="2"/>
  <c r="DR372" i="2"/>
  <c r="CT372" i="2"/>
  <c r="BV372" i="2"/>
  <c r="AX372" i="2"/>
  <c r="DP372" i="2"/>
  <c r="CR372" i="2"/>
  <c r="BT372" i="2"/>
  <c r="AV372" i="2"/>
  <c r="DN372" i="2"/>
  <c r="CP372" i="2"/>
  <c r="BR372" i="2"/>
  <c r="AT372" i="2"/>
  <c r="A372" i="2"/>
  <c r="DL372" i="2"/>
  <c r="CN372" i="2"/>
  <c r="BP372" i="2"/>
  <c r="AR372" i="2"/>
  <c r="DJ372" i="2"/>
  <c r="CL372" i="2"/>
  <c r="BN372" i="2"/>
  <c r="AP372" i="2"/>
  <c r="S372" i="2"/>
  <c r="T372" i="2" s="1"/>
  <c r="DH372" i="2"/>
  <c r="CJ372" i="2"/>
  <c r="BL372" i="2"/>
  <c r="AN372" i="2"/>
  <c r="H32" i="4"/>
  <c r="E32" i="3"/>
  <c r="B32" i="4"/>
  <c r="E32" i="4"/>
  <c r="J32" i="4"/>
  <c r="F32" i="10"/>
  <c r="C32" i="10"/>
  <c r="O32" i="3"/>
  <c r="G32" i="4"/>
  <c r="K32" i="4"/>
  <c r="B32" i="12"/>
  <c r="E32" i="12"/>
  <c r="I32" i="4"/>
  <c r="B32" i="3"/>
  <c r="F373" i="2" l="1"/>
  <c r="AB373" i="2" s="1"/>
  <c r="B32" i="5"/>
  <c r="C32" i="3"/>
  <c r="B32" i="7"/>
  <c r="B32" i="6"/>
  <c r="C32" i="4"/>
  <c r="E32" i="5"/>
  <c r="E32" i="7"/>
  <c r="E32" i="6"/>
  <c r="O32" i="4"/>
  <c r="P32" i="4" s="1"/>
  <c r="AM32" i="11" s="1"/>
  <c r="D28" i="46"/>
  <c r="D58" i="46" s="1"/>
  <c r="D59" i="46" s="1"/>
  <c r="DN373" i="2"/>
  <c r="CP373" i="2"/>
  <c r="BR373" i="2"/>
  <c r="AT373" i="2"/>
  <c r="A373" i="2"/>
  <c r="DL373" i="2"/>
  <c r="CN373" i="2"/>
  <c r="BP373" i="2"/>
  <c r="AR373" i="2"/>
  <c r="DJ373" i="2"/>
  <c r="CL373" i="2"/>
  <c r="BN373" i="2"/>
  <c r="AP373" i="2"/>
  <c r="S373" i="2"/>
  <c r="T373" i="2" s="1"/>
  <c r="DH373" i="2"/>
  <c r="CJ373" i="2"/>
  <c r="BL373" i="2"/>
  <c r="AN373" i="2"/>
  <c r="DF373" i="2"/>
  <c r="CH373" i="2"/>
  <c r="BJ373" i="2"/>
  <c r="AL373" i="2"/>
  <c r="EB373" i="2"/>
  <c r="DD373" i="2"/>
  <c r="CF373" i="2"/>
  <c r="BH373" i="2"/>
  <c r="AJ373" i="2"/>
  <c r="DZ373" i="2"/>
  <c r="DB373" i="2"/>
  <c r="CD373" i="2"/>
  <c r="BF373" i="2"/>
  <c r="AH373" i="2"/>
  <c r="DX373" i="2"/>
  <c r="CZ373" i="2"/>
  <c r="CB373" i="2"/>
  <c r="BD373" i="2"/>
  <c r="DV373" i="2"/>
  <c r="CX373" i="2"/>
  <c r="BZ373" i="2"/>
  <c r="BB373" i="2"/>
  <c r="DT373" i="2"/>
  <c r="CV373" i="2"/>
  <c r="BX373" i="2"/>
  <c r="AZ373" i="2"/>
  <c r="DR373" i="2"/>
  <c r="CT373" i="2"/>
  <c r="BV373" i="2"/>
  <c r="AX373" i="2"/>
  <c r="DP373" i="2"/>
  <c r="CR373" i="2"/>
  <c r="BT373" i="2"/>
  <c r="AV373" i="2"/>
  <c r="C28" i="46"/>
  <c r="C58" i="46" s="1"/>
  <c r="C59" i="46" s="1"/>
  <c r="D26" i="47"/>
  <c r="N27" i="46"/>
  <c r="B28" i="46"/>
  <c r="B58" i="46" s="1"/>
  <c r="M28" i="46"/>
  <c r="M58" i="46" s="1"/>
  <c r="M59" i="46" s="1"/>
  <c r="L28" i="46"/>
  <c r="L58" i="46" s="1"/>
  <c r="L59" i="46" s="1"/>
  <c r="AC374" i="2"/>
  <c r="AD374" i="2" s="1"/>
  <c r="E374" i="2"/>
  <c r="D374" i="2"/>
  <c r="F374" i="2" s="1"/>
  <c r="AB374" i="2" s="1"/>
  <c r="V374" i="2"/>
  <c r="C375" i="2"/>
  <c r="G374" i="2"/>
  <c r="K28" i="46"/>
  <c r="K58" i="46" s="1"/>
  <c r="K59" i="46" s="1"/>
  <c r="J28" i="46"/>
  <c r="J58" i="46" s="1"/>
  <c r="J59" i="46" s="1"/>
  <c r="E15" i="47"/>
  <c r="E25" i="47"/>
  <c r="E14" i="47"/>
  <c r="E34" i="47"/>
  <c r="E33" i="47"/>
  <c r="E24" i="47"/>
  <c r="E23" i="47"/>
  <c r="E32" i="47"/>
  <c r="E22" i="47"/>
  <c r="E20" i="47"/>
  <c r="E19" i="47"/>
  <c r="E30" i="47"/>
  <c r="E18" i="47"/>
  <c r="E39" i="47"/>
  <c r="E17" i="47"/>
  <c r="E11" i="47"/>
  <c r="E10" i="47"/>
  <c r="E16" i="47"/>
  <c r="E13" i="47"/>
  <c r="E38" i="47"/>
  <c r="E21" i="47"/>
  <c r="I28" i="46"/>
  <c r="I58" i="46" s="1"/>
  <c r="I59" i="46" s="1"/>
  <c r="H28" i="46"/>
  <c r="H58" i="46" s="1"/>
  <c r="H59" i="46" s="1"/>
  <c r="G4" i="47"/>
  <c r="F6" i="47"/>
  <c r="F8" i="47" s="1"/>
  <c r="G28" i="46"/>
  <c r="E8" i="47"/>
  <c r="F28" i="46"/>
  <c r="F58" i="46" s="1"/>
  <c r="F59" i="46" s="1"/>
  <c r="E9" i="47"/>
  <c r="W372" i="2"/>
  <c r="B373" i="2"/>
  <c r="E28" i="46"/>
  <c r="E58" i="46" s="1"/>
  <c r="E59" i="46" s="1"/>
  <c r="H32" i="10"/>
  <c r="I32" i="10" l="1"/>
  <c r="J32" i="10"/>
  <c r="K32" i="10" s="1"/>
  <c r="G58" i="46"/>
  <c r="G59" i="46" s="1"/>
  <c r="E26" i="47"/>
  <c r="DV374" i="2"/>
  <c r="CX374" i="2"/>
  <c r="BZ374" i="2"/>
  <c r="BB374" i="2"/>
  <c r="DT374" i="2"/>
  <c r="CV374" i="2"/>
  <c r="BX374" i="2"/>
  <c r="AZ374" i="2"/>
  <c r="DR374" i="2"/>
  <c r="CT374" i="2"/>
  <c r="BV374" i="2"/>
  <c r="AX374" i="2"/>
  <c r="DP374" i="2"/>
  <c r="CR374" i="2"/>
  <c r="BT374" i="2"/>
  <c r="AV374" i="2"/>
  <c r="DN374" i="2"/>
  <c r="CP374" i="2"/>
  <c r="BR374" i="2"/>
  <c r="AT374" i="2"/>
  <c r="A374" i="2"/>
  <c r="DL374" i="2"/>
  <c r="CN374" i="2"/>
  <c r="BP374" i="2"/>
  <c r="AR374" i="2"/>
  <c r="DJ374" i="2"/>
  <c r="CL374" i="2"/>
  <c r="BN374" i="2"/>
  <c r="AP374" i="2"/>
  <c r="S374" i="2"/>
  <c r="T374" i="2" s="1"/>
  <c r="DH374" i="2"/>
  <c r="CJ374" i="2"/>
  <c r="BL374" i="2"/>
  <c r="AN374" i="2"/>
  <c r="DF374" i="2"/>
  <c r="CH374" i="2"/>
  <c r="BJ374" i="2"/>
  <c r="AL374" i="2"/>
  <c r="EB374" i="2"/>
  <c r="DD374" i="2"/>
  <c r="CF374" i="2"/>
  <c r="BH374" i="2"/>
  <c r="AJ374" i="2"/>
  <c r="DZ374" i="2"/>
  <c r="DB374" i="2"/>
  <c r="CD374" i="2"/>
  <c r="BF374" i="2"/>
  <c r="AH374" i="2"/>
  <c r="DX374" i="2"/>
  <c r="CZ374" i="2"/>
  <c r="CB374" i="2"/>
  <c r="BD374" i="2"/>
  <c r="G375" i="2"/>
  <c r="AC375" i="2"/>
  <c r="AD375" i="2" s="1"/>
  <c r="E375" i="2"/>
  <c r="D375" i="2"/>
  <c r="V375" i="2"/>
  <c r="C376" i="2"/>
  <c r="W373" i="2"/>
  <c r="B374" i="2"/>
  <c r="B59" i="46"/>
  <c r="H4" i="47"/>
  <c r="G6" i="47"/>
  <c r="G9" i="47" s="1"/>
  <c r="E31" i="47"/>
  <c r="N28" i="46"/>
  <c r="D57" i="47"/>
  <c r="D32" i="11"/>
  <c r="AG32" i="11" s="1"/>
  <c r="D32" i="5"/>
  <c r="D32" i="6" s="1"/>
  <c r="F34" i="47"/>
  <c r="F33" i="47"/>
  <c r="F24" i="47"/>
  <c r="F23" i="47"/>
  <c r="F32" i="47"/>
  <c r="F22" i="47"/>
  <c r="F20" i="47"/>
  <c r="F19" i="47"/>
  <c r="F30" i="47"/>
  <c r="F31" i="47" s="1"/>
  <c r="F18" i="47"/>
  <c r="F39" i="47"/>
  <c r="F17" i="47"/>
  <c r="F38" i="47"/>
  <c r="F16" i="47"/>
  <c r="F11" i="47"/>
  <c r="F10" i="47"/>
  <c r="F25" i="47"/>
  <c r="F14" i="47"/>
  <c r="F13" i="47"/>
  <c r="F15" i="47"/>
  <c r="F21" i="47"/>
  <c r="F9" i="47"/>
  <c r="N58" i="46" l="1"/>
  <c r="N59" i="46" s="1"/>
  <c r="F60" i="46" s="1"/>
  <c r="I60" i="46" s="1"/>
  <c r="L32" i="11"/>
  <c r="M32" i="11"/>
  <c r="AK32" i="11"/>
  <c r="Z32" i="11"/>
  <c r="P32" i="11"/>
  <c r="AB32" i="11"/>
  <c r="Y32" i="11"/>
  <c r="AC32" i="11"/>
  <c r="F26" i="47"/>
  <c r="F57" i="47" s="1"/>
  <c r="R32" i="11"/>
  <c r="AF32" i="11"/>
  <c r="J32" i="11"/>
  <c r="V32" i="11"/>
  <c r="DF375" i="2"/>
  <c r="CH375" i="2"/>
  <c r="BJ375" i="2"/>
  <c r="AL375" i="2"/>
  <c r="EB375" i="2"/>
  <c r="DD375" i="2"/>
  <c r="CF375" i="2"/>
  <c r="BH375" i="2"/>
  <c r="AJ375" i="2"/>
  <c r="DZ375" i="2"/>
  <c r="DB375" i="2"/>
  <c r="CD375" i="2"/>
  <c r="BF375" i="2"/>
  <c r="AH375" i="2"/>
  <c r="DX375" i="2"/>
  <c r="CZ375" i="2"/>
  <c r="CB375" i="2"/>
  <c r="BD375" i="2"/>
  <c r="DV375" i="2"/>
  <c r="CX375" i="2"/>
  <c r="BZ375" i="2"/>
  <c r="BB375" i="2"/>
  <c r="DT375" i="2"/>
  <c r="CV375" i="2"/>
  <c r="BX375" i="2"/>
  <c r="AZ375" i="2"/>
  <c r="DR375" i="2"/>
  <c r="CT375" i="2"/>
  <c r="BV375" i="2"/>
  <c r="AX375" i="2"/>
  <c r="DP375" i="2"/>
  <c r="CR375" i="2"/>
  <c r="BT375" i="2"/>
  <c r="AV375" i="2"/>
  <c r="DN375" i="2"/>
  <c r="CP375" i="2"/>
  <c r="BR375" i="2"/>
  <c r="AT375" i="2"/>
  <c r="A375" i="2"/>
  <c r="DL375" i="2"/>
  <c r="CN375" i="2"/>
  <c r="BP375" i="2"/>
  <c r="AR375" i="2"/>
  <c r="DJ375" i="2"/>
  <c r="CL375" i="2"/>
  <c r="BN375" i="2"/>
  <c r="AP375" i="2"/>
  <c r="S375" i="2"/>
  <c r="T375" i="2" s="1"/>
  <c r="DH375" i="2"/>
  <c r="CJ375" i="2"/>
  <c r="BL375" i="2"/>
  <c r="AN375" i="2"/>
  <c r="AH32" i="11"/>
  <c r="N32" i="11"/>
  <c r="AD32" i="11"/>
  <c r="K32" i="11"/>
  <c r="AL32" i="11"/>
  <c r="S32" i="11"/>
  <c r="W32" i="11"/>
  <c r="O32" i="11"/>
  <c r="AE32" i="11"/>
  <c r="AI32" i="11"/>
  <c r="AA32" i="11"/>
  <c r="D32" i="7"/>
  <c r="D32" i="8" s="1"/>
  <c r="D32" i="9" s="1"/>
  <c r="D32" i="10" s="1"/>
  <c r="C32" i="12" s="1"/>
  <c r="R32" i="6"/>
  <c r="T32" i="11"/>
  <c r="C377" i="2"/>
  <c r="G376" i="2"/>
  <c r="AC376" i="2"/>
  <c r="AD376" i="2" s="1"/>
  <c r="E376" i="2"/>
  <c r="D376" i="2"/>
  <c r="V376" i="2"/>
  <c r="G25" i="47"/>
  <c r="G14" i="47"/>
  <c r="G34" i="47"/>
  <c r="G33" i="47"/>
  <c r="G24" i="47"/>
  <c r="G13" i="47"/>
  <c r="G23" i="47"/>
  <c r="G32" i="47"/>
  <c r="G22" i="47"/>
  <c r="G20" i="47"/>
  <c r="G19" i="47"/>
  <c r="G30" i="47"/>
  <c r="G31" i="47" s="1"/>
  <c r="G18" i="47"/>
  <c r="G39" i="47"/>
  <c r="G17" i="47"/>
  <c r="G38" i="47"/>
  <c r="G16" i="47"/>
  <c r="G15" i="47"/>
  <c r="G10" i="47"/>
  <c r="G11" i="47"/>
  <c r="G21" i="47"/>
  <c r="W374" i="2"/>
  <c r="B375" i="2"/>
  <c r="E57" i="47"/>
  <c r="X32" i="11"/>
  <c r="U32" i="11"/>
  <c r="I4" i="47"/>
  <c r="H6" i="47"/>
  <c r="H7" i="47" s="1"/>
  <c r="F375" i="2"/>
  <c r="AB375" i="2" s="1"/>
  <c r="AJ32" i="11"/>
  <c r="Q32" i="11"/>
  <c r="G8" i="47"/>
  <c r="G60" i="46" l="1"/>
  <c r="G26" i="47"/>
  <c r="G57" i="47" s="1"/>
  <c r="G32" i="11"/>
  <c r="H32" i="11" s="1"/>
  <c r="DN376" i="2"/>
  <c r="CP376" i="2"/>
  <c r="BR376" i="2"/>
  <c r="AT376" i="2"/>
  <c r="A376" i="2"/>
  <c r="DL376" i="2"/>
  <c r="CN376" i="2"/>
  <c r="BP376" i="2"/>
  <c r="AR376" i="2"/>
  <c r="DJ376" i="2"/>
  <c r="CL376" i="2"/>
  <c r="BN376" i="2"/>
  <c r="AP376" i="2"/>
  <c r="S376" i="2"/>
  <c r="T376" i="2" s="1"/>
  <c r="DH376" i="2"/>
  <c r="CJ376" i="2"/>
  <c r="BL376" i="2"/>
  <c r="AN376" i="2"/>
  <c r="DF376" i="2"/>
  <c r="CH376" i="2"/>
  <c r="BJ376" i="2"/>
  <c r="AL376" i="2"/>
  <c r="EB376" i="2"/>
  <c r="DD376" i="2"/>
  <c r="CF376" i="2"/>
  <c r="BH376" i="2"/>
  <c r="AJ376" i="2"/>
  <c r="DZ376" i="2"/>
  <c r="DB376" i="2"/>
  <c r="CD376" i="2"/>
  <c r="BF376" i="2"/>
  <c r="AH376" i="2"/>
  <c r="DX376" i="2"/>
  <c r="CZ376" i="2"/>
  <c r="CB376" i="2"/>
  <c r="BD376" i="2"/>
  <c r="DV376" i="2"/>
  <c r="CX376" i="2"/>
  <c r="BZ376" i="2"/>
  <c r="BB376" i="2"/>
  <c r="DT376" i="2"/>
  <c r="CV376" i="2"/>
  <c r="BX376" i="2"/>
  <c r="AZ376" i="2"/>
  <c r="DR376" i="2"/>
  <c r="CT376" i="2"/>
  <c r="BV376" i="2"/>
  <c r="AX376" i="2"/>
  <c r="DP376" i="2"/>
  <c r="CR376" i="2"/>
  <c r="BT376" i="2"/>
  <c r="AV376" i="2"/>
  <c r="AC377" i="2"/>
  <c r="AD377" i="2" s="1"/>
  <c r="E377" i="2"/>
  <c r="D377" i="2"/>
  <c r="F377" i="2" s="1"/>
  <c r="AB377" i="2" s="1"/>
  <c r="V377" i="2"/>
  <c r="C378" i="2"/>
  <c r="G377" i="2"/>
  <c r="H34" i="47"/>
  <c r="H33" i="47"/>
  <c r="H23" i="47"/>
  <c r="H32" i="47"/>
  <c r="H22" i="47"/>
  <c r="H20" i="47"/>
  <c r="H19" i="47"/>
  <c r="H30" i="47"/>
  <c r="H31" i="47" s="1"/>
  <c r="H18" i="47"/>
  <c r="H39" i="47"/>
  <c r="H17" i="47"/>
  <c r="H38" i="47"/>
  <c r="H16" i="47"/>
  <c r="H15" i="47"/>
  <c r="H25" i="47"/>
  <c r="H14" i="47"/>
  <c r="H24" i="47"/>
  <c r="H13" i="47"/>
  <c r="N7" i="47"/>
  <c r="H11" i="47"/>
  <c r="H10" i="47"/>
  <c r="H21" i="47"/>
  <c r="J4" i="47"/>
  <c r="I6" i="47"/>
  <c r="H8" i="47"/>
  <c r="H9" i="47"/>
  <c r="W375" i="2"/>
  <c r="B376" i="2"/>
  <c r="F376" i="2"/>
  <c r="AB376" i="2" s="1"/>
  <c r="C32" i="11" l="1"/>
  <c r="E32" i="11" s="1"/>
  <c r="DV377" i="2"/>
  <c r="CX377" i="2"/>
  <c r="BZ377" i="2"/>
  <c r="BB377" i="2"/>
  <c r="DT377" i="2"/>
  <c r="CV377" i="2"/>
  <c r="BX377" i="2"/>
  <c r="AZ377" i="2"/>
  <c r="DR377" i="2"/>
  <c r="CT377" i="2"/>
  <c r="BV377" i="2"/>
  <c r="AX377" i="2"/>
  <c r="DP377" i="2"/>
  <c r="CR377" i="2"/>
  <c r="BT377" i="2"/>
  <c r="AV377" i="2"/>
  <c r="DN377" i="2"/>
  <c r="CP377" i="2"/>
  <c r="BR377" i="2"/>
  <c r="AT377" i="2"/>
  <c r="A377" i="2"/>
  <c r="DL377" i="2"/>
  <c r="CN377" i="2"/>
  <c r="BP377" i="2"/>
  <c r="AR377" i="2"/>
  <c r="DJ377" i="2"/>
  <c r="CL377" i="2"/>
  <c r="BN377" i="2"/>
  <c r="AP377" i="2"/>
  <c r="S377" i="2"/>
  <c r="T377" i="2" s="1"/>
  <c r="DH377" i="2"/>
  <c r="CJ377" i="2"/>
  <c r="BL377" i="2"/>
  <c r="AN377" i="2"/>
  <c r="DF377" i="2"/>
  <c r="CH377" i="2"/>
  <c r="BJ377" i="2"/>
  <c r="AL377" i="2"/>
  <c r="EB377" i="2"/>
  <c r="DD377" i="2"/>
  <c r="CF377" i="2"/>
  <c r="BH377" i="2"/>
  <c r="AJ377" i="2"/>
  <c r="DZ377" i="2"/>
  <c r="DB377" i="2"/>
  <c r="CD377" i="2"/>
  <c r="BF377" i="2"/>
  <c r="AH377" i="2"/>
  <c r="DX377" i="2"/>
  <c r="CZ377" i="2"/>
  <c r="CB377" i="2"/>
  <c r="BD377" i="2"/>
  <c r="G378" i="2"/>
  <c r="AC378" i="2"/>
  <c r="AD378" i="2" s="1"/>
  <c r="E378" i="2"/>
  <c r="D378" i="2"/>
  <c r="V378" i="2"/>
  <c r="C379" i="2"/>
  <c r="I33" i="47"/>
  <c r="I24" i="47"/>
  <c r="I32" i="47"/>
  <c r="I22" i="47"/>
  <c r="I20" i="47"/>
  <c r="I19" i="47"/>
  <c r="I30" i="47"/>
  <c r="I31" i="47" s="1"/>
  <c r="I18" i="47"/>
  <c r="I39" i="47"/>
  <c r="I17" i="47"/>
  <c r="I38" i="47"/>
  <c r="I16" i="47"/>
  <c r="I15" i="47"/>
  <c r="I25" i="47"/>
  <c r="I14" i="47"/>
  <c r="I34" i="47"/>
  <c r="I23" i="47"/>
  <c r="I13" i="47"/>
  <c r="I11" i="47"/>
  <c r="I10" i="47"/>
  <c r="I21" i="47"/>
  <c r="I9" i="47"/>
  <c r="H26" i="47"/>
  <c r="W376" i="2"/>
  <c r="B377" i="2"/>
  <c r="K4" i="47"/>
  <c r="J6" i="47"/>
  <c r="I8" i="47"/>
  <c r="I26" i="47" l="1"/>
  <c r="I57" i="47" s="1"/>
  <c r="C380" i="2"/>
  <c r="G379" i="2"/>
  <c r="AC379" i="2"/>
  <c r="AD379" i="2" s="1"/>
  <c r="E379" i="2"/>
  <c r="D379" i="2"/>
  <c r="V379" i="2"/>
  <c r="W377" i="2"/>
  <c r="B378" i="2"/>
  <c r="F378" i="2"/>
  <c r="AB378" i="2" s="1"/>
  <c r="J23" i="47"/>
  <c r="J32" i="47"/>
  <c r="J20" i="47"/>
  <c r="J19" i="47"/>
  <c r="J30" i="47"/>
  <c r="J31" i="47" s="1"/>
  <c r="J18" i="47"/>
  <c r="J39" i="47"/>
  <c r="J17" i="47"/>
  <c r="J38" i="47"/>
  <c r="J16" i="47"/>
  <c r="J15" i="47"/>
  <c r="J25" i="47"/>
  <c r="J14" i="47"/>
  <c r="J34" i="47"/>
  <c r="J12" i="47"/>
  <c r="J33" i="47"/>
  <c r="J24" i="47"/>
  <c r="J13" i="47"/>
  <c r="J22" i="47"/>
  <c r="J11" i="47"/>
  <c r="J10" i="47"/>
  <c r="J21" i="47"/>
  <c r="J8" i="47"/>
  <c r="J9" i="47"/>
  <c r="H57" i="47"/>
  <c r="L4" i="47"/>
  <c r="K6" i="47"/>
  <c r="DF378" i="2"/>
  <c r="CH378" i="2"/>
  <c r="BJ378" i="2"/>
  <c r="AL378" i="2"/>
  <c r="EB378" i="2"/>
  <c r="DD378" i="2"/>
  <c r="CF378" i="2"/>
  <c r="BH378" i="2"/>
  <c r="AJ378" i="2"/>
  <c r="DZ378" i="2"/>
  <c r="DB378" i="2"/>
  <c r="CD378" i="2"/>
  <c r="BF378" i="2"/>
  <c r="AH378" i="2"/>
  <c r="DX378" i="2"/>
  <c r="CZ378" i="2"/>
  <c r="CB378" i="2"/>
  <c r="BD378" i="2"/>
  <c r="DV378" i="2"/>
  <c r="CX378" i="2"/>
  <c r="BZ378" i="2"/>
  <c r="BB378" i="2"/>
  <c r="DT378" i="2"/>
  <c r="CV378" i="2"/>
  <c r="BX378" i="2"/>
  <c r="AZ378" i="2"/>
  <c r="DR378" i="2"/>
  <c r="CT378" i="2"/>
  <c r="BV378" i="2"/>
  <c r="AX378" i="2"/>
  <c r="DP378" i="2"/>
  <c r="CR378" i="2"/>
  <c r="BT378" i="2"/>
  <c r="AV378" i="2"/>
  <c r="DN378" i="2"/>
  <c r="CP378" i="2"/>
  <c r="BR378" i="2"/>
  <c r="AT378" i="2"/>
  <c r="A378" i="2"/>
  <c r="DL378" i="2"/>
  <c r="CN378" i="2"/>
  <c r="BP378" i="2"/>
  <c r="AR378" i="2"/>
  <c r="DJ378" i="2"/>
  <c r="CL378" i="2"/>
  <c r="BN378" i="2"/>
  <c r="AP378" i="2"/>
  <c r="S378" i="2"/>
  <c r="T378" i="2" s="1"/>
  <c r="DH378" i="2"/>
  <c r="CJ378" i="2"/>
  <c r="BL378" i="2"/>
  <c r="AN378" i="2"/>
  <c r="F379" i="2" l="1"/>
  <c r="AB379" i="2" s="1"/>
  <c r="J26" i="47"/>
  <c r="J57" i="47" s="1"/>
  <c r="M4" i="47"/>
  <c r="L6" i="47"/>
  <c r="W378" i="2"/>
  <c r="B379" i="2"/>
  <c r="DN379" i="2"/>
  <c r="CP379" i="2"/>
  <c r="BR379" i="2"/>
  <c r="AT379" i="2"/>
  <c r="A379" i="2"/>
  <c r="DL379" i="2"/>
  <c r="CN379" i="2"/>
  <c r="BP379" i="2"/>
  <c r="AR379" i="2"/>
  <c r="DJ379" i="2"/>
  <c r="CL379" i="2"/>
  <c r="BN379" i="2"/>
  <c r="AP379" i="2"/>
  <c r="S379" i="2"/>
  <c r="T379" i="2" s="1"/>
  <c r="DH379" i="2"/>
  <c r="CJ379" i="2"/>
  <c r="BL379" i="2"/>
  <c r="AN379" i="2"/>
  <c r="DF379" i="2"/>
  <c r="CH379" i="2"/>
  <c r="BJ379" i="2"/>
  <c r="AL379" i="2"/>
  <c r="EB379" i="2"/>
  <c r="DD379" i="2"/>
  <c r="CF379" i="2"/>
  <c r="BH379" i="2"/>
  <c r="AJ379" i="2"/>
  <c r="DZ379" i="2"/>
  <c r="DB379" i="2"/>
  <c r="CD379" i="2"/>
  <c r="BF379" i="2"/>
  <c r="AH379" i="2"/>
  <c r="DX379" i="2"/>
  <c r="CZ379" i="2"/>
  <c r="CB379" i="2"/>
  <c r="BD379" i="2"/>
  <c r="DV379" i="2"/>
  <c r="CX379" i="2"/>
  <c r="BZ379" i="2"/>
  <c r="BB379" i="2"/>
  <c r="DT379" i="2"/>
  <c r="CV379" i="2"/>
  <c r="BX379" i="2"/>
  <c r="AZ379" i="2"/>
  <c r="DR379" i="2"/>
  <c r="CT379" i="2"/>
  <c r="BV379" i="2"/>
  <c r="AX379" i="2"/>
  <c r="DP379" i="2"/>
  <c r="CR379" i="2"/>
  <c r="BT379" i="2"/>
  <c r="AV379" i="2"/>
  <c r="K32" i="47"/>
  <c r="K22" i="47"/>
  <c r="K19" i="47"/>
  <c r="K30" i="47"/>
  <c r="K31" i="47" s="1"/>
  <c r="K18" i="47"/>
  <c r="K39" i="47"/>
  <c r="K17" i="47"/>
  <c r="K38" i="47"/>
  <c r="K16" i="47"/>
  <c r="K15" i="47"/>
  <c r="K25" i="47"/>
  <c r="K14" i="47"/>
  <c r="K34" i="47"/>
  <c r="K12" i="47"/>
  <c r="N12" i="47" s="1"/>
  <c r="K33" i="47"/>
  <c r="K24" i="47"/>
  <c r="K20" i="47"/>
  <c r="K13" i="47"/>
  <c r="K23" i="47"/>
  <c r="K11" i="47"/>
  <c r="K10" i="47"/>
  <c r="K21" i="47"/>
  <c r="AC380" i="2"/>
  <c r="AD380" i="2" s="1"/>
  <c r="E380" i="2"/>
  <c r="D380" i="2"/>
  <c r="V380" i="2"/>
  <c r="C381" i="2"/>
  <c r="G380" i="2"/>
  <c r="K8" i="47"/>
  <c r="K9" i="47"/>
  <c r="H33" i="9"/>
  <c r="I33" i="9"/>
  <c r="K26" i="47" l="1"/>
  <c r="K57" i="47" s="1"/>
  <c r="L20" i="47"/>
  <c r="L30" i="47"/>
  <c r="L31" i="47" s="1"/>
  <c r="L18" i="47"/>
  <c r="L39" i="47"/>
  <c r="L17" i="47"/>
  <c r="L38" i="47"/>
  <c r="L16" i="47"/>
  <c r="L15" i="47"/>
  <c r="L25" i="47"/>
  <c r="L14" i="47"/>
  <c r="L34" i="47"/>
  <c r="L33" i="47"/>
  <c r="L24" i="47"/>
  <c r="L13" i="47"/>
  <c r="L23" i="47"/>
  <c r="L19" i="47"/>
  <c r="L32" i="47"/>
  <c r="L11" i="47"/>
  <c r="L22" i="47"/>
  <c r="L10" i="47"/>
  <c r="L21" i="47"/>
  <c r="L8" i="47"/>
  <c r="L9" i="47"/>
  <c r="B4" i="48"/>
  <c r="M6" i="47"/>
  <c r="M9" i="47" s="1"/>
  <c r="DV380" i="2"/>
  <c r="CX380" i="2"/>
  <c r="BZ380" i="2"/>
  <c r="BB380" i="2"/>
  <c r="DT380" i="2"/>
  <c r="CV380" i="2"/>
  <c r="BX380" i="2"/>
  <c r="AZ380" i="2"/>
  <c r="DR380" i="2"/>
  <c r="CT380" i="2"/>
  <c r="BV380" i="2"/>
  <c r="AX380" i="2"/>
  <c r="DP380" i="2"/>
  <c r="CR380" i="2"/>
  <c r="BT380" i="2"/>
  <c r="AV380" i="2"/>
  <c r="DN380" i="2"/>
  <c r="CP380" i="2"/>
  <c r="BR380" i="2"/>
  <c r="AT380" i="2"/>
  <c r="A380" i="2"/>
  <c r="DL380" i="2"/>
  <c r="CN380" i="2"/>
  <c r="BP380" i="2"/>
  <c r="AR380" i="2"/>
  <c r="DJ380" i="2"/>
  <c r="CL380" i="2"/>
  <c r="BN380" i="2"/>
  <c r="AP380" i="2"/>
  <c r="S380" i="2"/>
  <c r="T380" i="2" s="1"/>
  <c r="DH380" i="2"/>
  <c r="CJ380" i="2"/>
  <c r="BL380" i="2"/>
  <c r="AN380" i="2"/>
  <c r="DF380" i="2"/>
  <c r="CH380" i="2"/>
  <c r="BJ380" i="2"/>
  <c r="AL380" i="2"/>
  <c r="EB380" i="2"/>
  <c r="DD380" i="2"/>
  <c r="CF380" i="2"/>
  <c r="BH380" i="2"/>
  <c r="AJ380" i="2"/>
  <c r="DZ380" i="2"/>
  <c r="DB380" i="2"/>
  <c r="CD380" i="2"/>
  <c r="BF380" i="2"/>
  <c r="AH380" i="2"/>
  <c r="DX380" i="2"/>
  <c r="CZ380" i="2"/>
  <c r="CB380" i="2"/>
  <c r="BD380" i="2"/>
  <c r="W379" i="2"/>
  <c r="B380" i="2"/>
  <c r="AC381" i="2"/>
  <c r="AD381" i="2" s="1"/>
  <c r="G381" i="2"/>
  <c r="E381" i="2"/>
  <c r="D381" i="2"/>
  <c r="C382" i="2"/>
  <c r="V381" i="2"/>
  <c r="F380" i="2"/>
  <c r="AB380" i="2" s="1"/>
  <c r="N9" i="47" l="1"/>
  <c r="L26" i="47"/>
  <c r="L57" i="47" s="1"/>
  <c r="M8" i="47"/>
  <c r="N8" i="47" s="1"/>
  <c r="C4" i="48"/>
  <c r="B6" i="48"/>
  <c r="B7" i="48" s="1"/>
  <c r="F381" i="2"/>
  <c r="AB381" i="2" s="1"/>
  <c r="DZ381" i="2"/>
  <c r="DB381" i="2"/>
  <c r="CD381" i="2"/>
  <c r="BF381" i="2"/>
  <c r="AH381" i="2"/>
  <c r="DX381" i="2"/>
  <c r="CZ381" i="2"/>
  <c r="CB381" i="2"/>
  <c r="BD381" i="2"/>
  <c r="DV381" i="2"/>
  <c r="CX381" i="2"/>
  <c r="BZ381" i="2"/>
  <c r="BB381" i="2"/>
  <c r="DT381" i="2"/>
  <c r="CV381" i="2"/>
  <c r="BX381" i="2"/>
  <c r="AZ381" i="2"/>
  <c r="DR381" i="2"/>
  <c r="CT381" i="2"/>
  <c r="BV381" i="2"/>
  <c r="AX381" i="2"/>
  <c r="DP381" i="2"/>
  <c r="CR381" i="2"/>
  <c r="BT381" i="2"/>
  <c r="AV381" i="2"/>
  <c r="DN381" i="2"/>
  <c r="CP381" i="2"/>
  <c r="BR381" i="2"/>
  <c r="AT381" i="2"/>
  <c r="DL381" i="2"/>
  <c r="CN381" i="2"/>
  <c r="BP381" i="2"/>
  <c r="AR381" i="2"/>
  <c r="DJ381" i="2"/>
  <c r="CL381" i="2"/>
  <c r="BN381" i="2"/>
  <c r="AP381" i="2"/>
  <c r="A381" i="2"/>
  <c r="DH381" i="2"/>
  <c r="CJ381" i="2"/>
  <c r="BL381" i="2"/>
  <c r="AN381" i="2"/>
  <c r="DF381" i="2"/>
  <c r="CH381" i="2"/>
  <c r="BJ381" i="2"/>
  <c r="AL381" i="2"/>
  <c r="S381" i="2"/>
  <c r="T381" i="2" s="1"/>
  <c r="EB381" i="2"/>
  <c r="DD381" i="2"/>
  <c r="CF381" i="2"/>
  <c r="BH381" i="2"/>
  <c r="AJ381" i="2"/>
  <c r="W380" i="2"/>
  <c r="B381" i="2"/>
  <c r="G382" i="2"/>
  <c r="AC382" i="2"/>
  <c r="AD382" i="2" s="1"/>
  <c r="E382" i="2"/>
  <c r="D382" i="2"/>
  <c r="V382" i="2"/>
  <c r="C383" i="2"/>
  <c r="M19" i="47"/>
  <c r="N19" i="47" s="1"/>
  <c r="M30" i="47"/>
  <c r="N30" i="47" s="1"/>
  <c r="M39" i="47"/>
  <c r="N39" i="47" s="1"/>
  <c r="M17" i="47"/>
  <c r="N17" i="47" s="1"/>
  <c r="M38" i="47"/>
  <c r="N38" i="47" s="1"/>
  <c r="M16" i="47"/>
  <c r="N16" i="47" s="1"/>
  <c r="M15" i="47"/>
  <c r="N15" i="47" s="1"/>
  <c r="M25" i="47"/>
  <c r="N25" i="47" s="1"/>
  <c r="M14" i="47"/>
  <c r="N14" i="47" s="1"/>
  <c r="M34" i="47"/>
  <c r="N34" i="47" s="1"/>
  <c r="M33" i="47"/>
  <c r="N33" i="47" s="1"/>
  <c r="M24" i="47"/>
  <c r="N24" i="47" s="1"/>
  <c r="M13" i="47"/>
  <c r="N13" i="47" s="1"/>
  <c r="M23" i="47"/>
  <c r="N23" i="47" s="1"/>
  <c r="M32" i="47"/>
  <c r="N32" i="47" s="1"/>
  <c r="M22" i="47"/>
  <c r="N22" i="47" s="1"/>
  <c r="M18" i="47"/>
  <c r="N18" i="47" s="1"/>
  <c r="M11" i="47"/>
  <c r="N11" i="47" s="1"/>
  <c r="M10" i="47"/>
  <c r="N10" i="47" s="1"/>
  <c r="M20" i="47"/>
  <c r="N20" i="47" s="1"/>
  <c r="N6" i="47"/>
  <c r="M21" i="47"/>
  <c r="N21" i="47" s="1"/>
  <c r="L33" i="9"/>
  <c r="M33" i="9"/>
  <c r="F33" i="8"/>
  <c r="I33" i="8"/>
  <c r="O33" i="8"/>
  <c r="G33" i="9"/>
  <c r="N33" i="9"/>
  <c r="J33" i="9"/>
  <c r="L33" i="8"/>
  <c r="F33" i="9"/>
  <c r="K33" i="9"/>
  <c r="K33" i="8" l="1"/>
  <c r="Q33" i="8"/>
  <c r="N33" i="8"/>
  <c r="M33" i="8"/>
  <c r="J33" i="8"/>
  <c r="P33" i="8"/>
  <c r="O33" i="9"/>
  <c r="P33" i="9" s="1"/>
  <c r="R33" i="8"/>
  <c r="S33" i="8" s="1"/>
  <c r="G33" i="8"/>
  <c r="H33" i="8"/>
  <c r="M26" i="47"/>
  <c r="C384" i="2"/>
  <c r="G383" i="2"/>
  <c r="AC383" i="2"/>
  <c r="AD383" i="2" s="1"/>
  <c r="E383" i="2"/>
  <c r="D383" i="2"/>
  <c r="V383" i="2"/>
  <c r="W381" i="2"/>
  <c r="B382" i="2"/>
  <c r="F382" i="2"/>
  <c r="AB382" i="2" s="1"/>
  <c r="B15" i="48"/>
  <c r="B25" i="48"/>
  <c r="B14" i="48"/>
  <c r="B34" i="48"/>
  <c r="B33" i="48"/>
  <c r="B24" i="48"/>
  <c r="B13" i="48"/>
  <c r="B23" i="48"/>
  <c r="B32" i="48"/>
  <c r="B21" i="48"/>
  <c r="B20" i="48"/>
  <c r="B19" i="48"/>
  <c r="B30" i="48"/>
  <c r="B18" i="48"/>
  <c r="B12" i="48"/>
  <c r="B39" i="48"/>
  <c r="B17" i="48"/>
  <c r="B11" i="48"/>
  <c r="B10" i="48"/>
  <c r="B38" i="48"/>
  <c r="B16" i="48"/>
  <c r="DF382" i="2"/>
  <c r="CH382" i="2"/>
  <c r="BJ382" i="2"/>
  <c r="AN382" i="2"/>
  <c r="EB382" i="2"/>
  <c r="DD382" i="2"/>
  <c r="CF382" i="2"/>
  <c r="BH382" i="2"/>
  <c r="AL382" i="2"/>
  <c r="DZ382" i="2"/>
  <c r="DB382" i="2"/>
  <c r="CD382" i="2"/>
  <c r="BF382" i="2"/>
  <c r="AJ382" i="2"/>
  <c r="DX382" i="2"/>
  <c r="CZ382" i="2"/>
  <c r="CB382" i="2"/>
  <c r="BD382" i="2"/>
  <c r="AH382" i="2"/>
  <c r="DV382" i="2"/>
  <c r="CX382" i="2"/>
  <c r="BZ382" i="2"/>
  <c r="BB382" i="2"/>
  <c r="DT382" i="2"/>
  <c r="CV382" i="2"/>
  <c r="BX382" i="2"/>
  <c r="AZ382" i="2"/>
  <c r="DR382" i="2"/>
  <c r="CT382" i="2"/>
  <c r="BV382" i="2"/>
  <c r="AX382" i="2"/>
  <c r="DP382" i="2"/>
  <c r="CR382" i="2"/>
  <c r="BT382" i="2"/>
  <c r="AV382" i="2"/>
  <c r="DN382" i="2"/>
  <c r="CP382" i="2"/>
  <c r="BR382" i="2"/>
  <c r="AT382" i="2"/>
  <c r="DL382" i="2"/>
  <c r="CN382" i="2"/>
  <c r="BP382" i="2"/>
  <c r="AR382" i="2"/>
  <c r="A382" i="2"/>
  <c r="DJ382" i="2"/>
  <c r="CL382" i="2"/>
  <c r="BN382" i="2"/>
  <c r="AP382" i="2"/>
  <c r="DH382" i="2"/>
  <c r="CJ382" i="2"/>
  <c r="BL382" i="2"/>
  <c r="S382" i="2"/>
  <c r="T382" i="2" s="1"/>
  <c r="D4" i="48"/>
  <c r="C6" i="48"/>
  <c r="C8" i="48" s="1"/>
  <c r="B8" i="48"/>
  <c r="B9" i="48"/>
  <c r="M31" i="47"/>
  <c r="N31" i="47" s="1"/>
  <c r="E33" i="9"/>
  <c r="B33" i="9"/>
  <c r="E33" i="8"/>
  <c r="B33" i="8"/>
  <c r="B26" i="48" l="1"/>
  <c r="B57" i="48" s="1"/>
  <c r="W382" i="2"/>
  <c r="B383" i="2"/>
  <c r="F383" i="2"/>
  <c r="AB383" i="2" s="1"/>
  <c r="B31" i="48"/>
  <c r="DN383" i="2"/>
  <c r="CP383" i="2"/>
  <c r="BR383" i="2"/>
  <c r="AT383" i="2"/>
  <c r="A383" i="2"/>
  <c r="DL383" i="2"/>
  <c r="CN383" i="2"/>
  <c r="BP383" i="2"/>
  <c r="AR383" i="2"/>
  <c r="DJ383" i="2"/>
  <c r="CL383" i="2"/>
  <c r="BN383" i="2"/>
  <c r="AP383" i="2"/>
  <c r="S383" i="2"/>
  <c r="T383" i="2" s="1"/>
  <c r="DH383" i="2"/>
  <c r="CJ383" i="2"/>
  <c r="BL383" i="2"/>
  <c r="AN383" i="2"/>
  <c r="DF383" i="2"/>
  <c r="CH383" i="2"/>
  <c r="BJ383" i="2"/>
  <c r="AL383" i="2"/>
  <c r="EB383" i="2"/>
  <c r="DD383" i="2"/>
  <c r="CF383" i="2"/>
  <c r="BH383" i="2"/>
  <c r="AJ383" i="2"/>
  <c r="DZ383" i="2"/>
  <c r="DB383" i="2"/>
  <c r="CD383" i="2"/>
  <c r="BF383" i="2"/>
  <c r="AH383" i="2"/>
  <c r="DX383" i="2"/>
  <c r="CZ383" i="2"/>
  <c r="CB383" i="2"/>
  <c r="BD383" i="2"/>
  <c r="DV383" i="2"/>
  <c r="CX383" i="2"/>
  <c r="BZ383" i="2"/>
  <c r="BB383" i="2"/>
  <c r="DT383" i="2"/>
  <c r="CV383" i="2"/>
  <c r="BX383" i="2"/>
  <c r="AZ383" i="2"/>
  <c r="DR383" i="2"/>
  <c r="CT383" i="2"/>
  <c r="BV383" i="2"/>
  <c r="AX383" i="2"/>
  <c r="DP383" i="2"/>
  <c r="CR383" i="2"/>
  <c r="BT383" i="2"/>
  <c r="AV383" i="2"/>
  <c r="C25" i="48"/>
  <c r="C14" i="48"/>
  <c r="C34" i="48"/>
  <c r="C33" i="48"/>
  <c r="C24" i="48"/>
  <c r="C13" i="48"/>
  <c r="C23" i="48"/>
  <c r="C32" i="48"/>
  <c r="C22" i="48"/>
  <c r="C21" i="48"/>
  <c r="C20" i="48"/>
  <c r="C19" i="48"/>
  <c r="C30" i="48"/>
  <c r="C18" i="48"/>
  <c r="C12" i="48"/>
  <c r="C39" i="48"/>
  <c r="C17" i="48"/>
  <c r="C11" i="48"/>
  <c r="C38" i="48"/>
  <c r="C16" i="48"/>
  <c r="C10" i="48"/>
  <c r="C15" i="48"/>
  <c r="N26" i="47"/>
  <c r="M57" i="47"/>
  <c r="AC384" i="2"/>
  <c r="AD384" i="2" s="1"/>
  <c r="E384" i="2"/>
  <c r="D384" i="2"/>
  <c r="F384" i="2" s="1"/>
  <c r="AB384" i="2" s="1"/>
  <c r="V384" i="2"/>
  <c r="C385" i="2"/>
  <c r="G384" i="2"/>
  <c r="C9" i="48"/>
  <c r="E4" i="48"/>
  <c r="D6" i="48"/>
  <c r="F33" i="4"/>
  <c r="F33" i="3"/>
  <c r="F33" i="12"/>
  <c r="G33" i="10"/>
  <c r="C26" i="48" l="1"/>
  <c r="C57" i="48" s="1"/>
  <c r="H33" i="12"/>
  <c r="G33" i="12"/>
  <c r="H33" i="3"/>
  <c r="G33" i="3"/>
  <c r="N57" i="47"/>
  <c r="H60" i="47"/>
  <c r="B60" i="47"/>
  <c r="B27" i="47"/>
  <c r="C27" i="47"/>
  <c r="D27" i="47"/>
  <c r="E27" i="47"/>
  <c r="F27" i="47"/>
  <c r="G27" i="47"/>
  <c r="H27" i="47"/>
  <c r="I27" i="47"/>
  <c r="J27" i="47"/>
  <c r="K27" i="47"/>
  <c r="L27" i="47"/>
  <c r="M27" i="47"/>
  <c r="D25" i="48"/>
  <c r="D14" i="48"/>
  <c r="D34" i="48"/>
  <c r="D33" i="48"/>
  <c r="D24" i="48"/>
  <c r="D13" i="48"/>
  <c r="D23" i="48"/>
  <c r="D32" i="48"/>
  <c r="D22" i="48"/>
  <c r="D20" i="48"/>
  <c r="D19" i="48"/>
  <c r="D30" i="48"/>
  <c r="D18" i="48"/>
  <c r="D39" i="48"/>
  <c r="D17" i="48"/>
  <c r="D11" i="48"/>
  <c r="D38" i="48"/>
  <c r="D16" i="48"/>
  <c r="D10" i="48"/>
  <c r="D15" i="48"/>
  <c r="D21" i="48"/>
  <c r="D9" i="48"/>
  <c r="D8" i="48"/>
  <c r="F4" i="48"/>
  <c r="E6" i="48"/>
  <c r="DV384" i="2"/>
  <c r="CX384" i="2"/>
  <c r="BZ384" i="2"/>
  <c r="BB384" i="2"/>
  <c r="DT384" i="2"/>
  <c r="CV384" i="2"/>
  <c r="BX384" i="2"/>
  <c r="AZ384" i="2"/>
  <c r="DR384" i="2"/>
  <c r="CT384" i="2"/>
  <c r="BV384" i="2"/>
  <c r="AX384" i="2"/>
  <c r="DP384" i="2"/>
  <c r="CR384" i="2"/>
  <c r="BT384" i="2"/>
  <c r="AV384" i="2"/>
  <c r="DN384" i="2"/>
  <c r="CP384" i="2"/>
  <c r="BR384" i="2"/>
  <c r="AT384" i="2"/>
  <c r="A384" i="2"/>
  <c r="DL384" i="2"/>
  <c r="CN384" i="2"/>
  <c r="BP384" i="2"/>
  <c r="AR384" i="2"/>
  <c r="DJ384" i="2"/>
  <c r="CL384" i="2"/>
  <c r="BN384" i="2"/>
  <c r="AP384" i="2"/>
  <c r="S384" i="2"/>
  <c r="T384" i="2" s="1"/>
  <c r="DH384" i="2"/>
  <c r="CJ384" i="2"/>
  <c r="BL384" i="2"/>
  <c r="AN384" i="2"/>
  <c r="DF384" i="2"/>
  <c r="CH384" i="2"/>
  <c r="BJ384" i="2"/>
  <c r="AL384" i="2"/>
  <c r="EB384" i="2"/>
  <c r="DD384" i="2"/>
  <c r="CF384" i="2"/>
  <c r="BH384" i="2"/>
  <c r="AJ384" i="2"/>
  <c r="DZ384" i="2"/>
  <c r="DB384" i="2"/>
  <c r="CD384" i="2"/>
  <c r="BF384" i="2"/>
  <c r="AH384" i="2"/>
  <c r="DX384" i="2"/>
  <c r="CZ384" i="2"/>
  <c r="CB384" i="2"/>
  <c r="BD384" i="2"/>
  <c r="C31" i="48"/>
  <c r="G385" i="2"/>
  <c r="AC385" i="2"/>
  <c r="AD385" i="2" s="1"/>
  <c r="E385" i="2"/>
  <c r="D385" i="2"/>
  <c r="F385" i="2" s="1"/>
  <c r="AB385" i="2" s="1"/>
  <c r="V385" i="2"/>
  <c r="C386" i="2"/>
  <c r="W383" i="2"/>
  <c r="B384" i="2"/>
  <c r="I33" i="4"/>
  <c r="C33" i="10"/>
  <c r="B33" i="3"/>
  <c r="B33" i="12"/>
  <c r="B33" i="4"/>
  <c r="E33" i="12"/>
  <c r="F33" i="10"/>
  <c r="H33" i="4"/>
  <c r="O33" i="3"/>
  <c r="G33" i="4"/>
  <c r="J33" i="4"/>
  <c r="K33" i="4"/>
  <c r="E33" i="4"/>
  <c r="E33" i="3"/>
  <c r="D26" i="48" l="1"/>
  <c r="D57" i="48" s="1"/>
  <c r="E33" i="6"/>
  <c r="E33" i="5"/>
  <c r="E33" i="7"/>
  <c r="C33" i="4"/>
  <c r="C33" i="3"/>
  <c r="B33" i="7"/>
  <c r="B33" i="6"/>
  <c r="B33" i="5"/>
  <c r="O33" i="4"/>
  <c r="P33" i="4" s="1"/>
  <c r="AN33" i="11" s="1"/>
  <c r="I28" i="47"/>
  <c r="I58" i="47" s="1"/>
  <c r="I59" i="47" s="1"/>
  <c r="H28" i="47"/>
  <c r="H58" i="47" s="1"/>
  <c r="H59" i="47" s="1"/>
  <c r="G28" i="47"/>
  <c r="G58" i="47" s="1"/>
  <c r="G59" i="47" s="1"/>
  <c r="F28" i="47"/>
  <c r="F58" i="47" s="1"/>
  <c r="F59" i="47" s="1"/>
  <c r="E28" i="47"/>
  <c r="E58" i="47" s="1"/>
  <c r="E59" i="47" s="1"/>
  <c r="E34" i="48"/>
  <c r="E33" i="48"/>
  <c r="E24" i="48"/>
  <c r="E13" i="48"/>
  <c r="E23" i="48"/>
  <c r="E32" i="48"/>
  <c r="E22" i="48"/>
  <c r="E20" i="48"/>
  <c r="E19" i="48"/>
  <c r="E30" i="48"/>
  <c r="E31" i="48" s="1"/>
  <c r="E18" i="48"/>
  <c r="E39" i="48"/>
  <c r="E17" i="48"/>
  <c r="E11" i="48"/>
  <c r="E38" i="48"/>
  <c r="E16" i="48"/>
  <c r="E10" i="48"/>
  <c r="E15" i="48"/>
  <c r="E25" i="48"/>
  <c r="E14" i="48"/>
  <c r="E21" i="48"/>
  <c r="C387" i="2"/>
  <c r="G386" i="2"/>
  <c r="AC386" i="2"/>
  <c r="AD386" i="2" s="1"/>
  <c r="E386" i="2"/>
  <c r="D386" i="2"/>
  <c r="V386" i="2"/>
  <c r="E8" i="48"/>
  <c r="D28" i="47"/>
  <c r="D58" i="47" s="1"/>
  <c r="D59" i="47" s="1"/>
  <c r="W384" i="2"/>
  <c r="B385" i="2"/>
  <c r="E9" i="48"/>
  <c r="D31" i="48"/>
  <c r="C28" i="47"/>
  <c r="C58" i="47" s="1"/>
  <c r="C59" i="47" s="1"/>
  <c r="N27" i="47"/>
  <c r="B28" i="47"/>
  <c r="M28" i="47"/>
  <c r="M58" i="47" s="1"/>
  <c r="M59" i="47" s="1"/>
  <c r="L28" i="47"/>
  <c r="L58" i="47" s="1"/>
  <c r="L59" i="47" s="1"/>
  <c r="G4" i="48"/>
  <c r="F6" i="48"/>
  <c r="K28" i="47"/>
  <c r="K58" i="47" s="1"/>
  <c r="K59" i="47" s="1"/>
  <c r="DF385" i="2"/>
  <c r="CH385" i="2"/>
  <c r="BJ385" i="2"/>
  <c r="AL385" i="2"/>
  <c r="EB385" i="2"/>
  <c r="DD385" i="2"/>
  <c r="CF385" i="2"/>
  <c r="BH385" i="2"/>
  <c r="AJ385" i="2"/>
  <c r="DZ385" i="2"/>
  <c r="DB385" i="2"/>
  <c r="CD385" i="2"/>
  <c r="BF385" i="2"/>
  <c r="AH385" i="2"/>
  <c r="DX385" i="2"/>
  <c r="CZ385" i="2"/>
  <c r="CB385" i="2"/>
  <c r="BD385" i="2"/>
  <c r="DV385" i="2"/>
  <c r="CX385" i="2"/>
  <c r="BZ385" i="2"/>
  <c r="BB385" i="2"/>
  <c r="DT385" i="2"/>
  <c r="CV385" i="2"/>
  <c r="BX385" i="2"/>
  <c r="AZ385" i="2"/>
  <c r="DR385" i="2"/>
  <c r="CT385" i="2"/>
  <c r="BV385" i="2"/>
  <c r="AX385" i="2"/>
  <c r="DP385" i="2"/>
  <c r="CR385" i="2"/>
  <c r="BT385" i="2"/>
  <c r="AV385" i="2"/>
  <c r="DN385" i="2"/>
  <c r="CP385" i="2"/>
  <c r="BR385" i="2"/>
  <c r="AT385" i="2"/>
  <c r="A385" i="2"/>
  <c r="DL385" i="2"/>
  <c r="CN385" i="2"/>
  <c r="BP385" i="2"/>
  <c r="AR385" i="2"/>
  <c r="DJ385" i="2"/>
  <c r="CL385" i="2"/>
  <c r="BN385" i="2"/>
  <c r="AP385" i="2"/>
  <c r="S385" i="2"/>
  <c r="T385" i="2" s="1"/>
  <c r="DH385" i="2"/>
  <c r="CJ385" i="2"/>
  <c r="BL385" i="2"/>
  <c r="AN385" i="2"/>
  <c r="J28" i="47"/>
  <c r="J58" i="47" s="1"/>
  <c r="J59" i="47" s="1"/>
  <c r="H33" i="10"/>
  <c r="E26" i="48" l="1"/>
  <c r="E57" i="48" s="1"/>
  <c r="I33" i="10"/>
  <c r="J33" i="10"/>
  <c r="K33" i="10" s="1"/>
  <c r="W385" i="2"/>
  <c r="B386" i="2"/>
  <c r="F386" i="2"/>
  <c r="AB386" i="2" s="1"/>
  <c r="F33" i="48"/>
  <c r="F24" i="48"/>
  <c r="F13" i="48"/>
  <c r="F23" i="48"/>
  <c r="F32" i="48"/>
  <c r="F22" i="48"/>
  <c r="F20" i="48"/>
  <c r="F19" i="48"/>
  <c r="F30" i="48"/>
  <c r="F31" i="48" s="1"/>
  <c r="F18" i="48"/>
  <c r="F39" i="48"/>
  <c r="F17" i="48"/>
  <c r="F11" i="48"/>
  <c r="F38" i="48"/>
  <c r="F16" i="48"/>
  <c r="F10" i="48"/>
  <c r="F15" i="48"/>
  <c r="F25" i="48"/>
  <c r="F14" i="48"/>
  <c r="F34" i="48"/>
  <c r="F21" i="48"/>
  <c r="F9" i="48"/>
  <c r="AC387" i="2"/>
  <c r="AD387" i="2" s="1"/>
  <c r="E387" i="2"/>
  <c r="D387" i="2"/>
  <c r="V387" i="2"/>
  <c r="C388" i="2"/>
  <c r="G387" i="2"/>
  <c r="D33" i="11"/>
  <c r="AF33" i="11" s="1"/>
  <c r="D33" i="5"/>
  <c r="D33" i="6" s="1"/>
  <c r="F8" i="48"/>
  <c r="H4" i="48"/>
  <c r="G6" i="48"/>
  <c r="G9" i="48" s="1"/>
  <c r="N28" i="47"/>
  <c r="B58" i="47"/>
  <c r="DN386" i="2"/>
  <c r="CP386" i="2"/>
  <c r="BR386" i="2"/>
  <c r="AT386" i="2"/>
  <c r="A386" i="2"/>
  <c r="DL386" i="2"/>
  <c r="CN386" i="2"/>
  <c r="BP386" i="2"/>
  <c r="AR386" i="2"/>
  <c r="DJ386" i="2"/>
  <c r="CL386" i="2"/>
  <c r="BN386" i="2"/>
  <c r="AP386" i="2"/>
  <c r="S386" i="2"/>
  <c r="T386" i="2" s="1"/>
  <c r="DH386" i="2"/>
  <c r="CJ386" i="2"/>
  <c r="BL386" i="2"/>
  <c r="AN386" i="2"/>
  <c r="DF386" i="2"/>
  <c r="CH386" i="2"/>
  <c r="BJ386" i="2"/>
  <c r="AL386" i="2"/>
  <c r="EB386" i="2"/>
  <c r="DD386" i="2"/>
  <c r="CF386" i="2"/>
  <c r="BH386" i="2"/>
  <c r="AJ386" i="2"/>
  <c r="DZ386" i="2"/>
  <c r="DB386" i="2"/>
  <c r="CD386" i="2"/>
  <c r="BF386" i="2"/>
  <c r="AH386" i="2"/>
  <c r="DX386" i="2"/>
  <c r="CZ386" i="2"/>
  <c r="CB386" i="2"/>
  <c r="BD386" i="2"/>
  <c r="DV386" i="2"/>
  <c r="CX386" i="2"/>
  <c r="BZ386" i="2"/>
  <c r="BB386" i="2"/>
  <c r="DT386" i="2"/>
  <c r="CV386" i="2"/>
  <c r="BX386" i="2"/>
  <c r="AZ386" i="2"/>
  <c r="DR386" i="2"/>
  <c r="CT386" i="2"/>
  <c r="BV386" i="2"/>
  <c r="AX386" i="2"/>
  <c r="DP386" i="2"/>
  <c r="CR386" i="2"/>
  <c r="BT386" i="2"/>
  <c r="AV386" i="2"/>
  <c r="AI33" i="11" l="1"/>
  <c r="Z33" i="11"/>
  <c r="P33" i="11"/>
  <c r="S33" i="11"/>
  <c r="K33" i="11"/>
  <c r="AG33" i="11"/>
  <c r="W33" i="11"/>
  <c r="AH33" i="11"/>
  <c r="AJ33" i="11"/>
  <c r="AK33" i="11"/>
  <c r="N33" i="11"/>
  <c r="F387" i="2"/>
  <c r="AB387" i="2" s="1"/>
  <c r="AA33" i="11"/>
  <c r="AL33" i="11"/>
  <c r="O33" i="11"/>
  <c r="AM33" i="11"/>
  <c r="L33" i="11"/>
  <c r="Q33" i="11"/>
  <c r="AC33" i="11"/>
  <c r="M33" i="11"/>
  <c r="Y33" i="11"/>
  <c r="R33" i="11"/>
  <c r="F26" i="48"/>
  <c r="F57" i="48" s="1"/>
  <c r="G8" i="48"/>
  <c r="AD33" i="11"/>
  <c r="AE33" i="11"/>
  <c r="J33" i="11"/>
  <c r="U33" i="11"/>
  <c r="I4" i="48"/>
  <c r="H6" i="48"/>
  <c r="H7" i="48" s="1"/>
  <c r="V33" i="11"/>
  <c r="DV387" i="2"/>
  <c r="CX387" i="2"/>
  <c r="BZ387" i="2"/>
  <c r="BB387" i="2"/>
  <c r="DT387" i="2"/>
  <c r="CV387" i="2"/>
  <c r="BX387" i="2"/>
  <c r="AZ387" i="2"/>
  <c r="DR387" i="2"/>
  <c r="CT387" i="2"/>
  <c r="BV387" i="2"/>
  <c r="AX387" i="2"/>
  <c r="DP387" i="2"/>
  <c r="CR387" i="2"/>
  <c r="BT387" i="2"/>
  <c r="AV387" i="2"/>
  <c r="DN387" i="2"/>
  <c r="CP387" i="2"/>
  <c r="BR387" i="2"/>
  <c r="AT387" i="2"/>
  <c r="A387" i="2"/>
  <c r="DL387" i="2"/>
  <c r="CN387" i="2"/>
  <c r="BP387" i="2"/>
  <c r="AR387" i="2"/>
  <c r="DJ387" i="2"/>
  <c r="CL387" i="2"/>
  <c r="BN387" i="2"/>
  <c r="AP387" i="2"/>
  <c r="S387" i="2"/>
  <c r="T387" i="2" s="1"/>
  <c r="DH387" i="2"/>
  <c r="CJ387" i="2"/>
  <c r="BL387" i="2"/>
  <c r="AN387" i="2"/>
  <c r="DF387" i="2"/>
  <c r="CH387" i="2"/>
  <c r="BJ387" i="2"/>
  <c r="AL387" i="2"/>
  <c r="EB387" i="2"/>
  <c r="DD387" i="2"/>
  <c r="CF387" i="2"/>
  <c r="BH387" i="2"/>
  <c r="AJ387" i="2"/>
  <c r="DZ387" i="2"/>
  <c r="DB387" i="2"/>
  <c r="CD387" i="2"/>
  <c r="BF387" i="2"/>
  <c r="AH387" i="2"/>
  <c r="DX387" i="2"/>
  <c r="CZ387" i="2"/>
  <c r="CB387" i="2"/>
  <c r="BD387" i="2"/>
  <c r="R33" i="6"/>
  <c r="D33" i="7"/>
  <c r="D33" i="8" s="1"/>
  <c r="D33" i="9" s="1"/>
  <c r="D33" i="10" s="1"/>
  <c r="C33" i="12" s="1"/>
  <c r="G388" i="2"/>
  <c r="AC388" i="2"/>
  <c r="AD388" i="2" s="1"/>
  <c r="E388" i="2"/>
  <c r="D388" i="2"/>
  <c r="V388" i="2"/>
  <c r="C389" i="2"/>
  <c r="N58" i="47"/>
  <c r="N59" i="47" s="1"/>
  <c r="F60" i="47" s="1"/>
  <c r="B59" i="47"/>
  <c r="W386" i="2"/>
  <c r="B387" i="2"/>
  <c r="T33" i="11"/>
  <c r="G23" i="48"/>
  <c r="G32" i="48"/>
  <c r="G22" i="48"/>
  <c r="G20" i="48"/>
  <c r="G19" i="48"/>
  <c r="G30" i="48"/>
  <c r="G31" i="48" s="1"/>
  <c r="G18" i="48"/>
  <c r="G39" i="48"/>
  <c r="G17" i="48"/>
  <c r="G11" i="48"/>
  <c r="G38" i="48"/>
  <c r="G16" i="48"/>
  <c r="G10" i="48"/>
  <c r="G15" i="48"/>
  <c r="G25" i="48"/>
  <c r="G14" i="48"/>
  <c r="G34" i="48"/>
  <c r="G24" i="48"/>
  <c r="G13" i="48"/>
  <c r="G33" i="48"/>
  <c r="G21" i="48"/>
  <c r="X33" i="11"/>
  <c r="AB33" i="11"/>
  <c r="G26" i="48" l="1"/>
  <c r="G57" i="48" s="1"/>
  <c r="G33" i="11"/>
  <c r="H33" i="11" s="1"/>
  <c r="H32" i="48"/>
  <c r="H22" i="48"/>
  <c r="H20" i="48"/>
  <c r="H19" i="48"/>
  <c r="H30" i="48"/>
  <c r="H31" i="48" s="1"/>
  <c r="H18" i="48"/>
  <c r="N7" i="48"/>
  <c r="H39" i="48"/>
  <c r="H17" i="48"/>
  <c r="H11" i="48"/>
  <c r="H38" i="48"/>
  <c r="H16" i="48"/>
  <c r="H10" i="48"/>
  <c r="H15" i="48"/>
  <c r="H25" i="48"/>
  <c r="H14" i="48"/>
  <c r="H34" i="48"/>
  <c r="H33" i="48"/>
  <c r="H24" i="48"/>
  <c r="H13" i="48"/>
  <c r="H23" i="48"/>
  <c r="H21" i="48"/>
  <c r="J4" i="48"/>
  <c r="I6" i="48"/>
  <c r="I8" i="48" s="1"/>
  <c r="DF388" i="2"/>
  <c r="CH388" i="2"/>
  <c r="BJ388" i="2"/>
  <c r="AL388" i="2"/>
  <c r="EB388" i="2"/>
  <c r="DD388" i="2"/>
  <c r="CF388" i="2"/>
  <c r="BH388" i="2"/>
  <c r="AJ388" i="2"/>
  <c r="DZ388" i="2"/>
  <c r="DB388" i="2"/>
  <c r="CD388" i="2"/>
  <c r="BF388" i="2"/>
  <c r="AH388" i="2"/>
  <c r="DX388" i="2"/>
  <c r="CZ388" i="2"/>
  <c r="CB388" i="2"/>
  <c r="BD388" i="2"/>
  <c r="DV388" i="2"/>
  <c r="CX388" i="2"/>
  <c r="BZ388" i="2"/>
  <c r="BB388" i="2"/>
  <c r="DT388" i="2"/>
  <c r="CV388" i="2"/>
  <c r="BX388" i="2"/>
  <c r="AZ388" i="2"/>
  <c r="DR388" i="2"/>
  <c r="CT388" i="2"/>
  <c r="BV388" i="2"/>
  <c r="AX388" i="2"/>
  <c r="DP388" i="2"/>
  <c r="CR388" i="2"/>
  <c r="BT388" i="2"/>
  <c r="AV388" i="2"/>
  <c r="DN388" i="2"/>
  <c r="CP388" i="2"/>
  <c r="BR388" i="2"/>
  <c r="AT388" i="2"/>
  <c r="A388" i="2"/>
  <c r="DL388" i="2"/>
  <c r="CN388" i="2"/>
  <c r="BP388" i="2"/>
  <c r="AR388" i="2"/>
  <c r="DJ388" i="2"/>
  <c r="CL388" i="2"/>
  <c r="BN388" i="2"/>
  <c r="AP388" i="2"/>
  <c r="S388" i="2"/>
  <c r="T388" i="2" s="1"/>
  <c r="DH388" i="2"/>
  <c r="CJ388" i="2"/>
  <c r="BL388" i="2"/>
  <c r="AN388" i="2"/>
  <c r="H8" i="48"/>
  <c r="H9" i="48"/>
  <c r="G60" i="47"/>
  <c r="I60" i="47"/>
  <c r="C390" i="2"/>
  <c r="G389" i="2"/>
  <c r="AC389" i="2"/>
  <c r="AD389" i="2" s="1"/>
  <c r="E389" i="2"/>
  <c r="D389" i="2"/>
  <c r="V389" i="2"/>
  <c r="W387" i="2"/>
  <c r="B388" i="2"/>
  <c r="F388" i="2"/>
  <c r="AB388" i="2" s="1"/>
  <c r="C33" i="11" l="1"/>
  <c r="E33" i="11" s="1"/>
  <c r="H26" i="48"/>
  <c r="H57" i="48" s="1"/>
  <c r="I9" i="48"/>
  <c r="W388" i="2"/>
  <c r="B389" i="2"/>
  <c r="F389" i="2"/>
  <c r="AB389" i="2" s="1"/>
  <c r="DN389" i="2"/>
  <c r="CP389" i="2"/>
  <c r="BR389" i="2"/>
  <c r="AT389" i="2"/>
  <c r="A389" i="2"/>
  <c r="DL389" i="2"/>
  <c r="CN389" i="2"/>
  <c r="BP389" i="2"/>
  <c r="AR389" i="2"/>
  <c r="DJ389" i="2"/>
  <c r="CL389" i="2"/>
  <c r="BN389" i="2"/>
  <c r="AP389" i="2"/>
  <c r="S389" i="2"/>
  <c r="T389" i="2" s="1"/>
  <c r="DH389" i="2"/>
  <c r="CJ389" i="2"/>
  <c r="BL389" i="2"/>
  <c r="AN389" i="2"/>
  <c r="DF389" i="2"/>
  <c r="CH389" i="2"/>
  <c r="BJ389" i="2"/>
  <c r="AL389" i="2"/>
  <c r="EB389" i="2"/>
  <c r="DD389" i="2"/>
  <c r="CF389" i="2"/>
  <c r="BH389" i="2"/>
  <c r="AJ389" i="2"/>
  <c r="DZ389" i="2"/>
  <c r="DB389" i="2"/>
  <c r="CD389" i="2"/>
  <c r="BF389" i="2"/>
  <c r="AH389" i="2"/>
  <c r="DX389" i="2"/>
  <c r="CZ389" i="2"/>
  <c r="CB389" i="2"/>
  <c r="BD389" i="2"/>
  <c r="DV389" i="2"/>
  <c r="CX389" i="2"/>
  <c r="BZ389" i="2"/>
  <c r="BB389" i="2"/>
  <c r="DT389" i="2"/>
  <c r="CV389" i="2"/>
  <c r="BX389" i="2"/>
  <c r="AZ389" i="2"/>
  <c r="DR389" i="2"/>
  <c r="CT389" i="2"/>
  <c r="BV389" i="2"/>
  <c r="AX389" i="2"/>
  <c r="DP389" i="2"/>
  <c r="CR389" i="2"/>
  <c r="BT389" i="2"/>
  <c r="AV389" i="2"/>
  <c r="I20" i="48"/>
  <c r="I19" i="48"/>
  <c r="I30" i="48"/>
  <c r="I31" i="48" s="1"/>
  <c r="I18" i="48"/>
  <c r="I39" i="48"/>
  <c r="I17" i="48"/>
  <c r="I11" i="48"/>
  <c r="I38" i="48"/>
  <c r="I16" i="48"/>
  <c r="I10" i="48"/>
  <c r="I15" i="48"/>
  <c r="I25" i="48"/>
  <c r="I14" i="48"/>
  <c r="I34" i="48"/>
  <c r="I33" i="48"/>
  <c r="I24" i="48"/>
  <c r="I13" i="48"/>
  <c r="I23" i="48"/>
  <c r="I22" i="48"/>
  <c r="I32" i="48"/>
  <c r="I21" i="48"/>
  <c r="K4" i="48"/>
  <c r="J6" i="48"/>
  <c r="AC390" i="2"/>
  <c r="AD390" i="2" s="1"/>
  <c r="E390" i="2"/>
  <c r="D390" i="2"/>
  <c r="V390" i="2"/>
  <c r="C391" i="2"/>
  <c r="G390" i="2"/>
  <c r="I26" i="48" l="1"/>
  <c r="I57" i="48" s="1"/>
  <c r="W389" i="2"/>
  <c r="B390" i="2"/>
  <c r="F390" i="2"/>
  <c r="AB390" i="2" s="1"/>
  <c r="J19" i="48"/>
  <c r="J30" i="48"/>
  <c r="J31" i="48" s="1"/>
  <c r="J18" i="48"/>
  <c r="J39" i="48"/>
  <c r="J17" i="48"/>
  <c r="J11" i="48"/>
  <c r="J38" i="48"/>
  <c r="J16" i="48"/>
  <c r="J10" i="48"/>
  <c r="J15" i="48"/>
  <c r="J25" i="48"/>
  <c r="J14" i="48"/>
  <c r="J34" i="48"/>
  <c r="J12" i="48"/>
  <c r="J33" i="48"/>
  <c r="J24" i="48"/>
  <c r="J13" i="48"/>
  <c r="J23" i="48"/>
  <c r="J32" i="48"/>
  <c r="J22" i="48"/>
  <c r="J20" i="48"/>
  <c r="J21" i="48"/>
  <c r="G391" i="2"/>
  <c r="AC391" i="2"/>
  <c r="AD391" i="2" s="1"/>
  <c r="E391" i="2"/>
  <c r="D391" i="2"/>
  <c r="V391" i="2"/>
  <c r="C392" i="2"/>
  <c r="J8" i="48"/>
  <c r="J9" i="48"/>
  <c r="L4" i="48"/>
  <c r="K6" i="48"/>
  <c r="DV390" i="2"/>
  <c r="CX390" i="2"/>
  <c r="BZ390" i="2"/>
  <c r="BB390" i="2"/>
  <c r="DT390" i="2"/>
  <c r="CV390" i="2"/>
  <c r="BX390" i="2"/>
  <c r="AZ390" i="2"/>
  <c r="DR390" i="2"/>
  <c r="CT390" i="2"/>
  <c r="BV390" i="2"/>
  <c r="AX390" i="2"/>
  <c r="DP390" i="2"/>
  <c r="CR390" i="2"/>
  <c r="BT390" i="2"/>
  <c r="AV390" i="2"/>
  <c r="DN390" i="2"/>
  <c r="CP390" i="2"/>
  <c r="BR390" i="2"/>
  <c r="AT390" i="2"/>
  <c r="A390" i="2"/>
  <c r="DL390" i="2"/>
  <c r="CN390" i="2"/>
  <c r="BP390" i="2"/>
  <c r="AR390" i="2"/>
  <c r="DJ390" i="2"/>
  <c r="CL390" i="2"/>
  <c r="BN390" i="2"/>
  <c r="AP390" i="2"/>
  <c r="S390" i="2"/>
  <c r="T390" i="2" s="1"/>
  <c r="DH390" i="2"/>
  <c r="CJ390" i="2"/>
  <c r="BL390" i="2"/>
  <c r="AN390" i="2"/>
  <c r="DF390" i="2"/>
  <c r="CH390" i="2"/>
  <c r="BJ390" i="2"/>
  <c r="AL390" i="2"/>
  <c r="EB390" i="2"/>
  <c r="DD390" i="2"/>
  <c r="CF390" i="2"/>
  <c r="BH390" i="2"/>
  <c r="AJ390" i="2"/>
  <c r="DZ390" i="2"/>
  <c r="DB390" i="2"/>
  <c r="CD390" i="2"/>
  <c r="BF390" i="2"/>
  <c r="AH390" i="2"/>
  <c r="DX390" i="2"/>
  <c r="CZ390" i="2"/>
  <c r="CB390" i="2"/>
  <c r="BD390" i="2"/>
  <c r="F391" i="2" l="1"/>
  <c r="AB391" i="2" s="1"/>
  <c r="J26" i="48"/>
  <c r="J57" i="48" s="1"/>
  <c r="K30" i="48"/>
  <c r="K18" i="48"/>
  <c r="K39" i="48"/>
  <c r="K17" i="48"/>
  <c r="K11" i="48"/>
  <c r="K38" i="48"/>
  <c r="K16" i="48"/>
  <c r="K10" i="48"/>
  <c r="K15" i="48"/>
  <c r="K25" i="48"/>
  <c r="K14" i="48"/>
  <c r="K34" i="48"/>
  <c r="K12" i="48"/>
  <c r="N12" i="48" s="1"/>
  <c r="K33" i="48"/>
  <c r="K24" i="48"/>
  <c r="K13" i="48"/>
  <c r="K23" i="48"/>
  <c r="K32" i="48"/>
  <c r="K22" i="48"/>
  <c r="K20" i="48"/>
  <c r="K31" i="48"/>
  <c r="K19" i="48"/>
  <c r="K21" i="48"/>
  <c r="DF391" i="2"/>
  <c r="CH391" i="2"/>
  <c r="BJ391" i="2"/>
  <c r="AL391" i="2"/>
  <c r="EB391" i="2"/>
  <c r="DD391" i="2"/>
  <c r="CF391" i="2"/>
  <c r="BH391" i="2"/>
  <c r="AJ391" i="2"/>
  <c r="DZ391" i="2"/>
  <c r="DB391" i="2"/>
  <c r="CD391" i="2"/>
  <c r="BF391" i="2"/>
  <c r="AH391" i="2"/>
  <c r="DX391" i="2"/>
  <c r="CZ391" i="2"/>
  <c r="CB391" i="2"/>
  <c r="BD391" i="2"/>
  <c r="DV391" i="2"/>
  <c r="CX391" i="2"/>
  <c r="BZ391" i="2"/>
  <c r="BB391" i="2"/>
  <c r="DT391" i="2"/>
  <c r="CV391" i="2"/>
  <c r="BX391" i="2"/>
  <c r="AZ391" i="2"/>
  <c r="DR391" i="2"/>
  <c r="CT391" i="2"/>
  <c r="BV391" i="2"/>
  <c r="AX391" i="2"/>
  <c r="DP391" i="2"/>
  <c r="CR391" i="2"/>
  <c r="BT391" i="2"/>
  <c r="AV391" i="2"/>
  <c r="DN391" i="2"/>
  <c r="CP391" i="2"/>
  <c r="BR391" i="2"/>
  <c r="AT391" i="2"/>
  <c r="A391" i="2"/>
  <c r="DL391" i="2"/>
  <c r="CN391" i="2"/>
  <c r="BP391" i="2"/>
  <c r="AR391" i="2"/>
  <c r="DJ391" i="2"/>
  <c r="CL391" i="2"/>
  <c r="BN391" i="2"/>
  <c r="AP391" i="2"/>
  <c r="S391" i="2"/>
  <c r="T391" i="2" s="1"/>
  <c r="DH391" i="2"/>
  <c r="CJ391" i="2"/>
  <c r="BL391" i="2"/>
  <c r="AN391" i="2"/>
  <c r="M4" i="48"/>
  <c r="L6" i="48"/>
  <c r="K8" i="48"/>
  <c r="K9" i="48"/>
  <c r="C393" i="2"/>
  <c r="G392" i="2"/>
  <c r="AC392" i="2"/>
  <c r="AD392" i="2" s="1"/>
  <c r="E392" i="2"/>
  <c r="D392" i="2"/>
  <c r="V392" i="2"/>
  <c r="W390" i="2"/>
  <c r="B391" i="2"/>
  <c r="H34" i="9"/>
  <c r="I34" i="9"/>
  <c r="K26" i="48" l="1"/>
  <c r="K57" i="48" s="1"/>
  <c r="F392" i="2"/>
  <c r="AB392" i="2" s="1"/>
  <c r="DN392" i="2"/>
  <c r="CP392" i="2"/>
  <c r="BR392" i="2"/>
  <c r="AT392" i="2"/>
  <c r="A392" i="2"/>
  <c r="DL392" i="2"/>
  <c r="CN392" i="2"/>
  <c r="BP392" i="2"/>
  <c r="AR392" i="2"/>
  <c r="DJ392" i="2"/>
  <c r="CL392" i="2"/>
  <c r="BN392" i="2"/>
  <c r="AP392" i="2"/>
  <c r="S392" i="2"/>
  <c r="T392" i="2" s="1"/>
  <c r="DH392" i="2"/>
  <c r="CJ392" i="2"/>
  <c r="BL392" i="2"/>
  <c r="AN392" i="2"/>
  <c r="DF392" i="2"/>
  <c r="CH392" i="2"/>
  <c r="BJ392" i="2"/>
  <c r="AL392" i="2"/>
  <c r="EB392" i="2"/>
  <c r="DD392" i="2"/>
  <c r="CF392" i="2"/>
  <c r="BH392" i="2"/>
  <c r="AJ392" i="2"/>
  <c r="DZ392" i="2"/>
  <c r="DB392" i="2"/>
  <c r="CD392" i="2"/>
  <c r="BF392" i="2"/>
  <c r="AH392" i="2"/>
  <c r="DX392" i="2"/>
  <c r="CZ392" i="2"/>
  <c r="CB392" i="2"/>
  <c r="BD392" i="2"/>
  <c r="DV392" i="2"/>
  <c r="CX392" i="2"/>
  <c r="BZ392" i="2"/>
  <c r="BB392" i="2"/>
  <c r="DT392" i="2"/>
  <c r="CV392" i="2"/>
  <c r="BX392" i="2"/>
  <c r="AZ392" i="2"/>
  <c r="DR392" i="2"/>
  <c r="CT392" i="2"/>
  <c r="BV392" i="2"/>
  <c r="AX392" i="2"/>
  <c r="DP392" i="2"/>
  <c r="CR392" i="2"/>
  <c r="BT392" i="2"/>
  <c r="AV392" i="2"/>
  <c r="E393" i="2"/>
  <c r="D393" i="2"/>
  <c r="F393" i="2" s="1"/>
  <c r="AB393" i="2" s="1"/>
  <c r="C394" i="2"/>
  <c r="V393" i="2"/>
  <c r="AC393" i="2"/>
  <c r="AD393" i="2" s="1"/>
  <c r="G393" i="2"/>
  <c r="B4" i="49"/>
  <c r="M6" i="48"/>
  <c r="L39" i="48"/>
  <c r="L17" i="48"/>
  <c r="L11" i="48"/>
  <c r="L38" i="48"/>
  <c r="L16" i="48"/>
  <c r="L10" i="48"/>
  <c r="L15" i="48"/>
  <c r="L25" i="48"/>
  <c r="L14" i="48"/>
  <c r="L34" i="48"/>
  <c r="L33" i="48"/>
  <c r="L24" i="48"/>
  <c r="L13" i="48"/>
  <c r="L23" i="48"/>
  <c r="L32" i="48"/>
  <c r="L22" i="48"/>
  <c r="L20" i="48"/>
  <c r="L19" i="48"/>
  <c r="L30" i="48"/>
  <c r="L31" i="48" s="1"/>
  <c r="L18" i="48"/>
  <c r="L21" i="48"/>
  <c r="L8" i="48"/>
  <c r="W391" i="2"/>
  <c r="B392" i="2"/>
  <c r="L9" i="48"/>
  <c r="L26" i="48" l="1"/>
  <c r="L57" i="48" s="1"/>
  <c r="W392" i="2"/>
  <c r="B393" i="2"/>
  <c r="AC394" i="2"/>
  <c r="AD394" i="2" s="1"/>
  <c r="E394" i="2"/>
  <c r="D394" i="2"/>
  <c r="V394" i="2"/>
  <c r="C395" i="2"/>
  <c r="G394" i="2"/>
  <c r="M38" i="48"/>
  <c r="N38" i="48" s="1"/>
  <c r="M16" i="48"/>
  <c r="N16" i="48" s="1"/>
  <c r="M10" i="48"/>
  <c r="N10" i="48" s="1"/>
  <c r="M15" i="48"/>
  <c r="N15" i="48" s="1"/>
  <c r="M25" i="48"/>
  <c r="N25" i="48" s="1"/>
  <c r="M14" i="48"/>
  <c r="N14" i="48" s="1"/>
  <c r="M34" i="48"/>
  <c r="N34" i="48" s="1"/>
  <c r="M33" i="48"/>
  <c r="N33" i="48" s="1"/>
  <c r="M24" i="48"/>
  <c r="N24" i="48" s="1"/>
  <c r="M13" i="48"/>
  <c r="N13" i="48" s="1"/>
  <c r="M23" i="48"/>
  <c r="N23" i="48" s="1"/>
  <c r="M32" i="48"/>
  <c r="N32" i="48" s="1"/>
  <c r="M22" i="48"/>
  <c r="N22" i="48" s="1"/>
  <c r="M20" i="48"/>
  <c r="N20" i="48" s="1"/>
  <c r="M19" i="48"/>
  <c r="N19" i="48" s="1"/>
  <c r="M30" i="48"/>
  <c r="N30" i="48" s="1"/>
  <c r="M18" i="48"/>
  <c r="N18" i="48" s="1"/>
  <c r="M11" i="48"/>
  <c r="N11" i="48" s="1"/>
  <c r="M39" i="48"/>
  <c r="N39" i="48" s="1"/>
  <c r="M17" i="48"/>
  <c r="N17" i="48" s="1"/>
  <c r="N6" i="48"/>
  <c r="M21" i="48"/>
  <c r="N21" i="48" s="1"/>
  <c r="C4" i="49"/>
  <c r="B6" i="49"/>
  <c r="B7" i="49" s="1"/>
  <c r="M8" i="48"/>
  <c r="N8" i="48" s="1"/>
  <c r="M9" i="48"/>
  <c r="N9" i="48" s="1"/>
  <c r="DR393" i="2"/>
  <c r="CT393" i="2"/>
  <c r="BV393" i="2"/>
  <c r="AX393" i="2"/>
  <c r="DP393" i="2"/>
  <c r="CR393" i="2"/>
  <c r="BT393" i="2"/>
  <c r="AV393" i="2"/>
  <c r="DN393" i="2"/>
  <c r="CP393" i="2"/>
  <c r="BR393" i="2"/>
  <c r="AT393" i="2"/>
  <c r="DL393" i="2"/>
  <c r="CN393" i="2"/>
  <c r="BP393" i="2"/>
  <c r="AR393" i="2"/>
  <c r="DJ393" i="2"/>
  <c r="CL393" i="2"/>
  <c r="BN393" i="2"/>
  <c r="AP393" i="2"/>
  <c r="A393" i="2"/>
  <c r="DH393" i="2"/>
  <c r="CJ393" i="2"/>
  <c r="BL393" i="2"/>
  <c r="AN393" i="2"/>
  <c r="DF393" i="2"/>
  <c r="CH393" i="2"/>
  <c r="BJ393" i="2"/>
  <c r="AL393" i="2"/>
  <c r="S393" i="2"/>
  <c r="T393" i="2" s="1"/>
  <c r="EB393" i="2"/>
  <c r="DD393" i="2"/>
  <c r="CF393" i="2"/>
  <c r="BH393" i="2"/>
  <c r="AJ393" i="2"/>
  <c r="DZ393" i="2"/>
  <c r="DB393" i="2"/>
  <c r="CD393" i="2"/>
  <c r="BF393" i="2"/>
  <c r="AH393" i="2"/>
  <c r="DX393" i="2"/>
  <c r="CZ393" i="2"/>
  <c r="CB393" i="2"/>
  <c r="BD393" i="2"/>
  <c r="DV393" i="2"/>
  <c r="CX393" i="2"/>
  <c r="BZ393" i="2"/>
  <c r="BB393" i="2"/>
  <c r="DT393" i="2"/>
  <c r="CV393" i="2"/>
  <c r="BX393" i="2"/>
  <c r="AZ393" i="2"/>
  <c r="I34" i="8"/>
  <c r="N34" i="9"/>
  <c r="J34" i="9"/>
  <c r="F34" i="9"/>
  <c r="F34" i="8"/>
  <c r="G34" i="9"/>
  <c r="L34" i="8"/>
  <c r="M34" i="9"/>
  <c r="K34" i="9"/>
  <c r="L34" i="9"/>
  <c r="O34" i="8"/>
  <c r="F394" i="2" l="1"/>
  <c r="AB394" i="2" s="1"/>
  <c r="K34" i="8"/>
  <c r="Q34" i="8"/>
  <c r="N34" i="8"/>
  <c r="P34" i="8"/>
  <c r="R34" i="8"/>
  <c r="S34" i="8" s="1"/>
  <c r="H34" i="8"/>
  <c r="G34" i="8"/>
  <c r="M34" i="8"/>
  <c r="J34" i="8"/>
  <c r="O34" i="9"/>
  <c r="P34" i="9" s="1"/>
  <c r="DV394" i="2"/>
  <c r="CX394" i="2"/>
  <c r="BZ394" i="2"/>
  <c r="BB394" i="2"/>
  <c r="DT394" i="2"/>
  <c r="CV394" i="2"/>
  <c r="BX394" i="2"/>
  <c r="AZ394" i="2"/>
  <c r="DR394" i="2"/>
  <c r="CT394" i="2"/>
  <c r="BV394" i="2"/>
  <c r="AX394" i="2"/>
  <c r="DP394" i="2"/>
  <c r="CR394" i="2"/>
  <c r="BT394" i="2"/>
  <c r="AV394" i="2"/>
  <c r="DN394" i="2"/>
  <c r="CP394" i="2"/>
  <c r="BR394" i="2"/>
  <c r="AT394" i="2"/>
  <c r="DL394" i="2"/>
  <c r="CN394" i="2"/>
  <c r="BP394" i="2"/>
  <c r="AR394" i="2"/>
  <c r="A394" i="2"/>
  <c r="DJ394" i="2"/>
  <c r="CL394" i="2"/>
  <c r="BN394" i="2"/>
  <c r="AP394" i="2"/>
  <c r="DH394" i="2"/>
  <c r="CJ394" i="2"/>
  <c r="BL394" i="2"/>
  <c r="S394" i="2"/>
  <c r="T394" i="2" s="1"/>
  <c r="DF394" i="2"/>
  <c r="CH394" i="2"/>
  <c r="BJ394" i="2"/>
  <c r="AN394" i="2"/>
  <c r="EB394" i="2"/>
  <c r="DD394" i="2"/>
  <c r="CF394" i="2"/>
  <c r="BH394" i="2"/>
  <c r="AL394" i="2"/>
  <c r="DZ394" i="2"/>
  <c r="DB394" i="2"/>
  <c r="CD394" i="2"/>
  <c r="BF394" i="2"/>
  <c r="AJ394" i="2"/>
  <c r="DX394" i="2"/>
  <c r="CZ394" i="2"/>
  <c r="CB394" i="2"/>
  <c r="BD394" i="2"/>
  <c r="AH394" i="2"/>
  <c r="B34" i="49"/>
  <c r="B33" i="49"/>
  <c r="B24" i="49"/>
  <c r="B13" i="49"/>
  <c r="B23" i="49"/>
  <c r="B32" i="49"/>
  <c r="B21" i="49"/>
  <c r="B20" i="49"/>
  <c r="B19" i="49"/>
  <c r="B30" i="49"/>
  <c r="B31" i="49" s="1"/>
  <c r="B18" i="49"/>
  <c r="B12" i="49"/>
  <c r="B39" i="49"/>
  <c r="B17" i="49"/>
  <c r="B11" i="49"/>
  <c r="B38" i="49"/>
  <c r="B16" i="49"/>
  <c r="B10" i="49"/>
  <c r="B15" i="49"/>
  <c r="B25" i="49"/>
  <c r="B14" i="49"/>
  <c r="G395" i="2"/>
  <c r="AC395" i="2"/>
  <c r="AD395" i="2" s="1"/>
  <c r="E395" i="2"/>
  <c r="D395" i="2"/>
  <c r="F395" i="2" s="1"/>
  <c r="AB395" i="2" s="1"/>
  <c r="V395" i="2"/>
  <c r="C396" i="2"/>
  <c r="B8" i="49"/>
  <c r="W393" i="2"/>
  <c r="B394" i="2"/>
  <c r="M31" i="48"/>
  <c r="N31" i="48" s="1"/>
  <c r="M26" i="48"/>
  <c r="B9" i="49"/>
  <c r="D4" i="49"/>
  <c r="C6" i="49"/>
  <c r="B34" i="9"/>
  <c r="E34" i="8"/>
  <c r="B34" i="8"/>
  <c r="E34" i="9"/>
  <c r="B26" i="49" l="1"/>
  <c r="B57" i="49" s="1"/>
  <c r="C397" i="2"/>
  <c r="G396" i="2"/>
  <c r="AC396" i="2"/>
  <c r="AD396" i="2" s="1"/>
  <c r="E396" i="2"/>
  <c r="D396" i="2"/>
  <c r="F396" i="2" s="1"/>
  <c r="AB396" i="2" s="1"/>
  <c r="V396" i="2"/>
  <c r="C33" i="49"/>
  <c r="C24" i="49"/>
  <c r="C13" i="49"/>
  <c r="C23" i="49"/>
  <c r="C32" i="49"/>
  <c r="C22" i="49"/>
  <c r="C21" i="49"/>
  <c r="C20" i="49"/>
  <c r="C19" i="49"/>
  <c r="C30" i="49"/>
  <c r="C31" i="49" s="1"/>
  <c r="C18" i="49"/>
  <c r="C12" i="49"/>
  <c r="C39" i="49"/>
  <c r="C17" i="49"/>
  <c r="C11" i="49"/>
  <c r="C38" i="49"/>
  <c r="C16" i="49"/>
  <c r="C10" i="49"/>
  <c r="C15" i="49"/>
  <c r="C25" i="49"/>
  <c r="C14" i="49"/>
  <c r="C34" i="49"/>
  <c r="C8" i="49"/>
  <c r="E4" i="49"/>
  <c r="D6" i="49"/>
  <c r="W394" i="2"/>
  <c r="B395" i="2"/>
  <c r="C9" i="49"/>
  <c r="N26" i="48"/>
  <c r="M57" i="48"/>
  <c r="DF395" i="2"/>
  <c r="CH395" i="2"/>
  <c r="BJ395" i="2"/>
  <c r="AL395" i="2"/>
  <c r="EB395" i="2"/>
  <c r="DD395" i="2"/>
  <c r="CF395" i="2"/>
  <c r="BH395" i="2"/>
  <c r="AJ395" i="2"/>
  <c r="DZ395" i="2"/>
  <c r="DB395" i="2"/>
  <c r="CD395" i="2"/>
  <c r="BF395" i="2"/>
  <c r="AH395" i="2"/>
  <c r="DX395" i="2"/>
  <c r="CZ395" i="2"/>
  <c r="CB395" i="2"/>
  <c r="BD395" i="2"/>
  <c r="DV395" i="2"/>
  <c r="CX395" i="2"/>
  <c r="BZ395" i="2"/>
  <c r="BB395" i="2"/>
  <c r="DT395" i="2"/>
  <c r="CV395" i="2"/>
  <c r="BX395" i="2"/>
  <c r="AZ395" i="2"/>
  <c r="DR395" i="2"/>
  <c r="CT395" i="2"/>
  <c r="BV395" i="2"/>
  <c r="AX395" i="2"/>
  <c r="DP395" i="2"/>
  <c r="CR395" i="2"/>
  <c r="BT395" i="2"/>
  <c r="AV395" i="2"/>
  <c r="DN395" i="2"/>
  <c r="CP395" i="2"/>
  <c r="BR395" i="2"/>
  <c r="AT395" i="2"/>
  <c r="A395" i="2"/>
  <c r="DL395" i="2"/>
  <c r="CN395" i="2"/>
  <c r="BP395" i="2"/>
  <c r="AR395" i="2"/>
  <c r="DJ395" i="2"/>
  <c r="CL395" i="2"/>
  <c r="BN395" i="2"/>
  <c r="AP395" i="2"/>
  <c r="S395" i="2"/>
  <c r="T395" i="2" s="1"/>
  <c r="DH395" i="2"/>
  <c r="CJ395" i="2"/>
  <c r="BL395" i="2"/>
  <c r="AN395" i="2"/>
  <c r="F34" i="3"/>
  <c r="F34" i="4"/>
  <c r="G34" i="10"/>
  <c r="F34" i="12"/>
  <c r="C26" i="49" l="1"/>
  <c r="C57" i="49" s="1"/>
  <c r="H34" i="3"/>
  <c r="G34" i="3"/>
  <c r="H34" i="12"/>
  <c r="G34" i="12"/>
  <c r="D23" i="49"/>
  <c r="D32" i="49"/>
  <c r="D22" i="49"/>
  <c r="D20" i="49"/>
  <c r="D19" i="49"/>
  <c r="D30" i="49"/>
  <c r="D18" i="49"/>
  <c r="D39" i="49"/>
  <c r="D17" i="49"/>
  <c r="D11" i="49"/>
  <c r="D38" i="49"/>
  <c r="D16" i="49"/>
  <c r="D10" i="49"/>
  <c r="D15" i="49"/>
  <c r="D25" i="49"/>
  <c r="D14" i="49"/>
  <c r="D34" i="49"/>
  <c r="D24" i="49"/>
  <c r="D13" i="49"/>
  <c r="D33" i="49"/>
  <c r="D21" i="49"/>
  <c r="W395" i="2"/>
  <c r="B396" i="2"/>
  <c r="H60" i="48"/>
  <c r="B60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D9" i="49"/>
  <c r="N57" i="48"/>
  <c r="F4" i="49"/>
  <c r="E6" i="49"/>
  <c r="E9" i="49" s="1"/>
  <c r="DN396" i="2"/>
  <c r="CP396" i="2"/>
  <c r="BR396" i="2"/>
  <c r="AT396" i="2"/>
  <c r="A396" i="2"/>
  <c r="DL396" i="2"/>
  <c r="CN396" i="2"/>
  <c r="BP396" i="2"/>
  <c r="AR396" i="2"/>
  <c r="DJ396" i="2"/>
  <c r="CL396" i="2"/>
  <c r="BN396" i="2"/>
  <c r="AP396" i="2"/>
  <c r="S396" i="2"/>
  <c r="T396" i="2" s="1"/>
  <c r="DH396" i="2"/>
  <c r="CJ396" i="2"/>
  <c r="BL396" i="2"/>
  <c r="AN396" i="2"/>
  <c r="DF396" i="2"/>
  <c r="CH396" i="2"/>
  <c r="BJ396" i="2"/>
  <c r="AL396" i="2"/>
  <c r="EB396" i="2"/>
  <c r="DD396" i="2"/>
  <c r="CF396" i="2"/>
  <c r="BH396" i="2"/>
  <c r="AJ396" i="2"/>
  <c r="DZ396" i="2"/>
  <c r="DB396" i="2"/>
  <c r="CD396" i="2"/>
  <c r="BF396" i="2"/>
  <c r="AH396" i="2"/>
  <c r="DX396" i="2"/>
  <c r="CZ396" i="2"/>
  <c r="CB396" i="2"/>
  <c r="BD396" i="2"/>
  <c r="DV396" i="2"/>
  <c r="CX396" i="2"/>
  <c r="BZ396" i="2"/>
  <c r="BB396" i="2"/>
  <c r="DT396" i="2"/>
  <c r="CV396" i="2"/>
  <c r="BX396" i="2"/>
  <c r="AZ396" i="2"/>
  <c r="DR396" i="2"/>
  <c r="CT396" i="2"/>
  <c r="BV396" i="2"/>
  <c r="AX396" i="2"/>
  <c r="DP396" i="2"/>
  <c r="CR396" i="2"/>
  <c r="BT396" i="2"/>
  <c r="AV396" i="2"/>
  <c r="AC397" i="2"/>
  <c r="AD397" i="2" s="1"/>
  <c r="E397" i="2"/>
  <c r="D397" i="2"/>
  <c r="F397" i="2" s="1"/>
  <c r="AB397" i="2" s="1"/>
  <c r="V397" i="2"/>
  <c r="C398" i="2"/>
  <c r="G397" i="2"/>
  <c r="D8" i="49"/>
  <c r="B34" i="12"/>
  <c r="B34" i="4"/>
  <c r="I34" i="4"/>
  <c r="C34" i="10"/>
  <c r="H34" i="4"/>
  <c r="E34" i="4"/>
  <c r="B34" i="3"/>
  <c r="E34" i="3"/>
  <c r="F34" i="10"/>
  <c r="G34" i="4"/>
  <c r="E34" i="12"/>
  <c r="J34" i="4"/>
  <c r="K34" i="4"/>
  <c r="O34" i="3"/>
  <c r="E8" i="49" l="1"/>
  <c r="C34" i="4"/>
  <c r="B34" i="6"/>
  <c r="B34" i="5"/>
  <c r="B34" i="7"/>
  <c r="C34" i="3"/>
  <c r="E34" i="5"/>
  <c r="E34" i="7"/>
  <c r="E34" i="6"/>
  <c r="O34" i="4"/>
  <c r="P34" i="4" s="1"/>
  <c r="AO34" i="11" s="1"/>
  <c r="H28" i="48"/>
  <c r="H58" i="48" s="1"/>
  <c r="H59" i="48" s="1"/>
  <c r="G28" i="48"/>
  <c r="G58" i="48" s="1"/>
  <c r="G59" i="48" s="1"/>
  <c r="F28" i="48"/>
  <c r="F58" i="48" s="1"/>
  <c r="F59" i="48" s="1"/>
  <c r="W396" i="2"/>
  <c r="B397" i="2"/>
  <c r="E28" i="48"/>
  <c r="E58" i="48" s="1"/>
  <c r="E59" i="48" s="1"/>
  <c r="D28" i="48"/>
  <c r="D58" i="48" s="1"/>
  <c r="D59" i="48" s="1"/>
  <c r="C28" i="48"/>
  <c r="C58" i="48" s="1"/>
  <c r="C59" i="48" s="1"/>
  <c r="N27" i="48"/>
  <c r="B28" i="48"/>
  <c r="B58" i="48" s="1"/>
  <c r="M28" i="48"/>
  <c r="M58" i="48" s="1"/>
  <c r="M59" i="48" s="1"/>
  <c r="L28" i="48"/>
  <c r="L58" i="48" s="1"/>
  <c r="L59" i="48" s="1"/>
  <c r="E32" i="49"/>
  <c r="E22" i="49"/>
  <c r="E20" i="49"/>
  <c r="E19" i="49"/>
  <c r="E30" i="49"/>
  <c r="E31" i="49" s="1"/>
  <c r="E18" i="49"/>
  <c r="E39" i="49"/>
  <c r="E17" i="49"/>
  <c r="E11" i="49"/>
  <c r="E38" i="49"/>
  <c r="E16" i="49"/>
  <c r="E10" i="49"/>
  <c r="E15" i="49"/>
  <c r="E25" i="49"/>
  <c r="E14" i="49"/>
  <c r="E34" i="49"/>
  <c r="E33" i="49"/>
  <c r="E24" i="49"/>
  <c r="E13" i="49"/>
  <c r="E23" i="49"/>
  <c r="E21" i="49"/>
  <c r="K28" i="48"/>
  <c r="K58" i="48" s="1"/>
  <c r="K59" i="48" s="1"/>
  <c r="D26" i="49"/>
  <c r="DV397" i="2"/>
  <c r="CX397" i="2"/>
  <c r="BZ397" i="2"/>
  <c r="BB397" i="2"/>
  <c r="DT397" i="2"/>
  <c r="CV397" i="2"/>
  <c r="BX397" i="2"/>
  <c r="AZ397" i="2"/>
  <c r="DR397" i="2"/>
  <c r="CT397" i="2"/>
  <c r="BV397" i="2"/>
  <c r="AX397" i="2"/>
  <c r="DP397" i="2"/>
  <c r="CR397" i="2"/>
  <c r="BT397" i="2"/>
  <c r="AV397" i="2"/>
  <c r="DN397" i="2"/>
  <c r="CP397" i="2"/>
  <c r="BR397" i="2"/>
  <c r="AT397" i="2"/>
  <c r="A397" i="2"/>
  <c r="DL397" i="2"/>
  <c r="CN397" i="2"/>
  <c r="BP397" i="2"/>
  <c r="AR397" i="2"/>
  <c r="DJ397" i="2"/>
  <c r="CL397" i="2"/>
  <c r="BN397" i="2"/>
  <c r="AP397" i="2"/>
  <c r="S397" i="2"/>
  <c r="T397" i="2" s="1"/>
  <c r="DH397" i="2"/>
  <c r="CJ397" i="2"/>
  <c r="BL397" i="2"/>
  <c r="AN397" i="2"/>
  <c r="DF397" i="2"/>
  <c r="CH397" i="2"/>
  <c r="BJ397" i="2"/>
  <c r="AL397" i="2"/>
  <c r="EB397" i="2"/>
  <c r="DD397" i="2"/>
  <c r="CF397" i="2"/>
  <c r="BH397" i="2"/>
  <c r="AJ397" i="2"/>
  <c r="DZ397" i="2"/>
  <c r="DB397" i="2"/>
  <c r="CD397" i="2"/>
  <c r="BF397" i="2"/>
  <c r="AH397" i="2"/>
  <c r="DX397" i="2"/>
  <c r="CZ397" i="2"/>
  <c r="CB397" i="2"/>
  <c r="BD397" i="2"/>
  <c r="G4" i="49"/>
  <c r="F6" i="49"/>
  <c r="F9" i="49" s="1"/>
  <c r="J28" i="48"/>
  <c r="J58" i="48" s="1"/>
  <c r="J59" i="48" s="1"/>
  <c r="D31" i="49"/>
  <c r="C399" i="2"/>
  <c r="G398" i="2"/>
  <c r="AC398" i="2"/>
  <c r="AD398" i="2" s="1"/>
  <c r="E398" i="2"/>
  <c r="D398" i="2"/>
  <c r="F398" i="2" s="1"/>
  <c r="AB398" i="2" s="1"/>
  <c r="V398" i="2"/>
  <c r="I28" i="48"/>
  <c r="I58" i="48" s="1"/>
  <c r="I59" i="48" s="1"/>
  <c r="H34" i="10"/>
  <c r="E26" i="49" l="1"/>
  <c r="E57" i="49" s="1"/>
  <c r="J34" i="10"/>
  <c r="K34" i="10" s="1"/>
  <c r="I34" i="10"/>
  <c r="D57" i="49"/>
  <c r="N58" i="48"/>
  <c r="N59" i="48" s="1"/>
  <c r="F60" i="48" s="1"/>
  <c r="B59" i="48"/>
  <c r="D34" i="11"/>
  <c r="AF34" i="11" s="1"/>
  <c r="D34" i="5"/>
  <c r="D34" i="6" s="1"/>
  <c r="W397" i="2"/>
  <c r="B398" i="2"/>
  <c r="F8" i="49"/>
  <c r="H4" i="49"/>
  <c r="G6" i="49"/>
  <c r="F20" i="49"/>
  <c r="F19" i="49"/>
  <c r="F30" i="49"/>
  <c r="F31" i="49" s="1"/>
  <c r="F18" i="49"/>
  <c r="F39" i="49"/>
  <c r="F17" i="49"/>
  <c r="F11" i="49"/>
  <c r="F38" i="49"/>
  <c r="F16" i="49"/>
  <c r="F10" i="49"/>
  <c r="F15" i="49"/>
  <c r="F25" i="49"/>
  <c r="F14" i="49"/>
  <c r="F34" i="49"/>
  <c r="F33" i="49"/>
  <c r="F24" i="49"/>
  <c r="F13" i="49"/>
  <c r="F23" i="49"/>
  <c r="F32" i="49"/>
  <c r="F22" i="49"/>
  <c r="F21" i="49"/>
  <c r="DF398" i="2"/>
  <c r="CH398" i="2"/>
  <c r="BJ398" i="2"/>
  <c r="AL398" i="2"/>
  <c r="EB398" i="2"/>
  <c r="DD398" i="2"/>
  <c r="CF398" i="2"/>
  <c r="BH398" i="2"/>
  <c r="AJ398" i="2"/>
  <c r="DZ398" i="2"/>
  <c r="DB398" i="2"/>
  <c r="CD398" i="2"/>
  <c r="BF398" i="2"/>
  <c r="AH398" i="2"/>
  <c r="DX398" i="2"/>
  <c r="CZ398" i="2"/>
  <c r="CB398" i="2"/>
  <c r="BD398" i="2"/>
  <c r="DV398" i="2"/>
  <c r="CX398" i="2"/>
  <c r="BZ398" i="2"/>
  <c r="BB398" i="2"/>
  <c r="DT398" i="2"/>
  <c r="CV398" i="2"/>
  <c r="BX398" i="2"/>
  <c r="AZ398" i="2"/>
  <c r="DR398" i="2"/>
  <c r="CT398" i="2"/>
  <c r="BV398" i="2"/>
  <c r="AX398" i="2"/>
  <c r="DP398" i="2"/>
  <c r="CR398" i="2"/>
  <c r="BT398" i="2"/>
  <c r="AV398" i="2"/>
  <c r="DN398" i="2"/>
  <c r="CP398" i="2"/>
  <c r="BR398" i="2"/>
  <c r="AT398" i="2"/>
  <c r="A398" i="2"/>
  <c r="DL398" i="2"/>
  <c r="CN398" i="2"/>
  <c r="BP398" i="2"/>
  <c r="AR398" i="2"/>
  <c r="DJ398" i="2"/>
  <c r="CL398" i="2"/>
  <c r="BN398" i="2"/>
  <c r="AP398" i="2"/>
  <c r="S398" i="2"/>
  <c r="T398" i="2" s="1"/>
  <c r="DH398" i="2"/>
  <c r="CJ398" i="2"/>
  <c r="BL398" i="2"/>
  <c r="AN398" i="2"/>
  <c r="C400" i="2"/>
  <c r="V399" i="2"/>
  <c r="G399" i="2"/>
  <c r="E399" i="2"/>
  <c r="D399" i="2"/>
  <c r="AC399" i="2"/>
  <c r="AD399" i="2" s="1"/>
  <c r="N28" i="48"/>
  <c r="F399" i="2" l="1"/>
  <c r="AB399" i="2" s="1"/>
  <c r="Z34" i="11"/>
  <c r="AL34" i="11"/>
  <c r="F26" i="49"/>
  <c r="F57" i="49" s="1"/>
  <c r="AD34" i="11"/>
  <c r="U34" i="11"/>
  <c r="AH34" i="11"/>
  <c r="J34" i="11"/>
  <c r="M34" i="11"/>
  <c r="N34" i="11"/>
  <c r="Y34" i="11"/>
  <c r="Q34" i="11"/>
  <c r="AG34" i="11"/>
  <c r="EB399" i="2"/>
  <c r="DD399" i="2"/>
  <c r="CF399" i="2"/>
  <c r="BH399" i="2"/>
  <c r="AJ399" i="2"/>
  <c r="DZ399" i="2"/>
  <c r="DB399" i="2"/>
  <c r="CD399" i="2"/>
  <c r="BF399" i="2"/>
  <c r="AH399" i="2"/>
  <c r="DT399" i="2"/>
  <c r="CV399" i="2"/>
  <c r="DR399" i="2"/>
  <c r="CT399" i="2"/>
  <c r="BV399" i="2"/>
  <c r="AX399" i="2"/>
  <c r="DL399" i="2"/>
  <c r="CN399" i="2"/>
  <c r="BP399" i="2"/>
  <c r="AR399" i="2"/>
  <c r="DJ399" i="2"/>
  <c r="CL399" i="2"/>
  <c r="BN399" i="2"/>
  <c r="AP399" i="2"/>
  <c r="S399" i="2"/>
  <c r="T399" i="2" s="1"/>
  <c r="DH399" i="2"/>
  <c r="BR399" i="2"/>
  <c r="A399" i="2"/>
  <c r="DF399" i="2"/>
  <c r="BL399" i="2"/>
  <c r="CZ399" i="2"/>
  <c r="BJ399" i="2"/>
  <c r="CX399" i="2"/>
  <c r="BD399" i="2"/>
  <c r="CR399" i="2"/>
  <c r="BB399" i="2"/>
  <c r="CP399" i="2"/>
  <c r="AZ399" i="2"/>
  <c r="CJ399" i="2"/>
  <c r="AV399" i="2"/>
  <c r="CH399" i="2"/>
  <c r="AT399" i="2"/>
  <c r="DX399" i="2"/>
  <c r="CB399" i="2"/>
  <c r="AN399" i="2"/>
  <c r="DV399" i="2"/>
  <c r="BZ399" i="2"/>
  <c r="AL399" i="2"/>
  <c r="DP399" i="2"/>
  <c r="BX399" i="2"/>
  <c r="DN399" i="2"/>
  <c r="BT399" i="2"/>
  <c r="V34" i="11"/>
  <c r="AK34" i="11"/>
  <c r="AC34" i="11"/>
  <c r="W398" i="2"/>
  <c r="B399" i="2"/>
  <c r="G19" i="49"/>
  <c r="G30" i="49"/>
  <c r="G31" i="49" s="1"/>
  <c r="G18" i="49"/>
  <c r="G39" i="49"/>
  <c r="G17" i="49"/>
  <c r="G11" i="49"/>
  <c r="G38" i="49"/>
  <c r="G16" i="49"/>
  <c r="G10" i="49"/>
  <c r="G15" i="49"/>
  <c r="G25" i="49"/>
  <c r="G14" i="49"/>
  <c r="G34" i="49"/>
  <c r="G33" i="49"/>
  <c r="G24" i="49"/>
  <c r="G13" i="49"/>
  <c r="G23" i="49"/>
  <c r="G32" i="49"/>
  <c r="G22" i="49"/>
  <c r="G20" i="49"/>
  <c r="G21" i="49"/>
  <c r="I60" i="48"/>
  <c r="G60" i="48"/>
  <c r="I4" i="49"/>
  <c r="H6" i="49"/>
  <c r="H7" i="49" s="1"/>
  <c r="D34" i="7"/>
  <c r="D34" i="8" s="1"/>
  <c r="D34" i="9" s="1"/>
  <c r="D34" i="10" s="1"/>
  <c r="C34" i="12" s="1"/>
  <c r="R34" i="6"/>
  <c r="R34" i="11"/>
  <c r="G8" i="49"/>
  <c r="K34" i="11"/>
  <c r="O34" i="11"/>
  <c r="G9" i="49"/>
  <c r="W34" i="11"/>
  <c r="AA34" i="11"/>
  <c r="S34" i="11"/>
  <c r="C401" i="2"/>
  <c r="G400" i="2"/>
  <c r="D400" i="2"/>
  <c r="V400" i="2"/>
  <c r="AC400" i="2"/>
  <c r="AD400" i="2" s="1"/>
  <c r="E400" i="2"/>
  <c r="AI34" i="11"/>
  <c r="AM34" i="11"/>
  <c r="AE34" i="11"/>
  <c r="L34" i="11"/>
  <c r="P34" i="11"/>
  <c r="X34" i="11"/>
  <c r="AB34" i="11"/>
  <c r="T34" i="11"/>
  <c r="AJ34" i="11"/>
  <c r="AN34" i="11"/>
  <c r="F400" i="2" l="1"/>
  <c r="AB400" i="2" s="1"/>
  <c r="G34" i="11"/>
  <c r="H34" i="11" s="1"/>
  <c r="G26" i="49"/>
  <c r="G57" i="49" s="1"/>
  <c r="DL400" i="2"/>
  <c r="CN400" i="2"/>
  <c r="BP400" i="2"/>
  <c r="AR400" i="2"/>
  <c r="DJ400" i="2"/>
  <c r="CL400" i="2"/>
  <c r="BN400" i="2"/>
  <c r="AP400" i="2"/>
  <c r="S400" i="2"/>
  <c r="T400" i="2" s="1"/>
  <c r="DH400" i="2"/>
  <c r="CJ400" i="2"/>
  <c r="BL400" i="2"/>
  <c r="AN400" i="2"/>
  <c r="DF400" i="2"/>
  <c r="CH400" i="2"/>
  <c r="BJ400" i="2"/>
  <c r="AL400" i="2"/>
  <c r="EB400" i="2"/>
  <c r="DD400" i="2"/>
  <c r="CF400" i="2"/>
  <c r="BH400" i="2"/>
  <c r="AJ400" i="2"/>
  <c r="DZ400" i="2"/>
  <c r="DB400" i="2"/>
  <c r="CD400" i="2"/>
  <c r="BF400" i="2"/>
  <c r="AH400" i="2"/>
  <c r="DX400" i="2"/>
  <c r="CZ400" i="2"/>
  <c r="CB400" i="2"/>
  <c r="BD400" i="2"/>
  <c r="DT400" i="2"/>
  <c r="CV400" i="2"/>
  <c r="BX400" i="2"/>
  <c r="AZ400" i="2"/>
  <c r="DR400" i="2"/>
  <c r="CT400" i="2"/>
  <c r="BV400" i="2"/>
  <c r="AX400" i="2"/>
  <c r="DP400" i="2"/>
  <c r="CR400" i="2"/>
  <c r="BT400" i="2"/>
  <c r="AV400" i="2"/>
  <c r="DV400" i="2"/>
  <c r="DN400" i="2"/>
  <c r="CX400" i="2"/>
  <c r="CP400" i="2"/>
  <c r="A400" i="2"/>
  <c r="BZ400" i="2"/>
  <c r="BR400" i="2"/>
  <c r="BB400" i="2"/>
  <c r="AT400" i="2"/>
  <c r="D401" i="2"/>
  <c r="V401" i="2"/>
  <c r="C402" i="2"/>
  <c r="G401" i="2"/>
  <c r="E401" i="2"/>
  <c r="AC401" i="2"/>
  <c r="AD401" i="2" s="1"/>
  <c r="J4" i="49"/>
  <c r="I6" i="49"/>
  <c r="H30" i="49"/>
  <c r="H31" i="49" s="1"/>
  <c r="H18" i="49"/>
  <c r="N7" i="49"/>
  <c r="H39" i="49"/>
  <c r="H17" i="49"/>
  <c r="H11" i="49"/>
  <c r="H38" i="49"/>
  <c r="H16" i="49"/>
  <c r="H10" i="49"/>
  <c r="H15" i="49"/>
  <c r="H25" i="49"/>
  <c r="H14" i="49"/>
  <c r="H34" i="49"/>
  <c r="H33" i="49"/>
  <c r="H24" i="49"/>
  <c r="H13" i="49"/>
  <c r="H23" i="49"/>
  <c r="H32" i="49"/>
  <c r="H22" i="49"/>
  <c r="H20" i="49"/>
  <c r="H19" i="49"/>
  <c r="H21" i="49"/>
  <c r="H8" i="49"/>
  <c r="W399" i="2"/>
  <c r="B400" i="2"/>
  <c r="H9" i="49"/>
  <c r="F401" i="2" l="1"/>
  <c r="AB401" i="2" s="1"/>
  <c r="C34" i="11"/>
  <c r="E34" i="11" s="1"/>
  <c r="H26" i="49"/>
  <c r="H57" i="49" s="1"/>
  <c r="W400" i="2"/>
  <c r="B401" i="2"/>
  <c r="I39" i="49"/>
  <c r="I17" i="49"/>
  <c r="I11" i="49"/>
  <c r="I38" i="49"/>
  <c r="I16" i="49"/>
  <c r="I10" i="49"/>
  <c r="I15" i="49"/>
  <c r="I25" i="49"/>
  <c r="I14" i="49"/>
  <c r="I34" i="49"/>
  <c r="I33" i="49"/>
  <c r="I24" i="49"/>
  <c r="I13" i="49"/>
  <c r="I23" i="49"/>
  <c r="I32" i="49"/>
  <c r="I22" i="49"/>
  <c r="I20" i="49"/>
  <c r="I19" i="49"/>
  <c r="I30" i="49"/>
  <c r="I31" i="49" s="1"/>
  <c r="I18" i="49"/>
  <c r="I21" i="49"/>
  <c r="K4" i="49"/>
  <c r="J6" i="49"/>
  <c r="J9" i="49" s="1"/>
  <c r="I8" i="49"/>
  <c r="I9" i="49"/>
  <c r="DT401" i="2"/>
  <c r="CV401" i="2"/>
  <c r="BX401" i="2"/>
  <c r="AZ401" i="2"/>
  <c r="DR401" i="2"/>
  <c r="CT401" i="2"/>
  <c r="BV401" i="2"/>
  <c r="AX401" i="2"/>
  <c r="DP401" i="2"/>
  <c r="CR401" i="2"/>
  <c r="BT401" i="2"/>
  <c r="AV401" i="2"/>
  <c r="DN401" i="2"/>
  <c r="CP401" i="2"/>
  <c r="BR401" i="2"/>
  <c r="AT401" i="2"/>
  <c r="A401" i="2"/>
  <c r="DL401" i="2"/>
  <c r="CN401" i="2"/>
  <c r="BP401" i="2"/>
  <c r="AR401" i="2"/>
  <c r="DJ401" i="2"/>
  <c r="CL401" i="2"/>
  <c r="BN401" i="2"/>
  <c r="AP401" i="2"/>
  <c r="S401" i="2"/>
  <c r="T401" i="2" s="1"/>
  <c r="DH401" i="2"/>
  <c r="CJ401" i="2"/>
  <c r="BL401" i="2"/>
  <c r="AN401" i="2"/>
  <c r="DF401" i="2"/>
  <c r="CH401" i="2"/>
  <c r="BJ401" i="2"/>
  <c r="AL401" i="2"/>
  <c r="EB401" i="2"/>
  <c r="DD401" i="2"/>
  <c r="CF401" i="2"/>
  <c r="BH401" i="2"/>
  <c r="AJ401" i="2"/>
  <c r="DZ401" i="2"/>
  <c r="DB401" i="2"/>
  <c r="CD401" i="2"/>
  <c r="BF401" i="2"/>
  <c r="AH401" i="2"/>
  <c r="DX401" i="2"/>
  <c r="CZ401" i="2"/>
  <c r="CB401" i="2"/>
  <c r="BD401" i="2"/>
  <c r="DV401" i="2"/>
  <c r="CX401" i="2"/>
  <c r="BZ401" i="2"/>
  <c r="BB401" i="2"/>
  <c r="G402" i="2"/>
  <c r="AC402" i="2"/>
  <c r="AD402" i="2" s="1"/>
  <c r="E402" i="2"/>
  <c r="D402" i="2"/>
  <c r="F402" i="2" s="1"/>
  <c r="AB402" i="2" s="1"/>
  <c r="V402" i="2"/>
  <c r="C403" i="2"/>
  <c r="I26" i="49" l="1"/>
  <c r="I57" i="49" s="1"/>
  <c r="J8" i="49"/>
  <c r="EB402" i="2"/>
  <c r="DD402" i="2"/>
  <c r="CF402" i="2"/>
  <c r="BH402" i="2"/>
  <c r="AJ402" i="2"/>
  <c r="DZ402" i="2"/>
  <c r="DB402" i="2"/>
  <c r="CD402" i="2"/>
  <c r="BF402" i="2"/>
  <c r="AH402" i="2"/>
  <c r="DX402" i="2"/>
  <c r="CZ402" i="2"/>
  <c r="CB402" i="2"/>
  <c r="BD402" i="2"/>
  <c r="DV402" i="2"/>
  <c r="CX402" i="2"/>
  <c r="BZ402" i="2"/>
  <c r="BB402" i="2"/>
  <c r="DT402" i="2"/>
  <c r="CV402" i="2"/>
  <c r="BX402" i="2"/>
  <c r="AZ402" i="2"/>
  <c r="DR402" i="2"/>
  <c r="CT402" i="2"/>
  <c r="BV402" i="2"/>
  <c r="AX402" i="2"/>
  <c r="DP402" i="2"/>
  <c r="CR402" i="2"/>
  <c r="BT402" i="2"/>
  <c r="AV402" i="2"/>
  <c r="DN402" i="2"/>
  <c r="CP402" i="2"/>
  <c r="BR402" i="2"/>
  <c r="AT402" i="2"/>
  <c r="A402" i="2"/>
  <c r="DL402" i="2"/>
  <c r="CN402" i="2"/>
  <c r="BP402" i="2"/>
  <c r="AR402" i="2"/>
  <c r="DJ402" i="2"/>
  <c r="CL402" i="2"/>
  <c r="BN402" i="2"/>
  <c r="AP402" i="2"/>
  <c r="S402" i="2"/>
  <c r="T402" i="2" s="1"/>
  <c r="DH402" i="2"/>
  <c r="CJ402" i="2"/>
  <c r="BL402" i="2"/>
  <c r="AN402" i="2"/>
  <c r="BJ402" i="2"/>
  <c r="AL402" i="2"/>
  <c r="DF402" i="2"/>
  <c r="CH402" i="2"/>
  <c r="C404" i="2"/>
  <c r="G403" i="2"/>
  <c r="AC403" i="2"/>
  <c r="AD403" i="2" s="1"/>
  <c r="E403" i="2"/>
  <c r="D403" i="2"/>
  <c r="V403" i="2"/>
  <c r="W401" i="2"/>
  <c r="B402" i="2"/>
  <c r="J38" i="49"/>
  <c r="J16" i="49"/>
  <c r="J10" i="49"/>
  <c r="J15" i="49"/>
  <c r="J25" i="49"/>
  <c r="J14" i="49"/>
  <c r="J34" i="49"/>
  <c r="J12" i="49"/>
  <c r="J33" i="49"/>
  <c r="J24" i="49"/>
  <c r="J13" i="49"/>
  <c r="J23" i="49"/>
  <c r="J32" i="49"/>
  <c r="J22" i="49"/>
  <c r="J20" i="49"/>
  <c r="J19" i="49"/>
  <c r="J30" i="49"/>
  <c r="J31" i="49" s="1"/>
  <c r="J18" i="49"/>
  <c r="J17" i="49"/>
  <c r="J39" i="49"/>
  <c r="J11" i="49"/>
  <c r="J21" i="49"/>
  <c r="L4" i="49"/>
  <c r="K6" i="49"/>
  <c r="K9" i="49" s="1"/>
  <c r="J26" i="49" l="1"/>
  <c r="J57" i="49" s="1"/>
  <c r="K8" i="49"/>
  <c r="F403" i="2"/>
  <c r="AB403" i="2" s="1"/>
  <c r="DL403" i="2"/>
  <c r="CN403" i="2"/>
  <c r="BP403" i="2"/>
  <c r="AR403" i="2"/>
  <c r="DJ403" i="2"/>
  <c r="CL403" i="2"/>
  <c r="BN403" i="2"/>
  <c r="AP403" i="2"/>
  <c r="S403" i="2"/>
  <c r="T403" i="2" s="1"/>
  <c r="DH403" i="2"/>
  <c r="CJ403" i="2"/>
  <c r="BL403" i="2"/>
  <c r="AN403" i="2"/>
  <c r="DF403" i="2"/>
  <c r="CH403" i="2"/>
  <c r="BJ403" i="2"/>
  <c r="AL403" i="2"/>
  <c r="EB403" i="2"/>
  <c r="DD403" i="2"/>
  <c r="CF403" i="2"/>
  <c r="BH403" i="2"/>
  <c r="AJ403" i="2"/>
  <c r="DZ403" i="2"/>
  <c r="DB403" i="2"/>
  <c r="CD403" i="2"/>
  <c r="BF403" i="2"/>
  <c r="AH403" i="2"/>
  <c r="DX403" i="2"/>
  <c r="CZ403" i="2"/>
  <c r="CB403" i="2"/>
  <c r="BD403" i="2"/>
  <c r="DV403" i="2"/>
  <c r="CX403" i="2"/>
  <c r="BZ403" i="2"/>
  <c r="BB403" i="2"/>
  <c r="DT403" i="2"/>
  <c r="CV403" i="2"/>
  <c r="BX403" i="2"/>
  <c r="AZ403" i="2"/>
  <c r="DR403" i="2"/>
  <c r="CT403" i="2"/>
  <c r="BV403" i="2"/>
  <c r="AX403" i="2"/>
  <c r="DP403" i="2"/>
  <c r="CR403" i="2"/>
  <c r="BT403" i="2"/>
  <c r="AV403" i="2"/>
  <c r="DN403" i="2"/>
  <c r="CP403" i="2"/>
  <c r="BR403" i="2"/>
  <c r="AT403" i="2"/>
  <c r="A403" i="2"/>
  <c r="D404" i="2"/>
  <c r="V404" i="2"/>
  <c r="C405" i="2"/>
  <c r="G404" i="2"/>
  <c r="E404" i="2"/>
  <c r="AC404" i="2"/>
  <c r="AD404" i="2" s="1"/>
  <c r="K15" i="49"/>
  <c r="K25" i="49"/>
  <c r="K14" i="49"/>
  <c r="K34" i="49"/>
  <c r="K12" i="49"/>
  <c r="N12" i="49" s="1"/>
  <c r="K33" i="49"/>
  <c r="K24" i="49"/>
  <c r="K13" i="49"/>
  <c r="K23" i="49"/>
  <c r="K32" i="49"/>
  <c r="K22" i="49"/>
  <c r="K20" i="49"/>
  <c r="K19" i="49"/>
  <c r="K30" i="49"/>
  <c r="K31" i="49" s="1"/>
  <c r="K18" i="49"/>
  <c r="K39" i="49"/>
  <c r="K17" i="49"/>
  <c r="K11" i="49"/>
  <c r="K16" i="49"/>
  <c r="K38" i="49"/>
  <c r="K10" i="49"/>
  <c r="K21" i="49"/>
  <c r="M4" i="49"/>
  <c r="L6" i="49"/>
  <c r="L8" i="49" s="1"/>
  <c r="W402" i="2"/>
  <c r="B403" i="2"/>
  <c r="I35" i="9"/>
  <c r="H35" i="9"/>
  <c r="F404" i="2" l="1"/>
  <c r="AB404" i="2" s="1"/>
  <c r="K26" i="49"/>
  <c r="K57" i="49" s="1"/>
  <c r="DT404" i="2"/>
  <c r="CV404" i="2"/>
  <c r="BX404" i="2"/>
  <c r="AZ404" i="2"/>
  <c r="DR404" i="2"/>
  <c r="CT404" i="2"/>
  <c r="BV404" i="2"/>
  <c r="AX404" i="2"/>
  <c r="DP404" i="2"/>
  <c r="CR404" i="2"/>
  <c r="BT404" i="2"/>
  <c r="AV404" i="2"/>
  <c r="DN404" i="2"/>
  <c r="CP404" i="2"/>
  <c r="BR404" i="2"/>
  <c r="AT404" i="2"/>
  <c r="A404" i="2"/>
  <c r="DL404" i="2"/>
  <c r="CN404" i="2"/>
  <c r="BP404" i="2"/>
  <c r="AR404" i="2"/>
  <c r="DJ404" i="2"/>
  <c r="CL404" i="2"/>
  <c r="BN404" i="2"/>
  <c r="AP404" i="2"/>
  <c r="S404" i="2"/>
  <c r="T404" i="2" s="1"/>
  <c r="DH404" i="2"/>
  <c r="CJ404" i="2"/>
  <c r="BL404" i="2"/>
  <c r="AN404" i="2"/>
  <c r="DF404" i="2"/>
  <c r="CH404" i="2"/>
  <c r="BJ404" i="2"/>
  <c r="AL404" i="2"/>
  <c r="EB404" i="2"/>
  <c r="DD404" i="2"/>
  <c r="CF404" i="2"/>
  <c r="BH404" i="2"/>
  <c r="AJ404" i="2"/>
  <c r="DZ404" i="2"/>
  <c r="DB404" i="2"/>
  <c r="CD404" i="2"/>
  <c r="BF404" i="2"/>
  <c r="AH404" i="2"/>
  <c r="DX404" i="2"/>
  <c r="CZ404" i="2"/>
  <c r="CB404" i="2"/>
  <c r="BD404" i="2"/>
  <c r="DV404" i="2"/>
  <c r="CX404" i="2"/>
  <c r="BZ404" i="2"/>
  <c r="BB404" i="2"/>
  <c r="AC405" i="2"/>
  <c r="AD405" i="2" s="1"/>
  <c r="G405" i="2"/>
  <c r="E405" i="2"/>
  <c r="D405" i="2"/>
  <c r="C406" i="2"/>
  <c r="V405" i="2"/>
  <c r="W403" i="2"/>
  <c r="B404" i="2"/>
  <c r="L25" i="49"/>
  <c r="L14" i="49"/>
  <c r="L34" i="49"/>
  <c r="L33" i="49"/>
  <c r="L24" i="49"/>
  <c r="L13" i="49"/>
  <c r="L23" i="49"/>
  <c r="L32" i="49"/>
  <c r="L22" i="49"/>
  <c r="L20" i="49"/>
  <c r="L19" i="49"/>
  <c r="L30" i="49"/>
  <c r="L31" i="49" s="1"/>
  <c r="L18" i="49"/>
  <c r="L39" i="49"/>
  <c r="L17" i="49"/>
  <c r="L11" i="49"/>
  <c r="L38" i="49"/>
  <c r="L16" i="49"/>
  <c r="L10" i="49"/>
  <c r="L15" i="49"/>
  <c r="L21" i="49"/>
  <c r="L9" i="49"/>
  <c r="B4" i="50"/>
  <c r="M6" i="49"/>
  <c r="M9" i="49" s="1"/>
  <c r="F405" i="2" l="1"/>
  <c r="AB405" i="2" s="1"/>
  <c r="N9" i="49"/>
  <c r="M8" i="49"/>
  <c r="N8" i="49" s="1"/>
  <c r="L26" i="49"/>
  <c r="L57" i="49" s="1"/>
  <c r="G406" i="2"/>
  <c r="AC406" i="2"/>
  <c r="AD406" i="2" s="1"/>
  <c r="E406" i="2"/>
  <c r="D406" i="2"/>
  <c r="V406" i="2"/>
  <c r="C407" i="2"/>
  <c r="DX405" i="2"/>
  <c r="CZ405" i="2"/>
  <c r="CB405" i="2"/>
  <c r="BD405" i="2"/>
  <c r="DV405" i="2"/>
  <c r="CX405" i="2"/>
  <c r="BZ405" i="2"/>
  <c r="BB405" i="2"/>
  <c r="DT405" i="2"/>
  <c r="CV405" i="2"/>
  <c r="BX405" i="2"/>
  <c r="AZ405" i="2"/>
  <c r="DR405" i="2"/>
  <c r="CT405" i="2"/>
  <c r="BV405" i="2"/>
  <c r="AX405" i="2"/>
  <c r="DP405" i="2"/>
  <c r="CR405" i="2"/>
  <c r="BT405" i="2"/>
  <c r="AV405" i="2"/>
  <c r="DN405" i="2"/>
  <c r="CP405" i="2"/>
  <c r="BR405" i="2"/>
  <c r="AT405" i="2"/>
  <c r="DL405" i="2"/>
  <c r="CN405" i="2"/>
  <c r="BP405" i="2"/>
  <c r="AR405" i="2"/>
  <c r="DJ405" i="2"/>
  <c r="CL405" i="2"/>
  <c r="BN405" i="2"/>
  <c r="AP405" i="2"/>
  <c r="A405" i="2"/>
  <c r="DH405" i="2"/>
  <c r="CJ405" i="2"/>
  <c r="BL405" i="2"/>
  <c r="AN405" i="2"/>
  <c r="DF405" i="2"/>
  <c r="CH405" i="2"/>
  <c r="BJ405" i="2"/>
  <c r="AL405" i="2"/>
  <c r="S405" i="2"/>
  <c r="T405" i="2" s="1"/>
  <c r="EB405" i="2"/>
  <c r="DD405" i="2"/>
  <c r="CF405" i="2"/>
  <c r="BH405" i="2"/>
  <c r="AJ405" i="2"/>
  <c r="DZ405" i="2"/>
  <c r="DB405" i="2"/>
  <c r="CD405" i="2"/>
  <c r="BF405" i="2"/>
  <c r="AH405" i="2"/>
  <c r="C4" i="50"/>
  <c r="B6" i="50"/>
  <c r="B7" i="50" s="1"/>
  <c r="M25" i="49"/>
  <c r="N25" i="49" s="1"/>
  <c r="M14" i="49"/>
  <c r="N14" i="49" s="1"/>
  <c r="M34" i="49"/>
  <c r="N34" i="49" s="1"/>
  <c r="M33" i="49"/>
  <c r="N33" i="49" s="1"/>
  <c r="M24" i="49"/>
  <c r="N24" i="49" s="1"/>
  <c r="M13" i="49"/>
  <c r="N13" i="49" s="1"/>
  <c r="M23" i="49"/>
  <c r="N23" i="49" s="1"/>
  <c r="M32" i="49"/>
  <c r="N32" i="49" s="1"/>
  <c r="M22" i="49"/>
  <c r="N22" i="49" s="1"/>
  <c r="M20" i="49"/>
  <c r="N20" i="49" s="1"/>
  <c r="M19" i="49"/>
  <c r="N19" i="49" s="1"/>
  <c r="M30" i="49"/>
  <c r="N30" i="49" s="1"/>
  <c r="M18" i="49"/>
  <c r="N18" i="49" s="1"/>
  <c r="M39" i="49"/>
  <c r="N39" i="49" s="1"/>
  <c r="M17" i="49"/>
  <c r="N17" i="49" s="1"/>
  <c r="M11" i="49"/>
  <c r="N11" i="49" s="1"/>
  <c r="M38" i="49"/>
  <c r="N38" i="49" s="1"/>
  <c r="M16" i="49"/>
  <c r="N16" i="49" s="1"/>
  <c r="M10" i="49"/>
  <c r="N10" i="49" s="1"/>
  <c r="M15" i="49"/>
  <c r="N15" i="49" s="1"/>
  <c r="N6" i="49"/>
  <c r="M21" i="49"/>
  <c r="N21" i="49" s="1"/>
  <c r="W404" i="2"/>
  <c r="B405" i="2"/>
  <c r="G35" i="9"/>
  <c r="M35" i="9"/>
  <c r="F35" i="8"/>
  <c r="O35" i="8"/>
  <c r="F35" i="9"/>
  <c r="L35" i="9"/>
  <c r="L35" i="8"/>
  <c r="N35" i="9"/>
  <c r="I35" i="8"/>
  <c r="K35" i="9"/>
  <c r="J35" i="9"/>
  <c r="K35" i="8" l="1"/>
  <c r="Q35" i="8"/>
  <c r="N35" i="8"/>
  <c r="M31" i="49"/>
  <c r="N31" i="49" s="1"/>
  <c r="O35" i="9"/>
  <c r="P35" i="9" s="1"/>
  <c r="R35" i="8"/>
  <c r="S35" i="8" s="1"/>
  <c r="H35" i="8"/>
  <c r="G35" i="8"/>
  <c r="M35" i="8"/>
  <c r="J35" i="8"/>
  <c r="P35" i="8"/>
  <c r="M26" i="49"/>
  <c r="B30" i="50"/>
  <c r="B31" i="50" s="1"/>
  <c r="B18" i="50"/>
  <c r="B12" i="50"/>
  <c r="B38" i="50"/>
  <c r="B16" i="50"/>
  <c r="B10" i="50"/>
  <c r="B15" i="50"/>
  <c r="B25" i="50"/>
  <c r="B14" i="50"/>
  <c r="B34" i="50"/>
  <c r="B33" i="50"/>
  <c r="B24" i="50"/>
  <c r="B13" i="50"/>
  <c r="B23" i="50"/>
  <c r="B32" i="50"/>
  <c r="B21" i="50"/>
  <c r="B20" i="50"/>
  <c r="B19" i="50"/>
  <c r="B17" i="50"/>
  <c r="B11" i="50"/>
  <c r="B39" i="50"/>
  <c r="C408" i="2"/>
  <c r="G407" i="2"/>
  <c r="AC407" i="2"/>
  <c r="AD407" i="2" s="1"/>
  <c r="E407" i="2"/>
  <c r="D407" i="2"/>
  <c r="V407" i="2"/>
  <c r="W405" i="2"/>
  <c r="B406" i="2"/>
  <c r="D4" i="50"/>
  <c r="C6" i="50"/>
  <c r="F406" i="2"/>
  <c r="AB406" i="2" s="1"/>
  <c r="B8" i="50"/>
  <c r="B9" i="50"/>
  <c r="EB406" i="2"/>
  <c r="DD406" i="2"/>
  <c r="CF406" i="2"/>
  <c r="BH406" i="2"/>
  <c r="AL406" i="2"/>
  <c r="DZ406" i="2"/>
  <c r="DB406" i="2"/>
  <c r="CD406" i="2"/>
  <c r="BF406" i="2"/>
  <c r="AJ406" i="2"/>
  <c r="DX406" i="2"/>
  <c r="CZ406" i="2"/>
  <c r="CB406" i="2"/>
  <c r="BD406" i="2"/>
  <c r="AH406" i="2"/>
  <c r="DV406" i="2"/>
  <c r="CX406" i="2"/>
  <c r="BZ406" i="2"/>
  <c r="BB406" i="2"/>
  <c r="DT406" i="2"/>
  <c r="CV406" i="2"/>
  <c r="BX406" i="2"/>
  <c r="AZ406" i="2"/>
  <c r="DR406" i="2"/>
  <c r="CT406" i="2"/>
  <c r="BV406" i="2"/>
  <c r="AX406" i="2"/>
  <c r="DP406" i="2"/>
  <c r="CR406" i="2"/>
  <c r="BT406" i="2"/>
  <c r="AV406" i="2"/>
  <c r="DN406" i="2"/>
  <c r="CP406" i="2"/>
  <c r="BR406" i="2"/>
  <c r="AT406" i="2"/>
  <c r="DL406" i="2"/>
  <c r="CN406" i="2"/>
  <c r="BP406" i="2"/>
  <c r="AR406" i="2"/>
  <c r="A406" i="2"/>
  <c r="DJ406" i="2"/>
  <c r="CL406" i="2"/>
  <c r="BN406" i="2"/>
  <c r="AP406" i="2"/>
  <c r="DH406" i="2"/>
  <c r="CJ406" i="2"/>
  <c r="BL406" i="2"/>
  <c r="S406" i="2"/>
  <c r="T406" i="2" s="1"/>
  <c r="DF406" i="2"/>
  <c r="CH406" i="2"/>
  <c r="BJ406" i="2"/>
  <c r="AN406" i="2"/>
  <c r="B35" i="9"/>
  <c r="E35" i="9"/>
  <c r="E35" i="8"/>
  <c r="B35" i="8"/>
  <c r="B26" i="50" l="1"/>
  <c r="B57" i="50" s="1"/>
  <c r="C39" i="50"/>
  <c r="C17" i="50"/>
  <c r="C11" i="50"/>
  <c r="C15" i="50"/>
  <c r="C25" i="50"/>
  <c r="C14" i="50"/>
  <c r="C34" i="50"/>
  <c r="C33" i="50"/>
  <c r="C24" i="50"/>
  <c r="C13" i="50"/>
  <c r="C23" i="50"/>
  <c r="C32" i="50"/>
  <c r="C22" i="50"/>
  <c r="C21" i="50"/>
  <c r="C20" i="50"/>
  <c r="C19" i="50"/>
  <c r="C38" i="50"/>
  <c r="C10" i="50"/>
  <c r="C30" i="50"/>
  <c r="C31" i="50" s="1"/>
  <c r="C18" i="50"/>
  <c r="C12" i="50"/>
  <c r="C16" i="50"/>
  <c r="D408" i="2"/>
  <c r="V408" i="2"/>
  <c r="C409" i="2"/>
  <c r="G408" i="2"/>
  <c r="AC408" i="2"/>
  <c r="AD408" i="2" s="1"/>
  <c r="E408" i="2"/>
  <c r="C8" i="50"/>
  <c r="C9" i="50"/>
  <c r="DL407" i="2"/>
  <c r="CN407" i="2"/>
  <c r="BP407" i="2"/>
  <c r="AR407" i="2"/>
  <c r="DJ407" i="2"/>
  <c r="CL407" i="2"/>
  <c r="BN407" i="2"/>
  <c r="AP407" i="2"/>
  <c r="S407" i="2"/>
  <c r="T407" i="2" s="1"/>
  <c r="DH407" i="2"/>
  <c r="CJ407" i="2"/>
  <c r="BL407" i="2"/>
  <c r="AN407" i="2"/>
  <c r="DF407" i="2"/>
  <c r="CH407" i="2"/>
  <c r="BJ407" i="2"/>
  <c r="AL407" i="2"/>
  <c r="EB407" i="2"/>
  <c r="DD407" i="2"/>
  <c r="CF407" i="2"/>
  <c r="BH407" i="2"/>
  <c r="AJ407" i="2"/>
  <c r="DZ407" i="2"/>
  <c r="DB407" i="2"/>
  <c r="CD407" i="2"/>
  <c r="BF407" i="2"/>
  <c r="AH407" i="2"/>
  <c r="DX407" i="2"/>
  <c r="CZ407" i="2"/>
  <c r="CB407" i="2"/>
  <c r="BD407" i="2"/>
  <c r="DV407" i="2"/>
  <c r="CX407" i="2"/>
  <c r="BZ407" i="2"/>
  <c r="BB407" i="2"/>
  <c r="DT407" i="2"/>
  <c r="CV407" i="2"/>
  <c r="BX407" i="2"/>
  <c r="AZ407" i="2"/>
  <c r="DR407" i="2"/>
  <c r="CT407" i="2"/>
  <c r="BV407" i="2"/>
  <c r="AX407" i="2"/>
  <c r="DP407" i="2"/>
  <c r="CR407" i="2"/>
  <c r="BT407" i="2"/>
  <c r="AV407" i="2"/>
  <c r="BR407" i="2"/>
  <c r="AT407" i="2"/>
  <c r="A407" i="2"/>
  <c r="DN407" i="2"/>
  <c r="CP407" i="2"/>
  <c r="E4" i="50"/>
  <c r="D6" i="50"/>
  <c r="N26" i="49"/>
  <c r="M57" i="49"/>
  <c r="W406" i="2"/>
  <c r="B407" i="2"/>
  <c r="F407" i="2"/>
  <c r="AB407" i="2" s="1"/>
  <c r="F35" i="4"/>
  <c r="G35" i="10"/>
  <c r="F35" i="12"/>
  <c r="F35" i="3"/>
  <c r="F408" i="2" l="1"/>
  <c r="AB408" i="2" s="1"/>
  <c r="H35" i="12"/>
  <c r="G35" i="12"/>
  <c r="G35" i="3"/>
  <c r="H35" i="3"/>
  <c r="C26" i="50"/>
  <c r="D38" i="50"/>
  <c r="D16" i="50"/>
  <c r="D10" i="50"/>
  <c r="D25" i="50"/>
  <c r="D14" i="50"/>
  <c r="D34" i="50"/>
  <c r="D33" i="50"/>
  <c r="D24" i="50"/>
  <c r="D23" i="50"/>
  <c r="D32" i="50"/>
  <c r="D22" i="50"/>
  <c r="D20" i="50"/>
  <c r="D19" i="50"/>
  <c r="D30" i="50"/>
  <c r="D18" i="50"/>
  <c r="D13" i="50"/>
  <c r="D17" i="50"/>
  <c r="D11" i="50"/>
  <c r="D39" i="50"/>
  <c r="D15" i="50"/>
  <c r="D21" i="50"/>
  <c r="D9" i="50"/>
  <c r="G409" i="2"/>
  <c r="AC409" i="2"/>
  <c r="AD409" i="2" s="1"/>
  <c r="E409" i="2"/>
  <c r="D409" i="2"/>
  <c r="F409" i="2" s="1"/>
  <c r="AB409" i="2" s="1"/>
  <c r="V409" i="2"/>
  <c r="C410" i="2"/>
  <c r="F4" i="50"/>
  <c r="E6" i="50"/>
  <c r="D8" i="50"/>
  <c r="B60" i="49"/>
  <c r="H60" i="49"/>
  <c r="B27" i="49"/>
  <c r="C27" i="49"/>
  <c r="D27" i="49"/>
  <c r="E27" i="49"/>
  <c r="F27" i="49"/>
  <c r="G27" i="49"/>
  <c r="H27" i="49"/>
  <c r="I27" i="49"/>
  <c r="J27" i="49"/>
  <c r="K27" i="49"/>
  <c r="L27" i="49"/>
  <c r="M27" i="49"/>
  <c r="W407" i="2"/>
  <c r="B408" i="2"/>
  <c r="N57" i="49"/>
  <c r="DT408" i="2"/>
  <c r="CV408" i="2"/>
  <c r="BX408" i="2"/>
  <c r="AZ408" i="2"/>
  <c r="DR408" i="2"/>
  <c r="CT408" i="2"/>
  <c r="BV408" i="2"/>
  <c r="AX408" i="2"/>
  <c r="DP408" i="2"/>
  <c r="CR408" i="2"/>
  <c r="BT408" i="2"/>
  <c r="AV408" i="2"/>
  <c r="DN408" i="2"/>
  <c r="CP408" i="2"/>
  <c r="BR408" i="2"/>
  <c r="AT408" i="2"/>
  <c r="A408" i="2"/>
  <c r="DL408" i="2"/>
  <c r="CN408" i="2"/>
  <c r="BP408" i="2"/>
  <c r="AR408" i="2"/>
  <c r="DJ408" i="2"/>
  <c r="CL408" i="2"/>
  <c r="BN408" i="2"/>
  <c r="AP408" i="2"/>
  <c r="S408" i="2"/>
  <c r="T408" i="2" s="1"/>
  <c r="DH408" i="2"/>
  <c r="CJ408" i="2"/>
  <c r="BL408" i="2"/>
  <c r="AN408" i="2"/>
  <c r="DF408" i="2"/>
  <c r="CH408" i="2"/>
  <c r="BJ408" i="2"/>
  <c r="AL408" i="2"/>
  <c r="EB408" i="2"/>
  <c r="DD408" i="2"/>
  <c r="CF408" i="2"/>
  <c r="BH408" i="2"/>
  <c r="AJ408" i="2"/>
  <c r="DZ408" i="2"/>
  <c r="DB408" i="2"/>
  <c r="CD408" i="2"/>
  <c r="BF408" i="2"/>
  <c r="AH408" i="2"/>
  <c r="DX408" i="2"/>
  <c r="CZ408" i="2"/>
  <c r="CB408" i="2"/>
  <c r="BD408" i="2"/>
  <c r="DV408" i="2"/>
  <c r="CX408" i="2"/>
  <c r="BZ408" i="2"/>
  <c r="BB408" i="2"/>
  <c r="B35" i="4"/>
  <c r="E35" i="4"/>
  <c r="B35" i="3"/>
  <c r="O35" i="3"/>
  <c r="G35" i="4"/>
  <c r="B35" i="12"/>
  <c r="J35" i="4"/>
  <c r="E35" i="12"/>
  <c r="C35" i="10"/>
  <c r="H35" i="4"/>
  <c r="I35" i="4"/>
  <c r="K35" i="4"/>
  <c r="F35" i="10"/>
  <c r="E35" i="3"/>
  <c r="E35" i="7" l="1"/>
  <c r="E35" i="6"/>
  <c r="E35" i="5"/>
  <c r="O35" i="4"/>
  <c r="P35" i="4" s="1"/>
  <c r="AP35" i="11" s="1"/>
  <c r="B35" i="5"/>
  <c r="B35" i="7"/>
  <c r="C35" i="3"/>
  <c r="B35" i="6"/>
  <c r="C35" i="4"/>
  <c r="J28" i="49"/>
  <c r="J58" i="49" s="1"/>
  <c r="J59" i="49" s="1"/>
  <c r="C57" i="50"/>
  <c r="I28" i="49"/>
  <c r="I58" i="49" s="1"/>
  <c r="I59" i="49" s="1"/>
  <c r="H28" i="49"/>
  <c r="H58" i="49" s="1"/>
  <c r="H59" i="49" s="1"/>
  <c r="EB409" i="2"/>
  <c r="DD409" i="2"/>
  <c r="CF409" i="2"/>
  <c r="BH409" i="2"/>
  <c r="AJ409" i="2"/>
  <c r="DZ409" i="2"/>
  <c r="DB409" i="2"/>
  <c r="CD409" i="2"/>
  <c r="BF409" i="2"/>
  <c r="AH409" i="2"/>
  <c r="DX409" i="2"/>
  <c r="CZ409" i="2"/>
  <c r="CB409" i="2"/>
  <c r="BD409" i="2"/>
  <c r="DV409" i="2"/>
  <c r="CX409" i="2"/>
  <c r="BZ409" i="2"/>
  <c r="BB409" i="2"/>
  <c r="DT409" i="2"/>
  <c r="CV409" i="2"/>
  <c r="BX409" i="2"/>
  <c r="AZ409" i="2"/>
  <c r="DR409" i="2"/>
  <c r="CT409" i="2"/>
  <c r="BV409" i="2"/>
  <c r="AX409" i="2"/>
  <c r="DP409" i="2"/>
  <c r="CR409" i="2"/>
  <c r="BT409" i="2"/>
  <c r="AV409" i="2"/>
  <c r="DN409" i="2"/>
  <c r="CP409" i="2"/>
  <c r="BR409" i="2"/>
  <c r="AT409" i="2"/>
  <c r="A409" i="2"/>
  <c r="DL409" i="2"/>
  <c r="CN409" i="2"/>
  <c r="BP409" i="2"/>
  <c r="AR409" i="2"/>
  <c r="DJ409" i="2"/>
  <c r="CL409" i="2"/>
  <c r="BN409" i="2"/>
  <c r="AP409" i="2"/>
  <c r="S409" i="2"/>
  <c r="T409" i="2" s="1"/>
  <c r="DH409" i="2"/>
  <c r="CJ409" i="2"/>
  <c r="BL409" i="2"/>
  <c r="AN409" i="2"/>
  <c r="DF409" i="2"/>
  <c r="CH409" i="2"/>
  <c r="BJ409" i="2"/>
  <c r="AL409" i="2"/>
  <c r="L28" i="49"/>
  <c r="L58" i="49" s="1"/>
  <c r="L59" i="49" s="1"/>
  <c r="G28" i="49"/>
  <c r="G58" i="49" s="1"/>
  <c r="G59" i="49" s="1"/>
  <c r="E15" i="50"/>
  <c r="E25" i="50"/>
  <c r="E14" i="50"/>
  <c r="E34" i="50"/>
  <c r="E33" i="50"/>
  <c r="E24" i="50"/>
  <c r="E13" i="50"/>
  <c r="E23" i="50"/>
  <c r="E32" i="50"/>
  <c r="E22" i="50"/>
  <c r="E20" i="50"/>
  <c r="E19" i="50"/>
  <c r="E30" i="50"/>
  <c r="E31" i="50" s="1"/>
  <c r="E18" i="50"/>
  <c r="E39" i="50"/>
  <c r="E17" i="50"/>
  <c r="E11" i="50"/>
  <c r="E16" i="50"/>
  <c r="E10" i="50"/>
  <c r="E38" i="50"/>
  <c r="E21" i="50"/>
  <c r="F28" i="49"/>
  <c r="F58" i="49" s="1"/>
  <c r="F59" i="49" s="1"/>
  <c r="G4" i="50"/>
  <c r="F6" i="50"/>
  <c r="F8" i="50" s="1"/>
  <c r="E28" i="49"/>
  <c r="E58" i="49" s="1"/>
  <c r="E59" i="49" s="1"/>
  <c r="E8" i="50"/>
  <c r="K28" i="49"/>
  <c r="K58" i="49" s="1"/>
  <c r="K59" i="49" s="1"/>
  <c r="D28" i="49"/>
  <c r="D58" i="49" s="1"/>
  <c r="D59" i="49" s="1"/>
  <c r="D31" i="50"/>
  <c r="D26" i="50"/>
  <c r="W408" i="2"/>
  <c r="B409" i="2"/>
  <c r="N27" i="49"/>
  <c r="B28" i="49"/>
  <c r="E9" i="50"/>
  <c r="C28" i="49"/>
  <c r="C58" i="49" s="1"/>
  <c r="C59" i="49" s="1"/>
  <c r="M28" i="49"/>
  <c r="M58" i="49" s="1"/>
  <c r="M59" i="49" s="1"/>
  <c r="C411" i="2"/>
  <c r="G410" i="2"/>
  <c r="AC410" i="2"/>
  <c r="AD410" i="2" s="1"/>
  <c r="E410" i="2"/>
  <c r="D410" i="2"/>
  <c r="F410" i="2" s="1"/>
  <c r="AB410" i="2" s="1"/>
  <c r="V410" i="2"/>
  <c r="H35" i="10"/>
  <c r="J35" i="10" l="1"/>
  <c r="K35" i="10" s="1"/>
  <c r="I35" i="10"/>
  <c r="D57" i="50"/>
  <c r="W409" i="2"/>
  <c r="B410" i="2"/>
  <c r="D35" i="11"/>
  <c r="AO35" i="11" s="1"/>
  <c r="D35" i="5"/>
  <c r="D35" i="6" s="1"/>
  <c r="F34" i="50"/>
  <c r="F33" i="50"/>
  <c r="F24" i="50"/>
  <c r="F13" i="50"/>
  <c r="F23" i="50"/>
  <c r="F32" i="50"/>
  <c r="F22" i="50"/>
  <c r="F20" i="50"/>
  <c r="F19" i="50"/>
  <c r="F30" i="50"/>
  <c r="F31" i="50" s="1"/>
  <c r="F18" i="50"/>
  <c r="F39" i="50"/>
  <c r="F17" i="50"/>
  <c r="F11" i="50"/>
  <c r="F38" i="50"/>
  <c r="F16" i="50"/>
  <c r="F10" i="50"/>
  <c r="F25" i="50"/>
  <c r="F14" i="50"/>
  <c r="F15" i="50"/>
  <c r="F21" i="50"/>
  <c r="E26" i="50"/>
  <c r="DL410" i="2"/>
  <c r="CN410" i="2"/>
  <c r="BP410" i="2"/>
  <c r="AR410" i="2"/>
  <c r="DJ410" i="2"/>
  <c r="CL410" i="2"/>
  <c r="BN410" i="2"/>
  <c r="AP410" i="2"/>
  <c r="S410" i="2"/>
  <c r="T410" i="2" s="1"/>
  <c r="DH410" i="2"/>
  <c r="CJ410" i="2"/>
  <c r="BL410" i="2"/>
  <c r="AN410" i="2"/>
  <c r="DF410" i="2"/>
  <c r="CH410" i="2"/>
  <c r="BJ410" i="2"/>
  <c r="AL410" i="2"/>
  <c r="EB410" i="2"/>
  <c r="DD410" i="2"/>
  <c r="CF410" i="2"/>
  <c r="BH410" i="2"/>
  <c r="AJ410" i="2"/>
  <c r="DZ410" i="2"/>
  <c r="DB410" i="2"/>
  <c r="CD410" i="2"/>
  <c r="BF410" i="2"/>
  <c r="AH410" i="2"/>
  <c r="DX410" i="2"/>
  <c r="CZ410" i="2"/>
  <c r="CB410" i="2"/>
  <c r="BD410" i="2"/>
  <c r="DV410" i="2"/>
  <c r="CX410" i="2"/>
  <c r="BZ410" i="2"/>
  <c r="BB410" i="2"/>
  <c r="DT410" i="2"/>
  <c r="CV410" i="2"/>
  <c r="BX410" i="2"/>
  <c r="AZ410" i="2"/>
  <c r="DR410" i="2"/>
  <c r="CT410" i="2"/>
  <c r="BV410" i="2"/>
  <c r="AX410" i="2"/>
  <c r="DP410" i="2"/>
  <c r="CR410" i="2"/>
  <c r="BT410" i="2"/>
  <c r="AV410" i="2"/>
  <c r="A410" i="2"/>
  <c r="DN410" i="2"/>
  <c r="CP410" i="2"/>
  <c r="BR410" i="2"/>
  <c r="AT410" i="2"/>
  <c r="N28" i="49"/>
  <c r="F9" i="50"/>
  <c r="D411" i="2"/>
  <c r="F411" i="2" s="1"/>
  <c r="AB411" i="2" s="1"/>
  <c r="V411" i="2"/>
  <c r="C412" i="2"/>
  <c r="G411" i="2"/>
  <c r="AC411" i="2"/>
  <c r="AD411" i="2" s="1"/>
  <c r="E411" i="2"/>
  <c r="B58" i="49"/>
  <c r="H4" i="50"/>
  <c r="G6" i="50"/>
  <c r="G8" i="50" s="1"/>
  <c r="F26" i="50" l="1"/>
  <c r="F57" i="50" s="1"/>
  <c r="G412" i="2"/>
  <c r="AC412" i="2"/>
  <c r="AD412" i="2" s="1"/>
  <c r="E412" i="2"/>
  <c r="D412" i="2"/>
  <c r="F412" i="2" s="1"/>
  <c r="AB412" i="2" s="1"/>
  <c r="V412" i="2"/>
  <c r="C413" i="2"/>
  <c r="AH35" i="11"/>
  <c r="AL35" i="11"/>
  <c r="R35" i="11"/>
  <c r="K35" i="11"/>
  <c r="O35" i="11"/>
  <c r="AD35" i="11"/>
  <c r="W410" i="2"/>
  <c r="B411" i="2"/>
  <c r="W35" i="11"/>
  <c r="AA35" i="11"/>
  <c r="Z35" i="11"/>
  <c r="AI35" i="11"/>
  <c r="AM35" i="11"/>
  <c r="S35" i="11"/>
  <c r="V35" i="11"/>
  <c r="D35" i="7"/>
  <c r="D35" i="8" s="1"/>
  <c r="D35" i="9" s="1"/>
  <c r="D35" i="10" s="1"/>
  <c r="C35" i="12" s="1"/>
  <c r="R35" i="6"/>
  <c r="L35" i="11"/>
  <c r="P35" i="11"/>
  <c r="AE35" i="11"/>
  <c r="DT411" i="2"/>
  <c r="CV411" i="2"/>
  <c r="BX411" i="2"/>
  <c r="AZ411" i="2"/>
  <c r="DR411" i="2"/>
  <c r="CT411" i="2"/>
  <c r="BV411" i="2"/>
  <c r="AX411" i="2"/>
  <c r="DP411" i="2"/>
  <c r="CR411" i="2"/>
  <c r="BT411" i="2"/>
  <c r="AV411" i="2"/>
  <c r="DN411" i="2"/>
  <c r="CP411" i="2"/>
  <c r="BR411" i="2"/>
  <c r="AT411" i="2"/>
  <c r="A411" i="2"/>
  <c r="DL411" i="2"/>
  <c r="CN411" i="2"/>
  <c r="BP411" i="2"/>
  <c r="AR411" i="2"/>
  <c r="DJ411" i="2"/>
  <c r="CL411" i="2"/>
  <c r="BN411" i="2"/>
  <c r="AP411" i="2"/>
  <c r="S411" i="2"/>
  <c r="T411" i="2" s="1"/>
  <c r="DH411" i="2"/>
  <c r="CJ411" i="2"/>
  <c r="BL411" i="2"/>
  <c r="AN411" i="2"/>
  <c r="DF411" i="2"/>
  <c r="CH411" i="2"/>
  <c r="BJ411" i="2"/>
  <c r="AL411" i="2"/>
  <c r="EB411" i="2"/>
  <c r="DD411" i="2"/>
  <c r="CF411" i="2"/>
  <c r="BH411" i="2"/>
  <c r="AJ411" i="2"/>
  <c r="DZ411" i="2"/>
  <c r="DB411" i="2"/>
  <c r="CD411" i="2"/>
  <c r="BF411" i="2"/>
  <c r="AH411" i="2"/>
  <c r="DX411" i="2"/>
  <c r="CZ411" i="2"/>
  <c r="CB411" i="2"/>
  <c r="BD411" i="2"/>
  <c r="BB411" i="2"/>
  <c r="DV411" i="2"/>
  <c r="CX411" i="2"/>
  <c r="BZ411" i="2"/>
  <c r="X35" i="11"/>
  <c r="AB35" i="11"/>
  <c r="T35" i="11"/>
  <c r="AJ35" i="11"/>
  <c r="AN35" i="11"/>
  <c r="G25" i="50"/>
  <c r="G14" i="50"/>
  <c r="G33" i="50"/>
  <c r="G24" i="50"/>
  <c r="G13" i="50"/>
  <c r="G23" i="50"/>
  <c r="G32" i="50"/>
  <c r="G22" i="50"/>
  <c r="G20" i="50"/>
  <c r="G19" i="50"/>
  <c r="G30" i="50"/>
  <c r="G31" i="50" s="1"/>
  <c r="G18" i="50"/>
  <c r="G39" i="50"/>
  <c r="G17" i="50"/>
  <c r="G11" i="50"/>
  <c r="G38" i="50"/>
  <c r="G16" i="50"/>
  <c r="G10" i="50"/>
  <c r="G15" i="50"/>
  <c r="G34" i="50"/>
  <c r="G21" i="50"/>
  <c r="AF35" i="11"/>
  <c r="M35" i="11"/>
  <c r="U35" i="11"/>
  <c r="Y35" i="11"/>
  <c r="Q35" i="11"/>
  <c r="I4" i="50"/>
  <c r="H6" i="50"/>
  <c r="N58" i="49"/>
  <c r="N59" i="49" s="1"/>
  <c r="F60" i="49" s="1"/>
  <c r="B59" i="49"/>
  <c r="AG35" i="11"/>
  <c r="AK35" i="11"/>
  <c r="AC35" i="11"/>
  <c r="G9" i="50"/>
  <c r="E57" i="50"/>
  <c r="J35" i="11"/>
  <c r="N35" i="11"/>
  <c r="H9" i="50" l="1"/>
  <c r="H7" i="50"/>
  <c r="N7" i="50" s="1"/>
  <c r="G26" i="50"/>
  <c r="G57" i="50" s="1"/>
  <c r="H8" i="50"/>
  <c r="C414" i="2"/>
  <c r="G413" i="2"/>
  <c r="AC413" i="2"/>
  <c r="AD413" i="2" s="1"/>
  <c r="E413" i="2"/>
  <c r="D413" i="2"/>
  <c r="V413" i="2"/>
  <c r="W411" i="2"/>
  <c r="B412" i="2"/>
  <c r="G35" i="11"/>
  <c r="EB412" i="2"/>
  <c r="DD412" i="2"/>
  <c r="CF412" i="2"/>
  <c r="BH412" i="2"/>
  <c r="AJ412" i="2"/>
  <c r="DZ412" i="2"/>
  <c r="DB412" i="2"/>
  <c r="CD412" i="2"/>
  <c r="BF412" i="2"/>
  <c r="AH412" i="2"/>
  <c r="DX412" i="2"/>
  <c r="CZ412" i="2"/>
  <c r="CB412" i="2"/>
  <c r="BD412" i="2"/>
  <c r="DV412" i="2"/>
  <c r="CX412" i="2"/>
  <c r="BZ412" i="2"/>
  <c r="BB412" i="2"/>
  <c r="DT412" i="2"/>
  <c r="CV412" i="2"/>
  <c r="BX412" i="2"/>
  <c r="AZ412" i="2"/>
  <c r="DR412" i="2"/>
  <c r="CT412" i="2"/>
  <c r="BV412" i="2"/>
  <c r="AX412" i="2"/>
  <c r="DP412" i="2"/>
  <c r="CR412" i="2"/>
  <c r="BT412" i="2"/>
  <c r="AV412" i="2"/>
  <c r="DN412" i="2"/>
  <c r="CP412" i="2"/>
  <c r="BR412" i="2"/>
  <c r="AT412" i="2"/>
  <c r="A412" i="2"/>
  <c r="DL412" i="2"/>
  <c r="CN412" i="2"/>
  <c r="BP412" i="2"/>
  <c r="AR412" i="2"/>
  <c r="DJ412" i="2"/>
  <c r="CL412" i="2"/>
  <c r="BN412" i="2"/>
  <c r="AP412" i="2"/>
  <c r="S412" i="2"/>
  <c r="T412" i="2" s="1"/>
  <c r="DH412" i="2"/>
  <c r="CJ412" i="2"/>
  <c r="BL412" i="2"/>
  <c r="AN412" i="2"/>
  <c r="DF412" i="2"/>
  <c r="CH412" i="2"/>
  <c r="BJ412" i="2"/>
  <c r="AL412" i="2"/>
  <c r="I60" i="49"/>
  <c r="G60" i="49"/>
  <c r="J4" i="50"/>
  <c r="I6" i="50"/>
  <c r="I9" i="50" s="1"/>
  <c r="H34" i="50"/>
  <c r="H23" i="50"/>
  <c r="H32" i="50"/>
  <c r="H22" i="50"/>
  <c r="H20" i="50"/>
  <c r="H19" i="50"/>
  <c r="H30" i="50"/>
  <c r="H31" i="50" s="1"/>
  <c r="H18" i="50"/>
  <c r="H39" i="50"/>
  <c r="H17" i="50"/>
  <c r="H11" i="50"/>
  <c r="H38" i="50"/>
  <c r="H16" i="50"/>
  <c r="H10" i="50"/>
  <c r="H15" i="50"/>
  <c r="H25" i="50"/>
  <c r="H14" i="50"/>
  <c r="H24" i="50"/>
  <c r="H13" i="50"/>
  <c r="H33" i="50"/>
  <c r="H21" i="50"/>
  <c r="W412" i="2" l="1"/>
  <c r="B413" i="2"/>
  <c r="F413" i="2"/>
  <c r="AB413" i="2" s="1"/>
  <c r="DL413" i="2"/>
  <c r="CN413" i="2"/>
  <c r="BP413" i="2"/>
  <c r="AR413" i="2"/>
  <c r="DJ413" i="2"/>
  <c r="CL413" i="2"/>
  <c r="BN413" i="2"/>
  <c r="AP413" i="2"/>
  <c r="S413" i="2"/>
  <c r="T413" i="2" s="1"/>
  <c r="DH413" i="2"/>
  <c r="CJ413" i="2"/>
  <c r="BL413" i="2"/>
  <c r="AN413" i="2"/>
  <c r="DF413" i="2"/>
  <c r="CH413" i="2"/>
  <c r="BJ413" i="2"/>
  <c r="AL413" i="2"/>
  <c r="EB413" i="2"/>
  <c r="DD413" i="2"/>
  <c r="CF413" i="2"/>
  <c r="BH413" i="2"/>
  <c r="AJ413" i="2"/>
  <c r="DZ413" i="2"/>
  <c r="DB413" i="2"/>
  <c r="CD413" i="2"/>
  <c r="BF413" i="2"/>
  <c r="AH413" i="2"/>
  <c r="DX413" i="2"/>
  <c r="CZ413" i="2"/>
  <c r="CB413" i="2"/>
  <c r="BD413" i="2"/>
  <c r="DV413" i="2"/>
  <c r="CX413" i="2"/>
  <c r="BZ413" i="2"/>
  <c r="BB413" i="2"/>
  <c r="DT413" i="2"/>
  <c r="CV413" i="2"/>
  <c r="BX413" i="2"/>
  <c r="AZ413" i="2"/>
  <c r="DR413" i="2"/>
  <c r="CT413" i="2"/>
  <c r="BV413" i="2"/>
  <c r="AX413" i="2"/>
  <c r="DP413" i="2"/>
  <c r="CR413" i="2"/>
  <c r="BT413" i="2"/>
  <c r="AV413" i="2"/>
  <c r="A413" i="2"/>
  <c r="DN413" i="2"/>
  <c r="CP413" i="2"/>
  <c r="BR413" i="2"/>
  <c r="AT413" i="2"/>
  <c r="D414" i="2"/>
  <c r="V414" i="2"/>
  <c r="C415" i="2"/>
  <c r="G414" i="2"/>
  <c r="E414" i="2"/>
  <c r="AC414" i="2"/>
  <c r="AD414" i="2" s="1"/>
  <c r="H26" i="50"/>
  <c r="I33" i="50"/>
  <c r="I24" i="50"/>
  <c r="I13" i="50"/>
  <c r="I32" i="50"/>
  <c r="I22" i="50"/>
  <c r="I20" i="50"/>
  <c r="I19" i="50"/>
  <c r="I30" i="50"/>
  <c r="I31" i="50" s="1"/>
  <c r="I18" i="50"/>
  <c r="I39" i="50"/>
  <c r="I17" i="50"/>
  <c r="I11" i="50"/>
  <c r="I38" i="50"/>
  <c r="I16" i="50"/>
  <c r="I10" i="50"/>
  <c r="I15" i="50"/>
  <c r="I25" i="50"/>
  <c r="I14" i="50"/>
  <c r="I34" i="50"/>
  <c r="I23" i="50"/>
  <c r="I21" i="50"/>
  <c r="K4" i="50"/>
  <c r="J6" i="50"/>
  <c r="J8" i="50" s="1"/>
  <c r="I8" i="50"/>
  <c r="H35" i="11"/>
  <c r="C35" i="11"/>
  <c r="E35" i="11" s="1"/>
  <c r="I26" i="50" l="1"/>
  <c r="I57" i="50" s="1"/>
  <c r="W413" i="2"/>
  <c r="B414" i="2"/>
  <c r="J23" i="50"/>
  <c r="J20" i="50"/>
  <c r="J19" i="50"/>
  <c r="J30" i="50"/>
  <c r="J31" i="50" s="1"/>
  <c r="J18" i="50"/>
  <c r="J39" i="50"/>
  <c r="J17" i="50"/>
  <c r="J38" i="50"/>
  <c r="J16" i="50"/>
  <c r="J10" i="50"/>
  <c r="J15" i="50"/>
  <c r="J25" i="50"/>
  <c r="J14" i="50"/>
  <c r="J34" i="50"/>
  <c r="J12" i="50"/>
  <c r="J24" i="50"/>
  <c r="J13" i="50"/>
  <c r="J33" i="50"/>
  <c r="J22" i="50"/>
  <c r="J11" i="50"/>
  <c r="J32" i="50"/>
  <c r="J21" i="50"/>
  <c r="F414" i="2"/>
  <c r="AB414" i="2" s="1"/>
  <c r="G415" i="2"/>
  <c r="AC415" i="2"/>
  <c r="AD415" i="2" s="1"/>
  <c r="E415" i="2"/>
  <c r="D415" i="2"/>
  <c r="V415" i="2"/>
  <c r="C416" i="2"/>
  <c r="L4" i="50"/>
  <c r="K6" i="50"/>
  <c r="K8" i="50" s="1"/>
  <c r="DT414" i="2"/>
  <c r="CV414" i="2"/>
  <c r="BX414" i="2"/>
  <c r="AZ414" i="2"/>
  <c r="DR414" i="2"/>
  <c r="CT414" i="2"/>
  <c r="BV414" i="2"/>
  <c r="AX414" i="2"/>
  <c r="DP414" i="2"/>
  <c r="CR414" i="2"/>
  <c r="BT414" i="2"/>
  <c r="AV414" i="2"/>
  <c r="DN414" i="2"/>
  <c r="CP414" i="2"/>
  <c r="BR414" i="2"/>
  <c r="AT414" i="2"/>
  <c r="A414" i="2"/>
  <c r="DL414" i="2"/>
  <c r="CN414" i="2"/>
  <c r="BP414" i="2"/>
  <c r="AR414" i="2"/>
  <c r="DJ414" i="2"/>
  <c r="CL414" i="2"/>
  <c r="BN414" i="2"/>
  <c r="AP414" i="2"/>
  <c r="S414" i="2"/>
  <c r="T414" i="2" s="1"/>
  <c r="DH414" i="2"/>
  <c r="CJ414" i="2"/>
  <c r="BL414" i="2"/>
  <c r="AN414" i="2"/>
  <c r="DF414" i="2"/>
  <c r="CH414" i="2"/>
  <c r="BJ414" i="2"/>
  <c r="AL414" i="2"/>
  <c r="EB414" i="2"/>
  <c r="DD414" i="2"/>
  <c r="CF414" i="2"/>
  <c r="BH414" i="2"/>
  <c r="AJ414" i="2"/>
  <c r="DZ414" i="2"/>
  <c r="DB414" i="2"/>
  <c r="CD414" i="2"/>
  <c r="BF414" i="2"/>
  <c r="AH414" i="2"/>
  <c r="DX414" i="2"/>
  <c r="CZ414" i="2"/>
  <c r="CB414" i="2"/>
  <c r="BD414" i="2"/>
  <c r="DV414" i="2"/>
  <c r="CX414" i="2"/>
  <c r="BZ414" i="2"/>
  <c r="BB414" i="2"/>
  <c r="H57" i="50"/>
  <c r="J9" i="50"/>
  <c r="F415" i="2" l="1"/>
  <c r="AB415" i="2" s="1"/>
  <c r="J26" i="50"/>
  <c r="J57" i="50" s="1"/>
  <c r="K32" i="50"/>
  <c r="K22" i="50"/>
  <c r="K19" i="50"/>
  <c r="K30" i="50"/>
  <c r="K31" i="50" s="1"/>
  <c r="K18" i="50"/>
  <c r="K39" i="50"/>
  <c r="K17" i="50"/>
  <c r="K11" i="50"/>
  <c r="K38" i="50"/>
  <c r="K16" i="50"/>
  <c r="K15" i="50"/>
  <c r="K25" i="50"/>
  <c r="K14" i="50"/>
  <c r="K34" i="50"/>
  <c r="K12" i="50"/>
  <c r="N12" i="50" s="1"/>
  <c r="K33" i="50"/>
  <c r="K24" i="50"/>
  <c r="K13" i="50"/>
  <c r="K23" i="50"/>
  <c r="K10" i="50"/>
  <c r="K20" i="50"/>
  <c r="K21" i="50"/>
  <c r="K9" i="50"/>
  <c r="C417" i="2"/>
  <c r="G416" i="2"/>
  <c r="AC416" i="2"/>
  <c r="AD416" i="2" s="1"/>
  <c r="E416" i="2"/>
  <c r="D416" i="2"/>
  <c r="V416" i="2"/>
  <c r="EB415" i="2"/>
  <c r="DD415" i="2"/>
  <c r="CF415" i="2"/>
  <c r="BH415" i="2"/>
  <c r="AJ415" i="2"/>
  <c r="DZ415" i="2"/>
  <c r="DB415" i="2"/>
  <c r="CD415" i="2"/>
  <c r="BF415" i="2"/>
  <c r="AH415" i="2"/>
  <c r="DX415" i="2"/>
  <c r="CZ415" i="2"/>
  <c r="CB415" i="2"/>
  <c r="BD415" i="2"/>
  <c r="DV415" i="2"/>
  <c r="CX415" i="2"/>
  <c r="BZ415" i="2"/>
  <c r="BB415" i="2"/>
  <c r="DT415" i="2"/>
  <c r="CV415" i="2"/>
  <c r="BX415" i="2"/>
  <c r="AZ415" i="2"/>
  <c r="DR415" i="2"/>
  <c r="CT415" i="2"/>
  <c r="BV415" i="2"/>
  <c r="AX415" i="2"/>
  <c r="DP415" i="2"/>
  <c r="CR415" i="2"/>
  <c r="BT415" i="2"/>
  <c r="AV415" i="2"/>
  <c r="DN415" i="2"/>
  <c r="CP415" i="2"/>
  <c r="BR415" i="2"/>
  <c r="AT415" i="2"/>
  <c r="A415" i="2"/>
  <c r="DL415" i="2"/>
  <c r="CN415" i="2"/>
  <c r="BP415" i="2"/>
  <c r="AR415" i="2"/>
  <c r="DJ415" i="2"/>
  <c r="CL415" i="2"/>
  <c r="BN415" i="2"/>
  <c r="AP415" i="2"/>
  <c r="S415" i="2"/>
  <c r="T415" i="2" s="1"/>
  <c r="DH415" i="2"/>
  <c r="CJ415" i="2"/>
  <c r="BL415" i="2"/>
  <c r="AN415" i="2"/>
  <c r="BJ415" i="2"/>
  <c r="AL415" i="2"/>
  <c r="DF415" i="2"/>
  <c r="CH415" i="2"/>
  <c r="W414" i="2"/>
  <c r="B415" i="2"/>
  <c r="M4" i="50"/>
  <c r="L6" i="50"/>
  <c r="I36" i="9"/>
  <c r="H36" i="9"/>
  <c r="K26" i="50" l="1"/>
  <c r="K57" i="50" s="1"/>
  <c r="DL416" i="2"/>
  <c r="CN416" i="2"/>
  <c r="BP416" i="2"/>
  <c r="AR416" i="2"/>
  <c r="DJ416" i="2"/>
  <c r="CL416" i="2"/>
  <c r="BN416" i="2"/>
  <c r="AP416" i="2"/>
  <c r="S416" i="2"/>
  <c r="T416" i="2" s="1"/>
  <c r="DH416" i="2"/>
  <c r="CJ416" i="2"/>
  <c r="BL416" i="2"/>
  <c r="AN416" i="2"/>
  <c r="DF416" i="2"/>
  <c r="CH416" i="2"/>
  <c r="BJ416" i="2"/>
  <c r="AL416" i="2"/>
  <c r="EB416" i="2"/>
  <c r="DD416" i="2"/>
  <c r="CF416" i="2"/>
  <c r="BH416" i="2"/>
  <c r="AJ416" i="2"/>
  <c r="DZ416" i="2"/>
  <c r="DB416" i="2"/>
  <c r="CD416" i="2"/>
  <c r="BF416" i="2"/>
  <c r="AH416" i="2"/>
  <c r="DX416" i="2"/>
  <c r="CZ416" i="2"/>
  <c r="CB416" i="2"/>
  <c r="BD416" i="2"/>
  <c r="DV416" i="2"/>
  <c r="CX416" i="2"/>
  <c r="BZ416" i="2"/>
  <c r="BB416" i="2"/>
  <c r="DT416" i="2"/>
  <c r="CV416" i="2"/>
  <c r="BX416" i="2"/>
  <c r="AZ416" i="2"/>
  <c r="DR416" i="2"/>
  <c r="CT416" i="2"/>
  <c r="BV416" i="2"/>
  <c r="AX416" i="2"/>
  <c r="DP416" i="2"/>
  <c r="CR416" i="2"/>
  <c r="BT416" i="2"/>
  <c r="AV416" i="2"/>
  <c r="DN416" i="2"/>
  <c r="CP416" i="2"/>
  <c r="BR416" i="2"/>
  <c r="AT416" i="2"/>
  <c r="A416" i="2"/>
  <c r="D417" i="2"/>
  <c r="C418" i="2"/>
  <c r="V417" i="2"/>
  <c r="AC417" i="2"/>
  <c r="AD417" i="2" s="1"/>
  <c r="G417" i="2"/>
  <c r="E417" i="2"/>
  <c r="L20" i="50"/>
  <c r="L30" i="50"/>
  <c r="L31" i="50" s="1"/>
  <c r="L18" i="50"/>
  <c r="L39" i="50"/>
  <c r="L17" i="50"/>
  <c r="L11" i="50"/>
  <c r="L38" i="50"/>
  <c r="L16" i="50"/>
  <c r="L10" i="50"/>
  <c r="L15" i="50"/>
  <c r="L25" i="50"/>
  <c r="L14" i="50"/>
  <c r="L34" i="50"/>
  <c r="L33" i="50"/>
  <c r="L24" i="50"/>
  <c r="L13" i="50"/>
  <c r="L23" i="50"/>
  <c r="L19" i="50"/>
  <c r="L22" i="50"/>
  <c r="L32" i="50"/>
  <c r="L21" i="50"/>
  <c r="B4" i="51"/>
  <c r="M6" i="50"/>
  <c r="L9" i="50"/>
  <c r="W415" i="2"/>
  <c r="B416" i="2"/>
  <c r="L8" i="50"/>
  <c r="F416" i="2"/>
  <c r="AB416" i="2" s="1"/>
  <c r="F417" i="2" l="1"/>
  <c r="AB417" i="2" s="1"/>
  <c r="L26" i="50"/>
  <c r="L57" i="50" s="1"/>
  <c r="W416" i="2"/>
  <c r="B417" i="2"/>
  <c r="AC418" i="2"/>
  <c r="AD418" i="2" s="1"/>
  <c r="E418" i="2"/>
  <c r="D418" i="2"/>
  <c r="V418" i="2"/>
  <c r="C419" i="2"/>
  <c r="G418" i="2"/>
  <c r="M19" i="50"/>
  <c r="N19" i="50" s="1"/>
  <c r="M39" i="50"/>
  <c r="N39" i="50" s="1"/>
  <c r="M17" i="50"/>
  <c r="N17" i="50" s="1"/>
  <c r="M11" i="50"/>
  <c r="N11" i="50" s="1"/>
  <c r="M38" i="50"/>
  <c r="N38" i="50" s="1"/>
  <c r="M16" i="50"/>
  <c r="N16" i="50" s="1"/>
  <c r="M10" i="50"/>
  <c r="N10" i="50" s="1"/>
  <c r="M15" i="50"/>
  <c r="N15" i="50" s="1"/>
  <c r="M25" i="50"/>
  <c r="N25" i="50" s="1"/>
  <c r="M14" i="50"/>
  <c r="N14" i="50" s="1"/>
  <c r="M34" i="50"/>
  <c r="N34" i="50" s="1"/>
  <c r="M33" i="50"/>
  <c r="N33" i="50" s="1"/>
  <c r="M24" i="50"/>
  <c r="N24" i="50" s="1"/>
  <c r="M13" i="50"/>
  <c r="N13" i="50" s="1"/>
  <c r="M23" i="50"/>
  <c r="N23" i="50" s="1"/>
  <c r="M32" i="50"/>
  <c r="N32" i="50" s="1"/>
  <c r="M22" i="50"/>
  <c r="N22" i="50" s="1"/>
  <c r="M30" i="50"/>
  <c r="N30" i="50" s="1"/>
  <c r="M18" i="50"/>
  <c r="N18" i="50" s="1"/>
  <c r="M20" i="50"/>
  <c r="N20" i="50" s="1"/>
  <c r="N6" i="50"/>
  <c r="M21" i="50"/>
  <c r="N21" i="50" s="1"/>
  <c r="C4" i="51"/>
  <c r="B6" i="51"/>
  <c r="B7" i="51" s="1"/>
  <c r="M9" i="50"/>
  <c r="N9" i="50" s="1"/>
  <c r="M8" i="50"/>
  <c r="N8" i="50" s="1"/>
  <c r="DP417" i="2"/>
  <c r="CR417" i="2"/>
  <c r="BT417" i="2"/>
  <c r="AV417" i="2"/>
  <c r="DN417" i="2"/>
  <c r="CP417" i="2"/>
  <c r="BR417" i="2"/>
  <c r="AT417" i="2"/>
  <c r="DL417" i="2"/>
  <c r="CN417" i="2"/>
  <c r="BP417" i="2"/>
  <c r="AR417" i="2"/>
  <c r="DJ417" i="2"/>
  <c r="CL417" i="2"/>
  <c r="BN417" i="2"/>
  <c r="AP417" i="2"/>
  <c r="A417" i="2"/>
  <c r="DH417" i="2"/>
  <c r="CJ417" i="2"/>
  <c r="BL417" i="2"/>
  <c r="AN417" i="2"/>
  <c r="DF417" i="2"/>
  <c r="CH417" i="2"/>
  <c r="BJ417" i="2"/>
  <c r="AL417" i="2"/>
  <c r="S417" i="2"/>
  <c r="T417" i="2" s="1"/>
  <c r="EB417" i="2"/>
  <c r="DD417" i="2"/>
  <c r="CF417" i="2"/>
  <c r="BH417" i="2"/>
  <c r="AJ417" i="2"/>
  <c r="DZ417" i="2"/>
  <c r="DB417" i="2"/>
  <c r="CD417" i="2"/>
  <c r="BF417" i="2"/>
  <c r="AH417" i="2"/>
  <c r="DX417" i="2"/>
  <c r="CZ417" i="2"/>
  <c r="CB417" i="2"/>
  <c r="BD417" i="2"/>
  <c r="DV417" i="2"/>
  <c r="CX417" i="2"/>
  <c r="BZ417" i="2"/>
  <c r="BB417" i="2"/>
  <c r="DT417" i="2"/>
  <c r="CV417" i="2"/>
  <c r="BX417" i="2"/>
  <c r="AZ417" i="2"/>
  <c r="DR417" i="2"/>
  <c r="CT417" i="2"/>
  <c r="BV417" i="2"/>
  <c r="AX417" i="2"/>
  <c r="F36" i="8"/>
  <c r="L36" i="8"/>
  <c r="I36" i="8"/>
  <c r="J36" i="9"/>
  <c r="F36" i="9"/>
  <c r="O36" i="8"/>
  <c r="M36" i="9"/>
  <c r="K36" i="9"/>
  <c r="L36" i="9"/>
  <c r="G36" i="9"/>
  <c r="N36" i="9"/>
  <c r="F418" i="2" l="1"/>
  <c r="AB418" i="2" s="1"/>
  <c r="M31" i="50"/>
  <c r="N31" i="50" s="1"/>
  <c r="K36" i="8"/>
  <c r="Q36" i="8"/>
  <c r="N36" i="8"/>
  <c r="M36" i="8"/>
  <c r="J36" i="8"/>
  <c r="O36" i="9"/>
  <c r="P36" i="9" s="1"/>
  <c r="R36" i="8"/>
  <c r="S36" i="8" s="1"/>
  <c r="H36" i="8"/>
  <c r="G36" i="8"/>
  <c r="P36" i="8"/>
  <c r="DT418" i="2"/>
  <c r="CV418" i="2"/>
  <c r="BX418" i="2"/>
  <c r="AZ418" i="2"/>
  <c r="DR418" i="2"/>
  <c r="CT418" i="2"/>
  <c r="BV418" i="2"/>
  <c r="AX418" i="2"/>
  <c r="DP418" i="2"/>
  <c r="CR418" i="2"/>
  <c r="BT418" i="2"/>
  <c r="AV418" i="2"/>
  <c r="DN418" i="2"/>
  <c r="CP418" i="2"/>
  <c r="BR418" i="2"/>
  <c r="AT418" i="2"/>
  <c r="DL418" i="2"/>
  <c r="CN418" i="2"/>
  <c r="BP418" i="2"/>
  <c r="AR418" i="2"/>
  <c r="A418" i="2"/>
  <c r="DJ418" i="2"/>
  <c r="CL418" i="2"/>
  <c r="BN418" i="2"/>
  <c r="AP418" i="2"/>
  <c r="DH418" i="2"/>
  <c r="CJ418" i="2"/>
  <c r="BL418" i="2"/>
  <c r="S418" i="2"/>
  <c r="T418" i="2" s="1"/>
  <c r="DF418" i="2"/>
  <c r="CH418" i="2"/>
  <c r="BJ418" i="2"/>
  <c r="AN418" i="2"/>
  <c r="EB418" i="2"/>
  <c r="DD418" i="2"/>
  <c r="CF418" i="2"/>
  <c r="BH418" i="2"/>
  <c r="AL418" i="2"/>
  <c r="DZ418" i="2"/>
  <c r="DB418" i="2"/>
  <c r="CD418" i="2"/>
  <c r="BF418" i="2"/>
  <c r="AJ418" i="2"/>
  <c r="DX418" i="2"/>
  <c r="CZ418" i="2"/>
  <c r="CB418" i="2"/>
  <c r="BD418" i="2"/>
  <c r="AH418" i="2"/>
  <c r="DV418" i="2"/>
  <c r="CX418" i="2"/>
  <c r="BZ418" i="2"/>
  <c r="BB418" i="2"/>
  <c r="B32" i="51"/>
  <c r="B30" i="51"/>
  <c r="B31" i="51" s="1"/>
  <c r="B38" i="51"/>
  <c r="B33" i="51"/>
  <c r="B15" i="51"/>
  <c r="B25" i="51"/>
  <c r="B14" i="51"/>
  <c r="B34" i="51"/>
  <c r="B24" i="51"/>
  <c r="B13" i="51"/>
  <c r="B23" i="51"/>
  <c r="B39" i="51"/>
  <c r="B21" i="51"/>
  <c r="B20" i="51"/>
  <c r="B19" i="51"/>
  <c r="B18" i="51"/>
  <c r="B12" i="51"/>
  <c r="B17" i="51"/>
  <c r="B11" i="51"/>
  <c r="B10" i="51"/>
  <c r="B16" i="51"/>
  <c r="G419" i="2"/>
  <c r="AC419" i="2"/>
  <c r="AD419" i="2" s="1"/>
  <c r="E419" i="2"/>
  <c r="D419" i="2"/>
  <c r="V419" i="2"/>
  <c r="C420" i="2"/>
  <c r="M26" i="50"/>
  <c r="W417" i="2"/>
  <c r="B418" i="2"/>
  <c r="D4" i="51"/>
  <c r="C6" i="51"/>
  <c r="C8" i="51" s="1"/>
  <c r="B8" i="51"/>
  <c r="B9" i="51"/>
  <c r="B36" i="8"/>
  <c r="B36" i="9"/>
  <c r="E36" i="9"/>
  <c r="E36" i="8"/>
  <c r="B26" i="51" l="1"/>
  <c r="B57" i="51" s="1"/>
  <c r="C421" i="2"/>
  <c r="G420" i="2"/>
  <c r="AC420" i="2"/>
  <c r="AD420" i="2" s="1"/>
  <c r="E420" i="2"/>
  <c r="D420" i="2"/>
  <c r="F420" i="2" s="1"/>
  <c r="AB420" i="2" s="1"/>
  <c r="V420" i="2"/>
  <c r="C32" i="51"/>
  <c r="C30" i="51"/>
  <c r="C31" i="51" s="1"/>
  <c r="C39" i="51"/>
  <c r="C25" i="51"/>
  <c r="C14" i="51"/>
  <c r="C34" i="51"/>
  <c r="C24" i="51"/>
  <c r="C13" i="51"/>
  <c r="C23" i="51"/>
  <c r="C22" i="51"/>
  <c r="C21" i="51"/>
  <c r="C20" i="51"/>
  <c r="C33" i="51"/>
  <c r="C19" i="51"/>
  <c r="C18" i="51"/>
  <c r="C12" i="51"/>
  <c r="C38" i="51"/>
  <c r="C17" i="51"/>
  <c r="C11" i="51"/>
  <c r="C16" i="51"/>
  <c r="C10" i="51"/>
  <c r="C15" i="51"/>
  <c r="F419" i="2"/>
  <c r="AB419" i="2" s="1"/>
  <c r="C9" i="51"/>
  <c r="N26" i="50"/>
  <c r="M57" i="50"/>
  <c r="W418" i="2"/>
  <c r="B419" i="2"/>
  <c r="E4" i="51"/>
  <c r="D6" i="51"/>
  <c r="EB419" i="2"/>
  <c r="DD419" i="2"/>
  <c r="CF419" i="2"/>
  <c r="BH419" i="2"/>
  <c r="AJ419" i="2"/>
  <c r="DZ419" i="2"/>
  <c r="DB419" i="2"/>
  <c r="CD419" i="2"/>
  <c r="BF419" i="2"/>
  <c r="AH419" i="2"/>
  <c r="DX419" i="2"/>
  <c r="CZ419" i="2"/>
  <c r="CB419" i="2"/>
  <c r="BD419" i="2"/>
  <c r="DV419" i="2"/>
  <c r="CX419" i="2"/>
  <c r="BZ419" i="2"/>
  <c r="BB419" i="2"/>
  <c r="DT419" i="2"/>
  <c r="CV419" i="2"/>
  <c r="BX419" i="2"/>
  <c r="AZ419" i="2"/>
  <c r="DR419" i="2"/>
  <c r="CT419" i="2"/>
  <c r="BV419" i="2"/>
  <c r="AX419" i="2"/>
  <c r="DP419" i="2"/>
  <c r="CR419" i="2"/>
  <c r="BT419" i="2"/>
  <c r="AV419" i="2"/>
  <c r="DN419" i="2"/>
  <c r="CP419" i="2"/>
  <c r="BR419" i="2"/>
  <c r="AT419" i="2"/>
  <c r="A419" i="2"/>
  <c r="DL419" i="2"/>
  <c r="CN419" i="2"/>
  <c r="BP419" i="2"/>
  <c r="AR419" i="2"/>
  <c r="DJ419" i="2"/>
  <c r="CL419" i="2"/>
  <c r="BN419" i="2"/>
  <c r="AP419" i="2"/>
  <c r="S419" i="2"/>
  <c r="T419" i="2" s="1"/>
  <c r="DH419" i="2"/>
  <c r="CJ419" i="2"/>
  <c r="BL419" i="2"/>
  <c r="AN419" i="2"/>
  <c r="DF419" i="2"/>
  <c r="CH419" i="2"/>
  <c r="BJ419" i="2"/>
  <c r="AL419" i="2"/>
  <c r="F36" i="12"/>
  <c r="G36" i="10"/>
  <c r="F36" i="3"/>
  <c r="F36" i="4"/>
  <c r="C26" i="51" l="1"/>
  <c r="C57" i="51" s="1"/>
  <c r="H36" i="3"/>
  <c r="G36" i="3"/>
  <c r="H36" i="12"/>
  <c r="G36" i="12"/>
  <c r="DL420" i="2"/>
  <c r="CN420" i="2"/>
  <c r="BP420" i="2"/>
  <c r="AR420" i="2"/>
  <c r="DJ420" i="2"/>
  <c r="CL420" i="2"/>
  <c r="BN420" i="2"/>
  <c r="AP420" i="2"/>
  <c r="S420" i="2"/>
  <c r="T420" i="2" s="1"/>
  <c r="DH420" i="2"/>
  <c r="CJ420" i="2"/>
  <c r="BL420" i="2"/>
  <c r="AN420" i="2"/>
  <c r="DF420" i="2"/>
  <c r="CH420" i="2"/>
  <c r="BJ420" i="2"/>
  <c r="AL420" i="2"/>
  <c r="EB420" i="2"/>
  <c r="DD420" i="2"/>
  <c r="CF420" i="2"/>
  <c r="BH420" i="2"/>
  <c r="AJ420" i="2"/>
  <c r="DZ420" i="2"/>
  <c r="DB420" i="2"/>
  <c r="CD420" i="2"/>
  <c r="BF420" i="2"/>
  <c r="AH420" i="2"/>
  <c r="DX420" i="2"/>
  <c r="CZ420" i="2"/>
  <c r="CB420" i="2"/>
  <c r="BD420" i="2"/>
  <c r="DV420" i="2"/>
  <c r="CX420" i="2"/>
  <c r="BZ420" i="2"/>
  <c r="BB420" i="2"/>
  <c r="DT420" i="2"/>
  <c r="CV420" i="2"/>
  <c r="BX420" i="2"/>
  <c r="AZ420" i="2"/>
  <c r="DR420" i="2"/>
  <c r="CT420" i="2"/>
  <c r="BV420" i="2"/>
  <c r="AX420" i="2"/>
  <c r="DP420" i="2"/>
  <c r="CR420" i="2"/>
  <c r="BT420" i="2"/>
  <c r="AV420" i="2"/>
  <c r="BR420" i="2"/>
  <c r="AT420" i="2"/>
  <c r="A420" i="2"/>
  <c r="DN420" i="2"/>
  <c r="CP420" i="2"/>
  <c r="D421" i="2"/>
  <c r="V421" i="2"/>
  <c r="C422" i="2"/>
  <c r="G421" i="2"/>
  <c r="AC421" i="2"/>
  <c r="AD421" i="2" s="1"/>
  <c r="E421" i="2"/>
  <c r="N57" i="50"/>
  <c r="D30" i="51"/>
  <c r="D31" i="51" s="1"/>
  <c r="D39" i="51"/>
  <c r="D38" i="51"/>
  <c r="D34" i="51"/>
  <c r="D32" i="51"/>
  <c r="D25" i="51"/>
  <c r="D14" i="51"/>
  <c r="D24" i="51"/>
  <c r="D13" i="51"/>
  <c r="D23" i="51"/>
  <c r="D22" i="51"/>
  <c r="D20" i="51"/>
  <c r="D33" i="51"/>
  <c r="D19" i="51"/>
  <c r="D18" i="51"/>
  <c r="D17" i="51"/>
  <c r="D11" i="51"/>
  <c r="D16" i="51"/>
  <c r="D10" i="51"/>
  <c r="D15" i="51"/>
  <c r="D21" i="51"/>
  <c r="H60" i="50"/>
  <c r="B60" i="50"/>
  <c r="B27" i="50"/>
  <c r="C27" i="50"/>
  <c r="D27" i="50"/>
  <c r="E27" i="50"/>
  <c r="F27" i="50"/>
  <c r="G27" i="50"/>
  <c r="H27" i="50"/>
  <c r="I27" i="50"/>
  <c r="J27" i="50"/>
  <c r="K27" i="50"/>
  <c r="L27" i="50"/>
  <c r="M27" i="50"/>
  <c r="D8" i="51"/>
  <c r="D9" i="51"/>
  <c r="F4" i="51"/>
  <c r="E6" i="51"/>
  <c r="E9" i="51" s="1"/>
  <c r="W419" i="2"/>
  <c r="B420" i="2"/>
  <c r="J36" i="4"/>
  <c r="O36" i="3"/>
  <c r="B36" i="12"/>
  <c r="H36" i="4"/>
  <c r="E36" i="4"/>
  <c r="C36" i="10"/>
  <c r="K36" i="4"/>
  <c r="B36" i="4"/>
  <c r="G36" i="4"/>
  <c r="F36" i="10"/>
  <c r="E36" i="12"/>
  <c r="E36" i="3"/>
  <c r="I36" i="4"/>
  <c r="B36" i="3"/>
  <c r="E8" i="51" l="1"/>
  <c r="C36" i="4"/>
  <c r="O36" i="4"/>
  <c r="P36" i="4" s="1"/>
  <c r="AQ36" i="11" s="1"/>
  <c r="E36" i="5"/>
  <c r="E36" i="7"/>
  <c r="E36" i="6"/>
  <c r="C36" i="3"/>
  <c r="B36" i="6"/>
  <c r="B36" i="5"/>
  <c r="B36" i="7"/>
  <c r="H28" i="50"/>
  <c r="H58" i="50" s="1"/>
  <c r="H59" i="50" s="1"/>
  <c r="G28" i="50"/>
  <c r="G58" i="50" s="1"/>
  <c r="G59" i="50" s="1"/>
  <c r="F28" i="50"/>
  <c r="F58" i="50" s="1"/>
  <c r="F59" i="50" s="1"/>
  <c r="E28" i="50"/>
  <c r="E58" i="50" s="1"/>
  <c r="E59" i="50" s="1"/>
  <c r="D28" i="50"/>
  <c r="D26" i="51"/>
  <c r="N27" i="50"/>
  <c r="B28" i="50"/>
  <c r="B58" i="50" s="1"/>
  <c r="M28" i="50"/>
  <c r="M58" i="50" s="1"/>
  <c r="M59" i="50" s="1"/>
  <c r="DT421" i="2"/>
  <c r="CV421" i="2"/>
  <c r="BX421" i="2"/>
  <c r="AZ421" i="2"/>
  <c r="DR421" i="2"/>
  <c r="CT421" i="2"/>
  <c r="BV421" i="2"/>
  <c r="AX421" i="2"/>
  <c r="DP421" i="2"/>
  <c r="CR421" i="2"/>
  <c r="BT421" i="2"/>
  <c r="AV421" i="2"/>
  <c r="DN421" i="2"/>
  <c r="CP421" i="2"/>
  <c r="BR421" i="2"/>
  <c r="AT421" i="2"/>
  <c r="A421" i="2"/>
  <c r="DL421" i="2"/>
  <c r="CN421" i="2"/>
  <c r="BP421" i="2"/>
  <c r="AR421" i="2"/>
  <c r="DJ421" i="2"/>
  <c r="CL421" i="2"/>
  <c r="BN421" i="2"/>
  <c r="AP421" i="2"/>
  <c r="S421" i="2"/>
  <c r="T421" i="2" s="1"/>
  <c r="DH421" i="2"/>
  <c r="CJ421" i="2"/>
  <c r="BL421" i="2"/>
  <c r="AN421" i="2"/>
  <c r="DF421" i="2"/>
  <c r="CH421" i="2"/>
  <c r="BJ421" i="2"/>
  <c r="AL421" i="2"/>
  <c r="EB421" i="2"/>
  <c r="DD421" i="2"/>
  <c r="CF421" i="2"/>
  <c r="BH421" i="2"/>
  <c r="AJ421" i="2"/>
  <c r="DZ421" i="2"/>
  <c r="DB421" i="2"/>
  <c r="CD421" i="2"/>
  <c r="BF421" i="2"/>
  <c r="AH421" i="2"/>
  <c r="DX421" i="2"/>
  <c r="CZ421" i="2"/>
  <c r="CB421" i="2"/>
  <c r="BD421" i="2"/>
  <c r="DV421" i="2"/>
  <c r="CX421" i="2"/>
  <c r="BZ421" i="2"/>
  <c r="BB421" i="2"/>
  <c r="E30" i="51"/>
  <c r="E31" i="51" s="1"/>
  <c r="E39" i="51"/>
  <c r="E38" i="51"/>
  <c r="E34" i="51"/>
  <c r="E33" i="51"/>
  <c r="E24" i="51"/>
  <c r="E13" i="51"/>
  <c r="E23" i="51"/>
  <c r="E22" i="51"/>
  <c r="E20" i="51"/>
  <c r="E19" i="51"/>
  <c r="E18" i="51"/>
  <c r="E17" i="51"/>
  <c r="E11" i="51"/>
  <c r="E16" i="51"/>
  <c r="E10" i="51"/>
  <c r="E15" i="51"/>
  <c r="E32" i="51"/>
  <c r="E25" i="51"/>
  <c r="E14" i="51"/>
  <c r="E21" i="51"/>
  <c r="L28" i="50"/>
  <c r="L58" i="50" s="1"/>
  <c r="L59" i="50" s="1"/>
  <c r="G422" i="2"/>
  <c r="AC422" i="2"/>
  <c r="AD422" i="2" s="1"/>
  <c r="E422" i="2"/>
  <c r="D422" i="2"/>
  <c r="F422" i="2" s="1"/>
  <c r="AB422" i="2" s="1"/>
  <c r="V422" i="2"/>
  <c r="C423" i="2"/>
  <c r="K28" i="50"/>
  <c r="K58" i="50" s="1"/>
  <c r="K59" i="50" s="1"/>
  <c r="W420" i="2"/>
  <c r="B421" i="2"/>
  <c r="C28" i="50"/>
  <c r="J28" i="50"/>
  <c r="J58" i="50" s="1"/>
  <c r="J59" i="50" s="1"/>
  <c r="F421" i="2"/>
  <c r="AB421" i="2" s="1"/>
  <c r="G4" i="51"/>
  <c r="F6" i="51"/>
  <c r="I28" i="50"/>
  <c r="I58" i="50" s="1"/>
  <c r="I59" i="50" s="1"/>
  <c r="H36" i="10"/>
  <c r="J36" i="10" l="1"/>
  <c r="K36" i="10" s="1"/>
  <c r="I36" i="10"/>
  <c r="D58" i="50"/>
  <c r="D59" i="50" s="1"/>
  <c r="C58" i="50"/>
  <c r="C59" i="50" s="1"/>
  <c r="D36" i="11"/>
  <c r="AN36" i="11" s="1"/>
  <c r="D36" i="5"/>
  <c r="D36" i="6" s="1"/>
  <c r="E26" i="51"/>
  <c r="F30" i="51"/>
  <c r="F31" i="51" s="1"/>
  <c r="F39" i="51"/>
  <c r="F38" i="51"/>
  <c r="F34" i="51"/>
  <c r="F33" i="51"/>
  <c r="F24" i="51"/>
  <c r="F13" i="51"/>
  <c r="F23" i="51"/>
  <c r="F22" i="51"/>
  <c r="F20" i="51"/>
  <c r="F19" i="51"/>
  <c r="F18" i="51"/>
  <c r="F17" i="51"/>
  <c r="F11" i="51"/>
  <c r="F16" i="51"/>
  <c r="F10" i="51"/>
  <c r="F15" i="51"/>
  <c r="F32" i="51"/>
  <c r="F25" i="51"/>
  <c r="F14" i="51"/>
  <c r="F21" i="51"/>
  <c r="F9" i="51"/>
  <c r="EB422" i="2"/>
  <c r="DD422" i="2"/>
  <c r="CF422" i="2"/>
  <c r="BH422" i="2"/>
  <c r="AJ422" i="2"/>
  <c r="DZ422" i="2"/>
  <c r="DB422" i="2"/>
  <c r="CD422" i="2"/>
  <c r="BF422" i="2"/>
  <c r="AH422" i="2"/>
  <c r="DX422" i="2"/>
  <c r="CZ422" i="2"/>
  <c r="CB422" i="2"/>
  <c r="BD422" i="2"/>
  <c r="DV422" i="2"/>
  <c r="CX422" i="2"/>
  <c r="BZ422" i="2"/>
  <c r="BB422" i="2"/>
  <c r="DT422" i="2"/>
  <c r="CV422" i="2"/>
  <c r="BX422" i="2"/>
  <c r="AZ422" i="2"/>
  <c r="DR422" i="2"/>
  <c r="CT422" i="2"/>
  <c r="BV422" i="2"/>
  <c r="AX422" i="2"/>
  <c r="DP422" i="2"/>
  <c r="CR422" i="2"/>
  <c r="BT422" i="2"/>
  <c r="AV422" i="2"/>
  <c r="DN422" i="2"/>
  <c r="CP422" i="2"/>
  <c r="BR422" i="2"/>
  <c r="AT422" i="2"/>
  <c r="A422" i="2"/>
  <c r="DL422" i="2"/>
  <c r="CN422" i="2"/>
  <c r="BP422" i="2"/>
  <c r="AR422" i="2"/>
  <c r="DJ422" i="2"/>
  <c r="CL422" i="2"/>
  <c r="BN422" i="2"/>
  <c r="AP422" i="2"/>
  <c r="S422" i="2"/>
  <c r="T422" i="2" s="1"/>
  <c r="DH422" i="2"/>
  <c r="CJ422" i="2"/>
  <c r="BL422" i="2"/>
  <c r="AN422" i="2"/>
  <c r="DF422" i="2"/>
  <c r="CH422" i="2"/>
  <c r="BJ422" i="2"/>
  <c r="AL422" i="2"/>
  <c r="H4" i="51"/>
  <c r="G6" i="51"/>
  <c r="W421" i="2"/>
  <c r="B422" i="2"/>
  <c r="F8" i="51"/>
  <c r="B59" i="50"/>
  <c r="C424" i="2"/>
  <c r="G423" i="2"/>
  <c r="AC423" i="2"/>
  <c r="AD423" i="2" s="1"/>
  <c r="E423" i="2"/>
  <c r="D423" i="2"/>
  <c r="F423" i="2" s="1"/>
  <c r="AB423" i="2" s="1"/>
  <c r="V423" i="2"/>
  <c r="N28" i="50"/>
  <c r="D57" i="51"/>
  <c r="N58" i="50" l="1"/>
  <c r="N59" i="50" s="1"/>
  <c r="F60" i="50" s="1"/>
  <c r="G60" i="50" s="1"/>
  <c r="AO36" i="11"/>
  <c r="AG36" i="11"/>
  <c r="AF36" i="11"/>
  <c r="U36" i="11"/>
  <c r="M36" i="11"/>
  <c r="Y36" i="11"/>
  <c r="AK36" i="11"/>
  <c r="Q36" i="11"/>
  <c r="AC36" i="11"/>
  <c r="DL423" i="2"/>
  <c r="CN423" i="2"/>
  <c r="BP423" i="2"/>
  <c r="AR423" i="2"/>
  <c r="DJ423" i="2"/>
  <c r="CL423" i="2"/>
  <c r="BN423" i="2"/>
  <c r="AP423" i="2"/>
  <c r="S423" i="2"/>
  <c r="T423" i="2" s="1"/>
  <c r="DH423" i="2"/>
  <c r="CJ423" i="2"/>
  <c r="BL423" i="2"/>
  <c r="AN423" i="2"/>
  <c r="DF423" i="2"/>
  <c r="CH423" i="2"/>
  <c r="BJ423" i="2"/>
  <c r="AL423" i="2"/>
  <c r="EB423" i="2"/>
  <c r="DD423" i="2"/>
  <c r="CF423" i="2"/>
  <c r="BH423" i="2"/>
  <c r="AJ423" i="2"/>
  <c r="DZ423" i="2"/>
  <c r="DB423" i="2"/>
  <c r="CD423" i="2"/>
  <c r="BF423" i="2"/>
  <c r="AH423" i="2"/>
  <c r="DX423" i="2"/>
  <c r="CZ423" i="2"/>
  <c r="CB423" i="2"/>
  <c r="BD423" i="2"/>
  <c r="DV423" i="2"/>
  <c r="CX423" i="2"/>
  <c r="BZ423" i="2"/>
  <c r="BB423" i="2"/>
  <c r="DT423" i="2"/>
  <c r="CV423" i="2"/>
  <c r="BX423" i="2"/>
  <c r="AZ423" i="2"/>
  <c r="DR423" i="2"/>
  <c r="CT423" i="2"/>
  <c r="BV423" i="2"/>
  <c r="AX423" i="2"/>
  <c r="DP423" i="2"/>
  <c r="CR423" i="2"/>
  <c r="BT423" i="2"/>
  <c r="AV423" i="2"/>
  <c r="A423" i="2"/>
  <c r="DN423" i="2"/>
  <c r="CP423" i="2"/>
  <c r="BR423" i="2"/>
  <c r="AT423" i="2"/>
  <c r="J36" i="11"/>
  <c r="N36" i="11"/>
  <c r="R36" i="11"/>
  <c r="V36" i="11"/>
  <c r="Z36" i="11"/>
  <c r="AD36" i="11"/>
  <c r="AH36" i="11"/>
  <c r="AL36" i="11"/>
  <c r="AP36" i="11"/>
  <c r="K36" i="11"/>
  <c r="O36" i="11"/>
  <c r="W36" i="11"/>
  <c r="AA36" i="11"/>
  <c r="W422" i="2"/>
  <c r="B423" i="2"/>
  <c r="G39" i="51"/>
  <c r="G38" i="51"/>
  <c r="G33" i="51"/>
  <c r="G32" i="51"/>
  <c r="G30" i="51"/>
  <c r="G31" i="51" s="1"/>
  <c r="G23" i="51"/>
  <c r="G22" i="51"/>
  <c r="G34" i="51"/>
  <c r="G20" i="51"/>
  <c r="G19" i="51"/>
  <c r="G18" i="51"/>
  <c r="G17" i="51"/>
  <c r="G11" i="51"/>
  <c r="G16" i="51"/>
  <c r="G10" i="51"/>
  <c r="G15" i="51"/>
  <c r="G25" i="51"/>
  <c r="G14" i="51"/>
  <c r="G24" i="51"/>
  <c r="G13" i="51"/>
  <c r="G21" i="51"/>
  <c r="S36" i="11"/>
  <c r="AI36" i="11"/>
  <c r="AM36" i="11"/>
  <c r="D424" i="2"/>
  <c r="F424" i="2" s="1"/>
  <c r="AB424" i="2" s="1"/>
  <c r="V424" i="2"/>
  <c r="C425" i="2"/>
  <c r="G424" i="2"/>
  <c r="AC424" i="2"/>
  <c r="AD424" i="2" s="1"/>
  <c r="E424" i="2"/>
  <c r="F26" i="51"/>
  <c r="E57" i="51"/>
  <c r="AE36" i="11"/>
  <c r="L36" i="11"/>
  <c r="P36" i="11"/>
  <c r="G8" i="51"/>
  <c r="G9" i="51"/>
  <c r="D36" i="7"/>
  <c r="D36" i="8" s="1"/>
  <c r="D36" i="9" s="1"/>
  <c r="D36" i="10" s="1"/>
  <c r="C36" i="12" s="1"/>
  <c r="R36" i="6"/>
  <c r="X36" i="11"/>
  <c r="AB36" i="11"/>
  <c r="I4" i="51"/>
  <c r="H6" i="51"/>
  <c r="H7" i="51" s="1"/>
  <c r="T36" i="11"/>
  <c r="AJ36" i="11"/>
  <c r="I60" i="50" l="1"/>
  <c r="G26" i="51"/>
  <c r="G57" i="51" s="1"/>
  <c r="W423" i="2"/>
  <c r="B424" i="2"/>
  <c r="H38" i="51"/>
  <c r="H34" i="51"/>
  <c r="H32" i="51"/>
  <c r="H39" i="51"/>
  <c r="H22" i="51"/>
  <c r="H20" i="51"/>
  <c r="H19" i="51"/>
  <c r="H18" i="51"/>
  <c r="N7" i="51"/>
  <c r="H30" i="51"/>
  <c r="H31" i="51" s="1"/>
  <c r="H17" i="51"/>
  <c r="H11" i="51"/>
  <c r="H33" i="51"/>
  <c r="H16" i="51"/>
  <c r="H10" i="51"/>
  <c r="H15" i="51"/>
  <c r="H25" i="51"/>
  <c r="H14" i="51"/>
  <c r="H24" i="51"/>
  <c r="H13" i="51"/>
  <c r="H23" i="51"/>
  <c r="H21" i="51"/>
  <c r="J4" i="51"/>
  <c r="I6" i="51"/>
  <c r="I9" i="51" s="1"/>
  <c r="G36" i="11"/>
  <c r="H8" i="51"/>
  <c r="H9" i="51"/>
  <c r="F57" i="51"/>
  <c r="DT424" i="2"/>
  <c r="CV424" i="2"/>
  <c r="BX424" i="2"/>
  <c r="AZ424" i="2"/>
  <c r="DR424" i="2"/>
  <c r="CT424" i="2"/>
  <c r="BV424" i="2"/>
  <c r="AX424" i="2"/>
  <c r="DP424" i="2"/>
  <c r="CR424" i="2"/>
  <c r="BT424" i="2"/>
  <c r="AV424" i="2"/>
  <c r="DN424" i="2"/>
  <c r="CP424" i="2"/>
  <c r="BR424" i="2"/>
  <c r="AT424" i="2"/>
  <c r="A424" i="2"/>
  <c r="DL424" i="2"/>
  <c r="CN424" i="2"/>
  <c r="BP424" i="2"/>
  <c r="AR424" i="2"/>
  <c r="DJ424" i="2"/>
  <c r="CL424" i="2"/>
  <c r="BN424" i="2"/>
  <c r="AP424" i="2"/>
  <c r="S424" i="2"/>
  <c r="T424" i="2" s="1"/>
  <c r="DH424" i="2"/>
  <c r="CJ424" i="2"/>
  <c r="BL424" i="2"/>
  <c r="AN424" i="2"/>
  <c r="DF424" i="2"/>
  <c r="CH424" i="2"/>
  <c r="BJ424" i="2"/>
  <c r="AL424" i="2"/>
  <c r="EB424" i="2"/>
  <c r="DD424" i="2"/>
  <c r="CF424" i="2"/>
  <c r="BH424" i="2"/>
  <c r="AJ424" i="2"/>
  <c r="DZ424" i="2"/>
  <c r="DB424" i="2"/>
  <c r="CD424" i="2"/>
  <c r="BF424" i="2"/>
  <c r="AH424" i="2"/>
  <c r="DX424" i="2"/>
  <c r="CZ424" i="2"/>
  <c r="CB424" i="2"/>
  <c r="BD424" i="2"/>
  <c r="BB424" i="2"/>
  <c r="DV424" i="2"/>
  <c r="CX424" i="2"/>
  <c r="BZ424" i="2"/>
  <c r="G425" i="2"/>
  <c r="AC425" i="2"/>
  <c r="AD425" i="2" s="1"/>
  <c r="E425" i="2"/>
  <c r="D425" i="2"/>
  <c r="F425" i="2" s="1"/>
  <c r="AB425" i="2" s="1"/>
  <c r="V425" i="2"/>
  <c r="C426" i="2"/>
  <c r="C427" i="2" l="1"/>
  <c r="G426" i="2"/>
  <c r="AC426" i="2"/>
  <c r="AD426" i="2" s="1"/>
  <c r="E426" i="2"/>
  <c r="D426" i="2"/>
  <c r="F426" i="2" s="1"/>
  <c r="AB426" i="2" s="1"/>
  <c r="V426" i="2"/>
  <c r="W424" i="2"/>
  <c r="B425" i="2"/>
  <c r="H36" i="11"/>
  <c r="C36" i="11"/>
  <c r="E36" i="11" s="1"/>
  <c r="H26" i="51"/>
  <c r="I34" i="51"/>
  <c r="I33" i="51"/>
  <c r="I32" i="51"/>
  <c r="I38" i="51"/>
  <c r="I20" i="51"/>
  <c r="I19" i="51"/>
  <c r="I18" i="51"/>
  <c r="I30" i="51"/>
  <c r="I31" i="51" s="1"/>
  <c r="I17" i="51"/>
  <c r="I11" i="51"/>
  <c r="I16" i="51"/>
  <c r="I10" i="51"/>
  <c r="I39" i="51"/>
  <c r="I15" i="51"/>
  <c r="I25" i="51"/>
  <c r="I14" i="51"/>
  <c r="I24" i="51"/>
  <c r="I13" i="51"/>
  <c r="I23" i="51"/>
  <c r="I22" i="51"/>
  <c r="I21" i="51"/>
  <c r="K4" i="51"/>
  <c r="J6" i="51"/>
  <c r="EB425" i="2"/>
  <c r="DD425" i="2"/>
  <c r="CF425" i="2"/>
  <c r="BH425" i="2"/>
  <c r="AJ425" i="2"/>
  <c r="DZ425" i="2"/>
  <c r="DB425" i="2"/>
  <c r="CD425" i="2"/>
  <c r="BF425" i="2"/>
  <c r="AH425" i="2"/>
  <c r="DX425" i="2"/>
  <c r="CZ425" i="2"/>
  <c r="CB425" i="2"/>
  <c r="BD425" i="2"/>
  <c r="DV425" i="2"/>
  <c r="CX425" i="2"/>
  <c r="BZ425" i="2"/>
  <c r="BB425" i="2"/>
  <c r="DT425" i="2"/>
  <c r="CV425" i="2"/>
  <c r="BX425" i="2"/>
  <c r="AZ425" i="2"/>
  <c r="DR425" i="2"/>
  <c r="CT425" i="2"/>
  <c r="BV425" i="2"/>
  <c r="AX425" i="2"/>
  <c r="DP425" i="2"/>
  <c r="CR425" i="2"/>
  <c r="BT425" i="2"/>
  <c r="AV425" i="2"/>
  <c r="DN425" i="2"/>
  <c r="CP425" i="2"/>
  <c r="BR425" i="2"/>
  <c r="AT425" i="2"/>
  <c r="A425" i="2"/>
  <c r="DL425" i="2"/>
  <c r="CN425" i="2"/>
  <c r="BP425" i="2"/>
  <c r="AR425" i="2"/>
  <c r="DJ425" i="2"/>
  <c r="CL425" i="2"/>
  <c r="BN425" i="2"/>
  <c r="AP425" i="2"/>
  <c r="S425" i="2"/>
  <c r="T425" i="2" s="1"/>
  <c r="DH425" i="2"/>
  <c r="CJ425" i="2"/>
  <c r="BL425" i="2"/>
  <c r="AN425" i="2"/>
  <c r="DF425" i="2"/>
  <c r="CH425" i="2"/>
  <c r="BJ425" i="2"/>
  <c r="AL425" i="2"/>
  <c r="I8" i="51"/>
  <c r="I26" i="51" l="1"/>
  <c r="I57" i="51" s="1"/>
  <c r="H57" i="51"/>
  <c r="J34" i="51"/>
  <c r="J33" i="51"/>
  <c r="J30" i="51"/>
  <c r="J31" i="51" s="1"/>
  <c r="J19" i="51"/>
  <c r="J18" i="51"/>
  <c r="J17" i="51"/>
  <c r="J11" i="51"/>
  <c r="J16" i="51"/>
  <c r="J10" i="51"/>
  <c r="J39" i="51"/>
  <c r="J15" i="51"/>
  <c r="J25" i="51"/>
  <c r="J14" i="51"/>
  <c r="J12" i="51"/>
  <c r="J38" i="51"/>
  <c r="J32" i="51"/>
  <c r="J24" i="51"/>
  <c r="J13" i="51"/>
  <c r="J23" i="51"/>
  <c r="J22" i="51"/>
  <c r="J20" i="51"/>
  <c r="J21" i="51"/>
  <c r="L4" i="51"/>
  <c r="K6" i="51"/>
  <c r="W425" i="2"/>
  <c r="B426" i="2"/>
  <c r="J8" i="51"/>
  <c r="DL426" i="2"/>
  <c r="CN426" i="2"/>
  <c r="BP426" i="2"/>
  <c r="AR426" i="2"/>
  <c r="DJ426" i="2"/>
  <c r="CL426" i="2"/>
  <c r="BN426" i="2"/>
  <c r="AP426" i="2"/>
  <c r="S426" i="2"/>
  <c r="T426" i="2" s="1"/>
  <c r="DH426" i="2"/>
  <c r="CJ426" i="2"/>
  <c r="BL426" i="2"/>
  <c r="AN426" i="2"/>
  <c r="DF426" i="2"/>
  <c r="CH426" i="2"/>
  <c r="BJ426" i="2"/>
  <c r="AL426" i="2"/>
  <c r="EB426" i="2"/>
  <c r="DD426" i="2"/>
  <c r="CF426" i="2"/>
  <c r="BH426" i="2"/>
  <c r="AJ426" i="2"/>
  <c r="DZ426" i="2"/>
  <c r="DB426" i="2"/>
  <c r="CD426" i="2"/>
  <c r="BF426" i="2"/>
  <c r="AH426" i="2"/>
  <c r="DX426" i="2"/>
  <c r="CZ426" i="2"/>
  <c r="CB426" i="2"/>
  <c r="BD426" i="2"/>
  <c r="DV426" i="2"/>
  <c r="CX426" i="2"/>
  <c r="BZ426" i="2"/>
  <c r="BB426" i="2"/>
  <c r="DT426" i="2"/>
  <c r="CV426" i="2"/>
  <c r="BX426" i="2"/>
  <c r="AZ426" i="2"/>
  <c r="DR426" i="2"/>
  <c r="CT426" i="2"/>
  <c r="BV426" i="2"/>
  <c r="AX426" i="2"/>
  <c r="DP426" i="2"/>
  <c r="CR426" i="2"/>
  <c r="BT426" i="2"/>
  <c r="AV426" i="2"/>
  <c r="A426" i="2"/>
  <c r="DN426" i="2"/>
  <c r="CP426" i="2"/>
  <c r="BR426" i="2"/>
  <c r="AT426" i="2"/>
  <c r="J9" i="51"/>
  <c r="D427" i="2"/>
  <c r="V427" i="2"/>
  <c r="C428" i="2"/>
  <c r="G427" i="2"/>
  <c r="E427" i="2"/>
  <c r="AC427" i="2"/>
  <c r="AD427" i="2" s="1"/>
  <c r="F427" i="2" l="1"/>
  <c r="AB427" i="2" s="1"/>
  <c r="J26" i="51"/>
  <c r="J57" i="51" s="1"/>
  <c r="K34" i="51"/>
  <c r="K33" i="51"/>
  <c r="K32" i="51"/>
  <c r="K30" i="51"/>
  <c r="K31" i="51" s="1"/>
  <c r="K39" i="51"/>
  <c r="K18" i="51"/>
  <c r="K17" i="51"/>
  <c r="K11" i="51"/>
  <c r="K16" i="51"/>
  <c r="K10" i="51"/>
  <c r="K15" i="51"/>
  <c r="K25" i="51"/>
  <c r="K14" i="51"/>
  <c r="K12" i="51"/>
  <c r="N12" i="51" s="1"/>
  <c r="K38" i="51"/>
  <c r="K24" i="51"/>
  <c r="K13" i="51"/>
  <c r="K23" i="51"/>
  <c r="K22" i="51"/>
  <c r="K20" i="51"/>
  <c r="K19" i="51"/>
  <c r="K21" i="51"/>
  <c r="G428" i="2"/>
  <c r="AC428" i="2"/>
  <c r="AD428" i="2" s="1"/>
  <c r="E428" i="2"/>
  <c r="D428" i="2"/>
  <c r="V428" i="2"/>
  <c r="C429" i="2"/>
  <c r="M4" i="51"/>
  <c r="L6" i="51"/>
  <c r="W426" i="2"/>
  <c r="B427" i="2"/>
  <c r="DT427" i="2"/>
  <c r="CV427" i="2"/>
  <c r="BX427" i="2"/>
  <c r="AZ427" i="2"/>
  <c r="DR427" i="2"/>
  <c r="CT427" i="2"/>
  <c r="BV427" i="2"/>
  <c r="AX427" i="2"/>
  <c r="DP427" i="2"/>
  <c r="CR427" i="2"/>
  <c r="BT427" i="2"/>
  <c r="AV427" i="2"/>
  <c r="DN427" i="2"/>
  <c r="CP427" i="2"/>
  <c r="BR427" i="2"/>
  <c r="AT427" i="2"/>
  <c r="A427" i="2"/>
  <c r="DL427" i="2"/>
  <c r="CN427" i="2"/>
  <c r="BP427" i="2"/>
  <c r="AR427" i="2"/>
  <c r="DJ427" i="2"/>
  <c r="CL427" i="2"/>
  <c r="BN427" i="2"/>
  <c r="AP427" i="2"/>
  <c r="S427" i="2"/>
  <c r="T427" i="2" s="1"/>
  <c r="DH427" i="2"/>
  <c r="CJ427" i="2"/>
  <c r="BL427" i="2"/>
  <c r="AN427" i="2"/>
  <c r="DF427" i="2"/>
  <c r="CH427" i="2"/>
  <c r="BJ427" i="2"/>
  <c r="AL427" i="2"/>
  <c r="EB427" i="2"/>
  <c r="DD427" i="2"/>
  <c r="CF427" i="2"/>
  <c r="BH427" i="2"/>
  <c r="AJ427" i="2"/>
  <c r="DZ427" i="2"/>
  <c r="DB427" i="2"/>
  <c r="CD427" i="2"/>
  <c r="BF427" i="2"/>
  <c r="AH427" i="2"/>
  <c r="DX427" i="2"/>
  <c r="CZ427" i="2"/>
  <c r="CB427" i="2"/>
  <c r="BD427" i="2"/>
  <c r="DV427" i="2"/>
  <c r="CX427" i="2"/>
  <c r="BZ427" i="2"/>
  <c r="BB427" i="2"/>
  <c r="K8" i="51"/>
  <c r="K9" i="51"/>
  <c r="I37" i="9"/>
  <c r="H37" i="9"/>
  <c r="K26" i="51" l="1"/>
  <c r="K57" i="51" s="1"/>
  <c r="EB428" i="2"/>
  <c r="DD428" i="2"/>
  <c r="CF428" i="2"/>
  <c r="BH428" i="2"/>
  <c r="AJ428" i="2"/>
  <c r="DZ428" i="2"/>
  <c r="DB428" i="2"/>
  <c r="CD428" i="2"/>
  <c r="BF428" i="2"/>
  <c r="AH428" i="2"/>
  <c r="DX428" i="2"/>
  <c r="CZ428" i="2"/>
  <c r="CB428" i="2"/>
  <c r="BD428" i="2"/>
  <c r="DV428" i="2"/>
  <c r="CX428" i="2"/>
  <c r="BZ428" i="2"/>
  <c r="BB428" i="2"/>
  <c r="DT428" i="2"/>
  <c r="CV428" i="2"/>
  <c r="BX428" i="2"/>
  <c r="AZ428" i="2"/>
  <c r="DR428" i="2"/>
  <c r="CT428" i="2"/>
  <c r="BV428" i="2"/>
  <c r="AX428" i="2"/>
  <c r="DP428" i="2"/>
  <c r="CR428" i="2"/>
  <c r="BT428" i="2"/>
  <c r="AV428" i="2"/>
  <c r="DN428" i="2"/>
  <c r="CP428" i="2"/>
  <c r="BR428" i="2"/>
  <c r="AT428" i="2"/>
  <c r="A428" i="2"/>
  <c r="DL428" i="2"/>
  <c r="CN428" i="2"/>
  <c r="BP428" i="2"/>
  <c r="AR428" i="2"/>
  <c r="DJ428" i="2"/>
  <c r="CL428" i="2"/>
  <c r="BN428" i="2"/>
  <c r="AP428" i="2"/>
  <c r="S428" i="2"/>
  <c r="T428" i="2" s="1"/>
  <c r="DH428" i="2"/>
  <c r="CJ428" i="2"/>
  <c r="BL428" i="2"/>
  <c r="AN428" i="2"/>
  <c r="BJ428" i="2"/>
  <c r="AL428" i="2"/>
  <c r="DF428" i="2"/>
  <c r="CH428" i="2"/>
  <c r="L34" i="51"/>
  <c r="L33" i="51"/>
  <c r="L32" i="51"/>
  <c r="L30" i="51"/>
  <c r="L31" i="51" s="1"/>
  <c r="L39" i="51"/>
  <c r="L38" i="51"/>
  <c r="L17" i="51"/>
  <c r="L11" i="51"/>
  <c r="L16" i="51"/>
  <c r="L10" i="51"/>
  <c r="L15" i="51"/>
  <c r="L25" i="51"/>
  <c r="L14" i="51"/>
  <c r="L24" i="51"/>
  <c r="L13" i="51"/>
  <c r="L23" i="51"/>
  <c r="L22" i="51"/>
  <c r="L20" i="51"/>
  <c r="L19" i="51"/>
  <c r="L18" i="51"/>
  <c r="L21" i="51"/>
  <c r="B4" i="52"/>
  <c r="M6" i="51"/>
  <c r="M9" i="51" s="1"/>
  <c r="L8" i="51"/>
  <c r="L9" i="51"/>
  <c r="AC429" i="2"/>
  <c r="AD429" i="2" s="1"/>
  <c r="G429" i="2"/>
  <c r="E429" i="2"/>
  <c r="D429" i="2"/>
  <c r="F429" i="2" s="1"/>
  <c r="AB429" i="2" s="1"/>
  <c r="C430" i="2"/>
  <c r="V429" i="2"/>
  <c r="W427" i="2"/>
  <c r="B428" i="2"/>
  <c r="F428" i="2"/>
  <c r="AB428" i="2" s="1"/>
  <c r="N9" i="51" l="1"/>
  <c r="L26" i="51"/>
  <c r="L57" i="51" s="1"/>
  <c r="C431" i="2"/>
  <c r="G430" i="2"/>
  <c r="AC430" i="2"/>
  <c r="AD430" i="2" s="1"/>
  <c r="E430" i="2"/>
  <c r="D430" i="2"/>
  <c r="V430" i="2"/>
  <c r="DH429" i="2"/>
  <c r="CJ429" i="2"/>
  <c r="BL429" i="2"/>
  <c r="AN429" i="2"/>
  <c r="DF429" i="2"/>
  <c r="CH429" i="2"/>
  <c r="BJ429" i="2"/>
  <c r="AL429" i="2"/>
  <c r="S429" i="2"/>
  <c r="T429" i="2" s="1"/>
  <c r="EB429" i="2"/>
  <c r="DD429" i="2"/>
  <c r="CF429" i="2"/>
  <c r="BH429" i="2"/>
  <c r="AJ429" i="2"/>
  <c r="DZ429" i="2"/>
  <c r="DB429" i="2"/>
  <c r="CD429" i="2"/>
  <c r="BF429" i="2"/>
  <c r="AH429" i="2"/>
  <c r="DX429" i="2"/>
  <c r="CZ429" i="2"/>
  <c r="CB429" i="2"/>
  <c r="BD429" i="2"/>
  <c r="DV429" i="2"/>
  <c r="CX429" i="2"/>
  <c r="BZ429" i="2"/>
  <c r="BB429" i="2"/>
  <c r="DT429" i="2"/>
  <c r="CV429" i="2"/>
  <c r="BX429" i="2"/>
  <c r="AZ429" i="2"/>
  <c r="DR429" i="2"/>
  <c r="CT429" i="2"/>
  <c r="BV429" i="2"/>
  <c r="AX429" i="2"/>
  <c r="DP429" i="2"/>
  <c r="CR429" i="2"/>
  <c r="BT429" i="2"/>
  <c r="AV429" i="2"/>
  <c r="DN429" i="2"/>
  <c r="CP429" i="2"/>
  <c r="BR429" i="2"/>
  <c r="AT429" i="2"/>
  <c r="DL429" i="2"/>
  <c r="CN429" i="2"/>
  <c r="BP429" i="2"/>
  <c r="AR429" i="2"/>
  <c r="DJ429" i="2"/>
  <c r="CL429" i="2"/>
  <c r="BN429" i="2"/>
  <c r="AP429" i="2"/>
  <c r="A429" i="2"/>
  <c r="M33" i="51"/>
  <c r="N33" i="51" s="1"/>
  <c r="M32" i="51"/>
  <c r="N32" i="51" s="1"/>
  <c r="M39" i="51"/>
  <c r="N39" i="51" s="1"/>
  <c r="M38" i="51"/>
  <c r="N38" i="51" s="1"/>
  <c r="M34" i="51"/>
  <c r="N34" i="51" s="1"/>
  <c r="M16" i="51"/>
  <c r="N16" i="51" s="1"/>
  <c r="M10" i="51"/>
  <c r="N10" i="51" s="1"/>
  <c r="M15" i="51"/>
  <c r="N15" i="51" s="1"/>
  <c r="M30" i="51"/>
  <c r="N30" i="51" s="1"/>
  <c r="M25" i="51"/>
  <c r="N25" i="51" s="1"/>
  <c r="M14" i="51"/>
  <c r="N14" i="51" s="1"/>
  <c r="M24" i="51"/>
  <c r="N24" i="51" s="1"/>
  <c r="M13" i="51"/>
  <c r="N13" i="51" s="1"/>
  <c r="M23" i="51"/>
  <c r="N23" i="51" s="1"/>
  <c r="M22" i="51"/>
  <c r="N22" i="51" s="1"/>
  <c r="M20" i="51"/>
  <c r="N20" i="51" s="1"/>
  <c r="M19" i="51"/>
  <c r="N19" i="51" s="1"/>
  <c r="M18" i="51"/>
  <c r="N18" i="51" s="1"/>
  <c r="M17" i="51"/>
  <c r="N17" i="51" s="1"/>
  <c r="M11" i="51"/>
  <c r="N11" i="51" s="1"/>
  <c r="N6" i="51"/>
  <c r="M21" i="51"/>
  <c r="N21" i="51" s="1"/>
  <c r="W428" i="2"/>
  <c r="B429" i="2"/>
  <c r="C4" i="52"/>
  <c r="B6" i="52"/>
  <c r="B7" i="52" s="1"/>
  <c r="M8" i="51"/>
  <c r="N8" i="51" s="1"/>
  <c r="L37" i="8"/>
  <c r="F37" i="9"/>
  <c r="J37" i="9"/>
  <c r="L37" i="9"/>
  <c r="K37" i="9"/>
  <c r="N37" i="9"/>
  <c r="M37" i="9"/>
  <c r="O37" i="8"/>
  <c r="G37" i="9"/>
  <c r="I37" i="8"/>
  <c r="F37" i="8"/>
  <c r="K37" i="8" l="1"/>
  <c r="Q37" i="8"/>
  <c r="N37" i="8"/>
  <c r="M31" i="51"/>
  <c r="N31" i="51" s="1"/>
  <c r="R37" i="8"/>
  <c r="S37" i="8" s="1"/>
  <c r="H37" i="8"/>
  <c r="G37" i="8"/>
  <c r="M37" i="8"/>
  <c r="J37" i="8"/>
  <c r="P37" i="8"/>
  <c r="O37" i="9"/>
  <c r="P37" i="9" s="1"/>
  <c r="B9" i="52"/>
  <c r="B8" i="52"/>
  <c r="W429" i="2"/>
  <c r="B430" i="2"/>
  <c r="F430" i="2"/>
  <c r="AB430" i="2" s="1"/>
  <c r="M26" i="51"/>
  <c r="DL430" i="2"/>
  <c r="CN430" i="2"/>
  <c r="BP430" i="2"/>
  <c r="AR430" i="2"/>
  <c r="A430" i="2"/>
  <c r="DJ430" i="2"/>
  <c r="CL430" i="2"/>
  <c r="BN430" i="2"/>
  <c r="AP430" i="2"/>
  <c r="DH430" i="2"/>
  <c r="CJ430" i="2"/>
  <c r="BL430" i="2"/>
  <c r="S430" i="2"/>
  <c r="T430" i="2" s="1"/>
  <c r="DF430" i="2"/>
  <c r="CH430" i="2"/>
  <c r="BJ430" i="2"/>
  <c r="AN430" i="2"/>
  <c r="EB430" i="2"/>
  <c r="DD430" i="2"/>
  <c r="CF430" i="2"/>
  <c r="BH430" i="2"/>
  <c r="AL430" i="2"/>
  <c r="DZ430" i="2"/>
  <c r="DB430" i="2"/>
  <c r="CD430" i="2"/>
  <c r="BF430" i="2"/>
  <c r="AJ430" i="2"/>
  <c r="DX430" i="2"/>
  <c r="CZ430" i="2"/>
  <c r="CB430" i="2"/>
  <c r="BD430" i="2"/>
  <c r="AH430" i="2"/>
  <c r="DV430" i="2"/>
  <c r="CX430" i="2"/>
  <c r="BZ430" i="2"/>
  <c r="BB430" i="2"/>
  <c r="DT430" i="2"/>
  <c r="CV430" i="2"/>
  <c r="BX430" i="2"/>
  <c r="AZ430" i="2"/>
  <c r="DR430" i="2"/>
  <c r="CT430" i="2"/>
  <c r="BV430" i="2"/>
  <c r="AX430" i="2"/>
  <c r="DP430" i="2"/>
  <c r="CR430" i="2"/>
  <c r="BT430" i="2"/>
  <c r="AV430" i="2"/>
  <c r="DN430" i="2"/>
  <c r="CP430" i="2"/>
  <c r="BR430" i="2"/>
  <c r="AT430" i="2"/>
  <c r="D431" i="2"/>
  <c r="V431" i="2"/>
  <c r="C432" i="2"/>
  <c r="G431" i="2"/>
  <c r="AC431" i="2"/>
  <c r="AD431" i="2" s="1"/>
  <c r="E431" i="2"/>
  <c r="B19" i="52"/>
  <c r="B30" i="52"/>
  <c r="B18" i="52"/>
  <c r="B12" i="52"/>
  <c r="B39" i="52"/>
  <c r="B17" i="52"/>
  <c r="B11" i="52"/>
  <c r="B38" i="52"/>
  <c r="B16" i="52"/>
  <c r="B10" i="52"/>
  <c r="B15" i="52"/>
  <c r="B25" i="52"/>
  <c r="B14" i="52"/>
  <c r="B34" i="52"/>
  <c r="B33" i="52"/>
  <c r="B24" i="52"/>
  <c r="B13" i="52"/>
  <c r="B20" i="52"/>
  <c r="B32" i="52"/>
  <c r="B21" i="52"/>
  <c r="B23" i="52"/>
  <c r="D4" i="52"/>
  <c r="C6" i="52"/>
  <c r="E37" i="9"/>
  <c r="B37" i="9"/>
  <c r="B37" i="8"/>
  <c r="E37" i="8"/>
  <c r="N26" i="51" l="1"/>
  <c r="M57" i="51"/>
  <c r="C30" i="52"/>
  <c r="C18" i="52"/>
  <c r="C12" i="52"/>
  <c r="C39" i="52"/>
  <c r="C17" i="52"/>
  <c r="C11" i="52"/>
  <c r="C38" i="52"/>
  <c r="C16" i="52"/>
  <c r="C10" i="52"/>
  <c r="C15" i="52"/>
  <c r="C25" i="52"/>
  <c r="C14" i="52"/>
  <c r="C34" i="52"/>
  <c r="C33" i="52"/>
  <c r="C24" i="52"/>
  <c r="C13" i="52"/>
  <c r="C23" i="52"/>
  <c r="C31" i="52"/>
  <c r="C19" i="52"/>
  <c r="C20" i="52"/>
  <c r="C22" i="52"/>
  <c r="C32" i="52"/>
  <c r="C21" i="52"/>
  <c r="DT431" i="2"/>
  <c r="CV431" i="2"/>
  <c r="BX431" i="2"/>
  <c r="AZ431" i="2"/>
  <c r="DR431" i="2"/>
  <c r="CT431" i="2"/>
  <c r="BV431" i="2"/>
  <c r="AX431" i="2"/>
  <c r="DP431" i="2"/>
  <c r="CR431" i="2"/>
  <c r="BT431" i="2"/>
  <c r="AV431" i="2"/>
  <c r="DN431" i="2"/>
  <c r="CP431" i="2"/>
  <c r="BR431" i="2"/>
  <c r="AT431" i="2"/>
  <c r="A431" i="2"/>
  <c r="DL431" i="2"/>
  <c r="CN431" i="2"/>
  <c r="BP431" i="2"/>
  <c r="AR431" i="2"/>
  <c r="DJ431" i="2"/>
  <c r="CL431" i="2"/>
  <c r="BN431" i="2"/>
  <c r="AP431" i="2"/>
  <c r="S431" i="2"/>
  <c r="T431" i="2" s="1"/>
  <c r="DH431" i="2"/>
  <c r="CJ431" i="2"/>
  <c r="BL431" i="2"/>
  <c r="AN431" i="2"/>
  <c r="DF431" i="2"/>
  <c r="CH431" i="2"/>
  <c r="BJ431" i="2"/>
  <c r="AL431" i="2"/>
  <c r="EB431" i="2"/>
  <c r="DD431" i="2"/>
  <c r="CF431" i="2"/>
  <c r="BH431" i="2"/>
  <c r="AJ431" i="2"/>
  <c r="DZ431" i="2"/>
  <c r="DB431" i="2"/>
  <c r="CD431" i="2"/>
  <c r="BF431" i="2"/>
  <c r="AH431" i="2"/>
  <c r="DX431" i="2"/>
  <c r="CZ431" i="2"/>
  <c r="CB431" i="2"/>
  <c r="BD431" i="2"/>
  <c r="DV431" i="2"/>
  <c r="CX431" i="2"/>
  <c r="BZ431" i="2"/>
  <c r="BB431" i="2"/>
  <c r="G432" i="2"/>
  <c r="AC432" i="2"/>
  <c r="AD432" i="2" s="1"/>
  <c r="E432" i="2"/>
  <c r="D432" i="2"/>
  <c r="V432" i="2"/>
  <c r="C433" i="2"/>
  <c r="W430" i="2"/>
  <c r="B431" i="2"/>
  <c r="E4" i="52"/>
  <c r="D6" i="52"/>
  <c r="D9" i="52" s="1"/>
  <c r="F431" i="2"/>
  <c r="AB431" i="2" s="1"/>
  <c r="C8" i="52"/>
  <c r="C9" i="52"/>
  <c r="B26" i="52"/>
  <c r="B31" i="52"/>
  <c r="F37" i="12"/>
  <c r="F37" i="4"/>
  <c r="F37" i="3"/>
  <c r="G37" i="10"/>
  <c r="F432" i="2" l="1"/>
  <c r="AB432" i="2" s="1"/>
  <c r="C26" i="52"/>
  <c r="H37" i="12"/>
  <c r="G37" i="12"/>
  <c r="H37" i="3"/>
  <c r="G37" i="3"/>
  <c r="C57" i="52"/>
  <c r="D8" i="52"/>
  <c r="EB432" i="2"/>
  <c r="DD432" i="2"/>
  <c r="CF432" i="2"/>
  <c r="BH432" i="2"/>
  <c r="AJ432" i="2"/>
  <c r="DZ432" i="2"/>
  <c r="DB432" i="2"/>
  <c r="CD432" i="2"/>
  <c r="BF432" i="2"/>
  <c r="AH432" i="2"/>
  <c r="DX432" i="2"/>
  <c r="CZ432" i="2"/>
  <c r="CB432" i="2"/>
  <c r="BD432" i="2"/>
  <c r="DV432" i="2"/>
  <c r="CX432" i="2"/>
  <c r="BZ432" i="2"/>
  <c r="BB432" i="2"/>
  <c r="DT432" i="2"/>
  <c r="CV432" i="2"/>
  <c r="BX432" i="2"/>
  <c r="AZ432" i="2"/>
  <c r="DR432" i="2"/>
  <c r="CT432" i="2"/>
  <c r="BV432" i="2"/>
  <c r="AX432" i="2"/>
  <c r="DP432" i="2"/>
  <c r="CR432" i="2"/>
  <c r="BT432" i="2"/>
  <c r="AV432" i="2"/>
  <c r="DN432" i="2"/>
  <c r="CP432" i="2"/>
  <c r="BR432" i="2"/>
  <c r="AT432" i="2"/>
  <c r="A432" i="2"/>
  <c r="DL432" i="2"/>
  <c r="CN432" i="2"/>
  <c r="BP432" i="2"/>
  <c r="AR432" i="2"/>
  <c r="DJ432" i="2"/>
  <c r="CL432" i="2"/>
  <c r="BN432" i="2"/>
  <c r="AP432" i="2"/>
  <c r="S432" i="2"/>
  <c r="T432" i="2" s="1"/>
  <c r="DH432" i="2"/>
  <c r="CJ432" i="2"/>
  <c r="BL432" i="2"/>
  <c r="AN432" i="2"/>
  <c r="DF432" i="2"/>
  <c r="CH432" i="2"/>
  <c r="BJ432" i="2"/>
  <c r="AL432" i="2"/>
  <c r="N57" i="51"/>
  <c r="H60" i="51"/>
  <c r="B60" i="51"/>
  <c r="B27" i="51"/>
  <c r="C27" i="51"/>
  <c r="D27" i="51"/>
  <c r="E27" i="51"/>
  <c r="F27" i="51"/>
  <c r="G27" i="51"/>
  <c r="H27" i="51"/>
  <c r="I27" i="51"/>
  <c r="J27" i="51"/>
  <c r="K27" i="51"/>
  <c r="L27" i="51"/>
  <c r="M27" i="51"/>
  <c r="C434" i="2"/>
  <c r="G433" i="2"/>
  <c r="AC433" i="2"/>
  <c r="AD433" i="2" s="1"/>
  <c r="E433" i="2"/>
  <c r="D433" i="2"/>
  <c r="F433" i="2" s="1"/>
  <c r="AB433" i="2" s="1"/>
  <c r="V433" i="2"/>
  <c r="B57" i="52"/>
  <c r="W431" i="2"/>
  <c r="B432" i="2"/>
  <c r="D39" i="52"/>
  <c r="D17" i="52"/>
  <c r="D11" i="52"/>
  <c r="D38" i="52"/>
  <c r="D16" i="52"/>
  <c r="D10" i="52"/>
  <c r="D15" i="52"/>
  <c r="D25" i="52"/>
  <c r="D14" i="52"/>
  <c r="D34" i="52"/>
  <c r="D33" i="52"/>
  <c r="D24" i="52"/>
  <c r="D13" i="52"/>
  <c r="D23" i="52"/>
  <c r="D32" i="52"/>
  <c r="D22" i="52"/>
  <c r="D30" i="52"/>
  <c r="D31" i="52" s="1"/>
  <c r="D18" i="52"/>
  <c r="D20" i="52"/>
  <c r="D19" i="52"/>
  <c r="D21" i="52"/>
  <c r="F4" i="52"/>
  <c r="E6" i="52"/>
  <c r="E9" i="52" s="1"/>
  <c r="H37" i="4"/>
  <c r="B37" i="12"/>
  <c r="G37" i="4"/>
  <c r="E37" i="4"/>
  <c r="E37" i="12"/>
  <c r="O37" i="3"/>
  <c r="I37" i="4"/>
  <c r="C37" i="10"/>
  <c r="J37" i="4"/>
  <c r="B37" i="4"/>
  <c r="B37" i="3"/>
  <c r="K37" i="4"/>
  <c r="F37" i="10"/>
  <c r="E37" i="3"/>
  <c r="E8" i="52" l="1"/>
  <c r="C37" i="4"/>
  <c r="B37" i="5"/>
  <c r="B37" i="7"/>
  <c r="C37" i="3"/>
  <c r="B37" i="6"/>
  <c r="O37" i="4"/>
  <c r="P37" i="4" s="1"/>
  <c r="AR37" i="11" s="1"/>
  <c r="E37" i="7"/>
  <c r="E37" i="6"/>
  <c r="E37" i="5"/>
  <c r="D28" i="51"/>
  <c r="D58" i="51" s="1"/>
  <c r="D59" i="51" s="1"/>
  <c r="I28" i="51"/>
  <c r="I58" i="51" s="1"/>
  <c r="I59" i="51" s="1"/>
  <c r="G4" i="52"/>
  <c r="F6" i="52"/>
  <c r="H28" i="51"/>
  <c r="H58" i="51" s="1"/>
  <c r="H59" i="51" s="1"/>
  <c r="F28" i="51"/>
  <c r="F58" i="51" s="1"/>
  <c r="F59" i="51" s="1"/>
  <c r="E28" i="51"/>
  <c r="E58" i="51" s="1"/>
  <c r="E59" i="51" s="1"/>
  <c r="DL433" i="2"/>
  <c r="CN433" i="2"/>
  <c r="BP433" i="2"/>
  <c r="AR433" i="2"/>
  <c r="DJ433" i="2"/>
  <c r="CL433" i="2"/>
  <c r="BN433" i="2"/>
  <c r="AP433" i="2"/>
  <c r="S433" i="2"/>
  <c r="T433" i="2" s="1"/>
  <c r="DH433" i="2"/>
  <c r="CJ433" i="2"/>
  <c r="BL433" i="2"/>
  <c r="AN433" i="2"/>
  <c r="DF433" i="2"/>
  <c r="CH433" i="2"/>
  <c r="BJ433" i="2"/>
  <c r="AL433" i="2"/>
  <c r="EB433" i="2"/>
  <c r="DD433" i="2"/>
  <c r="CF433" i="2"/>
  <c r="BH433" i="2"/>
  <c r="AJ433" i="2"/>
  <c r="DZ433" i="2"/>
  <c r="DB433" i="2"/>
  <c r="CD433" i="2"/>
  <c r="BF433" i="2"/>
  <c r="AH433" i="2"/>
  <c r="DX433" i="2"/>
  <c r="CZ433" i="2"/>
  <c r="CB433" i="2"/>
  <c r="BD433" i="2"/>
  <c r="DV433" i="2"/>
  <c r="CX433" i="2"/>
  <c r="BZ433" i="2"/>
  <c r="BB433" i="2"/>
  <c r="DT433" i="2"/>
  <c r="CV433" i="2"/>
  <c r="BX433" i="2"/>
  <c r="AZ433" i="2"/>
  <c r="DR433" i="2"/>
  <c r="CT433" i="2"/>
  <c r="BV433" i="2"/>
  <c r="AX433" i="2"/>
  <c r="DP433" i="2"/>
  <c r="CR433" i="2"/>
  <c r="BT433" i="2"/>
  <c r="AV433" i="2"/>
  <c r="AT433" i="2"/>
  <c r="A433" i="2"/>
  <c r="DN433" i="2"/>
  <c r="CP433" i="2"/>
  <c r="BR433" i="2"/>
  <c r="C28" i="51"/>
  <c r="C58" i="51" s="1"/>
  <c r="C59" i="51" s="1"/>
  <c r="W432" i="2"/>
  <c r="B433" i="2"/>
  <c r="M28" i="51"/>
  <c r="M58" i="51" s="1"/>
  <c r="M59" i="51" s="1"/>
  <c r="G28" i="51"/>
  <c r="G58" i="51" s="1"/>
  <c r="G59" i="51" s="1"/>
  <c r="N27" i="51"/>
  <c r="B28" i="51"/>
  <c r="B58" i="51" s="1"/>
  <c r="D26" i="52"/>
  <c r="L28" i="51"/>
  <c r="L58" i="51" s="1"/>
  <c r="L59" i="51" s="1"/>
  <c r="D434" i="2"/>
  <c r="V434" i="2"/>
  <c r="C435" i="2"/>
  <c r="G434" i="2"/>
  <c r="AC434" i="2"/>
  <c r="AD434" i="2" s="1"/>
  <c r="E434" i="2"/>
  <c r="K28" i="51"/>
  <c r="K58" i="51" s="1"/>
  <c r="K59" i="51" s="1"/>
  <c r="E38" i="52"/>
  <c r="E16" i="52"/>
  <c r="E10" i="52"/>
  <c r="E15" i="52"/>
  <c r="E25" i="52"/>
  <c r="E14" i="52"/>
  <c r="E34" i="52"/>
  <c r="E33" i="52"/>
  <c r="E24" i="52"/>
  <c r="E13" i="52"/>
  <c r="E23" i="52"/>
  <c r="E32" i="52"/>
  <c r="E22" i="52"/>
  <c r="E20" i="52"/>
  <c r="E39" i="52"/>
  <c r="E17" i="52"/>
  <c r="E11" i="52"/>
  <c r="E19" i="52"/>
  <c r="E30" i="52"/>
  <c r="E31" i="52" s="1"/>
  <c r="E18" i="52"/>
  <c r="E21" i="52"/>
  <c r="J28" i="51"/>
  <c r="J58" i="51" s="1"/>
  <c r="J59" i="51" s="1"/>
  <c r="H37" i="10"/>
  <c r="E26" i="52" l="1"/>
  <c r="E57" i="52" s="1"/>
  <c r="J37" i="10"/>
  <c r="K37" i="10" s="1"/>
  <c r="I37" i="10"/>
  <c r="F15" i="52"/>
  <c r="F25" i="52"/>
  <c r="F14" i="52"/>
  <c r="F34" i="52"/>
  <c r="F33" i="52"/>
  <c r="F24" i="52"/>
  <c r="F13" i="52"/>
  <c r="F23" i="52"/>
  <c r="F32" i="52"/>
  <c r="F22" i="52"/>
  <c r="F20" i="52"/>
  <c r="F19" i="52"/>
  <c r="F38" i="52"/>
  <c r="F16" i="52"/>
  <c r="F10" i="52"/>
  <c r="F30" i="52"/>
  <c r="F31" i="52" s="1"/>
  <c r="F18" i="52"/>
  <c r="F17" i="52"/>
  <c r="F11" i="52"/>
  <c r="F39" i="52"/>
  <c r="F21" i="52"/>
  <c r="H4" i="52"/>
  <c r="G6" i="52"/>
  <c r="G8" i="52" s="1"/>
  <c r="D57" i="52"/>
  <c r="DT434" i="2"/>
  <c r="CV434" i="2"/>
  <c r="BX434" i="2"/>
  <c r="AZ434" i="2"/>
  <c r="DR434" i="2"/>
  <c r="CT434" i="2"/>
  <c r="BV434" i="2"/>
  <c r="AX434" i="2"/>
  <c r="DP434" i="2"/>
  <c r="CR434" i="2"/>
  <c r="BT434" i="2"/>
  <c r="AV434" i="2"/>
  <c r="DN434" i="2"/>
  <c r="CP434" i="2"/>
  <c r="BR434" i="2"/>
  <c r="AT434" i="2"/>
  <c r="A434" i="2"/>
  <c r="DL434" i="2"/>
  <c r="CN434" i="2"/>
  <c r="BP434" i="2"/>
  <c r="AR434" i="2"/>
  <c r="DJ434" i="2"/>
  <c r="CL434" i="2"/>
  <c r="BN434" i="2"/>
  <c r="AP434" i="2"/>
  <c r="S434" i="2"/>
  <c r="T434" i="2" s="1"/>
  <c r="DH434" i="2"/>
  <c r="CJ434" i="2"/>
  <c r="BL434" i="2"/>
  <c r="AN434" i="2"/>
  <c r="DF434" i="2"/>
  <c r="CH434" i="2"/>
  <c r="BJ434" i="2"/>
  <c r="AL434" i="2"/>
  <c r="EB434" i="2"/>
  <c r="DD434" i="2"/>
  <c r="CF434" i="2"/>
  <c r="BH434" i="2"/>
  <c r="AJ434" i="2"/>
  <c r="DZ434" i="2"/>
  <c r="DB434" i="2"/>
  <c r="CD434" i="2"/>
  <c r="BF434" i="2"/>
  <c r="AH434" i="2"/>
  <c r="DX434" i="2"/>
  <c r="CZ434" i="2"/>
  <c r="CB434" i="2"/>
  <c r="BD434" i="2"/>
  <c r="CX434" i="2"/>
  <c r="BZ434" i="2"/>
  <c r="BB434" i="2"/>
  <c r="DV434" i="2"/>
  <c r="F8" i="52"/>
  <c r="W433" i="2"/>
  <c r="B434" i="2"/>
  <c r="F9" i="52"/>
  <c r="N28" i="51"/>
  <c r="D37" i="11"/>
  <c r="D38" i="11" s="1"/>
  <c r="D37" i="5"/>
  <c r="D37" i="6" s="1"/>
  <c r="G435" i="2"/>
  <c r="AC435" i="2"/>
  <c r="AD435" i="2" s="1"/>
  <c r="E435" i="2"/>
  <c r="D435" i="2"/>
  <c r="V435" i="2"/>
  <c r="C436" i="2"/>
  <c r="N58" i="51"/>
  <c r="N59" i="51" s="1"/>
  <c r="F60" i="51" s="1"/>
  <c r="B59" i="51"/>
  <c r="F434" i="2"/>
  <c r="AB434" i="2" s="1"/>
  <c r="F26" i="52" l="1"/>
  <c r="Y37" i="11"/>
  <c r="X37" i="11"/>
  <c r="AG37" i="11"/>
  <c r="F57" i="52"/>
  <c r="AH37" i="11"/>
  <c r="I4" i="52"/>
  <c r="H6" i="52"/>
  <c r="H7" i="52" s="1"/>
  <c r="F435" i="2"/>
  <c r="AB435" i="2" s="1"/>
  <c r="AA37" i="11"/>
  <c r="AM37" i="11"/>
  <c r="G60" i="51"/>
  <c r="I60" i="51"/>
  <c r="Z37" i="11"/>
  <c r="W37" i="11"/>
  <c r="K37" i="11"/>
  <c r="P37" i="11"/>
  <c r="EB435" i="2"/>
  <c r="DD435" i="2"/>
  <c r="CF435" i="2"/>
  <c r="BH435" i="2"/>
  <c r="AJ435" i="2"/>
  <c r="DZ435" i="2"/>
  <c r="DB435" i="2"/>
  <c r="CD435" i="2"/>
  <c r="BF435" i="2"/>
  <c r="AH435" i="2"/>
  <c r="DX435" i="2"/>
  <c r="CZ435" i="2"/>
  <c r="CB435" i="2"/>
  <c r="BD435" i="2"/>
  <c r="DV435" i="2"/>
  <c r="CX435" i="2"/>
  <c r="BZ435" i="2"/>
  <c r="BB435" i="2"/>
  <c r="DT435" i="2"/>
  <c r="CV435" i="2"/>
  <c r="BX435" i="2"/>
  <c r="AZ435" i="2"/>
  <c r="DR435" i="2"/>
  <c r="CT435" i="2"/>
  <c r="BV435" i="2"/>
  <c r="AX435" i="2"/>
  <c r="DP435" i="2"/>
  <c r="CR435" i="2"/>
  <c r="BT435" i="2"/>
  <c r="AV435" i="2"/>
  <c r="DN435" i="2"/>
  <c r="CP435" i="2"/>
  <c r="BR435" i="2"/>
  <c r="AT435" i="2"/>
  <c r="A435" i="2"/>
  <c r="DL435" i="2"/>
  <c r="CN435" i="2"/>
  <c r="BP435" i="2"/>
  <c r="AR435" i="2"/>
  <c r="DJ435" i="2"/>
  <c r="CL435" i="2"/>
  <c r="BN435" i="2"/>
  <c r="AP435" i="2"/>
  <c r="S435" i="2"/>
  <c r="T435" i="2" s="1"/>
  <c r="DH435" i="2"/>
  <c r="CJ435" i="2"/>
  <c r="BL435" i="2"/>
  <c r="AN435" i="2"/>
  <c r="DF435" i="2"/>
  <c r="CH435" i="2"/>
  <c r="BJ435" i="2"/>
  <c r="AL435" i="2"/>
  <c r="AB37" i="11"/>
  <c r="AE37" i="11"/>
  <c r="AI37" i="11"/>
  <c r="AP37" i="11"/>
  <c r="S37" i="11"/>
  <c r="M37" i="11"/>
  <c r="AN37" i="11"/>
  <c r="AQ37" i="11"/>
  <c r="L37" i="11"/>
  <c r="AK37" i="11"/>
  <c r="T37" i="11"/>
  <c r="AJ37" i="11"/>
  <c r="D37" i="7"/>
  <c r="D37" i="8" s="1"/>
  <c r="D37" i="9" s="1"/>
  <c r="D37" i="10" s="1"/>
  <c r="C37" i="12" s="1"/>
  <c r="R37" i="6"/>
  <c r="AC37" i="11"/>
  <c r="AF37" i="11"/>
  <c r="Q37" i="11"/>
  <c r="N37" i="11"/>
  <c r="AO37" i="11"/>
  <c r="U37" i="11"/>
  <c r="C437" i="2"/>
  <c r="G436" i="2"/>
  <c r="AC436" i="2"/>
  <c r="AD436" i="2" s="1"/>
  <c r="E436" i="2"/>
  <c r="D436" i="2"/>
  <c r="F436" i="2" s="1"/>
  <c r="AB436" i="2" s="1"/>
  <c r="V436" i="2"/>
  <c r="AL37" i="11"/>
  <c r="R37" i="11"/>
  <c r="J37" i="11"/>
  <c r="G25" i="52"/>
  <c r="G14" i="52"/>
  <c r="G34" i="52"/>
  <c r="G33" i="52"/>
  <c r="G24" i="52"/>
  <c r="G13" i="52"/>
  <c r="G23" i="52"/>
  <c r="G32" i="52"/>
  <c r="G22" i="52"/>
  <c r="G20" i="52"/>
  <c r="G19" i="52"/>
  <c r="G30" i="52"/>
  <c r="G31" i="52" s="1"/>
  <c r="G18" i="52"/>
  <c r="G15" i="52"/>
  <c r="G38" i="52"/>
  <c r="G17" i="52"/>
  <c r="G11" i="52"/>
  <c r="G39" i="52"/>
  <c r="G16" i="52"/>
  <c r="G10" i="52"/>
  <c r="G21" i="52"/>
  <c r="W434" i="2"/>
  <c r="B435" i="2"/>
  <c r="O37" i="11"/>
  <c r="AD37" i="11"/>
  <c r="V37" i="11"/>
  <c r="G9" i="52"/>
  <c r="G26" i="52" l="1"/>
  <c r="G57" i="52" s="1"/>
  <c r="G37" i="11"/>
  <c r="H25" i="52"/>
  <c r="H14" i="52"/>
  <c r="H34" i="52"/>
  <c r="H33" i="52"/>
  <c r="H24" i="52"/>
  <c r="H13" i="52"/>
  <c r="H23" i="52"/>
  <c r="H32" i="52"/>
  <c r="H22" i="52"/>
  <c r="H20" i="52"/>
  <c r="H19" i="52"/>
  <c r="H30" i="52"/>
  <c r="H31" i="52" s="1"/>
  <c r="H18" i="52"/>
  <c r="N7" i="52"/>
  <c r="H39" i="52"/>
  <c r="H17" i="52"/>
  <c r="H11" i="52"/>
  <c r="H38" i="52"/>
  <c r="H15" i="52"/>
  <c r="H16" i="52"/>
  <c r="H10" i="52"/>
  <c r="H21" i="52"/>
  <c r="W435" i="2"/>
  <c r="B436" i="2"/>
  <c r="H9" i="52"/>
  <c r="H8" i="52"/>
  <c r="J4" i="52"/>
  <c r="I6" i="52"/>
  <c r="DL436" i="2"/>
  <c r="CN436" i="2"/>
  <c r="BP436" i="2"/>
  <c r="AR436" i="2"/>
  <c r="DJ436" i="2"/>
  <c r="CL436" i="2"/>
  <c r="BN436" i="2"/>
  <c r="AP436" i="2"/>
  <c r="S436" i="2"/>
  <c r="T436" i="2" s="1"/>
  <c r="DH436" i="2"/>
  <c r="CJ436" i="2"/>
  <c r="BL436" i="2"/>
  <c r="AN436" i="2"/>
  <c r="DF436" i="2"/>
  <c r="CH436" i="2"/>
  <c r="BJ436" i="2"/>
  <c r="AL436" i="2"/>
  <c r="EB436" i="2"/>
  <c r="DD436" i="2"/>
  <c r="CF436" i="2"/>
  <c r="BH436" i="2"/>
  <c r="AJ436" i="2"/>
  <c r="DZ436" i="2"/>
  <c r="DB436" i="2"/>
  <c r="CD436" i="2"/>
  <c r="BF436" i="2"/>
  <c r="AH436" i="2"/>
  <c r="DX436" i="2"/>
  <c r="CZ436" i="2"/>
  <c r="CB436" i="2"/>
  <c r="BD436" i="2"/>
  <c r="DV436" i="2"/>
  <c r="CX436" i="2"/>
  <c r="BZ436" i="2"/>
  <c r="BB436" i="2"/>
  <c r="DT436" i="2"/>
  <c r="CV436" i="2"/>
  <c r="BX436" i="2"/>
  <c r="AZ436" i="2"/>
  <c r="DR436" i="2"/>
  <c r="CT436" i="2"/>
  <c r="BV436" i="2"/>
  <c r="AX436" i="2"/>
  <c r="DP436" i="2"/>
  <c r="CR436" i="2"/>
  <c r="BT436" i="2"/>
  <c r="AV436" i="2"/>
  <c r="A436" i="2"/>
  <c r="DN436" i="2"/>
  <c r="CP436" i="2"/>
  <c r="BR436" i="2"/>
  <c r="AT436" i="2"/>
  <c r="D437" i="2"/>
  <c r="V437" i="2"/>
  <c r="C438" i="2"/>
  <c r="G437" i="2"/>
  <c r="AC437" i="2"/>
  <c r="AD437" i="2" s="1"/>
  <c r="E437" i="2"/>
  <c r="I34" i="52" l="1"/>
  <c r="I33" i="52"/>
  <c r="I24" i="52"/>
  <c r="I13" i="52"/>
  <c r="I23" i="52"/>
  <c r="I32" i="52"/>
  <c r="I22" i="52"/>
  <c r="I20" i="52"/>
  <c r="I19" i="52"/>
  <c r="I30" i="52"/>
  <c r="I31" i="52" s="1"/>
  <c r="I18" i="52"/>
  <c r="I39" i="52"/>
  <c r="I17" i="52"/>
  <c r="I11" i="52"/>
  <c r="I38" i="52"/>
  <c r="I16" i="52"/>
  <c r="I10" i="52"/>
  <c r="I25" i="52"/>
  <c r="I14" i="52"/>
  <c r="I15" i="52"/>
  <c r="I21" i="52"/>
  <c r="I9" i="52"/>
  <c r="I8" i="52"/>
  <c r="H37" i="11"/>
  <c r="C37" i="11"/>
  <c r="E37" i="11" s="1"/>
  <c r="G438" i="2"/>
  <c r="AC438" i="2"/>
  <c r="AD438" i="2" s="1"/>
  <c r="E438" i="2"/>
  <c r="D438" i="2"/>
  <c r="V438" i="2"/>
  <c r="C439" i="2"/>
  <c r="H26" i="52"/>
  <c r="W436" i="2"/>
  <c r="B437" i="2"/>
  <c r="F437" i="2"/>
  <c r="AB437" i="2" s="1"/>
  <c r="DT437" i="2"/>
  <c r="CV437" i="2"/>
  <c r="BX437" i="2"/>
  <c r="AZ437" i="2"/>
  <c r="DR437" i="2"/>
  <c r="CT437" i="2"/>
  <c r="BV437" i="2"/>
  <c r="AX437" i="2"/>
  <c r="DP437" i="2"/>
  <c r="CR437" i="2"/>
  <c r="BT437" i="2"/>
  <c r="AV437" i="2"/>
  <c r="DN437" i="2"/>
  <c r="CP437" i="2"/>
  <c r="BR437" i="2"/>
  <c r="AT437" i="2"/>
  <c r="A437" i="2"/>
  <c r="DL437" i="2"/>
  <c r="CN437" i="2"/>
  <c r="BP437" i="2"/>
  <c r="AR437" i="2"/>
  <c r="DJ437" i="2"/>
  <c r="CL437" i="2"/>
  <c r="BN437" i="2"/>
  <c r="AP437" i="2"/>
  <c r="S437" i="2"/>
  <c r="T437" i="2" s="1"/>
  <c r="DH437" i="2"/>
  <c r="CJ437" i="2"/>
  <c r="BL437" i="2"/>
  <c r="AN437" i="2"/>
  <c r="DF437" i="2"/>
  <c r="CH437" i="2"/>
  <c r="BJ437" i="2"/>
  <c r="AL437" i="2"/>
  <c r="EB437" i="2"/>
  <c r="DD437" i="2"/>
  <c r="CF437" i="2"/>
  <c r="BH437" i="2"/>
  <c r="AJ437" i="2"/>
  <c r="DZ437" i="2"/>
  <c r="DB437" i="2"/>
  <c r="CD437" i="2"/>
  <c r="BF437" i="2"/>
  <c r="AH437" i="2"/>
  <c r="DX437" i="2"/>
  <c r="CZ437" i="2"/>
  <c r="CB437" i="2"/>
  <c r="BD437" i="2"/>
  <c r="DV437" i="2"/>
  <c r="CX437" i="2"/>
  <c r="BZ437" i="2"/>
  <c r="BB437" i="2"/>
  <c r="K4" i="52"/>
  <c r="J6" i="52"/>
  <c r="I26" i="52" l="1"/>
  <c r="I57" i="52" s="1"/>
  <c r="J33" i="52"/>
  <c r="J24" i="52"/>
  <c r="J13" i="52"/>
  <c r="J23" i="52"/>
  <c r="J32" i="52"/>
  <c r="J22" i="52"/>
  <c r="J20" i="52"/>
  <c r="J19" i="52"/>
  <c r="J30" i="52"/>
  <c r="J31" i="52" s="1"/>
  <c r="J18" i="52"/>
  <c r="J39" i="52"/>
  <c r="J17" i="52"/>
  <c r="J11" i="52"/>
  <c r="J38" i="52"/>
  <c r="J16" i="52"/>
  <c r="J10" i="52"/>
  <c r="J15" i="52"/>
  <c r="J34" i="52"/>
  <c r="J12" i="52"/>
  <c r="J25" i="52"/>
  <c r="J14" i="52"/>
  <c r="J21" i="52"/>
  <c r="F438" i="2"/>
  <c r="AB438" i="2" s="1"/>
  <c r="EB438" i="2"/>
  <c r="DD438" i="2"/>
  <c r="CF438" i="2"/>
  <c r="BH438" i="2"/>
  <c r="AJ438" i="2"/>
  <c r="DZ438" i="2"/>
  <c r="DB438" i="2"/>
  <c r="CD438" i="2"/>
  <c r="BF438" i="2"/>
  <c r="AH438" i="2"/>
  <c r="DX438" i="2"/>
  <c r="CZ438" i="2"/>
  <c r="CB438" i="2"/>
  <c r="BD438" i="2"/>
  <c r="DV438" i="2"/>
  <c r="CX438" i="2"/>
  <c r="BZ438" i="2"/>
  <c r="BB438" i="2"/>
  <c r="DT438" i="2"/>
  <c r="CV438" i="2"/>
  <c r="BX438" i="2"/>
  <c r="AZ438" i="2"/>
  <c r="DR438" i="2"/>
  <c r="CT438" i="2"/>
  <c r="BV438" i="2"/>
  <c r="AX438" i="2"/>
  <c r="DP438" i="2"/>
  <c r="CR438" i="2"/>
  <c r="BT438" i="2"/>
  <c r="AV438" i="2"/>
  <c r="DN438" i="2"/>
  <c r="CP438" i="2"/>
  <c r="BR438" i="2"/>
  <c r="AT438" i="2"/>
  <c r="A438" i="2"/>
  <c r="DL438" i="2"/>
  <c r="CN438" i="2"/>
  <c r="BP438" i="2"/>
  <c r="AR438" i="2"/>
  <c r="DJ438" i="2"/>
  <c r="CL438" i="2"/>
  <c r="BN438" i="2"/>
  <c r="AP438" i="2"/>
  <c r="S438" i="2"/>
  <c r="T438" i="2" s="1"/>
  <c r="DH438" i="2"/>
  <c r="CJ438" i="2"/>
  <c r="BL438" i="2"/>
  <c r="AN438" i="2"/>
  <c r="DF438" i="2"/>
  <c r="CH438" i="2"/>
  <c r="BJ438" i="2"/>
  <c r="AL438" i="2"/>
  <c r="J8" i="52"/>
  <c r="J9" i="52"/>
  <c r="H57" i="52"/>
  <c r="L4" i="52"/>
  <c r="K6" i="52"/>
  <c r="C440" i="2"/>
  <c r="G439" i="2"/>
  <c r="AC439" i="2"/>
  <c r="AD439" i="2" s="1"/>
  <c r="E439" i="2"/>
  <c r="D439" i="2"/>
  <c r="F439" i="2" s="1"/>
  <c r="AB439" i="2" s="1"/>
  <c r="V439" i="2"/>
  <c r="W437" i="2"/>
  <c r="B438" i="2"/>
  <c r="J26" i="52" l="1"/>
  <c r="J57" i="52" s="1"/>
  <c r="K23" i="52"/>
  <c r="K32" i="52"/>
  <c r="K22" i="52"/>
  <c r="K20" i="52"/>
  <c r="K19" i="52"/>
  <c r="K30" i="52"/>
  <c r="K31" i="52" s="1"/>
  <c r="K18" i="52"/>
  <c r="K39" i="52"/>
  <c r="K17" i="52"/>
  <c r="K11" i="52"/>
  <c r="K38" i="52"/>
  <c r="K16" i="52"/>
  <c r="K10" i="52"/>
  <c r="K15" i="52"/>
  <c r="K33" i="52"/>
  <c r="K24" i="52"/>
  <c r="K13" i="52"/>
  <c r="K25" i="52"/>
  <c r="K14" i="52"/>
  <c r="K34" i="52"/>
  <c r="K12" i="52"/>
  <c r="N12" i="52" s="1"/>
  <c r="K21" i="52"/>
  <c r="K9" i="52"/>
  <c r="M4" i="52"/>
  <c r="L6" i="52"/>
  <c r="L9" i="52" s="1"/>
  <c r="W438" i="2"/>
  <c r="B439" i="2"/>
  <c r="K8" i="52"/>
  <c r="DL439" i="2"/>
  <c r="CN439" i="2"/>
  <c r="BP439" i="2"/>
  <c r="AR439" i="2"/>
  <c r="DJ439" i="2"/>
  <c r="CL439" i="2"/>
  <c r="BN439" i="2"/>
  <c r="AP439" i="2"/>
  <c r="S439" i="2"/>
  <c r="T439" i="2" s="1"/>
  <c r="DH439" i="2"/>
  <c r="CJ439" i="2"/>
  <c r="BL439" i="2"/>
  <c r="AN439" i="2"/>
  <c r="DF439" i="2"/>
  <c r="CH439" i="2"/>
  <c r="BJ439" i="2"/>
  <c r="AL439" i="2"/>
  <c r="EB439" i="2"/>
  <c r="DD439" i="2"/>
  <c r="CF439" i="2"/>
  <c r="BH439" i="2"/>
  <c r="AJ439" i="2"/>
  <c r="DZ439" i="2"/>
  <c r="DB439" i="2"/>
  <c r="CD439" i="2"/>
  <c r="BF439" i="2"/>
  <c r="AH439" i="2"/>
  <c r="DX439" i="2"/>
  <c r="CZ439" i="2"/>
  <c r="CB439" i="2"/>
  <c r="BD439" i="2"/>
  <c r="DV439" i="2"/>
  <c r="CX439" i="2"/>
  <c r="BZ439" i="2"/>
  <c r="BB439" i="2"/>
  <c r="DT439" i="2"/>
  <c r="CV439" i="2"/>
  <c r="BX439" i="2"/>
  <c r="AZ439" i="2"/>
  <c r="DR439" i="2"/>
  <c r="CT439" i="2"/>
  <c r="BV439" i="2"/>
  <c r="AX439" i="2"/>
  <c r="DP439" i="2"/>
  <c r="CR439" i="2"/>
  <c r="BT439" i="2"/>
  <c r="AV439" i="2"/>
  <c r="DN439" i="2"/>
  <c r="CP439" i="2"/>
  <c r="BR439" i="2"/>
  <c r="AT439" i="2"/>
  <c r="A439" i="2"/>
  <c r="D440" i="2"/>
  <c r="V440" i="2"/>
  <c r="C441" i="2"/>
  <c r="G440" i="2"/>
  <c r="E440" i="2"/>
  <c r="AC440" i="2"/>
  <c r="AD440" i="2" s="1"/>
  <c r="H38" i="9"/>
  <c r="I38" i="9"/>
  <c r="L8" i="52" l="1"/>
  <c r="K26" i="52"/>
  <c r="K57" i="52" s="1"/>
  <c r="AC441" i="2"/>
  <c r="AD441" i="2" s="1"/>
  <c r="G441" i="2"/>
  <c r="E441" i="2"/>
  <c r="D441" i="2"/>
  <c r="F441" i="2" s="1"/>
  <c r="AB441" i="2" s="1"/>
  <c r="C442" i="2"/>
  <c r="V441" i="2"/>
  <c r="W439" i="2"/>
  <c r="B440" i="2"/>
  <c r="F440" i="2"/>
  <c r="AB440" i="2" s="1"/>
  <c r="L32" i="52"/>
  <c r="L22" i="52"/>
  <c r="L20" i="52"/>
  <c r="L19" i="52"/>
  <c r="L30" i="52"/>
  <c r="L31" i="52" s="1"/>
  <c r="L18" i="52"/>
  <c r="L39" i="52"/>
  <c r="L17" i="52"/>
  <c r="L11" i="52"/>
  <c r="L38" i="52"/>
  <c r="L16" i="52"/>
  <c r="L10" i="52"/>
  <c r="L15" i="52"/>
  <c r="L25" i="52"/>
  <c r="L14" i="52"/>
  <c r="L23" i="52"/>
  <c r="L24" i="52"/>
  <c r="L13" i="52"/>
  <c r="L34" i="52"/>
  <c r="L33" i="52"/>
  <c r="L21" i="52"/>
  <c r="DT440" i="2"/>
  <c r="CV440" i="2"/>
  <c r="BX440" i="2"/>
  <c r="AZ440" i="2"/>
  <c r="DR440" i="2"/>
  <c r="CT440" i="2"/>
  <c r="BV440" i="2"/>
  <c r="AX440" i="2"/>
  <c r="DP440" i="2"/>
  <c r="CR440" i="2"/>
  <c r="BT440" i="2"/>
  <c r="AV440" i="2"/>
  <c r="DN440" i="2"/>
  <c r="CP440" i="2"/>
  <c r="BR440" i="2"/>
  <c r="AT440" i="2"/>
  <c r="A440" i="2"/>
  <c r="DL440" i="2"/>
  <c r="CN440" i="2"/>
  <c r="BP440" i="2"/>
  <c r="AR440" i="2"/>
  <c r="DJ440" i="2"/>
  <c r="CL440" i="2"/>
  <c r="BN440" i="2"/>
  <c r="AP440" i="2"/>
  <c r="S440" i="2"/>
  <c r="T440" i="2" s="1"/>
  <c r="DH440" i="2"/>
  <c r="CJ440" i="2"/>
  <c r="BL440" i="2"/>
  <c r="AN440" i="2"/>
  <c r="DF440" i="2"/>
  <c r="CH440" i="2"/>
  <c r="BJ440" i="2"/>
  <c r="AL440" i="2"/>
  <c r="EB440" i="2"/>
  <c r="DD440" i="2"/>
  <c r="CF440" i="2"/>
  <c r="BH440" i="2"/>
  <c r="AJ440" i="2"/>
  <c r="DZ440" i="2"/>
  <c r="DB440" i="2"/>
  <c r="CD440" i="2"/>
  <c r="BF440" i="2"/>
  <c r="AH440" i="2"/>
  <c r="DX440" i="2"/>
  <c r="CZ440" i="2"/>
  <c r="CB440" i="2"/>
  <c r="BD440" i="2"/>
  <c r="DV440" i="2"/>
  <c r="CX440" i="2"/>
  <c r="BZ440" i="2"/>
  <c r="BB440" i="2"/>
  <c r="B4" i="53"/>
  <c r="M6" i="52"/>
  <c r="M8" i="52" s="1"/>
  <c r="N8" i="52" l="1"/>
  <c r="L26" i="52"/>
  <c r="L57" i="52" s="1"/>
  <c r="W440" i="2"/>
  <c r="B441" i="2"/>
  <c r="G442" i="2"/>
  <c r="AC442" i="2"/>
  <c r="AD442" i="2" s="1"/>
  <c r="E442" i="2"/>
  <c r="D442" i="2"/>
  <c r="F442" i="2" s="1"/>
  <c r="AB442" i="2" s="1"/>
  <c r="V442" i="2"/>
  <c r="C443" i="2"/>
  <c r="M9" i="52"/>
  <c r="N9" i="52" s="1"/>
  <c r="C4" i="53"/>
  <c r="B6" i="53"/>
  <c r="B7" i="53" s="1"/>
  <c r="DX441" i="2"/>
  <c r="CZ441" i="2"/>
  <c r="CB441" i="2"/>
  <c r="BD441" i="2"/>
  <c r="DV441" i="2"/>
  <c r="CX441" i="2"/>
  <c r="BZ441" i="2"/>
  <c r="BB441" i="2"/>
  <c r="DT441" i="2"/>
  <c r="CV441" i="2"/>
  <c r="BX441" i="2"/>
  <c r="AZ441" i="2"/>
  <c r="DR441" i="2"/>
  <c r="CT441" i="2"/>
  <c r="BV441" i="2"/>
  <c r="AX441" i="2"/>
  <c r="DP441" i="2"/>
  <c r="CR441" i="2"/>
  <c r="BT441" i="2"/>
  <c r="AV441" i="2"/>
  <c r="DN441" i="2"/>
  <c r="CP441" i="2"/>
  <c r="BR441" i="2"/>
  <c r="AT441" i="2"/>
  <c r="DL441" i="2"/>
  <c r="CN441" i="2"/>
  <c r="BP441" i="2"/>
  <c r="AR441" i="2"/>
  <c r="DJ441" i="2"/>
  <c r="CL441" i="2"/>
  <c r="BN441" i="2"/>
  <c r="AP441" i="2"/>
  <c r="A441" i="2"/>
  <c r="DH441" i="2"/>
  <c r="CJ441" i="2"/>
  <c r="BL441" i="2"/>
  <c r="AN441" i="2"/>
  <c r="DF441" i="2"/>
  <c r="CH441" i="2"/>
  <c r="BJ441" i="2"/>
  <c r="AL441" i="2"/>
  <c r="S441" i="2"/>
  <c r="T441" i="2" s="1"/>
  <c r="EB441" i="2"/>
  <c r="DD441" i="2"/>
  <c r="CF441" i="2"/>
  <c r="BH441" i="2"/>
  <c r="AJ441" i="2"/>
  <c r="DZ441" i="2"/>
  <c r="DB441" i="2"/>
  <c r="CD441" i="2"/>
  <c r="BF441" i="2"/>
  <c r="AH441" i="2"/>
  <c r="M20" i="52"/>
  <c r="N20" i="52" s="1"/>
  <c r="M19" i="52"/>
  <c r="N19" i="52" s="1"/>
  <c r="M30" i="52"/>
  <c r="N30" i="52" s="1"/>
  <c r="M18" i="52"/>
  <c r="N18" i="52" s="1"/>
  <c r="M39" i="52"/>
  <c r="N39" i="52" s="1"/>
  <c r="M17" i="52"/>
  <c r="N17" i="52" s="1"/>
  <c r="M11" i="52"/>
  <c r="N11" i="52" s="1"/>
  <c r="M38" i="52"/>
  <c r="N38" i="52" s="1"/>
  <c r="M16" i="52"/>
  <c r="N16" i="52" s="1"/>
  <c r="M10" i="52"/>
  <c r="N10" i="52" s="1"/>
  <c r="M15" i="52"/>
  <c r="N15" i="52" s="1"/>
  <c r="M25" i="52"/>
  <c r="N25" i="52" s="1"/>
  <c r="M14" i="52"/>
  <c r="N14" i="52" s="1"/>
  <c r="M34" i="52"/>
  <c r="N34" i="52" s="1"/>
  <c r="M32" i="52"/>
  <c r="N32" i="52" s="1"/>
  <c r="M22" i="52"/>
  <c r="N22" i="52" s="1"/>
  <c r="M24" i="52"/>
  <c r="N24" i="52" s="1"/>
  <c r="M13" i="52"/>
  <c r="N13" i="52" s="1"/>
  <c r="M23" i="52"/>
  <c r="N23" i="52" s="1"/>
  <c r="M33" i="52"/>
  <c r="N33" i="52" s="1"/>
  <c r="N6" i="52"/>
  <c r="M21" i="52"/>
  <c r="N21" i="52" s="1"/>
  <c r="L38" i="8"/>
  <c r="J38" i="9"/>
  <c r="M38" i="9"/>
  <c r="K38" i="9"/>
  <c r="N38" i="9"/>
  <c r="F38" i="9"/>
  <c r="F38" i="8"/>
  <c r="L38" i="9"/>
  <c r="I38" i="8"/>
  <c r="G38" i="9"/>
  <c r="O38" i="8"/>
  <c r="Q38" i="8" l="1"/>
  <c r="K38" i="8"/>
  <c r="N38" i="8"/>
  <c r="R38" i="8"/>
  <c r="S38" i="8" s="1"/>
  <c r="H38" i="8"/>
  <c r="G38" i="8"/>
  <c r="P38" i="8"/>
  <c r="J38" i="8"/>
  <c r="M38" i="8"/>
  <c r="O38" i="9"/>
  <c r="P38" i="9" s="1"/>
  <c r="C444" i="2"/>
  <c r="G443" i="2"/>
  <c r="AC443" i="2"/>
  <c r="AD443" i="2" s="1"/>
  <c r="E443" i="2"/>
  <c r="D443" i="2"/>
  <c r="V443" i="2"/>
  <c r="W441" i="2"/>
  <c r="B442" i="2"/>
  <c r="M26" i="52"/>
  <c r="B30" i="53"/>
  <c r="B31" i="53" s="1"/>
  <c r="B18" i="53"/>
  <c r="B12" i="53"/>
  <c r="B39" i="53"/>
  <c r="B17" i="53"/>
  <c r="B11" i="53"/>
  <c r="B38" i="53"/>
  <c r="B16" i="53"/>
  <c r="B10" i="53"/>
  <c r="B15" i="53"/>
  <c r="B25" i="53"/>
  <c r="B14" i="53"/>
  <c r="B34" i="53"/>
  <c r="B33" i="53"/>
  <c r="B24" i="53"/>
  <c r="B13" i="53"/>
  <c r="B23" i="53"/>
  <c r="B32" i="53"/>
  <c r="B21" i="53"/>
  <c r="B20" i="53"/>
  <c r="B19" i="53"/>
  <c r="EB442" i="2"/>
  <c r="DD442" i="2"/>
  <c r="CF442" i="2"/>
  <c r="BH442" i="2"/>
  <c r="AL442" i="2"/>
  <c r="DZ442" i="2"/>
  <c r="DB442" i="2"/>
  <c r="CD442" i="2"/>
  <c r="BF442" i="2"/>
  <c r="AJ442" i="2"/>
  <c r="DX442" i="2"/>
  <c r="CZ442" i="2"/>
  <c r="CB442" i="2"/>
  <c r="BD442" i="2"/>
  <c r="AH442" i="2"/>
  <c r="DV442" i="2"/>
  <c r="CX442" i="2"/>
  <c r="BZ442" i="2"/>
  <c r="BB442" i="2"/>
  <c r="DT442" i="2"/>
  <c r="CV442" i="2"/>
  <c r="BX442" i="2"/>
  <c r="AZ442" i="2"/>
  <c r="DR442" i="2"/>
  <c r="CT442" i="2"/>
  <c r="BV442" i="2"/>
  <c r="AX442" i="2"/>
  <c r="DP442" i="2"/>
  <c r="CR442" i="2"/>
  <c r="BT442" i="2"/>
  <c r="AV442" i="2"/>
  <c r="DN442" i="2"/>
  <c r="CP442" i="2"/>
  <c r="BR442" i="2"/>
  <c r="AT442" i="2"/>
  <c r="DL442" i="2"/>
  <c r="CN442" i="2"/>
  <c r="BP442" i="2"/>
  <c r="AR442" i="2"/>
  <c r="A442" i="2"/>
  <c r="DJ442" i="2"/>
  <c r="CL442" i="2"/>
  <c r="BN442" i="2"/>
  <c r="AP442" i="2"/>
  <c r="DH442" i="2"/>
  <c r="CJ442" i="2"/>
  <c r="BL442" i="2"/>
  <c r="S442" i="2"/>
  <c r="T442" i="2" s="1"/>
  <c r="AN442" i="2"/>
  <c r="DF442" i="2"/>
  <c r="CH442" i="2"/>
  <c r="BJ442" i="2"/>
  <c r="D4" i="53"/>
  <c r="C6" i="53"/>
  <c r="C8" i="53" s="1"/>
  <c r="M31" i="52"/>
  <c r="N31" i="52" s="1"/>
  <c r="B8" i="53"/>
  <c r="B9" i="53"/>
  <c r="B38" i="9"/>
  <c r="E38" i="8"/>
  <c r="E38" i="9"/>
  <c r="B38" i="8"/>
  <c r="C9" i="53" l="1"/>
  <c r="W442" i="2"/>
  <c r="B443" i="2"/>
  <c r="F443" i="2"/>
  <c r="AB443" i="2" s="1"/>
  <c r="DL443" i="2"/>
  <c r="CN443" i="2"/>
  <c r="BP443" i="2"/>
  <c r="AR443" i="2"/>
  <c r="DJ443" i="2"/>
  <c r="CL443" i="2"/>
  <c r="BN443" i="2"/>
  <c r="AP443" i="2"/>
  <c r="S443" i="2"/>
  <c r="T443" i="2" s="1"/>
  <c r="DH443" i="2"/>
  <c r="CJ443" i="2"/>
  <c r="BL443" i="2"/>
  <c r="AN443" i="2"/>
  <c r="DF443" i="2"/>
  <c r="CH443" i="2"/>
  <c r="BJ443" i="2"/>
  <c r="AL443" i="2"/>
  <c r="EB443" i="2"/>
  <c r="DD443" i="2"/>
  <c r="CF443" i="2"/>
  <c r="BH443" i="2"/>
  <c r="AJ443" i="2"/>
  <c r="DZ443" i="2"/>
  <c r="DB443" i="2"/>
  <c r="CD443" i="2"/>
  <c r="BF443" i="2"/>
  <c r="AH443" i="2"/>
  <c r="DX443" i="2"/>
  <c r="CZ443" i="2"/>
  <c r="CB443" i="2"/>
  <c r="BD443" i="2"/>
  <c r="DV443" i="2"/>
  <c r="CX443" i="2"/>
  <c r="BZ443" i="2"/>
  <c r="BB443" i="2"/>
  <c r="DT443" i="2"/>
  <c r="CV443" i="2"/>
  <c r="BX443" i="2"/>
  <c r="AZ443" i="2"/>
  <c r="DR443" i="2"/>
  <c r="CT443" i="2"/>
  <c r="BV443" i="2"/>
  <c r="AX443" i="2"/>
  <c r="DP443" i="2"/>
  <c r="CR443" i="2"/>
  <c r="BT443" i="2"/>
  <c r="AV443" i="2"/>
  <c r="DN443" i="2"/>
  <c r="CP443" i="2"/>
  <c r="BR443" i="2"/>
  <c r="AT443" i="2"/>
  <c r="A443" i="2"/>
  <c r="D444" i="2"/>
  <c r="V444" i="2"/>
  <c r="C445" i="2"/>
  <c r="G444" i="2"/>
  <c r="AC444" i="2"/>
  <c r="AD444" i="2" s="1"/>
  <c r="E444" i="2"/>
  <c r="C39" i="53"/>
  <c r="C17" i="53"/>
  <c r="C11" i="53"/>
  <c r="C38" i="53"/>
  <c r="C16" i="53"/>
  <c r="C10" i="53"/>
  <c r="C15" i="53"/>
  <c r="C25" i="53"/>
  <c r="C14" i="53"/>
  <c r="C34" i="53"/>
  <c r="C33" i="53"/>
  <c r="C24" i="53"/>
  <c r="C13" i="53"/>
  <c r="C23" i="53"/>
  <c r="C32" i="53"/>
  <c r="C22" i="53"/>
  <c r="C21" i="53"/>
  <c r="C20" i="53"/>
  <c r="C19" i="53"/>
  <c r="C30" i="53"/>
  <c r="C31" i="53" s="1"/>
  <c r="C18" i="53"/>
  <c r="C12" i="53"/>
  <c r="E4" i="53"/>
  <c r="D6" i="53"/>
  <c r="B26" i="53"/>
  <c r="N26" i="52"/>
  <c r="M57" i="52"/>
  <c r="G38" i="10"/>
  <c r="F38" i="3"/>
  <c r="F38" i="4"/>
  <c r="F38" i="12"/>
  <c r="C26" i="53" l="1"/>
  <c r="H38" i="12"/>
  <c r="G38" i="12"/>
  <c r="G38" i="3"/>
  <c r="H38" i="3"/>
  <c r="F44" i="4"/>
  <c r="C57" i="53"/>
  <c r="D38" i="53"/>
  <c r="D16" i="53"/>
  <c r="D10" i="53"/>
  <c r="D15" i="53"/>
  <c r="D25" i="53"/>
  <c r="D14" i="53"/>
  <c r="D34" i="53"/>
  <c r="D33" i="53"/>
  <c r="D24" i="53"/>
  <c r="D13" i="53"/>
  <c r="D23" i="53"/>
  <c r="D32" i="53"/>
  <c r="D22" i="53"/>
  <c r="D20" i="53"/>
  <c r="D19" i="53"/>
  <c r="D30" i="53"/>
  <c r="D18" i="53"/>
  <c r="D39" i="53"/>
  <c r="D17" i="53"/>
  <c r="D11" i="53"/>
  <c r="D21" i="53"/>
  <c r="D9" i="53"/>
  <c r="DT444" i="2"/>
  <c r="CV444" i="2"/>
  <c r="BX444" i="2"/>
  <c r="AZ444" i="2"/>
  <c r="DR444" i="2"/>
  <c r="CT444" i="2"/>
  <c r="BV444" i="2"/>
  <c r="AX444" i="2"/>
  <c r="DP444" i="2"/>
  <c r="CR444" i="2"/>
  <c r="BT444" i="2"/>
  <c r="AV444" i="2"/>
  <c r="DN444" i="2"/>
  <c r="CP444" i="2"/>
  <c r="BR444" i="2"/>
  <c r="AT444" i="2"/>
  <c r="A444" i="2"/>
  <c r="DL444" i="2"/>
  <c r="CN444" i="2"/>
  <c r="BP444" i="2"/>
  <c r="AR444" i="2"/>
  <c r="DJ444" i="2"/>
  <c r="CL444" i="2"/>
  <c r="BN444" i="2"/>
  <c r="AP444" i="2"/>
  <c r="S444" i="2"/>
  <c r="T444" i="2" s="1"/>
  <c r="DH444" i="2"/>
  <c r="CJ444" i="2"/>
  <c r="BL444" i="2"/>
  <c r="AN444" i="2"/>
  <c r="DF444" i="2"/>
  <c r="CH444" i="2"/>
  <c r="BJ444" i="2"/>
  <c r="AL444" i="2"/>
  <c r="EB444" i="2"/>
  <c r="DD444" i="2"/>
  <c r="CF444" i="2"/>
  <c r="BH444" i="2"/>
  <c r="AJ444" i="2"/>
  <c r="DZ444" i="2"/>
  <c r="DB444" i="2"/>
  <c r="CD444" i="2"/>
  <c r="BF444" i="2"/>
  <c r="AH444" i="2"/>
  <c r="DX444" i="2"/>
  <c r="CZ444" i="2"/>
  <c r="CB444" i="2"/>
  <c r="BD444" i="2"/>
  <c r="DV444" i="2"/>
  <c r="CX444" i="2"/>
  <c r="BZ444" i="2"/>
  <c r="BB444" i="2"/>
  <c r="G445" i="2"/>
  <c r="AC445" i="2"/>
  <c r="AD445" i="2" s="1"/>
  <c r="E445" i="2"/>
  <c r="D445" i="2"/>
  <c r="V445" i="2"/>
  <c r="C446" i="2"/>
  <c r="D8" i="53"/>
  <c r="W443" i="2"/>
  <c r="B444" i="2"/>
  <c r="F444" i="2"/>
  <c r="AB444" i="2" s="1"/>
  <c r="F4" i="53"/>
  <c r="E6" i="53"/>
  <c r="E9" i="53" s="1"/>
  <c r="H60" i="52"/>
  <c r="B60" i="52"/>
  <c r="B27" i="52"/>
  <c r="C27" i="52"/>
  <c r="D27" i="52"/>
  <c r="E27" i="52"/>
  <c r="F27" i="52"/>
  <c r="G27" i="52"/>
  <c r="H27" i="52"/>
  <c r="I27" i="52"/>
  <c r="J27" i="52"/>
  <c r="K27" i="52"/>
  <c r="L27" i="52"/>
  <c r="M27" i="52"/>
  <c r="N57" i="52"/>
  <c r="B57" i="53"/>
  <c r="G38" i="4"/>
  <c r="K38" i="4"/>
  <c r="F38" i="10"/>
  <c r="C38" i="10"/>
  <c r="E38" i="4"/>
  <c r="O38" i="3"/>
  <c r="E38" i="12"/>
  <c r="B38" i="4"/>
  <c r="H38" i="4"/>
  <c r="B38" i="12"/>
  <c r="J38" i="4"/>
  <c r="E38" i="3"/>
  <c r="I38" i="4"/>
  <c r="B38" i="3"/>
  <c r="F445" i="2" l="1"/>
  <c r="AB445" i="2" s="1"/>
  <c r="D26" i="53"/>
  <c r="B38" i="7"/>
  <c r="B38" i="6"/>
  <c r="C38" i="3"/>
  <c r="B38" i="5"/>
  <c r="G44" i="4"/>
  <c r="O38" i="4"/>
  <c r="O44" i="4" s="1"/>
  <c r="H44" i="4"/>
  <c r="E38" i="6"/>
  <c r="E38" i="5"/>
  <c r="E38" i="7"/>
  <c r="I44" i="4"/>
  <c r="J44" i="4"/>
  <c r="K44" i="4"/>
  <c r="C38" i="4"/>
  <c r="D57" i="53"/>
  <c r="F28" i="52"/>
  <c r="F58" i="52" s="1"/>
  <c r="F59" i="52" s="1"/>
  <c r="G4" i="53"/>
  <c r="F6" i="53"/>
  <c r="F8" i="53" s="1"/>
  <c r="E28" i="52"/>
  <c r="E58" i="52" s="1"/>
  <c r="E59" i="52" s="1"/>
  <c r="EB445" i="2"/>
  <c r="DD445" i="2"/>
  <c r="CF445" i="2"/>
  <c r="BH445" i="2"/>
  <c r="AJ445" i="2"/>
  <c r="DZ445" i="2"/>
  <c r="DB445" i="2"/>
  <c r="CD445" i="2"/>
  <c r="BF445" i="2"/>
  <c r="AH445" i="2"/>
  <c r="DX445" i="2"/>
  <c r="CZ445" i="2"/>
  <c r="CB445" i="2"/>
  <c r="BD445" i="2"/>
  <c r="DV445" i="2"/>
  <c r="CX445" i="2"/>
  <c r="BZ445" i="2"/>
  <c r="BB445" i="2"/>
  <c r="DT445" i="2"/>
  <c r="CV445" i="2"/>
  <c r="BX445" i="2"/>
  <c r="AZ445" i="2"/>
  <c r="DR445" i="2"/>
  <c r="CT445" i="2"/>
  <c r="BV445" i="2"/>
  <c r="AX445" i="2"/>
  <c r="DP445" i="2"/>
  <c r="CR445" i="2"/>
  <c r="BT445" i="2"/>
  <c r="AV445" i="2"/>
  <c r="DN445" i="2"/>
  <c r="CP445" i="2"/>
  <c r="BR445" i="2"/>
  <c r="AT445" i="2"/>
  <c r="A445" i="2"/>
  <c r="DL445" i="2"/>
  <c r="CN445" i="2"/>
  <c r="BP445" i="2"/>
  <c r="AR445" i="2"/>
  <c r="DJ445" i="2"/>
  <c r="CL445" i="2"/>
  <c r="BN445" i="2"/>
  <c r="AP445" i="2"/>
  <c r="S445" i="2"/>
  <c r="T445" i="2" s="1"/>
  <c r="DH445" i="2"/>
  <c r="CJ445" i="2"/>
  <c r="BL445" i="2"/>
  <c r="AN445" i="2"/>
  <c r="DF445" i="2"/>
  <c r="CH445" i="2"/>
  <c r="BJ445" i="2"/>
  <c r="AL445" i="2"/>
  <c r="H28" i="52"/>
  <c r="H58" i="52" s="1"/>
  <c r="H59" i="52" s="1"/>
  <c r="D28" i="52"/>
  <c r="D58" i="52" s="1"/>
  <c r="D59" i="52" s="1"/>
  <c r="E8" i="53"/>
  <c r="N27" i="52"/>
  <c r="B28" i="52"/>
  <c r="B58" i="52" s="1"/>
  <c r="M28" i="52"/>
  <c r="M58" i="52" s="1"/>
  <c r="M59" i="52" s="1"/>
  <c r="D31" i="53"/>
  <c r="C28" i="52"/>
  <c r="C58" i="52" s="1"/>
  <c r="C59" i="52" s="1"/>
  <c r="L28" i="52"/>
  <c r="L58" i="52" s="1"/>
  <c r="L59" i="52" s="1"/>
  <c r="J28" i="52"/>
  <c r="J58" i="52" s="1"/>
  <c r="J59" i="52" s="1"/>
  <c r="C447" i="2"/>
  <c r="G446" i="2"/>
  <c r="AC446" i="2"/>
  <c r="AD446" i="2" s="1"/>
  <c r="E446" i="2"/>
  <c r="D446" i="2"/>
  <c r="V446" i="2"/>
  <c r="K28" i="52"/>
  <c r="K58" i="52" s="1"/>
  <c r="K59" i="52" s="1"/>
  <c r="I28" i="52"/>
  <c r="W444" i="2"/>
  <c r="B445" i="2"/>
  <c r="E15" i="53"/>
  <c r="E25" i="53"/>
  <c r="E14" i="53"/>
  <c r="E34" i="53"/>
  <c r="E33" i="53"/>
  <c r="E24" i="53"/>
  <c r="E13" i="53"/>
  <c r="E23" i="53"/>
  <c r="E32" i="53"/>
  <c r="E22" i="53"/>
  <c r="E20" i="53"/>
  <c r="E19" i="53"/>
  <c r="E30" i="53"/>
  <c r="E18" i="53"/>
  <c r="E39" i="53"/>
  <c r="E17" i="53"/>
  <c r="E11" i="53"/>
  <c r="E10" i="53"/>
  <c r="E38" i="53"/>
  <c r="E16" i="53"/>
  <c r="E21" i="53"/>
  <c r="G28" i="52"/>
  <c r="G58" i="52" s="1"/>
  <c r="G59" i="52" s="1"/>
  <c r="H38" i="10"/>
  <c r="P38" i="4" l="1"/>
  <c r="P44" i="4" s="1"/>
  <c r="E26" i="53"/>
  <c r="J38" i="10"/>
  <c r="K38" i="10" s="1"/>
  <c r="I38" i="10"/>
  <c r="B59" i="52"/>
  <c r="E57" i="53"/>
  <c r="I58" i="52"/>
  <c r="I59" i="52" s="1"/>
  <c r="F25" i="53"/>
  <c r="F14" i="53"/>
  <c r="F34" i="53"/>
  <c r="F33" i="53"/>
  <c r="F24" i="53"/>
  <c r="F13" i="53"/>
  <c r="F23" i="53"/>
  <c r="F32" i="53"/>
  <c r="F22" i="53"/>
  <c r="F20" i="53"/>
  <c r="F19" i="53"/>
  <c r="F30" i="53"/>
  <c r="F31" i="53" s="1"/>
  <c r="F18" i="53"/>
  <c r="F39" i="53"/>
  <c r="F17" i="53"/>
  <c r="F11" i="53"/>
  <c r="F38" i="53"/>
  <c r="F16" i="53"/>
  <c r="F10" i="53"/>
  <c r="F15" i="53"/>
  <c r="F21" i="53"/>
  <c r="F9" i="53"/>
  <c r="E31" i="53"/>
  <c r="W445" i="2"/>
  <c r="B446" i="2"/>
  <c r="H4" i="53"/>
  <c r="G6" i="53"/>
  <c r="F446" i="2"/>
  <c r="AB446" i="2" s="1"/>
  <c r="N28" i="52"/>
  <c r="AS38" i="11"/>
  <c r="AQ38" i="11"/>
  <c r="AE38" i="11"/>
  <c r="S38" i="11"/>
  <c r="AP38" i="11"/>
  <c r="AD38" i="11"/>
  <c r="R38" i="11"/>
  <c r="AO38" i="11"/>
  <c r="AC38" i="11"/>
  <c r="Q38" i="11"/>
  <c r="AN38" i="11"/>
  <c r="AB38" i="11"/>
  <c r="P38" i="11"/>
  <c r="AM38" i="11"/>
  <c r="AA38" i="11"/>
  <c r="O38" i="11"/>
  <c r="AL38" i="11"/>
  <c r="Z38" i="11"/>
  <c r="N38" i="11"/>
  <c r="AK38" i="11"/>
  <c r="Y38" i="11"/>
  <c r="M38" i="11"/>
  <c r="AJ38" i="11"/>
  <c r="X38" i="11"/>
  <c r="L38" i="11"/>
  <c r="AI38" i="11"/>
  <c r="W38" i="11"/>
  <c r="K38" i="11"/>
  <c r="AH38" i="11"/>
  <c r="V38" i="11"/>
  <c r="J38" i="11"/>
  <c r="AG38" i="11"/>
  <c r="U38" i="11"/>
  <c r="AR38" i="11"/>
  <c r="AF38" i="11"/>
  <c r="T38" i="11"/>
  <c r="D38" i="5"/>
  <c r="D38" i="6" s="1"/>
  <c r="DL446" i="2"/>
  <c r="CN446" i="2"/>
  <c r="BP446" i="2"/>
  <c r="AR446" i="2"/>
  <c r="DJ446" i="2"/>
  <c r="CL446" i="2"/>
  <c r="BN446" i="2"/>
  <c r="AP446" i="2"/>
  <c r="S446" i="2"/>
  <c r="T446" i="2" s="1"/>
  <c r="DH446" i="2"/>
  <c r="CJ446" i="2"/>
  <c r="BL446" i="2"/>
  <c r="AN446" i="2"/>
  <c r="DF446" i="2"/>
  <c r="CH446" i="2"/>
  <c r="BJ446" i="2"/>
  <c r="AL446" i="2"/>
  <c r="EB446" i="2"/>
  <c r="DD446" i="2"/>
  <c r="CF446" i="2"/>
  <c r="BH446" i="2"/>
  <c r="AJ446" i="2"/>
  <c r="DZ446" i="2"/>
  <c r="DB446" i="2"/>
  <c r="CD446" i="2"/>
  <c r="BF446" i="2"/>
  <c r="AH446" i="2"/>
  <c r="DX446" i="2"/>
  <c r="CZ446" i="2"/>
  <c r="CB446" i="2"/>
  <c r="BD446" i="2"/>
  <c r="DV446" i="2"/>
  <c r="CX446" i="2"/>
  <c r="BZ446" i="2"/>
  <c r="BB446" i="2"/>
  <c r="DT446" i="2"/>
  <c r="CV446" i="2"/>
  <c r="BX446" i="2"/>
  <c r="AZ446" i="2"/>
  <c r="DR446" i="2"/>
  <c r="CT446" i="2"/>
  <c r="BV446" i="2"/>
  <c r="AX446" i="2"/>
  <c r="DP446" i="2"/>
  <c r="CR446" i="2"/>
  <c r="BT446" i="2"/>
  <c r="AV446" i="2"/>
  <c r="AT446" i="2"/>
  <c r="A446" i="2"/>
  <c r="DN446" i="2"/>
  <c r="CP446" i="2"/>
  <c r="BR446" i="2"/>
  <c r="D447" i="2"/>
  <c r="V447" i="2"/>
  <c r="C448" i="2"/>
  <c r="G447" i="2"/>
  <c r="AC447" i="2"/>
  <c r="AD447" i="2" s="1"/>
  <c r="E447" i="2"/>
  <c r="G38" i="11" l="1"/>
  <c r="H38" i="11" s="1"/>
  <c r="F26" i="53"/>
  <c r="F57" i="53" s="1"/>
  <c r="G25" i="53"/>
  <c r="G14" i="53"/>
  <c r="G34" i="53"/>
  <c r="G33" i="53"/>
  <c r="G24" i="53"/>
  <c r="G13" i="53"/>
  <c r="G23" i="53"/>
  <c r="G32" i="53"/>
  <c r="G22" i="53"/>
  <c r="G20" i="53"/>
  <c r="G19" i="53"/>
  <c r="G30" i="53"/>
  <c r="G31" i="53" s="1"/>
  <c r="G18" i="53"/>
  <c r="G39" i="53"/>
  <c r="G17" i="53"/>
  <c r="G11" i="53"/>
  <c r="G38" i="53"/>
  <c r="G16" i="53"/>
  <c r="G10" i="53"/>
  <c r="G15" i="53"/>
  <c r="G21" i="53"/>
  <c r="G8" i="53"/>
  <c r="G9" i="53"/>
  <c r="I4" i="53"/>
  <c r="H6" i="53"/>
  <c r="R38" i="6"/>
  <c r="D38" i="7"/>
  <c r="D38" i="8" s="1"/>
  <c r="D38" i="9" s="1"/>
  <c r="D38" i="10" s="1"/>
  <c r="C38" i="12" s="1"/>
  <c r="DT447" i="2"/>
  <c r="CV447" i="2"/>
  <c r="BX447" i="2"/>
  <c r="AZ447" i="2"/>
  <c r="DR447" i="2"/>
  <c r="CT447" i="2"/>
  <c r="BV447" i="2"/>
  <c r="AX447" i="2"/>
  <c r="DP447" i="2"/>
  <c r="CR447" i="2"/>
  <c r="BT447" i="2"/>
  <c r="AV447" i="2"/>
  <c r="DN447" i="2"/>
  <c r="CP447" i="2"/>
  <c r="BR447" i="2"/>
  <c r="AT447" i="2"/>
  <c r="A447" i="2"/>
  <c r="DL447" i="2"/>
  <c r="CN447" i="2"/>
  <c r="BP447" i="2"/>
  <c r="AR447" i="2"/>
  <c r="DJ447" i="2"/>
  <c r="CL447" i="2"/>
  <c r="BN447" i="2"/>
  <c r="AP447" i="2"/>
  <c r="S447" i="2"/>
  <c r="T447" i="2" s="1"/>
  <c r="DH447" i="2"/>
  <c r="CJ447" i="2"/>
  <c r="BL447" i="2"/>
  <c r="AN447" i="2"/>
  <c r="DF447" i="2"/>
  <c r="CH447" i="2"/>
  <c r="BJ447" i="2"/>
  <c r="AL447" i="2"/>
  <c r="EB447" i="2"/>
  <c r="DD447" i="2"/>
  <c r="CF447" i="2"/>
  <c r="BH447" i="2"/>
  <c r="AJ447" i="2"/>
  <c r="DZ447" i="2"/>
  <c r="DB447" i="2"/>
  <c r="CD447" i="2"/>
  <c r="BF447" i="2"/>
  <c r="AH447" i="2"/>
  <c r="DX447" i="2"/>
  <c r="CZ447" i="2"/>
  <c r="CB447" i="2"/>
  <c r="BD447" i="2"/>
  <c r="CX447" i="2"/>
  <c r="BZ447" i="2"/>
  <c r="BB447" i="2"/>
  <c r="DV447" i="2"/>
  <c r="G448" i="2"/>
  <c r="AC448" i="2"/>
  <c r="AD448" i="2" s="1"/>
  <c r="E448" i="2"/>
  <c r="D448" i="2"/>
  <c r="F448" i="2" s="1"/>
  <c r="AB448" i="2" s="1"/>
  <c r="V448" i="2"/>
  <c r="C449" i="2"/>
  <c r="N58" i="52"/>
  <c r="N59" i="52" s="1"/>
  <c r="F60" i="52" s="1"/>
  <c r="W446" i="2"/>
  <c r="B447" i="2"/>
  <c r="F447" i="2"/>
  <c r="AB447" i="2" s="1"/>
  <c r="H9" i="53" l="1"/>
  <c r="H7" i="53"/>
  <c r="N7" i="53" s="1"/>
  <c r="C38" i="11"/>
  <c r="J40" i="11" s="1"/>
  <c r="G26" i="53"/>
  <c r="I60" i="52"/>
  <c r="G60" i="52"/>
  <c r="H34" i="53"/>
  <c r="H33" i="53"/>
  <c r="H24" i="53"/>
  <c r="H13" i="53"/>
  <c r="H23" i="53"/>
  <c r="H32" i="53"/>
  <c r="H22" i="53"/>
  <c r="H20" i="53"/>
  <c r="H19" i="53"/>
  <c r="H30" i="53"/>
  <c r="H31" i="53" s="1"/>
  <c r="H18" i="53"/>
  <c r="H39" i="53"/>
  <c r="H17" i="53"/>
  <c r="H11" i="53"/>
  <c r="H38" i="53"/>
  <c r="H16" i="53"/>
  <c r="H10" i="53"/>
  <c r="H15" i="53"/>
  <c r="H25" i="53"/>
  <c r="H14" i="53"/>
  <c r="H21" i="53"/>
  <c r="W447" i="2"/>
  <c r="B448" i="2"/>
  <c r="H8" i="53"/>
  <c r="C450" i="2"/>
  <c r="G449" i="2"/>
  <c r="AC449" i="2"/>
  <c r="AD449" i="2" s="1"/>
  <c r="E449" i="2"/>
  <c r="D449" i="2"/>
  <c r="V449" i="2"/>
  <c r="J4" i="53"/>
  <c r="I6" i="53"/>
  <c r="I9" i="53" s="1"/>
  <c r="E38" i="11"/>
  <c r="EB448" i="2"/>
  <c r="DD448" i="2"/>
  <c r="CF448" i="2"/>
  <c r="BH448" i="2"/>
  <c r="AJ448" i="2"/>
  <c r="DZ448" i="2"/>
  <c r="DB448" i="2"/>
  <c r="CD448" i="2"/>
  <c r="BF448" i="2"/>
  <c r="AH448" i="2"/>
  <c r="DX448" i="2"/>
  <c r="CZ448" i="2"/>
  <c r="CB448" i="2"/>
  <c r="BD448" i="2"/>
  <c r="DV448" i="2"/>
  <c r="CX448" i="2"/>
  <c r="BZ448" i="2"/>
  <c r="BB448" i="2"/>
  <c r="DT448" i="2"/>
  <c r="CV448" i="2"/>
  <c r="BX448" i="2"/>
  <c r="AZ448" i="2"/>
  <c r="DR448" i="2"/>
  <c r="CT448" i="2"/>
  <c r="BV448" i="2"/>
  <c r="AX448" i="2"/>
  <c r="DP448" i="2"/>
  <c r="CR448" i="2"/>
  <c r="BT448" i="2"/>
  <c r="AV448" i="2"/>
  <c r="DN448" i="2"/>
  <c r="CP448" i="2"/>
  <c r="BR448" i="2"/>
  <c r="AT448" i="2"/>
  <c r="A448" i="2"/>
  <c r="DL448" i="2"/>
  <c r="CN448" i="2"/>
  <c r="BP448" i="2"/>
  <c r="AR448" i="2"/>
  <c r="DJ448" i="2"/>
  <c r="CL448" i="2"/>
  <c r="BN448" i="2"/>
  <c r="AP448" i="2"/>
  <c r="S448" i="2"/>
  <c r="T448" i="2" s="1"/>
  <c r="DH448" i="2"/>
  <c r="CJ448" i="2"/>
  <c r="BL448" i="2"/>
  <c r="AN448" i="2"/>
  <c r="DF448" i="2"/>
  <c r="CH448" i="2"/>
  <c r="BJ448" i="2"/>
  <c r="AL448" i="2"/>
  <c r="F449" i="2" l="1"/>
  <c r="AB449" i="2" s="1"/>
  <c r="I8" i="53"/>
  <c r="K4" i="53"/>
  <c r="J6" i="53"/>
  <c r="W448" i="2"/>
  <c r="B449" i="2"/>
  <c r="H26" i="53"/>
  <c r="I33" i="53"/>
  <c r="I24" i="53"/>
  <c r="I13" i="53"/>
  <c r="I23" i="53"/>
  <c r="I32" i="53"/>
  <c r="I22" i="53"/>
  <c r="I20" i="53"/>
  <c r="I19" i="53"/>
  <c r="I30" i="53"/>
  <c r="I31" i="53" s="1"/>
  <c r="I18" i="53"/>
  <c r="I39" i="53"/>
  <c r="I17" i="53"/>
  <c r="I11" i="53"/>
  <c r="I38" i="53"/>
  <c r="I16" i="53"/>
  <c r="I10" i="53"/>
  <c r="I15" i="53"/>
  <c r="I25" i="53"/>
  <c r="I14" i="53"/>
  <c r="I34" i="53"/>
  <c r="I21" i="53"/>
  <c r="DL449" i="2"/>
  <c r="CN449" i="2"/>
  <c r="BP449" i="2"/>
  <c r="AR449" i="2"/>
  <c r="DJ449" i="2"/>
  <c r="CL449" i="2"/>
  <c r="BN449" i="2"/>
  <c r="AP449" i="2"/>
  <c r="S449" i="2"/>
  <c r="T449" i="2" s="1"/>
  <c r="DH449" i="2"/>
  <c r="CJ449" i="2"/>
  <c r="BL449" i="2"/>
  <c r="AN449" i="2"/>
  <c r="DF449" i="2"/>
  <c r="CH449" i="2"/>
  <c r="BJ449" i="2"/>
  <c r="AL449" i="2"/>
  <c r="EB449" i="2"/>
  <c r="DD449" i="2"/>
  <c r="CF449" i="2"/>
  <c r="BH449" i="2"/>
  <c r="AJ449" i="2"/>
  <c r="DZ449" i="2"/>
  <c r="DB449" i="2"/>
  <c r="CD449" i="2"/>
  <c r="BF449" i="2"/>
  <c r="AH449" i="2"/>
  <c r="DX449" i="2"/>
  <c r="CZ449" i="2"/>
  <c r="CB449" i="2"/>
  <c r="BD449" i="2"/>
  <c r="DV449" i="2"/>
  <c r="CX449" i="2"/>
  <c r="BZ449" i="2"/>
  <c r="BB449" i="2"/>
  <c r="DT449" i="2"/>
  <c r="CV449" i="2"/>
  <c r="BX449" i="2"/>
  <c r="AZ449" i="2"/>
  <c r="DR449" i="2"/>
  <c r="CT449" i="2"/>
  <c r="BV449" i="2"/>
  <c r="AX449" i="2"/>
  <c r="DP449" i="2"/>
  <c r="CR449" i="2"/>
  <c r="BT449" i="2"/>
  <c r="AV449" i="2"/>
  <c r="A449" i="2"/>
  <c r="DN449" i="2"/>
  <c r="CP449" i="2"/>
  <c r="BR449" i="2"/>
  <c r="AT449" i="2"/>
  <c r="D450" i="2"/>
  <c r="V450" i="2"/>
  <c r="C451" i="2"/>
  <c r="G450" i="2"/>
  <c r="AC450" i="2"/>
  <c r="AD450" i="2" s="1"/>
  <c r="E450" i="2"/>
  <c r="G57" i="53"/>
  <c r="I26" i="53" l="1"/>
  <c r="I57" i="53" s="1"/>
  <c r="DT450" i="2"/>
  <c r="CV450" i="2"/>
  <c r="BX450" i="2"/>
  <c r="AZ450" i="2"/>
  <c r="DR450" i="2"/>
  <c r="CT450" i="2"/>
  <c r="BV450" i="2"/>
  <c r="AX450" i="2"/>
  <c r="DP450" i="2"/>
  <c r="CR450" i="2"/>
  <c r="BT450" i="2"/>
  <c r="AV450" i="2"/>
  <c r="DN450" i="2"/>
  <c r="CP450" i="2"/>
  <c r="BR450" i="2"/>
  <c r="AT450" i="2"/>
  <c r="A450" i="2"/>
  <c r="DL450" i="2"/>
  <c r="CN450" i="2"/>
  <c r="BP450" i="2"/>
  <c r="AR450" i="2"/>
  <c r="DJ450" i="2"/>
  <c r="CL450" i="2"/>
  <c r="BN450" i="2"/>
  <c r="AP450" i="2"/>
  <c r="S450" i="2"/>
  <c r="T450" i="2" s="1"/>
  <c r="DH450" i="2"/>
  <c r="CJ450" i="2"/>
  <c r="BL450" i="2"/>
  <c r="AN450" i="2"/>
  <c r="DF450" i="2"/>
  <c r="CH450" i="2"/>
  <c r="BJ450" i="2"/>
  <c r="AL450" i="2"/>
  <c r="EB450" i="2"/>
  <c r="DD450" i="2"/>
  <c r="CF450" i="2"/>
  <c r="BH450" i="2"/>
  <c r="AJ450" i="2"/>
  <c r="DZ450" i="2"/>
  <c r="DB450" i="2"/>
  <c r="CD450" i="2"/>
  <c r="BF450" i="2"/>
  <c r="AH450" i="2"/>
  <c r="DX450" i="2"/>
  <c r="CZ450" i="2"/>
  <c r="CB450" i="2"/>
  <c r="BD450" i="2"/>
  <c r="DV450" i="2"/>
  <c r="CX450" i="2"/>
  <c r="BZ450" i="2"/>
  <c r="BB450" i="2"/>
  <c r="H57" i="53"/>
  <c r="G451" i="2"/>
  <c r="AC451" i="2"/>
  <c r="AD451" i="2" s="1"/>
  <c r="E451" i="2"/>
  <c r="D451" i="2"/>
  <c r="F451" i="2" s="1"/>
  <c r="AB451" i="2" s="1"/>
  <c r="V451" i="2"/>
  <c r="C452" i="2"/>
  <c r="W449" i="2"/>
  <c r="B450" i="2"/>
  <c r="J23" i="53"/>
  <c r="J32" i="53"/>
  <c r="J22" i="53"/>
  <c r="J20" i="53"/>
  <c r="J19" i="53"/>
  <c r="J30" i="53"/>
  <c r="J31" i="53" s="1"/>
  <c r="J18" i="53"/>
  <c r="J39" i="53"/>
  <c r="J17" i="53"/>
  <c r="J11" i="53"/>
  <c r="J38" i="53"/>
  <c r="J16" i="53"/>
  <c r="J10" i="53"/>
  <c r="J15" i="53"/>
  <c r="J25" i="53"/>
  <c r="J14" i="53"/>
  <c r="J34" i="53"/>
  <c r="J12" i="53"/>
  <c r="J24" i="53"/>
  <c r="J13" i="53"/>
  <c r="J33" i="53"/>
  <c r="J21" i="53"/>
  <c r="F450" i="2"/>
  <c r="AB450" i="2" s="1"/>
  <c r="J8" i="53"/>
  <c r="J9" i="53"/>
  <c r="L4" i="53"/>
  <c r="K6" i="53"/>
  <c r="J26" i="53" l="1"/>
  <c r="J57" i="53" s="1"/>
  <c r="EB451" i="2"/>
  <c r="DD451" i="2"/>
  <c r="CF451" i="2"/>
  <c r="BH451" i="2"/>
  <c r="AJ451" i="2"/>
  <c r="DZ451" i="2"/>
  <c r="DB451" i="2"/>
  <c r="CD451" i="2"/>
  <c r="BF451" i="2"/>
  <c r="AH451" i="2"/>
  <c r="DX451" i="2"/>
  <c r="CZ451" i="2"/>
  <c r="CB451" i="2"/>
  <c r="BD451" i="2"/>
  <c r="DV451" i="2"/>
  <c r="CX451" i="2"/>
  <c r="BZ451" i="2"/>
  <c r="BB451" i="2"/>
  <c r="DT451" i="2"/>
  <c r="CV451" i="2"/>
  <c r="BX451" i="2"/>
  <c r="AZ451" i="2"/>
  <c r="DR451" i="2"/>
  <c r="CT451" i="2"/>
  <c r="BV451" i="2"/>
  <c r="AX451" i="2"/>
  <c r="DP451" i="2"/>
  <c r="CR451" i="2"/>
  <c r="BT451" i="2"/>
  <c r="AV451" i="2"/>
  <c r="DN451" i="2"/>
  <c r="CP451" i="2"/>
  <c r="BR451" i="2"/>
  <c r="AT451" i="2"/>
  <c r="A451" i="2"/>
  <c r="DL451" i="2"/>
  <c r="CN451" i="2"/>
  <c r="BP451" i="2"/>
  <c r="AR451" i="2"/>
  <c r="DJ451" i="2"/>
  <c r="CL451" i="2"/>
  <c r="BN451" i="2"/>
  <c r="AP451" i="2"/>
  <c r="S451" i="2"/>
  <c r="T451" i="2" s="1"/>
  <c r="DH451" i="2"/>
  <c r="CJ451" i="2"/>
  <c r="BL451" i="2"/>
  <c r="AN451" i="2"/>
  <c r="DF451" i="2"/>
  <c r="CH451" i="2"/>
  <c r="BJ451" i="2"/>
  <c r="AL451" i="2"/>
  <c r="K32" i="53"/>
  <c r="K22" i="53"/>
  <c r="K20" i="53"/>
  <c r="K19" i="53"/>
  <c r="K30" i="53"/>
  <c r="K31" i="53" s="1"/>
  <c r="K18" i="53"/>
  <c r="K39" i="53"/>
  <c r="K17" i="53"/>
  <c r="K11" i="53"/>
  <c r="K38" i="53"/>
  <c r="K16" i="53"/>
  <c r="K10" i="53"/>
  <c r="K15" i="53"/>
  <c r="K25" i="53"/>
  <c r="K14" i="53"/>
  <c r="K34" i="53"/>
  <c r="K12" i="53"/>
  <c r="N12" i="53" s="1"/>
  <c r="K33" i="53"/>
  <c r="K24" i="53"/>
  <c r="K13" i="53"/>
  <c r="K23" i="53"/>
  <c r="K21" i="53"/>
  <c r="M4" i="53"/>
  <c r="L6" i="53"/>
  <c r="K9" i="53"/>
  <c r="C453" i="2"/>
  <c r="G452" i="2"/>
  <c r="AC452" i="2"/>
  <c r="AD452" i="2" s="1"/>
  <c r="E452" i="2"/>
  <c r="D452" i="2"/>
  <c r="V452" i="2"/>
  <c r="W450" i="2"/>
  <c r="B451" i="2"/>
  <c r="K8" i="53"/>
  <c r="H39" i="9"/>
  <c r="I39" i="9"/>
  <c r="K26" i="53" l="1"/>
  <c r="K57" i="53" s="1"/>
  <c r="D453" i="2"/>
  <c r="C454" i="2"/>
  <c r="V453" i="2"/>
  <c r="AC453" i="2"/>
  <c r="AD453" i="2" s="1"/>
  <c r="G453" i="2"/>
  <c r="E453" i="2"/>
  <c r="L20" i="53"/>
  <c r="L19" i="53"/>
  <c r="L30" i="53"/>
  <c r="L31" i="53" s="1"/>
  <c r="L18" i="53"/>
  <c r="L39" i="53"/>
  <c r="L17" i="53"/>
  <c r="L11" i="53"/>
  <c r="L38" i="53"/>
  <c r="L16" i="53"/>
  <c r="L10" i="53"/>
  <c r="L15" i="53"/>
  <c r="L25" i="53"/>
  <c r="L14" i="53"/>
  <c r="L34" i="53"/>
  <c r="L33" i="53"/>
  <c r="L24" i="53"/>
  <c r="L13" i="53"/>
  <c r="L23" i="53"/>
  <c r="L32" i="53"/>
  <c r="L22" i="53"/>
  <c r="L21" i="53"/>
  <c r="B4" i="54"/>
  <c r="M6" i="53"/>
  <c r="L8" i="53"/>
  <c r="W451" i="2"/>
  <c r="B452" i="2"/>
  <c r="L9" i="53"/>
  <c r="DL452" i="2"/>
  <c r="CN452" i="2"/>
  <c r="BP452" i="2"/>
  <c r="AR452" i="2"/>
  <c r="DJ452" i="2"/>
  <c r="CL452" i="2"/>
  <c r="BN452" i="2"/>
  <c r="AP452" i="2"/>
  <c r="S452" i="2"/>
  <c r="T452" i="2" s="1"/>
  <c r="DH452" i="2"/>
  <c r="CJ452" i="2"/>
  <c r="BL452" i="2"/>
  <c r="AN452" i="2"/>
  <c r="DF452" i="2"/>
  <c r="CH452" i="2"/>
  <c r="BJ452" i="2"/>
  <c r="AL452" i="2"/>
  <c r="EB452" i="2"/>
  <c r="DD452" i="2"/>
  <c r="CF452" i="2"/>
  <c r="BH452" i="2"/>
  <c r="AJ452" i="2"/>
  <c r="DZ452" i="2"/>
  <c r="DB452" i="2"/>
  <c r="CD452" i="2"/>
  <c r="BF452" i="2"/>
  <c r="AH452" i="2"/>
  <c r="DX452" i="2"/>
  <c r="CZ452" i="2"/>
  <c r="CB452" i="2"/>
  <c r="BD452" i="2"/>
  <c r="DV452" i="2"/>
  <c r="CX452" i="2"/>
  <c r="BZ452" i="2"/>
  <c r="BB452" i="2"/>
  <c r="DT452" i="2"/>
  <c r="CV452" i="2"/>
  <c r="BX452" i="2"/>
  <c r="AZ452" i="2"/>
  <c r="DR452" i="2"/>
  <c r="CT452" i="2"/>
  <c r="BV452" i="2"/>
  <c r="AX452" i="2"/>
  <c r="DP452" i="2"/>
  <c r="CR452" i="2"/>
  <c r="BT452" i="2"/>
  <c r="AV452" i="2"/>
  <c r="DN452" i="2"/>
  <c r="CP452" i="2"/>
  <c r="BR452" i="2"/>
  <c r="AT452" i="2"/>
  <c r="A452" i="2"/>
  <c r="F452" i="2"/>
  <c r="AB452" i="2" s="1"/>
  <c r="L26" i="53" l="1"/>
  <c r="L57" i="53" s="1"/>
  <c r="DP453" i="2"/>
  <c r="CR453" i="2"/>
  <c r="BT453" i="2"/>
  <c r="AV453" i="2"/>
  <c r="DN453" i="2"/>
  <c r="CP453" i="2"/>
  <c r="BR453" i="2"/>
  <c r="AT453" i="2"/>
  <c r="DL453" i="2"/>
  <c r="CN453" i="2"/>
  <c r="BP453" i="2"/>
  <c r="AR453" i="2"/>
  <c r="DJ453" i="2"/>
  <c r="CL453" i="2"/>
  <c r="BN453" i="2"/>
  <c r="AP453" i="2"/>
  <c r="A453" i="2"/>
  <c r="DH453" i="2"/>
  <c r="CJ453" i="2"/>
  <c r="BL453" i="2"/>
  <c r="AN453" i="2"/>
  <c r="DF453" i="2"/>
  <c r="CH453" i="2"/>
  <c r="BJ453" i="2"/>
  <c r="AL453" i="2"/>
  <c r="S453" i="2"/>
  <c r="T453" i="2" s="1"/>
  <c r="EB453" i="2"/>
  <c r="DD453" i="2"/>
  <c r="CF453" i="2"/>
  <c r="BH453" i="2"/>
  <c r="AJ453" i="2"/>
  <c r="DZ453" i="2"/>
  <c r="DB453" i="2"/>
  <c r="CD453" i="2"/>
  <c r="BF453" i="2"/>
  <c r="AH453" i="2"/>
  <c r="DX453" i="2"/>
  <c r="CZ453" i="2"/>
  <c r="CB453" i="2"/>
  <c r="BD453" i="2"/>
  <c r="DV453" i="2"/>
  <c r="CX453" i="2"/>
  <c r="BZ453" i="2"/>
  <c r="BB453" i="2"/>
  <c r="DT453" i="2"/>
  <c r="CV453" i="2"/>
  <c r="BX453" i="2"/>
  <c r="AZ453" i="2"/>
  <c r="DR453" i="2"/>
  <c r="CT453" i="2"/>
  <c r="BV453" i="2"/>
  <c r="AX453" i="2"/>
  <c r="W452" i="2"/>
  <c r="B453" i="2"/>
  <c r="M19" i="53"/>
  <c r="N19" i="53" s="1"/>
  <c r="M30" i="53"/>
  <c r="N30" i="53" s="1"/>
  <c r="M18" i="53"/>
  <c r="N18" i="53" s="1"/>
  <c r="M39" i="53"/>
  <c r="N39" i="53" s="1"/>
  <c r="M17" i="53"/>
  <c r="N17" i="53" s="1"/>
  <c r="M11" i="53"/>
  <c r="N11" i="53" s="1"/>
  <c r="M38" i="53"/>
  <c r="N38" i="53" s="1"/>
  <c r="M16" i="53"/>
  <c r="N16" i="53" s="1"/>
  <c r="M10" i="53"/>
  <c r="N10" i="53" s="1"/>
  <c r="M15" i="53"/>
  <c r="N15" i="53" s="1"/>
  <c r="M25" i="53"/>
  <c r="N25" i="53" s="1"/>
  <c r="M14" i="53"/>
  <c r="N14" i="53" s="1"/>
  <c r="M34" i="53"/>
  <c r="N34" i="53" s="1"/>
  <c r="M33" i="53"/>
  <c r="N33" i="53" s="1"/>
  <c r="M24" i="53"/>
  <c r="N24" i="53" s="1"/>
  <c r="M13" i="53"/>
  <c r="N13" i="53" s="1"/>
  <c r="M23" i="53"/>
  <c r="N23" i="53" s="1"/>
  <c r="M32" i="53"/>
  <c r="N32" i="53" s="1"/>
  <c r="M22" i="53"/>
  <c r="N22" i="53" s="1"/>
  <c r="M20" i="53"/>
  <c r="N20" i="53" s="1"/>
  <c r="N6" i="53"/>
  <c r="M21" i="53"/>
  <c r="N21" i="53" s="1"/>
  <c r="AC454" i="2"/>
  <c r="AD454" i="2" s="1"/>
  <c r="E454" i="2"/>
  <c r="D454" i="2"/>
  <c r="F454" i="2" s="1"/>
  <c r="AB454" i="2" s="1"/>
  <c r="V454" i="2"/>
  <c r="C455" i="2"/>
  <c r="G454" i="2"/>
  <c r="M8" i="53"/>
  <c r="N8" i="53" s="1"/>
  <c r="F453" i="2"/>
  <c r="AB453" i="2" s="1"/>
  <c r="M9" i="53"/>
  <c r="N9" i="53" s="1"/>
  <c r="C4" i="54"/>
  <c r="B6" i="54"/>
  <c r="B7" i="54" s="1"/>
  <c r="F39" i="8"/>
  <c r="O39" i="8"/>
  <c r="M39" i="9"/>
  <c r="F39" i="9"/>
  <c r="L39" i="9"/>
  <c r="N39" i="9"/>
  <c r="G39" i="9"/>
  <c r="J39" i="9"/>
  <c r="K39" i="9"/>
  <c r="L39" i="8"/>
  <c r="I39" i="8"/>
  <c r="N39" i="8" l="1"/>
  <c r="K39" i="8"/>
  <c r="Q39" i="8"/>
  <c r="M31" i="53"/>
  <c r="N31" i="53" s="1"/>
  <c r="O39" i="9"/>
  <c r="P39" i="9" s="1"/>
  <c r="R39" i="8"/>
  <c r="S39" i="8" s="1"/>
  <c r="H39" i="8"/>
  <c r="G39" i="8"/>
  <c r="P39" i="8"/>
  <c r="J39" i="8"/>
  <c r="M39" i="8"/>
  <c r="G455" i="2"/>
  <c r="AC455" i="2"/>
  <c r="AD455" i="2" s="1"/>
  <c r="E455" i="2"/>
  <c r="D455" i="2"/>
  <c r="F455" i="2" s="1"/>
  <c r="AB455" i="2" s="1"/>
  <c r="V455" i="2"/>
  <c r="C456" i="2"/>
  <c r="W453" i="2"/>
  <c r="B454" i="2"/>
  <c r="DT454" i="2"/>
  <c r="CV454" i="2"/>
  <c r="BX454" i="2"/>
  <c r="AZ454" i="2"/>
  <c r="DR454" i="2"/>
  <c r="CT454" i="2"/>
  <c r="BV454" i="2"/>
  <c r="AX454" i="2"/>
  <c r="DP454" i="2"/>
  <c r="CR454" i="2"/>
  <c r="BT454" i="2"/>
  <c r="AV454" i="2"/>
  <c r="DN454" i="2"/>
  <c r="CP454" i="2"/>
  <c r="BR454" i="2"/>
  <c r="AT454" i="2"/>
  <c r="DL454" i="2"/>
  <c r="CN454" i="2"/>
  <c r="BP454" i="2"/>
  <c r="AR454" i="2"/>
  <c r="A454" i="2"/>
  <c r="DJ454" i="2"/>
  <c r="CL454" i="2"/>
  <c r="BN454" i="2"/>
  <c r="AP454" i="2"/>
  <c r="DH454" i="2"/>
  <c r="CJ454" i="2"/>
  <c r="BL454" i="2"/>
  <c r="S454" i="2"/>
  <c r="T454" i="2" s="1"/>
  <c r="DF454" i="2"/>
  <c r="CH454" i="2"/>
  <c r="BJ454" i="2"/>
  <c r="AN454" i="2"/>
  <c r="EB454" i="2"/>
  <c r="DD454" i="2"/>
  <c r="CF454" i="2"/>
  <c r="BH454" i="2"/>
  <c r="AL454" i="2"/>
  <c r="DZ454" i="2"/>
  <c r="DB454" i="2"/>
  <c r="CD454" i="2"/>
  <c r="BF454" i="2"/>
  <c r="AJ454" i="2"/>
  <c r="DX454" i="2"/>
  <c r="CZ454" i="2"/>
  <c r="CB454" i="2"/>
  <c r="BD454" i="2"/>
  <c r="AH454" i="2"/>
  <c r="DV454" i="2"/>
  <c r="CX454" i="2"/>
  <c r="BZ454" i="2"/>
  <c r="BB454" i="2"/>
  <c r="B33" i="54"/>
  <c r="B24" i="54"/>
  <c r="B13" i="54"/>
  <c r="B23" i="54"/>
  <c r="B32" i="54"/>
  <c r="B21" i="54"/>
  <c r="B20" i="54"/>
  <c r="B38" i="54"/>
  <c r="B16" i="54"/>
  <c r="B10" i="54"/>
  <c r="B15" i="54"/>
  <c r="B19" i="54"/>
  <c r="B25" i="54"/>
  <c r="B17" i="54"/>
  <c r="B11" i="54"/>
  <c r="B39" i="54"/>
  <c r="B34" i="54"/>
  <c r="B18" i="54"/>
  <c r="B12" i="54"/>
  <c r="B30" i="54"/>
  <c r="B14" i="54"/>
  <c r="B8" i="54"/>
  <c r="B9" i="54"/>
  <c r="M26" i="53"/>
  <c r="D4" i="54"/>
  <c r="C6" i="54"/>
  <c r="B39" i="8"/>
  <c r="B39" i="9"/>
  <c r="E39" i="9"/>
  <c r="E39" i="8"/>
  <c r="C9" i="54" l="1"/>
  <c r="C17" i="54"/>
  <c r="B26" i="54"/>
  <c r="B57" i="54" s="1"/>
  <c r="C457" i="2"/>
  <c r="G456" i="2"/>
  <c r="AC456" i="2"/>
  <c r="AD456" i="2" s="1"/>
  <c r="E456" i="2"/>
  <c r="D456" i="2"/>
  <c r="V456" i="2"/>
  <c r="W454" i="2"/>
  <c r="B455" i="2"/>
  <c r="C23" i="54"/>
  <c r="C32" i="54"/>
  <c r="C22" i="54"/>
  <c r="C21" i="54"/>
  <c r="C20" i="54"/>
  <c r="C19" i="54"/>
  <c r="C30" i="54"/>
  <c r="C31" i="54" s="1"/>
  <c r="C39" i="54"/>
  <c r="C15" i="54"/>
  <c r="C25" i="54"/>
  <c r="C11" i="54"/>
  <c r="C34" i="54"/>
  <c r="C13" i="54"/>
  <c r="C18" i="54"/>
  <c r="C12" i="54"/>
  <c r="C38" i="54"/>
  <c r="C33" i="54"/>
  <c r="C24" i="54"/>
  <c r="C16" i="54"/>
  <c r="C10" i="54"/>
  <c r="C14" i="54"/>
  <c r="EB455" i="2"/>
  <c r="DD455" i="2"/>
  <c r="CF455" i="2"/>
  <c r="BH455" i="2"/>
  <c r="AJ455" i="2"/>
  <c r="DZ455" i="2"/>
  <c r="DB455" i="2"/>
  <c r="CD455" i="2"/>
  <c r="BF455" i="2"/>
  <c r="AH455" i="2"/>
  <c r="DX455" i="2"/>
  <c r="CZ455" i="2"/>
  <c r="CB455" i="2"/>
  <c r="BD455" i="2"/>
  <c r="DV455" i="2"/>
  <c r="CX455" i="2"/>
  <c r="BZ455" i="2"/>
  <c r="BB455" i="2"/>
  <c r="DT455" i="2"/>
  <c r="CV455" i="2"/>
  <c r="BX455" i="2"/>
  <c r="AZ455" i="2"/>
  <c r="DR455" i="2"/>
  <c r="CT455" i="2"/>
  <c r="BV455" i="2"/>
  <c r="AX455" i="2"/>
  <c r="DP455" i="2"/>
  <c r="CR455" i="2"/>
  <c r="BT455" i="2"/>
  <c r="AV455" i="2"/>
  <c r="DN455" i="2"/>
  <c r="CP455" i="2"/>
  <c r="BR455" i="2"/>
  <c r="AT455" i="2"/>
  <c r="A455" i="2"/>
  <c r="DL455" i="2"/>
  <c r="CN455" i="2"/>
  <c r="BP455" i="2"/>
  <c r="AR455" i="2"/>
  <c r="DJ455" i="2"/>
  <c r="CL455" i="2"/>
  <c r="BN455" i="2"/>
  <c r="AP455" i="2"/>
  <c r="S455" i="2"/>
  <c r="T455" i="2" s="1"/>
  <c r="DH455" i="2"/>
  <c r="CJ455" i="2"/>
  <c r="BL455" i="2"/>
  <c r="AN455" i="2"/>
  <c r="AL455" i="2"/>
  <c r="DF455" i="2"/>
  <c r="CH455" i="2"/>
  <c r="BJ455" i="2"/>
  <c r="C8" i="54"/>
  <c r="B31" i="54"/>
  <c r="E4" i="54"/>
  <c r="D6" i="54"/>
  <c r="D8" i="54" s="1"/>
  <c r="N26" i="53"/>
  <c r="M57" i="53"/>
  <c r="F39" i="12"/>
  <c r="F39" i="3"/>
  <c r="G39" i="10"/>
  <c r="D9" i="54" l="1"/>
  <c r="C26" i="54"/>
  <c r="H39" i="12"/>
  <c r="G39" i="12"/>
  <c r="H39" i="3"/>
  <c r="G39" i="3"/>
  <c r="C57" i="54"/>
  <c r="F456" i="2"/>
  <c r="AB456" i="2" s="1"/>
  <c r="F4" i="54"/>
  <c r="E6" i="54"/>
  <c r="DL456" i="2"/>
  <c r="CN456" i="2"/>
  <c r="BP456" i="2"/>
  <c r="AR456" i="2"/>
  <c r="DJ456" i="2"/>
  <c r="CL456" i="2"/>
  <c r="BN456" i="2"/>
  <c r="AP456" i="2"/>
  <c r="S456" i="2"/>
  <c r="T456" i="2" s="1"/>
  <c r="DH456" i="2"/>
  <c r="CJ456" i="2"/>
  <c r="BL456" i="2"/>
  <c r="AN456" i="2"/>
  <c r="DF456" i="2"/>
  <c r="CH456" i="2"/>
  <c r="BJ456" i="2"/>
  <c r="AL456" i="2"/>
  <c r="EB456" i="2"/>
  <c r="DD456" i="2"/>
  <c r="CF456" i="2"/>
  <c r="BH456" i="2"/>
  <c r="AJ456" i="2"/>
  <c r="DZ456" i="2"/>
  <c r="DB456" i="2"/>
  <c r="CD456" i="2"/>
  <c r="BF456" i="2"/>
  <c r="AH456" i="2"/>
  <c r="DX456" i="2"/>
  <c r="CZ456" i="2"/>
  <c r="CB456" i="2"/>
  <c r="BD456" i="2"/>
  <c r="DV456" i="2"/>
  <c r="CX456" i="2"/>
  <c r="BZ456" i="2"/>
  <c r="BB456" i="2"/>
  <c r="DT456" i="2"/>
  <c r="CV456" i="2"/>
  <c r="BX456" i="2"/>
  <c r="AZ456" i="2"/>
  <c r="DR456" i="2"/>
  <c r="CT456" i="2"/>
  <c r="BV456" i="2"/>
  <c r="AX456" i="2"/>
  <c r="DP456" i="2"/>
  <c r="CR456" i="2"/>
  <c r="BT456" i="2"/>
  <c r="AV456" i="2"/>
  <c r="DN456" i="2"/>
  <c r="CP456" i="2"/>
  <c r="BR456" i="2"/>
  <c r="AT456" i="2"/>
  <c r="A456" i="2"/>
  <c r="D457" i="2"/>
  <c r="V457" i="2"/>
  <c r="C458" i="2"/>
  <c r="G457" i="2"/>
  <c r="AC457" i="2"/>
  <c r="AD457" i="2" s="1"/>
  <c r="E457" i="2"/>
  <c r="H60" i="53"/>
  <c r="B60" i="53"/>
  <c r="B27" i="53"/>
  <c r="C27" i="53"/>
  <c r="D27" i="53"/>
  <c r="E27" i="53"/>
  <c r="F27" i="53"/>
  <c r="G27" i="53"/>
  <c r="H27" i="53"/>
  <c r="I27" i="53"/>
  <c r="J27" i="53"/>
  <c r="K27" i="53"/>
  <c r="L27" i="53"/>
  <c r="M27" i="53"/>
  <c r="N57" i="53"/>
  <c r="D32" i="54"/>
  <c r="D22" i="54"/>
  <c r="D20" i="54"/>
  <c r="D19" i="54"/>
  <c r="D30" i="54"/>
  <c r="D18" i="54"/>
  <c r="D39" i="54"/>
  <c r="D38" i="54"/>
  <c r="D25" i="54"/>
  <c r="D14" i="54"/>
  <c r="D17" i="54"/>
  <c r="D11" i="54"/>
  <c r="D34" i="54"/>
  <c r="D23" i="54"/>
  <c r="D15" i="54"/>
  <c r="D13" i="54"/>
  <c r="D33" i="54"/>
  <c r="D24" i="54"/>
  <c r="D16" i="54"/>
  <c r="D10" i="54"/>
  <c r="D21" i="54"/>
  <c r="W455" i="2"/>
  <c r="B456" i="2"/>
  <c r="O39" i="3"/>
  <c r="E39" i="3"/>
  <c r="F39" i="10"/>
  <c r="B39" i="3"/>
  <c r="C39" i="10"/>
  <c r="B39" i="12"/>
  <c r="E39" i="12"/>
  <c r="F457" i="2" l="1"/>
  <c r="AB457" i="2" s="1"/>
  <c r="C39" i="3"/>
  <c r="D39" i="5" s="1"/>
  <c r="D39" i="6" s="1"/>
  <c r="B39" i="5"/>
  <c r="B39" i="7"/>
  <c r="B39" i="6"/>
  <c r="E39" i="5"/>
  <c r="E39" i="7"/>
  <c r="E39" i="6"/>
  <c r="G28" i="53"/>
  <c r="G58" i="53" s="1"/>
  <c r="G59" i="53" s="1"/>
  <c r="G4" i="54"/>
  <c r="F6" i="54"/>
  <c r="D26" i="54"/>
  <c r="F28" i="53"/>
  <c r="F58" i="53" s="1"/>
  <c r="F59" i="53" s="1"/>
  <c r="DT457" i="2"/>
  <c r="CV457" i="2"/>
  <c r="BX457" i="2"/>
  <c r="AZ457" i="2"/>
  <c r="DR457" i="2"/>
  <c r="CT457" i="2"/>
  <c r="BV457" i="2"/>
  <c r="AX457" i="2"/>
  <c r="DP457" i="2"/>
  <c r="CR457" i="2"/>
  <c r="BT457" i="2"/>
  <c r="AV457" i="2"/>
  <c r="DN457" i="2"/>
  <c r="CP457" i="2"/>
  <c r="BR457" i="2"/>
  <c r="AT457" i="2"/>
  <c r="A457" i="2"/>
  <c r="DL457" i="2"/>
  <c r="CN457" i="2"/>
  <c r="BP457" i="2"/>
  <c r="AR457" i="2"/>
  <c r="DJ457" i="2"/>
  <c r="CL457" i="2"/>
  <c r="BN457" i="2"/>
  <c r="AP457" i="2"/>
  <c r="S457" i="2"/>
  <c r="T457" i="2" s="1"/>
  <c r="DH457" i="2"/>
  <c r="CJ457" i="2"/>
  <c r="BL457" i="2"/>
  <c r="AN457" i="2"/>
  <c r="DF457" i="2"/>
  <c r="CH457" i="2"/>
  <c r="BJ457" i="2"/>
  <c r="AL457" i="2"/>
  <c r="EB457" i="2"/>
  <c r="DD457" i="2"/>
  <c r="CF457" i="2"/>
  <c r="BH457" i="2"/>
  <c r="AJ457" i="2"/>
  <c r="DZ457" i="2"/>
  <c r="DB457" i="2"/>
  <c r="CD457" i="2"/>
  <c r="BF457" i="2"/>
  <c r="AH457" i="2"/>
  <c r="DX457" i="2"/>
  <c r="CZ457" i="2"/>
  <c r="CB457" i="2"/>
  <c r="BD457" i="2"/>
  <c r="DV457" i="2"/>
  <c r="CX457" i="2"/>
  <c r="BZ457" i="2"/>
  <c r="BB457" i="2"/>
  <c r="E9" i="54"/>
  <c r="G458" i="2"/>
  <c r="AC458" i="2"/>
  <c r="AD458" i="2" s="1"/>
  <c r="E458" i="2"/>
  <c r="D458" i="2"/>
  <c r="F458" i="2" s="1"/>
  <c r="AB458" i="2" s="1"/>
  <c r="V458" i="2"/>
  <c r="C459" i="2"/>
  <c r="D28" i="53"/>
  <c r="D58" i="53" s="1"/>
  <c r="D59" i="53" s="1"/>
  <c r="W456" i="2"/>
  <c r="B457" i="2"/>
  <c r="N27" i="53"/>
  <c r="B28" i="53"/>
  <c r="M28" i="53"/>
  <c r="M58" i="53" s="1"/>
  <c r="M59" i="53" s="1"/>
  <c r="C28" i="53"/>
  <c r="C58" i="53" s="1"/>
  <c r="C59" i="53" s="1"/>
  <c r="D31" i="54"/>
  <c r="L28" i="53"/>
  <c r="L58" i="53" s="1"/>
  <c r="L59" i="53" s="1"/>
  <c r="K28" i="53"/>
  <c r="K58" i="53" s="1"/>
  <c r="K59" i="53" s="1"/>
  <c r="E28" i="53"/>
  <c r="E58" i="53" s="1"/>
  <c r="E59" i="53" s="1"/>
  <c r="E20" i="54"/>
  <c r="E19" i="54"/>
  <c r="E30" i="54"/>
  <c r="E31" i="54" s="1"/>
  <c r="E18" i="54"/>
  <c r="E39" i="54"/>
  <c r="E17" i="54"/>
  <c r="E11" i="54"/>
  <c r="E38" i="54"/>
  <c r="E25" i="54"/>
  <c r="E14" i="54"/>
  <c r="E34" i="54"/>
  <c r="E23" i="54"/>
  <c r="E15" i="54"/>
  <c r="E13" i="54"/>
  <c r="E33" i="54"/>
  <c r="E24" i="54"/>
  <c r="E22" i="54"/>
  <c r="E16" i="54"/>
  <c r="E10" i="54"/>
  <c r="E32" i="54"/>
  <c r="E21" i="54"/>
  <c r="I28" i="53"/>
  <c r="I58" i="53" s="1"/>
  <c r="I59" i="53" s="1"/>
  <c r="J28" i="53"/>
  <c r="J58" i="53" s="1"/>
  <c r="J59" i="53" s="1"/>
  <c r="H28" i="53"/>
  <c r="H58" i="53" s="1"/>
  <c r="H59" i="53" s="1"/>
  <c r="E8" i="54"/>
  <c r="H39" i="10"/>
  <c r="E26" i="54" l="1"/>
  <c r="E57" i="54" s="1"/>
  <c r="J39" i="10"/>
  <c r="K39" i="10" s="1"/>
  <c r="I39" i="10"/>
  <c r="F9" i="54"/>
  <c r="C460" i="2"/>
  <c r="G459" i="2"/>
  <c r="AC459" i="2"/>
  <c r="AD459" i="2" s="1"/>
  <c r="E459" i="2"/>
  <c r="D459" i="2"/>
  <c r="F459" i="2" s="1"/>
  <c r="AB459" i="2" s="1"/>
  <c r="V459" i="2"/>
  <c r="W457" i="2"/>
  <c r="B458" i="2"/>
  <c r="N28" i="53"/>
  <c r="D57" i="54"/>
  <c r="B58" i="53"/>
  <c r="EB458" i="2"/>
  <c r="DD458" i="2"/>
  <c r="CF458" i="2"/>
  <c r="BH458" i="2"/>
  <c r="AJ458" i="2"/>
  <c r="DZ458" i="2"/>
  <c r="DB458" i="2"/>
  <c r="CD458" i="2"/>
  <c r="BF458" i="2"/>
  <c r="AH458" i="2"/>
  <c r="DX458" i="2"/>
  <c r="CZ458" i="2"/>
  <c r="CB458" i="2"/>
  <c r="BD458" i="2"/>
  <c r="DV458" i="2"/>
  <c r="CX458" i="2"/>
  <c r="BZ458" i="2"/>
  <c r="BB458" i="2"/>
  <c r="DT458" i="2"/>
  <c r="CV458" i="2"/>
  <c r="BX458" i="2"/>
  <c r="AZ458" i="2"/>
  <c r="DR458" i="2"/>
  <c r="CT458" i="2"/>
  <c r="BV458" i="2"/>
  <c r="AX458" i="2"/>
  <c r="DP458" i="2"/>
  <c r="CR458" i="2"/>
  <c r="BT458" i="2"/>
  <c r="AV458" i="2"/>
  <c r="DN458" i="2"/>
  <c r="CP458" i="2"/>
  <c r="BR458" i="2"/>
  <c r="AT458" i="2"/>
  <c r="A458" i="2"/>
  <c r="DL458" i="2"/>
  <c r="CN458" i="2"/>
  <c r="BP458" i="2"/>
  <c r="AR458" i="2"/>
  <c r="DJ458" i="2"/>
  <c r="CL458" i="2"/>
  <c r="BN458" i="2"/>
  <c r="AP458" i="2"/>
  <c r="S458" i="2"/>
  <c r="T458" i="2" s="1"/>
  <c r="DH458" i="2"/>
  <c r="CJ458" i="2"/>
  <c r="BL458" i="2"/>
  <c r="AN458" i="2"/>
  <c r="DF458" i="2"/>
  <c r="CH458" i="2"/>
  <c r="BJ458" i="2"/>
  <c r="AL458" i="2"/>
  <c r="F19" i="54"/>
  <c r="F30" i="54"/>
  <c r="F31" i="54" s="1"/>
  <c r="F18" i="54"/>
  <c r="F39" i="54"/>
  <c r="F17" i="54"/>
  <c r="F11" i="54"/>
  <c r="F38" i="54"/>
  <c r="F16" i="54"/>
  <c r="F10" i="54"/>
  <c r="F34" i="54"/>
  <c r="F33" i="54"/>
  <c r="F24" i="54"/>
  <c r="F13" i="54"/>
  <c r="F25" i="54"/>
  <c r="F15" i="54"/>
  <c r="F22" i="54"/>
  <c r="F20" i="54"/>
  <c r="F14" i="54"/>
  <c r="F32" i="54"/>
  <c r="F23" i="54"/>
  <c r="F21" i="54"/>
  <c r="F8" i="54"/>
  <c r="H4" i="54"/>
  <c r="G6" i="54"/>
  <c r="D39" i="7"/>
  <c r="D39" i="8" s="1"/>
  <c r="D39" i="9" s="1"/>
  <c r="D39" i="10" s="1"/>
  <c r="C39" i="12" s="1"/>
  <c r="R39" i="6"/>
  <c r="F26" i="54" l="1"/>
  <c r="F57" i="54" s="1"/>
  <c r="D460" i="2"/>
  <c r="V460" i="2"/>
  <c r="C461" i="2"/>
  <c r="G460" i="2"/>
  <c r="AC460" i="2"/>
  <c r="AD460" i="2" s="1"/>
  <c r="E460" i="2"/>
  <c r="G30" i="54"/>
  <c r="G31" i="54" s="1"/>
  <c r="G18" i="54"/>
  <c r="G39" i="54"/>
  <c r="G17" i="54"/>
  <c r="G11" i="54"/>
  <c r="G38" i="54"/>
  <c r="G16" i="54"/>
  <c r="G10" i="54"/>
  <c r="G15" i="54"/>
  <c r="G33" i="54"/>
  <c r="G24" i="54"/>
  <c r="G13" i="54"/>
  <c r="G23" i="54"/>
  <c r="G34" i="54"/>
  <c r="G22" i="54"/>
  <c r="G20" i="54"/>
  <c r="G14" i="54"/>
  <c r="G32" i="54"/>
  <c r="G25" i="54"/>
  <c r="G19" i="54"/>
  <c r="G21" i="54"/>
  <c r="G8" i="54"/>
  <c r="W458" i="2"/>
  <c r="B459" i="2"/>
  <c r="I4" i="54"/>
  <c r="H6" i="54"/>
  <c r="N58" i="53"/>
  <c r="N59" i="53" s="1"/>
  <c r="F60" i="53" s="1"/>
  <c r="B59" i="53"/>
  <c r="G9" i="54"/>
  <c r="DL459" i="2"/>
  <c r="CN459" i="2"/>
  <c r="BP459" i="2"/>
  <c r="AR459" i="2"/>
  <c r="DJ459" i="2"/>
  <c r="CL459" i="2"/>
  <c r="BN459" i="2"/>
  <c r="AP459" i="2"/>
  <c r="S459" i="2"/>
  <c r="T459" i="2" s="1"/>
  <c r="DH459" i="2"/>
  <c r="CJ459" i="2"/>
  <c r="BL459" i="2"/>
  <c r="AN459" i="2"/>
  <c r="DF459" i="2"/>
  <c r="CH459" i="2"/>
  <c r="BJ459" i="2"/>
  <c r="AL459" i="2"/>
  <c r="EB459" i="2"/>
  <c r="DD459" i="2"/>
  <c r="CF459" i="2"/>
  <c r="BH459" i="2"/>
  <c r="AJ459" i="2"/>
  <c r="DZ459" i="2"/>
  <c r="DB459" i="2"/>
  <c r="CD459" i="2"/>
  <c r="BF459" i="2"/>
  <c r="AH459" i="2"/>
  <c r="DX459" i="2"/>
  <c r="CZ459" i="2"/>
  <c r="CB459" i="2"/>
  <c r="BD459" i="2"/>
  <c r="DV459" i="2"/>
  <c r="CX459" i="2"/>
  <c r="BZ459" i="2"/>
  <c r="BB459" i="2"/>
  <c r="DT459" i="2"/>
  <c r="CV459" i="2"/>
  <c r="BX459" i="2"/>
  <c r="AZ459" i="2"/>
  <c r="DR459" i="2"/>
  <c r="CT459" i="2"/>
  <c r="BV459" i="2"/>
  <c r="AX459" i="2"/>
  <c r="DP459" i="2"/>
  <c r="CR459" i="2"/>
  <c r="BT459" i="2"/>
  <c r="AV459" i="2"/>
  <c r="AT459" i="2"/>
  <c r="A459" i="2"/>
  <c r="DN459" i="2"/>
  <c r="CP459" i="2"/>
  <c r="BR459" i="2"/>
  <c r="H9" i="54" l="1"/>
  <c r="H7" i="54"/>
  <c r="N7" i="54" s="1"/>
  <c r="G26" i="54"/>
  <c r="G57" i="54" s="1"/>
  <c r="DT460" i="2"/>
  <c r="CV460" i="2"/>
  <c r="BX460" i="2"/>
  <c r="AZ460" i="2"/>
  <c r="DR460" i="2"/>
  <c r="CT460" i="2"/>
  <c r="BV460" i="2"/>
  <c r="AX460" i="2"/>
  <c r="DP460" i="2"/>
  <c r="CR460" i="2"/>
  <c r="BT460" i="2"/>
  <c r="AV460" i="2"/>
  <c r="DN460" i="2"/>
  <c r="CP460" i="2"/>
  <c r="BR460" i="2"/>
  <c r="AT460" i="2"/>
  <c r="A460" i="2"/>
  <c r="DL460" i="2"/>
  <c r="CN460" i="2"/>
  <c r="BP460" i="2"/>
  <c r="AR460" i="2"/>
  <c r="DJ460" i="2"/>
  <c r="CL460" i="2"/>
  <c r="BN460" i="2"/>
  <c r="AP460" i="2"/>
  <c r="S460" i="2"/>
  <c r="T460" i="2" s="1"/>
  <c r="DH460" i="2"/>
  <c r="CJ460" i="2"/>
  <c r="BL460" i="2"/>
  <c r="AN460" i="2"/>
  <c r="DF460" i="2"/>
  <c r="CH460" i="2"/>
  <c r="BJ460" i="2"/>
  <c r="AL460" i="2"/>
  <c r="EB460" i="2"/>
  <c r="DD460" i="2"/>
  <c r="CF460" i="2"/>
  <c r="BH460" i="2"/>
  <c r="AJ460" i="2"/>
  <c r="DZ460" i="2"/>
  <c r="DB460" i="2"/>
  <c r="CD460" i="2"/>
  <c r="BF460" i="2"/>
  <c r="AH460" i="2"/>
  <c r="DX460" i="2"/>
  <c r="CZ460" i="2"/>
  <c r="CB460" i="2"/>
  <c r="BD460" i="2"/>
  <c r="CX460" i="2"/>
  <c r="BZ460" i="2"/>
  <c r="BB460" i="2"/>
  <c r="DV460" i="2"/>
  <c r="G461" i="2"/>
  <c r="AC461" i="2"/>
  <c r="AD461" i="2" s="1"/>
  <c r="E461" i="2"/>
  <c r="D461" i="2"/>
  <c r="F461" i="2" s="1"/>
  <c r="AB461" i="2" s="1"/>
  <c r="V461" i="2"/>
  <c r="C462" i="2"/>
  <c r="W459" i="2"/>
  <c r="B460" i="2"/>
  <c r="G60" i="53"/>
  <c r="I60" i="53"/>
  <c r="F460" i="2"/>
  <c r="AB460" i="2" s="1"/>
  <c r="H39" i="54"/>
  <c r="H17" i="54"/>
  <c r="H11" i="54"/>
  <c r="H38" i="54"/>
  <c r="H16" i="54"/>
  <c r="H10" i="54"/>
  <c r="H15" i="54"/>
  <c r="H25" i="54"/>
  <c r="H34" i="54"/>
  <c r="H23" i="54"/>
  <c r="H32" i="54"/>
  <c r="H22" i="54"/>
  <c r="H13" i="54"/>
  <c r="H20" i="54"/>
  <c r="H33" i="54"/>
  <c r="H24" i="54"/>
  <c r="H18" i="54"/>
  <c r="H14" i="54"/>
  <c r="H30" i="54"/>
  <c r="H31" i="54" s="1"/>
  <c r="H19" i="54"/>
  <c r="H21" i="54"/>
  <c r="J4" i="54"/>
  <c r="I6" i="54"/>
  <c r="H8" i="54"/>
  <c r="EB461" i="2" l="1"/>
  <c r="DD461" i="2"/>
  <c r="CF461" i="2"/>
  <c r="BH461" i="2"/>
  <c r="AJ461" i="2"/>
  <c r="DZ461" i="2"/>
  <c r="DB461" i="2"/>
  <c r="CD461" i="2"/>
  <c r="BF461" i="2"/>
  <c r="AH461" i="2"/>
  <c r="DX461" i="2"/>
  <c r="CZ461" i="2"/>
  <c r="CB461" i="2"/>
  <c r="BD461" i="2"/>
  <c r="DV461" i="2"/>
  <c r="CX461" i="2"/>
  <c r="BZ461" i="2"/>
  <c r="BB461" i="2"/>
  <c r="DT461" i="2"/>
  <c r="CV461" i="2"/>
  <c r="BX461" i="2"/>
  <c r="AZ461" i="2"/>
  <c r="DR461" i="2"/>
  <c r="CT461" i="2"/>
  <c r="BV461" i="2"/>
  <c r="AX461" i="2"/>
  <c r="DP461" i="2"/>
  <c r="CR461" i="2"/>
  <c r="BT461" i="2"/>
  <c r="AV461" i="2"/>
  <c r="DN461" i="2"/>
  <c r="CP461" i="2"/>
  <c r="BR461" i="2"/>
  <c r="AT461" i="2"/>
  <c r="A461" i="2"/>
  <c r="DL461" i="2"/>
  <c r="CN461" i="2"/>
  <c r="BP461" i="2"/>
  <c r="AR461" i="2"/>
  <c r="DJ461" i="2"/>
  <c r="CL461" i="2"/>
  <c r="BN461" i="2"/>
  <c r="AP461" i="2"/>
  <c r="S461" i="2"/>
  <c r="T461" i="2" s="1"/>
  <c r="DH461" i="2"/>
  <c r="CJ461" i="2"/>
  <c r="BL461" i="2"/>
  <c r="AN461" i="2"/>
  <c r="DF461" i="2"/>
  <c r="CH461" i="2"/>
  <c r="BJ461" i="2"/>
  <c r="AL461" i="2"/>
  <c r="H26" i="54"/>
  <c r="I38" i="54"/>
  <c r="I16" i="54"/>
  <c r="I10" i="54"/>
  <c r="I15" i="54"/>
  <c r="I25" i="54"/>
  <c r="I14" i="54"/>
  <c r="I34" i="54"/>
  <c r="I33" i="54"/>
  <c r="I32" i="54"/>
  <c r="I22" i="54"/>
  <c r="I20" i="54"/>
  <c r="I13" i="54"/>
  <c r="I39" i="54"/>
  <c r="I24" i="54"/>
  <c r="I18" i="54"/>
  <c r="I30" i="54"/>
  <c r="I31" i="54" s="1"/>
  <c r="I19" i="54"/>
  <c r="I23" i="54"/>
  <c r="I11" i="54"/>
  <c r="I17" i="54"/>
  <c r="I21" i="54"/>
  <c r="K4" i="54"/>
  <c r="J6" i="54"/>
  <c r="J9" i="54" s="1"/>
  <c r="I8" i="54"/>
  <c r="I9" i="54"/>
  <c r="C463" i="2"/>
  <c r="G462" i="2"/>
  <c r="AC462" i="2"/>
  <c r="AD462" i="2" s="1"/>
  <c r="E462" i="2"/>
  <c r="D462" i="2"/>
  <c r="V462" i="2"/>
  <c r="W460" i="2"/>
  <c r="B461" i="2"/>
  <c r="I26" i="54" l="1"/>
  <c r="I57" i="54" s="1"/>
  <c r="J8" i="54"/>
  <c r="DL462" i="2"/>
  <c r="CN462" i="2"/>
  <c r="BP462" i="2"/>
  <c r="AR462" i="2"/>
  <c r="DJ462" i="2"/>
  <c r="CL462" i="2"/>
  <c r="BN462" i="2"/>
  <c r="AP462" i="2"/>
  <c r="S462" i="2"/>
  <c r="T462" i="2" s="1"/>
  <c r="DH462" i="2"/>
  <c r="CJ462" i="2"/>
  <c r="BL462" i="2"/>
  <c r="AN462" i="2"/>
  <c r="DF462" i="2"/>
  <c r="CH462" i="2"/>
  <c r="BJ462" i="2"/>
  <c r="AL462" i="2"/>
  <c r="EB462" i="2"/>
  <c r="DD462" i="2"/>
  <c r="CF462" i="2"/>
  <c r="BH462" i="2"/>
  <c r="AJ462" i="2"/>
  <c r="DZ462" i="2"/>
  <c r="DB462" i="2"/>
  <c r="CD462" i="2"/>
  <c r="BF462" i="2"/>
  <c r="AH462" i="2"/>
  <c r="DX462" i="2"/>
  <c r="CZ462" i="2"/>
  <c r="CB462" i="2"/>
  <c r="BD462" i="2"/>
  <c r="DV462" i="2"/>
  <c r="CX462" i="2"/>
  <c r="BZ462" i="2"/>
  <c r="BB462" i="2"/>
  <c r="DT462" i="2"/>
  <c r="CV462" i="2"/>
  <c r="BX462" i="2"/>
  <c r="AZ462" i="2"/>
  <c r="DR462" i="2"/>
  <c r="CT462" i="2"/>
  <c r="BV462" i="2"/>
  <c r="AX462" i="2"/>
  <c r="DP462" i="2"/>
  <c r="CR462" i="2"/>
  <c r="BT462" i="2"/>
  <c r="AV462" i="2"/>
  <c r="A462" i="2"/>
  <c r="DN462" i="2"/>
  <c r="CP462" i="2"/>
  <c r="BR462" i="2"/>
  <c r="AT462" i="2"/>
  <c r="H57" i="54"/>
  <c r="D463" i="2"/>
  <c r="F463" i="2" s="1"/>
  <c r="AB463" i="2" s="1"/>
  <c r="V463" i="2"/>
  <c r="C464" i="2"/>
  <c r="G463" i="2"/>
  <c r="AC463" i="2"/>
  <c r="AD463" i="2" s="1"/>
  <c r="E463" i="2"/>
  <c r="F462" i="2"/>
  <c r="AB462" i="2" s="1"/>
  <c r="J15" i="54"/>
  <c r="J25" i="54"/>
  <c r="J14" i="54"/>
  <c r="J34" i="54"/>
  <c r="J12" i="54"/>
  <c r="J33" i="54"/>
  <c r="J24" i="54"/>
  <c r="J20" i="54"/>
  <c r="J31" i="54"/>
  <c r="J19" i="54"/>
  <c r="J13" i="54"/>
  <c r="J39" i="54"/>
  <c r="J22" i="54"/>
  <c r="J18" i="54"/>
  <c r="J16" i="54"/>
  <c r="J10" i="54"/>
  <c r="J38" i="54"/>
  <c r="J30" i="54"/>
  <c r="J32" i="54"/>
  <c r="J23" i="54"/>
  <c r="J17" i="54"/>
  <c r="J11" i="54"/>
  <c r="J21" i="54"/>
  <c r="W461" i="2"/>
  <c r="B462" i="2"/>
  <c r="L4" i="54"/>
  <c r="K6" i="54"/>
  <c r="J26" i="54" l="1"/>
  <c r="J57" i="54" s="1"/>
  <c r="W462" i="2"/>
  <c r="B463" i="2"/>
  <c r="DT463" i="2"/>
  <c r="CV463" i="2"/>
  <c r="BX463" i="2"/>
  <c r="AZ463" i="2"/>
  <c r="DR463" i="2"/>
  <c r="CT463" i="2"/>
  <c r="BV463" i="2"/>
  <c r="AX463" i="2"/>
  <c r="DP463" i="2"/>
  <c r="CR463" i="2"/>
  <c r="BT463" i="2"/>
  <c r="AV463" i="2"/>
  <c r="DN463" i="2"/>
  <c r="CP463" i="2"/>
  <c r="BR463" i="2"/>
  <c r="AT463" i="2"/>
  <c r="A463" i="2"/>
  <c r="DL463" i="2"/>
  <c r="CN463" i="2"/>
  <c r="BP463" i="2"/>
  <c r="AR463" i="2"/>
  <c r="DJ463" i="2"/>
  <c r="CL463" i="2"/>
  <c r="BN463" i="2"/>
  <c r="AP463" i="2"/>
  <c r="S463" i="2"/>
  <c r="T463" i="2" s="1"/>
  <c r="DH463" i="2"/>
  <c r="CJ463" i="2"/>
  <c r="BL463" i="2"/>
  <c r="AN463" i="2"/>
  <c r="DF463" i="2"/>
  <c r="CH463" i="2"/>
  <c r="BJ463" i="2"/>
  <c r="AL463" i="2"/>
  <c r="EB463" i="2"/>
  <c r="DD463" i="2"/>
  <c r="CF463" i="2"/>
  <c r="BH463" i="2"/>
  <c r="AJ463" i="2"/>
  <c r="DZ463" i="2"/>
  <c r="DB463" i="2"/>
  <c r="CD463" i="2"/>
  <c r="BF463" i="2"/>
  <c r="AH463" i="2"/>
  <c r="DX463" i="2"/>
  <c r="CZ463" i="2"/>
  <c r="CB463" i="2"/>
  <c r="BD463" i="2"/>
  <c r="DV463" i="2"/>
  <c r="CX463" i="2"/>
  <c r="BZ463" i="2"/>
  <c r="BB463" i="2"/>
  <c r="K25" i="54"/>
  <c r="K14" i="54"/>
  <c r="K34" i="54"/>
  <c r="K12" i="54"/>
  <c r="N12" i="54" s="1"/>
  <c r="K33" i="54"/>
  <c r="K24" i="54"/>
  <c r="K13" i="54"/>
  <c r="K23" i="54"/>
  <c r="K32" i="54"/>
  <c r="K19" i="54"/>
  <c r="K30" i="54"/>
  <c r="K31" i="54" s="1"/>
  <c r="K18" i="54"/>
  <c r="K39" i="54"/>
  <c r="K22" i="54"/>
  <c r="K20" i="54"/>
  <c r="K16" i="54"/>
  <c r="K10" i="54"/>
  <c r="K38" i="54"/>
  <c r="K17" i="54"/>
  <c r="K11" i="54"/>
  <c r="K15" i="54"/>
  <c r="K21" i="54"/>
  <c r="K9" i="54"/>
  <c r="M4" i="54"/>
  <c r="L6" i="54"/>
  <c r="K8" i="54"/>
  <c r="G464" i="2"/>
  <c r="AC464" i="2"/>
  <c r="AD464" i="2" s="1"/>
  <c r="E464" i="2"/>
  <c r="D464" i="2"/>
  <c r="F464" i="2" s="1"/>
  <c r="AB464" i="2" s="1"/>
  <c r="V464" i="2"/>
  <c r="C465" i="2"/>
  <c r="H40" i="9"/>
  <c r="I40" i="9"/>
  <c r="K26" i="54" l="1"/>
  <c r="K57" i="54" s="1"/>
  <c r="L25" i="54"/>
  <c r="L14" i="54"/>
  <c r="L34" i="54"/>
  <c r="L33" i="54"/>
  <c r="L24" i="54"/>
  <c r="L13" i="54"/>
  <c r="L23" i="54"/>
  <c r="L32" i="54"/>
  <c r="L22" i="54"/>
  <c r="L30" i="54"/>
  <c r="L31" i="54" s="1"/>
  <c r="L18" i="54"/>
  <c r="L39" i="54"/>
  <c r="L17" i="54"/>
  <c r="L11" i="54"/>
  <c r="L20" i="54"/>
  <c r="L16" i="54"/>
  <c r="L10" i="54"/>
  <c r="L38" i="54"/>
  <c r="L19" i="54"/>
  <c r="L15" i="54"/>
  <c r="L21" i="54"/>
  <c r="L9" i="54"/>
  <c r="L8" i="54"/>
  <c r="M6" i="54"/>
  <c r="B4" i="55"/>
  <c r="AC465" i="2"/>
  <c r="AD465" i="2" s="1"/>
  <c r="G465" i="2"/>
  <c r="E465" i="2"/>
  <c r="D465" i="2"/>
  <c r="C466" i="2"/>
  <c r="V465" i="2"/>
  <c r="W463" i="2"/>
  <c r="B464" i="2"/>
  <c r="EB464" i="2"/>
  <c r="DD464" i="2"/>
  <c r="CF464" i="2"/>
  <c r="BH464" i="2"/>
  <c r="AJ464" i="2"/>
  <c r="DZ464" i="2"/>
  <c r="DB464" i="2"/>
  <c r="CD464" i="2"/>
  <c r="BF464" i="2"/>
  <c r="AH464" i="2"/>
  <c r="DX464" i="2"/>
  <c r="CZ464" i="2"/>
  <c r="CB464" i="2"/>
  <c r="BD464" i="2"/>
  <c r="DV464" i="2"/>
  <c r="CX464" i="2"/>
  <c r="BZ464" i="2"/>
  <c r="BB464" i="2"/>
  <c r="DT464" i="2"/>
  <c r="CV464" i="2"/>
  <c r="BX464" i="2"/>
  <c r="AZ464" i="2"/>
  <c r="DR464" i="2"/>
  <c r="CT464" i="2"/>
  <c r="BV464" i="2"/>
  <c r="AX464" i="2"/>
  <c r="DP464" i="2"/>
  <c r="CR464" i="2"/>
  <c r="BT464" i="2"/>
  <c r="AV464" i="2"/>
  <c r="DN464" i="2"/>
  <c r="CP464" i="2"/>
  <c r="BR464" i="2"/>
  <c r="AT464" i="2"/>
  <c r="A464" i="2"/>
  <c r="DL464" i="2"/>
  <c r="CN464" i="2"/>
  <c r="BP464" i="2"/>
  <c r="AR464" i="2"/>
  <c r="DJ464" i="2"/>
  <c r="CL464" i="2"/>
  <c r="BN464" i="2"/>
  <c r="AP464" i="2"/>
  <c r="S464" i="2"/>
  <c r="T464" i="2" s="1"/>
  <c r="DH464" i="2"/>
  <c r="CJ464" i="2"/>
  <c r="BL464" i="2"/>
  <c r="AN464" i="2"/>
  <c r="DF464" i="2"/>
  <c r="CH464" i="2"/>
  <c r="BJ464" i="2"/>
  <c r="AL464" i="2"/>
  <c r="L26" i="54" l="1"/>
  <c r="L57" i="54" s="1"/>
  <c r="M34" i="54"/>
  <c r="N34" i="54" s="1"/>
  <c r="M33" i="54"/>
  <c r="N33" i="54" s="1"/>
  <c r="M24" i="54"/>
  <c r="N24" i="54" s="1"/>
  <c r="M13" i="54"/>
  <c r="N13" i="54" s="1"/>
  <c r="M23" i="54"/>
  <c r="N23" i="54" s="1"/>
  <c r="M32" i="54"/>
  <c r="N32" i="54" s="1"/>
  <c r="M22" i="54"/>
  <c r="N22" i="54" s="1"/>
  <c r="M39" i="54"/>
  <c r="N39" i="54" s="1"/>
  <c r="M17" i="54"/>
  <c r="N17" i="54" s="1"/>
  <c r="M11" i="54"/>
  <c r="N11" i="54" s="1"/>
  <c r="M38" i="54"/>
  <c r="N38" i="54" s="1"/>
  <c r="M16" i="54"/>
  <c r="N16" i="54" s="1"/>
  <c r="M10" i="54"/>
  <c r="N10" i="54" s="1"/>
  <c r="M20" i="54"/>
  <c r="N20" i="54" s="1"/>
  <c r="M18" i="54"/>
  <c r="N18" i="54" s="1"/>
  <c r="M14" i="54"/>
  <c r="N14" i="54" s="1"/>
  <c r="M30" i="54"/>
  <c r="N30" i="54" s="1"/>
  <c r="M19" i="54"/>
  <c r="N19" i="54" s="1"/>
  <c r="M15" i="54"/>
  <c r="N15" i="54" s="1"/>
  <c r="M25" i="54"/>
  <c r="N25" i="54" s="1"/>
  <c r="N6" i="54"/>
  <c r="M21" i="54"/>
  <c r="N21" i="54" s="1"/>
  <c r="M9" i="54"/>
  <c r="N9" i="54" s="1"/>
  <c r="M8" i="54"/>
  <c r="N8" i="54" s="1"/>
  <c r="W464" i="2"/>
  <c r="B465" i="2"/>
  <c r="C467" i="2"/>
  <c r="G466" i="2"/>
  <c r="AC466" i="2"/>
  <c r="AD466" i="2" s="1"/>
  <c r="E466" i="2"/>
  <c r="D466" i="2"/>
  <c r="F466" i="2" s="1"/>
  <c r="AB466" i="2" s="1"/>
  <c r="V466" i="2"/>
  <c r="F465" i="2"/>
  <c r="AB465" i="2" s="1"/>
  <c r="DH465" i="2"/>
  <c r="CJ465" i="2"/>
  <c r="BL465" i="2"/>
  <c r="AN465" i="2"/>
  <c r="DF465" i="2"/>
  <c r="CH465" i="2"/>
  <c r="BJ465" i="2"/>
  <c r="AL465" i="2"/>
  <c r="S465" i="2"/>
  <c r="T465" i="2" s="1"/>
  <c r="EB465" i="2"/>
  <c r="DD465" i="2"/>
  <c r="CF465" i="2"/>
  <c r="BH465" i="2"/>
  <c r="AJ465" i="2"/>
  <c r="DZ465" i="2"/>
  <c r="DB465" i="2"/>
  <c r="CD465" i="2"/>
  <c r="BF465" i="2"/>
  <c r="AH465" i="2"/>
  <c r="DX465" i="2"/>
  <c r="CZ465" i="2"/>
  <c r="CB465" i="2"/>
  <c r="BD465" i="2"/>
  <c r="DV465" i="2"/>
  <c r="CX465" i="2"/>
  <c r="BZ465" i="2"/>
  <c r="BB465" i="2"/>
  <c r="DT465" i="2"/>
  <c r="CV465" i="2"/>
  <c r="BX465" i="2"/>
  <c r="AZ465" i="2"/>
  <c r="DR465" i="2"/>
  <c r="CT465" i="2"/>
  <c r="BV465" i="2"/>
  <c r="AX465" i="2"/>
  <c r="DP465" i="2"/>
  <c r="CR465" i="2"/>
  <c r="BT465" i="2"/>
  <c r="AV465" i="2"/>
  <c r="DN465" i="2"/>
  <c r="CP465" i="2"/>
  <c r="BR465" i="2"/>
  <c r="AT465" i="2"/>
  <c r="DL465" i="2"/>
  <c r="CN465" i="2"/>
  <c r="BP465" i="2"/>
  <c r="AR465" i="2"/>
  <c r="DJ465" i="2"/>
  <c r="CL465" i="2"/>
  <c r="BN465" i="2"/>
  <c r="AP465" i="2"/>
  <c r="A465" i="2"/>
  <c r="C4" i="55"/>
  <c r="B6" i="55"/>
  <c r="B7" i="55" s="1"/>
  <c r="M40" i="9"/>
  <c r="L40" i="8"/>
  <c r="L40" i="9"/>
  <c r="N40" i="9"/>
  <c r="I40" i="8"/>
  <c r="O40" i="8"/>
  <c r="F40" i="9"/>
  <c r="G40" i="9"/>
  <c r="J40" i="9"/>
  <c r="F40" i="8"/>
  <c r="K40" i="9"/>
  <c r="K40" i="8" l="1"/>
  <c r="Q40" i="8"/>
  <c r="N40" i="8"/>
  <c r="M31" i="54"/>
  <c r="N31" i="54" s="1"/>
  <c r="P40" i="8"/>
  <c r="O40" i="9"/>
  <c r="P40" i="9" s="1"/>
  <c r="J40" i="8"/>
  <c r="M40" i="8"/>
  <c r="R40" i="8"/>
  <c r="S40" i="8" s="1"/>
  <c r="H40" i="8"/>
  <c r="G40" i="8"/>
  <c r="M26" i="54"/>
  <c r="B30" i="55"/>
  <c r="B31" i="55" s="1"/>
  <c r="B18" i="55"/>
  <c r="B12" i="55"/>
  <c r="B38" i="55"/>
  <c r="B16" i="55"/>
  <c r="B10" i="55"/>
  <c r="B25" i="55"/>
  <c r="B34" i="55"/>
  <c r="B33" i="55"/>
  <c r="B24" i="55"/>
  <c r="B13" i="55"/>
  <c r="B23" i="55"/>
  <c r="B19" i="55"/>
  <c r="B11" i="55"/>
  <c r="B39" i="55"/>
  <c r="B20" i="55"/>
  <c r="B14" i="55"/>
  <c r="B17" i="55"/>
  <c r="B32" i="55"/>
  <c r="B21" i="55"/>
  <c r="B15" i="55"/>
  <c r="W465" i="2"/>
  <c r="B466" i="2"/>
  <c r="B9" i="55"/>
  <c r="B8" i="55"/>
  <c r="DL466" i="2"/>
  <c r="CN466" i="2"/>
  <c r="BP466" i="2"/>
  <c r="AR466" i="2"/>
  <c r="A466" i="2"/>
  <c r="DJ466" i="2"/>
  <c r="CL466" i="2"/>
  <c r="BN466" i="2"/>
  <c r="AP466" i="2"/>
  <c r="DH466" i="2"/>
  <c r="CJ466" i="2"/>
  <c r="BL466" i="2"/>
  <c r="S466" i="2"/>
  <c r="T466" i="2" s="1"/>
  <c r="DF466" i="2"/>
  <c r="CH466" i="2"/>
  <c r="BJ466" i="2"/>
  <c r="AN466" i="2"/>
  <c r="EB466" i="2"/>
  <c r="DD466" i="2"/>
  <c r="CF466" i="2"/>
  <c r="BH466" i="2"/>
  <c r="AL466" i="2"/>
  <c r="DZ466" i="2"/>
  <c r="DB466" i="2"/>
  <c r="CD466" i="2"/>
  <c r="BF466" i="2"/>
  <c r="AJ466" i="2"/>
  <c r="DX466" i="2"/>
  <c r="CZ466" i="2"/>
  <c r="CB466" i="2"/>
  <c r="BD466" i="2"/>
  <c r="AH466" i="2"/>
  <c r="DV466" i="2"/>
  <c r="CX466" i="2"/>
  <c r="BZ466" i="2"/>
  <c r="BB466" i="2"/>
  <c r="DT466" i="2"/>
  <c r="CV466" i="2"/>
  <c r="BX466" i="2"/>
  <c r="AZ466" i="2"/>
  <c r="DR466" i="2"/>
  <c r="CT466" i="2"/>
  <c r="BV466" i="2"/>
  <c r="AX466" i="2"/>
  <c r="DP466" i="2"/>
  <c r="CR466" i="2"/>
  <c r="BT466" i="2"/>
  <c r="AV466" i="2"/>
  <c r="DN466" i="2"/>
  <c r="CP466" i="2"/>
  <c r="BR466" i="2"/>
  <c r="AT466" i="2"/>
  <c r="D4" i="55"/>
  <c r="C6" i="55"/>
  <c r="C8" i="55" s="1"/>
  <c r="D467" i="2"/>
  <c r="V467" i="2"/>
  <c r="C468" i="2"/>
  <c r="G467" i="2"/>
  <c r="E467" i="2"/>
  <c r="AC467" i="2"/>
  <c r="AD467" i="2" s="1"/>
  <c r="E40" i="8"/>
  <c r="B40" i="9"/>
  <c r="E40" i="9"/>
  <c r="B40" i="8"/>
  <c r="F467" i="2" l="1"/>
  <c r="AB467" i="2" s="1"/>
  <c r="C9" i="55"/>
  <c r="DT467" i="2"/>
  <c r="CV467" i="2"/>
  <c r="BX467" i="2"/>
  <c r="AZ467" i="2"/>
  <c r="DR467" i="2"/>
  <c r="CT467" i="2"/>
  <c r="BV467" i="2"/>
  <c r="AX467" i="2"/>
  <c r="DP467" i="2"/>
  <c r="CR467" i="2"/>
  <c r="BT467" i="2"/>
  <c r="AV467" i="2"/>
  <c r="DN467" i="2"/>
  <c r="CP467" i="2"/>
  <c r="BR467" i="2"/>
  <c r="AT467" i="2"/>
  <c r="A467" i="2"/>
  <c r="DL467" i="2"/>
  <c r="CN467" i="2"/>
  <c r="BP467" i="2"/>
  <c r="AR467" i="2"/>
  <c r="DJ467" i="2"/>
  <c r="CL467" i="2"/>
  <c r="BN467" i="2"/>
  <c r="AP467" i="2"/>
  <c r="S467" i="2"/>
  <c r="T467" i="2" s="1"/>
  <c r="DH467" i="2"/>
  <c r="CJ467" i="2"/>
  <c r="BL467" i="2"/>
  <c r="AN467" i="2"/>
  <c r="DF467" i="2"/>
  <c r="CH467" i="2"/>
  <c r="BJ467" i="2"/>
  <c r="AL467" i="2"/>
  <c r="EB467" i="2"/>
  <c r="DD467" i="2"/>
  <c r="CF467" i="2"/>
  <c r="BH467" i="2"/>
  <c r="AJ467" i="2"/>
  <c r="DZ467" i="2"/>
  <c r="DB467" i="2"/>
  <c r="CD467" i="2"/>
  <c r="BF467" i="2"/>
  <c r="AH467" i="2"/>
  <c r="DX467" i="2"/>
  <c r="CZ467" i="2"/>
  <c r="CB467" i="2"/>
  <c r="BD467" i="2"/>
  <c r="DV467" i="2"/>
  <c r="CX467" i="2"/>
  <c r="BZ467" i="2"/>
  <c r="BB467" i="2"/>
  <c r="G468" i="2"/>
  <c r="AC468" i="2"/>
  <c r="AD468" i="2" s="1"/>
  <c r="E468" i="2"/>
  <c r="D468" i="2"/>
  <c r="F468" i="2" s="1"/>
  <c r="AB468" i="2" s="1"/>
  <c r="V468" i="2"/>
  <c r="C469" i="2"/>
  <c r="N26" i="54"/>
  <c r="M57" i="54"/>
  <c r="W466" i="2"/>
  <c r="B467" i="2"/>
  <c r="C39" i="55"/>
  <c r="C17" i="55"/>
  <c r="C11" i="55"/>
  <c r="C15" i="55"/>
  <c r="C25" i="55"/>
  <c r="C34" i="55"/>
  <c r="C33" i="55"/>
  <c r="C24" i="55"/>
  <c r="C13" i="55"/>
  <c r="C23" i="55"/>
  <c r="C32" i="55"/>
  <c r="C22" i="55"/>
  <c r="C21" i="55"/>
  <c r="C30" i="55"/>
  <c r="C18" i="55"/>
  <c r="C20" i="55"/>
  <c r="C31" i="55"/>
  <c r="C16" i="55"/>
  <c r="C12" i="55"/>
  <c r="C14" i="55"/>
  <c r="C38" i="55"/>
  <c r="C10" i="55"/>
  <c r="C19" i="55"/>
  <c r="E4" i="55"/>
  <c r="D6" i="55"/>
  <c r="D8" i="55" s="1"/>
  <c r="B26" i="55"/>
  <c r="F40" i="12"/>
  <c r="G40" i="10"/>
  <c r="F40" i="3"/>
  <c r="H40" i="3" l="1"/>
  <c r="G40" i="3"/>
  <c r="H40" i="12"/>
  <c r="G40" i="12"/>
  <c r="EB468" i="2"/>
  <c r="DD468" i="2"/>
  <c r="CF468" i="2"/>
  <c r="BH468" i="2"/>
  <c r="AJ468" i="2"/>
  <c r="DZ468" i="2"/>
  <c r="DB468" i="2"/>
  <c r="CD468" i="2"/>
  <c r="BF468" i="2"/>
  <c r="AH468" i="2"/>
  <c r="DX468" i="2"/>
  <c r="CZ468" i="2"/>
  <c r="CB468" i="2"/>
  <c r="BD468" i="2"/>
  <c r="DV468" i="2"/>
  <c r="CX468" i="2"/>
  <c r="BZ468" i="2"/>
  <c r="BB468" i="2"/>
  <c r="DT468" i="2"/>
  <c r="CV468" i="2"/>
  <c r="BX468" i="2"/>
  <c r="AZ468" i="2"/>
  <c r="DR468" i="2"/>
  <c r="CT468" i="2"/>
  <c r="BV468" i="2"/>
  <c r="AX468" i="2"/>
  <c r="DP468" i="2"/>
  <c r="CR468" i="2"/>
  <c r="BT468" i="2"/>
  <c r="AV468" i="2"/>
  <c r="DN468" i="2"/>
  <c r="CP468" i="2"/>
  <c r="BR468" i="2"/>
  <c r="AT468" i="2"/>
  <c r="A468" i="2"/>
  <c r="DL468" i="2"/>
  <c r="CN468" i="2"/>
  <c r="BP468" i="2"/>
  <c r="AR468" i="2"/>
  <c r="DJ468" i="2"/>
  <c r="CL468" i="2"/>
  <c r="BN468" i="2"/>
  <c r="AP468" i="2"/>
  <c r="S468" i="2"/>
  <c r="T468" i="2" s="1"/>
  <c r="DH468" i="2"/>
  <c r="CJ468" i="2"/>
  <c r="BL468" i="2"/>
  <c r="AN468" i="2"/>
  <c r="DF468" i="2"/>
  <c r="CH468" i="2"/>
  <c r="BJ468" i="2"/>
  <c r="AL468" i="2"/>
  <c r="N57" i="54"/>
  <c r="B60" i="54"/>
  <c r="H60" i="54"/>
  <c r="B27" i="54"/>
  <c r="C27" i="54"/>
  <c r="D27" i="54"/>
  <c r="E27" i="54"/>
  <c r="F27" i="54"/>
  <c r="G27" i="54"/>
  <c r="H27" i="54"/>
  <c r="I27" i="54"/>
  <c r="J27" i="54"/>
  <c r="K27" i="54"/>
  <c r="L27" i="54"/>
  <c r="M27" i="54"/>
  <c r="B57" i="55"/>
  <c r="C470" i="2"/>
  <c r="G469" i="2"/>
  <c r="AC469" i="2"/>
  <c r="AD469" i="2" s="1"/>
  <c r="E469" i="2"/>
  <c r="D469" i="2"/>
  <c r="F469" i="2" s="1"/>
  <c r="AB469" i="2" s="1"/>
  <c r="V469" i="2"/>
  <c r="C26" i="55"/>
  <c r="W467" i="2"/>
  <c r="B468" i="2"/>
  <c r="D38" i="55"/>
  <c r="D16" i="55"/>
  <c r="D10" i="55"/>
  <c r="D34" i="55"/>
  <c r="D33" i="55"/>
  <c r="D24" i="55"/>
  <c r="D23" i="55"/>
  <c r="D32" i="55"/>
  <c r="D22" i="55"/>
  <c r="D20" i="55"/>
  <c r="D39" i="55"/>
  <c r="D17" i="55"/>
  <c r="D13" i="55"/>
  <c r="D31" i="55"/>
  <c r="D18" i="55"/>
  <c r="D14" i="55"/>
  <c r="D25" i="55"/>
  <c r="D30" i="55"/>
  <c r="D19" i="55"/>
  <c r="D15" i="55"/>
  <c r="D11" i="55"/>
  <c r="D21" i="55"/>
  <c r="F4" i="55"/>
  <c r="E6" i="55"/>
  <c r="D9" i="55"/>
  <c r="F40" i="10"/>
  <c r="B40" i="12"/>
  <c r="E40" i="12"/>
  <c r="B40" i="3"/>
  <c r="O40" i="3"/>
  <c r="C40" i="10"/>
  <c r="E40" i="3"/>
  <c r="B40" i="7" l="1"/>
  <c r="B40" i="6"/>
  <c r="C40" i="3"/>
  <c r="D40" i="5" s="1"/>
  <c r="D40" i="6" s="1"/>
  <c r="B40" i="5"/>
  <c r="E40" i="6"/>
  <c r="E40" i="5"/>
  <c r="E40" i="7"/>
  <c r="K28" i="54"/>
  <c r="K58" i="54" s="1"/>
  <c r="K59" i="54" s="1"/>
  <c r="E15" i="55"/>
  <c r="E25" i="55"/>
  <c r="E14" i="55"/>
  <c r="E33" i="55"/>
  <c r="E24" i="55"/>
  <c r="E23" i="55"/>
  <c r="E32" i="55"/>
  <c r="E22" i="55"/>
  <c r="E20" i="55"/>
  <c r="E19" i="55"/>
  <c r="E38" i="55"/>
  <c r="E16" i="55"/>
  <c r="E13" i="55"/>
  <c r="E39" i="55"/>
  <c r="E34" i="55"/>
  <c r="E18" i="55"/>
  <c r="E30" i="55"/>
  <c r="E31" i="55" s="1"/>
  <c r="E10" i="55"/>
  <c r="E17" i="55"/>
  <c r="E11" i="55"/>
  <c r="E21" i="55"/>
  <c r="J28" i="54"/>
  <c r="J58" i="54" s="1"/>
  <c r="J59" i="54" s="1"/>
  <c r="E8" i="55"/>
  <c r="G4" i="55"/>
  <c r="F6" i="55"/>
  <c r="I28" i="54"/>
  <c r="I58" i="54" s="1"/>
  <c r="I59" i="54" s="1"/>
  <c r="DL469" i="2"/>
  <c r="CN469" i="2"/>
  <c r="BP469" i="2"/>
  <c r="AR469" i="2"/>
  <c r="DJ469" i="2"/>
  <c r="CL469" i="2"/>
  <c r="BN469" i="2"/>
  <c r="AP469" i="2"/>
  <c r="S469" i="2"/>
  <c r="T469" i="2" s="1"/>
  <c r="DH469" i="2"/>
  <c r="CJ469" i="2"/>
  <c r="BL469" i="2"/>
  <c r="AN469" i="2"/>
  <c r="DF469" i="2"/>
  <c r="CH469" i="2"/>
  <c r="BJ469" i="2"/>
  <c r="AL469" i="2"/>
  <c r="EB469" i="2"/>
  <c r="DD469" i="2"/>
  <c r="CF469" i="2"/>
  <c r="BH469" i="2"/>
  <c r="AJ469" i="2"/>
  <c r="DZ469" i="2"/>
  <c r="DB469" i="2"/>
  <c r="CD469" i="2"/>
  <c r="BF469" i="2"/>
  <c r="AH469" i="2"/>
  <c r="DX469" i="2"/>
  <c r="CZ469" i="2"/>
  <c r="CB469" i="2"/>
  <c r="BD469" i="2"/>
  <c r="DV469" i="2"/>
  <c r="CX469" i="2"/>
  <c r="BZ469" i="2"/>
  <c r="BB469" i="2"/>
  <c r="DT469" i="2"/>
  <c r="CV469" i="2"/>
  <c r="BX469" i="2"/>
  <c r="AZ469" i="2"/>
  <c r="DR469" i="2"/>
  <c r="CT469" i="2"/>
  <c r="BV469" i="2"/>
  <c r="AX469" i="2"/>
  <c r="DP469" i="2"/>
  <c r="CR469" i="2"/>
  <c r="BT469" i="2"/>
  <c r="AV469" i="2"/>
  <c r="CP469" i="2"/>
  <c r="BR469" i="2"/>
  <c r="AT469" i="2"/>
  <c r="A469" i="2"/>
  <c r="DN469" i="2"/>
  <c r="H28" i="54"/>
  <c r="H58" i="54" s="1"/>
  <c r="H59" i="54" s="1"/>
  <c r="D470" i="2"/>
  <c r="F470" i="2" s="1"/>
  <c r="AB470" i="2" s="1"/>
  <c r="V470" i="2"/>
  <c r="C471" i="2"/>
  <c r="G470" i="2"/>
  <c r="AC470" i="2"/>
  <c r="AD470" i="2" s="1"/>
  <c r="E470" i="2"/>
  <c r="F28" i="54"/>
  <c r="F58" i="54" s="1"/>
  <c r="F59" i="54" s="1"/>
  <c r="E28" i="54"/>
  <c r="E58" i="54" s="1"/>
  <c r="E59" i="54" s="1"/>
  <c r="G28" i="54"/>
  <c r="G58" i="54" s="1"/>
  <c r="G59" i="54" s="1"/>
  <c r="D28" i="54"/>
  <c r="D58" i="54" s="1"/>
  <c r="D59" i="54" s="1"/>
  <c r="C28" i="54"/>
  <c r="C58" i="54" s="1"/>
  <c r="C59" i="54" s="1"/>
  <c r="N27" i="54"/>
  <c r="B28" i="54"/>
  <c r="D26" i="55"/>
  <c r="E9" i="55"/>
  <c r="C57" i="55"/>
  <c r="M28" i="54"/>
  <c r="M58" i="54" s="1"/>
  <c r="M59" i="54" s="1"/>
  <c r="W468" i="2"/>
  <c r="B469" i="2"/>
  <c r="L28" i="54"/>
  <c r="H40" i="10"/>
  <c r="N28" i="54" l="1"/>
  <c r="J40" i="10"/>
  <c r="K40" i="10" s="1"/>
  <c r="I40" i="10"/>
  <c r="F34" i="55"/>
  <c r="F23" i="55"/>
  <c r="F32" i="55"/>
  <c r="F22" i="55"/>
  <c r="F20" i="55"/>
  <c r="F19" i="55"/>
  <c r="F30" i="55"/>
  <c r="F31" i="55" s="1"/>
  <c r="F18" i="55"/>
  <c r="F15" i="55"/>
  <c r="F39" i="55"/>
  <c r="F16" i="55"/>
  <c r="F14" i="55"/>
  <c r="F25" i="55"/>
  <c r="F38" i="55"/>
  <c r="F33" i="55"/>
  <c r="F10" i="55"/>
  <c r="F17" i="55"/>
  <c r="F24" i="55"/>
  <c r="F11" i="55"/>
  <c r="F13" i="55"/>
  <c r="F21" i="55"/>
  <c r="H4" i="55"/>
  <c r="G6" i="55"/>
  <c r="G8" i="55" s="1"/>
  <c r="F9" i="55"/>
  <c r="F8" i="55"/>
  <c r="L58" i="54"/>
  <c r="L59" i="54" s="1"/>
  <c r="E26" i="55"/>
  <c r="DT470" i="2"/>
  <c r="CV470" i="2"/>
  <c r="BX470" i="2"/>
  <c r="AZ470" i="2"/>
  <c r="DR470" i="2"/>
  <c r="CT470" i="2"/>
  <c r="BV470" i="2"/>
  <c r="AX470" i="2"/>
  <c r="DP470" i="2"/>
  <c r="CR470" i="2"/>
  <c r="BT470" i="2"/>
  <c r="AV470" i="2"/>
  <c r="DN470" i="2"/>
  <c r="CP470" i="2"/>
  <c r="BR470" i="2"/>
  <c r="AT470" i="2"/>
  <c r="A470" i="2"/>
  <c r="DL470" i="2"/>
  <c r="CN470" i="2"/>
  <c r="BP470" i="2"/>
  <c r="AR470" i="2"/>
  <c r="DJ470" i="2"/>
  <c r="CL470" i="2"/>
  <c r="BN470" i="2"/>
  <c r="AP470" i="2"/>
  <c r="S470" i="2"/>
  <c r="T470" i="2" s="1"/>
  <c r="DH470" i="2"/>
  <c r="CJ470" i="2"/>
  <c r="BL470" i="2"/>
  <c r="AN470" i="2"/>
  <c r="DF470" i="2"/>
  <c r="CH470" i="2"/>
  <c r="BJ470" i="2"/>
  <c r="AL470" i="2"/>
  <c r="EB470" i="2"/>
  <c r="DD470" i="2"/>
  <c r="CF470" i="2"/>
  <c r="BH470" i="2"/>
  <c r="AJ470" i="2"/>
  <c r="DZ470" i="2"/>
  <c r="DB470" i="2"/>
  <c r="CD470" i="2"/>
  <c r="BF470" i="2"/>
  <c r="AH470" i="2"/>
  <c r="DX470" i="2"/>
  <c r="CZ470" i="2"/>
  <c r="CB470" i="2"/>
  <c r="BD470" i="2"/>
  <c r="DV470" i="2"/>
  <c r="CX470" i="2"/>
  <c r="BZ470" i="2"/>
  <c r="BB470" i="2"/>
  <c r="D40" i="7"/>
  <c r="D40" i="8" s="1"/>
  <c r="D40" i="9" s="1"/>
  <c r="D40" i="10" s="1"/>
  <c r="C40" i="12" s="1"/>
  <c r="R40" i="6"/>
  <c r="D57" i="55"/>
  <c r="G471" i="2"/>
  <c r="AC471" i="2"/>
  <c r="AD471" i="2" s="1"/>
  <c r="E471" i="2"/>
  <c r="D471" i="2"/>
  <c r="V471" i="2"/>
  <c r="C472" i="2"/>
  <c r="B58" i="54"/>
  <c r="W469" i="2"/>
  <c r="B470" i="2"/>
  <c r="F471" i="2" l="1"/>
  <c r="AB471" i="2" s="1"/>
  <c r="G9" i="55"/>
  <c r="F26" i="55"/>
  <c r="F57" i="55" s="1"/>
  <c r="E57" i="55"/>
  <c r="EB471" i="2"/>
  <c r="DD471" i="2"/>
  <c r="CF471" i="2"/>
  <c r="BH471" i="2"/>
  <c r="AJ471" i="2"/>
  <c r="DZ471" i="2"/>
  <c r="DB471" i="2"/>
  <c r="CD471" i="2"/>
  <c r="BF471" i="2"/>
  <c r="AH471" i="2"/>
  <c r="DX471" i="2"/>
  <c r="CZ471" i="2"/>
  <c r="CB471" i="2"/>
  <c r="BD471" i="2"/>
  <c r="DV471" i="2"/>
  <c r="CX471" i="2"/>
  <c r="BZ471" i="2"/>
  <c r="BB471" i="2"/>
  <c r="DT471" i="2"/>
  <c r="CV471" i="2"/>
  <c r="BX471" i="2"/>
  <c r="AZ471" i="2"/>
  <c r="DR471" i="2"/>
  <c r="CT471" i="2"/>
  <c r="BV471" i="2"/>
  <c r="AX471" i="2"/>
  <c r="DP471" i="2"/>
  <c r="CR471" i="2"/>
  <c r="BT471" i="2"/>
  <c r="AV471" i="2"/>
  <c r="DN471" i="2"/>
  <c r="CP471" i="2"/>
  <c r="BR471" i="2"/>
  <c r="AT471" i="2"/>
  <c r="A471" i="2"/>
  <c r="DL471" i="2"/>
  <c r="CN471" i="2"/>
  <c r="BP471" i="2"/>
  <c r="AR471" i="2"/>
  <c r="DJ471" i="2"/>
  <c r="CL471" i="2"/>
  <c r="BN471" i="2"/>
  <c r="AP471" i="2"/>
  <c r="S471" i="2"/>
  <c r="T471" i="2" s="1"/>
  <c r="DH471" i="2"/>
  <c r="CJ471" i="2"/>
  <c r="BL471" i="2"/>
  <c r="AN471" i="2"/>
  <c r="DF471" i="2"/>
  <c r="CH471" i="2"/>
  <c r="BJ471" i="2"/>
  <c r="AL471" i="2"/>
  <c r="N58" i="54"/>
  <c r="N59" i="54" s="1"/>
  <c r="F60" i="54" s="1"/>
  <c r="B59" i="54"/>
  <c r="C473" i="2"/>
  <c r="G472" i="2"/>
  <c r="AC472" i="2"/>
  <c r="AD472" i="2" s="1"/>
  <c r="E472" i="2"/>
  <c r="D472" i="2"/>
  <c r="F472" i="2" s="1"/>
  <c r="AB472" i="2" s="1"/>
  <c r="V472" i="2"/>
  <c r="G25" i="55"/>
  <c r="G14" i="55"/>
  <c r="G33" i="55"/>
  <c r="G24" i="55"/>
  <c r="G13" i="55"/>
  <c r="G32" i="55"/>
  <c r="G22" i="55"/>
  <c r="G20" i="55"/>
  <c r="G19" i="55"/>
  <c r="G30" i="55"/>
  <c r="G31" i="55" s="1"/>
  <c r="G18" i="55"/>
  <c r="G39" i="55"/>
  <c r="G17" i="55"/>
  <c r="G11" i="55"/>
  <c r="G34" i="55"/>
  <c r="G23" i="55"/>
  <c r="G16" i="55"/>
  <c r="G38" i="55"/>
  <c r="G10" i="55"/>
  <c r="G15" i="55"/>
  <c r="G21" i="55"/>
  <c r="W470" i="2"/>
  <c r="B471" i="2"/>
  <c r="I4" i="55"/>
  <c r="H6" i="55"/>
  <c r="H9" i="55" l="1"/>
  <c r="H7" i="55"/>
  <c r="N7" i="55" s="1"/>
  <c r="G26" i="55"/>
  <c r="G57" i="55" s="1"/>
  <c r="W471" i="2"/>
  <c r="B472" i="2"/>
  <c r="H8" i="55"/>
  <c r="DL472" i="2"/>
  <c r="CN472" i="2"/>
  <c r="BP472" i="2"/>
  <c r="AR472" i="2"/>
  <c r="DJ472" i="2"/>
  <c r="CL472" i="2"/>
  <c r="BN472" i="2"/>
  <c r="AP472" i="2"/>
  <c r="S472" i="2"/>
  <c r="T472" i="2" s="1"/>
  <c r="DH472" i="2"/>
  <c r="CJ472" i="2"/>
  <c r="BL472" i="2"/>
  <c r="AN472" i="2"/>
  <c r="DF472" i="2"/>
  <c r="CH472" i="2"/>
  <c r="BJ472" i="2"/>
  <c r="AL472" i="2"/>
  <c r="EB472" i="2"/>
  <c r="DD472" i="2"/>
  <c r="CF472" i="2"/>
  <c r="BH472" i="2"/>
  <c r="AJ472" i="2"/>
  <c r="DZ472" i="2"/>
  <c r="DB472" i="2"/>
  <c r="CD472" i="2"/>
  <c r="BF472" i="2"/>
  <c r="AH472" i="2"/>
  <c r="DX472" i="2"/>
  <c r="CZ472" i="2"/>
  <c r="CB472" i="2"/>
  <c r="BD472" i="2"/>
  <c r="DV472" i="2"/>
  <c r="CX472" i="2"/>
  <c r="BZ472" i="2"/>
  <c r="BB472" i="2"/>
  <c r="DT472" i="2"/>
  <c r="CV472" i="2"/>
  <c r="BX472" i="2"/>
  <c r="AZ472" i="2"/>
  <c r="DR472" i="2"/>
  <c r="CT472" i="2"/>
  <c r="BV472" i="2"/>
  <c r="AX472" i="2"/>
  <c r="DP472" i="2"/>
  <c r="CR472" i="2"/>
  <c r="BT472" i="2"/>
  <c r="AV472" i="2"/>
  <c r="A472" i="2"/>
  <c r="DN472" i="2"/>
  <c r="CP472" i="2"/>
  <c r="BR472" i="2"/>
  <c r="AT472" i="2"/>
  <c r="D473" i="2"/>
  <c r="V473" i="2"/>
  <c r="C474" i="2"/>
  <c r="G473" i="2"/>
  <c r="AC473" i="2"/>
  <c r="AD473" i="2" s="1"/>
  <c r="E473" i="2"/>
  <c r="H34" i="55"/>
  <c r="H23" i="55"/>
  <c r="H20" i="55"/>
  <c r="H30" i="55"/>
  <c r="H31" i="55" s="1"/>
  <c r="H18" i="55"/>
  <c r="H39" i="55"/>
  <c r="H17" i="55"/>
  <c r="H11" i="55"/>
  <c r="H38" i="55"/>
  <c r="H16" i="55"/>
  <c r="H10" i="55"/>
  <c r="H25" i="55"/>
  <c r="H14" i="55"/>
  <c r="H33" i="55"/>
  <c r="H22" i="55"/>
  <c r="H19" i="55"/>
  <c r="H15" i="55"/>
  <c r="H24" i="55"/>
  <c r="H32" i="55"/>
  <c r="H13" i="55"/>
  <c r="H21" i="55"/>
  <c r="J4" i="55"/>
  <c r="I6" i="55"/>
  <c r="G60" i="54"/>
  <c r="I60" i="54"/>
  <c r="H26" i="55" l="1"/>
  <c r="H57" i="55" s="1"/>
  <c r="DT473" i="2"/>
  <c r="CV473" i="2"/>
  <c r="BX473" i="2"/>
  <c r="AZ473" i="2"/>
  <c r="DR473" i="2"/>
  <c r="CT473" i="2"/>
  <c r="BV473" i="2"/>
  <c r="AX473" i="2"/>
  <c r="DP473" i="2"/>
  <c r="CR473" i="2"/>
  <c r="BT473" i="2"/>
  <c r="AV473" i="2"/>
  <c r="DN473" i="2"/>
  <c r="CP473" i="2"/>
  <c r="BR473" i="2"/>
  <c r="AT473" i="2"/>
  <c r="A473" i="2"/>
  <c r="DL473" i="2"/>
  <c r="CN473" i="2"/>
  <c r="BP473" i="2"/>
  <c r="AR473" i="2"/>
  <c r="DJ473" i="2"/>
  <c r="CL473" i="2"/>
  <c r="BN473" i="2"/>
  <c r="AP473" i="2"/>
  <c r="S473" i="2"/>
  <c r="T473" i="2" s="1"/>
  <c r="DH473" i="2"/>
  <c r="CJ473" i="2"/>
  <c r="BL473" i="2"/>
  <c r="AN473" i="2"/>
  <c r="DF473" i="2"/>
  <c r="CH473" i="2"/>
  <c r="BJ473" i="2"/>
  <c r="AL473" i="2"/>
  <c r="EB473" i="2"/>
  <c r="DD473" i="2"/>
  <c r="CF473" i="2"/>
  <c r="BH473" i="2"/>
  <c r="AJ473" i="2"/>
  <c r="DZ473" i="2"/>
  <c r="DB473" i="2"/>
  <c r="CD473" i="2"/>
  <c r="BF473" i="2"/>
  <c r="AH473" i="2"/>
  <c r="DX473" i="2"/>
  <c r="CZ473" i="2"/>
  <c r="CB473" i="2"/>
  <c r="BD473" i="2"/>
  <c r="BZ473" i="2"/>
  <c r="BB473" i="2"/>
  <c r="DV473" i="2"/>
  <c r="CX473" i="2"/>
  <c r="I33" i="55"/>
  <c r="I24" i="55"/>
  <c r="I13" i="55"/>
  <c r="I32" i="55"/>
  <c r="I22" i="55"/>
  <c r="I19" i="55"/>
  <c r="I30" i="55"/>
  <c r="I31" i="55" s="1"/>
  <c r="I39" i="55"/>
  <c r="I17" i="55"/>
  <c r="I11" i="55"/>
  <c r="I38" i="55"/>
  <c r="I16" i="55"/>
  <c r="I10" i="55"/>
  <c r="I15" i="55"/>
  <c r="I34" i="55"/>
  <c r="I23" i="55"/>
  <c r="I18" i="55"/>
  <c r="I20" i="55"/>
  <c r="I14" i="55"/>
  <c r="I25" i="55"/>
  <c r="I21" i="55"/>
  <c r="G474" i="2"/>
  <c r="AC474" i="2"/>
  <c r="AD474" i="2" s="1"/>
  <c r="E474" i="2"/>
  <c r="D474" i="2"/>
  <c r="F474" i="2" s="1"/>
  <c r="AB474" i="2" s="1"/>
  <c r="V474" i="2"/>
  <c r="C475" i="2"/>
  <c r="W472" i="2"/>
  <c r="B473" i="2"/>
  <c r="I8" i="55"/>
  <c r="K4" i="55"/>
  <c r="J6" i="55"/>
  <c r="J9" i="55" s="1"/>
  <c r="I9" i="55"/>
  <c r="F473" i="2"/>
  <c r="AB473" i="2" s="1"/>
  <c r="I26" i="55" l="1"/>
  <c r="I57" i="55" s="1"/>
  <c r="W473" i="2"/>
  <c r="B474" i="2"/>
  <c r="C476" i="2"/>
  <c r="G475" i="2"/>
  <c r="AC475" i="2"/>
  <c r="AD475" i="2" s="1"/>
  <c r="E475" i="2"/>
  <c r="D475" i="2"/>
  <c r="V475" i="2"/>
  <c r="EB474" i="2"/>
  <c r="DD474" i="2"/>
  <c r="CF474" i="2"/>
  <c r="BH474" i="2"/>
  <c r="AJ474" i="2"/>
  <c r="DZ474" i="2"/>
  <c r="DB474" i="2"/>
  <c r="CD474" i="2"/>
  <c r="BF474" i="2"/>
  <c r="AH474" i="2"/>
  <c r="DX474" i="2"/>
  <c r="CZ474" i="2"/>
  <c r="CB474" i="2"/>
  <c r="BD474" i="2"/>
  <c r="DV474" i="2"/>
  <c r="CX474" i="2"/>
  <c r="BZ474" i="2"/>
  <c r="BB474" i="2"/>
  <c r="DT474" i="2"/>
  <c r="CV474" i="2"/>
  <c r="BX474" i="2"/>
  <c r="AZ474" i="2"/>
  <c r="DR474" i="2"/>
  <c r="CT474" i="2"/>
  <c r="BV474" i="2"/>
  <c r="AX474" i="2"/>
  <c r="DP474" i="2"/>
  <c r="CR474" i="2"/>
  <c r="BT474" i="2"/>
  <c r="AV474" i="2"/>
  <c r="DN474" i="2"/>
  <c r="CP474" i="2"/>
  <c r="BR474" i="2"/>
  <c r="AT474" i="2"/>
  <c r="A474" i="2"/>
  <c r="DL474" i="2"/>
  <c r="CN474" i="2"/>
  <c r="BP474" i="2"/>
  <c r="AR474" i="2"/>
  <c r="DJ474" i="2"/>
  <c r="CL474" i="2"/>
  <c r="BN474" i="2"/>
  <c r="AP474" i="2"/>
  <c r="S474" i="2"/>
  <c r="T474" i="2" s="1"/>
  <c r="DH474" i="2"/>
  <c r="CJ474" i="2"/>
  <c r="BL474" i="2"/>
  <c r="AN474" i="2"/>
  <c r="DF474" i="2"/>
  <c r="CH474" i="2"/>
  <c r="BJ474" i="2"/>
  <c r="AL474" i="2"/>
  <c r="L4" i="55"/>
  <c r="K6" i="55"/>
  <c r="J23" i="55"/>
  <c r="J20" i="55"/>
  <c r="J30" i="55"/>
  <c r="J31" i="55" s="1"/>
  <c r="J39" i="55"/>
  <c r="J38" i="55"/>
  <c r="J16" i="55"/>
  <c r="J10" i="55"/>
  <c r="J15" i="55"/>
  <c r="J33" i="55"/>
  <c r="J24" i="55"/>
  <c r="J14" i="55"/>
  <c r="J25" i="55"/>
  <c r="J12" i="55"/>
  <c r="J22" i="55"/>
  <c r="J19" i="55"/>
  <c r="J17" i="55"/>
  <c r="J32" i="55"/>
  <c r="J11" i="55"/>
  <c r="J13" i="55"/>
  <c r="J18" i="55"/>
  <c r="J34" i="55"/>
  <c r="J21" i="55"/>
  <c r="J8" i="55"/>
  <c r="F475" i="2" l="1"/>
  <c r="AB475" i="2" s="1"/>
  <c r="J26" i="55"/>
  <c r="J57" i="55" s="1"/>
  <c r="W474" i="2"/>
  <c r="B475" i="2"/>
  <c r="K32" i="55"/>
  <c r="K22" i="55"/>
  <c r="K19" i="55"/>
  <c r="K39" i="55"/>
  <c r="K38" i="55"/>
  <c r="K15" i="55"/>
  <c r="K25" i="55"/>
  <c r="K14" i="55"/>
  <c r="K23" i="55"/>
  <c r="K20" i="55"/>
  <c r="K16" i="55"/>
  <c r="K12" i="55"/>
  <c r="N12" i="55" s="1"/>
  <c r="K33" i="55"/>
  <c r="K10" i="55"/>
  <c r="K30" i="55"/>
  <c r="K31" i="55" s="1"/>
  <c r="K17" i="55"/>
  <c r="K24" i="55"/>
  <c r="K11" i="55"/>
  <c r="K13" i="55"/>
  <c r="K34" i="55"/>
  <c r="K18" i="55"/>
  <c r="K21" i="55"/>
  <c r="K8" i="55"/>
  <c r="DL475" i="2"/>
  <c r="CN475" i="2"/>
  <c r="BP475" i="2"/>
  <c r="AR475" i="2"/>
  <c r="DJ475" i="2"/>
  <c r="CL475" i="2"/>
  <c r="BN475" i="2"/>
  <c r="AP475" i="2"/>
  <c r="S475" i="2"/>
  <c r="T475" i="2" s="1"/>
  <c r="DH475" i="2"/>
  <c r="CJ475" i="2"/>
  <c r="BL475" i="2"/>
  <c r="AN475" i="2"/>
  <c r="DF475" i="2"/>
  <c r="CH475" i="2"/>
  <c r="BJ475" i="2"/>
  <c r="AL475" i="2"/>
  <c r="EB475" i="2"/>
  <c r="DD475" i="2"/>
  <c r="CF475" i="2"/>
  <c r="BH475" i="2"/>
  <c r="AJ475" i="2"/>
  <c r="DZ475" i="2"/>
  <c r="DB475" i="2"/>
  <c r="CD475" i="2"/>
  <c r="BF475" i="2"/>
  <c r="AH475" i="2"/>
  <c r="DX475" i="2"/>
  <c r="CZ475" i="2"/>
  <c r="CB475" i="2"/>
  <c r="BD475" i="2"/>
  <c r="DV475" i="2"/>
  <c r="CX475" i="2"/>
  <c r="BZ475" i="2"/>
  <c r="BB475" i="2"/>
  <c r="DT475" i="2"/>
  <c r="CV475" i="2"/>
  <c r="BX475" i="2"/>
  <c r="AZ475" i="2"/>
  <c r="DR475" i="2"/>
  <c r="CT475" i="2"/>
  <c r="BV475" i="2"/>
  <c r="AX475" i="2"/>
  <c r="DP475" i="2"/>
  <c r="CR475" i="2"/>
  <c r="BT475" i="2"/>
  <c r="AV475" i="2"/>
  <c r="A475" i="2"/>
  <c r="DN475" i="2"/>
  <c r="CP475" i="2"/>
  <c r="BR475" i="2"/>
  <c r="AT475" i="2"/>
  <c r="M4" i="55"/>
  <c r="L6" i="55"/>
  <c r="L8" i="55" s="1"/>
  <c r="D476" i="2"/>
  <c r="V476" i="2"/>
  <c r="C477" i="2"/>
  <c r="G476" i="2"/>
  <c r="E476" i="2"/>
  <c r="AC476" i="2"/>
  <c r="AD476" i="2" s="1"/>
  <c r="K9" i="55"/>
  <c r="H41" i="9"/>
  <c r="I41" i="9"/>
  <c r="F476" i="2" l="1"/>
  <c r="AB476" i="2" s="1"/>
  <c r="K26" i="55"/>
  <c r="K57" i="55" s="1"/>
  <c r="L9" i="55"/>
  <c r="AC477" i="2"/>
  <c r="AD477" i="2" s="1"/>
  <c r="G477" i="2"/>
  <c r="E477" i="2"/>
  <c r="D477" i="2"/>
  <c r="F477" i="2" s="1"/>
  <c r="AB477" i="2" s="1"/>
  <c r="V477" i="2"/>
  <c r="C478" i="2"/>
  <c r="DT476" i="2"/>
  <c r="CV476" i="2"/>
  <c r="BX476" i="2"/>
  <c r="AZ476" i="2"/>
  <c r="DR476" i="2"/>
  <c r="CT476" i="2"/>
  <c r="BV476" i="2"/>
  <c r="AX476" i="2"/>
  <c r="DP476" i="2"/>
  <c r="CR476" i="2"/>
  <c r="BT476" i="2"/>
  <c r="AV476" i="2"/>
  <c r="DN476" i="2"/>
  <c r="CP476" i="2"/>
  <c r="BR476" i="2"/>
  <c r="AT476" i="2"/>
  <c r="A476" i="2"/>
  <c r="DL476" i="2"/>
  <c r="CN476" i="2"/>
  <c r="BP476" i="2"/>
  <c r="AR476" i="2"/>
  <c r="DJ476" i="2"/>
  <c r="CL476" i="2"/>
  <c r="BN476" i="2"/>
  <c r="AP476" i="2"/>
  <c r="S476" i="2"/>
  <c r="T476" i="2" s="1"/>
  <c r="DH476" i="2"/>
  <c r="CJ476" i="2"/>
  <c r="BL476" i="2"/>
  <c r="AN476" i="2"/>
  <c r="DF476" i="2"/>
  <c r="CH476" i="2"/>
  <c r="BJ476" i="2"/>
  <c r="AL476" i="2"/>
  <c r="EB476" i="2"/>
  <c r="DD476" i="2"/>
  <c r="CF476" i="2"/>
  <c r="BH476" i="2"/>
  <c r="AJ476" i="2"/>
  <c r="DZ476" i="2"/>
  <c r="DB476" i="2"/>
  <c r="CD476" i="2"/>
  <c r="BF476" i="2"/>
  <c r="AH476" i="2"/>
  <c r="DX476" i="2"/>
  <c r="CZ476" i="2"/>
  <c r="CB476" i="2"/>
  <c r="BD476" i="2"/>
  <c r="DV476" i="2"/>
  <c r="CX476" i="2"/>
  <c r="BZ476" i="2"/>
  <c r="BB476" i="2"/>
  <c r="W475" i="2"/>
  <c r="B476" i="2"/>
  <c r="L20" i="55"/>
  <c r="L30" i="55"/>
  <c r="L31" i="55" s="1"/>
  <c r="L18" i="55"/>
  <c r="L38" i="55"/>
  <c r="L25" i="55"/>
  <c r="L14" i="55"/>
  <c r="L34" i="55"/>
  <c r="L32" i="55"/>
  <c r="L22" i="55"/>
  <c r="L33" i="55"/>
  <c r="L10" i="55"/>
  <c r="L19" i="55"/>
  <c r="L17" i="55"/>
  <c r="L24" i="55"/>
  <c r="L15" i="55"/>
  <c r="L11" i="55"/>
  <c r="L13" i="55"/>
  <c r="L16" i="55"/>
  <c r="L39" i="55"/>
  <c r="L23" i="55"/>
  <c r="L21" i="55"/>
  <c r="B4" i="56"/>
  <c r="M6" i="55"/>
  <c r="M8" i="55" s="1"/>
  <c r="N8" i="55" s="1"/>
  <c r="L26" i="55" l="1"/>
  <c r="L57" i="55" s="1"/>
  <c r="M9" i="55"/>
  <c r="N9" i="55" s="1"/>
  <c r="G478" i="2"/>
  <c r="AC478" i="2"/>
  <c r="AD478" i="2" s="1"/>
  <c r="E478" i="2"/>
  <c r="D478" i="2"/>
  <c r="F478" i="2" s="1"/>
  <c r="AB478" i="2" s="1"/>
  <c r="V478" i="2"/>
  <c r="C479" i="2"/>
  <c r="C4" i="56"/>
  <c r="B6" i="56"/>
  <c r="B7" i="56" s="1"/>
  <c r="W476" i="2"/>
  <c r="B477" i="2"/>
  <c r="DX477" i="2"/>
  <c r="CZ477" i="2"/>
  <c r="CB477" i="2"/>
  <c r="BD477" i="2"/>
  <c r="DV477" i="2"/>
  <c r="CX477" i="2"/>
  <c r="BZ477" i="2"/>
  <c r="BB477" i="2"/>
  <c r="DT477" i="2"/>
  <c r="CV477" i="2"/>
  <c r="BX477" i="2"/>
  <c r="AZ477" i="2"/>
  <c r="DR477" i="2"/>
  <c r="CT477" i="2"/>
  <c r="BV477" i="2"/>
  <c r="AX477" i="2"/>
  <c r="DP477" i="2"/>
  <c r="CR477" i="2"/>
  <c r="BT477" i="2"/>
  <c r="AV477" i="2"/>
  <c r="DN477" i="2"/>
  <c r="CP477" i="2"/>
  <c r="BR477" i="2"/>
  <c r="AT477" i="2"/>
  <c r="DL477" i="2"/>
  <c r="CN477" i="2"/>
  <c r="BP477" i="2"/>
  <c r="AR477" i="2"/>
  <c r="DJ477" i="2"/>
  <c r="CL477" i="2"/>
  <c r="BN477" i="2"/>
  <c r="AP477" i="2"/>
  <c r="A477" i="2"/>
  <c r="DH477" i="2"/>
  <c r="CJ477" i="2"/>
  <c r="BL477" i="2"/>
  <c r="AN477" i="2"/>
  <c r="DF477" i="2"/>
  <c r="CH477" i="2"/>
  <c r="BJ477" i="2"/>
  <c r="AL477" i="2"/>
  <c r="S477" i="2"/>
  <c r="T477" i="2" s="1"/>
  <c r="EB477" i="2"/>
  <c r="DD477" i="2"/>
  <c r="CF477" i="2"/>
  <c r="BH477" i="2"/>
  <c r="AJ477" i="2"/>
  <c r="BF477" i="2"/>
  <c r="AH477" i="2"/>
  <c r="DZ477" i="2"/>
  <c r="DB477" i="2"/>
  <c r="CD477" i="2"/>
  <c r="M19" i="55"/>
  <c r="N19" i="55" s="1"/>
  <c r="M39" i="55"/>
  <c r="N39" i="55" s="1"/>
  <c r="M17" i="55"/>
  <c r="N17" i="55" s="1"/>
  <c r="M11" i="55"/>
  <c r="N11" i="55" s="1"/>
  <c r="M25" i="55"/>
  <c r="N25" i="55" s="1"/>
  <c r="M14" i="55"/>
  <c r="N14" i="55" s="1"/>
  <c r="M34" i="55"/>
  <c r="N34" i="55" s="1"/>
  <c r="M33" i="55"/>
  <c r="N33" i="55" s="1"/>
  <c r="M24" i="55"/>
  <c r="N24" i="55" s="1"/>
  <c r="M13" i="55"/>
  <c r="N13" i="55" s="1"/>
  <c r="M20" i="55"/>
  <c r="N20" i="55" s="1"/>
  <c r="M10" i="55"/>
  <c r="N10" i="55" s="1"/>
  <c r="M38" i="55"/>
  <c r="N38" i="55" s="1"/>
  <c r="M22" i="55"/>
  <c r="N22" i="55" s="1"/>
  <c r="M30" i="55"/>
  <c r="N30" i="55" s="1"/>
  <c r="M15" i="55"/>
  <c r="N15" i="55" s="1"/>
  <c r="M32" i="55"/>
  <c r="N32" i="55" s="1"/>
  <c r="M18" i="55"/>
  <c r="N18" i="55" s="1"/>
  <c r="M23" i="55"/>
  <c r="N23" i="55" s="1"/>
  <c r="M16" i="55"/>
  <c r="N16" i="55" s="1"/>
  <c r="N6" i="55"/>
  <c r="M21" i="55"/>
  <c r="N21" i="55" s="1"/>
  <c r="F41" i="8"/>
  <c r="N41" i="9"/>
  <c r="I41" i="8"/>
  <c r="J41" i="9"/>
  <c r="L41" i="9"/>
  <c r="G41" i="9"/>
  <c r="L41" i="8"/>
  <c r="K41" i="9"/>
  <c r="M41" i="9"/>
  <c r="O41" i="8"/>
  <c r="F41" i="9"/>
  <c r="K41" i="8" l="1"/>
  <c r="N41" i="8"/>
  <c r="Q41" i="8"/>
  <c r="P41" i="8"/>
  <c r="R41" i="8"/>
  <c r="S41" i="8" s="1"/>
  <c r="H41" i="8"/>
  <c r="G41" i="8"/>
  <c r="J41" i="8"/>
  <c r="M41" i="8"/>
  <c r="O41" i="9"/>
  <c r="P41" i="9" s="1"/>
  <c r="M31" i="55"/>
  <c r="N31" i="55" s="1"/>
  <c r="B9" i="56"/>
  <c r="C480" i="2"/>
  <c r="G479" i="2"/>
  <c r="AC479" i="2"/>
  <c r="AD479" i="2" s="1"/>
  <c r="E479" i="2"/>
  <c r="D479" i="2"/>
  <c r="V479" i="2"/>
  <c r="W477" i="2"/>
  <c r="B478" i="2"/>
  <c r="M26" i="55"/>
  <c r="DF478" i="2"/>
  <c r="CH478" i="2"/>
  <c r="BJ478" i="2"/>
  <c r="AN478" i="2"/>
  <c r="EB478" i="2"/>
  <c r="DD478" i="2"/>
  <c r="CF478" i="2"/>
  <c r="BH478" i="2"/>
  <c r="AL478" i="2"/>
  <c r="DZ478" i="2"/>
  <c r="DB478" i="2"/>
  <c r="CD478" i="2"/>
  <c r="BF478" i="2"/>
  <c r="AJ478" i="2"/>
  <c r="DX478" i="2"/>
  <c r="CZ478" i="2"/>
  <c r="CB478" i="2"/>
  <c r="BD478" i="2"/>
  <c r="AH478" i="2"/>
  <c r="DV478" i="2"/>
  <c r="CX478" i="2"/>
  <c r="BZ478" i="2"/>
  <c r="BB478" i="2"/>
  <c r="DT478" i="2"/>
  <c r="CV478" i="2"/>
  <c r="BX478" i="2"/>
  <c r="AZ478" i="2"/>
  <c r="DR478" i="2"/>
  <c r="CT478" i="2"/>
  <c r="BV478" i="2"/>
  <c r="AX478" i="2"/>
  <c r="DP478" i="2"/>
  <c r="CR478" i="2"/>
  <c r="BT478" i="2"/>
  <c r="AV478" i="2"/>
  <c r="DN478" i="2"/>
  <c r="CP478" i="2"/>
  <c r="BR478" i="2"/>
  <c r="AT478" i="2"/>
  <c r="DL478" i="2"/>
  <c r="CN478" i="2"/>
  <c r="BP478" i="2"/>
  <c r="AR478" i="2"/>
  <c r="A478" i="2"/>
  <c r="DJ478" i="2"/>
  <c r="CL478" i="2"/>
  <c r="BN478" i="2"/>
  <c r="AP478" i="2"/>
  <c r="DH478" i="2"/>
  <c r="CJ478" i="2"/>
  <c r="BL478" i="2"/>
  <c r="S478" i="2"/>
  <c r="T478" i="2" s="1"/>
  <c r="B32" i="56"/>
  <c r="B21" i="56"/>
  <c r="B20" i="56"/>
  <c r="B19" i="56"/>
  <c r="B30" i="56"/>
  <c r="B18" i="56"/>
  <c r="B39" i="56"/>
  <c r="B17" i="56"/>
  <c r="B38" i="56"/>
  <c r="B23" i="56"/>
  <c r="B15" i="56"/>
  <c r="B24" i="56"/>
  <c r="B14" i="56"/>
  <c r="B34" i="56"/>
  <c r="B13" i="56"/>
  <c r="B33" i="56"/>
  <c r="B16" i="56"/>
  <c r="B10" i="56"/>
  <c r="B11" i="56"/>
  <c r="B25" i="56"/>
  <c r="B12" i="56"/>
  <c r="D4" i="56"/>
  <c r="C6" i="56"/>
  <c r="B8" i="56"/>
  <c r="B41" i="9"/>
  <c r="E41" i="8"/>
  <c r="B41" i="8"/>
  <c r="E41" i="9"/>
  <c r="B26" i="56" l="1"/>
  <c r="B57" i="56" s="1"/>
  <c r="F479" i="2"/>
  <c r="AB479" i="2" s="1"/>
  <c r="DN479" i="2"/>
  <c r="CP479" i="2"/>
  <c r="BR479" i="2"/>
  <c r="AT479" i="2"/>
  <c r="A479" i="2"/>
  <c r="DL479" i="2"/>
  <c r="CN479" i="2"/>
  <c r="BP479" i="2"/>
  <c r="AR479" i="2"/>
  <c r="DJ479" i="2"/>
  <c r="CL479" i="2"/>
  <c r="BN479" i="2"/>
  <c r="AP479" i="2"/>
  <c r="S479" i="2"/>
  <c r="T479" i="2" s="1"/>
  <c r="DH479" i="2"/>
  <c r="CJ479" i="2"/>
  <c r="BL479" i="2"/>
  <c r="AN479" i="2"/>
  <c r="DF479" i="2"/>
  <c r="CH479" i="2"/>
  <c r="BJ479" i="2"/>
  <c r="AL479" i="2"/>
  <c r="EB479" i="2"/>
  <c r="DD479" i="2"/>
  <c r="CF479" i="2"/>
  <c r="BH479" i="2"/>
  <c r="AJ479" i="2"/>
  <c r="DZ479" i="2"/>
  <c r="DB479" i="2"/>
  <c r="CD479" i="2"/>
  <c r="BF479" i="2"/>
  <c r="AH479" i="2"/>
  <c r="DX479" i="2"/>
  <c r="CZ479" i="2"/>
  <c r="CB479" i="2"/>
  <c r="BD479" i="2"/>
  <c r="DV479" i="2"/>
  <c r="CX479" i="2"/>
  <c r="BZ479" i="2"/>
  <c r="BB479" i="2"/>
  <c r="DT479" i="2"/>
  <c r="CV479" i="2"/>
  <c r="BX479" i="2"/>
  <c r="AZ479" i="2"/>
  <c r="DR479" i="2"/>
  <c r="CT479" i="2"/>
  <c r="BV479" i="2"/>
  <c r="AX479" i="2"/>
  <c r="DP479" i="2"/>
  <c r="CR479" i="2"/>
  <c r="BT479" i="2"/>
  <c r="AV479" i="2"/>
  <c r="AC480" i="2"/>
  <c r="AD480" i="2" s="1"/>
  <c r="E480" i="2"/>
  <c r="D480" i="2"/>
  <c r="V480" i="2"/>
  <c r="C481" i="2"/>
  <c r="G480" i="2"/>
  <c r="C20" i="56"/>
  <c r="C19" i="56"/>
  <c r="C30" i="56"/>
  <c r="C18" i="56"/>
  <c r="C39" i="56"/>
  <c r="C17" i="56"/>
  <c r="C38" i="56"/>
  <c r="C16" i="56"/>
  <c r="C25" i="56"/>
  <c r="C32" i="56"/>
  <c r="C22" i="56"/>
  <c r="C21" i="56"/>
  <c r="C15" i="56"/>
  <c r="C24" i="56"/>
  <c r="C14" i="56"/>
  <c r="C34" i="56"/>
  <c r="C23" i="56"/>
  <c r="C33" i="56"/>
  <c r="C12" i="56"/>
  <c r="C11" i="56"/>
  <c r="C10" i="56"/>
  <c r="C13" i="56"/>
  <c r="C9" i="56"/>
  <c r="N26" i="55"/>
  <c r="M57" i="55"/>
  <c r="E4" i="56"/>
  <c r="D6" i="56"/>
  <c r="C8" i="56"/>
  <c r="B31" i="56"/>
  <c r="W478" i="2"/>
  <c r="B479" i="2"/>
  <c r="F41" i="12"/>
  <c r="G41" i="10"/>
  <c r="F41" i="3"/>
  <c r="G43" i="10" l="1"/>
  <c r="G41" i="3"/>
  <c r="H41" i="3"/>
  <c r="H41" i="12"/>
  <c r="G41" i="12"/>
  <c r="C31" i="56"/>
  <c r="C26" i="56"/>
  <c r="H60" i="55"/>
  <c r="B60" i="55"/>
  <c r="B27" i="55"/>
  <c r="C27" i="55"/>
  <c r="D27" i="55"/>
  <c r="E27" i="55"/>
  <c r="F27" i="55"/>
  <c r="G27" i="55"/>
  <c r="H27" i="55"/>
  <c r="I27" i="55"/>
  <c r="J27" i="55"/>
  <c r="K27" i="55"/>
  <c r="L27" i="55"/>
  <c r="M27" i="55"/>
  <c r="N57" i="55"/>
  <c r="D19" i="56"/>
  <c r="D30" i="56"/>
  <c r="D31" i="56" s="1"/>
  <c r="D18" i="56"/>
  <c r="D39" i="56"/>
  <c r="D17" i="56"/>
  <c r="D38" i="56"/>
  <c r="D16" i="56"/>
  <c r="D15" i="56"/>
  <c r="D25" i="56"/>
  <c r="D34" i="56"/>
  <c r="D20" i="56"/>
  <c r="D24" i="56"/>
  <c r="D14" i="56"/>
  <c r="D13" i="56"/>
  <c r="D23" i="56"/>
  <c r="D33" i="56"/>
  <c r="D22" i="56"/>
  <c r="D11" i="56"/>
  <c r="D32" i="56"/>
  <c r="D10" i="56"/>
  <c r="D21" i="56"/>
  <c r="G481" i="2"/>
  <c r="AC481" i="2"/>
  <c r="AD481" i="2" s="1"/>
  <c r="E481" i="2"/>
  <c r="D481" i="2"/>
  <c r="F481" i="2" s="1"/>
  <c r="AB481" i="2" s="1"/>
  <c r="V481" i="2"/>
  <c r="C482" i="2"/>
  <c r="W479" i="2"/>
  <c r="B480" i="2"/>
  <c r="DV480" i="2"/>
  <c r="CX480" i="2"/>
  <c r="BZ480" i="2"/>
  <c r="BB480" i="2"/>
  <c r="DT480" i="2"/>
  <c r="CV480" i="2"/>
  <c r="BX480" i="2"/>
  <c r="AZ480" i="2"/>
  <c r="DR480" i="2"/>
  <c r="CT480" i="2"/>
  <c r="BV480" i="2"/>
  <c r="AX480" i="2"/>
  <c r="DP480" i="2"/>
  <c r="CR480" i="2"/>
  <c r="BT480" i="2"/>
  <c r="AV480" i="2"/>
  <c r="DN480" i="2"/>
  <c r="CP480" i="2"/>
  <c r="BR480" i="2"/>
  <c r="AT480" i="2"/>
  <c r="A480" i="2"/>
  <c r="DL480" i="2"/>
  <c r="CN480" i="2"/>
  <c r="BP480" i="2"/>
  <c r="AR480" i="2"/>
  <c r="DJ480" i="2"/>
  <c r="CL480" i="2"/>
  <c r="BN480" i="2"/>
  <c r="AP480" i="2"/>
  <c r="S480" i="2"/>
  <c r="T480" i="2" s="1"/>
  <c r="DH480" i="2"/>
  <c r="CJ480" i="2"/>
  <c r="BL480" i="2"/>
  <c r="AN480" i="2"/>
  <c r="DF480" i="2"/>
  <c r="CH480" i="2"/>
  <c r="BJ480" i="2"/>
  <c r="AL480" i="2"/>
  <c r="EB480" i="2"/>
  <c r="DD480" i="2"/>
  <c r="CF480" i="2"/>
  <c r="BH480" i="2"/>
  <c r="AJ480" i="2"/>
  <c r="DZ480" i="2"/>
  <c r="DB480" i="2"/>
  <c r="CD480" i="2"/>
  <c r="BF480" i="2"/>
  <c r="AH480" i="2"/>
  <c r="DX480" i="2"/>
  <c r="CZ480" i="2"/>
  <c r="CB480" i="2"/>
  <c r="BD480" i="2"/>
  <c r="F4" i="56"/>
  <c r="E6" i="56"/>
  <c r="D9" i="56"/>
  <c r="D8" i="56"/>
  <c r="F480" i="2"/>
  <c r="AB480" i="2" s="1"/>
  <c r="C41" i="10"/>
  <c r="B41" i="12"/>
  <c r="E41" i="12"/>
  <c r="E41" i="3"/>
  <c r="B41" i="3"/>
  <c r="O41" i="3"/>
  <c r="F41" i="10"/>
  <c r="D26" i="56" l="1"/>
  <c r="B41" i="6"/>
  <c r="C41" i="3"/>
  <c r="D41" i="5" s="1"/>
  <c r="D41" i="6" s="1"/>
  <c r="B41" i="5"/>
  <c r="B41" i="7"/>
  <c r="E41" i="5"/>
  <c r="E41" i="7"/>
  <c r="E41" i="6"/>
  <c r="D57" i="56"/>
  <c r="H28" i="55"/>
  <c r="H58" i="55" s="1"/>
  <c r="H59" i="55" s="1"/>
  <c r="C57" i="56"/>
  <c r="G28" i="55"/>
  <c r="G58" i="55" s="1"/>
  <c r="G59" i="55" s="1"/>
  <c r="F28" i="55"/>
  <c r="F58" i="55" s="1"/>
  <c r="F59" i="55" s="1"/>
  <c r="E28" i="55"/>
  <c r="E58" i="55" s="1"/>
  <c r="E59" i="55" s="1"/>
  <c r="C483" i="2"/>
  <c r="G482" i="2"/>
  <c r="AC482" i="2"/>
  <c r="AD482" i="2" s="1"/>
  <c r="E482" i="2"/>
  <c r="D482" i="2"/>
  <c r="F482" i="2" s="1"/>
  <c r="AB482" i="2" s="1"/>
  <c r="V482" i="2"/>
  <c r="D28" i="55"/>
  <c r="D58" i="55" s="1"/>
  <c r="D59" i="55" s="1"/>
  <c r="W480" i="2"/>
  <c r="B481" i="2"/>
  <c r="C28" i="55"/>
  <c r="C58" i="55" s="1"/>
  <c r="C59" i="55" s="1"/>
  <c r="E30" i="56"/>
  <c r="E31" i="56" s="1"/>
  <c r="E18" i="56"/>
  <c r="E39" i="56"/>
  <c r="E17" i="56"/>
  <c r="E38" i="56"/>
  <c r="E16" i="56"/>
  <c r="E15" i="56"/>
  <c r="E25" i="56"/>
  <c r="E34" i="56"/>
  <c r="E33" i="56"/>
  <c r="E24" i="56"/>
  <c r="E19" i="56"/>
  <c r="E13" i="56"/>
  <c r="E23" i="56"/>
  <c r="E20" i="56"/>
  <c r="E22" i="56"/>
  <c r="E11" i="56"/>
  <c r="E10" i="56"/>
  <c r="E14" i="56"/>
  <c r="E32" i="56"/>
  <c r="E21" i="56"/>
  <c r="N27" i="55"/>
  <c r="B28" i="55"/>
  <c r="M28" i="55"/>
  <c r="M58" i="55" s="1"/>
  <c r="M59" i="55" s="1"/>
  <c r="E9" i="56"/>
  <c r="L28" i="55"/>
  <c r="L58" i="55" s="1"/>
  <c r="L59" i="55" s="1"/>
  <c r="E8" i="56"/>
  <c r="DF481" i="2"/>
  <c r="CH481" i="2"/>
  <c r="BJ481" i="2"/>
  <c r="AL481" i="2"/>
  <c r="EB481" i="2"/>
  <c r="DD481" i="2"/>
  <c r="CF481" i="2"/>
  <c r="BH481" i="2"/>
  <c r="AJ481" i="2"/>
  <c r="DZ481" i="2"/>
  <c r="DB481" i="2"/>
  <c r="CD481" i="2"/>
  <c r="BF481" i="2"/>
  <c r="AH481" i="2"/>
  <c r="DX481" i="2"/>
  <c r="CZ481" i="2"/>
  <c r="CB481" i="2"/>
  <c r="BD481" i="2"/>
  <c r="DV481" i="2"/>
  <c r="CX481" i="2"/>
  <c r="BZ481" i="2"/>
  <c r="BB481" i="2"/>
  <c r="DT481" i="2"/>
  <c r="CV481" i="2"/>
  <c r="BX481" i="2"/>
  <c r="AZ481" i="2"/>
  <c r="DR481" i="2"/>
  <c r="CT481" i="2"/>
  <c r="BV481" i="2"/>
  <c r="AX481" i="2"/>
  <c r="DP481" i="2"/>
  <c r="CR481" i="2"/>
  <c r="BT481" i="2"/>
  <c r="AV481" i="2"/>
  <c r="DN481" i="2"/>
  <c r="CP481" i="2"/>
  <c r="BR481" i="2"/>
  <c r="AT481" i="2"/>
  <c r="A481" i="2"/>
  <c r="DL481" i="2"/>
  <c r="CN481" i="2"/>
  <c r="BP481" i="2"/>
  <c r="AR481" i="2"/>
  <c r="DJ481" i="2"/>
  <c r="CL481" i="2"/>
  <c r="BN481" i="2"/>
  <c r="AP481" i="2"/>
  <c r="S481" i="2"/>
  <c r="T481" i="2" s="1"/>
  <c r="DH481" i="2"/>
  <c r="CJ481" i="2"/>
  <c r="BL481" i="2"/>
  <c r="AN481" i="2"/>
  <c r="K28" i="55"/>
  <c r="K58" i="55" s="1"/>
  <c r="K59" i="55" s="1"/>
  <c r="G4" i="56"/>
  <c r="F6" i="56"/>
  <c r="J28" i="55"/>
  <c r="J58" i="55" s="1"/>
  <c r="J59" i="55" s="1"/>
  <c r="I28" i="55"/>
  <c r="I58" i="55" s="1"/>
  <c r="I59" i="55" s="1"/>
  <c r="H41" i="10"/>
  <c r="E26" i="56" l="1"/>
  <c r="J41" i="10"/>
  <c r="K41" i="10" s="1"/>
  <c r="I41" i="10"/>
  <c r="E57" i="56"/>
  <c r="N28" i="55"/>
  <c r="F8" i="56"/>
  <c r="B58" i="55"/>
  <c r="H4" i="56"/>
  <c r="G6" i="56"/>
  <c r="G9" i="56" s="1"/>
  <c r="W481" i="2"/>
  <c r="B482" i="2"/>
  <c r="F9" i="56"/>
  <c r="DN482" i="2"/>
  <c r="CP482" i="2"/>
  <c r="BR482" i="2"/>
  <c r="AT482" i="2"/>
  <c r="A482" i="2"/>
  <c r="DL482" i="2"/>
  <c r="CN482" i="2"/>
  <c r="BP482" i="2"/>
  <c r="AR482" i="2"/>
  <c r="DJ482" i="2"/>
  <c r="CL482" i="2"/>
  <c r="BN482" i="2"/>
  <c r="AP482" i="2"/>
  <c r="S482" i="2"/>
  <c r="T482" i="2" s="1"/>
  <c r="DH482" i="2"/>
  <c r="CJ482" i="2"/>
  <c r="BL482" i="2"/>
  <c r="AN482" i="2"/>
  <c r="DF482" i="2"/>
  <c r="CH482" i="2"/>
  <c r="BJ482" i="2"/>
  <c r="AL482" i="2"/>
  <c r="EB482" i="2"/>
  <c r="DD482" i="2"/>
  <c r="CF482" i="2"/>
  <c r="BH482" i="2"/>
  <c r="AJ482" i="2"/>
  <c r="DZ482" i="2"/>
  <c r="DB482" i="2"/>
  <c r="CD482" i="2"/>
  <c r="BF482" i="2"/>
  <c r="AH482" i="2"/>
  <c r="DX482" i="2"/>
  <c r="CZ482" i="2"/>
  <c r="CB482" i="2"/>
  <c r="BD482" i="2"/>
  <c r="DV482" i="2"/>
  <c r="CX482" i="2"/>
  <c r="BZ482" i="2"/>
  <c r="BB482" i="2"/>
  <c r="DT482" i="2"/>
  <c r="CV482" i="2"/>
  <c r="BX482" i="2"/>
  <c r="AZ482" i="2"/>
  <c r="DR482" i="2"/>
  <c r="CT482" i="2"/>
  <c r="BV482" i="2"/>
  <c r="AX482" i="2"/>
  <c r="BT482" i="2"/>
  <c r="AV482" i="2"/>
  <c r="DP482" i="2"/>
  <c r="CR482" i="2"/>
  <c r="AC483" i="2"/>
  <c r="AD483" i="2" s="1"/>
  <c r="E483" i="2"/>
  <c r="D483" i="2"/>
  <c r="F483" i="2" s="1"/>
  <c r="AB483" i="2" s="1"/>
  <c r="V483" i="2"/>
  <c r="C484" i="2"/>
  <c r="G483" i="2"/>
  <c r="F39" i="56"/>
  <c r="F17" i="56"/>
  <c r="F38" i="56"/>
  <c r="F16" i="56"/>
  <c r="F15" i="56"/>
  <c r="F25" i="56"/>
  <c r="F34" i="56"/>
  <c r="F33" i="56"/>
  <c r="F24" i="56"/>
  <c r="F23" i="56"/>
  <c r="F30" i="56"/>
  <c r="F31" i="56" s="1"/>
  <c r="F18" i="56"/>
  <c r="F13" i="56"/>
  <c r="F20" i="56"/>
  <c r="F22" i="56"/>
  <c r="F11" i="56"/>
  <c r="F19" i="56"/>
  <c r="F10" i="56"/>
  <c r="F32" i="56"/>
  <c r="F14" i="56"/>
  <c r="F21" i="56"/>
  <c r="D41" i="7"/>
  <c r="D41" i="8" s="1"/>
  <c r="D41" i="9" s="1"/>
  <c r="D41" i="10" s="1"/>
  <c r="C41" i="12" s="1"/>
  <c r="R41" i="6"/>
  <c r="F26" i="56" l="1"/>
  <c r="F57" i="56" s="1"/>
  <c r="I4" i="56"/>
  <c r="H6" i="56"/>
  <c r="H7" i="56" s="1"/>
  <c r="N58" i="55"/>
  <c r="N59" i="55" s="1"/>
  <c r="F60" i="55" s="1"/>
  <c r="B59" i="55"/>
  <c r="DV483" i="2"/>
  <c r="CX483" i="2"/>
  <c r="BZ483" i="2"/>
  <c r="BB483" i="2"/>
  <c r="DT483" i="2"/>
  <c r="CV483" i="2"/>
  <c r="BX483" i="2"/>
  <c r="AZ483" i="2"/>
  <c r="DR483" i="2"/>
  <c r="CT483" i="2"/>
  <c r="BV483" i="2"/>
  <c r="AX483" i="2"/>
  <c r="DP483" i="2"/>
  <c r="CR483" i="2"/>
  <c r="BT483" i="2"/>
  <c r="AV483" i="2"/>
  <c r="DN483" i="2"/>
  <c r="CP483" i="2"/>
  <c r="BR483" i="2"/>
  <c r="AT483" i="2"/>
  <c r="A483" i="2"/>
  <c r="DL483" i="2"/>
  <c r="CN483" i="2"/>
  <c r="BP483" i="2"/>
  <c r="AR483" i="2"/>
  <c r="DJ483" i="2"/>
  <c r="CL483" i="2"/>
  <c r="BN483" i="2"/>
  <c r="AP483" i="2"/>
  <c r="S483" i="2"/>
  <c r="T483" i="2" s="1"/>
  <c r="DH483" i="2"/>
  <c r="CJ483" i="2"/>
  <c r="BL483" i="2"/>
  <c r="AN483" i="2"/>
  <c r="DF483" i="2"/>
  <c r="CH483" i="2"/>
  <c r="BJ483" i="2"/>
  <c r="AL483" i="2"/>
  <c r="EB483" i="2"/>
  <c r="DD483" i="2"/>
  <c r="CF483" i="2"/>
  <c r="BH483" i="2"/>
  <c r="AJ483" i="2"/>
  <c r="DZ483" i="2"/>
  <c r="DB483" i="2"/>
  <c r="CD483" i="2"/>
  <c r="BF483" i="2"/>
  <c r="AH483" i="2"/>
  <c r="DX483" i="2"/>
  <c r="CZ483" i="2"/>
  <c r="CB483" i="2"/>
  <c r="BD483" i="2"/>
  <c r="G484" i="2"/>
  <c r="AC484" i="2"/>
  <c r="AD484" i="2" s="1"/>
  <c r="E484" i="2"/>
  <c r="D484" i="2"/>
  <c r="V484" i="2"/>
  <c r="C485" i="2"/>
  <c r="W482" i="2"/>
  <c r="B483" i="2"/>
  <c r="G38" i="56"/>
  <c r="G16" i="56"/>
  <c r="G15" i="56"/>
  <c r="G25" i="56"/>
  <c r="G34" i="56"/>
  <c r="G33" i="56"/>
  <c r="G24" i="56"/>
  <c r="G23" i="56"/>
  <c r="G32" i="56"/>
  <c r="G22" i="56"/>
  <c r="G39" i="56"/>
  <c r="G17" i="56"/>
  <c r="G20" i="56"/>
  <c r="G30" i="56"/>
  <c r="G31" i="56" s="1"/>
  <c r="G11" i="56"/>
  <c r="G19" i="56"/>
  <c r="G10" i="56"/>
  <c r="G18" i="56"/>
  <c r="G13" i="56"/>
  <c r="G14" i="56"/>
  <c r="G21" i="56"/>
  <c r="G8" i="56"/>
  <c r="F484" i="2" l="1"/>
  <c r="AB484" i="2" s="1"/>
  <c r="G26" i="56"/>
  <c r="G57" i="56" s="1"/>
  <c r="G60" i="55"/>
  <c r="I60" i="55"/>
  <c r="H15" i="56"/>
  <c r="H25" i="56"/>
  <c r="H34" i="56"/>
  <c r="H33" i="56"/>
  <c r="H24" i="56"/>
  <c r="H23" i="56"/>
  <c r="H32" i="56"/>
  <c r="H22" i="56"/>
  <c r="H20" i="56"/>
  <c r="H38" i="56"/>
  <c r="H16" i="56"/>
  <c r="H17" i="56"/>
  <c r="H30" i="56"/>
  <c r="H31" i="56" s="1"/>
  <c r="H11" i="56"/>
  <c r="H19" i="56"/>
  <c r="H10" i="56"/>
  <c r="H39" i="56"/>
  <c r="H14" i="56"/>
  <c r="H18" i="56"/>
  <c r="H13" i="56"/>
  <c r="N7" i="56"/>
  <c r="H21" i="56"/>
  <c r="J4" i="56"/>
  <c r="J6" i="56" s="1"/>
  <c r="I6" i="56"/>
  <c r="DF484" i="2"/>
  <c r="CH484" i="2"/>
  <c r="BJ484" i="2"/>
  <c r="AL484" i="2"/>
  <c r="EB484" i="2"/>
  <c r="DD484" i="2"/>
  <c r="CF484" i="2"/>
  <c r="BH484" i="2"/>
  <c r="AJ484" i="2"/>
  <c r="DZ484" i="2"/>
  <c r="DB484" i="2"/>
  <c r="CD484" i="2"/>
  <c r="BF484" i="2"/>
  <c r="AH484" i="2"/>
  <c r="DX484" i="2"/>
  <c r="CZ484" i="2"/>
  <c r="CB484" i="2"/>
  <c r="BD484" i="2"/>
  <c r="DV484" i="2"/>
  <c r="CX484" i="2"/>
  <c r="BZ484" i="2"/>
  <c r="BB484" i="2"/>
  <c r="DT484" i="2"/>
  <c r="CV484" i="2"/>
  <c r="BX484" i="2"/>
  <c r="AZ484" i="2"/>
  <c r="DR484" i="2"/>
  <c r="CT484" i="2"/>
  <c r="BV484" i="2"/>
  <c r="AX484" i="2"/>
  <c r="DP484" i="2"/>
  <c r="CR484" i="2"/>
  <c r="BT484" i="2"/>
  <c r="AV484" i="2"/>
  <c r="DN484" i="2"/>
  <c r="CP484" i="2"/>
  <c r="BR484" i="2"/>
  <c r="AT484" i="2"/>
  <c r="A484" i="2"/>
  <c r="DL484" i="2"/>
  <c r="CN484" i="2"/>
  <c r="BP484" i="2"/>
  <c r="AR484" i="2"/>
  <c r="DJ484" i="2"/>
  <c r="CL484" i="2"/>
  <c r="BN484" i="2"/>
  <c r="AP484" i="2"/>
  <c r="S484" i="2"/>
  <c r="T484" i="2" s="1"/>
  <c r="DH484" i="2"/>
  <c r="CJ484" i="2"/>
  <c r="BL484" i="2"/>
  <c r="AN484" i="2"/>
  <c r="H8" i="56"/>
  <c r="H9" i="56"/>
  <c r="C486" i="2"/>
  <c r="G485" i="2"/>
  <c r="AC485" i="2"/>
  <c r="AD485" i="2" s="1"/>
  <c r="E485" i="2"/>
  <c r="D485" i="2"/>
  <c r="F485" i="2" s="1"/>
  <c r="AB485" i="2" s="1"/>
  <c r="V485" i="2"/>
  <c r="W483" i="2"/>
  <c r="B484" i="2"/>
  <c r="J14" i="56" l="1"/>
  <c r="J12" i="56"/>
  <c r="J17" i="56"/>
  <c r="J25" i="56"/>
  <c r="J20" i="56"/>
  <c r="J10" i="56"/>
  <c r="J29" i="56"/>
  <c r="J22" i="56"/>
  <c r="J21" i="56"/>
  <c r="H26" i="56"/>
  <c r="W484" i="2"/>
  <c r="B485" i="2"/>
  <c r="I25" i="56"/>
  <c r="I34" i="56"/>
  <c r="I33" i="56"/>
  <c r="I24" i="56"/>
  <c r="I23" i="56"/>
  <c r="I32" i="56"/>
  <c r="I22" i="56"/>
  <c r="I20" i="56"/>
  <c r="I19" i="56"/>
  <c r="I15" i="56"/>
  <c r="I17" i="56"/>
  <c r="I30" i="56"/>
  <c r="I10" i="56"/>
  <c r="I39" i="56"/>
  <c r="I16" i="56"/>
  <c r="I14" i="56"/>
  <c r="I13" i="56"/>
  <c r="I11" i="56"/>
  <c r="I38" i="56"/>
  <c r="I18" i="56"/>
  <c r="I21" i="56"/>
  <c r="J9" i="56"/>
  <c r="J8" i="56"/>
  <c r="K4" i="56"/>
  <c r="K6" i="56" s="1"/>
  <c r="DN485" i="2"/>
  <c r="CP485" i="2"/>
  <c r="BR485" i="2"/>
  <c r="AT485" i="2"/>
  <c r="A485" i="2"/>
  <c r="DL485" i="2"/>
  <c r="CN485" i="2"/>
  <c r="BP485" i="2"/>
  <c r="AR485" i="2"/>
  <c r="DJ485" i="2"/>
  <c r="CL485" i="2"/>
  <c r="BN485" i="2"/>
  <c r="AP485" i="2"/>
  <c r="S485" i="2"/>
  <c r="T485" i="2" s="1"/>
  <c r="DH485" i="2"/>
  <c r="CJ485" i="2"/>
  <c r="BL485" i="2"/>
  <c r="AN485" i="2"/>
  <c r="DF485" i="2"/>
  <c r="CH485" i="2"/>
  <c r="BJ485" i="2"/>
  <c r="AL485" i="2"/>
  <c r="EB485" i="2"/>
  <c r="DD485" i="2"/>
  <c r="CF485" i="2"/>
  <c r="BH485" i="2"/>
  <c r="AJ485" i="2"/>
  <c r="DZ485" i="2"/>
  <c r="DB485" i="2"/>
  <c r="CD485" i="2"/>
  <c r="BF485" i="2"/>
  <c r="AH485" i="2"/>
  <c r="DX485" i="2"/>
  <c r="CZ485" i="2"/>
  <c r="CB485" i="2"/>
  <c r="BD485" i="2"/>
  <c r="DV485" i="2"/>
  <c r="CX485" i="2"/>
  <c r="BZ485" i="2"/>
  <c r="BB485" i="2"/>
  <c r="DT485" i="2"/>
  <c r="CV485" i="2"/>
  <c r="BX485" i="2"/>
  <c r="AZ485" i="2"/>
  <c r="DR485" i="2"/>
  <c r="CT485" i="2"/>
  <c r="BV485" i="2"/>
  <c r="AX485" i="2"/>
  <c r="DP485" i="2"/>
  <c r="CR485" i="2"/>
  <c r="BT485" i="2"/>
  <c r="AV485" i="2"/>
  <c r="I8" i="56"/>
  <c r="AC486" i="2"/>
  <c r="AD486" i="2" s="1"/>
  <c r="E486" i="2"/>
  <c r="D486" i="2"/>
  <c r="V486" i="2"/>
  <c r="C487" i="2"/>
  <c r="G486" i="2"/>
  <c r="I9" i="56"/>
  <c r="K29" i="56" l="1"/>
  <c r="K17" i="56"/>
  <c r="K25" i="56"/>
  <c r="K22" i="56"/>
  <c r="K10" i="56"/>
  <c r="K20" i="56"/>
  <c r="K14" i="56"/>
  <c r="K12" i="56"/>
  <c r="N12" i="56" s="1"/>
  <c r="K21" i="56"/>
  <c r="J19" i="56"/>
  <c r="K19" i="56" s="1"/>
  <c r="J18" i="56"/>
  <c r="K18" i="56" s="1"/>
  <c r="J38" i="56"/>
  <c r="K38" i="56" s="1"/>
  <c r="J24" i="56"/>
  <c r="K24" i="56" s="1"/>
  <c r="J23" i="56"/>
  <c r="K23" i="56" s="1"/>
  <c r="J16" i="56"/>
  <c r="K16" i="56" s="1"/>
  <c r="J33" i="56"/>
  <c r="K33" i="56" s="1"/>
  <c r="J39" i="56"/>
  <c r="K39" i="56" s="1"/>
  <c r="J34" i="56"/>
  <c r="K34" i="56" s="1"/>
  <c r="J32" i="56"/>
  <c r="K32" i="56" s="1"/>
  <c r="J30" i="56"/>
  <c r="J11" i="56"/>
  <c r="K11" i="56" s="1"/>
  <c r="J13" i="56"/>
  <c r="K13" i="56" s="1"/>
  <c r="J15" i="56"/>
  <c r="K15" i="56" s="1"/>
  <c r="I26" i="56"/>
  <c r="I57" i="56" s="1"/>
  <c r="G487" i="2"/>
  <c r="AC487" i="2"/>
  <c r="AD487" i="2" s="1"/>
  <c r="E487" i="2"/>
  <c r="D487" i="2"/>
  <c r="F487" i="2" s="1"/>
  <c r="AB487" i="2" s="1"/>
  <c r="V487" i="2"/>
  <c r="C488" i="2"/>
  <c r="F486" i="2"/>
  <c r="AB486" i="2" s="1"/>
  <c r="DV486" i="2"/>
  <c r="CX486" i="2"/>
  <c r="BZ486" i="2"/>
  <c r="BB486" i="2"/>
  <c r="DT486" i="2"/>
  <c r="CV486" i="2"/>
  <c r="BX486" i="2"/>
  <c r="AZ486" i="2"/>
  <c r="DR486" i="2"/>
  <c r="CT486" i="2"/>
  <c r="BV486" i="2"/>
  <c r="AX486" i="2"/>
  <c r="DP486" i="2"/>
  <c r="CR486" i="2"/>
  <c r="BT486" i="2"/>
  <c r="AV486" i="2"/>
  <c r="DN486" i="2"/>
  <c r="CP486" i="2"/>
  <c r="BR486" i="2"/>
  <c r="AT486" i="2"/>
  <c r="A486" i="2"/>
  <c r="DL486" i="2"/>
  <c r="CN486" i="2"/>
  <c r="BP486" i="2"/>
  <c r="AR486" i="2"/>
  <c r="DJ486" i="2"/>
  <c r="CL486" i="2"/>
  <c r="BN486" i="2"/>
  <c r="AP486" i="2"/>
  <c r="S486" i="2"/>
  <c r="T486" i="2" s="1"/>
  <c r="DH486" i="2"/>
  <c r="CJ486" i="2"/>
  <c r="BL486" i="2"/>
  <c r="AN486" i="2"/>
  <c r="DF486" i="2"/>
  <c r="CH486" i="2"/>
  <c r="BJ486" i="2"/>
  <c r="AL486" i="2"/>
  <c r="EB486" i="2"/>
  <c r="DD486" i="2"/>
  <c r="CF486" i="2"/>
  <c r="BH486" i="2"/>
  <c r="AJ486" i="2"/>
  <c r="DZ486" i="2"/>
  <c r="DB486" i="2"/>
  <c r="CD486" i="2"/>
  <c r="BF486" i="2"/>
  <c r="AH486" i="2"/>
  <c r="DX486" i="2"/>
  <c r="CZ486" i="2"/>
  <c r="CB486" i="2"/>
  <c r="BD486" i="2"/>
  <c r="W485" i="2"/>
  <c r="B486" i="2"/>
  <c r="I31" i="56"/>
  <c r="K8" i="56"/>
  <c r="L4" i="56"/>
  <c r="L6" i="56" s="1"/>
  <c r="K9" i="56"/>
  <c r="H57" i="56"/>
  <c r="H42" i="9"/>
  <c r="I42" i="9"/>
  <c r="L33" i="56" l="1"/>
  <c r="L24" i="56"/>
  <c r="L15" i="56"/>
  <c r="L18" i="56"/>
  <c r="L11" i="56"/>
  <c r="L25" i="56"/>
  <c r="L29" i="56"/>
  <c r="L10" i="56"/>
  <c r="L17" i="56"/>
  <c r="L22" i="56"/>
  <c r="L20" i="56"/>
  <c r="L14" i="56"/>
  <c r="L21" i="56"/>
  <c r="L19" i="56"/>
  <c r="L32" i="56"/>
  <c r="L38" i="56"/>
  <c r="L34" i="56"/>
  <c r="L16" i="56"/>
  <c r="L23" i="56"/>
  <c r="L13" i="56"/>
  <c r="L39" i="56"/>
  <c r="J31" i="56"/>
  <c r="K30" i="56"/>
  <c r="J26" i="56"/>
  <c r="J57" i="56" s="1"/>
  <c r="K26" i="56"/>
  <c r="K57" i="56" s="1"/>
  <c r="C489" i="2"/>
  <c r="G488" i="2"/>
  <c r="AC488" i="2"/>
  <c r="AD488" i="2" s="1"/>
  <c r="E488" i="2"/>
  <c r="D488" i="2"/>
  <c r="F488" i="2" s="1"/>
  <c r="AB488" i="2" s="1"/>
  <c r="V488" i="2"/>
  <c r="W486" i="2"/>
  <c r="B487" i="2"/>
  <c r="DF487" i="2"/>
  <c r="CH487" i="2"/>
  <c r="BJ487" i="2"/>
  <c r="AL487" i="2"/>
  <c r="EB487" i="2"/>
  <c r="DD487" i="2"/>
  <c r="CF487" i="2"/>
  <c r="BH487" i="2"/>
  <c r="AJ487" i="2"/>
  <c r="DZ487" i="2"/>
  <c r="DB487" i="2"/>
  <c r="CD487" i="2"/>
  <c r="BF487" i="2"/>
  <c r="AH487" i="2"/>
  <c r="DX487" i="2"/>
  <c r="CZ487" i="2"/>
  <c r="CB487" i="2"/>
  <c r="BD487" i="2"/>
  <c r="DV487" i="2"/>
  <c r="CX487" i="2"/>
  <c r="BZ487" i="2"/>
  <c r="BB487" i="2"/>
  <c r="DT487" i="2"/>
  <c r="CV487" i="2"/>
  <c r="BX487" i="2"/>
  <c r="AZ487" i="2"/>
  <c r="DR487" i="2"/>
  <c r="CT487" i="2"/>
  <c r="BV487" i="2"/>
  <c r="AX487" i="2"/>
  <c r="DP487" i="2"/>
  <c r="CR487" i="2"/>
  <c r="BT487" i="2"/>
  <c r="AV487" i="2"/>
  <c r="DN487" i="2"/>
  <c r="CP487" i="2"/>
  <c r="BR487" i="2"/>
  <c r="AT487" i="2"/>
  <c r="A487" i="2"/>
  <c r="DL487" i="2"/>
  <c r="CN487" i="2"/>
  <c r="BP487" i="2"/>
  <c r="AR487" i="2"/>
  <c r="DJ487" i="2"/>
  <c r="CL487" i="2"/>
  <c r="BN487" i="2"/>
  <c r="AP487" i="2"/>
  <c r="S487" i="2"/>
  <c r="T487" i="2" s="1"/>
  <c r="DH487" i="2"/>
  <c r="CJ487" i="2"/>
  <c r="BL487" i="2"/>
  <c r="AN487" i="2"/>
  <c r="L9" i="56"/>
  <c r="M4" i="56"/>
  <c r="M6" i="56" s="1"/>
  <c r="L8" i="56"/>
  <c r="M38" i="56" l="1"/>
  <c r="N38" i="56" s="1"/>
  <c r="M18" i="56"/>
  <c r="N18" i="56" s="1"/>
  <c r="M15" i="56"/>
  <c r="N15" i="56" s="1"/>
  <c r="M14" i="56"/>
  <c r="N14" i="56" s="1"/>
  <c r="M29" i="56"/>
  <c r="M25" i="56"/>
  <c r="N25" i="56" s="1"/>
  <c r="M22" i="56"/>
  <c r="N22" i="56" s="1"/>
  <c r="M20" i="56"/>
  <c r="N20" i="56" s="1"/>
  <c r="M17" i="56"/>
  <c r="N17" i="56" s="1"/>
  <c r="M10" i="56"/>
  <c r="N10" i="56" s="1"/>
  <c r="M19" i="56"/>
  <c r="M24" i="56"/>
  <c r="N24" i="56" s="1"/>
  <c r="M33" i="56"/>
  <c r="N33" i="56" s="1"/>
  <c r="N6" i="56"/>
  <c r="M39" i="56"/>
  <c r="M21" i="56"/>
  <c r="N21" i="56" s="1"/>
  <c r="M13" i="56"/>
  <c r="N13" i="56" s="1"/>
  <c r="M23" i="56"/>
  <c r="M16" i="56"/>
  <c r="M32" i="56"/>
  <c r="N32" i="56" s="1"/>
  <c r="M34" i="56"/>
  <c r="M11" i="56"/>
  <c r="L30" i="56"/>
  <c r="K31" i="56"/>
  <c r="L26" i="56"/>
  <c r="L57" i="56" s="1"/>
  <c r="W487" i="2"/>
  <c r="B488" i="2"/>
  <c r="B4" i="57"/>
  <c r="B6" i="57" s="1"/>
  <c r="M9" i="56"/>
  <c r="N9" i="56" s="1"/>
  <c r="M8" i="56"/>
  <c r="DN488" i="2"/>
  <c r="CP488" i="2"/>
  <c r="BR488" i="2"/>
  <c r="AT488" i="2"/>
  <c r="A488" i="2"/>
  <c r="DL488" i="2"/>
  <c r="CN488" i="2"/>
  <c r="BP488" i="2"/>
  <c r="AR488" i="2"/>
  <c r="DJ488" i="2"/>
  <c r="CL488" i="2"/>
  <c r="BN488" i="2"/>
  <c r="AP488" i="2"/>
  <c r="S488" i="2"/>
  <c r="T488" i="2" s="1"/>
  <c r="DH488" i="2"/>
  <c r="CJ488" i="2"/>
  <c r="BL488" i="2"/>
  <c r="AN488" i="2"/>
  <c r="DF488" i="2"/>
  <c r="CH488" i="2"/>
  <c r="BJ488" i="2"/>
  <c r="AL488" i="2"/>
  <c r="EB488" i="2"/>
  <c r="DD488" i="2"/>
  <c r="CF488" i="2"/>
  <c r="BH488" i="2"/>
  <c r="AJ488" i="2"/>
  <c r="DZ488" i="2"/>
  <c r="DB488" i="2"/>
  <c r="CD488" i="2"/>
  <c r="BF488" i="2"/>
  <c r="AH488" i="2"/>
  <c r="DX488" i="2"/>
  <c r="CZ488" i="2"/>
  <c r="CB488" i="2"/>
  <c r="BD488" i="2"/>
  <c r="DV488" i="2"/>
  <c r="CX488" i="2"/>
  <c r="BZ488" i="2"/>
  <c r="BB488" i="2"/>
  <c r="DT488" i="2"/>
  <c r="CV488" i="2"/>
  <c r="BX488" i="2"/>
  <c r="AZ488" i="2"/>
  <c r="DR488" i="2"/>
  <c r="CT488" i="2"/>
  <c r="BV488" i="2"/>
  <c r="AX488" i="2"/>
  <c r="DP488" i="2"/>
  <c r="CR488" i="2"/>
  <c r="BT488" i="2"/>
  <c r="AV488" i="2"/>
  <c r="E489" i="2"/>
  <c r="D489" i="2"/>
  <c r="F489" i="2" s="1"/>
  <c r="AB489" i="2" s="1"/>
  <c r="V489" i="2"/>
  <c r="C490" i="2"/>
  <c r="AC489" i="2"/>
  <c r="AD489" i="2" s="1"/>
  <c r="G489" i="2"/>
  <c r="K42" i="9"/>
  <c r="L42" i="8"/>
  <c r="F42" i="8"/>
  <c r="I42" i="8"/>
  <c r="M42" i="9"/>
  <c r="O42" i="8"/>
  <c r="N42" i="9"/>
  <c r="G42" i="9"/>
  <c r="N42" i="8" l="1"/>
  <c r="N44" i="8" s="1"/>
  <c r="Q42" i="8"/>
  <c r="Q44" i="8" s="1"/>
  <c r="K42" i="8"/>
  <c r="K44" i="8" s="1"/>
  <c r="G42" i="8"/>
  <c r="H42" i="8"/>
  <c r="H44" i="8" s="1"/>
  <c r="R42" i="8"/>
  <c r="P42" i="8"/>
  <c r="J42" i="8"/>
  <c r="M42" i="8"/>
  <c r="B19" i="57"/>
  <c r="B39" i="57"/>
  <c r="N39" i="56"/>
  <c r="B11" i="57"/>
  <c r="N11" i="56"/>
  <c r="B15" i="57"/>
  <c r="B34" i="57"/>
  <c r="N34" i="56"/>
  <c r="N19" i="56"/>
  <c r="B18" i="57"/>
  <c r="B20" i="57"/>
  <c r="B12" i="57"/>
  <c r="B10" i="57"/>
  <c r="B14" i="57"/>
  <c r="B17" i="57"/>
  <c r="B25" i="57"/>
  <c r="B13" i="57"/>
  <c r="B21" i="57"/>
  <c r="B7" i="57"/>
  <c r="B32" i="57"/>
  <c r="B33" i="57"/>
  <c r="B38" i="57"/>
  <c r="B23" i="57"/>
  <c r="N23" i="56"/>
  <c r="B16" i="57"/>
  <c r="N16" i="56"/>
  <c r="B24" i="57"/>
  <c r="L31" i="56"/>
  <c r="M30" i="56"/>
  <c r="N30" i="56" s="1"/>
  <c r="S42" i="8"/>
  <c r="DR489" i="2"/>
  <c r="CT489" i="2"/>
  <c r="BV489" i="2"/>
  <c r="AX489" i="2"/>
  <c r="DP489" i="2"/>
  <c r="CR489" i="2"/>
  <c r="BT489" i="2"/>
  <c r="AV489" i="2"/>
  <c r="DN489" i="2"/>
  <c r="CP489" i="2"/>
  <c r="BR489" i="2"/>
  <c r="AT489" i="2"/>
  <c r="DL489" i="2"/>
  <c r="CN489" i="2"/>
  <c r="BP489" i="2"/>
  <c r="AR489" i="2"/>
  <c r="DJ489" i="2"/>
  <c r="CL489" i="2"/>
  <c r="BN489" i="2"/>
  <c r="AP489" i="2"/>
  <c r="A489" i="2"/>
  <c r="DH489" i="2"/>
  <c r="CJ489" i="2"/>
  <c r="BL489" i="2"/>
  <c r="AN489" i="2"/>
  <c r="DF489" i="2"/>
  <c r="CH489" i="2"/>
  <c r="BJ489" i="2"/>
  <c r="AL489" i="2"/>
  <c r="S489" i="2"/>
  <c r="T489" i="2" s="1"/>
  <c r="EB489" i="2"/>
  <c r="DD489" i="2"/>
  <c r="CF489" i="2"/>
  <c r="BH489" i="2"/>
  <c r="AJ489" i="2"/>
  <c r="DZ489" i="2"/>
  <c r="DB489" i="2"/>
  <c r="CD489" i="2"/>
  <c r="BF489" i="2"/>
  <c r="AH489" i="2"/>
  <c r="DX489" i="2"/>
  <c r="CZ489" i="2"/>
  <c r="CB489" i="2"/>
  <c r="BD489" i="2"/>
  <c r="DV489" i="2"/>
  <c r="CX489" i="2"/>
  <c r="BZ489" i="2"/>
  <c r="BB489" i="2"/>
  <c r="DT489" i="2"/>
  <c r="CV489" i="2"/>
  <c r="BX489" i="2"/>
  <c r="AZ489" i="2"/>
  <c r="M26" i="56"/>
  <c r="M57" i="56" s="1"/>
  <c r="N8" i="56"/>
  <c r="C4" i="57"/>
  <c r="C6" i="57" s="1"/>
  <c r="B8" i="57"/>
  <c r="B29" i="57"/>
  <c r="B9" i="57"/>
  <c r="G490" i="2"/>
  <c r="AC490" i="2"/>
  <c r="AD490" i="2" s="1"/>
  <c r="E490" i="2"/>
  <c r="D490" i="2"/>
  <c r="V490" i="2"/>
  <c r="C491" i="2"/>
  <c r="W488" i="2"/>
  <c r="B489" i="2"/>
  <c r="B42" i="8"/>
  <c r="B42" i="9"/>
  <c r="L42" i="9"/>
  <c r="F42" i="9"/>
  <c r="E42" i="9"/>
  <c r="E42" i="8"/>
  <c r="J42" i="9"/>
  <c r="F43" i="7"/>
  <c r="F490" i="2" l="1"/>
  <c r="AB490" i="2" s="1"/>
  <c r="C10" i="57"/>
  <c r="C14" i="57"/>
  <c r="C17" i="57"/>
  <c r="C25" i="57"/>
  <c r="C12" i="57"/>
  <c r="C22" i="57"/>
  <c r="C21" i="57"/>
  <c r="C20" i="57"/>
  <c r="C13" i="57"/>
  <c r="C33" i="57"/>
  <c r="C32" i="57"/>
  <c r="C23" i="57"/>
  <c r="C18" i="57"/>
  <c r="C11" i="57"/>
  <c r="C24" i="57"/>
  <c r="C38" i="57"/>
  <c r="C39" i="57"/>
  <c r="C19" i="57"/>
  <c r="C34" i="57"/>
  <c r="C15" i="57"/>
  <c r="C16" i="57"/>
  <c r="M31" i="56"/>
  <c r="N31" i="56" s="1"/>
  <c r="B30" i="57"/>
  <c r="N57" i="56"/>
  <c r="O42" i="9"/>
  <c r="B26" i="57"/>
  <c r="B57" i="57" s="1"/>
  <c r="D4" i="57"/>
  <c r="D6" i="57" s="1"/>
  <c r="C8" i="57"/>
  <c r="C29" i="57"/>
  <c r="C9" i="57"/>
  <c r="N26" i="56"/>
  <c r="G491" i="2"/>
  <c r="AC491" i="2"/>
  <c r="AD491" i="2" s="1"/>
  <c r="E491" i="2"/>
  <c r="D491" i="2"/>
  <c r="F491" i="2" s="1"/>
  <c r="AB491" i="2" s="1"/>
  <c r="V491" i="2"/>
  <c r="C492" i="2"/>
  <c r="W489" i="2"/>
  <c r="B490" i="2"/>
  <c r="DX490" i="2"/>
  <c r="CZ490" i="2"/>
  <c r="CB490" i="2"/>
  <c r="BD490" i="2"/>
  <c r="AH490" i="2"/>
  <c r="DV490" i="2"/>
  <c r="CX490" i="2"/>
  <c r="BZ490" i="2"/>
  <c r="BB490" i="2"/>
  <c r="DT490" i="2"/>
  <c r="CV490" i="2"/>
  <c r="BX490" i="2"/>
  <c r="AZ490" i="2"/>
  <c r="DR490" i="2"/>
  <c r="CT490" i="2"/>
  <c r="BV490" i="2"/>
  <c r="AX490" i="2"/>
  <c r="DP490" i="2"/>
  <c r="CR490" i="2"/>
  <c r="BT490" i="2"/>
  <c r="AV490" i="2"/>
  <c r="DN490" i="2"/>
  <c r="CP490" i="2"/>
  <c r="BR490" i="2"/>
  <c r="AT490" i="2"/>
  <c r="DL490" i="2"/>
  <c r="CN490" i="2"/>
  <c r="BP490" i="2"/>
  <c r="AR490" i="2"/>
  <c r="A490" i="2"/>
  <c r="DJ490" i="2"/>
  <c r="CL490" i="2"/>
  <c r="BN490" i="2"/>
  <c r="AP490" i="2"/>
  <c r="DH490" i="2"/>
  <c r="CJ490" i="2"/>
  <c r="BL490" i="2"/>
  <c r="S490" i="2"/>
  <c r="T490" i="2" s="1"/>
  <c r="DF490" i="2"/>
  <c r="CH490" i="2"/>
  <c r="BJ490" i="2"/>
  <c r="AN490" i="2"/>
  <c r="EB490" i="2"/>
  <c r="DD490" i="2"/>
  <c r="CF490" i="2"/>
  <c r="BH490" i="2"/>
  <c r="AL490" i="2"/>
  <c r="DZ490" i="2"/>
  <c r="DB490" i="2"/>
  <c r="CD490" i="2"/>
  <c r="BF490" i="2"/>
  <c r="AJ490" i="2"/>
  <c r="G42" i="10"/>
  <c r="F42" i="12"/>
  <c r="F42" i="3"/>
  <c r="G43" i="7"/>
  <c r="D34" i="57" l="1"/>
  <c r="D19" i="57"/>
  <c r="D24" i="57"/>
  <c r="D15" i="57"/>
  <c r="D16" i="57"/>
  <c r="D10" i="57"/>
  <c r="D22" i="57"/>
  <c r="D20" i="57"/>
  <c r="D17" i="57"/>
  <c r="D18" i="57"/>
  <c r="D25" i="57"/>
  <c r="D14" i="57"/>
  <c r="D39" i="57"/>
  <c r="D11" i="57"/>
  <c r="D21" i="57"/>
  <c r="D38" i="57"/>
  <c r="D23" i="57"/>
  <c r="D32" i="57"/>
  <c r="D33" i="57"/>
  <c r="D13" i="57"/>
  <c r="K27" i="56"/>
  <c r="J27" i="56"/>
  <c r="M27" i="56"/>
  <c r="L27" i="56"/>
  <c r="B31" i="57"/>
  <c r="C30" i="57"/>
  <c r="H42" i="3"/>
  <c r="H44" i="3" s="1"/>
  <c r="G42" i="3"/>
  <c r="H42" i="12"/>
  <c r="H44" i="12" s="1"/>
  <c r="G42" i="12"/>
  <c r="V492" i="2"/>
  <c r="C493" i="2"/>
  <c r="G492" i="2"/>
  <c r="AC492" i="2"/>
  <c r="AD492" i="2" s="1"/>
  <c r="E492" i="2"/>
  <c r="D492" i="2"/>
  <c r="F492" i="2" s="1"/>
  <c r="AB492" i="2" s="1"/>
  <c r="C26" i="57"/>
  <c r="C57" i="57" s="1"/>
  <c r="W490" i="2"/>
  <c r="B491" i="2"/>
  <c r="E4" i="57"/>
  <c r="E6" i="57" s="1"/>
  <c r="D8" i="57"/>
  <c r="D29" i="57"/>
  <c r="D9" i="57"/>
  <c r="DH491" i="2"/>
  <c r="CJ491" i="2"/>
  <c r="BL491" i="2"/>
  <c r="AN491" i="2"/>
  <c r="DF491" i="2"/>
  <c r="CH491" i="2"/>
  <c r="BJ491" i="2"/>
  <c r="AL491" i="2"/>
  <c r="EB491" i="2"/>
  <c r="DD491" i="2"/>
  <c r="CF491" i="2"/>
  <c r="BH491" i="2"/>
  <c r="AJ491" i="2"/>
  <c r="DZ491" i="2"/>
  <c r="DB491" i="2"/>
  <c r="CD491" i="2"/>
  <c r="BF491" i="2"/>
  <c r="AH491" i="2"/>
  <c r="DX491" i="2"/>
  <c r="CZ491" i="2"/>
  <c r="CB491" i="2"/>
  <c r="BD491" i="2"/>
  <c r="DV491" i="2"/>
  <c r="CX491" i="2"/>
  <c r="BZ491" i="2"/>
  <c r="BB491" i="2"/>
  <c r="DT491" i="2"/>
  <c r="CV491" i="2"/>
  <c r="BX491" i="2"/>
  <c r="AZ491" i="2"/>
  <c r="DR491" i="2"/>
  <c r="CT491" i="2"/>
  <c r="BV491" i="2"/>
  <c r="AX491" i="2"/>
  <c r="DP491" i="2"/>
  <c r="CR491" i="2"/>
  <c r="BT491" i="2"/>
  <c r="AV491" i="2"/>
  <c r="DN491" i="2"/>
  <c r="CP491" i="2"/>
  <c r="BR491" i="2"/>
  <c r="AT491" i="2"/>
  <c r="A491" i="2"/>
  <c r="DL491" i="2"/>
  <c r="CN491" i="2"/>
  <c r="BP491" i="2"/>
  <c r="AR491" i="2"/>
  <c r="S491" i="2"/>
  <c r="T491" i="2" s="1"/>
  <c r="DJ491" i="2"/>
  <c r="CL491" i="2"/>
  <c r="BN491" i="2"/>
  <c r="AP491" i="2"/>
  <c r="P42" i="9"/>
  <c r="H60" i="56"/>
  <c r="B60" i="56"/>
  <c r="B27" i="56"/>
  <c r="C27" i="56"/>
  <c r="D27" i="56"/>
  <c r="E27" i="56"/>
  <c r="F27" i="56"/>
  <c r="G27" i="56"/>
  <c r="H27" i="56"/>
  <c r="I27" i="56"/>
  <c r="B42" i="12"/>
  <c r="B42" i="3"/>
  <c r="O42" i="3"/>
  <c r="C42" i="10"/>
  <c r="F42" i="10"/>
  <c r="O42" i="12"/>
  <c r="E42" i="12"/>
  <c r="E42" i="3"/>
  <c r="H43" i="7"/>
  <c r="E38" i="57" l="1"/>
  <c r="E23" i="57"/>
  <c r="E16" i="57"/>
  <c r="E15" i="57"/>
  <c r="E13" i="57"/>
  <c r="E24" i="57"/>
  <c r="E11" i="57"/>
  <c r="E39" i="57"/>
  <c r="E19" i="57"/>
  <c r="E22" i="57"/>
  <c r="E20" i="57"/>
  <c r="E30" i="57"/>
  <c r="E25" i="57"/>
  <c r="E17" i="57"/>
  <c r="E14" i="57"/>
  <c r="E10" i="57"/>
  <c r="E33" i="57"/>
  <c r="E34" i="57"/>
  <c r="E18" i="57"/>
  <c r="E21" i="57"/>
  <c r="E32" i="57"/>
  <c r="C31" i="57"/>
  <c r="D30" i="57"/>
  <c r="D31" i="57" s="1"/>
  <c r="L28" i="56"/>
  <c r="L58" i="56" s="1"/>
  <c r="L59" i="56" s="1"/>
  <c r="M28" i="56"/>
  <c r="M58" i="56" s="1"/>
  <c r="M59" i="56" s="1"/>
  <c r="J28" i="56"/>
  <c r="J58" i="56" s="1"/>
  <c r="J59" i="56" s="1"/>
  <c r="K28" i="56"/>
  <c r="K58" i="56" s="1"/>
  <c r="K59" i="56" s="1"/>
  <c r="E42" i="7"/>
  <c r="E42" i="6"/>
  <c r="E42" i="5"/>
  <c r="C42" i="3"/>
  <c r="D42" i="5" s="1"/>
  <c r="D42" i="6" s="1"/>
  <c r="B42" i="5"/>
  <c r="B42" i="7"/>
  <c r="B42" i="6"/>
  <c r="AC493" i="2"/>
  <c r="AD493" i="2" s="1"/>
  <c r="E493" i="2"/>
  <c r="D493" i="2"/>
  <c r="V493" i="2"/>
  <c r="C494" i="2"/>
  <c r="G493" i="2"/>
  <c r="H28" i="56"/>
  <c r="H58" i="56" s="1"/>
  <c r="H59" i="56" s="1"/>
  <c r="W491" i="2"/>
  <c r="B492" i="2"/>
  <c r="G28" i="56"/>
  <c r="G58" i="56" s="1"/>
  <c r="G59" i="56" s="1"/>
  <c r="D26" i="57"/>
  <c r="D57" i="57" s="1"/>
  <c r="E29" i="57"/>
  <c r="F4" i="57"/>
  <c r="F6" i="57" s="1"/>
  <c r="F21" i="57" s="1"/>
  <c r="E9" i="57"/>
  <c r="E8" i="57"/>
  <c r="E28" i="56"/>
  <c r="E58" i="56" s="1"/>
  <c r="E59" i="56" s="1"/>
  <c r="D28" i="56"/>
  <c r="D58" i="56" s="1"/>
  <c r="D59" i="56" s="1"/>
  <c r="I28" i="56"/>
  <c r="I58" i="56" s="1"/>
  <c r="I59" i="56" s="1"/>
  <c r="F28" i="56"/>
  <c r="F58" i="56" s="1"/>
  <c r="F59" i="56" s="1"/>
  <c r="C28" i="56"/>
  <c r="C58" i="56" s="1"/>
  <c r="C59" i="56" s="1"/>
  <c r="N27" i="56"/>
  <c r="B28" i="56"/>
  <c r="DP492" i="2"/>
  <c r="CR492" i="2"/>
  <c r="BT492" i="2"/>
  <c r="AV492" i="2"/>
  <c r="DN492" i="2"/>
  <c r="CP492" i="2"/>
  <c r="BR492" i="2"/>
  <c r="AT492" i="2"/>
  <c r="A492" i="2"/>
  <c r="DL492" i="2"/>
  <c r="CN492" i="2"/>
  <c r="BP492" i="2"/>
  <c r="AR492" i="2"/>
  <c r="DJ492" i="2"/>
  <c r="CL492" i="2"/>
  <c r="BN492" i="2"/>
  <c r="AP492" i="2"/>
  <c r="S492" i="2"/>
  <c r="T492" i="2" s="1"/>
  <c r="DH492" i="2"/>
  <c r="CJ492" i="2"/>
  <c r="BL492" i="2"/>
  <c r="AN492" i="2"/>
  <c r="DF492" i="2"/>
  <c r="CH492" i="2"/>
  <c r="BJ492" i="2"/>
  <c r="AL492" i="2"/>
  <c r="EB492" i="2"/>
  <c r="DD492" i="2"/>
  <c r="CF492" i="2"/>
  <c r="BH492" i="2"/>
  <c r="AJ492" i="2"/>
  <c r="DZ492" i="2"/>
  <c r="DB492" i="2"/>
  <c r="CD492" i="2"/>
  <c r="BF492" i="2"/>
  <c r="AH492" i="2"/>
  <c r="DX492" i="2"/>
  <c r="CZ492" i="2"/>
  <c r="CB492" i="2"/>
  <c r="BD492" i="2"/>
  <c r="DV492" i="2"/>
  <c r="CX492" i="2"/>
  <c r="BZ492" i="2"/>
  <c r="BB492" i="2"/>
  <c r="DT492" i="2"/>
  <c r="CV492" i="2"/>
  <c r="BX492" i="2"/>
  <c r="AZ492" i="2"/>
  <c r="BV492" i="2"/>
  <c r="AX492" i="2"/>
  <c r="DR492" i="2"/>
  <c r="CT492" i="2"/>
  <c r="H42" i="10"/>
  <c r="I43" i="7"/>
  <c r="F493" i="2" l="1"/>
  <c r="AB493" i="2" s="1"/>
  <c r="F30" i="57"/>
  <c r="F13" i="57"/>
  <c r="F38" i="57"/>
  <c r="F34" i="57"/>
  <c r="F15" i="57"/>
  <c r="F19" i="57"/>
  <c r="F16" i="57"/>
  <c r="F39" i="57"/>
  <c r="F25" i="57"/>
  <c r="F14" i="57"/>
  <c r="F17" i="57"/>
  <c r="F22" i="57"/>
  <c r="F10" i="57"/>
  <c r="F20" i="57"/>
  <c r="F31" i="57"/>
  <c r="F33" i="57"/>
  <c r="F23" i="57"/>
  <c r="E31" i="57"/>
  <c r="F11" i="57"/>
  <c r="F18" i="57"/>
  <c r="F32" i="57"/>
  <c r="F24" i="57"/>
  <c r="K40" i="56"/>
  <c r="K41" i="56" s="1"/>
  <c r="K53" i="56" s="1"/>
  <c r="J40" i="56"/>
  <c r="J41" i="56" s="1"/>
  <c r="J53" i="56" s="1"/>
  <c r="L40" i="56"/>
  <c r="L41" i="56" s="1"/>
  <c r="L53" i="56" s="1"/>
  <c r="M40" i="56"/>
  <c r="M41" i="56" s="1"/>
  <c r="H43" i="10"/>
  <c r="J42" i="10"/>
  <c r="I42" i="10"/>
  <c r="I43" i="10" s="1"/>
  <c r="DX493" i="2"/>
  <c r="CZ493" i="2"/>
  <c r="CB493" i="2"/>
  <c r="BD493" i="2"/>
  <c r="DV493" i="2"/>
  <c r="CX493" i="2"/>
  <c r="BZ493" i="2"/>
  <c r="BB493" i="2"/>
  <c r="DT493" i="2"/>
  <c r="CV493" i="2"/>
  <c r="BX493" i="2"/>
  <c r="AZ493" i="2"/>
  <c r="DR493" i="2"/>
  <c r="CT493" i="2"/>
  <c r="BV493" i="2"/>
  <c r="AX493" i="2"/>
  <c r="DP493" i="2"/>
  <c r="CR493" i="2"/>
  <c r="BT493" i="2"/>
  <c r="AV493" i="2"/>
  <c r="DN493" i="2"/>
  <c r="CP493" i="2"/>
  <c r="BR493" i="2"/>
  <c r="AT493" i="2"/>
  <c r="A493" i="2"/>
  <c r="DL493" i="2"/>
  <c r="CN493" i="2"/>
  <c r="BP493" i="2"/>
  <c r="AR493" i="2"/>
  <c r="DJ493" i="2"/>
  <c r="CL493" i="2"/>
  <c r="BN493" i="2"/>
  <c r="AP493" i="2"/>
  <c r="S493" i="2"/>
  <c r="T493" i="2" s="1"/>
  <c r="DH493" i="2"/>
  <c r="CJ493" i="2"/>
  <c r="BL493" i="2"/>
  <c r="AN493" i="2"/>
  <c r="DF493" i="2"/>
  <c r="CH493" i="2"/>
  <c r="BJ493" i="2"/>
  <c r="AL493" i="2"/>
  <c r="EB493" i="2"/>
  <c r="DD493" i="2"/>
  <c r="CF493" i="2"/>
  <c r="BH493" i="2"/>
  <c r="AJ493" i="2"/>
  <c r="DZ493" i="2"/>
  <c r="DB493" i="2"/>
  <c r="CD493" i="2"/>
  <c r="BF493" i="2"/>
  <c r="AH493" i="2"/>
  <c r="G494" i="2"/>
  <c r="AC494" i="2"/>
  <c r="AD494" i="2" s="1"/>
  <c r="E494" i="2"/>
  <c r="D494" i="2"/>
  <c r="F494" i="2" s="1"/>
  <c r="AB494" i="2" s="1"/>
  <c r="V494" i="2"/>
  <c r="C495" i="2"/>
  <c r="W492" i="2"/>
  <c r="B493" i="2"/>
  <c r="D42" i="7"/>
  <c r="D42" i="8" s="1"/>
  <c r="D42" i="9" s="1"/>
  <c r="D42" i="10" s="1"/>
  <c r="C42" i="12" s="1"/>
  <c r="R42" i="6"/>
  <c r="N28" i="56"/>
  <c r="B58" i="56"/>
  <c r="F9" i="57"/>
  <c r="F29" i="57"/>
  <c r="G4" i="57"/>
  <c r="G6" i="57" s="1"/>
  <c r="G13" i="57" s="1"/>
  <c r="F8" i="57"/>
  <c r="E26" i="57"/>
  <c r="E57" i="57" s="1"/>
  <c r="Q42" i="5"/>
  <c r="O42" i="5"/>
  <c r="N42" i="5"/>
  <c r="P42" i="5"/>
  <c r="J43" i="7"/>
  <c r="G39" i="57" l="1"/>
  <c r="G23" i="57"/>
  <c r="G16" i="57"/>
  <c r="G33" i="57"/>
  <c r="G19" i="57"/>
  <c r="G11" i="57"/>
  <c r="G21" i="57"/>
  <c r="G15" i="57"/>
  <c r="G34" i="57"/>
  <c r="G38" i="57"/>
  <c r="G24" i="57"/>
  <c r="G32" i="57"/>
  <c r="G10" i="57"/>
  <c r="G22" i="57"/>
  <c r="G29" i="57"/>
  <c r="G20" i="57"/>
  <c r="G17" i="57"/>
  <c r="G25" i="57"/>
  <c r="G14" i="57"/>
  <c r="G30" i="57"/>
  <c r="G31" i="57"/>
  <c r="G18" i="57"/>
  <c r="M53" i="56"/>
  <c r="F26" i="57"/>
  <c r="F57" i="57" s="1"/>
  <c r="DH494" i="2"/>
  <c r="CJ494" i="2"/>
  <c r="BL494" i="2"/>
  <c r="AN494" i="2"/>
  <c r="DF494" i="2"/>
  <c r="CH494" i="2"/>
  <c r="BJ494" i="2"/>
  <c r="AL494" i="2"/>
  <c r="EB494" i="2"/>
  <c r="DD494" i="2"/>
  <c r="CF494" i="2"/>
  <c r="BH494" i="2"/>
  <c r="AJ494" i="2"/>
  <c r="DZ494" i="2"/>
  <c r="DB494" i="2"/>
  <c r="CD494" i="2"/>
  <c r="BF494" i="2"/>
  <c r="AH494" i="2"/>
  <c r="DX494" i="2"/>
  <c r="CZ494" i="2"/>
  <c r="CB494" i="2"/>
  <c r="BD494" i="2"/>
  <c r="DV494" i="2"/>
  <c r="CX494" i="2"/>
  <c r="BZ494" i="2"/>
  <c r="BB494" i="2"/>
  <c r="DT494" i="2"/>
  <c r="CV494" i="2"/>
  <c r="BX494" i="2"/>
  <c r="AZ494" i="2"/>
  <c r="DR494" i="2"/>
  <c r="CT494" i="2"/>
  <c r="BV494" i="2"/>
  <c r="AX494" i="2"/>
  <c r="DP494" i="2"/>
  <c r="CR494" i="2"/>
  <c r="BT494" i="2"/>
  <c r="AV494" i="2"/>
  <c r="DN494" i="2"/>
  <c r="CP494" i="2"/>
  <c r="BR494" i="2"/>
  <c r="AT494" i="2"/>
  <c r="A494" i="2"/>
  <c r="DL494" i="2"/>
  <c r="CN494" i="2"/>
  <c r="BP494" i="2"/>
  <c r="AR494" i="2"/>
  <c r="DJ494" i="2"/>
  <c r="CL494" i="2"/>
  <c r="BN494" i="2"/>
  <c r="AP494" i="2"/>
  <c r="S494" i="2"/>
  <c r="T494" i="2" s="1"/>
  <c r="V495" i="2"/>
  <c r="C496" i="2"/>
  <c r="G495" i="2"/>
  <c r="AC495" i="2"/>
  <c r="AD495" i="2" s="1"/>
  <c r="E495" i="2"/>
  <c r="D495" i="2"/>
  <c r="F495" i="2" s="1"/>
  <c r="AB495" i="2" s="1"/>
  <c r="W493" i="2"/>
  <c r="B494" i="2"/>
  <c r="G9" i="57"/>
  <c r="G8" i="57"/>
  <c r="H4" i="57"/>
  <c r="H6" i="57" s="1"/>
  <c r="N58" i="56"/>
  <c r="N59" i="56" s="1"/>
  <c r="F60" i="56" s="1"/>
  <c r="B59" i="56"/>
  <c r="J43" i="10"/>
  <c r="K42" i="10"/>
  <c r="K43" i="10" s="1"/>
  <c r="H32" i="57" l="1"/>
  <c r="H19" i="57"/>
  <c r="H18" i="57"/>
  <c r="H24" i="57"/>
  <c r="H33" i="57"/>
  <c r="H16" i="57"/>
  <c r="H38" i="57"/>
  <c r="H34" i="57"/>
  <c r="H23" i="57"/>
  <c r="H17" i="57"/>
  <c r="H7" i="57"/>
  <c r="N7" i="57" s="1"/>
  <c r="H10" i="57"/>
  <c r="H25" i="57"/>
  <c r="H20" i="57"/>
  <c r="H29" i="57"/>
  <c r="H14" i="57"/>
  <c r="H22" i="57"/>
  <c r="H30" i="57"/>
  <c r="H31" i="57" s="1"/>
  <c r="H39" i="57"/>
  <c r="H15" i="57"/>
  <c r="H21" i="57"/>
  <c r="H13" i="57"/>
  <c r="H11" i="57"/>
  <c r="DP495" i="2"/>
  <c r="CR495" i="2"/>
  <c r="BT495" i="2"/>
  <c r="AV495" i="2"/>
  <c r="DN495" i="2"/>
  <c r="CP495" i="2"/>
  <c r="BR495" i="2"/>
  <c r="AT495" i="2"/>
  <c r="A495" i="2"/>
  <c r="DL495" i="2"/>
  <c r="CN495" i="2"/>
  <c r="BP495" i="2"/>
  <c r="AR495" i="2"/>
  <c r="DJ495" i="2"/>
  <c r="CL495" i="2"/>
  <c r="BN495" i="2"/>
  <c r="AP495" i="2"/>
  <c r="S495" i="2"/>
  <c r="T495" i="2" s="1"/>
  <c r="DH495" i="2"/>
  <c r="CJ495" i="2"/>
  <c r="BL495" i="2"/>
  <c r="AN495" i="2"/>
  <c r="DF495" i="2"/>
  <c r="CH495" i="2"/>
  <c r="BJ495" i="2"/>
  <c r="AL495" i="2"/>
  <c r="EB495" i="2"/>
  <c r="DD495" i="2"/>
  <c r="CF495" i="2"/>
  <c r="BH495" i="2"/>
  <c r="AJ495" i="2"/>
  <c r="DZ495" i="2"/>
  <c r="DB495" i="2"/>
  <c r="CD495" i="2"/>
  <c r="BF495" i="2"/>
  <c r="AH495" i="2"/>
  <c r="DX495" i="2"/>
  <c r="CZ495" i="2"/>
  <c r="CB495" i="2"/>
  <c r="BD495" i="2"/>
  <c r="DV495" i="2"/>
  <c r="CX495" i="2"/>
  <c r="BZ495" i="2"/>
  <c r="BB495" i="2"/>
  <c r="DT495" i="2"/>
  <c r="CV495" i="2"/>
  <c r="BX495" i="2"/>
  <c r="AZ495" i="2"/>
  <c r="DR495" i="2"/>
  <c r="CT495" i="2"/>
  <c r="BV495" i="2"/>
  <c r="AX495" i="2"/>
  <c r="AC496" i="2"/>
  <c r="AD496" i="2" s="1"/>
  <c r="E496" i="2"/>
  <c r="D496" i="2"/>
  <c r="F496" i="2" s="1"/>
  <c r="AB496" i="2" s="1"/>
  <c r="V496" i="2"/>
  <c r="C497" i="2"/>
  <c r="G496" i="2"/>
  <c r="W494" i="2"/>
  <c r="B495" i="2"/>
  <c r="H9" i="57"/>
  <c r="H8" i="57"/>
  <c r="I4" i="57"/>
  <c r="I6" i="57" s="1"/>
  <c r="G26" i="57"/>
  <c r="G57" i="57" s="1"/>
  <c r="G60" i="56"/>
  <c r="I60" i="56"/>
  <c r="I11" i="57" l="1"/>
  <c r="I18" i="57"/>
  <c r="I19" i="57"/>
  <c r="I23" i="57"/>
  <c r="I32" i="57"/>
  <c r="I33" i="57"/>
  <c r="I13" i="57"/>
  <c r="I39" i="57"/>
  <c r="I34" i="57"/>
  <c r="I38" i="57"/>
  <c r="I22" i="57"/>
  <c r="I20" i="57"/>
  <c r="I29" i="57"/>
  <c r="I10" i="57"/>
  <c r="I25" i="57"/>
  <c r="I17" i="57"/>
  <c r="I14" i="57"/>
  <c r="I30" i="57"/>
  <c r="I31" i="57"/>
  <c r="I24" i="57"/>
  <c r="I15" i="57"/>
  <c r="I21" i="57"/>
  <c r="I16" i="57"/>
  <c r="G497" i="2"/>
  <c r="AC497" i="2"/>
  <c r="AD497" i="2" s="1"/>
  <c r="E497" i="2"/>
  <c r="D497" i="2"/>
  <c r="F497" i="2" s="1"/>
  <c r="AB497" i="2" s="1"/>
  <c r="V497" i="2"/>
  <c r="C498" i="2"/>
  <c r="W495" i="2"/>
  <c r="B496" i="2"/>
  <c r="I9" i="57"/>
  <c r="I8" i="57"/>
  <c r="J4" i="57"/>
  <c r="J6" i="57" s="1"/>
  <c r="H26" i="57"/>
  <c r="H57" i="57" s="1"/>
  <c r="DX496" i="2"/>
  <c r="CZ496" i="2"/>
  <c r="CB496" i="2"/>
  <c r="BD496" i="2"/>
  <c r="DV496" i="2"/>
  <c r="CX496" i="2"/>
  <c r="BZ496" i="2"/>
  <c r="BB496" i="2"/>
  <c r="DT496" i="2"/>
  <c r="CV496" i="2"/>
  <c r="BX496" i="2"/>
  <c r="AZ496" i="2"/>
  <c r="DR496" i="2"/>
  <c r="CT496" i="2"/>
  <c r="BV496" i="2"/>
  <c r="AX496" i="2"/>
  <c r="DP496" i="2"/>
  <c r="CR496" i="2"/>
  <c r="BT496" i="2"/>
  <c r="AV496" i="2"/>
  <c r="DN496" i="2"/>
  <c r="CP496" i="2"/>
  <c r="BR496" i="2"/>
  <c r="AT496" i="2"/>
  <c r="A496" i="2"/>
  <c r="DL496" i="2"/>
  <c r="CN496" i="2"/>
  <c r="BP496" i="2"/>
  <c r="AR496" i="2"/>
  <c r="DJ496" i="2"/>
  <c r="CL496" i="2"/>
  <c r="BN496" i="2"/>
  <c r="AP496" i="2"/>
  <c r="S496" i="2"/>
  <c r="T496" i="2" s="1"/>
  <c r="DH496" i="2"/>
  <c r="CJ496" i="2"/>
  <c r="BL496" i="2"/>
  <c r="AN496" i="2"/>
  <c r="DF496" i="2"/>
  <c r="CH496" i="2"/>
  <c r="BJ496" i="2"/>
  <c r="AL496" i="2"/>
  <c r="EB496" i="2"/>
  <c r="DD496" i="2"/>
  <c r="CF496" i="2"/>
  <c r="BH496" i="2"/>
  <c r="AJ496" i="2"/>
  <c r="DZ496" i="2"/>
  <c r="DB496" i="2"/>
  <c r="CD496" i="2"/>
  <c r="BF496" i="2"/>
  <c r="AH496" i="2"/>
  <c r="J33" i="57" l="1"/>
  <c r="J32" i="57"/>
  <c r="J23" i="57"/>
  <c r="J13" i="57"/>
  <c r="J19" i="57"/>
  <c r="J18" i="57"/>
  <c r="J20" i="57"/>
  <c r="J17" i="57"/>
  <c r="J25" i="57"/>
  <c r="J14" i="57"/>
  <c r="J10" i="57"/>
  <c r="J22" i="57"/>
  <c r="J29" i="57"/>
  <c r="J12" i="57"/>
  <c r="J30" i="57"/>
  <c r="J16" i="57"/>
  <c r="J11" i="57"/>
  <c r="J39" i="57"/>
  <c r="J38" i="57"/>
  <c r="J24" i="57"/>
  <c r="J21" i="57"/>
  <c r="J15" i="57"/>
  <c r="J34" i="57"/>
  <c r="V498" i="2"/>
  <c r="C499" i="2"/>
  <c r="G498" i="2"/>
  <c r="AC498" i="2"/>
  <c r="AD498" i="2" s="1"/>
  <c r="E498" i="2"/>
  <c r="D498" i="2"/>
  <c r="F498" i="2" s="1"/>
  <c r="AB498" i="2" s="1"/>
  <c r="W496" i="2"/>
  <c r="B497" i="2"/>
  <c r="J9" i="57"/>
  <c r="J8" i="57"/>
  <c r="K4" i="57"/>
  <c r="K6" i="57" s="1"/>
  <c r="K21" i="57" s="1"/>
  <c r="I26" i="57"/>
  <c r="I57" i="57" s="1"/>
  <c r="DH497" i="2"/>
  <c r="CJ497" i="2"/>
  <c r="BL497" i="2"/>
  <c r="AN497" i="2"/>
  <c r="DF497" i="2"/>
  <c r="CH497" i="2"/>
  <c r="BJ497" i="2"/>
  <c r="AL497" i="2"/>
  <c r="EB497" i="2"/>
  <c r="DD497" i="2"/>
  <c r="CF497" i="2"/>
  <c r="BH497" i="2"/>
  <c r="AJ497" i="2"/>
  <c r="DZ497" i="2"/>
  <c r="DB497" i="2"/>
  <c r="CD497" i="2"/>
  <c r="BF497" i="2"/>
  <c r="AH497" i="2"/>
  <c r="DX497" i="2"/>
  <c r="CZ497" i="2"/>
  <c r="CB497" i="2"/>
  <c r="BD497" i="2"/>
  <c r="DV497" i="2"/>
  <c r="CX497" i="2"/>
  <c r="BZ497" i="2"/>
  <c r="BB497" i="2"/>
  <c r="DT497" i="2"/>
  <c r="CV497" i="2"/>
  <c r="BX497" i="2"/>
  <c r="AZ497" i="2"/>
  <c r="DR497" i="2"/>
  <c r="CT497" i="2"/>
  <c r="BV497" i="2"/>
  <c r="AX497" i="2"/>
  <c r="DP497" i="2"/>
  <c r="CR497" i="2"/>
  <c r="BT497" i="2"/>
  <c r="AV497" i="2"/>
  <c r="DN497" i="2"/>
  <c r="CP497" i="2"/>
  <c r="BR497" i="2"/>
  <c r="AT497" i="2"/>
  <c r="A497" i="2"/>
  <c r="DL497" i="2"/>
  <c r="CN497" i="2"/>
  <c r="BP497" i="2"/>
  <c r="AR497" i="2"/>
  <c r="BN497" i="2"/>
  <c r="AP497" i="2"/>
  <c r="S497" i="2"/>
  <c r="T497" i="2" s="1"/>
  <c r="DJ497" i="2"/>
  <c r="CL497" i="2"/>
  <c r="K38" i="57" l="1"/>
  <c r="K39" i="57"/>
  <c r="K18" i="57"/>
  <c r="K24" i="57"/>
  <c r="K11" i="57"/>
  <c r="K16" i="57"/>
  <c r="J31" i="57"/>
  <c r="K19" i="57"/>
  <c r="K13" i="57"/>
  <c r="N12" i="57"/>
  <c r="K23" i="57"/>
  <c r="K32" i="57"/>
  <c r="K34" i="57"/>
  <c r="K33" i="57"/>
  <c r="K29" i="57"/>
  <c r="K22" i="57"/>
  <c r="K25" i="57"/>
  <c r="K12" i="57"/>
  <c r="K20" i="57"/>
  <c r="K14" i="57"/>
  <c r="K17" i="57"/>
  <c r="K10" i="57"/>
  <c r="K30" i="57"/>
  <c r="K31" i="57" s="1"/>
  <c r="K15" i="57"/>
  <c r="J26" i="57"/>
  <c r="J57" i="57" s="1"/>
  <c r="DP498" i="2"/>
  <c r="CR498" i="2"/>
  <c r="BT498" i="2"/>
  <c r="AV498" i="2"/>
  <c r="DN498" i="2"/>
  <c r="CP498" i="2"/>
  <c r="BR498" i="2"/>
  <c r="AT498" i="2"/>
  <c r="A498" i="2"/>
  <c r="DL498" i="2"/>
  <c r="CN498" i="2"/>
  <c r="BP498" i="2"/>
  <c r="AR498" i="2"/>
  <c r="DJ498" i="2"/>
  <c r="CL498" i="2"/>
  <c r="BN498" i="2"/>
  <c r="AP498" i="2"/>
  <c r="S498" i="2"/>
  <c r="T498" i="2" s="1"/>
  <c r="DH498" i="2"/>
  <c r="CJ498" i="2"/>
  <c r="BL498" i="2"/>
  <c r="AN498" i="2"/>
  <c r="DF498" i="2"/>
  <c r="CH498" i="2"/>
  <c r="BJ498" i="2"/>
  <c r="AL498" i="2"/>
  <c r="EB498" i="2"/>
  <c r="DD498" i="2"/>
  <c r="CF498" i="2"/>
  <c r="BH498" i="2"/>
  <c r="AJ498" i="2"/>
  <c r="DZ498" i="2"/>
  <c r="DB498" i="2"/>
  <c r="CD498" i="2"/>
  <c r="BF498" i="2"/>
  <c r="AH498" i="2"/>
  <c r="DX498" i="2"/>
  <c r="CZ498" i="2"/>
  <c r="CB498" i="2"/>
  <c r="BD498" i="2"/>
  <c r="DV498" i="2"/>
  <c r="CX498" i="2"/>
  <c r="BZ498" i="2"/>
  <c r="BB498" i="2"/>
  <c r="DT498" i="2"/>
  <c r="CV498" i="2"/>
  <c r="BX498" i="2"/>
  <c r="AZ498" i="2"/>
  <c r="DR498" i="2"/>
  <c r="CT498" i="2"/>
  <c r="BV498" i="2"/>
  <c r="AX498" i="2"/>
  <c r="AC499" i="2"/>
  <c r="AD499" i="2" s="1"/>
  <c r="E499" i="2"/>
  <c r="D499" i="2"/>
  <c r="F499" i="2" s="1"/>
  <c r="AB499" i="2" s="1"/>
  <c r="V499" i="2"/>
  <c r="C500" i="2"/>
  <c r="G499" i="2"/>
  <c r="K9" i="57"/>
  <c r="K8" i="57"/>
  <c r="L4" i="57"/>
  <c r="L6" i="57" s="1"/>
  <c r="L21" i="57" s="1"/>
  <c r="W497" i="2"/>
  <c r="B498" i="2"/>
  <c r="I43" i="9"/>
  <c r="H43" i="9"/>
  <c r="I44" i="9" l="1"/>
  <c r="H44" i="9"/>
  <c r="L19" i="57"/>
  <c r="L13" i="57"/>
  <c r="L16" i="57"/>
  <c r="L11" i="57"/>
  <c r="L24" i="57"/>
  <c r="L18" i="57"/>
  <c r="L33" i="57"/>
  <c r="L39" i="57"/>
  <c r="L23" i="57"/>
  <c r="L15" i="57"/>
  <c r="L34" i="57"/>
  <c r="L38" i="57"/>
  <c r="L22" i="57"/>
  <c r="L14" i="57"/>
  <c r="L20" i="57"/>
  <c r="L17" i="57"/>
  <c r="L10" i="57"/>
  <c r="L29" i="57"/>
  <c r="L25" i="57"/>
  <c r="L30" i="57"/>
  <c r="L31" i="57"/>
  <c r="L32" i="57"/>
  <c r="K26" i="57"/>
  <c r="K57" i="57" s="1"/>
  <c r="L8" i="57"/>
  <c r="M4" i="57"/>
  <c r="M6" i="57" s="1"/>
  <c r="L9" i="57"/>
  <c r="W498" i="2"/>
  <c r="B499" i="2"/>
  <c r="DX499" i="2"/>
  <c r="CZ499" i="2"/>
  <c r="CB499" i="2"/>
  <c r="BD499" i="2"/>
  <c r="DV499" i="2"/>
  <c r="CX499" i="2"/>
  <c r="BZ499" i="2"/>
  <c r="BB499" i="2"/>
  <c r="DT499" i="2"/>
  <c r="CV499" i="2"/>
  <c r="BX499" i="2"/>
  <c r="AZ499" i="2"/>
  <c r="DR499" i="2"/>
  <c r="CT499" i="2"/>
  <c r="BV499" i="2"/>
  <c r="AX499" i="2"/>
  <c r="DP499" i="2"/>
  <c r="CR499" i="2"/>
  <c r="BT499" i="2"/>
  <c r="AV499" i="2"/>
  <c r="DN499" i="2"/>
  <c r="CP499" i="2"/>
  <c r="BR499" i="2"/>
  <c r="AT499" i="2"/>
  <c r="A499" i="2"/>
  <c r="DL499" i="2"/>
  <c r="CN499" i="2"/>
  <c r="BP499" i="2"/>
  <c r="AR499" i="2"/>
  <c r="DJ499" i="2"/>
  <c r="CL499" i="2"/>
  <c r="BN499" i="2"/>
  <c r="AP499" i="2"/>
  <c r="S499" i="2"/>
  <c r="T499" i="2" s="1"/>
  <c r="DH499" i="2"/>
  <c r="CJ499" i="2"/>
  <c r="BL499" i="2"/>
  <c r="AN499" i="2"/>
  <c r="DF499" i="2"/>
  <c r="CH499" i="2"/>
  <c r="BJ499" i="2"/>
  <c r="AL499" i="2"/>
  <c r="EB499" i="2"/>
  <c r="DD499" i="2"/>
  <c r="CF499" i="2"/>
  <c r="BH499" i="2"/>
  <c r="AJ499" i="2"/>
  <c r="DZ499" i="2"/>
  <c r="DB499" i="2"/>
  <c r="CD499" i="2"/>
  <c r="BF499" i="2"/>
  <c r="AH499" i="2"/>
  <c r="G500" i="2"/>
  <c r="AC500" i="2"/>
  <c r="AD500" i="2" s="1"/>
  <c r="E500" i="2"/>
  <c r="D500" i="2"/>
  <c r="F500" i="2" s="1"/>
  <c r="AB500" i="2" s="1"/>
  <c r="V500" i="2"/>
  <c r="C501" i="2"/>
  <c r="M23" i="57" l="1"/>
  <c r="M18" i="57"/>
  <c r="M39" i="57"/>
  <c r="M24" i="57"/>
  <c r="M11" i="57"/>
  <c r="M29" i="57"/>
  <c r="N29" i="57" s="1"/>
  <c r="M22" i="57"/>
  <c r="N22" i="57" s="1"/>
  <c r="M20" i="57"/>
  <c r="N20" i="57" s="1"/>
  <c r="M17" i="57"/>
  <c r="N17" i="57" s="1"/>
  <c r="M25" i="57"/>
  <c r="N25" i="57" s="1"/>
  <c r="M14" i="57"/>
  <c r="N14" i="57" s="1"/>
  <c r="M10" i="57"/>
  <c r="N10" i="57" s="1"/>
  <c r="M30" i="57"/>
  <c r="N30" i="57" s="1"/>
  <c r="M31" i="57"/>
  <c r="N31" i="57" s="1"/>
  <c r="N6" i="57"/>
  <c r="M16" i="57"/>
  <c r="M13" i="57"/>
  <c r="N13" i="57" s="1"/>
  <c r="M21" i="57"/>
  <c r="N21" i="57" s="1"/>
  <c r="M38" i="57"/>
  <c r="M19" i="57"/>
  <c r="M33" i="57"/>
  <c r="N33" i="57" s="1"/>
  <c r="M34" i="57"/>
  <c r="M32" i="57"/>
  <c r="N32" i="57" s="1"/>
  <c r="M15" i="57"/>
  <c r="W499" i="2"/>
  <c r="B500" i="2"/>
  <c r="B4" i="58"/>
  <c r="B6" i="58" s="1"/>
  <c r="M9" i="57"/>
  <c r="N9" i="57" s="1"/>
  <c r="M8" i="57"/>
  <c r="V501" i="2"/>
  <c r="C502" i="2"/>
  <c r="AC501" i="2"/>
  <c r="AD501" i="2" s="1"/>
  <c r="G501" i="2"/>
  <c r="E501" i="2"/>
  <c r="D501" i="2"/>
  <c r="F501" i="2" s="1"/>
  <c r="AB501" i="2" s="1"/>
  <c r="DH500" i="2"/>
  <c r="CJ500" i="2"/>
  <c r="BL500" i="2"/>
  <c r="AN500" i="2"/>
  <c r="DF500" i="2"/>
  <c r="CH500" i="2"/>
  <c r="BJ500" i="2"/>
  <c r="AL500" i="2"/>
  <c r="EB500" i="2"/>
  <c r="DD500" i="2"/>
  <c r="CF500" i="2"/>
  <c r="BH500" i="2"/>
  <c r="AJ500" i="2"/>
  <c r="DZ500" i="2"/>
  <c r="DB500" i="2"/>
  <c r="CD500" i="2"/>
  <c r="BF500" i="2"/>
  <c r="AH500" i="2"/>
  <c r="DX500" i="2"/>
  <c r="CZ500" i="2"/>
  <c r="CB500" i="2"/>
  <c r="BD500" i="2"/>
  <c r="DV500" i="2"/>
  <c r="CX500" i="2"/>
  <c r="BZ500" i="2"/>
  <c r="BB500" i="2"/>
  <c r="DT500" i="2"/>
  <c r="CV500" i="2"/>
  <c r="BX500" i="2"/>
  <c r="AZ500" i="2"/>
  <c r="DR500" i="2"/>
  <c r="CT500" i="2"/>
  <c r="BV500" i="2"/>
  <c r="AX500" i="2"/>
  <c r="DP500" i="2"/>
  <c r="CR500" i="2"/>
  <c r="BT500" i="2"/>
  <c r="AV500" i="2"/>
  <c r="DN500" i="2"/>
  <c r="CP500" i="2"/>
  <c r="BR500" i="2"/>
  <c r="AT500" i="2"/>
  <c r="A500" i="2"/>
  <c r="DL500" i="2"/>
  <c r="CN500" i="2"/>
  <c r="BP500" i="2"/>
  <c r="AR500" i="2"/>
  <c r="DJ500" i="2"/>
  <c r="CL500" i="2"/>
  <c r="BN500" i="2"/>
  <c r="AP500" i="2"/>
  <c r="S500" i="2"/>
  <c r="T500" i="2" s="1"/>
  <c r="L26" i="57"/>
  <c r="L57" i="57" s="1"/>
  <c r="N43" i="9"/>
  <c r="K43" i="9"/>
  <c r="G43" i="9"/>
  <c r="M43" i="9"/>
  <c r="G44" i="9" l="1"/>
  <c r="K44" i="9"/>
  <c r="N44" i="9"/>
  <c r="M44" i="9"/>
  <c r="B15" i="58"/>
  <c r="N15" i="57"/>
  <c r="B34" i="58"/>
  <c r="N34" i="57"/>
  <c r="B19" i="58"/>
  <c r="N19" i="57"/>
  <c r="B38" i="58"/>
  <c r="N38" i="57"/>
  <c r="B11" i="58"/>
  <c r="N11" i="57"/>
  <c r="B10" i="58"/>
  <c r="B13" i="58"/>
  <c r="B7" i="58"/>
  <c r="B25" i="58"/>
  <c r="B20" i="58"/>
  <c r="B14" i="58"/>
  <c r="B17" i="58"/>
  <c r="B21" i="58"/>
  <c r="B12" i="58"/>
  <c r="B30" i="58"/>
  <c r="B31" i="58" s="1"/>
  <c r="B33" i="58"/>
  <c r="B32" i="58"/>
  <c r="B16" i="58"/>
  <c r="N16" i="57"/>
  <c r="B24" i="58"/>
  <c r="N24" i="57"/>
  <c r="B39" i="58"/>
  <c r="N39" i="57"/>
  <c r="B18" i="58"/>
  <c r="N18" i="57"/>
  <c r="B23" i="58"/>
  <c r="N23" i="57"/>
  <c r="DL501" i="2"/>
  <c r="CN501" i="2"/>
  <c r="BP501" i="2"/>
  <c r="AR501" i="2"/>
  <c r="DJ501" i="2"/>
  <c r="CL501" i="2"/>
  <c r="BN501" i="2"/>
  <c r="AP501" i="2"/>
  <c r="A501" i="2"/>
  <c r="DH501" i="2"/>
  <c r="CJ501" i="2"/>
  <c r="BL501" i="2"/>
  <c r="AN501" i="2"/>
  <c r="DF501" i="2"/>
  <c r="CH501" i="2"/>
  <c r="BJ501" i="2"/>
  <c r="AL501" i="2"/>
  <c r="S501" i="2"/>
  <c r="T501" i="2" s="1"/>
  <c r="EB501" i="2"/>
  <c r="DD501" i="2"/>
  <c r="CF501" i="2"/>
  <c r="BH501" i="2"/>
  <c r="AJ501" i="2"/>
  <c r="DZ501" i="2"/>
  <c r="DB501" i="2"/>
  <c r="CD501" i="2"/>
  <c r="BF501" i="2"/>
  <c r="AH501" i="2"/>
  <c r="DX501" i="2"/>
  <c r="CZ501" i="2"/>
  <c r="CB501" i="2"/>
  <c r="BD501" i="2"/>
  <c r="DV501" i="2"/>
  <c r="CX501" i="2"/>
  <c r="BZ501" i="2"/>
  <c r="BB501" i="2"/>
  <c r="DT501" i="2"/>
  <c r="CV501" i="2"/>
  <c r="BX501" i="2"/>
  <c r="AZ501" i="2"/>
  <c r="DR501" i="2"/>
  <c r="CT501" i="2"/>
  <c r="BV501" i="2"/>
  <c r="AX501" i="2"/>
  <c r="DP501" i="2"/>
  <c r="CR501" i="2"/>
  <c r="BT501" i="2"/>
  <c r="AV501" i="2"/>
  <c r="DN501" i="2"/>
  <c r="CP501" i="2"/>
  <c r="BR501" i="2"/>
  <c r="AT501" i="2"/>
  <c r="D502" i="2"/>
  <c r="V502" i="2"/>
  <c r="C503" i="2"/>
  <c r="G502" i="2"/>
  <c r="AC502" i="2"/>
  <c r="AD502" i="2" s="1"/>
  <c r="E502" i="2"/>
  <c r="W500" i="2"/>
  <c r="B501" i="2"/>
  <c r="M26" i="57"/>
  <c r="M57" i="57" s="1"/>
  <c r="N8" i="57"/>
  <c r="C4" i="58"/>
  <c r="C6" i="58" s="1"/>
  <c r="B8" i="58"/>
  <c r="B9" i="58"/>
  <c r="B29" i="58"/>
  <c r="J43" i="9"/>
  <c r="F43" i="9"/>
  <c r="L43" i="8"/>
  <c r="I43" i="8"/>
  <c r="L43" i="9"/>
  <c r="E43" i="9"/>
  <c r="B43" i="9"/>
  <c r="O43" i="8"/>
  <c r="N43" i="8" l="1"/>
  <c r="K43" i="8"/>
  <c r="Q43" i="8"/>
  <c r="O44" i="8"/>
  <c r="L44" i="9"/>
  <c r="L44" i="8"/>
  <c r="J43" i="8"/>
  <c r="I44" i="8"/>
  <c r="J44" i="9"/>
  <c r="C17" i="58"/>
  <c r="C25" i="58"/>
  <c r="C14" i="58"/>
  <c r="C21" i="58"/>
  <c r="C12" i="58"/>
  <c r="C22" i="58"/>
  <c r="C20" i="58"/>
  <c r="C10" i="58"/>
  <c r="C15" i="58"/>
  <c r="C13" i="58"/>
  <c r="C16" i="58"/>
  <c r="C18" i="58"/>
  <c r="C30" i="58"/>
  <c r="C31" i="58"/>
  <c r="C32" i="58"/>
  <c r="C33" i="58"/>
  <c r="C34" i="58"/>
  <c r="C23" i="58"/>
  <c r="C11" i="58"/>
  <c r="C19" i="58"/>
  <c r="C39" i="58"/>
  <c r="C24" i="58"/>
  <c r="C38" i="58"/>
  <c r="O43" i="9"/>
  <c r="F44" i="9"/>
  <c r="N57" i="57"/>
  <c r="DR502" i="2"/>
  <c r="CT502" i="2"/>
  <c r="BV502" i="2"/>
  <c r="AX502" i="2"/>
  <c r="DP502" i="2"/>
  <c r="CR502" i="2"/>
  <c r="BT502" i="2"/>
  <c r="AV502" i="2"/>
  <c r="DN502" i="2"/>
  <c r="CP502" i="2"/>
  <c r="BR502" i="2"/>
  <c r="AT502" i="2"/>
  <c r="DL502" i="2"/>
  <c r="CN502" i="2"/>
  <c r="BP502" i="2"/>
  <c r="AR502" i="2"/>
  <c r="A502" i="2"/>
  <c r="DJ502" i="2"/>
  <c r="CL502" i="2"/>
  <c r="BN502" i="2"/>
  <c r="AP502" i="2"/>
  <c r="DH502" i="2"/>
  <c r="CJ502" i="2"/>
  <c r="BL502" i="2"/>
  <c r="S502" i="2"/>
  <c r="T502" i="2" s="1"/>
  <c r="DF502" i="2"/>
  <c r="CH502" i="2"/>
  <c r="BJ502" i="2"/>
  <c r="AN502" i="2"/>
  <c r="EB502" i="2"/>
  <c r="DD502" i="2"/>
  <c r="CF502" i="2"/>
  <c r="BH502" i="2"/>
  <c r="AL502" i="2"/>
  <c r="DZ502" i="2"/>
  <c r="DB502" i="2"/>
  <c r="CD502" i="2"/>
  <c r="BF502" i="2"/>
  <c r="AJ502" i="2"/>
  <c r="DX502" i="2"/>
  <c r="CZ502" i="2"/>
  <c r="CB502" i="2"/>
  <c r="BD502" i="2"/>
  <c r="AH502" i="2"/>
  <c r="DV502" i="2"/>
  <c r="CX502" i="2"/>
  <c r="BZ502" i="2"/>
  <c r="BB502" i="2"/>
  <c r="DT502" i="2"/>
  <c r="CV502" i="2"/>
  <c r="BX502" i="2"/>
  <c r="AZ502" i="2"/>
  <c r="G503" i="2"/>
  <c r="AC503" i="2"/>
  <c r="AD503" i="2" s="1"/>
  <c r="E503" i="2"/>
  <c r="D503" i="2"/>
  <c r="V503" i="2"/>
  <c r="C504" i="2"/>
  <c r="D4" i="58"/>
  <c r="D6" i="58" s="1"/>
  <c r="C9" i="58"/>
  <c r="C29" i="58"/>
  <c r="C8" i="58"/>
  <c r="B26" i="58"/>
  <c r="B57" i="58" s="1"/>
  <c r="F502" i="2"/>
  <c r="AB502" i="2" s="1"/>
  <c r="W501" i="2"/>
  <c r="B502" i="2"/>
  <c r="N26" i="57"/>
  <c r="F43" i="8"/>
  <c r="F43" i="12"/>
  <c r="F43" i="3"/>
  <c r="F503" i="2" l="1"/>
  <c r="AB503" i="2" s="1"/>
  <c r="D39" i="58"/>
  <c r="D23" i="58"/>
  <c r="D33" i="58"/>
  <c r="D17" i="58"/>
  <c r="D18" i="58"/>
  <c r="D10" i="58"/>
  <c r="D20" i="58"/>
  <c r="D14" i="58"/>
  <c r="D15" i="58"/>
  <c r="D25" i="58"/>
  <c r="D16" i="58"/>
  <c r="D22" i="58"/>
  <c r="D30" i="58"/>
  <c r="D31" i="58" s="1"/>
  <c r="D34" i="58"/>
  <c r="D32" i="58"/>
  <c r="D21" i="58"/>
  <c r="D38" i="58"/>
  <c r="D19" i="58"/>
  <c r="D11" i="58"/>
  <c r="D24" i="58"/>
  <c r="D13" i="58"/>
  <c r="G43" i="3"/>
  <c r="H43" i="3"/>
  <c r="F44" i="3"/>
  <c r="H43" i="12"/>
  <c r="G43" i="12"/>
  <c r="F44" i="12"/>
  <c r="H43" i="8"/>
  <c r="G43" i="8"/>
  <c r="R43" i="8"/>
  <c r="R44" i="8" s="1"/>
  <c r="F44" i="8"/>
  <c r="B27" i="57"/>
  <c r="C27" i="57"/>
  <c r="F27" i="57"/>
  <c r="D27" i="57"/>
  <c r="M27" i="57"/>
  <c r="H27" i="57"/>
  <c r="E27" i="57"/>
  <c r="J27" i="57"/>
  <c r="G27" i="57"/>
  <c r="K27" i="57"/>
  <c r="I27" i="57"/>
  <c r="L27" i="57"/>
  <c r="P43" i="9"/>
  <c r="O44" i="9"/>
  <c r="C26" i="58"/>
  <c r="W502" i="2"/>
  <c r="B503" i="2"/>
  <c r="C505" i="2"/>
  <c r="G504" i="2"/>
  <c r="AC504" i="2"/>
  <c r="AD504" i="2" s="1"/>
  <c r="E504" i="2"/>
  <c r="D504" i="2"/>
  <c r="V504" i="2"/>
  <c r="DZ503" i="2"/>
  <c r="DB503" i="2"/>
  <c r="CD503" i="2"/>
  <c r="BF503" i="2"/>
  <c r="AH503" i="2"/>
  <c r="DX503" i="2"/>
  <c r="CZ503" i="2"/>
  <c r="CB503" i="2"/>
  <c r="BD503" i="2"/>
  <c r="DV503" i="2"/>
  <c r="CX503" i="2"/>
  <c r="BZ503" i="2"/>
  <c r="BB503" i="2"/>
  <c r="DT503" i="2"/>
  <c r="CV503" i="2"/>
  <c r="BX503" i="2"/>
  <c r="AZ503" i="2"/>
  <c r="DR503" i="2"/>
  <c r="CT503" i="2"/>
  <c r="BV503" i="2"/>
  <c r="AX503" i="2"/>
  <c r="DP503" i="2"/>
  <c r="CR503" i="2"/>
  <c r="BT503" i="2"/>
  <c r="AV503" i="2"/>
  <c r="DN503" i="2"/>
  <c r="CP503" i="2"/>
  <c r="BR503" i="2"/>
  <c r="AT503" i="2"/>
  <c r="A503" i="2"/>
  <c r="DL503" i="2"/>
  <c r="CN503" i="2"/>
  <c r="BP503" i="2"/>
  <c r="AR503" i="2"/>
  <c r="DJ503" i="2"/>
  <c r="CL503" i="2"/>
  <c r="BN503" i="2"/>
  <c r="AP503" i="2"/>
  <c r="S503" i="2"/>
  <c r="T503" i="2" s="1"/>
  <c r="DH503" i="2"/>
  <c r="CJ503" i="2"/>
  <c r="BL503" i="2"/>
  <c r="AN503" i="2"/>
  <c r="DF503" i="2"/>
  <c r="CH503" i="2"/>
  <c r="BJ503" i="2"/>
  <c r="AL503" i="2"/>
  <c r="CF503" i="2"/>
  <c r="BH503" i="2"/>
  <c r="AJ503" i="2"/>
  <c r="EB503" i="2"/>
  <c r="DD503" i="2"/>
  <c r="H60" i="57"/>
  <c r="B60" i="57"/>
  <c r="E4" i="58"/>
  <c r="E6" i="58" s="1"/>
  <c r="D8" i="58"/>
  <c r="D29" i="58"/>
  <c r="D9" i="58"/>
  <c r="B43" i="8"/>
  <c r="O43" i="12"/>
  <c r="E43" i="8"/>
  <c r="B43" i="3"/>
  <c r="E43" i="3"/>
  <c r="B43" i="12"/>
  <c r="E43" i="12"/>
  <c r="O43" i="3"/>
  <c r="F504" i="2" l="1"/>
  <c r="AB504" i="2" s="1"/>
  <c r="E13" i="58"/>
  <c r="E39" i="58"/>
  <c r="E11" i="58"/>
  <c r="E24" i="58"/>
  <c r="E38" i="58"/>
  <c r="E19" i="58"/>
  <c r="E32" i="58"/>
  <c r="E33" i="58"/>
  <c r="E22" i="58"/>
  <c r="E20" i="58"/>
  <c r="E17" i="58"/>
  <c r="E30" i="58"/>
  <c r="E31" i="58" s="1"/>
  <c r="E14" i="58"/>
  <c r="E15" i="58"/>
  <c r="E18" i="58"/>
  <c r="E25" i="58"/>
  <c r="E16" i="58"/>
  <c r="E10" i="58"/>
  <c r="E34" i="58"/>
  <c r="E21" i="58"/>
  <c r="E23" i="58"/>
  <c r="S43" i="8"/>
  <c r="O44" i="3"/>
  <c r="E43" i="6"/>
  <c r="E43" i="5"/>
  <c r="E43" i="7"/>
  <c r="B43" i="7"/>
  <c r="C43" i="3"/>
  <c r="D43" i="5" s="1"/>
  <c r="D43" i="6" s="1"/>
  <c r="B43" i="6"/>
  <c r="B43" i="5"/>
  <c r="J28" i="57"/>
  <c r="J58" i="57" s="1"/>
  <c r="J59" i="57" s="1"/>
  <c r="E28" i="57"/>
  <c r="E58" i="57" s="1"/>
  <c r="E59" i="57" s="1"/>
  <c r="H28" i="57"/>
  <c r="H40" i="57" s="1"/>
  <c r="H41" i="57" s="1"/>
  <c r="M28" i="57"/>
  <c r="M58" i="57" s="1"/>
  <c r="M59" i="57" s="1"/>
  <c r="D28" i="57"/>
  <c r="D58" i="57" s="1"/>
  <c r="D59" i="57" s="1"/>
  <c r="C57" i="58"/>
  <c r="F28" i="57"/>
  <c r="F58" i="57" s="1"/>
  <c r="F59" i="57" s="1"/>
  <c r="C28" i="57"/>
  <c r="C58" i="57" s="1"/>
  <c r="C59" i="57" s="1"/>
  <c r="N27" i="57"/>
  <c r="B28" i="57"/>
  <c r="B40" i="57" s="1"/>
  <c r="B41" i="57" s="1"/>
  <c r="L28" i="57"/>
  <c r="L58" i="57" s="1"/>
  <c r="L59" i="57" s="1"/>
  <c r="I28" i="57"/>
  <c r="I58" i="57" s="1"/>
  <c r="I59" i="57" s="1"/>
  <c r="K28" i="57"/>
  <c r="K58" i="57" s="1"/>
  <c r="K59" i="57" s="1"/>
  <c r="G28" i="57"/>
  <c r="G58" i="57" s="1"/>
  <c r="G59" i="57" s="1"/>
  <c r="W503" i="2"/>
  <c r="B504" i="2"/>
  <c r="DJ504" i="2"/>
  <c r="CL504" i="2"/>
  <c r="BN504" i="2"/>
  <c r="AP504" i="2"/>
  <c r="S504" i="2"/>
  <c r="T504" i="2" s="1"/>
  <c r="DH504" i="2"/>
  <c r="CJ504" i="2"/>
  <c r="BL504" i="2"/>
  <c r="AN504" i="2"/>
  <c r="DF504" i="2"/>
  <c r="CH504" i="2"/>
  <c r="BJ504" i="2"/>
  <c r="AL504" i="2"/>
  <c r="EB504" i="2"/>
  <c r="DD504" i="2"/>
  <c r="CF504" i="2"/>
  <c r="BH504" i="2"/>
  <c r="AJ504" i="2"/>
  <c r="DZ504" i="2"/>
  <c r="DB504" i="2"/>
  <c r="CD504" i="2"/>
  <c r="BF504" i="2"/>
  <c r="AH504" i="2"/>
  <c r="DX504" i="2"/>
  <c r="CZ504" i="2"/>
  <c r="CB504" i="2"/>
  <c r="BD504" i="2"/>
  <c r="DV504" i="2"/>
  <c r="CX504" i="2"/>
  <c r="BZ504" i="2"/>
  <c r="BB504" i="2"/>
  <c r="DT504" i="2"/>
  <c r="CV504" i="2"/>
  <c r="BX504" i="2"/>
  <c r="AZ504" i="2"/>
  <c r="DR504" i="2"/>
  <c r="CT504" i="2"/>
  <c r="BV504" i="2"/>
  <c r="AX504" i="2"/>
  <c r="DP504" i="2"/>
  <c r="CR504" i="2"/>
  <c r="BT504" i="2"/>
  <c r="AV504" i="2"/>
  <c r="DN504" i="2"/>
  <c r="CP504" i="2"/>
  <c r="BR504" i="2"/>
  <c r="AT504" i="2"/>
  <c r="A504" i="2"/>
  <c r="DL504" i="2"/>
  <c r="CN504" i="2"/>
  <c r="BP504" i="2"/>
  <c r="AR504" i="2"/>
  <c r="V505" i="2"/>
  <c r="C506" i="2"/>
  <c r="G505" i="2"/>
  <c r="AC505" i="2"/>
  <c r="AD505" i="2" s="1"/>
  <c r="E505" i="2"/>
  <c r="D505" i="2"/>
  <c r="F4" i="58"/>
  <c r="F6" i="58" s="1"/>
  <c r="F21" i="58" s="1"/>
  <c r="E9" i="58"/>
  <c r="E29" i="58"/>
  <c r="E8" i="58"/>
  <c r="D26" i="58"/>
  <c r="D57" i="58" s="1"/>
  <c r="L43" i="5"/>
  <c r="F43" i="5"/>
  <c r="F11" i="58" l="1"/>
  <c r="F39" i="58"/>
  <c r="F34" i="58"/>
  <c r="F33" i="58"/>
  <c r="F32" i="58"/>
  <c r="F13" i="58"/>
  <c r="F16" i="58"/>
  <c r="F18" i="58"/>
  <c r="F15" i="58"/>
  <c r="F38" i="58"/>
  <c r="F19" i="58"/>
  <c r="F23" i="58"/>
  <c r="F14" i="58"/>
  <c r="F22" i="58"/>
  <c r="F17" i="58"/>
  <c r="F20" i="58"/>
  <c r="F10" i="58"/>
  <c r="F25" i="58"/>
  <c r="F30" i="58"/>
  <c r="F31" i="58" s="1"/>
  <c r="F24" i="58"/>
  <c r="K40" i="57"/>
  <c r="K41" i="57" s="1"/>
  <c r="K53" i="57" s="1"/>
  <c r="J40" i="57"/>
  <c r="J41" i="57" s="1"/>
  <c r="J53" i="57" s="1"/>
  <c r="F40" i="57"/>
  <c r="F41" i="57" s="1"/>
  <c r="F53" i="57" s="1"/>
  <c r="D40" i="57"/>
  <c r="D41" i="57" s="1"/>
  <c r="D53" i="57" s="1"/>
  <c r="I40" i="57"/>
  <c r="I41" i="57" s="1"/>
  <c r="I53" i="57" s="1"/>
  <c r="H58" i="57"/>
  <c r="H59" i="57" s="1"/>
  <c r="N28" i="57"/>
  <c r="B58" i="57"/>
  <c r="M40" i="57"/>
  <c r="G40" i="57"/>
  <c r="G41" i="57" s="1"/>
  <c r="C40" i="57"/>
  <c r="C41" i="57" s="1"/>
  <c r="D43" i="7"/>
  <c r="D43" i="8" s="1"/>
  <c r="D43" i="9" s="1"/>
  <c r="R43" i="6"/>
  <c r="H53" i="57"/>
  <c r="L40" i="57"/>
  <c r="L41" i="57" s="1"/>
  <c r="E40" i="57"/>
  <c r="E41" i="57" s="1"/>
  <c r="B53" i="57"/>
  <c r="E26" i="58"/>
  <c r="E57" i="58" s="1"/>
  <c r="F505" i="2"/>
  <c r="AB505" i="2" s="1"/>
  <c r="F8" i="58"/>
  <c r="F29" i="58"/>
  <c r="F9" i="58"/>
  <c r="G4" i="58"/>
  <c r="G6" i="58" s="1"/>
  <c r="DR505" i="2"/>
  <c r="CT505" i="2"/>
  <c r="BV505" i="2"/>
  <c r="AX505" i="2"/>
  <c r="DP505" i="2"/>
  <c r="CR505" i="2"/>
  <c r="BT505" i="2"/>
  <c r="AV505" i="2"/>
  <c r="DN505" i="2"/>
  <c r="CP505" i="2"/>
  <c r="BR505" i="2"/>
  <c r="AT505" i="2"/>
  <c r="A505" i="2"/>
  <c r="DL505" i="2"/>
  <c r="CN505" i="2"/>
  <c r="BP505" i="2"/>
  <c r="AR505" i="2"/>
  <c r="DJ505" i="2"/>
  <c r="CL505" i="2"/>
  <c r="BN505" i="2"/>
  <c r="AP505" i="2"/>
  <c r="S505" i="2"/>
  <c r="T505" i="2" s="1"/>
  <c r="DH505" i="2"/>
  <c r="CJ505" i="2"/>
  <c r="BL505" i="2"/>
  <c r="AN505" i="2"/>
  <c r="DF505" i="2"/>
  <c r="CH505" i="2"/>
  <c r="BJ505" i="2"/>
  <c r="AL505" i="2"/>
  <c r="EB505" i="2"/>
  <c r="DD505" i="2"/>
  <c r="CF505" i="2"/>
  <c r="BH505" i="2"/>
  <c r="AJ505" i="2"/>
  <c r="DZ505" i="2"/>
  <c r="DB505" i="2"/>
  <c r="CD505" i="2"/>
  <c r="BF505" i="2"/>
  <c r="AH505" i="2"/>
  <c r="DX505" i="2"/>
  <c r="CZ505" i="2"/>
  <c r="CB505" i="2"/>
  <c r="BD505" i="2"/>
  <c r="DV505" i="2"/>
  <c r="CX505" i="2"/>
  <c r="BZ505" i="2"/>
  <c r="BB505" i="2"/>
  <c r="DT505" i="2"/>
  <c r="CV505" i="2"/>
  <c r="BX505" i="2"/>
  <c r="AZ505" i="2"/>
  <c r="G506" i="2"/>
  <c r="AC506" i="2"/>
  <c r="AD506" i="2" s="1"/>
  <c r="E506" i="2"/>
  <c r="D506" i="2"/>
  <c r="F506" i="2" s="1"/>
  <c r="AB506" i="2" s="1"/>
  <c r="V506" i="2"/>
  <c r="C507" i="2"/>
  <c r="W504" i="2"/>
  <c r="B505" i="2"/>
  <c r="P43" i="5"/>
  <c r="M43" i="5"/>
  <c r="G43" i="5"/>
  <c r="K43" i="5"/>
  <c r="I43" i="5"/>
  <c r="H43" i="5"/>
  <c r="J43" i="5"/>
  <c r="O43" i="5"/>
  <c r="N43" i="5"/>
  <c r="G32" i="58" l="1"/>
  <c r="G16" i="58"/>
  <c r="G33" i="58"/>
  <c r="G34" i="58"/>
  <c r="G23" i="58"/>
  <c r="G19" i="58"/>
  <c r="G39" i="58"/>
  <c r="G20" i="58"/>
  <c r="G17" i="58"/>
  <c r="G29" i="58"/>
  <c r="G22" i="58"/>
  <c r="G25" i="58"/>
  <c r="G14" i="58"/>
  <c r="G10" i="58"/>
  <c r="G24" i="58"/>
  <c r="G38" i="58"/>
  <c r="G21" i="58"/>
  <c r="G15" i="58"/>
  <c r="G11" i="58"/>
  <c r="G13" i="58"/>
  <c r="G30" i="58"/>
  <c r="G31" i="58" s="1"/>
  <c r="G18" i="58"/>
  <c r="N40" i="57"/>
  <c r="M41" i="57"/>
  <c r="N41" i="57" s="1"/>
  <c r="C53" i="57"/>
  <c r="N58" i="57"/>
  <c r="N59" i="57" s="1"/>
  <c r="F60" i="57" s="1"/>
  <c r="B59" i="57"/>
  <c r="L53" i="57"/>
  <c r="G53" i="57"/>
  <c r="E53" i="57"/>
  <c r="F26" i="58"/>
  <c r="W505" i="2"/>
  <c r="B506" i="2"/>
  <c r="C508" i="2"/>
  <c r="G507" i="2"/>
  <c r="AC507" i="2"/>
  <c r="AD507" i="2" s="1"/>
  <c r="E507" i="2"/>
  <c r="D507" i="2"/>
  <c r="F507" i="2" s="1"/>
  <c r="AB507" i="2" s="1"/>
  <c r="V507" i="2"/>
  <c r="DZ506" i="2"/>
  <c r="DB506" i="2"/>
  <c r="CD506" i="2"/>
  <c r="BF506" i="2"/>
  <c r="AH506" i="2"/>
  <c r="DX506" i="2"/>
  <c r="CZ506" i="2"/>
  <c r="CB506" i="2"/>
  <c r="BD506" i="2"/>
  <c r="DV506" i="2"/>
  <c r="CX506" i="2"/>
  <c r="BZ506" i="2"/>
  <c r="BB506" i="2"/>
  <c r="DT506" i="2"/>
  <c r="CV506" i="2"/>
  <c r="BX506" i="2"/>
  <c r="AZ506" i="2"/>
  <c r="DR506" i="2"/>
  <c r="CT506" i="2"/>
  <c r="BV506" i="2"/>
  <c r="AX506" i="2"/>
  <c r="DP506" i="2"/>
  <c r="CR506" i="2"/>
  <c r="BT506" i="2"/>
  <c r="AV506" i="2"/>
  <c r="DN506" i="2"/>
  <c r="CP506" i="2"/>
  <c r="BR506" i="2"/>
  <c r="AT506" i="2"/>
  <c r="A506" i="2"/>
  <c r="DL506" i="2"/>
  <c r="CN506" i="2"/>
  <c r="BP506" i="2"/>
  <c r="AR506" i="2"/>
  <c r="DJ506" i="2"/>
  <c r="CL506" i="2"/>
  <c r="BN506" i="2"/>
  <c r="AP506" i="2"/>
  <c r="S506" i="2"/>
  <c r="T506" i="2" s="1"/>
  <c r="DH506" i="2"/>
  <c r="CJ506" i="2"/>
  <c r="BL506" i="2"/>
  <c r="AN506" i="2"/>
  <c r="DF506" i="2"/>
  <c r="CH506" i="2"/>
  <c r="BJ506" i="2"/>
  <c r="AL506" i="2"/>
  <c r="EB506" i="2"/>
  <c r="DD506" i="2"/>
  <c r="CF506" i="2"/>
  <c r="BH506" i="2"/>
  <c r="AJ506" i="2"/>
  <c r="G8" i="58"/>
  <c r="H4" i="58"/>
  <c r="H6" i="58" s="1"/>
  <c r="G9" i="58"/>
  <c r="L43" i="3"/>
  <c r="I43" i="12"/>
  <c r="L43" i="12"/>
  <c r="I43" i="3"/>
  <c r="Q43" i="5"/>
  <c r="H39" i="58" l="1"/>
  <c r="H15" i="58"/>
  <c r="H38" i="58"/>
  <c r="H23" i="58"/>
  <c r="H24" i="58"/>
  <c r="H34" i="58"/>
  <c r="H7" i="58"/>
  <c r="N7" i="58" s="1"/>
  <c r="H10" i="58"/>
  <c r="H29" i="58"/>
  <c r="H17" i="58"/>
  <c r="H25" i="58"/>
  <c r="H22" i="58"/>
  <c r="H20" i="58"/>
  <c r="H14" i="58"/>
  <c r="H30" i="58"/>
  <c r="H31" i="58" s="1"/>
  <c r="H33" i="58"/>
  <c r="H18" i="58"/>
  <c r="H19" i="58"/>
  <c r="H21" i="58"/>
  <c r="H16" i="58"/>
  <c r="H13" i="58"/>
  <c r="H32" i="58"/>
  <c r="H11" i="58"/>
  <c r="R43" i="5"/>
  <c r="N53" i="57"/>
  <c r="G60" i="57"/>
  <c r="I60" i="57"/>
  <c r="M53" i="57"/>
  <c r="F57" i="58"/>
  <c r="DJ507" i="2"/>
  <c r="CL507" i="2"/>
  <c r="BN507" i="2"/>
  <c r="AP507" i="2"/>
  <c r="S507" i="2"/>
  <c r="T507" i="2" s="1"/>
  <c r="DH507" i="2"/>
  <c r="CJ507" i="2"/>
  <c r="BL507" i="2"/>
  <c r="AN507" i="2"/>
  <c r="DF507" i="2"/>
  <c r="CH507" i="2"/>
  <c r="BJ507" i="2"/>
  <c r="AL507" i="2"/>
  <c r="EB507" i="2"/>
  <c r="DD507" i="2"/>
  <c r="CF507" i="2"/>
  <c r="BH507" i="2"/>
  <c r="AJ507" i="2"/>
  <c r="DZ507" i="2"/>
  <c r="DB507" i="2"/>
  <c r="CD507" i="2"/>
  <c r="BF507" i="2"/>
  <c r="AH507" i="2"/>
  <c r="DX507" i="2"/>
  <c r="CZ507" i="2"/>
  <c r="CB507" i="2"/>
  <c r="BD507" i="2"/>
  <c r="DV507" i="2"/>
  <c r="CX507" i="2"/>
  <c r="BZ507" i="2"/>
  <c r="BB507" i="2"/>
  <c r="DT507" i="2"/>
  <c r="CV507" i="2"/>
  <c r="BX507" i="2"/>
  <c r="AZ507" i="2"/>
  <c r="DR507" i="2"/>
  <c r="CT507" i="2"/>
  <c r="BV507" i="2"/>
  <c r="AX507" i="2"/>
  <c r="DP507" i="2"/>
  <c r="CR507" i="2"/>
  <c r="BT507" i="2"/>
  <c r="AV507" i="2"/>
  <c r="DN507" i="2"/>
  <c r="CP507" i="2"/>
  <c r="BR507" i="2"/>
  <c r="AT507" i="2"/>
  <c r="A507" i="2"/>
  <c r="AR507" i="2"/>
  <c r="DL507" i="2"/>
  <c r="CN507" i="2"/>
  <c r="BP507" i="2"/>
  <c r="V508" i="2"/>
  <c r="C509" i="2"/>
  <c r="G508" i="2"/>
  <c r="AC508" i="2"/>
  <c r="AD508" i="2" s="1"/>
  <c r="E508" i="2"/>
  <c r="D508" i="2"/>
  <c r="F508" i="2" s="1"/>
  <c r="AB508" i="2" s="1"/>
  <c r="H8" i="58"/>
  <c r="H9" i="58"/>
  <c r="I4" i="58"/>
  <c r="I6" i="58" s="1"/>
  <c r="I21" i="58" s="1"/>
  <c r="W506" i="2"/>
  <c r="B507" i="2"/>
  <c r="G26" i="58"/>
  <c r="G57" i="58" s="1"/>
  <c r="P43" i="3"/>
  <c r="I13" i="58" l="1"/>
  <c r="I16" i="58"/>
  <c r="I18" i="58"/>
  <c r="I33" i="58"/>
  <c r="I34" i="58"/>
  <c r="I24" i="58"/>
  <c r="I19" i="58"/>
  <c r="I23" i="58"/>
  <c r="I38" i="58"/>
  <c r="I11" i="58"/>
  <c r="I15" i="58"/>
  <c r="I17" i="58"/>
  <c r="I29" i="58"/>
  <c r="I20" i="58"/>
  <c r="I10" i="58"/>
  <c r="I14" i="58"/>
  <c r="I25" i="58"/>
  <c r="I22" i="58"/>
  <c r="I30" i="58"/>
  <c r="I31" i="58"/>
  <c r="I32" i="58"/>
  <c r="I39" i="58"/>
  <c r="H26" i="58"/>
  <c r="H57" i="58" s="1"/>
  <c r="DR508" i="2"/>
  <c r="CT508" i="2"/>
  <c r="BV508" i="2"/>
  <c r="AX508" i="2"/>
  <c r="DP508" i="2"/>
  <c r="CR508" i="2"/>
  <c r="BT508" i="2"/>
  <c r="AV508" i="2"/>
  <c r="DN508" i="2"/>
  <c r="CP508" i="2"/>
  <c r="BR508" i="2"/>
  <c r="AT508" i="2"/>
  <c r="A508" i="2"/>
  <c r="DL508" i="2"/>
  <c r="CN508" i="2"/>
  <c r="BP508" i="2"/>
  <c r="AR508" i="2"/>
  <c r="DJ508" i="2"/>
  <c r="CL508" i="2"/>
  <c r="BN508" i="2"/>
  <c r="AP508" i="2"/>
  <c r="S508" i="2"/>
  <c r="T508" i="2" s="1"/>
  <c r="DH508" i="2"/>
  <c r="CJ508" i="2"/>
  <c r="BL508" i="2"/>
  <c r="AN508" i="2"/>
  <c r="DF508" i="2"/>
  <c r="CH508" i="2"/>
  <c r="BJ508" i="2"/>
  <c r="AL508" i="2"/>
  <c r="EB508" i="2"/>
  <c r="DD508" i="2"/>
  <c r="CF508" i="2"/>
  <c r="BH508" i="2"/>
  <c r="AJ508" i="2"/>
  <c r="DZ508" i="2"/>
  <c r="DB508" i="2"/>
  <c r="CD508" i="2"/>
  <c r="BF508" i="2"/>
  <c r="AH508" i="2"/>
  <c r="DX508" i="2"/>
  <c r="CZ508" i="2"/>
  <c r="CB508" i="2"/>
  <c r="BD508" i="2"/>
  <c r="DV508" i="2"/>
  <c r="CX508" i="2"/>
  <c r="BZ508" i="2"/>
  <c r="BB508" i="2"/>
  <c r="CV508" i="2"/>
  <c r="BX508" i="2"/>
  <c r="AZ508" i="2"/>
  <c r="DT508" i="2"/>
  <c r="W507" i="2"/>
  <c r="B508" i="2"/>
  <c r="I8" i="58"/>
  <c r="I9" i="58"/>
  <c r="J4" i="58"/>
  <c r="J6" i="58" s="1"/>
  <c r="G509" i="2"/>
  <c r="AC509" i="2"/>
  <c r="AD509" i="2" s="1"/>
  <c r="E509" i="2"/>
  <c r="D509" i="2"/>
  <c r="V509" i="2"/>
  <c r="C510" i="2"/>
  <c r="F509" i="2" l="1"/>
  <c r="AB509" i="2" s="1"/>
  <c r="J38" i="58"/>
  <c r="J19" i="58"/>
  <c r="J20" i="58"/>
  <c r="J17" i="58"/>
  <c r="J14" i="58"/>
  <c r="J22" i="58"/>
  <c r="J25" i="58"/>
  <c r="J12" i="58"/>
  <c r="J29" i="58"/>
  <c r="J10" i="58"/>
  <c r="J30" i="58"/>
  <c r="J31" i="58" s="1"/>
  <c r="J24" i="58"/>
  <c r="J34" i="58"/>
  <c r="J33" i="58"/>
  <c r="J15" i="58"/>
  <c r="J18" i="58"/>
  <c r="J23" i="58"/>
  <c r="J39" i="58"/>
  <c r="J11" i="58"/>
  <c r="J16" i="58"/>
  <c r="J21" i="58"/>
  <c r="J32" i="58"/>
  <c r="J13" i="58"/>
  <c r="I26" i="58"/>
  <c r="I57" i="58" s="1"/>
  <c r="C511" i="2"/>
  <c r="G510" i="2"/>
  <c r="AC510" i="2"/>
  <c r="AD510" i="2" s="1"/>
  <c r="E510" i="2"/>
  <c r="D510" i="2"/>
  <c r="V510" i="2"/>
  <c r="W508" i="2"/>
  <c r="B509" i="2"/>
  <c r="DZ509" i="2"/>
  <c r="DB509" i="2"/>
  <c r="CD509" i="2"/>
  <c r="BF509" i="2"/>
  <c r="AH509" i="2"/>
  <c r="DX509" i="2"/>
  <c r="CZ509" i="2"/>
  <c r="CB509" i="2"/>
  <c r="BD509" i="2"/>
  <c r="DV509" i="2"/>
  <c r="CX509" i="2"/>
  <c r="BZ509" i="2"/>
  <c r="BB509" i="2"/>
  <c r="DT509" i="2"/>
  <c r="CV509" i="2"/>
  <c r="BX509" i="2"/>
  <c r="AZ509" i="2"/>
  <c r="DR509" i="2"/>
  <c r="CT509" i="2"/>
  <c r="BV509" i="2"/>
  <c r="AX509" i="2"/>
  <c r="DP509" i="2"/>
  <c r="CR509" i="2"/>
  <c r="BT509" i="2"/>
  <c r="AV509" i="2"/>
  <c r="DN509" i="2"/>
  <c r="CP509" i="2"/>
  <c r="BR509" i="2"/>
  <c r="AT509" i="2"/>
  <c r="A509" i="2"/>
  <c r="DL509" i="2"/>
  <c r="CN509" i="2"/>
  <c r="BP509" i="2"/>
  <c r="AR509" i="2"/>
  <c r="DJ509" i="2"/>
  <c r="CL509" i="2"/>
  <c r="BN509" i="2"/>
  <c r="AP509" i="2"/>
  <c r="S509" i="2"/>
  <c r="T509" i="2" s="1"/>
  <c r="DH509" i="2"/>
  <c r="CJ509" i="2"/>
  <c r="BL509" i="2"/>
  <c r="AN509" i="2"/>
  <c r="DF509" i="2"/>
  <c r="CH509" i="2"/>
  <c r="BJ509" i="2"/>
  <c r="AL509" i="2"/>
  <c r="EB509" i="2"/>
  <c r="DD509" i="2"/>
  <c r="CF509" i="2"/>
  <c r="BH509" i="2"/>
  <c r="AJ509" i="2"/>
  <c r="J9" i="58"/>
  <c r="J8" i="58"/>
  <c r="K4" i="58"/>
  <c r="K6" i="58" s="1"/>
  <c r="K21" i="58" s="1"/>
  <c r="F510" i="2" l="1"/>
  <c r="AB510" i="2" s="1"/>
  <c r="K23" i="58"/>
  <c r="K32" i="58"/>
  <c r="K11" i="58"/>
  <c r="K18" i="58"/>
  <c r="K10" i="58"/>
  <c r="K14" i="58"/>
  <c r="K25" i="58"/>
  <c r="K20" i="58"/>
  <c r="K22" i="58"/>
  <c r="K17" i="58"/>
  <c r="K12" i="58"/>
  <c r="N12" i="58" s="1"/>
  <c r="K29" i="58"/>
  <c r="K30" i="58"/>
  <c r="K31" i="58"/>
  <c r="K15" i="58"/>
  <c r="K16" i="58"/>
  <c r="K34" i="58"/>
  <c r="K19" i="58"/>
  <c r="K24" i="58"/>
  <c r="K38" i="58"/>
  <c r="K39" i="58"/>
  <c r="K33" i="58"/>
  <c r="K13" i="58"/>
  <c r="J26" i="58"/>
  <c r="W509" i="2"/>
  <c r="B510" i="2"/>
  <c r="DJ510" i="2"/>
  <c r="CL510" i="2"/>
  <c r="BN510" i="2"/>
  <c r="AP510" i="2"/>
  <c r="S510" i="2"/>
  <c r="T510" i="2" s="1"/>
  <c r="DH510" i="2"/>
  <c r="CJ510" i="2"/>
  <c r="BL510" i="2"/>
  <c r="AN510" i="2"/>
  <c r="DF510" i="2"/>
  <c r="CH510" i="2"/>
  <c r="BJ510" i="2"/>
  <c r="AL510" i="2"/>
  <c r="EB510" i="2"/>
  <c r="DD510" i="2"/>
  <c r="CF510" i="2"/>
  <c r="BH510" i="2"/>
  <c r="AJ510" i="2"/>
  <c r="DZ510" i="2"/>
  <c r="DB510" i="2"/>
  <c r="CD510" i="2"/>
  <c r="BF510" i="2"/>
  <c r="AH510" i="2"/>
  <c r="DX510" i="2"/>
  <c r="CZ510" i="2"/>
  <c r="CB510" i="2"/>
  <c r="BD510" i="2"/>
  <c r="DV510" i="2"/>
  <c r="CX510" i="2"/>
  <c r="BZ510" i="2"/>
  <c r="BB510" i="2"/>
  <c r="DT510" i="2"/>
  <c r="CV510" i="2"/>
  <c r="BX510" i="2"/>
  <c r="AZ510" i="2"/>
  <c r="DR510" i="2"/>
  <c r="CT510" i="2"/>
  <c r="BV510" i="2"/>
  <c r="AX510" i="2"/>
  <c r="DP510" i="2"/>
  <c r="CR510" i="2"/>
  <c r="BT510" i="2"/>
  <c r="AV510" i="2"/>
  <c r="DN510" i="2"/>
  <c r="CP510" i="2"/>
  <c r="BR510" i="2"/>
  <c r="AT510" i="2"/>
  <c r="A510" i="2"/>
  <c r="DL510" i="2"/>
  <c r="CN510" i="2"/>
  <c r="BP510" i="2"/>
  <c r="AR510" i="2"/>
  <c r="V511" i="2"/>
  <c r="C512" i="2"/>
  <c r="G511" i="2"/>
  <c r="AC511" i="2"/>
  <c r="AD511" i="2" s="1"/>
  <c r="E511" i="2"/>
  <c r="D511" i="2"/>
  <c r="K9" i="58"/>
  <c r="K8" i="58"/>
  <c r="L4" i="58"/>
  <c r="L6" i="58" s="1"/>
  <c r="L21" i="58" s="1"/>
  <c r="F511" i="2" l="1"/>
  <c r="AB511" i="2" s="1"/>
  <c r="L19" i="58"/>
  <c r="L13" i="58"/>
  <c r="L39" i="58"/>
  <c r="L34" i="58"/>
  <c r="L16" i="58"/>
  <c r="L18" i="58"/>
  <c r="L25" i="58"/>
  <c r="L20" i="58"/>
  <c r="L14" i="58"/>
  <c r="L22" i="58"/>
  <c r="L17" i="58"/>
  <c r="L29" i="58"/>
  <c r="L10" i="58"/>
  <c r="L30" i="58"/>
  <c r="L31" i="58"/>
  <c r="L15" i="58"/>
  <c r="L11" i="58"/>
  <c r="L33" i="58"/>
  <c r="L24" i="58"/>
  <c r="L32" i="58"/>
  <c r="L38" i="58"/>
  <c r="L23" i="58"/>
  <c r="J57" i="58"/>
  <c r="K26" i="58"/>
  <c r="K57" i="58" s="1"/>
  <c r="G512" i="2"/>
  <c r="AC512" i="2"/>
  <c r="AD512" i="2" s="1"/>
  <c r="E512" i="2"/>
  <c r="D512" i="2"/>
  <c r="F512" i="2" s="1"/>
  <c r="AB512" i="2" s="1"/>
  <c r="V512" i="2"/>
  <c r="C513" i="2"/>
  <c r="L9" i="58"/>
  <c r="L8" i="58"/>
  <c r="M4" i="58"/>
  <c r="M6" i="58" s="1"/>
  <c r="M21" i="58" s="1"/>
  <c r="N21" i="58" s="1"/>
  <c r="DR511" i="2"/>
  <c r="CT511" i="2"/>
  <c r="BV511" i="2"/>
  <c r="AX511" i="2"/>
  <c r="DP511" i="2"/>
  <c r="CR511" i="2"/>
  <c r="BT511" i="2"/>
  <c r="AV511" i="2"/>
  <c r="DN511" i="2"/>
  <c r="CP511" i="2"/>
  <c r="BR511" i="2"/>
  <c r="AT511" i="2"/>
  <c r="A511" i="2"/>
  <c r="DL511" i="2"/>
  <c r="CN511" i="2"/>
  <c r="BP511" i="2"/>
  <c r="AR511" i="2"/>
  <c r="DJ511" i="2"/>
  <c r="CL511" i="2"/>
  <c r="BN511" i="2"/>
  <c r="AP511" i="2"/>
  <c r="S511" i="2"/>
  <c r="T511" i="2" s="1"/>
  <c r="DH511" i="2"/>
  <c r="CJ511" i="2"/>
  <c r="BL511" i="2"/>
  <c r="AN511" i="2"/>
  <c r="DF511" i="2"/>
  <c r="CH511" i="2"/>
  <c r="BJ511" i="2"/>
  <c r="AL511" i="2"/>
  <c r="EB511" i="2"/>
  <c r="DD511" i="2"/>
  <c r="CF511" i="2"/>
  <c r="BH511" i="2"/>
  <c r="AJ511" i="2"/>
  <c r="DZ511" i="2"/>
  <c r="DB511" i="2"/>
  <c r="CD511" i="2"/>
  <c r="BF511" i="2"/>
  <c r="AH511" i="2"/>
  <c r="DX511" i="2"/>
  <c r="CZ511" i="2"/>
  <c r="CB511" i="2"/>
  <c r="BD511" i="2"/>
  <c r="DV511" i="2"/>
  <c r="CX511" i="2"/>
  <c r="BZ511" i="2"/>
  <c r="BB511" i="2"/>
  <c r="DT511" i="2"/>
  <c r="CV511" i="2"/>
  <c r="BX511" i="2"/>
  <c r="AZ511" i="2"/>
  <c r="W510" i="2"/>
  <c r="B511" i="2"/>
  <c r="M38" i="58" l="1"/>
  <c r="N38" i="58" s="1"/>
  <c r="M33" i="58"/>
  <c r="N33" i="58" s="1"/>
  <c r="M18" i="58"/>
  <c r="N18" i="58" s="1"/>
  <c r="M24" i="58"/>
  <c r="N24" i="58" s="1"/>
  <c r="M11" i="58"/>
  <c r="N11" i="58" s="1"/>
  <c r="M16" i="58"/>
  <c r="N16" i="58" s="1"/>
  <c r="M32" i="58"/>
  <c r="N32" i="58" s="1"/>
  <c r="M15" i="58"/>
  <c r="N15" i="58" s="1"/>
  <c r="M34" i="58"/>
  <c r="N34" i="58" s="1"/>
  <c r="M39" i="58"/>
  <c r="N39" i="58" s="1"/>
  <c r="M23" i="58"/>
  <c r="N23" i="58" s="1"/>
  <c r="M13" i="58"/>
  <c r="N13" i="58" s="1"/>
  <c r="M14" i="58"/>
  <c r="N14" i="58" s="1"/>
  <c r="M25" i="58"/>
  <c r="N25" i="58" s="1"/>
  <c r="M29" i="58"/>
  <c r="N29" i="58" s="1"/>
  <c r="M10" i="58"/>
  <c r="N10" i="58" s="1"/>
  <c r="M20" i="58"/>
  <c r="N20" i="58" s="1"/>
  <c r="M17" i="58"/>
  <c r="N17" i="58" s="1"/>
  <c r="M22" i="58"/>
  <c r="N22" i="58" s="1"/>
  <c r="M30" i="58"/>
  <c r="N6" i="58"/>
  <c r="M19" i="58"/>
  <c r="N19" i="58" s="1"/>
  <c r="L26" i="58"/>
  <c r="M8" i="58"/>
  <c r="M9" i="58"/>
  <c r="N9" i="58" s="1"/>
  <c r="AC513" i="2"/>
  <c r="AD513" i="2" s="1"/>
  <c r="G513" i="2"/>
  <c r="E513" i="2"/>
  <c r="D513" i="2"/>
  <c r="F513" i="2" s="1"/>
  <c r="AB513" i="2" s="1"/>
  <c r="V513" i="2"/>
  <c r="C514" i="2"/>
  <c r="W511" i="2"/>
  <c r="B512" i="2"/>
  <c r="DZ512" i="2"/>
  <c r="DB512" i="2"/>
  <c r="CD512" i="2"/>
  <c r="BF512" i="2"/>
  <c r="AH512" i="2"/>
  <c r="DX512" i="2"/>
  <c r="CZ512" i="2"/>
  <c r="CB512" i="2"/>
  <c r="BD512" i="2"/>
  <c r="DV512" i="2"/>
  <c r="CX512" i="2"/>
  <c r="BZ512" i="2"/>
  <c r="BB512" i="2"/>
  <c r="DT512" i="2"/>
  <c r="CV512" i="2"/>
  <c r="BX512" i="2"/>
  <c r="AZ512" i="2"/>
  <c r="DR512" i="2"/>
  <c r="CT512" i="2"/>
  <c r="BV512" i="2"/>
  <c r="AX512" i="2"/>
  <c r="DP512" i="2"/>
  <c r="CR512" i="2"/>
  <c r="BT512" i="2"/>
  <c r="AV512" i="2"/>
  <c r="DN512" i="2"/>
  <c r="CP512" i="2"/>
  <c r="BR512" i="2"/>
  <c r="AT512" i="2"/>
  <c r="A512" i="2"/>
  <c r="DL512" i="2"/>
  <c r="CN512" i="2"/>
  <c r="BP512" i="2"/>
  <c r="AR512" i="2"/>
  <c r="DJ512" i="2"/>
  <c r="CL512" i="2"/>
  <c r="BN512" i="2"/>
  <c r="AP512" i="2"/>
  <c r="S512" i="2"/>
  <c r="T512" i="2" s="1"/>
  <c r="DH512" i="2"/>
  <c r="CJ512" i="2"/>
  <c r="BL512" i="2"/>
  <c r="AN512" i="2"/>
  <c r="DF512" i="2"/>
  <c r="CH512" i="2"/>
  <c r="BJ512" i="2"/>
  <c r="AL512" i="2"/>
  <c r="CF512" i="2"/>
  <c r="BH512" i="2"/>
  <c r="AJ512" i="2"/>
  <c r="EB512" i="2"/>
  <c r="DD512" i="2"/>
  <c r="M31" i="58" l="1"/>
  <c r="N31" i="58" s="1"/>
  <c r="N30" i="58"/>
  <c r="L57" i="58"/>
  <c r="C515" i="2"/>
  <c r="G514" i="2"/>
  <c r="AC514" i="2"/>
  <c r="AD514" i="2" s="1"/>
  <c r="E514" i="2"/>
  <c r="D514" i="2"/>
  <c r="F514" i="2" s="1"/>
  <c r="AB514" i="2" s="1"/>
  <c r="V514" i="2"/>
  <c r="W512" i="2"/>
  <c r="B513" i="2"/>
  <c r="DF513" i="2"/>
  <c r="CH513" i="2"/>
  <c r="BJ513" i="2"/>
  <c r="AL513" i="2"/>
  <c r="S513" i="2"/>
  <c r="T513" i="2" s="1"/>
  <c r="EB513" i="2"/>
  <c r="DD513" i="2"/>
  <c r="CF513" i="2"/>
  <c r="BH513" i="2"/>
  <c r="AJ513" i="2"/>
  <c r="DZ513" i="2"/>
  <c r="DB513" i="2"/>
  <c r="CD513" i="2"/>
  <c r="BF513" i="2"/>
  <c r="AH513" i="2"/>
  <c r="DX513" i="2"/>
  <c r="CZ513" i="2"/>
  <c r="CB513" i="2"/>
  <c r="BD513" i="2"/>
  <c r="DV513" i="2"/>
  <c r="CX513" i="2"/>
  <c r="BZ513" i="2"/>
  <c r="BB513" i="2"/>
  <c r="DT513" i="2"/>
  <c r="CV513" i="2"/>
  <c r="BX513" i="2"/>
  <c r="AZ513" i="2"/>
  <c r="DR513" i="2"/>
  <c r="CT513" i="2"/>
  <c r="BV513" i="2"/>
  <c r="AX513" i="2"/>
  <c r="DP513" i="2"/>
  <c r="CR513" i="2"/>
  <c r="BT513" i="2"/>
  <c r="AV513" i="2"/>
  <c r="DN513" i="2"/>
  <c r="CP513" i="2"/>
  <c r="BR513" i="2"/>
  <c r="AT513" i="2"/>
  <c r="DL513" i="2"/>
  <c r="CN513" i="2"/>
  <c r="BP513" i="2"/>
  <c r="AR513" i="2"/>
  <c r="DJ513" i="2"/>
  <c r="CL513" i="2"/>
  <c r="BN513" i="2"/>
  <c r="AP513" i="2"/>
  <c r="A513" i="2"/>
  <c r="DH513" i="2"/>
  <c r="CJ513" i="2"/>
  <c r="BL513" i="2"/>
  <c r="AN513" i="2"/>
  <c r="M26" i="58"/>
  <c r="M57" i="58" s="1"/>
  <c r="N8" i="58"/>
  <c r="N57" i="58" l="1"/>
  <c r="W513" i="2"/>
  <c r="B514" i="2"/>
  <c r="DL514" i="2"/>
  <c r="CN514" i="2"/>
  <c r="BP514" i="2"/>
  <c r="AR514" i="2"/>
  <c r="A514" i="2"/>
  <c r="DJ514" i="2"/>
  <c r="CL514" i="2"/>
  <c r="BN514" i="2"/>
  <c r="AP514" i="2"/>
  <c r="DH514" i="2"/>
  <c r="CJ514" i="2"/>
  <c r="BL514" i="2"/>
  <c r="S514" i="2"/>
  <c r="T514" i="2" s="1"/>
  <c r="DF514" i="2"/>
  <c r="CH514" i="2"/>
  <c r="BJ514" i="2"/>
  <c r="AN514" i="2"/>
  <c r="EB514" i="2"/>
  <c r="DD514" i="2"/>
  <c r="CF514" i="2"/>
  <c r="BH514" i="2"/>
  <c r="AL514" i="2"/>
  <c r="DZ514" i="2"/>
  <c r="DB514" i="2"/>
  <c r="CD514" i="2"/>
  <c r="BF514" i="2"/>
  <c r="AJ514" i="2"/>
  <c r="DX514" i="2"/>
  <c r="CZ514" i="2"/>
  <c r="CB514" i="2"/>
  <c r="BD514" i="2"/>
  <c r="AH514" i="2"/>
  <c r="DV514" i="2"/>
  <c r="CX514" i="2"/>
  <c r="BZ514" i="2"/>
  <c r="BB514" i="2"/>
  <c r="DT514" i="2"/>
  <c r="CV514" i="2"/>
  <c r="BX514" i="2"/>
  <c r="AZ514" i="2"/>
  <c r="DR514" i="2"/>
  <c r="CT514" i="2"/>
  <c r="BV514" i="2"/>
  <c r="AX514" i="2"/>
  <c r="DP514" i="2"/>
  <c r="CR514" i="2"/>
  <c r="BT514" i="2"/>
  <c r="AV514" i="2"/>
  <c r="DN514" i="2"/>
  <c r="CP514" i="2"/>
  <c r="BR514" i="2"/>
  <c r="AT514" i="2"/>
  <c r="N26" i="58"/>
  <c r="D515" i="2"/>
  <c r="V515" i="2"/>
  <c r="C516" i="2"/>
  <c r="G515" i="2"/>
  <c r="E515" i="2"/>
  <c r="AC515" i="2"/>
  <c r="AD515" i="2" s="1"/>
  <c r="F515" i="2" l="1"/>
  <c r="AB515" i="2" s="1"/>
  <c r="C27" i="58"/>
  <c r="B27" i="58"/>
  <c r="G27" i="58"/>
  <c r="M27" i="58"/>
  <c r="F27" i="58"/>
  <c r="H27" i="58"/>
  <c r="I27" i="58"/>
  <c r="D27" i="58"/>
  <c r="E27" i="58"/>
  <c r="L27" i="58"/>
  <c r="J27" i="58"/>
  <c r="K27" i="58"/>
  <c r="W514" i="2"/>
  <c r="B515" i="2"/>
  <c r="G516" i="2"/>
  <c r="AC516" i="2"/>
  <c r="AD516" i="2" s="1"/>
  <c r="E516" i="2"/>
  <c r="D516" i="2"/>
  <c r="F516" i="2" s="1"/>
  <c r="AB516" i="2" s="1"/>
  <c r="V516" i="2"/>
  <c r="C517" i="2"/>
  <c r="H60" i="58"/>
  <c r="B60" i="58"/>
  <c r="DT515" i="2"/>
  <c r="CV515" i="2"/>
  <c r="BX515" i="2"/>
  <c r="AZ515" i="2"/>
  <c r="DR515" i="2"/>
  <c r="CT515" i="2"/>
  <c r="BV515" i="2"/>
  <c r="AX515" i="2"/>
  <c r="DP515" i="2"/>
  <c r="CR515" i="2"/>
  <c r="BT515" i="2"/>
  <c r="AV515" i="2"/>
  <c r="DN515" i="2"/>
  <c r="CP515" i="2"/>
  <c r="BR515" i="2"/>
  <c r="AT515" i="2"/>
  <c r="A515" i="2"/>
  <c r="DL515" i="2"/>
  <c r="CN515" i="2"/>
  <c r="BP515" i="2"/>
  <c r="AR515" i="2"/>
  <c r="DJ515" i="2"/>
  <c r="CL515" i="2"/>
  <c r="BN515" i="2"/>
  <c r="AP515" i="2"/>
  <c r="S515" i="2"/>
  <c r="T515" i="2" s="1"/>
  <c r="DH515" i="2"/>
  <c r="CJ515" i="2"/>
  <c r="BL515" i="2"/>
  <c r="AN515" i="2"/>
  <c r="DF515" i="2"/>
  <c r="CH515" i="2"/>
  <c r="BJ515" i="2"/>
  <c r="AL515" i="2"/>
  <c r="EB515" i="2"/>
  <c r="DD515" i="2"/>
  <c r="CF515" i="2"/>
  <c r="BH515" i="2"/>
  <c r="AJ515" i="2"/>
  <c r="DZ515" i="2"/>
  <c r="DB515" i="2"/>
  <c r="CD515" i="2"/>
  <c r="BF515" i="2"/>
  <c r="AH515" i="2"/>
  <c r="DX515" i="2"/>
  <c r="CZ515" i="2"/>
  <c r="CB515" i="2"/>
  <c r="BD515" i="2"/>
  <c r="DV515" i="2"/>
  <c r="CX515" i="2"/>
  <c r="BZ515" i="2"/>
  <c r="BB515" i="2"/>
  <c r="K28" i="58" l="1"/>
  <c r="K58" i="58" s="1"/>
  <c r="K59" i="58" s="1"/>
  <c r="E28" i="58"/>
  <c r="E58" i="58" s="1"/>
  <c r="E59" i="58" s="1"/>
  <c r="D28" i="58"/>
  <c r="D58" i="58" s="1"/>
  <c r="D59" i="58" s="1"/>
  <c r="I28" i="58"/>
  <c r="I58" i="58" s="1"/>
  <c r="I59" i="58" s="1"/>
  <c r="H28" i="58"/>
  <c r="H58" i="58" s="1"/>
  <c r="H59" i="58" s="1"/>
  <c r="F28" i="58"/>
  <c r="F40" i="58" s="1"/>
  <c r="F41" i="58" s="1"/>
  <c r="F53" i="58" s="1"/>
  <c r="L28" i="58"/>
  <c r="L58" i="58" s="1"/>
  <c r="L59" i="58" s="1"/>
  <c r="M28" i="58"/>
  <c r="M58" i="58" s="1"/>
  <c r="M59" i="58" s="1"/>
  <c r="G28" i="58"/>
  <c r="G58" i="58" s="1"/>
  <c r="G59" i="58" s="1"/>
  <c r="J28" i="58"/>
  <c r="J58" i="58" s="1"/>
  <c r="J59" i="58" s="1"/>
  <c r="N27" i="58"/>
  <c r="B28" i="58"/>
  <c r="B58" i="58" s="1"/>
  <c r="C28" i="58"/>
  <c r="C40" i="58" s="1"/>
  <c r="C41" i="58" s="1"/>
  <c r="C53" i="58" s="1"/>
  <c r="C518" i="2"/>
  <c r="G517" i="2"/>
  <c r="AC517" i="2"/>
  <c r="AD517" i="2" s="1"/>
  <c r="E517" i="2"/>
  <c r="D517" i="2"/>
  <c r="F517" i="2" s="1"/>
  <c r="AB517" i="2" s="1"/>
  <c r="V517" i="2"/>
  <c r="W515" i="2"/>
  <c r="B516" i="2"/>
  <c r="EB516" i="2"/>
  <c r="DD516" i="2"/>
  <c r="CF516" i="2"/>
  <c r="BH516" i="2"/>
  <c r="AJ516" i="2"/>
  <c r="DZ516" i="2"/>
  <c r="DB516" i="2"/>
  <c r="CD516" i="2"/>
  <c r="BF516" i="2"/>
  <c r="AH516" i="2"/>
  <c r="DX516" i="2"/>
  <c r="CZ516" i="2"/>
  <c r="CB516" i="2"/>
  <c r="BD516" i="2"/>
  <c r="DV516" i="2"/>
  <c r="CX516" i="2"/>
  <c r="BZ516" i="2"/>
  <c r="BB516" i="2"/>
  <c r="DT516" i="2"/>
  <c r="CV516" i="2"/>
  <c r="BX516" i="2"/>
  <c r="AZ516" i="2"/>
  <c r="DR516" i="2"/>
  <c r="CT516" i="2"/>
  <c r="BV516" i="2"/>
  <c r="AX516" i="2"/>
  <c r="DP516" i="2"/>
  <c r="CR516" i="2"/>
  <c r="BT516" i="2"/>
  <c r="AV516" i="2"/>
  <c r="DN516" i="2"/>
  <c r="CP516" i="2"/>
  <c r="BR516" i="2"/>
  <c r="AT516" i="2"/>
  <c r="A516" i="2"/>
  <c r="DL516" i="2"/>
  <c r="CN516" i="2"/>
  <c r="BP516" i="2"/>
  <c r="AR516" i="2"/>
  <c r="DJ516" i="2"/>
  <c r="CL516" i="2"/>
  <c r="BN516" i="2"/>
  <c r="AP516" i="2"/>
  <c r="S516" i="2"/>
  <c r="T516" i="2" s="1"/>
  <c r="DH516" i="2"/>
  <c r="CJ516" i="2"/>
  <c r="BL516" i="2"/>
  <c r="AN516" i="2"/>
  <c r="DF516" i="2"/>
  <c r="CH516" i="2"/>
  <c r="BJ516" i="2"/>
  <c r="AL516" i="2"/>
  <c r="E40" i="58" l="1"/>
  <c r="E41" i="58" s="1"/>
  <c r="E53" i="58" s="1"/>
  <c r="D40" i="58"/>
  <c r="D41" i="58" s="1"/>
  <c r="D53" i="58" s="1"/>
  <c r="F58" i="58"/>
  <c r="F59" i="58" s="1"/>
  <c r="H40" i="58"/>
  <c r="H41" i="58" s="1"/>
  <c r="H53" i="58" s="1"/>
  <c r="J40" i="58"/>
  <c r="J41" i="58" s="1"/>
  <c r="J53" i="58" s="1"/>
  <c r="K40" i="58"/>
  <c r="K41" i="58" s="1"/>
  <c r="K53" i="58" s="1"/>
  <c r="G40" i="58"/>
  <c r="G41" i="58" s="1"/>
  <c r="G53" i="58" s="1"/>
  <c r="B59" i="58"/>
  <c r="I40" i="58"/>
  <c r="I41" i="58" s="1"/>
  <c r="I53" i="58" s="1"/>
  <c r="M40" i="58"/>
  <c r="L40" i="58"/>
  <c r="L41" i="58" s="1"/>
  <c r="L53" i="58" s="1"/>
  <c r="N28" i="58"/>
  <c r="B40" i="58"/>
  <c r="B41" i="58" s="1"/>
  <c r="C58" i="58"/>
  <c r="C59" i="58" s="1"/>
  <c r="W516" i="2"/>
  <c r="B517" i="2"/>
  <c r="DL517" i="2"/>
  <c r="CN517" i="2"/>
  <c r="BP517" i="2"/>
  <c r="AR517" i="2"/>
  <c r="DJ517" i="2"/>
  <c r="CL517" i="2"/>
  <c r="BN517" i="2"/>
  <c r="AP517" i="2"/>
  <c r="S517" i="2"/>
  <c r="T517" i="2" s="1"/>
  <c r="DH517" i="2"/>
  <c r="CJ517" i="2"/>
  <c r="BL517" i="2"/>
  <c r="AN517" i="2"/>
  <c r="DF517" i="2"/>
  <c r="CH517" i="2"/>
  <c r="BJ517" i="2"/>
  <c r="AL517" i="2"/>
  <c r="EB517" i="2"/>
  <c r="DD517" i="2"/>
  <c r="CF517" i="2"/>
  <c r="BH517" i="2"/>
  <c r="AJ517" i="2"/>
  <c r="DZ517" i="2"/>
  <c r="DB517" i="2"/>
  <c r="CD517" i="2"/>
  <c r="BF517" i="2"/>
  <c r="AH517" i="2"/>
  <c r="DX517" i="2"/>
  <c r="CZ517" i="2"/>
  <c r="CB517" i="2"/>
  <c r="BD517" i="2"/>
  <c r="DV517" i="2"/>
  <c r="CX517" i="2"/>
  <c r="BZ517" i="2"/>
  <c r="BB517" i="2"/>
  <c r="DT517" i="2"/>
  <c r="CV517" i="2"/>
  <c r="BX517" i="2"/>
  <c r="AZ517" i="2"/>
  <c r="DR517" i="2"/>
  <c r="CT517" i="2"/>
  <c r="BV517" i="2"/>
  <c r="AX517" i="2"/>
  <c r="DP517" i="2"/>
  <c r="CR517" i="2"/>
  <c r="BT517" i="2"/>
  <c r="AV517" i="2"/>
  <c r="BR517" i="2"/>
  <c r="AT517" i="2"/>
  <c r="A517" i="2"/>
  <c r="DN517" i="2"/>
  <c r="CP517" i="2"/>
  <c r="C519" i="2"/>
  <c r="D518" i="2"/>
  <c r="V518" i="2"/>
  <c r="G518" i="2"/>
  <c r="AC518" i="2"/>
  <c r="AD518" i="2" s="1"/>
  <c r="E518" i="2"/>
  <c r="B53" i="58" l="1"/>
  <c r="N40" i="58"/>
  <c r="M41" i="58"/>
  <c r="M53" i="58" s="1"/>
  <c r="N58" i="58"/>
  <c r="N59" i="58" s="1"/>
  <c r="F60" i="58" s="1"/>
  <c r="DH518" i="2"/>
  <c r="CJ518" i="2"/>
  <c r="EB518" i="2"/>
  <c r="DD518" i="2"/>
  <c r="CF518" i="2"/>
  <c r="BH518" i="2"/>
  <c r="DX518" i="2"/>
  <c r="DT518" i="2"/>
  <c r="CV518" i="2"/>
  <c r="BX518" i="2"/>
  <c r="DR518" i="2"/>
  <c r="CT518" i="2"/>
  <c r="BV518" i="2"/>
  <c r="AX518" i="2"/>
  <c r="DJ518" i="2"/>
  <c r="DV518" i="2"/>
  <c r="CH518" i="2"/>
  <c r="BB518" i="2"/>
  <c r="DP518" i="2"/>
  <c r="CD518" i="2"/>
  <c r="AZ518" i="2"/>
  <c r="DN518" i="2"/>
  <c r="CB518" i="2"/>
  <c r="AV518" i="2"/>
  <c r="DL518" i="2"/>
  <c r="BZ518" i="2"/>
  <c r="AT518" i="2"/>
  <c r="A518" i="2"/>
  <c r="DF518" i="2"/>
  <c r="BT518" i="2"/>
  <c r="AR518" i="2"/>
  <c r="DB518" i="2"/>
  <c r="BR518" i="2"/>
  <c r="AP518" i="2"/>
  <c r="S518" i="2"/>
  <c r="T518" i="2" s="1"/>
  <c r="CZ518" i="2"/>
  <c r="BP518" i="2"/>
  <c r="AN518" i="2"/>
  <c r="CX518" i="2"/>
  <c r="BN518" i="2"/>
  <c r="AL518" i="2"/>
  <c r="CR518" i="2"/>
  <c r="BL518" i="2"/>
  <c r="AJ518" i="2"/>
  <c r="CP518" i="2"/>
  <c r="BJ518" i="2"/>
  <c r="AH518" i="2"/>
  <c r="CN518" i="2"/>
  <c r="BF518" i="2"/>
  <c r="DZ518" i="2"/>
  <c r="CL518" i="2"/>
  <c r="BD518" i="2"/>
  <c r="F518" i="2"/>
  <c r="AB518" i="2" s="1"/>
  <c r="V519" i="2"/>
  <c r="G519" i="2"/>
  <c r="AC519" i="2"/>
  <c r="AD519" i="2" s="1"/>
  <c r="C520" i="2"/>
  <c r="E519" i="2"/>
  <c r="D519" i="2"/>
  <c r="F519" i="2" s="1"/>
  <c r="AB519" i="2" s="1"/>
  <c r="W517" i="2"/>
  <c r="B518" i="2"/>
  <c r="I60" i="58" l="1"/>
  <c r="G60" i="58"/>
  <c r="N41" i="58"/>
  <c r="N53" i="58" s="1"/>
  <c r="AC520" i="2"/>
  <c r="AD520" i="2" s="1"/>
  <c r="E520" i="2"/>
  <c r="D520" i="2"/>
  <c r="F520" i="2" s="1"/>
  <c r="AB520" i="2" s="1"/>
  <c r="V520" i="2"/>
  <c r="C521" i="2"/>
  <c r="G520" i="2"/>
  <c r="DP519" i="2"/>
  <c r="CR519" i="2"/>
  <c r="BT519" i="2"/>
  <c r="AV519" i="2"/>
  <c r="DN519" i="2"/>
  <c r="CP519" i="2"/>
  <c r="BR519" i="2"/>
  <c r="AT519" i="2"/>
  <c r="DL519" i="2"/>
  <c r="CN519" i="2"/>
  <c r="BP519" i="2"/>
  <c r="AR519" i="2"/>
  <c r="DH519" i="2"/>
  <c r="CJ519" i="2"/>
  <c r="BL519" i="2"/>
  <c r="AN519" i="2"/>
  <c r="EB519" i="2"/>
  <c r="DD519" i="2"/>
  <c r="CF519" i="2"/>
  <c r="BH519" i="2"/>
  <c r="AJ519" i="2"/>
  <c r="DZ519" i="2"/>
  <c r="DB519" i="2"/>
  <c r="CD519" i="2"/>
  <c r="BF519" i="2"/>
  <c r="AH519" i="2"/>
  <c r="DR519" i="2"/>
  <c r="CT519" i="2"/>
  <c r="BV519" i="2"/>
  <c r="AX519" i="2"/>
  <c r="CH519" i="2"/>
  <c r="CB519" i="2"/>
  <c r="BZ519" i="2"/>
  <c r="DX519" i="2"/>
  <c r="BX519" i="2"/>
  <c r="S519" i="2"/>
  <c r="T519" i="2" s="1"/>
  <c r="DV519" i="2"/>
  <c r="BN519" i="2"/>
  <c r="DT519" i="2"/>
  <c r="BJ519" i="2"/>
  <c r="DJ519" i="2"/>
  <c r="BD519" i="2"/>
  <c r="DF519" i="2"/>
  <c r="BB519" i="2"/>
  <c r="CZ519" i="2"/>
  <c r="AZ519" i="2"/>
  <c r="CX519" i="2"/>
  <c r="AP519" i="2"/>
  <c r="CV519" i="2"/>
  <c r="AL519" i="2"/>
  <c r="A519" i="2"/>
  <c r="CL519" i="2"/>
  <c r="W518" i="2"/>
  <c r="B519" i="2"/>
  <c r="DX520" i="2" l="1"/>
  <c r="CZ520" i="2"/>
  <c r="CB520" i="2"/>
  <c r="BD520" i="2"/>
  <c r="DV520" i="2"/>
  <c r="CX520" i="2"/>
  <c r="BZ520" i="2"/>
  <c r="BB520" i="2"/>
  <c r="DT520" i="2"/>
  <c r="CV520" i="2"/>
  <c r="BX520" i="2"/>
  <c r="AZ520" i="2"/>
  <c r="DR520" i="2"/>
  <c r="CT520" i="2"/>
  <c r="BV520" i="2"/>
  <c r="AX520" i="2"/>
  <c r="DP520" i="2"/>
  <c r="CR520" i="2"/>
  <c r="BT520" i="2"/>
  <c r="AV520" i="2"/>
  <c r="DL520" i="2"/>
  <c r="CN520" i="2"/>
  <c r="BP520" i="2"/>
  <c r="AR520" i="2"/>
  <c r="DJ520" i="2"/>
  <c r="CL520" i="2"/>
  <c r="BN520" i="2"/>
  <c r="AP520" i="2"/>
  <c r="S520" i="2"/>
  <c r="T520" i="2" s="1"/>
  <c r="DH520" i="2"/>
  <c r="CJ520" i="2"/>
  <c r="BL520" i="2"/>
  <c r="DF520" i="2"/>
  <c r="CH520" i="2"/>
  <c r="BJ520" i="2"/>
  <c r="AL520" i="2"/>
  <c r="DZ520" i="2"/>
  <c r="DB520" i="2"/>
  <c r="CD520" i="2"/>
  <c r="BF520" i="2"/>
  <c r="AH520" i="2"/>
  <c r="DD520" i="2"/>
  <c r="CP520" i="2"/>
  <c r="CF520" i="2"/>
  <c r="A520" i="2"/>
  <c r="BR520" i="2"/>
  <c r="BH520" i="2"/>
  <c r="AT520" i="2"/>
  <c r="AN520" i="2"/>
  <c r="AJ520" i="2"/>
  <c r="EB520" i="2"/>
  <c r="DN520" i="2"/>
  <c r="G521" i="2"/>
  <c r="D521" i="2"/>
  <c r="V521" i="2"/>
  <c r="C522" i="2"/>
  <c r="AC521" i="2"/>
  <c r="AD521" i="2" s="1"/>
  <c r="E521" i="2"/>
  <c r="W519" i="2"/>
  <c r="B520" i="2"/>
  <c r="V522" i="2" l="1"/>
  <c r="C523" i="2"/>
  <c r="G522" i="2"/>
  <c r="AC522" i="2"/>
  <c r="AD522" i="2" s="1"/>
  <c r="E522" i="2"/>
  <c r="D522" i="2"/>
  <c r="F522" i="2" s="1"/>
  <c r="AB522" i="2" s="1"/>
  <c r="W520" i="2"/>
  <c r="B521" i="2"/>
  <c r="F521" i="2"/>
  <c r="AB521" i="2" s="1"/>
  <c r="DH521" i="2"/>
  <c r="CJ521" i="2"/>
  <c r="BL521" i="2"/>
  <c r="AN521" i="2"/>
  <c r="DF521" i="2"/>
  <c r="CH521" i="2"/>
  <c r="BJ521" i="2"/>
  <c r="AL521" i="2"/>
  <c r="EB521" i="2"/>
  <c r="DD521" i="2"/>
  <c r="CF521" i="2"/>
  <c r="BH521" i="2"/>
  <c r="AJ521" i="2"/>
  <c r="DZ521" i="2"/>
  <c r="DB521" i="2"/>
  <c r="CD521" i="2"/>
  <c r="BF521" i="2"/>
  <c r="AH521" i="2"/>
  <c r="DX521" i="2"/>
  <c r="CZ521" i="2"/>
  <c r="CB521" i="2"/>
  <c r="BD521" i="2"/>
  <c r="DT521" i="2"/>
  <c r="CV521" i="2"/>
  <c r="BX521" i="2"/>
  <c r="AZ521" i="2"/>
  <c r="DR521" i="2"/>
  <c r="CT521" i="2"/>
  <c r="BV521" i="2"/>
  <c r="AX521" i="2"/>
  <c r="DP521" i="2"/>
  <c r="CR521" i="2"/>
  <c r="BT521" i="2"/>
  <c r="AV521" i="2"/>
  <c r="DN521" i="2"/>
  <c r="CP521" i="2"/>
  <c r="BR521" i="2"/>
  <c r="AT521" i="2"/>
  <c r="A521" i="2"/>
  <c r="DJ521" i="2"/>
  <c r="CL521" i="2"/>
  <c r="BN521" i="2"/>
  <c r="AP521" i="2"/>
  <c r="S521" i="2"/>
  <c r="T521" i="2" s="1"/>
  <c r="BP521" i="2"/>
  <c r="BB521" i="2"/>
  <c r="AR521" i="2"/>
  <c r="DV521" i="2"/>
  <c r="DL521" i="2"/>
  <c r="CX521" i="2"/>
  <c r="CN521" i="2"/>
  <c r="BZ521" i="2"/>
  <c r="DP522" i="2" l="1"/>
  <c r="CR522" i="2"/>
  <c r="BT522" i="2"/>
  <c r="AV522" i="2"/>
  <c r="DN522" i="2"/>
  <c r="CP522" i="2"/>
  <c r="BR522" i="2"/>
  <c r="AT522" i="2"/>
  <c r="A522" i="2"/>
  <c r="DL522" i="2"/>
  <c r="CN522" i="2"/>
  <c r="BP522" i="2"/>
  <c r="AR522" i="2"/>
  <c r="DJ522" i="2"/>
  <c r="CL522" i="2"/>
  <c r="BN522" i="2"/>
  <c r="AP522" i="2"/>
  <c r="S522" i="2"/>
  <c r="T522" i="2" s="1"/>
  <c r="DH522" i="2"/>
  <c r="CJ522" i="2"/>
  <c r="BL522" i="2"/>
  <c r="AN522" i="2"/>
  <c r="EB522" i="2"/>
  <c r="DD522" i="2"/>
  <c r="CF522" i="2"/>
  <c r="BH522" i="2"/>
  <c r="AJ522" i="2"/>
  <c r="DZ522" i="2"/>
  <c r="DB522" i="2"/>
  <c r="CD522" i="2"/>
  <c r="BF522" i="2"/>
  <c r="AH522" i="2"/>
  <c r="DX522" i="2"/>
  <c r="CZ522" i="2"/>
  <c r="CB522" i="2"/>
  <c r="BD522" i="2"/>
  <c r="DV522" i="2"/>
  <c r="CX522" i="2"/>
  <c r="BZ522" i="2"/>
  <c r="BB522" i="2"/>
  <c r="DR522" i="2"/>
  <c r="CT522" i="2"/>
  <c r="BV522" i="2"/>
  <c r="AX522" i="2"/>
  <c r="AL522" i="2"/>
  <c r="DT522" i="2"/>
  <c r="DF522" i="2"/>
  <c r="CV522" i="2"/>
  <c r="CH522" i="2"/>
  <c r="BX522" i="2"/>
  <c r="BJ522" i="2"/>
  <c r="AZ522" i="2"/>
  <c r="AC523" i="2"/>
  <c r="AD523" i="2" s="1"/>
  <c r="E523" i="2"/>
  <c r="D523" i="2"/>
  <c r="F523" i="2" s="1"/>
  <c r="AB523" i="2" s="1"/>
  <c r="V523" i="2"/>
  <c r="C524" i="2"/>
  <c r="G523" i="2"/>
  <c r="W521" i="2"/>
  <c r="B522" i="2"/>
  <c r="DX523" i="2" l="1"/>
  <c r="CZ523" i="2"/>
  <c r="CB523" i="2"/>
  <c r="BD523" i="2"/>
  <c r="DV523" i="2"/>
  <c r="CX523" i="2"/>
  <c r="BZ523" i="2"/>
  <c r="BB523" i="2"/>
  <c r="DT523" i="2"/>
  <c r="CV523" i="2"/>
  <c r="BX523" i="2"/>
  <c r="AZ523" i="2"/>
  <c r="DR523" i="2"/>
  <c r="CT523" i="2"/>
  <c r="BV523" i="2"/>
  <c r="AX523" i="2"/>
  <c r="DP523" i="2"/>
  <c r="CR523" i="2"/>
  <c r="BT523" i="2"/>
  <c r="AV523" i="2"/>
  <c r="DL523" i="2"/>
  <c r="CN523" i="2"/>
  <c r="BP523" i="2"/>
  <c r="AR523" i="2"/>
  <c r="DJ523" i="2"/>
  <c r="CL523" i="2"/>
  <c r="BN523" i="2"/>
  <c r="AP523" i="2"/>
  <c r="S523" i="2"/>
  <c r="T523" i="2" s="1"/>
  <c r="DH523" i="2"/>
  <c r="CJ523" i="2"/>
  <c r="BL523" i="2"/>
  <c r="AN523" i="2"/>
  <c r="DF523" i="2"/>
  <c r="CH523" i="2"/>
  <c r="BJ523" i="2"/>
  <c r="AL523" i="2"/>
  <c r="DZ523" i="2"/>
  <c r="DB523" i="2"/>
  <c r="CD523" i="2"/>
  <c r="BF523" i="2"/>
  <c r="AH523" i="2"/>
  <c r="EB523" i="2"/>
  <c r="DN523" i="2"/>
  <c r="A523" i="2"/>
  <c r="DD523" i="2"/>
  <c r="CP523" i="2"/>
  <c r="CF523" i="2"/>
  <c r="BR523" i="2"/>
  <c r="BH523" i="2"/>
  <c r="AT523" i="2"/>
  <c r="AJ523" i="2"/>
  <c r="G524" i="2"/>
  <c r="D524" i="2"/>
  <c r="V524" i="2"/>
  <c r="C525" i="2"/>
  <c r="E524" i="2"/>
  <c r="AC524" i="2"/>
  <c r="AD524" i="2" s="1"/>
  <c r="W522" i="2"/>
  <c r="B523" i="2"/>
  <c r="V525" i="2" l="1"/>
  <c r="C526" i="2"/>
  <c r="AC525" i="2"/>
  <c r="AD525" i="2" s="1"/>
  <c r="G525" i="2"/>
  <c r="E525" i="2"/>
  <c r="D525" i="2"/>
  <c r="F525" i="2" s="1"/>
  <c r="AB525" i="2" s="1"/>
  <c r="W523" i="2"/>
  <c r="B524" i="2"/>
  <c r="DH524" i="2"/>
  <c r="CJ524" i="2"/>
  <c r="BL524" i="2"/>
  <c r="AN524" i="2"/>
  <c r="DF524" i="2"/>
  <c r="CH524" i="2"/>
  <c r="BJ524" i="2"/>
  <c r="AL524" i="2"/>
  <c r="EB524" i="2"/>
  <c r="DD524" i="2"/>
  <c r="CF524" i="2"/>
  <c r="BH524" i="2"/>
  <c r="AJ524" i="2"/>
  <c r="DZ524" i="2"/>
  <c r="DB524" i="2"/>
  <c r="CD524" i="2"/>
  <c r="BF524" i="2"/>
  <c r="AH524" i="2"/>
  <c r="DX524" i="2"/>
  <c r="CZ524" i="2"/>
  <c r="CB524" i="2"/>
  <c r="BD524" i="2"/>
  <c r="DV524" i="2"/>
  <c r="DT524" i="2"/>
  <c r="CV524" i="2"/>
  <c r="BX524" i="2"/>
  <c r="AZ524" i="2"/>
  <c r="DR524" i="2"/>
  <c r="CT524" i="2"/>
  <c r="BV524" i="2"/>
  <c r="AX524" i="2"/>
  <c r="DP524" i="2"/>
  <c r="CR524" i="2"/>
  <c r="BT524" i="2"/>
  <c r="AV524" i="2"/>
  <c r="DN524" i="2"/>
  <c r="CP524" i="2"/>
  <c r="BR524" i="2"/>
  <c r="AT524" i="2"/>
  <c r="A524" i="2"/>
  <c r="DJ524" i="2"/>
  <c r="CL524" i="2"/>
  <c r="BN524" i="2"/>
  <c r="AP524" i="2"/>
  <c r="S524" i="2"/>
  <c r="T524" i="2" s="1"/>
  <c r="DL524" i="2"/>
  <c r="CX524" i="2"/>
  <c r="CN524" i="2"/>
  <c r="BZ524" i="2"/>
  <c r="BP524" i="2"/>
  <c r="BB524" i="2"/>
  <c r="AR524" i="2"/>
  <c r="F524" i="2"/>
  <c r="AB524" i="2" s="1"/>
  <c r="DL525" i="2" l="1"/>
  <c r="CN525" i="2"/>
  <c r="BP525" i="2"/>
  <c r="AR525" i="2"/>
  <c r="DJ525" i="2"/>
  <c r="CL525" i="2"/>
  <c r="BN525" i="2"/>
  <c r="AP525" i="2"/>
  <c r="A525" i="2"/>
  <c r="DH525" i="2"/>
  <c r="CJ525" i="2"/>
  <c r="BL525" i="2"/>
  <c r="AN525" i="2"/>
  <c r="DF525" i="2"/>
  <c r="CH525" i="2"/>
  <c r="BJ525" i="2"/>
  <c r="AL525" i="2"/>
  <c r="S525" i="2"/>
  <c r="T525" i="2" s="1"/>
  <c r="EB525" i="2"/>
  <c r="DD525" i="2"/>
  <c r="CF525" i="2"/>
  <c r="BH525" i="2"/>
  <c r="AJ525" i="2"/>
  <c r="DZ525" i="2"/>
  <c r="DB525" i="2"/>
  <c r="CD525" i="2"/>
  <c r="BF525" i="2"/>
  <c r="AH525" i="2"/>
  <c r="DX525" i="2"/>
  <c r="CZ525" i="2"/>
  <c r="CB525" i="2"/>
  <c r="BD525" i="2"/>
  <c r="DV525" i="2"/>
  <c r="CX525" i="2"/>
  <c r="BZ525" i="2"/>
  <c r="BB525" i="2"/>
  <c r="DT525" i="2"/>
  <c r="CV525" i="2"/>
  <c r="BX525" i="2"/>
  <c r="AZ525" i="2"/>
  <c r="DR525" i="2"/>
  <c r="CT525" i="2"/>
  <c r="BV525" i="2"/>
  <c r="AX525" i="2"/>
  <c r="DN525" i="2"/>
  <c r="CP525" i="2"/>
  <c r="BR525" i="2"/>
  <c r="AT525" i="2"/>
  <c r="DP525" i="2"/>
  <c r="CR525" i="2"/>
  <c r="BT525" i="2"/>
  <c r="AV525" i="2"/>
  <c r="D526" i="2"/>
  <c r="V526" i="2"/>
  <c r="C527" i="2"/>
  <c r="G526" i="2"/>
  <c r="AC526" i="2"/>
  <c r="AD526" i="2" s="1"/>
  <c r="E526" i="2"/>
  <c r="W524" i="2"/>
  <c r="B525" i="2"/>
  <c r="W525" i="2" l="1"/>
  <c r="B526" i="2"/>
  <c r="G527" i="2"/>
  <c r="AC527" i="2"/>
  <c r="AD527" i="2" s="1"/>
  <c r="E527" i="2"/>
  <c r="D527" i="2"/>
  <c r="F527" i="2" s="1"/>
  <c r="AB527" i="2" s="1"/>
  <c r="V527" i="2"/>
  <c r="C528" i="2"/>
  <c r="DR526" i="2"/>
  <c r="CT526" i="2"/>
  <c r="BV526" i="2"/>
  <c r="AX526" i="2"/>
  <c r="DP526" i="2"/>
  <c r="CR526" i="2"/>
  <c r="BT526" i="2"/>
  <c r="AV526" i="2"/>
  <c r="DN526" i="2"/>
  <c r="CP526" i="2"/>
  <c r="BR526" i="2"/>
  <c r="AT526" i="2"/>
  <c r="DL526" i="2"/>
  <c r="CN526" i="2"/>
  <c r="BP526" i="2"/>
  <c r="AR526" i="2"/>
  <c r="A526" i="2"/>
  <c r="DJ526" i="2"/>
  <c r="CL526" i="2"/>
  <c r="BN526" i="2"/>
  <c r="AP526" i="2"/>
  <c r="DH526" i="2"/>
  <c r="CJ526" i="2"/>
  <c r="BL526" i="2"/>
  <c r="S526" i="2"/>
  <c r="T526" i="2" s="1"/>
  <c r="DF526" i="2"/>
  <c r="CH526" i="2"/>
  <c r="BJ526" i="2"/>
  <c r="AN526" i="2"/>
  <c r="EB526" i="2"/>
  <c r="DD526" i="2"/>
  <c r="CF526" i="2"/>
  <c r="BH526" i="2"/>
  <c r="AL526" i="2"/>
  <c r="DZ526" i="2"/>
  <c r="DB526" i="2"/>
  <c r="CD526" i="2"/>
  <c r="BF526" i="2"/>
  <c r="AJ526" i="2"/>
  <c r="DX526" i="2"/>
  <c r="CZ526" i="2"/>
  <c r="CB526" i="2"/>
  <c r="BD526" i="2"/>
  <c r="AH526" i="2"/>
  <c r="DT526" i="2"/>
  <c r="CV526" i="2"/>
  <c r="BX526" i="2"/>
  <c r="AZ526" i="2"/>
  <c r="DV526" i="2"/>
  <c r="CX526" i="2"/>
  <c r="BZ526" i="2"/>
  <c r="BB526" i="2"/>
  <c r="F526" i="2"/>
  <c r="AB526" i="2" s="1"/>
  <c r="C529" i="2" l="1"/>
  <c r="G528" i="2"/>
  <c r="AC528" i="2"/>
  <c r="AD528" i="2" s="1"/>
  <c r="E528" i="2"/>
  <c r="D528" i="2"/>
  <c r="F528" i="2" s="1"/>
  <c r="AB528" i="2" s="1"/>
  <c r="V528" i="2"/>
  <c r="W526" i="2"/>
  <c r="B527" i="2"/>
  <c r="DZ527" i="2"/>
  <c r="DB527" i="2"/>
  <c r="CD527" i="2"/>
  <c r="BF527" i="2"/>
  <c r="AH527" i="2"/>
  <c r="DX527" i="2"/>
  <c r="CZ527" i="2"/>
  <c r="CB527" i="2"/>
  <c r="BD527" i="2"/>
  <c r="DV527" i="2"/>
  <c r="CX527" i="2"/>
  <c r="BZ527" i="2"/>
  <c r="BB527" i="2"/>
  <c r="DT527" i="2"/>
  <c r="CV527" i="2"/>
  <c r="BX527" i="2"/>
  <c r="AZ527" i="2"/>
  <c r="DR527" i="2"/>
  <c r="CT527" i="2"/>
  <c r="BV527" i="2"/>
  <c r="AX527" i="2"/>
  <c r="DP527" i="2"/>
  <c r="CR527" i="2"/>
  <c r="BT527" i="2"/>
  <c r="AV527" i="2"/>
  <c r="DN527" i="2"/>
  <c r="CP527" i="2"/>
  <c r="BR527" i="2"/>
  <c r="AT527" i="2"/>
  <c r="A527" i="2"/>
  <c r="DL527" i="2"/>
  <c r="CN527" i="2"/>
  <c r="BP527" i="2"/>
  <c r="AR527" i="2"/>
  <c r="DJ527" i="2"/>
  <c r="CL527" i="2"/>
  <c r="BN527" i="2"/>
  <c r="AP527" i="2"/>
  <c r="S527" i="2"/>
  <c r="T527" i="2" s="1"/>
  <c r="DH527" i="2"/>
  <c r="CJ527" i="2"/>
  <c r="BL527" i="2"/>
  <c r="AN527" i="2"/>
  <c r="EB527" i="2"/>
  <c r="DD527" i="2"/>
  <c r="CF527" i="2"/>
  <c r="BH527" i="2"/>
  <c r="AJ527" i="2"/>
  <c r="DF527" i="2"/>
  <c r="CH527" i="2"/>
  <c r="BJ527" i="2"/>
  <c r="AL527" i="2"/>
  <c r="W527" i="2" l="1"/>
  <c r="B528" i="2"/>
  <c r="DJ528" i="2"/>
  <c r="CL528" i="2"/>
  <c r="BN528" i="2"/>
  <c r="AP528" i="2"/>
  <c r="S528" i="2"/>
  <c r="T528" i="2" s="1"/>
  <c r="DH528" i="2"/>
  <c r="CJ528" i="2"/>
  <c r="BL528" i="2"/>
  <c r="AN528" i="2"/>
  <c r="DF528" i="2"/>
  <c r="CH528" i="2"/>
  <c r="BJ528" i="2"/>
  <c r="AL528" i="2"/>
  <c r="EB528" i="2"/>
  <c r="DD528" i="2"/>
  <c r="CF528" i="2"/>
  <c r="BH528" i="2"/>
  <c r="AJ528" i="2"/>
  <c r="DZ528" i="2"/>
  <c r="DB528" i="2"/>
  <c r="CD528" i="2"/>
  <c r="BF528" i="2"/>
  <c r="AH528" i="2"/>
  <c r="DX528" i="2"/>
  <c r="CZ528" i="2"/>
  <c r="CB528" i="2"/>
  <c r="BD528" i="2"/>
  <c r="DV528" i="2"/>
  <c r="CX528" i="2"/>
  <c r="BZ528" i="2"/>
  <c r="BB528" i="2"/>
  <c r="DT528" i="2"/>
  <c r="CV528" i="2"/>
  <c r="BX528" i="2"/>
  <c r="AZ528" i="2"/>
  <c r="DR528" i="2"/>
  <c r="CT528" i="2"/>
  <c r="BV528" i="2"/>
  <c r="AX528" i="2"/>
  <c r="DP528" i="2"/>
  <c r="CR528" i="2"/>
  <c r="BT528" i="2"/>
  <c r="AV528" i="2"/>
  <c r="DL528" i="2"/>
  <c r="CN528" i="2"/>
  <c r="BP528" i="2"/>
  <c r="AR528" i="2"/>
  <c r="BR528" i="2"/>
  <c r="AT528" i="2"/>
  <c r="A528" i="2"/>
  <c r="DN528" i="2"/>
  <c r="CP528" i="2"/>
  <c r="V529" i="2"/>
  <c r="C530" i="2"/>
  <c r="G529" i="2"/>
  <c r="D529" i="2"/>
  <c r="AC529" i="2"/>
  <c r="AD529" i="2" s="1"/>
  <c r="E529" i="2"/>
  <c r="G530" i="2" l="1"/>
  <c r="AC530" i="2"/>
  <c r="AD530" i="2" s="1"/>
  <c r="E530" i="2"/>
  <c r="D530" i="2"/>
  <c r="V530" i="2"/>
  <c r="C531" i="2"/>
  <c r="F529" i="2"/>
  <c r="AB529" i="2" s="1"/>
  <c r="DR529" i="2"/>
  <c r="CT529" i="2"/>
  <c r="BV529" i="2"/>
  <c r="AX529" i="2"/>
  <c r="DP529" i="2"/>
  <c r="CR529" i="2"/>
  <c r="BT529" i="2"/>
  <c r="AV529" i="2"/>
  <c r="DN529" i="2"/>
  <c r="CP529" i="2"/>
  <c r="BR529" i="2"/>
  <c r="AT529" i="2"/>
  <c r="A529" i="2"/>
  <c r="DL529" i="2"/>
  <c r="CN529" i="2"/>
  <c r="BP529" i="2"/>
  <c r="AR529" i="2"/>
  <c r="DJ529" i="2"/>
  <c r="CL529" i="2"/>
  <c r="BN529" i="2"/>
  <c r="AP529" i="2"/>
  <c r="S529" i="2"/>
  <c r="T529" i="2" s="1"/>
  <c r="DH529" i="2"/>
  <c r="CJ529" i="2"/>
  <c r="BL529" i="2"/>
  <c r="AN529" i="2"/>
  <c r="DF529" i="2"/>
  <c r="CH529" i="2"/>
  <c r="BJ529" i="2"/>
  <c r="AL529" i="2"/>
  <c r="EB529" i="2"/>
  <c r="DD529" i="2"/>
  <c r="CF529" i="2"/>
  <c r="BH529" i="2"/>
  <c r="AJ529" i="2"/>
  <c r="DZ529" i="2"/>
  <c r="DB529" i="2"/>
  <c r="CD529" i="2"/>
  <c r="BF529" i="2"/>
  <c r="AH529" i="2"/>
  <c r="DX529" i="2"/>
  <c r="CZ529" i="2"/>
  <c r="CB529" i="2"/>
  <c r="BD529" i="2"/>
  <c r="DT529" i="2"/>
  <c r="CV529" i="2"/>
  <c r="BX529" i="2"/>
  <c r="AZ529" i="2"/>
  <c r="DV529" i="2"/>
  <c r="CX529" i="2"/>
  <c r="BZ529" i="2"/>
  <c r="BB529" i="2"/>
  <c r="W528" i="2"/>
  <c r="B529" i="2"/>
  <c r="F530" i="2" l="1"/>
  <c r="AB530" i="2" s="1"/>
  <c r="C532" i="2"/>
  <c r="G531" i="2"/>
  <c r="AC531" i="2"/>
  <c r="AD531" i="2" s="1"/>
  <c r="E531" i="2"/>
  <c r="D531" i="2"/>
  <c r="F531" i="2" s="1"/>
  <c r="AB531" i="2" s="1"/>
  <c r="V531" i="2"/>
  <c r="W529" i="2"/>
  <c r="B530" i="2"/>
  <c r="DZ530" i="2"/>
  <c r="DB530" i="2"/>
  <c r="CD530" i="2"/>
  <c r="BF530" i="2"/>
  <c r="AH530" i="2"/>
  <c r="DX530" i="2"/>
  <c r="CZ530" i="2"/>
  <c r="CB530" i="2"/>
  <c r="BD530" i="2"/>
  <c r="DV530" i="2"/>
  <c r="CX530" i="2"/>
  <c r="BZ530" i="2"/>
  <c r="BB530" i="2"/>
  <c r="DT530" i="2"/>
  <c r="CV530" i="2"/>
  <c r="BX530" i="2"/>
  <c r="AZ530" i="2"/>
  <c r="DR530" i="2"/>
  <c r="CT530" i="2"/>
  <c r="BV530" i="2"/>
  <c r="AX530" i="2"/>
  <c r="DP530" i="2"/>
  <c r="CR530" i="2"/>
  <c r="BT530" i="2"/>
  <c r="AV530" i="2"/>
  <c r="DN530" i="2"/>
  <c r="CP530" i="2"/>
  <c r="BR530" i="2"/>
  <c r="AT530" i="2"/>
  <c r="A530" i="2"/>
  <c r="DL530" i="2"/>
  <c r="CN530" i="2"/>
  <c r="BP530" i="2"/>
  <c r="AR530" i="2"/>
  <c r="DJ530" i="2"/>
  <c r="CL530" i="2"/>
  <c r="BN530" i="2"/>
  <c r="AP530" i="2"/>
  <c r="S530" i="2"/>
  <c r="T530" i="2" s="1"/>
  <c r="DH530" i="2"/>
  <c r="CJ530" i="2"/>
  <c r="BL530" i="2"/>
  <c r="AN530" i="2"/>
  <c r="EB530" i="2"/>
  <c r="DD530" i="2"/>
  <c r="CF530" i="2"/>
  <c r="BH530" i="2"/>
  <c r="AJ530" i="2"/>
  <c r="DF530" i="2"/>
  <c r="CH530" i="2"/>
  <c r="BJ530" i="2"/>
  <c r="AL530" i="2"/>
  <c r="W530" i="2" l="1"/>
  <c r="B531" i="2"/>
  <c r="DJ531" i="2"/>
  <c r="CL531" i="2"/>
  <c r="BN531" i="2"/>
  <c r="AP531" i="2"/>
  <c r="S531" i="2"/>
  <c r="T531" i="2" s="1"/>
  <c r="DH531" i="2"/>
  <c r="CJ531" i="2"/>
  <c r="BL531" i="2"/>
  <c r="AN531" i="2"/>
  <c r="DF531" i="2"/>
  <c r="CH531" i="2"/>
  <c r="BJ531" i="2"/>
  <c r="AL531" i="2"/>
  <c r="EB531" i="2"/>
  <c r="DD531" i="2"/>
  <c r="CF531" i="2"/>
  <c r="BH531" i="2"/>
  <c r="AJ531" i="2"/>
  <c r="DZ531" i="2"/>
  <c r="DB531" i="2"/>
  <c r="CD531" i="2"/>
  <c r="BF531" i="2"/>
  <c r="AH531" i="2"/>
  <c r="DX531" i="2"/>
  <c r="CZ531" i="2"/>
  <c r="CB531" i="2"/>
  <c r="BD531" i="2"/>
  <c r="DV531" i="2"/>
  <c r="CX531" i="2"/>
  <c r="BZ531" i="2"/>
  <c r="BB531" i="2"/>
  <c r="DT531" i="2"/>
  <c r="CV531" i="2"/>
  <c r="BX531" i="2"/>
  <c r="AZ531" i="2"/>
  <c r="DR531" i="2"/>
  <c r="CT531" i="2"/>
  <c r="BV531" i="2"/>
  <c r="AX531" i="2"/>
  <c r="DP531" i="2"/>
  <c r="CR531" i="2"/>
  <c r="BT531" i="2"/>
  <c r="AV531" i="2"/>
  <c r="DL531" i="2"/>
  <c r="CN531" i="2"/>
  <c r="BP531" i="2"/>
  <c r="AR531" i="2"/>
  <c r="A531" i="2"/>
  <c r="DN531" i="2"/>
  <c r="CP531" i="2"/>
  <c r="BR531" i="2"/>
  <c r="AT531" i="2"/>
  <c r="V532" i="2"/>
  <c r="C533" i="2"/>
  <c r="G532" i="2"/>
  <c r="D532" i="2"/>
  <c r="AC532" i="2"/>
  <c r="AD532" i="2" s="1"/>
  <c r="E532" i="2"/>
  <c r="F532" i="2" l="1"/>
  <c r="AB532" i="2" s="1"/>
  <c r="W531" i="2"/>
  <c r="B532" i="2"/>
  <c r="DR532" i="2"/>
  <c r="CT532" i="2"/>
  <c r="BV532" i="2"/>
  <c r="AX532" i="2"/>
  <c r="DP532" i="2"/>
  <c r="CR532" i="2"/>
  <c r="BT532" i="2"/>
  <c r="AV532" i="2"/>
  <c r="DN532" i="2"/>
  <c r="CP532" i="2"/>
  <c r="BR532" i="2"/>
  <c r="AT532" i="2"/>
  <c r="A532" i="2"/>
  <c r="DL532" i="2"/>
  <c r="CN532" i="2"/>
  <c r="BP532" i="2"/>
  <c r="AR532" i="2"/>
  <c r="DJ532" i="2"/>
  <c r="CL532" i="2"/>
  <c r="BN532" i="2"/>
  <c r="AP532" i="2"/>
  <c r="S532" i="2"/>
  <c r="T532" i="2" s="1"/>
  <c r="DH532" i="2"/>
  <c r="CJ532" i="2"/>
  <c r="BL532" i="2"/>
  <c r="AN532" i="2"/>
  <c r="DF532" i="2"/>
  <c r="CH532" i="2"/>
  <c r="BJ532" i="2"/>
  <c r="AL532" i="2"/>
  <c r="EB532" i="2"/>
  <c r="DD532" i="2"/>
  <c r="CF532" i="2"/>
  <c r="BH532" i="2"/>
  <c r="AJ532" i="2"/>
  <c r="DZ532" i="2"/>
  <c r="DB532" i="2"/>
  <c r="CD532" i="2"/>
  <c r="BF532" i="2"/>
  <c r="AH532" i="2"/>
  <c r="DX532" i="2"/>
  <c r="CZ532" i="2"/>
  <c r="CB532" i="2"/>
  <c r="BD532" i="2"/>
  <c r="DT532" i="2"/>
  <c r="CV532" i="2"/>
  <c r="BX532" i="2"/>
  <c r="AZ532" i="2"/>
  <c r="BB532" i="2"/>
  <c r="DV532" i="2"/>
  <c r="CX532" i="2"/>
  <c r="BZ532" i="2"/>
  <c r="G533" i="2"/>
  <c r="AC533" i="2"/>
  <c r="AD533" i="2" s="1"/>
  <c r="E533" i="2"/>
  <c r="D533" i="2"/>
  <c r="F533" i="2" s="1"/>
  <c r="AB533" i="2" s="1"/>
  <c r="V533" i="2"/>
  <c r="C534" i="2"/>
  <c r="DZ533" i="2" l="1"/>
  <c r="DB533" i="2"/>
  <c r="CD533" i="2"/>
  <c r="BF533" i="2"/>
  <c r="AH533" i="2"/>
  <c r="DX533" i="2"/>
  <c r="CZ533" i="2"/>
  <c r="CB533" i="2"/>
  <c r="BD533" i="2"/>
  <c r="DV533" i="2"/>
  <c r="CX533" i="2"/>
  <c r="BZ533" i="2"/>
  <c r="BB533" i="2"/>
  <c r="DT533" i="2"/>
  <c r="CV533" i="2"/>
  <c r="BX533" i="2"/>
  <c r="AZ533" i="2"/>
  <c r="DR533" i="2"/>
  <c r="CT533" i="2"/>
  <c r="BV533" i="2"/>
  <c r="AX533" i="2"/>
  <c r="DP533" i="2"/>
  <c r="CR533" i="2"/>
  <c r="BT533" i="2"/>
  <c r="AV533" i="2"/>
  <c r="DN533" i="2"/>
  <c r="CP533" i="2"/>
  <c r="BR533" i="2"/>
  <c r="AT533" i="2"/>
  <c r="A533" i="2"/>
  <c r="DL533" i="2"/>
  <c r="CN533" i="2"/>
  <c r="BP533" i="2"/>
  <c r="AR533" i="2"/>
  <c r="DJ533" i="2"/>
  <c r="CL533" i="2"/>
  <c r="BN533" i="2"/>
  <c r="AP533" i="2"/>
  <c r="S533" i="2"/>
  <c r="T533" i="2" s="1"/>
  <c r="DH533" i="2"/>
  <c r="CJ533" i="2"/>
  <c r="BL533" i="2"/>
  <c r="AN533" i="2"/>
  <c r="EB533" i="2"/>
  <c r="DD533" i="2"/>
  <c r="CF533" i="2"/>
  <c r="BH533" i="2"/>
  <c r="AJ533" i="2"/>
  <c r="DF533" i="2"/>
  <c r="CH533" i="2"/>
  <c r="BJ533" i="2"/>
  <c r="AL533" i="2"/>
  <c r="W532" i="2"/>
  <c r="B533" i="2"/>
  <c r="C535" i="2"/>
  <c r="G534" i="2"/>
  <c r="AC534" i="2"/>
  <c r="AD534" i="2" s="1"/>
  <c r="E534" i="2"/>
  <c r="D534" i="2"/>
  <c r="F534" i="2" s="1"/>
  <c r="AB534" i="2" s="1"/>
  <c r="V534" i="2"/>
  <c r="V535" i="2" l="1"/>
  <c r="C536" i="2"/>
  <c r="G535" i="2"/>
  <c r="D535" i="2"/>
  <c r="E535" i="2"/>
  <c r="AC535" i="2"/>
  <c r="AD535" i="2" s="1"/>
  <c r="DJ534" i="2"/>
  <c r="CL534" i="2"/>
  <c r="BN534" i="2"/>
  <c r="AP534" i="2"/>
  <c r="S534" i="2"/>
  <c r="T534" i="2" s="1"/>
  <c r="DH534" i="2"/>
  <c r="CJ534" i="2"/>
  <c r="BL534" i="2"/>
  <c r="AN534" i="2"/>
  <c r="DF534" i="2"/>
  <c r="CH534" i="2"/>
  <c r="BJ534" i="2"/>
  <c r="AL534" i="2"/>
  <c r="EB534" i="2"/>
  <c r="DD534" i="2"/>
  <c r="CF534" i="2"/>
  <c r="BH534" i="2"/>
  <c r="AJ534" i="2"/>
  <c r="DZ534" i="2"/>
  <c r="DB534" i="2"/>
  <c r="CD534" i="2"/>
  <c r="BF534" i="2"/>
  <c r="AH534" i="2"/>
  <c r="DX534" i="2"/>
  <c r="CZ534" i="2"/>
  <c r="CB534" i="2"/>
  <c r="BD534" i="2"/>
  <c r="DV534" i="2"/>
  <c r="CX534" i="2"/>
  <c r="BZ534" i="2"/>
  <c r="BB534" i="2"/>
  <c r="DT534" i="2"/>
  <c r="CV534" i="2"/>
  <c r="BX534" i="2"/>
  <c r="AZ534" i="2"/>
  <c r="DR534" i="2"/>
  <c r="CT534" i="2"/>
  <c r="BV534" i="2"/>
  <c r="AX534" i="2"/>
  <c r="DP534" i="2"/>
  <c r="CR534" i="2"/>
  <c r="BT534" i="2"/>
  <c r="AV534" i="2"/>
  <c r="DL534" i="2"/>
  <c r="CN534" i="2"/>
  <c r="BP534" i="2"/>
  <c r="AR534" i="2"/>
  <c r="A534" i="2"/>
  <c r="DN534" i="2"/>
  <c r="CP534" i="2"/>
  <c r="BR534" i="2"/>
  <c r="AT534" i="2"/>
  <c r="W533" i="2"/>
  <c r="B534" i="2"/>
  <c r="F535" i="2" l="1"/>
  <c r="AB535" i="2" s="1"/>
  <c r="DR535" i="2"/>
  <c r="CT535" i="2"/>
  <c r="BV535" i="2"/>
  <c r="AX535" i="2"/>
  <c r="DP535" i="2"/>
  <c r="CR535" i="2"/>
  <c r="BT535" i="2"/>
  <c r="AV535" i="2"/>
  <c r="DN535" i="2"/>
  <c r="CP535" i="2"/>
  <c r="BR535" i="2"/>
  <c r="AT535" i="2"/>
  <c r="A535" i="2"/>
  <c r="DL535" i="2"/>
  <c r="CN535" i="2"/>
  <c r="BP535" i="2"/>
  <c r="AR535" i="2"/>
  <c r="DJ535" i="2"/>
  <c r="CL535" i="2"/>
  <c r="BN535" i="2"/>
  <c r="AP535" i="2"/>
  <c r="S535" i="2"/>
  <c r="T535" i="2" s="1"/>
  <c r="DH535" i="2"/>
  <c r="CJ535" i="2"/>
  <c r="BL535" i="2"/>
  <c r="AN535" i="2"/>
  <c r="DF535" i="2"/>
  <c r="CH535" i="2"/>
  <c r="BJ535" i="2"/>
  <c r="AL535" i="2"/>
  <c r="EB535" i="2"/>
  <c r="DD535" i="2"/>
  <c r="CF535" i="2"/>
  <c r="BH535" i="2"/>
  <c r="AJ535" i="2"/>
  <c r="DZ535" i="2"/>
  <c r="DB535" i="2"/>
  <c r="CD535" i="2"/>
  <c r="BF535" i="2"/>
  <c r="AH535" i="2"/>
  <c r="DX535" i="2"/>
  <c r="CZ535" i="2"/>
  <c r="CB535" i="2"/>
  <c r="BD535" i="2"/>
  <c r="DT535" i="2"/>
  <c r="CV535" i="2"/>
  <c r="BX535" i="2"/>
  <c r="AZ535" i="2"/>
  <c r="DV535" i="2"/>
  <c r="CX535" i="2"/>
  <c r="BZ535" i="2"/>
  <c r="BB535" i="2"/>
  <c r="G536" i="2"/>
  <c r="AC536" i="2"/>
  <c r="AD536" i="2" s="1"/>
  <c r="E536" i="2"/>
  <c r="D536" i="2"/>
  <c r="V536" i="2"/>
  <c r="C537" i="2"/>
  <c r="W534" i="2"/>
  <c r="B535" i="2"/>
  <c r="W535" i="2" l="1"/>
  <c r="B536" i="2"/>
  <c r="AC537" i="2"/>
  <c r="AD537" i="2" s="1"/>
  <c r="G537" i="2"/>
  <c r="E537" i="2"/>
  <c r="D537" i="2"/>
  <c r="F537" i="2" s="1"/>
  <c r="AB537" i="2" s="1"/>
  <c r="V537" i="2"/>
  <c r="C538" i="2"/>
  <c r="F536" i="2"/>
  <c r="AB536" i="2" s="1"/>
  <c r="DZ536" i="2"/>
  <c r="DB536" i="2"/>
  <c r="CD536" i="2"/>
  <c r="BF536" i="2"/>
  <c r="AH536" i="2"/>
  <c r="DX536" i="2"/>
  <c r="CZ536" i="2"/>
  <c r="CB536" i="2"/>
  <c r="BD536" i="2"/>
  <c r="DV536" i="2"/>
  <c r="CX536" i="2"/>
  <c r="BZ536" i="2"/>
  <c r="BB536" i="2"/>
  <c r="DT536" i="2"/>
  <c r="CV536" i="2"/>
  <c r="BX536" i="2"/>
  <c r="AZ536" i="2"/>
  <c r="DR536" i="2"/>
  <c r="CT536" i="2"/>
  <c r="BV536" i="2"/>
  <c r="AX536" i="2"/>
  <c r="DP536" i="2"/>
  <c r="CR536" i="2"/>
  <c r="BT536" i="2"/>
  <c r="AV536" i="2"/>
  <c r="DN536" i="2"/>
  <c r="CP536" i="2"/>
  <c r="BR536" i="2"/>
  <c r="AT536" i="2"/>
  <c r="A536" i="2"/>
  <c r="DL536" i="2"/>
  <c r="CN536" i="2"/>
  <c r="BP536" i="2"/>
  <c r="AR536" i="2"/>
  <c r="DJ536" i="2"/>
  <c r="CL536" i="2"/>
  <c r="BN536" i="2"/>
  <c r="AP536" i="2"/>
  <c r="S536" i="2"/>
  <c r="T536" i="2" s="1"/>
  <c r="DH536" i="2"/>
  <c r="CJ536" i="2"/>
  <c r="BL536" i="2"/>
  <c r="AN536" i="2"/>
  <c r="EB536" i="2"/>
  <c r="DD536" i="2"/>
  <c r="CF536" i="2"/>
  <c r="BH536" i="2"/>
  <c r="AJ536" i="2"/>
  <c r="BJ536" i="2"/>
  <c r="AL536" i="2"/>
  <c r="DF536" i="2"/>
  <c r="CH536" i="2"/>
  <c r="C539" i="2" l="1"/>
  <c r="G538" i="2"/>
  <c r="AC538" i="2"/>
  <c r="AD538" i="2" s="1"/>
  <c r="E538" i="2"/>
  <c r="D538" i="2"/>
  <c r="F538" i="2" s="1"/>
  <c r="AB538" i="2" s="1"/>
  <c r="V538" i="2"/>
  <c r="W536" i="2"/>
  <c r="B537" i="2"/>
  <c r="DF537" i="2"/>
  <c r="CH537" i="2"/>
  <c r="BJ537" i="2"/>
  <c r="AL537" i="2"/>
  <c r="S537" i="2"/>
  <c r="T537" i="2" s="1"/>
  <c r="EB537" i="2"/>
  <c r="DD537" i="2"/>
  <c r="CF537" i="2"/>
  <c r="BH537" i="2"/>
  <c r="AJ537" i="2"/>
  <c r="DZ537" i="2"/>
  <c r="DB537" i="2"/>
  <c r="CD537" i="2"/>
  <c r="BF537" i="2"/>
  <c r="AH537" i="2"/>
  <c r="DX537" i="2"/>
  <c r="CZ537" i="2"/>
  <c r="CB537" i="2"/>
  <c r="BD537" i="2"/>
  <c r="DV537" i="2"/>
  <c r="CX537" i="2"/>
  <c r="BZ537" i="2"/>
  <c r="BB537" i="2"/>
  <c r="DT537" i="2"/>
  <c r="CV537" i="2"/>
  <c r="BX537" i="2"/>
  <c r="AZ537" i="2"/>
  <c r="DR537" i="2"/>
  <c r="CT537" i="2"/>
  <c r="BV537" i="2"/>
  <c r="AX537" i="2"/>
  <c r="DP537" i="2"/>
  <c r="CR537" i="2"/>
  <c r="BT537" i="2"/>
  <c r="AV537" i="2"/>
  <c r="DN537" i="2"/>
  <c r="CP537" i="2"/>
  <c r="BR537" i="2"/>
  <c r="AT537" i="2"/>
  <c r="DL537" i="2"/>
  <c r="CN537" i="2"/>
  <c r="BP537" i="2"/>
  <c r="AR537" i="2"/>
  <c r="DH537" i="2"/>
  <c r="CJ537" i="2"/>
  <c r="BL537" i="2"/>
  <c r="AN537" i="2"/>
  <c r="DJ537" i="2"/>
  <c r="CL537" i="2"/>
  <c r="BN537" i="2"/>
  <c r="AP537" i="2"/>
  <c r="A537" i="2"/>
  <c r="W537" i="2" l="1"/>
  <c r="B538" i="2"/>
  <c r="DL538" i="2"/>
  <c r="CN538" i="2"/>
  <c r="BP538" i="2"/>
  <c r="AR538" i="2"/>
  <c r="A538" i="2"/>
  <c r="DJ538" i="2"/>
  <c r="CL538" i="2"/>
  <c r="BN538" i="2"/>
  <c r="AP538" i="2"/>
  <c r="DH538" i="2"/>
  <c r="CJ538" i="2"/>
  <c r="BL538" i="2"/>
  <c r="S538" i="2"/>
  <c r="T538" i="2" s="1"/>
  <c r="DF538" i="2"/>
  <c r="CH538" i="2"/>
  <c r="BJ538" i="2"/>
  <c r="AN538" i="2"/>
  <c r="EB538" i="2"/>
  <c r="DD538" i="2"/>
  <c r="CF538" i="2"/>
  <c r="BH538" i="2"/>
  <c r="AL538" i="2"/>
  <c r="DZ538" i="2"/>
  <c r="DB538" i="2"/>
  <c r="CD538" i="2"/>
  <c r="BF538" i="2"/>
  <c r="AJ538" i="2"/>
  <c r="DX538" i="2"/>
  <c r="CZ538" i="2"/>
  <c r="CB538" i="2"/>
  <c r="BD538" i="2"/>
  <c r="AH538" i="2"/>
  <c r="DV538" i="2"/>
  <c r="CX538" i="2"/>
  <c r="BZ538" i="2"/>
  <c r="BB538" i="2"/>
  <c r="DT538" i="2"/>
  <c r="CV538" i="2"/>
  <c r="BX538" i="2"/>
  <c r="AZ538" i="2"/>
  <c r="DR538" i="2"/>
  <c r="CT538" i="2"/>
  <c r="BV538" i="2"/>
  <c r="AX538" i="2"/>
  <c r="DN538" i="2"/>
  <c r="CP538" i="2"/>
  <c r="BR538" i="2"/>
  <c r="AT538" i="2"/>
  <c r="DP538" i="2"/>
  <c r="CR538" i="2"/>
  <c r="BT538" i="2"/>
  <c r="AV538" i="2"/>
  <c r="D539" i="2"/>
  <c r="V539" i="2"/>
  <c r="C540" i="2"/>
  <c r="G539" i="2"/>
  <c r="AC539" i="2"/>
  <c r="AD539" i="2" s="1"/>
  <c r="E539" i="2"/>
  <c r="G540" i="2" l="1"/>
  <c r="AC540" i="2"/>
  <c r="AD540" i="2" s="1"/>
  <c r="E540" i="2"/>
  <c r="D540" i="2"/>
  <c r="F540" i="2" s="1"/>
  <c r="AB540" i="2" s="1"/>
  <c r="V540" i="2"/>
  <c r="C541" i="2"/>
  <c r="DT539" i="2"/>
  <c r="CV539" i="2"/>
  <c r="BX539" i="2"/>
  <c r="AZ539" i="2"/>
  <c r="DR539" i="2"/>
  <c r="CT539" i="2"/>
  <c r="BV539" i="2"/>
  <c r="AX539" i="2"/>
  <c r="DP539" i="2"/>
  <c r="CR539" i="2"/>
  <c r="BT539" i="2"/>
  <c r="AV539" i="2"/>
  <c r="DN539" i="2"/>
  <c r="CP539" i="2"/>
  <c r="BR539" i="2"/>
  <c r="AT539" i="2"/>
  <c r="A539" i="2"/>
  <c r="DL539" i="2"/>
  <c r="CN539" i="2"/>
  <c r="BP539" i="2"/>
  <c r="AR539" i="2"/>
  <c r="DJ539" i="2"/>
  <c r="CL539" i="2"/>
  <c r="BN539" i="2"/>
  <c r="AP539" i="2"/>
  <c r="S539" i="2"/>
  <c r="T539" i="2" s="1"/>
  <c r="DH539" i="2"/>
  <c r="CJ539" i="2"/>
  <c r="BL539" i="2"/>
  <c r="AN539" i="2"/>
  <c r="DF539" i="2"/>
  <c r="CH539" i="2"/>
  <c r="BJ539" i="2"/>
  <c r="AL539" i="2"/>
  <c r="EB539" i="2"/>
  <c r="DD539" i="2"/>
  <c r="CF539" i="2"/>
  <c r="BH539" i="2"/>
  <c r="AJ539" i="2"/>
  <c r="DZ539" i="2"/>
  <c r="DB539" i="2"/>
  <c r="CD539" i="2"/>
  <c r="BF539" i="2"/>
  <c r="AH539" i="2"/>
  <c r="DV539" i="2"/>
  <c r="CX539" i="2"/>
  <c r="BZ539" i="2"/>
  <c r="BB539" i="2"/>
  <c r="DX539" i="2"/>
  <c r="CZ539" i="2"/>
  <c r="CB539" i="2"/>
  <c r="BD539" i="2"/>
  <c r="W538" i="2"/>
  <c r="B539" i="2"/>
  <c r="F539" i="2"/>
  <c r="AB539" i="2" s="1"/>
  <c r="C542" i="2" l="1"/>
  <c r="G541" i="2"/>
  <c r="AC541" i="2"/>
  <c r="AD541" i="2" s="1"/>
  <c r="E541" i="2"/>
  <c r="D541" i="2"/>
  <c r="V541" i="2"/>
  <c r="W539" i="2"/>
  <c r="B540" i="2"/>
  <c r="EB540" i="2"/>
  <c r="DD540" i="2"/>
  <c r="CF540" i="2"/>
  <c r="BH540" i="2"/>
  <c r="AJ540" i="2"/>
  <c r="DZ540" i="2"/>
  <c r="DB540" i="2"/>
  <c r="CD540" i="2"/>
  <c r="BF540" i="2"/>
  <c r="AH540" i="2"/>
  <c r="DX540" i="2"/>
  <c r="CZ540" i="2"/>
  <c r="CB540" i="2"/>
  <c r="BD540" i="2"/>
  <c r="DV540" i="2"/>
  <c r="CX540" i="2"/>
  <c r="BZ540" i="2"/>
  <c r="BB540" i="2"/>
  <c r="DT540" i="2"/>
  <c r="CV540" i="2"/>
  <c r="BX540" i="2"/>
  <c r="AZ540" i="2"/>
  <c r="DR540" i="2"/>
  <c r="CT540" i="2"/>
  <c r="BV540" i="2"/>
  <c r="AX540" i="2"/>
  <c r="DP540" i="2"/>
  <c r="CR540" i="2"/>
  <c r="BT540" i="2"/>
  <c r="AV540" i="2"/>
  <c r="DN540" i="2"/>
  <c r="CP540" i="2"/>
  <c r="BR540" i="2"/>
  <c r="AT540" i="2"/>
  <c r="A540" i="2"/>
  <c r="DL540" i="2"/>
  <c r="CN540" i="2"/>
  <c r="BP540" i="2"/>
  <c r="AR540" i="2"/>
  <c r="DJ540" i="2"/>
  <c r="CL540" i="2"/>
  <c r="BN540" i="2"/>
  <c r="AP540" i="2"/>
  <c r="S540" i="2"/>
  <c r="T540" i="2" s="1"/>
  <c r="DF540" i="2"/>
  <c r="CH540" i="2"/>
  <c r="BJ540" i="2"/>
  <c r="AL540" i="2"/>
  <c r="DH540" i="2"/>
  <c r="CJ540" i="2"/>
  <c r="BL540" i="2"/>
  <c r="AN540" i="2"/>
  <c r="F541" i="2" l="1"/>
  <c r="AB541" i="2" s="1"/>
  <c r="W540" i="2"/>
  <c r="B541" i="2"/>
  <c r="DL541" i="2"/>
  <c r="CN541" i="2"/>
  <c r="BP541" i="2"/>
  <c r="AR541" i="2"/>
  <c r="DJ541" i="2"/>
  <c r="CL541" i="2"/>
  <c r="BN541" i="2"/>
  <c r="AP541" i="2"/>
  <c r="S541" i="2"/>
  <c r="T541" i="2" s="1"/>
  <c r="DH541" i="2"/>
  <c r="CJ541" i="2"/>
  <c r="BL541" i="2"/>
  <c r="AN541" i="2"/>
  <c r="DF541" i="2"/>
  <c r="CH541" i="2"/>
  <c r="BJ541" i="2"/>
  <c r="AL541" i="2"/>
  <c r="EB541" i="2"/>
  <c r="DD541" i="2"/>
  <c r="CF541" i="2"/>
  <c r="BH541" i="2"/>
  <c r="AJ541" i="2"/>
  <c r="DZ541" i="2"/>
  <c r="DB541" i="2"/>
  <c r="CD541" i="2"/>
  <c r="BF541" i="2"/>
  <c r="AH541" i="2"/>
  <c r="DX541" i="2"/>
  <c r="CZ541" i="2"/>
  <c r="CB541" i="2"/>
  <c r="BD541" i="2"/>
  <c r="DV541" i="2"/>
  <c r="CX541" i="2"/>
  <c r="BZ541" i="2"/>
  <c r="BB541" i="2"/>
  <c r="DT541" i="2"/>
  <c r="CV541" i="2"/>
  <c r="BX541" i="2"/>
  <c r="AZ541" i="2"/>
  <c r="DR541" i="2"/>
  <c r="CT541" i="2"/>
  <c r="BV541" i="2"/>
  <c r="AX541" i="2"/>
  <c r="DN541" i="2"/>
  <c r="CP541" i="2"/>
  <c r="BR541" i="2"/>
  <c r="AT541" i="2"/>
  <c r="A541" i="2"/>
  <c r="AV541" i="2"/>
  <c r="DP541" i="2"/>
  <c r="CR541" i="2"/>
  <c r="BT541" i="2"/>
  <c r="D542" i="2"/>
  <c r="V542" i="2"/>
  <c r="C543" i="2"/>
  <c r="G542" i="2"/>
  <c r="AC542" i="2"/>
  <c r="AD542" i="2" s="1"/>
  <c r="E542" i="2"/>
  <c r="V543" i="2" l="1"/>
  <c r="C544" i="2"/>
  <c r="G543" i="2"/>
  <c r="AC543" i="2"/>
  <c r="AD543" i="2" s="1"/>
  <c r="D543" i="2"/>
  <c r="E543" i="2"/>
  <c r="DH542" i="2"/>
  <c r="EB542" i="2"/>
  <c r="DD542" i="2"/>
  <c r="CF542" i="2"/>
  <c r="DZ542" i="2"/>
  <c r="DB542" i="2"/>
  <c r="CD542" i="2"/>
  <c r="BF542" i="2"/>
  <c r="AH542" i="2"/>
  <c r="DR542" i="2"/>
  <c r="CT542" i="2"/>
  <c r="DL542" i="2"/>
  <c r="CN542" i="2"/>
  <c r="DP542" i="2"/>
  <c r="CB542" i="2"/>
  <c r="BB542" i="2"/>
  <c r="DN542" i="2"/>
  <c r="BZ542" i="2"/>
  <c r="AZ542" i="2"/>
  <c r="DJ542" i="2"/>
  <c r="BX542" i="2"/>
  <c r="AX542" i="2"/>
  <c r="DF542" i="2"/>
  <c r="BV542" i="2"/>
  <c r="AV542" i="2"/>
  <c r="A542" i="2"/>
  <c r="CZ542" i="2"/>
  <c r="BT542" i="2"/>
  <c r="AT542" i="2"/>
  <c r="CX542" i="2"/>
  <c r="BR542" i="2"/>
  <c r="AR542" i="2"/>
  <c r="S542" i="2"/>
  <c r="T542" i="2" s="1"/>
  <c r="CV542" i="2"/>
  <c r="BP542" i="2"/>
  <c r="AP542" i="2"/>
  <c r="CR542" i="2"/>
  <c r="BN542" i="2"/>
  <c r="AN542" i="2"/>
  <c r="CP542" i="2"/>
  <c r="BL542" i="2"/>
  <c r="AL542" i="2"/>
  <c r="DX542" i="2"/>
  <c r="CL542" i="2"/>
  <c r="BJ542" i="2"/>
  <c r="AJ542" i="2"/>
  <c r="DT542" i="2"/>
  <c r="CH542" i="2"/>
  <c r="BD542" i="2"/>
  <c r="DV542" i="2"/>
  <c r="CJ542" i="2"/>
  <c r="BH542" i="2"/>
  <c r="F542" i="2"/>
  <c r="AB542" i="2" s="1"/>
  <c r="W541" i="2"/>
  <c r="B542" i="2"/>
  <c r="F543" i="2" l="1"/>
  <c r="AB543" i="2" s="1"/>
  <c r="DP543" i="2"/>
  <c r="CR543" i="2"/>
  <c r="BT543" i="2"/>
  <c r="AV543" i="2"/>
  <c r="DN543" i="2"/>
  <c r="CP543" i="2"/>
  <c r="BR543" i="2"/>
  <c r="AT543" i="2"/>
  <c r="DL543" i="2"/>
  <c r="CN543" i="2"/>
  <c r="BP543" i="2"/>
  <c r="AR543" i="2"/>
  <c r="DJ543" i="2"/>
  <c r="CL543" i="2"/>
  <c r="BN543" i="2"/>
  <c r="AP543" i="2"/>
  <c r="S543" i="2"/>
  <c r="T543" i="2" s="1"/>
  <c r="DH543" i="2"/>
  <c r="CJ543" i="2"/>
  <c r="BL543" i="2"/>
  <c r="AN543" i="2"/>
  <c r="EB543" i="2"/>
  <c r="DD543" i="2"/>
  <c r="CF543" i="2"/>
  <c r="BH543" i="2"/>
  <c r="AJ543" i="2"/>
  <c r="DZ543" i="2"/>
  <c r="DB543" i="2"/>
  <c r="CD543" i="2"/>
  <c r="BF543" i="2"/>
  <c r="AH543" i="2"/>
  <c r="DV543" i="2"/>
  <c r="CX543" i="2"/>
  <c r="BZ543" i="2"/>
  <c r="BB543" i="2"/>
  <c r="DT543" i="2"/>
  <c r="CV543" i="2"/>
  <c r="BX543" i="2"/>
  <c r="AZ543" i="2"/>
  <c r="DR543" i="2"/>
  <c r="DF543" i="2"/>
  <c r="CZ543" i="2"/>
  <c r="CT543" i="2"/>
  <c r="CH543" i="2"/>
  <c r="CB543" i="2"/>
  <c r="BV543" i="2"/>
  <c r="BJ543" i="2"/>
  <c r="BD543" i="2"/>
  <c r="A543" i="2"/>
  <c r="AX543" i="2"/>
  <c r="DX543" i="2"/>
  <c r="AL543" i="2"/>
  <c r="AC544" i="2"/>
  <c r="AD544" i="2" s="1"/>
  <c r="E544" i="2"/>
  <c r="D544" i="2"/>
  <c r="F544" i="2" s="1"/>
  <c r="AB544" i="2" s="1"/>
  <c r="V544" i="2"/>
  <c r="C545" i="2"/>
  <c r="G544" i="2"/>
  <c r="W542" i="2"/>
  <c r="B543" i="2"/>
  <c r="DX544" i="2" l="1"/>
  <c r="CZ544" i="2"/>
  <c r="CB544" i="2"/>
  <c r="BD544" i="2"/>
  <c r="DV544" i="2"/>
  <c r="CX544" i="2"/>
  <c r="BZ544" i="2"/>
  <c r="BB544" i="2"/>
  <c r="DT544" i="2"/>
  <c r="CV544" i="2"/>
  <c r="BX544" i="2"/>
  <c r="AZ544" i="2"/>
  <c r="DR544" i="2"/>
  <c r="CT544" i="2"/>
  <c r="BV544" i="2"/>
  <c r="AX544" i="2"/>
  <c r="DP544" i="2"/>
  <c r="CR544" i="2"/>
  <c r="BT544" i="2"/>
  <c r="AV544" i="2"/>
  <c r="DL544" i="2"/>
  <c r="CN544" i="2"/>
  <c r="BP544" i="2"/>
  <c r="AR544" i="2"/>
  <c r="DJ544" i="2"/>
  <c r="CL544" i="2"/>
  <c r="BN544" i="2"/>
  <c r="AP544" i="2"/>
  <c r="S544" i="2"/>
  <c r="T544" i="2" s="1"/>
  <c r="DH544" i="2"/>
  <c r="CJ544" i="2"/>
  <c r="BL544" i="2"/>
  <c r="AN544" i="2"/>
  <c r="DF544" i="2"/>
  <c r="CH544" i="2"/>
  <c r="BJ544" i="2"/>
  <c r="AL544" i="2"/>
  <c r="EB544" i="2"/>
  <c r="DD544" i="2"/>
  <c r="CF544" i="2"/>
  <c r="BH544" i="2"/>
  <c r="AJ544" i="2"/>
  <c r="CD544" i="2"/>
  <c r="BR544" i="2"/>
  <c r="BF544" i="2"/>
  <c r="AT544" i="2"/>
  <c r="AH544" i="2"/>
  <c r="DZ544" i="2"/>
  <c r="DN544" i="2"/>
  <c r="CP544" i="2"/>
  <c r="DB544" i="2"/>
  <c r="A544" i="2"/>
  <c r="W543" i="2"/>
  <c r="B544" i="2"/>
  <c r="G545" i="2"/>
  <c r="D545" i="2"/>
  <c r="V545" i="2"/>
  <c r="AC545" i="2"/>
  <c r="AD545" i="2" s="1"/>
  <c r="C546" i="2"/>
  <c r="E545" i="2"/>
  <c r="V546" i="2" l="1"/>
  <c r="C547" i="2"/>
  <c r="G546" i="2"/>
  <c r="AC546" i="2"/>
  <c r="AD546" i="2" s="1"/>
  <c r="E546" i="2"/>
  <c r="D546" i="2"/>
  <c r="F546" i="2" s="1"/>
  <c r="AB546" i="2" s="1"/>
  <c r="F545" i="2"/>
  <c r="AB545" i="2" s="1"/>
  <c r="DH545" i="2"/>
  <c r="CJ545" i="2"/>
  <c r="BL545" i="2"/>
  <c r="AN545" i="2"/>
  <c r="DF545" i="2"/>
  <c r="CH545" i="2"/>
  <c r="BJ545" i="2"/>
  <c r="AL545" i="2"/>
  <c r="EB545" i="2"/>
  <c r="DD545" i="2"/>
  <c r="CF545" i="2"/>
  <c r="BH545" i="2"/>
  <c r="AJ545" i="2"/>
  <c r="DZ545" i="2"/>
  <c r="DB545" i="2"/>
  <c r="CD545" i="2"/>
  <c r="BF545" i="2"/>
  <c r="AH545" i="2"/>
  <c r="DX545" i="2"/>
  <c r="CZ545" i="2"/>
  <c r="CB545" i="2"/>
  <c r="BD545" i="2"/>
  <c r="DT545" i="2"/>
  <c r="CV545" i="2"/>
  <c r="BX545" i="2"/>
  <c r="AZ545" i="2"/>
  <c r="DR545" i="2"/>
  <c r="CT545" i="2"/>
  <c r="BV545" i="2"/>
  <c r="AX545" i="2"/>
  <c r="DP545" i="2"/>
  <c r="CR545" i="2"/>
  <c r="BT545" i="2"/>
  <c r="AV545" i="2"/>
  <c r="DN545" i="2"/>
  <c r="CP545" i="2"/>
  <c r="BR545" i="2"/>
  <c r="AT545" i="2"/>
  <c r="A545" i="2"/>
  <c r="DL545" i="2"/>
  <c r="CN545" i="2"/>
  <c r="BP545" i="2"/>
  <c r="AR545" i="2"/>
  <c r="AP545" i="2"/>
  <c r="S545" i="2"/>
  <c r="T545" i="2" s="1"/>
  <c r="DV545" i="2"/>
  <c r="DJ545" i="2"/>
  <c r="CX545" i="2"/>
  <c r="CL545" i="2"/>
  <c r="BZ545" i="2"/>
  <c r="BB545" i="2"/>
  <c r="BN545" i="2"/>
  <c r="W544" i="2"/>
  <c r="B545" i="2"/>
  <c r="DP546" i="2" l="1"/>
  <c r="CR546" i="2"/>
  <c r="BT546" i="2"/>
  <c r="AV546" i="2"/>
  <c r="DN546" i="2"/>
  <c r="CP546" i="2"/>
  <c r="BR546" i="2"/>
  <c r="AT546" i="2"/>
  <c r="A546" i="2"/>
  <c r="DL546" i="2"/>
  <c r="CN546" i="2"/>
  <c r="BP546" i="2"/>
  <c r="AR546" i="2"/>
  <c r="DJ546" i="2"/>
  <c r="CL546" i="2"/>
  <c r="BN546" i="2"/>
  <c r="AP546" i="2"/>
  <c r="S546" i="2"/>
  <c r="T546" i="2" s="1"/>
  <c r="DH546" i="2"/>
  <c r="CJ546" i="2"/>
  <c r="BL546" i="2"/>
  <c r="AN546" i="2"/>
  <c r="EB546" i="2"/>
  <c r="DD546" i="2"/>
  <c r="CF546" i="2"/>
  <c r="BH546" i="2"/>
  <c r="AJ546" i="2"/>
  <c r="DZ546" i="2"/>
  <c r="DB546" i="2"/>
  <c r="CD546" i="2"/>
  <c r="BF546" i="2"/>
  <c r="AH546" i="2"/>
  <c r="DX546" i="2"/>
  <c r="CZ546" i="2"/>
  <c r="CB546" i="2"/>
  <c r="BD546" i="2"/>
  <c r="DV546" i="2"/>
  <c r="CX546" i="2"/>
  <c r="BZ546" i="2"/>
  <c r="BB546" i="2"/>
  <c r="DT546" i="2"/>
  <c r="CV546" i="2"/>
  <c r="BX546" i="2"/>
  <c r="AZ546" i="2"/>
  <c r="DR546" i="2"/>
  <c r="DF546" i="2"/>
  <c r="CT546" i="2"/>
  <c r="CH546" i="2"/>
  <c r="BV546" i="2"/>
  <c r="BJ546" i="2"/>
  <c r="AX546" i="2"/>
  <c r="AL546" i="2"/>
  <c r="AC547" i="2"/>
  <c r="AD547" i="2" s="1"/>
  <c r="E547" i="2"/>
  <c r="D547" i="2"/>
  <c r="F547" i="2" s="1"/>
  <c r="AB547" i="2" s="1"/>
  <c r="V547" i="2"/>
  <c r="C548" i="2"/>
  <c r="G547" i="2"/>
  <c r="W545" i="2"/>
  <c r="B546" i="2"/>
  <c r="W546" i="2" l="1"/>
  <c r="B547" i="2"/>
  <c r="DX547" i="2"/>
  <c r="CZ547" i="2"/>
  <c r="CB547" i="2"/>
  <c r="BD547" i="2"/>
  <c r="DV547" i="2"/>
  <c r="CX547" i="2"/>
  <c r="BZ547" i="2"/>
  <c r="BB547" i="2"/>
  <c r="DT547" i="2"/>
  <c r="CV547" i="2"/>
  <c r="BX547" i="2"/>
  <c r="AZ547" i="2"/>
  <c r="DR547" i="2"/>
  <c r="CT547" i="2"/>
  <c r="BV547" i="2"/>
  <c r="AX547" i="2"/>
  <c r="DP547" i="2"/>
  <c r="CR547" i="2"/>
  <c r="BT547" i="2"/>
  <c r="AV547" i="2"/>
  <c r="DL547" i="2"/>
  <c r="CN547" i="2"/>
  <c r="BP547" i="2"/>
  <c r="AR547" i="2"/>
  <c r="DJ547" i="2"/>
  <c r="CL547" i="2"/>
  <c r="BN547" i="2"/>
  <c r="AP547" i="2"/>
  <c r="S547" i="2"/>
  <c r="T547" i="2" s="1"/>
  <c r="DH547" i="2"/>
  <c r="CJ547" i="2"/>
  <c r="BL547" i="2"/>
  <c r="AN547" i="2"/>
  <c r="DF547" i="2"/>
  <c r="CH547" i="2"/>
  <c r="BJ547" i="2"/>
  <c r="AL547" i="2"/>
  <c r="EB547" i="2"/>
  <c r="DD547" i="2"/>
  <c r="CF547" i="2"/>
  <c r="BH547" i="2"/>
  <c r="AJ547" i="2"/>
  <c r="DZ547" i="2"/>
  <c r="DN547" i="2"/>
  <c r="DB547" i="2"/>
  <c r="A547" i="2"/>
  <c r="CP547" i="2"/>
  <c r="CD547" i="2"/>
  <c r="BR547" i="2"/>
  <c r="BF547" i="2"/>
  <c r="AT547" i="2"/>
  <c r="AH547" i="2"/>
  <c r="G548" i="2"/>
  <c r="D548" i="2"/>
  <c r="V548" i="2"/>
  <c r="AC548" i="2"/>
  <c r="AD548" i="2" s="1"/>
  <c r="C549" i="2"/>
  <c r="E548" i="2"/>
  <c r="W547" i="2" l="1"/>
  <c r="B548" i="2"/>
  <c r="F548" i="2"/>
  <c r="AB548" i="2" s="1"/>
  <c r="DH548" i="2"/>
  <c r="CJ548" i="2"/>
  <c r="BL548" i="2"/>
  <c r="AN548" i="2"/>
  <c r="DF548" i="2"/>
  <c r="CH548" i="2"/>
  <c r="BJ548" i="2"/>
  <c r="AL548" i="2"/>
  <c r="EB548" i="2"/>
  <c r="DD548" i="2"/>
  <c r="CF548" i="2"/>
  <c r="BH548" i="2"/>
  <c r="AJ548" i="2"/>
  <c r="DZ548" i="2"/>
  <c r="DB548" i="2"/>
  <c r="CD548" i="2"/>
  <c r="BF548" i="2"/>
  <c r="AH548" i="2"/>
  <c r="DX548" i="2"/>
  <c r="CZ548" i="2"/>
  <c r="CB548" i="2"/>
  <c r="BD548" i="2"/>
  <c r="DT548" i="2"/>
  <c r="CV548" i="2"/>
  <c r="BX548" i="2"/>
  <c r="AZ548" i="2"/>
  <c r="DR548" i="2"/>
  <c r="CT548" i="2"/>
  <c r="BV548" i="2"/>
  <c r="AX548" i="2"/>
  <c r="DP548" i="2"/>
  <c r="CR548" i="2"/>
  <c r="BT548" i="2"/>
  <c r="AV548" i="2"/>
  <c r="DN548" i="2"/>
  <c r="CP548" i="2"/>
  <c r="BR548" i="2"/>
  <c r="AT548" i="2"/>
  <c r="A548" i="2"/>
  <c r="DL548" i="2"/>
  <c r="CN548" i="2"/>
  <c r="BP548" i="2"/>
  <c r="AR548" i="2"/>
  <c r="CL548" i="2"/>
  <c r="BZ548" i="2"/>
  <c r="BN548" i="2"/>
  <c r="BB548" i="2"/>
  <c r="AP548" i="2"/>
  <c r="S548" i="2"/>
  <c r="T548" i="2" s="1"/>
  <c r="DV548" i="2"/>
  <c r="CX548" i="2"/>
  <c r="DJ548" i="2"/>
  <c r="V549" i="2"/>
  <c r="C550" i="2"/>
  <c r="AC549" i="2"/>
  <c r="AD549" i="2" s="1"/>
  <c r="G549" i="2"/>
  <c r="E549" i="2"/>
  <c r="D549" i="2"/>
  <c r="D550" i="2" l="1"/>
  <c r="V550" i="2"/>
  <c r="C551" i="2"/>
  <c r="G550" i="2"/>
  <c r="E550" i="2"/>
  <c r="AC550" i="2"/>
  <c r="AD550" i="2" s="1"/>
  <c r="DL549" i="2"/>
  <c r="CN549" i="2"/>
  <c r="BP549" i="2"/>
  <c r="AR549" i="2"/>
  <c r="DJ549" i="2"/>
  <c r="CL549" i="2"/>
  <c r="BN549" i="2"/>
  <c r="AP549" i="2"/>
  <c r="A549" i="2"/>
  <c r="DH549" i="2"/>
  <c r="CJ549" i="2"/>
  <c r="BL549" i="2"/>
  <c r="AN549" i="2"/>
  <c r="DF549" i="2"/>
  <c r="CH549" i="2"/>
  <c r="BJ549" i="2"/>
  <c r="AL549" i="2"/>
  <c r="S549" i="2"/>
  <c r="T549" i="2" s="1"/>
  <c r="EB549" i="2"/>
  <c r="DD549" i="2"/>
  <c r="CF549" i="2"/>
  <c r="BH549" i="2"/>
  <c r="AJ549" i="2"/>
  <c r="DX549" i="2"/>
  <c r="CZ549" i="2"/>
  <c r="CB549" i="2"/>
  <c r="BD549" i="2"/>
  <c r="DV549" i="2"/>
  <c r="CX549" i="2"/>
  <c r="BZ549" i="2"/>
  <c r="BB549" i="2"/>
  <c r="DT549" i="2"/>
  <c r="CV549" i="2"/>
  <c r="BX549" i="2"/>
  <c r="AZ549" i="2"/>
  <c r="DR549" i="2"/>
  <c r="CT549" i="2"/>
  <c r="BV549" i="2"/>
  <c r="AX549" i="2"/>
  <c r="DP549" i="2"/>
  <c r="CR549" i="2"/>
  <c r="BT549" i="2"/>
  <c r="AV549" i="2"/>
  <c r="AT549" i="2"/>
  <c r="AH549" i="2"/>
  <c r="DZ549" i="2"/>
  <c r="DN549" i="2"/>
  <c r="DB549" i="2"/>
  <c r="CP549" i="2"/>
  <c r="CD549" i="2"/>
  <c r="BF549" i="2"/>
  <c r="BR549" i="2"/>
  <c r="W548" i="2"/>
  <c r="B549" i="2"/>
  <c r="F549" i="2"/>
  <c r="AB549" i="2" s="1"/>
  <c r="DR550" i="2" l="1"/>
  <c r="CT550" i="2"/>
  <c r="BV550" i="2"/>
  <c r="AX550" i="2"/>
  <c r="DP550" i="2"/>
  <c r="CR550" i="2"/>
  <c r="BT550" i="2"/>
  <c r="AV550" i="2"/>
  <c r="DN550" i="2"/>
  <c r="CP550" i="2"/>
  <c r="BR550" i="2"/>
  <c r="AT550" i="2"/>
  <c r="DL550" i="2"/>
  <c r="CN550" i="2"/>
  <c r="BP550" i="2"/>
  <c r="AR550" i="2"/>
  <c r="A550" i="2"/>
  <c r="DJ550" i="2"/>
  <c r="CL550" i="2"/>
  <c r="BN550" i="2"/>
  <c r="AP550" i="2"/>
  <c r="DF550" i="2"/>
  <c r="CH550" i="2"/>
  <c r="BJ550" i="2"/>
  <c r="AN550" i="2"/>
  <c r="EB550" i="2"/>
  <c r="DD550" i="2"/>
  <c r="CF550" i="2"/>
  <c r="BH550" i="2"/>
  <c r="AL550" i="2"/>
  <c r="DZ550" i="2"/>
  <c r="DB550" i="2"/>
  <c r="CD550" i="2"/>
  <c r="BF550" i="2"/>
  <c r="AJ550" i="2"/>
  <c r="DX550" i="2"/>
  <c r="CZ550" i="2"/>
  <c r="CB550" i="2"/>
  <c r="BD550" i="2"/>
  <c r="AH550" i="2"/>
  <c r="DV550" i="2"/>
  <c r="CX550" i="2"/>
  <c r="BZ550" i="2"/>
  <c r="BB550" i="2"/>
  <c r="S550" i="2"/>
  <c r="T550" i="2" s="1"/>
  <c r="DT550" i="2"/>
  <c r="DH550" i="2"/>
  <c r="CV550" i="2"/>
  <c r="CJ550" i="2"/>
  <c r="BX550" i="2"/>
  <c r="BL550" i="2"/>
  <c r="AZ550" i="2"/>
  <c r="G551" i="2"/>
  <c r="AC551" i="2"/>
  <c r="AD551" i="2" s="1"/>
  <c r="E551" i="2"/>
  <c r="D551" i="2"/>
  <c r="F551" i="2" s="1"/>
  <c r="AB551" i="2" s="1"/>
  <c r="C552" i="2"/>
  <c r="V551" i="2"/>
  <c r="W549" i="2"/>
  <c r="B550" i="2"/>
  <c r="F550" i="2"/>
  <c r="AB550" i="2" s="1"/>
  <c r="W550" i="2" l="1"/>
  <c r="B551" i="2"/>
  <c r="DZ551" i="2"/>
  <c r="DB551" i="2"/>
  <c r="CD551" i="2"/>
  <c r="BF551" i="2"/>
  <c r="AH551" i="2"/>
  <c r="DX551" i="2"/>
  <c r="CZ551" i="2"/>
  <c r="CB551" i="2"/>
  <c r="BD551" i="2"/>
  <c r="DV551" i="2"/>
  <c r="CX551" i="2"/>
  <c r="BZ551" i="2"/>
  <c r="BB551" i="2"/>
  <c r="DT551" i="2"/>
  <c r="CV551" i="2"/>
  <c r="BX551" i="2"/>
  <c r="AZ551" i="2"/>
  <c r="DR551" i="2"/>
  <c r="CT551" i="2"/>
  <c r="BV551" i="2"/>
  <c r="AX551" i="2"/>
  <c r="DN551" i="2"/>
  <c r="CP551" i="2"/>
  <c r="BR551" i="2"/>
  <c r="AT551" i="2"/>
  <c r="A551" i="2"/>
  <c r="DL551" i="2"/>
  <c r="CN551" i="2"/>
  <c r="BP551" i="2"/>
  <c r="AR551" i="2"/>
  <c r="DJ551" i="2"/>
  <c r="CL551" i="2"/>
  <c r="BN551" i="2"/>
  <c r="AP551" i="2"/>
  <c r="S551" i="2"/>
  <c r="T551" i="2" s="1"/>
  <c r="DH551" i="2"/>
  <c r="CJ551" i="2"/>
  <c r="BL551" i="2"/>
  <c r="AN551" i="2"/>
  <c r="DF551" i="2"/>
  <c r="CH551" i="2"/>
  <c r="BJ551" i="2"/>
  <c r="AL551" i="2"/>
  <c r="DP551" i="2"/>
  <c r="DD551" i="2"/>
  <c r="CR551" i="2"/>
  <c r="CF551" i="2"/>
  <c r="BT551" i="2"/>
  <c r="BH551" i="2"/>
  <c r="AV551" i="2"/>
  <c r="AJ551" i="2"/>
  <c r="EB551" i="2"/>
  <c r="C553" i="2"/>
  <c r="G552" i="2"/>
  <c r="AC552" i="2"/>
  <c r="AD552" i="2" s="1"/>
  <c r="E552" i="2"/>
  <c r="D552" i="2"/>
  <c r="F552" i="2" s="1"/>
  <c r="AB552" i="2" s="1"/>
  <c r="V552" i="2"/>
  <c r="W551" i="2" l="1"/>
  <c r="B552" i="2"/>
  <c r="DJ552" i="2"/>
  <c r="CL552" i="2"/>
  <c r="BN552" i="2"/>
  <c r="AP552" i="2"/>
  <c r="S552" i="2"/>
  <c r="T552" i="2" s="1"/>
  <c r="DH552" i="2"/>
  <c r="CJ552" i="2"/>
  <c r="BL552" i="2"/>
  <c r="AN552" i="2"/>
  <c r="DF552" i="2"/>
  <c r="CH552" i="2"/>
  <c r="BJ552" i="2"/>
  <c r="AL552" i="2"/>
  <c r="EB552" i="2"/>
  <c r="DD552" i="2"/>
  <c r="CF552" i="2"/>
  <c r="BH552" i="2"/>
  <c r="AJ552" i="2"/>
  <c r="DZ552" i="2"/>
  <c r="DB552" i="2"/>
  <c r="CD552" i="2"/>
  <c r="BF552" i="2"/>
  <c r="AH552" i="2"/>
  <c r="DV552" i="2"/>
  <c r="CX552" i="2"/>
  <c r="BZ552" i="2"/>
  <c r="BB552" i="2"/>
  <c r="DT552" i="2"/>
  <c r="CV552" i="2"/>
  <c r="BX552" i="2"/>
  <c r="AZ552" i="2"/>
  <c r="DR552" i="2"/>
  <c r="CT552" i="2"/>
  <c r="BV552" i="2"/>
  <c r="AX552" i="2"/>
  <c r="DP552" i="2"/>
  <c r="CR552" i="2"/>
  <c r="BT552" i="2"/>
  <c r="AV552" i="2"/>
  <c r="DN552" i="2"/>
  <c r="CP552" i="2"/>
  <c r="BR552" i="2"/>
  <c r="AT552" i="2"/>
  <c r="A552" i="2"/>
  <c r="CB552" i="2"/>
  <c r="BP552" i="2"/>
  <c r="BD552" i="2"/>
  <c r="AR552" i="2"/>
  <c r="DX552" i="2"/>
  <c r="DL552" i="2"/>
  <c r="CN552" i="2"/>
  <c r="CZ552" i="2"/>
  <c r="V553" i="2"/>
  <c r="C554" i="2"/>
  <c r="G553" i="2"/>
  <c r="AC553" i="2"/>
  <c r="AD553" i="2" s="1"/>
  <c r="E553" i="2"/>
  <c r="D553" i="2"/>
  <c r="F553" i="2" s="1"/>
  <c r="AB553" i="2" s="1"/>
  <c r="DR553" i="2" l="1"/>
  <c r="CT553" i="2"/>
  <c r="BV553" i="2"/>
  <c r="AX553" i="2"/>
  <c r="DP553" i="2"/>
  <c r="CR553" i="2"/>
  <c r="BT553" i="2"/>
  <c r="AV553" i="2"/>
  <c r="DN553" i="2"/>
  <c r="CP553" i="2"/>
  <c r="BR553" i="2"/>
  <c r="AT553" i="2"/>
  <c r="A553" i="2"/>
  <c r="DL553" i="2"/>
  <c r="CN553" i="2"/>
  <c r="BP553" i="2"/>
  <c r="AR553" i="2"/>
  <c r="DJ553" i="2"/>
  <c r="CL553" i="2"/>
  <c r="BN553" i="2"/>
  <c r="AP553" i="2"/>
  <c r="S553" i="2"/>
  <c r="T553" i="2" s="1"/>
  <c r="DH553" i="2"/>
  <c r="CJ553" i="2"/>
  <c r="BL553" i="2"/>
  <c r="AN553" i="2"/>
  <c r="DF553" i="2"/>
  <c r="CH553" i="2"/>
  <c r="BJ553" i="2"/>
  <c r="AL553" i="2"/>
  <c r="EB553" i="2"/>
  <c r="DD553" i="2"/>
  <c r="CF553" i="2"/>
  <c r="BH553" i="2"/>
  <c r="AJ553" i="2"/>
  <c r="DZ553" i="2"/>
  <c r="DB553" i="2"/>
  <c r="CD553" i="2"/>
  <c r="BF553" i="2"/>
  <c r="AH553" i="2"/>
  <c r="DX553" i="2"/>
  <c r="CZ553" i="2"/>
  <c r="CB553" i="2"/>
  <c r="BD553" i="2"/>
  <c r="DV553" i="2"/>
  <c r="CX553" i="2"/>
  <c r="BZ553" i="2"/>
  <c r="BB553" i="2"/>
  <c r="BX553" i="2"/>
  <c r="AZ553" i="2"/>
  <c r="CV553" i="2"/>
  <c r="DT553" i="2"/>
  <c r="G554" i="2"/>
  <c r="AC554" i="2"/>
  <c r="AD554" i="2" s="1"/>
  <c r="E554" i="2"/>
  <c r="D554" i="2"/>
  <c r="F554" i="2" s="1"/>
  <c r="AB554" i="2" s="1"/>
  <c r="V554" i="2"/>
  <c r="C555" i="2"/>
  <c r="W552" i="2"/>
  <c r="B553" i="2"/>
  <c r="W553" i="2" l="1"/>
  <c r="B554" i="2"/>
  <c r="C556" i="2"/>
  <c r="G555" i="2"/>
  <c r="AC555" i="2"/>
  <c r="AD555" i="2" s="1"/>
  <c r="E555" i="2"/>
  <c r="D555" i="2"/>
  <c r="F555" i="2" s="1"/>
  <c r="AB555" i="2" s="1"/>
  <c r="V555" i="2"/>
  <c r="DZ554" i="2"/>
  <c r="DB554" i="2"/>
  <c r="CD554" i="2"/>
  <c r="BF554" i="2"/>
  <c r="AH554" i="2"/>
  <c r="DX554" i="2"/>
  <c r="CZ554" i="2"/>
  <c r="CB554" i="2"/>
  <c r="BD554" i="2"/>
  <c r="DV554" i="2"/>
  <c r="CX554" i="2"/>
  <c r="BZ554" i="2"/>
  <c r="BB554" i="2"/>
  <c r="DT554" i="2"/>
  <c r="CV554" i="2"/>
  <c r="BX554" i="2"/>
  <c r="AZ554" i="2"/>
  <c r="DR554" i="2"/>
  <c r="CT554" i="2"/>
  <c r="BV554" i="2"/>
  <c r="AX554" i="2"/>
  <c r="DP554" i="2"/>
  <c r="CR554" i="2"/>
  <c r="BT554" i="2"/>
  <c r="AV554" i="2"/>
  <c r="DN554" i="2"/>
  <c r="CP554" i="2"/>
  <c r="BR554" i="2"/>
  <c r="AT554" i="2"/>
  <c r="A554" i="2"/>
  <c r="DL554" i="2"/>
  <c r="CN554" i="2"/>
  <c r="BP554" i="2"/>
  <c r="AR554" i="2"/>
  <c r="DJ554" i="2"/>
  <c r="CL554" i="2"/>
  <c r="BN554" i="2"/>
  <c r="AP554" i="2"/>
  <c r="S554" i="2"/>
  <c r="T554" i="2" s="1"/>
  <c r="DH554" i="2"/>
  <c r="CJ554" i="2"/>
  <c r="BL554" i="2"/>
  <c r="AN554" i="2"/>
  <c r="DF554" i="2"/>
  <c r="CH554" i="2"/>
  <c r="BJ554" i="2"/>
  <c r="AL554" i="2"/>
  <c r="EB554" i="2"/>
  <c r="DD554" i="2"/>
  <c r="CF554" i="2"/>
  <c r="BH554" i="2"/>
  <c r="AJ554" i="2"/>
  <c r="W554" i="2" l="1"/>
  <c r="B555" i="2"/>
  <c r="DJ555" i="2"/>
  <c r="CL555" i="2"/>
  <c r="BN555" i="2"/>
  <c r="AP555" i="2"/>
  <c r="S555" i="2"/>
  <c r="T555" i="2" s="1"/>
  <c r="DH555" i="2"/>
  <c r="CJ555" i="2"/>
  <c r="BL555" i="2"/>
  <c r="AN555" i="2"/>
  <c r="DF555" i="2"/>
  <c r="CH555" i="2"/>
  <c r="BJ555" i="2"/>
  <c r="AL555" i="2"/>
  <c r="EB555" i="2"/>
  <c r="DD555" i="2"/>
  <c r="CF555" i="2"/>
  <c r="BH555" i="2"/>
  <c r="AJ555" i="2"/>
  <c r="DZ555" i="2"/>
  <c r="DB555" i="2"/>
  <c r="CD555" i="2"/>
  <c r="BF555" i="2"/>
  <c r="AH555" i="2"/>
  <c r="DX555" i="2"/>
  <c r="CZ555" i="2"/>
  <c r="CB555" i="2"/>
  <c r="BD555" i="2"/>
  <c r="DV555" i="2"/>
  <c r="CX555" i="2"/>
  <c r="BZ555" i="2"/>
  <c r="BB555" i="2"/>
  <c r="DT555" i="2"/>
  <c r="CV555" i="2"/>
  <c r="BX555" i="2"/>
  <c r="AZ555" i="2"/>
  <c r="DR555" i="2"/>
  <c r="CT555" i="2"/>
  <c r="BV555" i="2"/>
  <c r="AX555" i="2"/>
  <c r="DP555" i="2"/>
  <c r="CR555" i="2"/>
  <c r="BT555" i="2"/>
  <c r="AV555" i="2"/>
  <c r="DN555" i="2"/>
  <c r="CP555" i="2"/>
  <c r="BR555" i="2"/>
  <c r="AT555" i="2"/>
  <c r="A555" i="2"/>
  <c r="DL555" i="2"/>
  <c r="CN555" i="2"/>
  <c r="BP555" i="2"/>
  <c r="AR555" i="2"/>
  <c r="V556" i="2"/>
  <c r="C557" i="2"/>
  <c r="G556" i="2"/>
  <c r="AC556" i="2"/>
  <c r="AD556" i="2" s="1"/>
  <c r="E556" i="2"/>
  <c r="D556" i="2"/>
  <c r="F556" i="2" s="1"/>
  <c r="AB556" i="2" s="1"/>
  <c r="G557" i="2" l="1"/>
  <c r="AC557" i="2"/>
  <c r="AD557" i="2" s="1"/>
  <c r="E557" i="2"/>
  <c r="D557" i="2"/>
  <c r="F557" i="2" s="1"/>
  <c r="AB557" i="2" s="1"/>
  <c r="V557" i="2"/>
  <c r="C558" i="2"/>
  <c r="W555" i="2"/>
  <c r="B556" i="2"/>
  <c r="DR556" i="2"/>
  <c r="CT556" i="2"/>
  <c r="BV556" i="2"/>
  <c r="AX556" i="2"/>
  <c r="DP556" i="2"/>
  <c r="CR556" i="2"/>
  <c r="BT556" i="2"/>
  <c r="AV556" i="2"/>
  <c r="DN556" i="2"/>
  <c r="CP556" i="2"/>
  <c r="BR556" i="2"/>
  <c r="AT556" i="2"/>
  <c r="A556" i="2"/>
  <c r="DL556" i="2"/>
  <c r="CN556" i="2"/>
  <c r="BP556" i="2"/>
  <c r="AR556" i="2"/>
  <c r="DJ556" i="2"/>
  <c r="CL556" i="2"/>
  <c r="BN556" i="2"/>
  <c r="AP556" i="2"/>
  <c r="S556" i="2"/>
  <c r="T556" i="2" s="1"/>
  <c r="DH556" i="2"/>
  <c r="CJ556" i="2"/>
  <c r="BL556" i="2"/>
  <c r="AN556" i="2"/>
  <c r="DF556" i="2"/>
  <c r="CH556" i="2"/>
  <c r="BJ556" i="2"/>
  <c r="AL556" i="2"/>
  <c r="EB556" i="2"/>
  <c r="DD556" i="2"/>
  <c r="CF556" i="2"/>
  <c r="BH556" i="2"/>
  <c r="AJ556" i="2"/>
  <c r="DZ556" i="2"/>
  <c r="DB556" i="2"/>
  <c r="CD556" i="2"/>
  <c r="BF556" i="2"/>
  <c r="AH556" i="2"/>
  <c r="DX556" i="2"/>
  <c r="CZ556" i="2"/>
  <c r="CB556" i="2"/>
  <c r="BD556" i="2"/>
  <c r="DV556" i="2"/>
  <c r="CX556" i="2"/>
  <c r="BZ556" i="2"/>
  <c r="BB556" i="2"/>
  <c r="DT556" i="2"/>
  <c r="CV556" i="2"/>
  <c r="BX556" i="2"/>
  <c r="AZ556" i="2"/>
  <c r="C559" i="2" l="1"/>
  <c r="G558" i="2"/>
  <c r="AC558" i="2"/>
  <c r="AD558" i="2" s="1"/>
  <c r="E558" i="2"/>
  <c r="D558" i="2"/>
  <c r="F558" i="2" s="1"/>
  <c r="AB558" i="2" s="1"/>
  <c r="V558" i="2"/>
  <c r="W556" i="2"/>
  <c r="B557" i="2"/>
  <c r="DZ557" i="2"/>
  <c r="DB557" i="2"/>
  <c r="CD557" i="2"/>
  <c r="BF557" i="2"/>
  <c r="AH557" i="2"/>
  <c r="DX557" i="2"/>
  <c r="CZ557" i="2"/>
  <c r="CB557" i="2"/>
  <c r="BD557" i="2"/>
  <c r="DV557" i="2"/>
  <c r="CX557" i="2"/>
  <c r="BZ557" i="2"/>
  <c r="BB557" i="2"/>
  <c r="DT557" i="2"/>
  <c r="CV557" i="2"/>
  <c r="BX557" i="2"/>
  <c r="AZ557" i="2"/>
  <c r="DR557" i="2"/>
  <c r="CT557" i="2"/>
  <c r="BV557" i="2"/>
  <c r="AX557" i="2"/>
  <c r="DP557" i="2"/>
  <c r="CR557" i="2"/>
  <c r="BT557" i="2"/>
  <c r="AV557" i="2"/>
  <c r="DN557" i="2"/>
  <c r="CP557" i="2"/>
  <c r="BR557" i="2"/>
  <c r="AT557" i="2"/>
  <c r="A557" i="2"/>
  <c r="DL557" i="2"/>
  <c r="CN557" i="2"/>
  <c r="BP557" i="2"/>
  <c r="AR557" i="2"/>
  <c r="DJ557" i="2"/>
  <c r="CL557" i="2"/>
  <c r="BN557" i="2"/>
  <c r="AP557" i="2"/>
  <c r="S557" i="2"/>
  <c r="T557" i="2" s="1"/>
  <c r="DH557" i="2"/>
  <c r="CJ557" i="2"/>
  <c r="BL557" i="2"/>
  <c r="AN557" i="2"/>
  <c r="DF557" i="2"/>
  <c r="CH557" i="2"/>
  <c r="BJ557" i="2"/>
  <c r="AL557" i="2"/>
  <c r="BH557" i="2"/>
  <c r="AJ557" i="2"/>
  <c r="EB557" i="2"/>
  <c r="CF557" i="2"/>
  <c r="DD557" i="2"/>
  <c r="W557" i="2" l="1"/>
  <c r="B558" i="2"/>
  <c r="DJ558" i="2"/>
  <c r="CL558" i="2"/>
  <c r="BN558" i="2"/>
  <c r="AP558" i="2"/>
  <c r="S558" i="2"/>
  <c r="T558" i="2" s="1"/>
  <c r="DH558" i="2"/>
  <c r="CJ558" i="2"/>
  <c r="BL558" i="2"/>
  <c r="AN558" i="2"/>
  <c r="DF558" i="2"/>
  <c r="CH558" i="2"/>
  <c r="BJ558" i="2"/>
  <c r="AL558" i="2"/>
  <c r="EB558" i="2"/>
  <c r="DD558" i="2"/>
  <c r="CF558" i="2"/>
  <c r="BH558" i="2"/>
  <c r="AJ558" i="2"/>
  <c r="DZ558" i="2"/>
  <c r="DB558" i="2"/>
  <c r="CD558" i="2"/>
  <c r="BF558" i="2"/>
  <c r="AH558" i="2"/>
  <c r="DX558" i="2"/>
  <c r="CZ558" i="2"/>
  <c r="CB558" i="2"/>
  <c r="BD558" i="2"/>
  <c r="DV558" i="2"/>
  <c r="CX558" i="2"/>
  <c r="BZ558" i="2"/>
  <c r="BB558" i="2"/>
  <c r="DT558" i="2"/>
  <c r="CV558" i="2"/>
  <c r="BX558" i="2"/>
  <c r="AZ558" i="2"/>
  <c r="DR558" i="2"/>
  <c r="CT558" i="2"/>
  <c r="BV558" i="2"/>
  <c r="AX558" i="2"/>
  <c r="DP558" i="2"/>
  <c r="CR558" i="2"/>
  <c r="BT558" i="2"/>
  <c r="AV558" i="2"/>
  <c r="DN558" i="2"/>
  <c r="CP558" i="2"/>
  <c r="BR558" i="2"/>
  <c r="AT558" i="2"/>
  <c r="A558" i="2"/>
  <c r="DL558" i="2"/>
  <c r="CN558" i="2"/>
  <c r="BP558" i="2"/>
  <c r="AR558" i="2"/>
  <c r="V559" i="2"/>
  <c r="C560" i="2"/>
  <c r="G559" i="2"/>
  <c r="AC559" i="2"/>
  <c r="AD559" i="2" s="1"/>
  <c r="E559" i="2"/>
  <c r="D559" i="2"/>
  <c r="F559" i="2" s="1"/>
  <c r="AB559" i="2" s="1"/>
  <c r="G560" i="2" l="1"/>
  <c r="AC560" i="2"/>
  <c r="AD560" i="2" s="1"/>
  <c r="E560" i="2"/>
  <c r="D560" i="2"/>
  <c r="F560" i="2" s="1"/>
  <c r="AB560" i="2" s="1"/>
  <c r="V560" i="2"/>
  <c r="C561" i="2"/>
  <c r="W558" i="2"/>
  <c r="B559" i="2"/>
  <c r="DR559" i="2"/>
  <c r="CT559" i="2"/>
  <c r="BV559" i="2"/>
  <c r="AX559" i="2"/>
  <c r="DP559" i="2"/>
  <c r="CR559" i="2"/>
  <c r="BT559" i="2"/>
  <c r="AV559" i="2"/>
  <c r="DN559" i="2"/>
  <c r="CP559" i="2"/>
  <c r="BR559" i="2"/>
  <c r="AT559" i="2"/>
  <c r="A559" i="2"/>
  <c r="DL559" i="2"/>
  <c r="CN559" i="2"/>
  <c r="BP559" i="2"/>
  <c r="AR559" i="2"/>
  <c r="DJ559" i="2"/>
  <c r="CL559" i="2"/>
  <c r="BN559" i="2"/>
  <c r="AP559" i="2"/>
  <c r="S559" i="2"/>
  <c r="T559" i="2" s="1"/>
  <c r="DH559" i="2"/>
  <c r="CJ559" i="2"/>
  <c r="BL559" i="2"/>
  <c r="AN559" i="2"/>
  <c r="DF559" i="2"/>
  <c r="CH559" i="2"/>
  <c r="BJ559" i="2"/>
  <c r="AL559" i="2"/>
  <c r="EB559" i="2"/>
  <c r="DD559" i="2"/>
  <c r="CF559" i="2"/>
  <c r="BH559" i="2"/>
  <c r="AJ559" i="2"/>
  <c r="DZ559" i="2"/>
  <c r="DB559" i="2"/>
  <c r="CD559" i="2"/>
  <c r="BF559" i="2"/>
  <c r="AH559" i="2"/>
  <c r="DX559" i="2"/>
  <c r="CZ559" i="2"/>
  <c r="CB559" i="2"/>
  <c r="BD559" i="2"/>
  <c r="DV559" i="2"/>
  <c r="CX559" i="2"/>
  <c r="BZ559" i="2"/>
  <c r="BB559" i="2"/>
  <c r="DT559" i="2"/>
  <c r="CV559" i="2"/>
  <c r="BX559" i="2"/>
  <c r="AZ559" i="2"/>
  <c r="AC561" i="2" l="1"/>
  <c r="AD561" i="2" s="1"/>
  <c r="G561" i="2"/>
  <c r="E561" i="2"/>
  <c r="D561" i="2"/>
  <c r="F561" i="2" s="1"/>
  <c r="AB561" i="2" s="1"/>
  <c r="V561" i="2"/>
  <c r="C562" i="2"/>
  <c r="W559" i="2"/>
  <c r="B560" i="2"/>
  <c r="DZ560" i="2"/>
  <c r="DB560" i="2"/>
  <c r="CD560" i="2"/>
  <c r="BF560" i="2"/>
  <c r="AH560" i="2"/>
  <c r="DX560" i="2"/>
  <c r="CZ560" i="2"/>
  <c r="CB560" i="2"/>
  <c r="BD560" i="2"/>
  <c r="DV560" i="2"/>
  <c r="CX560" i="2"/>
  <c r="BZ560" i="2"/>
  <c r="BB560" i="2"/>
  <c r="DT560" i="2"/>
  <c r="CV560" i="2"/>
  <c r="BX560" i="2"/>
  <c r="AZ560" i="2"/>
  <c r="DR560" i="2"/>
  <c r="CT560" i="2"/>
  <c r="BV560" i="2"/>
  <c r="AX560" i="2"/>
  <c r="DP560" i="2"/>
  <c r="CR560" i="2"/>
  <c r="BT560" i="2"/>
  <c r="AV560" i="2"/>
  <c r="DN560" i="2"/>
  <c r="CP560" i="2"/>
  <c r="BR560" i="2"/>
  <c r="AT560" i="2"/>
  <c r="A560" i="2"/>
  <c r="DL560" i="2"/>
  <c r="CN560" i="2"/>
  <c r="BP560" i="2"/>
  <c r="AR560" i="2"/>
  <c r="DJ560" i="2"/>
  <c r="CL560" i="2"/>
  <c r="BN560" i="2"/>
  <c r="AP560" i="2"/>
  <c r="S560" i="2"/>
  <c r="T560" i="2" s="1"/>
  <c r="DH560" i="2"/>
  <c r="CJ560" i="2"/>
  <c r="BL560" i="2"/>
  <c r="AN560" i="2"/>
  <c r="DF560" i="2"/>
  <c r="CH560" i="2"/>
  <c r="BJ560" i="2"/>
  <c r="AL560" i="2"/>
  <c r="EB560" i="2"/>
  <c r="DD560" i="2"/>
  <c r="CF560" i="2"/>
  <c r="BH560" i="2"/>
  <c r="AJ560" i="2"/>
  <c r="C563" i="2" l="1"/>
  <c r="G562" i="2"/>
  <c r="AC562" i="2"/>
  <c r="AD562" i="2" s="1"/>
  <c r="E562" i="2"/>
  <c r="D562" i="2"/>
  <c r="F562" i="2" s="1"/>
  <c r="AB562" i="2" s="1"/>
  <c r="V562" i="2"/>
  <c r="W560" i="2"/>
  <c r="B561" i="2"/>
  <c r="DF561" i="2"/>
  <c r="CH561" i="2"/>
  <c r="BJ561" i="2"/>
  <c r="AL561" i="2"/>
  <c r="S561" i="2"/>
  <c r="T561" i="2" s="1"/>
  <c r="EB561" i="2"/>
  <c r="DD561" i="2"/>
  <c r="CF561" i="2"/>
  <c r="BH561" i="2"/>
  <c r="AJ561" i="2"/>
  <c r="DZ561" i="2"/>
  <c r="DB561" i="2"/>
  <c r="CD561" i="2"/>
  <c r="BF561" i="2"/>
  <c r="AH561" i="2"/>
  <c r="DX561" i="2"/>
  <c r="CZ561" i="2"/>
  <c r="CB561" i="2"/>
  <c r="BD561" i="2"/>
  <c r="DV561" i="2"/>
  <c r="CX561" i="2"/>
  <c r="BZ561" i="2"/>
  <c r="BB561" i="2"/>
  <c r="DT561" i="2"/>
  <c r="CV561" i="2"/>
  <c r="BX561" i="2"/>
  <c r="AZ561" i="2"/>
  <c r="DR561" i="2"/>
  <c r="CT561" i="2"/>
  <c r="BV561" i="2"/>
  <c r="AX561" i="2"/>
  <c r="DP561" i="2"/>
  <c r="CR561" i="2"/>
  <c r="BT561" i="2"/>
  <c r="AV561" i="2"/>
  <c r="DN561" i="2"/>
  <c r="CP561" i="2"/>
  <c r="BR561" i="2"/>
  <c r="AT561" i="2"/>
  <c r="DL561" i="2"/>
  <c r="CN561" i="2"/>
  <c r="BP561" i="2"/>
  <c r="AR561" i="2"/>
  <c r="DJ561" i="2"/>
  <c r="CL561" i="2"/>
  <c r="BN561" i="2"/>
  <c r="AP561" i="2"/>
  <c r="A561" i="2"/>
  <c r="DH561" i="2"/>
  <c r="CJ561" i="2"/>
  <c r="BL561" i="2"/>
  <c r="AN561" i="2"/>
  <c r="W561" i="2" l="1"/>
  <c r="B562" i="2"/>
  <c r="DL562" i="2"/>
  <c r="CN562" i="2"/>
  <c r="BP562" i="2"/>
  <c r="AR562" i="2"/>
  <c r="A562" i="2"/>
  <c r="DJ562" i="2"/>
  <c r="CL562" i="2"/>
  <c r="BN562" i="2"/>
  <c r="AP562" i="2"/>
  <c r="DH562" i="2"/>
  <c r="CJ562" i="2"/>
  <c r="BL562" i="2"/>
  <c r="S562" i="2"/>
  <c r="T562" i="2" s="1"/>
  <c r="DF562" i="2"/>
  <c r="CH562" i="2"/>
  <c r="BJ562" i="2"/>
  <c r="AN562" i="2"/>
  <c r="EB562" i="2"/>
  <c r="DD562" i="2"/>
  <c r="CF562" i="2"/>
  <c r="BH562" i="2"/>
  <c r="AL562" i="2"/>
  <c r="DZ562" i="2"/>
  <c r="DB562" i="2"/>
  <c r="CD562" i="2"/>
  <c r="BF562" i="2"/>
  <c r="AJ562" i="2"/>
  <c r="DX562" i="2"/>
  <c r="CZ562" i="2"/>
  <c r="CB562" i="2"/>
  <c r="BD562" i="2"/>
  <c r="AH562" i="2"/>
  <c r="DV562" i="2"/>
  <c r="CX562" i="2"/>
  <c r="BZ562" i="2"/>
  <c r="BB562" i="2"/>
  <c r="DT562" i="2"/>
  <c r="CV562" i="2"/>
  <c r="BX562" i="2"/>
  <c r="AZ562" i="2"/>
  <c r="DR562" i="2"/>
  <c r="CT562" i="2"/>
  <c r="BV562" i="2"/>
  <c r="AX562" i="2"/>
  <c r="DP562" i="2"/>
  <c r="CR562" i="2"/>
  <c r="BT562" i="2"/>
  <c r="AV562" i="2"/>
  <c r="DN562" i="2"/>
  <c r="CP562" i="2"/>
  <c r="AT562" i="2"/>
  <c r="BR562" i="2"/>
  <c r="D563" i="2"/>
  <c r="V563" i="2"/>
  <c r="C564" i="2"/>
  <c r="G563" i="2"/>
  <c r="AC563" i="2"/>
  <c r="AD563" i="2" s="1"/>
  <c r="E563" i="2"/>
  <c r="DT563" i="2" l="1"/>
  <c r="CV563" i="2"/>
  <c r="BX563" i="2"/>
  <c r="AZ563" i="2"/>
  <c r="DR563" i="2"/>
  <c r="CT563" i="2"/>
  <c r="BV563" i="2"/>
  <c r="AX563" i="2"/>
  <c r="DP563" i="2"/>
  <c r="CR563" i="2"/>
  <c r="BT563" i="2"/>
  <c r="AV563" i="2"/>
  <c r="DN563" i="2"/>
  <c r="CP563" i="2"/>
  <c r="BR563" i="2"/>
  <c r="AT563" i="2"/>
  <c r="A563" i="2"/>
  <c r="DL563" i="2"/>
  <c r="CN563" i="2"/>
  <c r="BP563" i="2"/>
  <c r="AR563" i="2"/>
  <c r="DJ563" i="2"/>
  <c r="CL563" i="2"/>
  <c r="BN563" i="2"/>
  <c r="AP563" i="2"/>
  <c r="S563" i="2"/>
  <c r="T563" i="2" s="1"/>
  <c r="DH563" i="2"/>
  <c r="CJ563" i="2"/>
  <c r="BL563" i="2"/>
  <c r="AN563" i="2"/>
  <c r="DF563" i="2"/>
  <c r="CH563" i="2"/>
  <c r="BJ563" i="2"/>
  <c r="AL563" i="2"/>
  <c r="EB563" i="2"/>
  <c r="DD563" i="2"/>
  <c r="CF563" i="2"/>
  <c r="BH563" i="2"/>
  <c r="AJ563" i="2"/>
  <c r="DZ563" i="2"/>
  <c r="DB563" i="2"/>
  <c r="CD563" i="2"/>
  <c r="BF563" i="2"/>
  <c r="AH563" i="2"/>
  <c r="DX563" i="2"/>
  <c r="CZ563" i="2"/>
  <c r="CB563" i="2"/>
  <c r="BD563" i="2"/>
  <c r="BZ563" i="2"/>
  <c r="BB563" i="2"/>
  <c r="CX563" i="2"/>
  <c r="DV563" i="2"/>
  <c r="W562" i="2"/>
  <c r="B563" i="2"/>
  <c r="F563" i="2"/>
  <c r="AB563" i="2" s="1"/>
  <c r="G564" i="2"/>
  <c r="AC564" i="2"/>
  <c r="AD564" i="2" s="1"/>
  <c r="E564" i="2"/>
  <c r="D564" i="2"/>
  <c r="F564" i="2" s="1"/>
  <c r="AB564" i="2" s="1"/>
  <c r="V564" i="2"/>
  <c r="C565" i="2"/>
  <c r="W563" i="2" l="1"/>
  <c r="B564" i="2"/>
  <c r="EB564" i="2"/>
  <c r="DD564" i="2"/>
  <c r="CF564" i="2"/>
  <c r="BH564" i="2"/>
  <c r="AJ564" i="2"/>
  <c r="DZ564" i="2"/>
  <c r="DB564" i="2"/>
  <c r="CD564" i="2"/>
  <c r="BF564" i="2"/>
  <c r="AH564" i="2"/>
  <c r="DX564" i="2"/>
  <c r="CZ564" i="2"/>
  <c r="CB564" i="2"/>
  <c r="BD564" i="2"/>
  <c r="DV564" i="2"/>
  <c r="CX564" i="2"/>
  <c r="BZ564" i="2"/>
  <c r="BB564" i="2"/>
  <c r="DT564" i="2"/>
  <c r="CV564" i="2"/>
  <c r="BX564" i="2"/>
  <c r="AZ564" i="2"/>
  <c r="DR564" i="2"/>
  <c r="CT564" i="2"/>
  <c r="BV564" i="2"/>
  <c r="AX564" i="2"/>
  <c r="DP564" i="2"/>
  <c r="CR564" i="2"/>
  <c r="BT564" i="2"/>
  <c r="AV564" i="2"/>
  <c r="DN564" i="2"/>
  <c r="CP564" i="2"/>
  <c r="BR564" i="2"/>
  <c r="AT564" i="2"/>
  <c r="A564" i="2"/>
  <c r="DL564" i="2"/>
  <c r="CN564" i="2"/>
  <c r="BP564" i="2"/>
  <c r="AR564" i="2"/>
  <c r="DJ564" i="2"/>
  <c r="CL564" i="2"/>
  <c r="BN564" i="2"/>
  <c r="AP564" i="2"/>
  <c r="S564" i="2"/>
  <c r="T564" i="2" s="1"/>
  <c r="DH564" i="2"/>
  <c r="CJ564" i="2"/>
  <c r="BL564" i="2"/>
  <c r="AN564" i="2"/>
  <c r="DF564" i="2"/>
  <c r="CH564" i="2"/>
  <c r="BJ564" i="2"/>
  <c r="AL564" i="2"/>
  <c r="C566" i="2"/>
  <c r="G565" i="2"/>
  <c r="AC565" i="2"/>
  <c r="AD565" i="2" s="1"/>
  <c r="E565" i="2"/>
  <c r="D565" i="2"/>
  <c r="F565" i="2" s="1"/>
  <c r="AB565" i="2" s="1"/>
  <c r="V565" i="2"/>
  <c r="W564" i="2" l="1"/>
  <c r="B565" i="2"/>
  <c r="D566" i="2"/>
  <c r="V566" i="2"/>
  <c r="C567" i="2"/>
  <c r="G566" i="2"/>
  <c r="E566" i="2"/>
  <c r="AC566" i="2"/>
  <c r="AD566" i="2" s="1"/>
  <c r="DL565" i="2"/>
  <c r="CN565" i="2"/>
  <c r="BP565" i="2"/>
  <c r="AR565" i="2"/>
  <c r="DJ565" i="2"/>
  <c r="CL565" i="2"/>
  <c r="BN565" i="2"/>
  <c r="AP565" i="2"/>
  <c r="S565" i="2"/>
  <c r="T565" i="2" s="1"/>
  <c r="DH565" i="2"/>
  <c r="CJ565" i="2"/>
  <c r="BL565" i="2"/>
  <c r="AN565" i="2"/>
  <c r="DF565" i="2"/>
  <c r="CH565" i="2"/>
  <c r="BJ565" i="2"/>
  <c r="AL565" i="2"/>
  <c r="EB565" i="2"/>
  <c r="DD565" i="2"/>
  <c r="CF565" i="2"/>
  <c r="BH565" i="2"/>
  <c r="AJ565" i="2"/>
  <c r="DZ565" i="2"/>
  <c r="DB565" i="2"/>
  <c r="CD565" i="2"/>
  <c r="BF565" i="2"/>
  <c r="AH565" i="2"/>
  <c r="DX565" i="2"/>
  <c r="CZ565" i="2"/>
  <c r="CB565" i="2"/>
  <c r="BD565" i="2"/>
  <c r="DV565" i="2"/>
  <c r="CX565" i="2"/>
  <c r="BZ565" i="2"/>
  <c r="BB565" i="2"/>
  <c r="DT565" i="2"/>
  <c r="CV565" i="2"/>
  <c r="BX565" i="2"/>
  <c r="AZ565" i="2"/>
  <c r="DR565" i="2"/>
  <c r="CT565" i="2"/>
  <c r="BV565" i="2"/>
  <c r="AX565" i="2"/>
  <c r="DP565" i="2"/>
  <c r="CR565" i="2"/>
  <c r="BT565" i="2"/>
  <c r="AV565" i="2"/>
  <c r="A565" i="2"/>
  <c r="DN565" i="2"/>
  <c r="CP565" i="2"/>
  <c r="BR565" i="2"/>
  <c r="AT565" i="2"/>
  <c r="DT566" i="2" l="1"/>
  <c r="CV566" i="2"/>
  <c r="BX566" i="2"/>
  <c r="AZ566" i="2"/>
  <c r="DR566" i="2"/>
  <c r="CT566" i="2"/>
  <c r="BV566" i="2"/>
  <c r="AX566" i="2"/>
  <c r="DP566" i="2"/>
  <c r="CR566" i="2"/>
  <c r="BT566" i="2"/>
  <c r="AV566" i="2"/>
  <c r="DN566" i="2"/>
  <c r="CP566" i="2"/>
  <c r="BR566" i="2"/>
  <c r="AT566" i="2"/>
  <c r="A566" i="2"/>
  <c r="DL566" i="2"/>
  <c r="CN566" i="2"/>
  <c r="BP566" i="2"/>
  <c r="AR566" i="2"/>
  <c r="DJ566" i="2"/>
  <c r="CL566" i="2"/>
  <c r="BN566" i="2"/>
  <c r="AP566" i="2"/>
  <c r="S566" i="2"/>
  <c r="T566" i="2" s="1"/>
  <c r="DH566" i="2"/>
  <c r="CJ566" i="2"/>
  <c r="BL566" i="2"/>
  <c r="AN566" i="2"/>
  <c r="DF566" i="2"/>
  <c r="CH566" i="2"/>
  <c r="BJ566" i="2"/>
  <c r="AL566" i="2"/>
  <c r="EB566" i="2"/>
  <c r="DD566" i="2"/>
  <c r="CF566" i="2"/>
  <c r="BH566" i="2"/>
  <c r="AJ566" i="2"/>
  <c r="DZ566" i="2"/>
  <c r="DB566" i="2"/>
  <c r="CD566" i="2"/>
  <c r="BF566" i="2"/>
  <c r="AH566" i="2"/>
  <c r="DX566" i="2"/>
  <c r="CZ566" i="2"/>
  <c r="CB566" i="2"/>
  <c r="BD566" i="2"/>
  <c r="DV566" i="2"/>
  <c r="CX566" i="2"/>
  <c r="BZ566" i="2"/>
  <c r="BB566" i="2"/>
  <c r="G567" i="2"/>
  <c r="AC567" i="2"/>
  <c r="AD567" i="2" s="1"/>
  <c r="E567" i="2"/>
  <c r="D567" i="2"/>
  <c r="F567" i="2" s="1"/>
  <c r="AB567" i="2" s="1"/>
  <c r="V567" i="2"/>
  <c r="C568" i="2"/>
  <c r="W565" i="2"/>
  <c r="B566" i="2"/>
  <c r="F566" i="2"/>
  <c r="AB566" i="2" s="1"/>
  <c r="C569" i="2" l="1"/>
  <c r="G568" i="2"/>
  <c r="AC568" i="2"/>
  <c r="AD568" i="2" s="1"/>
  <c r="E568" i="2"/>
  <c r="D568" i="2"/>
  <c r="V568" i="2"/>
  <c r="EB567" i="2"/>
  <c r="DD567" i="2"/>
  <c r="CF567" i="2"/>
  <c r="BH567" i="2"/>
  <c r="AJ567" i="2"/>
  <c r="DZ567" i="2"/>
  <c r="DB567" i="2"/>
  <c r="CD567" i="2"/>
  <c r="BF567" i="2"/>
  <c r="AH567" i="2"/>
  <c r="DX567" i="2"/>
  <c r="CZ567" i="2"/>
  <c r="CB567" i="2"/>
  <c r="BD567" i="2"/>
  <c r="DV567" i="2"/>
  <c r="CX567" i="2"/>
  <c r="BZ567" i="2"/>
  <c r="BB567" i="2"/>
  <c r="DT567" i="2"/>
  <c r="CV567" i="2"/>
  <c r="BX567" i="2"/>
  <c r="AZ567" i="2"/>
  <c r="DR567" i="2"/>
  <c r="CT567" i="2"/>
  <c r="BV567" i="2"/>
  <c r="AX567" i="2"/>
  <c r="DP567" i="2"/>
  <c r="CR567" i="2"/>
  <c r="BT567" i="2"/>
  <c r="AV567" i="2"/>
  <c r="DN567" i="2"/>
  <c r="CP567" i="2"/>
  <c r="BR567" i="2"/>
  <c r="AT567" i="2"/>
  <c r="A567" i="2"/>
  <c r="DL567" i="2"/>
  <c r="CN567" i="2"/>
  <c r="BP567" i="2"/>
  <c r="AR567" i="2"/>
  <c r="DJ567" i="2"/>
  <c r="CL567" i="2"/>
  <c r="BN567" i="2"/>
  <c r="AP567" i="2"/>
  <c r="S567" i="2"/>
  <c r="T567" i="2" s="1"/>
  <c r="DH567" i="2"/>
  <c r="CJ567" i="2"/>
  <c r="BL567" i="2"/>
  <c r="AN567" i="2"/>
  <c r="CH567" i="2"/>
  <c r="BJ567" i="2"/>
  <c r="AL567" i="2"/>
  <c r="DF567" i="2"/>
  <c r="W566" i="2"/>
  <c r="B567" i="2"/>
  <c r="F568" i="2" l="1"/>
  <c r="AB568" i="2" s="1"/>
  <c r="W567" i="2"/>
  <c r="B568" i="2"/>
  <c r="DL568" i="2"/>
  <c r="CN568" i="2"/>
  <c r="BP568" i="2"/>
  <c r="AR568" i="2"/>
  <c r="DJ568" i="2"/>
  <c r="CL568" i="2"/>
  <c r="BN568" i="2"/>
  <c r="AP568" i="2"/>
  <c r="S568" i="2"/>
  <c r="T568" i="2" s="1"/>
  <c r="DH568" i="2"/>
  <c r="CJ568" i="2"/>
  <c r="BL568" i="2"/>
  <c r="AN568" i="2"/>
  <c r="DF568" i="2"/>
  <c r="CH568" i="2"/>
  <c r="BJ568" i="2"/>
  <c r="AL568" i="2"/>
  <c r="EB568" i="2"/>
  <c r="DD568" i="2"/>
  <c r="CF568" i="2"/>
  <c r="BH568" i="2"/>
  <c r="AJ568" i="2"/>
  <c r="DZ568" i="2"/>
  <c r="DB568" i="2"/>
  <c r="CD568" i="2"/>
  <c r="BF568" i="2"/>
  <c r="AH568" i="2"/>
  <c r="DX568" i="2"/>
  <c r="CZ568" i="2"/>
  <c r="CB568" i="2"/>
  <c r="BD568" i="2"/>
  <c r="DV568" i="2"/>
  <c r="CX568" i="2"/>
  <c r="BZ568" i="2"/>
  <c r="BB568" i="2"/>
  <c r="DT568" i="2"/>
  <c r="CV568" i="2"/>
  <c r="BX568" i="2"/>
  <c r="AZ568" i="2"/>
  <c r="DR568" i="2"/>
  <c r="CT568" i="2"/>
  <c r="BV568" i="2"/>
  <c r="AX568" i="2"/>
  <c r="DP568" i="2"/>
  <c r="CR568" i="2"/>
  <c r="BT568" i="2"/>
  <c r="AV568" i="2"/>
  <c r="DN568" i="2"/>
  <c r="CP568" i="2"/>
  <c r="BR568" i="2"/>
  <c r="AT568" i="2"/>
  <c r="A568" i="2"/>
  <c r="D569" i="2"/>
  <c r="V569" i="2"/>
  <c r="C570" i="2"/>
  <c r="G569" i="2"/>
  <c r="E569" i="2"/>
  <c r="AC569" i="2"/>
  <c r="AD569" i="2" s="1"/>
  <c r="DT569" i="2" l="1"/>
  <c r="CV569" i="2"/>
  <c r="BX569" i="2"/>
  <c r="AZ569" i="2"/>
  <c r="DR569" i="2"/>
  <c r="CT569" i="2"/>
  <c r="BV569" i="2"/>
  <c r="AX569" i="2"/>
  <c r="DP569" i="2"/>
  <c r="CR569" i="2"/>
  <c r="BT569" i="2"/>
  <c r="AV569" i="2"/>
  <c r="DN569" i="2"/>
  <c r="CP569" i="2"/>
  <c r="BR569" i="2"/>
  <c r="AT569" i="2"/>
  <c r="A569" i="2"/>
  <c r="DL569" i="2"/>
  <c r="CN569" i="2"/>
  <c r="BP569" i="2"/>
  <c r="AR569" i="2"/>
  <c r="DJ569" i="2"/>
  <c r="CL569" i="2"/>
  <c r="BN569" i="2"/>
  <c r="AP569" i="2"/>
  <c r="S569" i="2"/>
  <c r="T569" i="2" s="1"/>
  <c r="DH569" i="2"/>
  <c r="CJ569" i="2"/>
  <c r="BL569" i="2"/>
  <c r="AN569" i="2"/>
  <c r="DF569" i="2"/>
  <c r="CH569" i="2"/>
  <c r="BJ569" i="2"/>
  <c r="AL569" i="2"/>
  <c r="EB569" i="2"/>
  <c r="DD569" i="2"/>
  <c r="CF569" i="2"/>
  <c r="BH569" i="2"/>
  <c r="AJ569" i="2"/>
  <c r="DZ569" i="2"/>
  <c r="DB569" i="2"/>
  <c r="CD569" i="2"/>
  <c r="BF569" i="2"/>
  <c r="AH569" i="2"/>
  <c r="DX569" i="2"/>
  <c r="CZ569" i="2"/>
  <c r="CB569" i="2"/>
  <c r="BD569" i="2"/>
  <c r="DV569" i="2"/>
  <c r="CX569" i="2"/>
  <c r="BZ569" i="2"/>
  <c r="BB569" i="2"/>
  <c r="G570" i="2"/>
  <c r="AC570" i="2"/>
  <c r="AD570" i="2" s="1"/>
  <c r="E570" i="2"/>
  <c r="D570" i="2"/>
  <c r="F570" i="2" s="1"/>
  <c r="AB570" i="2" s="1"/>
  <c r="V570" i="2"/>
  <c r="C571" i="2"/>
  <c r="F569" i="2"/>
  <c r="AB569" i="2" s="1"/>
  <c r="W568" i="2"/>
  <c r="B569" i="2"/>
  <c r="W569" i="2" l="1"/>
  <c r="B570" i="2"/>
  <c r="B5" i="2" s="1"/>
  <c r="C572" i="2"/>
  <c r="G571" i="2"/>
  <c r="AC571" i="2"/>
  <c r="AD571" i="2" s="1"/>
  <c r="E571" i="2"/>
  <c r="D571" i="2"/>
  <c r="F571" i="2" s="1"/>
  <c r="AB571" i="2" s="1"/>
  <c r="V571" i="2"/>
  <c r="EB570" i="2"/>
  <c r="DD570" i="2"/>
  <c r="CF570" i="2"/>
  <c r="BH570" i="2"/>
  <c r="AJ570" i="2"/>
  <c r="DZ570" i="2"/>
  <c r="DB570" i="2"/>
  <c r="CD570" i="2"/>
  <c r="BF570" i="2"/>
  <c r="AH570" i="2"/>
  <c r="DX570" i="2"/>
  <c r="CZ570" i="2"/>
  <c r="CB570" i="2"/>
  <c r="BD570" i="2"/>
  <c r="DV570" i="2"/>
  <c r="CX570" i="2"/>
  <c r="BZ570" i="2"/>
  <c r="BB570" i="2"/>
  <c r="DT570" i="2"/>
  <c r="CV570" i="2"/>
  <c r="BX570" i="2"/>
  <c r="AZ570" i="2"/>
  <c r="DR570" i="2"/>
  <c r="CT570" i="2"/>
  <c r="BV570" i="2"/>
  <c r="AX570" i="2"/>
  <c r="DP570" i="2"/>
  <c r="CR570" i="2"/>
  <c r="BT570" i="2"/>
  <c r="AV570" i="2"/>
  <c r="DN570" i="2"/>
  <c r="CP570" i="2"/>
  <c r="BR570" i="2"/>
  <c r="AT570" i="2"/>
  <c r="A570" i="2"/>
  <c r="DL570" i="2"/>
  <c r="CN570" i="2"/>
  <c r="BP570" i="2"/>
  <c r="AR570" i="2"/>
  <c r="DJ570" i="2"/>
  <c r="CL570" i="2"/>
  <c r="BN570" i="2"/>
  <c r="AP570" i="2"/>
  <c r="S570" i="2"/>
  <c r="T570" i="2" s="1"/>
  <c r="DH570" i="2"/>
  <c r="CJ570" i="2"/>
  <c r="BL570" i="2"/>
  <c r="AN570" i="2"/>
  <c r="DF570" i="2"/>
  <c r="CH570" i="2"/>
  <c r="AL570" i="2"/>
  <c r="BJ570" i="2"/>
  <c r="W570" i="2" l="1"/>
  <c r="B571" i="2"/>
  <c r="DL571" i="2"/>
  <c r="CN571" i="2"/>
  <c r="BP571" i="2"/>
  <c r="AR571" i="2"/>
  <c r="DJ571" i="2"/>
  <c r="CL571" i="2"/>
  <c r="BN571" i="2"/>
  <c r="AP571" i="2"/>
  <c r="S571" i="2"/>
  <c r="T571" i="2" s="1"/>
  <c r="DH571" i="2"/>
  <c r="CJ571" i="2"/>
  <c r="BL571" i="2"/>
  <c r="AN571" i="2"/>
  <c r="DF571" i="2"/>
  <c r="CH571" i="2"/>
  <c r="BJ571" i="2"/>
  <c r="AL571" i="2"/>
  <c r="EB571" i="2"/>
  <c r="DD571" i="2"/>
  <c r="CF571" i="2"/>
  <c r="BH571" i="2"/>
  <c r="AJ571" i="2"/>
  <c r="DZ571" i="2"/>
  <c r="DB571" i="2"/>
  <c r="CD571" i="2"/>
  <c r="BF571" i="2"/>
  <c r="AH571" i="2"/>
  <c r="DX571" i="2"/>
  <c r="CZ571" i="2"/>
  <c r="CB571" i="2"/>
  <c r="BD571" i="2"/>
  <c r="DV571" i="2"/>
  <c r="CX571" i="2"/>
  <c r="BZ571" i="2"/>
  <c r="BB571" i="2"/>
  <c r="DT571" i="2"/>
  <c r="CV571" i="2"/>
  <c r="BX571" i="2"/>
  <c r="AZ571" i="2"/>
  <c r="DR571" i="2"/>
  <c r="CT571" i="2"/>
  <c r="BV571" i="2"/>
  <c r="AX571" i="2"/>
  <c r="DP571" i="2"/>
  <c r="CR571" i="2"/>
  <c r="BT571" i="2"/>
  <c r="AV571" i="2"/>
  <c r="CP571" i="2"/>
  <c r="BR571" i="2"/>
  <c r="AT571" i="2"/>
  <c r="A571" i="2"/>
  <c r="DN571" i="2"/>
  <c r="D572" i="2"/>
  <c r="V572" i="2"/>
  <c r="C573" i="2"/>
  <c r="G572" i="2"/>
  <c r="AC572" i="2"/>
  <c r="AD572" i="2" s="1"/>
  <c r="E572" i="2"/>
  <c r="I1" i="58"/>
  <c r="I1" i="57"/>
  <c r="I1" i="56"/>
  <c r="I1" i="55"/>
  <c r="I1" i="54"/>
  <c r="I1" i="53"/>
  <c r="I1" i="52"/>
  <c r="I1" i="51"/>
  <c r="I1" i="48"/>
  <c r="I1" i="50"/>
  <c r="I1" i="49"/>
  <c r="I1" i="47"/>
  <c r="I1" i="46"/>
  <c r="I1" i="45"/>
  <c r="I1" i="42"/>
  <c r="I1" i="44"/>
  <c r="I1" i="43"/>
  <c r="I1" i="41"/>
  <c r="I1" i="40"/>
  <c r="I1" i="39"/>
  <c r="I1" i="38"/>
  <c r="I1" i="37"/>
  <c r="I1" i="36"/>
  <c r="I1" i="34"/>
  <c r="I1" i="32"/>
  <c r="I1" i="28"/>
  <c r="I1" i="31"/>
  <c r="I1" i="35"/>
  <c r="I1" i="30"/>
  <c r="I1" i="33"/>
  <c r="I1" i="29"/>
  <c r="I1" i="25"/>
  <c r="I1" i="24"/>
  <c r="I1" i="27"/>
  <c r="I1" i="23"/>
  <c r="I1" i="26"/>
  <c r="I1" i="22"/>
  <c r="I1" i="19"/>
  <c r="I1" i="17"/>
  <c r="I1" i="18"/>
  <c r="I1" i="21"/>
  <c r="I1" i="20"/>
  <c r="P43" i="7"/>
  <c r="O42" i="7"/>
  <c r="P42" i="7"/>
  <c r="O43" i="7"/>
  <c r="Q42" i="7"/>
  <c r="Q43" i="7"/>
  <c r="K43" i="7"/>
  <c r="N42" i="7"/>
  <c r="N43" i="7"/>
  <c r="M43" i="7"/>
  <c r="L43" i="7"/>
  <c r="B29" i="17" l="1"/>
  <c r="C29" i="17"/>
  <c r="R43" i="7"/>
  <c r="DT572" i="2"/>
  <c r="CV572" i="2"/>
  <c r="BX572" i="2"/>
  <c r="AZ572" i="2"/>
  <c r="DR572" i="2"/>
  <c r="CT572" i="2"/>
  <c r="BV572" i="2"/>
  <c r="AX572" i="2"/>
  <c r="DP572" i="2"/>
  <c r="CR572" i="2"/>
  <c r="BT572" i="2"/>
  <c r="AV572" i="2"/>
  <c r="DN572" i="2"/>
  <c r="CP572" i="2"/>
  <c r="BR572" i="2"/>
  <c r="AT572" i="2"/>
  <c r="A572" i="2"/>
  <c r="DL572" i="2"/>
  <c r="CN572" i="2"/>
  <c r="BP572" i="2"/>
  <c r="AR572" i="2"/>
  <c r="DJ572" i="2"/>
  <c r="CL572" i="2"/>
  <c r="BN572" i="2"/>
  <c r="AP572" i="2"/>
  <c r="S572" i="2"/>
  <c r="T572" i="2" s="1"/>
  <c r="DH572" i="2"/>
  <c r="CJ572" i="2"/>
  <c r="BL572" i="2"/>
  <c r="AN572" i="2"/>
  <c r="DF572" i="2"/>
  <c r="CH572" i="2"/>
  <c r="BJ572" i="2"/>
  <c r="AL572" i="2"/>
  <c r="EB572" i="2"/>
  <c r="DD572" i="2"/>
  <c r="CF572" i="2"/>
  <c r="BH572" i="2"/>
  <c r="AJ572" i="2"/>
  <c r="DZ572" i="2"/>
  <c r="DB572" i="2"/>
  <c r="CD572" i="2"/>
  <c r="BF572" i="2"/>
  <c r="AH572" i="2"/>
  <c r="DX572" i="2"/>
  <c r="CZ572" i="2"/>
  <c r="CB572" i="2"/>
  <c r="BD572" i="2"/>
  <c r="DV572" i="2"/>
  <c r="CX572" i="2"/>
  <c r="BZ572" i="2"/>
  <c r="BB572" i="2"/>
  <c r="AC573" i="2"/>
  <c r="AD573" i="2" s="1"/>
  <c r="G573" i="2"/>
  <c r="E573" i="2"/>
  <c r="D573" i="2"/>
  <c r="F573" i="2" s="1"/>
  <c r="AB573" i="2" s="1"/>
  <c r="V573" i="2"/>
  <c r="C574" i="2"/>
  <c r="W571" i="2"/>
  <c r="B572" i="2"/>
  <c r="F572" i="2"/>
  <c r="AB572" i="2" s="1"/>
  <c r="D29" i="17"/>
  <c r="E29" i="17" s="1"/>
  <c r="F29" i="17"/>
  <c r="G29" i="17" s="1"/>
  <c r="F29" i="18"/>
  <c r="G29" i="18" s="1"/>
  <c r="F29" i="19"/>
  <c r="G29" i="19" s="1"/>
  <c r="F29" i="20"/>
  <c r="G29" i="20" s="1"/>
  <c r="F29" i="21"/>
  <c r="G29" i="21" s="1"/>
  <c r="F29" i="22"/>
  <c r="G29" i="22" s="1"/>
  <c r="F29" i="23"/>
  <c r="G29" i="23" s="1"/>
  <c r="F29" i="24"/>
  <c r="G29" i="24" s="1"/>
  <c r="F29" i="25"/>
  <c r="G29" i="25" s="1"/>
  <c r="F29" i="26"/>
  <c r="G29" i="26" s="1"/>
  <c r="F29" i="27"/>
  <c r="G29" i="27" s="1"/>
  <c r="F29" i="28"/>
  <c r="G29" i="28" s="1"/>
  <c r="F29" i="29"/>
  <c r="G29" i="29" s="1"/>
  <c r="F29" i="30"/>
  <c r="G29" i="30" s="1"/>
  <c r="F29" i="31"/>
  <c r="G29" i="31" s="1"/>
  <c r="F29" i="32"/>
  <c r="G29" i="32" s="1"/>
  <c r="F29" i="33"/>
  <c r="G29" i="33" s="1"/>
  <c r="F29" i="34"/>
  <c r="G29" i="34" s="1"/>
  <c r="F29" i="35"/>
  <c r="G29" i="35" s="1"/>
  <c r="F29" i="36"/>
  <c r="G29" i="36" s="1"/>
  <c r="F29" i="37"/>
  <c r="G29" i="37" s="1"/>
  <c r="F29" i="38"/>
  <c r="G29" i="38" s="1"/>
  <c r="F29" i="39"/>
  <c r="G29" i="39" s="1"/>
  <c r="F29" i="40"/>
  <c r="G29" i="40" s="1"/>
  <c r="F29" i="41"/>
  <c r="G29" i="41" s="1"/>
  <c r="F29" i="42"/>
  <c r="G29" i="42" s="1"/>
  <c r="F29" i="43"/>
  <c r="G29" i="43" s="1"/>
  <c r="F29" i="44"/>
  <c r="G29" i="44" s="1"/>
  <c r="F29" i="45"/>
  <c r="G29" i="45" s="1"/>
  <c r="F29" i="46"/>
  <c r="G29" i="46" s="1"/>
  <c r="F29" i="47"/>
  <c r="G29" i="47" s="1"/>
  <c r="F29" i="48"/>
  <c r="G29" i="48" s="1"/>
  <c r="F29" i="49"/>
  <c r="G29" i="49" s="1"/>
  <c r="F29" i="50"/>
  <c r="G29" i="50" s="1"/>
  <c r="F29" i="51"/>
  <c r="G29" i="51" s="1"/>
  <c r="F29" i="52"/>
  <c r="G29" i="52" s="1"/>
  <c r="D29" i="53"/>
  <c r="E29" i="53"/>
  <c r="F29" i="53"/>
  <c r="G29" i="53"/>
  <c r="H29" i="53"/>
  <c r="I29" i="53"/>
  <c r="J29" i="53"/>
  <c r="K29" i="53"/>
  <c r="L29" i="53"/>
  <c r="M29" i="53"/>
  <c r="B29" i="54"/>
  <c r="D29" i="54"/>
  <c r="C29" i="54"/>
  <c r="E29" i="54"/>
  <c r="F29" i="54"/>
  <c r="G29" i="54"/>
  <c r="H29" i="54"/>
  <c r="I29" i="54"/>
  <c r="J29" i="54"/>
  <c r="K29" i="54"/>
  <c r="L29" i="54"/>
  <c r="M29" i="54"/>
  <c r="B29" i="55"/>
  <c r="C29" i="55"/>
  <c r="D29" i="55"/>
  <c r="E29" i="55"/>
  <c r="F29" i="55"/>
  <c r="G29" i="55"/>
  <c r="H29" i="55"/>
  <c r="I29" i="55"/>
  <c r="J29" i="55"/>
  <c r="K29" i="55"/>
  <c r="L29" i="55"/>
  <c r="M29" i="55"/>
  <c r="B29" i="56"/>
  <c r="C29" i="56"/>
  <c r="D29" i="56"/>
  <c r="E29" i="56"/>
  <c r="F29" i="56"/>
  <c r="G29" i="56"/>
  <c r="H29" i="56"/>
  <c r="I29" i="56"/>
  <c r="N41" i="7"/>
  <c r="H42" i="7"/>
  <c r="Q41" i="7"/>
  <c r="J10" i="7"/>
  <c r="K9" i="7"/>
  <c r="K24" i="7"/>
  <c r="K41" i="7"/>
  <c r="K40" i="7"/>
  <c r="O39" i="7"/>
  <c r="I40" i="7"/>
  <c r="J13" i="7"/>
  <c r="L40" i="7"/>
  <c r="J34" i="7"/>
  <c r="K35" i="7"/>
  <c r="K4" i="7"/>
  <c r="K13" i="7"/>
  <c r="L39" i="7"/>
  <c r="J18" i="7"/>
  <c r="G42" i="7"/>
  <c r="K21" i="7"/>
  <c r="K14" i="7"/>
  <c r="K38" i="7"/>
  <c r="K20" i="7"/>
  <c r="L42" i="7"/>
  <c r="K34" i="7"/>
  <c r="K17" i="7"/>
  <c r="K19" i="7"/>
  <c r="J7" i="7"/>
  <c r="K10" i="7"/>
  <c r="I39" i="7"/>
  <c r="K26" i="7"/>
  <c r="K36" i="7"/>
  <c r="J39" i="7"/>
  <c r="J41" i="7"/>
  <c r="J11" i="7"/>
  <c r="J3" i="7"/>
  <c r="J16" i="7"/>
  <c r="Q40" i="7"/>
  <c r="J28" i="7"/>
  <c r="J20" i="7"/>
  <c r="F3" i="7"/>
  <c r="O41" i="7"/>
  <c r="P39" i="7"/>
  <c r="K33" i="7"/>
  <c r="J26" i="7"/>
  <c r="P41" i="7"/>
  <c r="M39" i="7"/>
  <c r="K7" i="7"/>
  <c r="J21" i="7"/>
  <c r="K23" i="7"/>
  <c r="K12" i="7"/>
  <c r="G40" i="7"/>
  <c r="J42" i="7"/>
  <c r="K37" i="7"/>
  <c r="L41" i="7"/>
  <c r="H39" i="7"/>
  <c r="I3" i="7"/>
  <c r="J25" i="7"/>
  <c r="J38" i="7"/>
  <c r="J24" i="7"/>
  <c r="J9" i="7"/>
  <c r="I42" i="7"/>
  <c r="H41" i="7"/>
  <c r="K11" i="7"/>
  <c r="G3" i="7"/>
  <c r="O40" i="7"/>
  <c r="K39" i="7"/>
  <c r="I41" i="7"/>
  <c r="J4" i="7"/>
  <c r="K16" i="7"/>
  <c r="P40" i="7"/>
  <c r="K25" i="7"/>
  <c r="J12" i="7"/>
  <c r="K30" i="7"/>
  <c r="Q39" i="7"/>
  <c r="K42" i="7"/>
  <c r="K22" i="7"/>
  <c r="J17" i="7"/>
  <c r="J32" i="7"/>
  <c r="M42" i="7"/>
  <c r="J23" i="7"/>
  <c r="J15" i="7"/>
  <c r="J6" i="7"/>
  <c r="J30" i="7"/>
  <c r="J31" i="7"/>
  <c r="N39" i="7"/>
  <c r="M41" i="7"/>
  <c r="K6" i="7"/>
  <c r="J14" i="7"/>
  <c r="N40" i="7"/>
  <c r="J35" i="7"/>
  <c r="K29" i="7"/>
  <c r="M40" i="7"/>
  <c r="J40" i="7"/>
  <c r="F42" i="7"/>
  <c r="K18" i="7"/>
  <c r="K28" i="7"/>
  <c r="J8" i="7"/>
  <c r="J22" i="7"/>
  <c r="K8" i="7"/>
  <c r="J36" i="7"/>
  <c r="J27" i="7"/>
  <c r="K3" i="7"/>
  <c r="J33" i="7"/>
  <c r="K5" i="7"/>
  <c r="H3" i="7"/>
  <c r="K31" i="7"/>
  <c r="J37" i="7"/>
  <c r="J19" i="7"/>
  <c r="H40" i="7"/>
  <c r="K15" i="7"/>
  <c r="G41" i="7"/>
  <c r="K27" i="7"/>
  <c r="F40" i="7"/>
  <c r="J5" i="7"/>
  <c r="J29" i="7"/>
  <c r="F41" i="7"/>
  <c r="K32" i="7"/>
  <c r="E150" i="16" l="1"/>
  <c r="C40" i="17"/>
  <c r="C41" i="17" s="1"/>
  <c r="D150" i="16"/>
  <c r="P150" i="16" s="1"/>
  <c r="B40" i="17"/>
  <c r="B41" i="17" s="1"/>
  <c r="K44" i="7"/>
  <c r="J44" i="7"/>
  <c r="R42" i="7"/>
  <c r="R41" i="7"/>
  <c r="R40" i="7"/>
  <c r="G40" i="38"/>
  <c r="G41" i="38" s="1"/>
  <c r="H29" i="38"/>
  <c r="G40" i="26"/>
  <c r="G41" i="26" s="1"/>
  <c r="H29" i="26"/>
  <c r="G40" i="49"/>
  <c r="G41" i="49" s="1"/>
  <c r="H29" i="49"/>
  <c r="G40" i="37"/>
  <c r="G41" i="37" s="1"/>
  <c r="H29" i="37"/>
  <c r="G40" i="25"/>
  <c r="G41" i="25" s="1"/>
  <c r="H29" i="25"/>
  <c r="G40" i="48"/>
  <c r="G41" i="48" s="1"/>
  <c r="H29" i="48"/>
  <c r="G40" i="36"/>
  <c r="G41" i="36" s="1"/>
  <c r="H29" i="36"/>
  <c r="G40" i="24"/>
  <c r="G41" i="24" s="1"/>
  <c r="H29" i="24"/>
  <c r="G40" i="47"/>
  <c r="G41" i="47" s="1"/>
  <c r="H29" i="47"/>
  <c r="G40" i="35"/>
  <c r="G41" i="35" s="1"/>
  <c r="H29" i="35"/>
  <c r="G40" i="23"/>
  <c r="G41" i="23" s="1"/>
  <c r="H29" i="23"/>
  <c r="G40" i="46"/>
  <c r="G41" i="46" s="1"/>
  <c r="H29" i="46"/>
  <c r="G40" i="34"/>
  <c r="G41" i="34" s="1"/>
  <c r="H29" i="34"/>
  <c r="G40" i="22"/>
  <c r="G41" i="22" s="1"/>
  <c r="H29" i="22"/>
  <c r="G40" i="45"/>
  <c r="G41" i="45" s="1"/>
  <c r="H29" i="45"/>
  <c r="G40" i="33"/>
  <c r="G41" i="33" s="1"/>
  <c r="H29" i="33"/>
  <c r="G40" i="21"/>
  <c r="G41" i="21" s="1"/>
  <c r="H29" i="21"/>
  <c r="G40" i="44"/>
  <c r="G41" i="44" s="1"/>
  <c r="H29" i="44"/>
  <c r="G40" i="32"/>
  <c r="G41" i="32" s="1"/>
  <c r="H29" i="32"/>
  <c r="G40" i="20"/>
  <c r="G41" i="20" s="1"/>
  <c r="H29" i="20"/>
  <c r="G40" i="50"/>
  <c r="G41" i="50" s="1"/>
  <c r="H29" i="50"/>
  <c r="G40" i="43"/>
  <c r="G41" i="43" s="1"/>
  <c r="H29" i="43"/>
  <c r="G40" i="31"/>
  <c r="G41" i="31" s="1"/>
  <c r="H29" i="31"/>
  <c r="G40" i="19"/>
  <c r="G41" i="19" s="1"/>
  <c r="H29" i="19"/>
  <c r="G40" i="42"/>
  <c r="G41" i="42" s="1"/>
  <c r="H29" i="42"/>
  <c r="G40" i="30"/>
  <c r="G41" i="30" s="1"/>
  <c r="H29" i="30"/>
  <c r="G40" i="18"/>
  <c r="G41" i="18" s="1"/>
  <c r="H29" i="18"/>
  <c r="G40" i="41"/>
  <c r="G41" i="41" s="1"/>
  <c r="H29" i="41"/>
  <c r="G40" i="29"/>
  <c r="G41" i="29" s="1"/>
  <c r="H29" i="29"/>
  <c r="I150" i="16"/>
  <c r="G40" i="17"/>
  <c r="G41" i="17" s="1"/>
  <c r="H29" i="17"/>
  <c r="G40" i="40"/>
  <c r="G41" i="40" s="1"/>
  <c r="H29" i="40"/>
  <c r="G40" i="28"/>
  <c r="G41" i="28" s="1"/>
  <c r="H29" i="28"/>
  <c r="G150" i="16"/>
  <c r="E40" i="17"/>
  <c r="E41" i="17" s="1"/>
  <c r="G40" i="52"/>
  <c r="G41" i="52" s="1"/>
  <c r="H29" i="52"/>
  <c r="G40" i="51"/>
  <c r="G41" i="51" s="1"/>
  <c r="H29" i="51"/>
  <c r="G40" i="39"/>
  <c r="G41" i="39" s="1"/>
  <c r="H29" i="39"/>
  <c r="G40" i="27"/>
  <c r="G41" i="27" s="1"/>
  <c r="H29" i="27"/>
  <c r="F40" i="56"/>
  <c r="F41" i="56" s="1"/>
  <c r="F40" i="55"/>
  <c r="F41" i="55" s="1"/>
  <c r="J40" i="55"/>
  <c r="J41" i="55" s="1"/>
  <c r="J40" i="54"/>
  <c r="J41" i="54" s="1"/>
  <c r="J40" i="53"/>
  <c r="J41" i="53" s="1"/>
  <c r="I40" i="53"/>
  <c r="I41" i="53" s="1"/>
  <c r="I40" i="54"/>
  <c r="I41" i="54" s="1"/>
  <c r="H40" i="56"/>
  <c r="H41" i="56" s="1"/>
  <c r="H40" i="54"/>
  <c r="H41" i="54" s="1"/>
  <c r="H40" i="53"/>
  <c r="H41" i="53" s="1"/>
  <c r="DX573" i="2"/>
  <c r="CZ573" i="2"/>
  <c r="CB573" i="2"/>
  <c r="BD573" i="2"/>
  <c r="DV573" i="2"/>
  <c r="CX573" i="2"/>
  <c r="BZ573" i="2"/>
  <c r="BB573" i="2"/>
  <c r="DT573" i="2"/>
  <c r="CV573" i="2"/>
  <c r="BX573" i="2"/>
  <c r="AZ573" i="2"/>
  <c r="DR573" i="2"/>
  <c r="CT573" i="2"/>
  <c r="BV573" i="2"/>
  <c r="AX573" i="2"/>
  <c r="DP573" i="2"/>
  <c r="CR573" i="2"/>
  <c r="BT573" i="2"/>
  <c r="AV573" i="2"/>
  <c r="DN573" i="2"/>
  <c r="CP573" i="2"/>
  <c r="BR573" i="2"/>
  <c r="AT573" i="2"/>
  <c r="DL573" i="2"/>
  <c r="CN573" i="2"/>
  <c r="BP573" i="2"/>
  <c r="AR573" i="2"/>
  <c r="DJ573" i="2"/>
  <c r="CL573" i="2"/>
  <c r="BN573" i="2"/>
  <c r="AP573" i="2"/>
  <c r="A573" i="2"/>
  <c r="DH573" i="2"/>
  <c r="CJ573" i="2"/>
  <c r="BL573" i="2"/>
  <c r="AN573" i="2"/>
  <c r="DF573" i="2"/>
  <c r="CH573" i="2"/>
  <c r="BJ573" i="2"/>
  <c r="AL573" i="2"/>
  <c r="S573" i="2"/>
  <c r="T573" i="2" s="1"/>
  <c r="EB573" i="2"/>
  <c r="DD573" i="2"/>
  <c r="CF573" i="2"/>
  <c r="BH573" i="2"/>
  <c r="AJ573" i="2"/>
  <c r="DZ573" i="2"/>
  <c r="DB573" i="2"/>
  <c r="CD573" i="2"/>
  <c r="BF573" i="2"/>
  <c r="AH573" i="2"/>
  <c r="I40" i="55"/>
  <c r="I41" i="55" s="1"/>
  <c r="H40" i="55"/>
  <c r="H41" i="55" s="1"/>
  <c r="G40" i="56"/>
  <c r="G41" i="56" s="1"/>
  <c r="G40" i="55"/>
  <c r="G41" i="55" s="1"/>
  <c r="G40" i="54"/>
  <c r="G41" i="54" s="1"/>
  <c r="G40" i="53"/>
  <c r="G41" i="53" s="1"/>
  <c r="F40" i="54"/>
  <c r="F41" i="54" s="1"/>
  <c r="F40" i="48"/>
  <c r="F41" i="48" s="1"/>
  <c r="F40" i="47"/>
  <c r="F41" i="47" s="1"/>
  <c r="F40" i="46"/>
  <c r="F41" i="46" s="1"/>
  <c r="F40" i="44"/>
  <c r="F41" i="44" s="1"/>
  <c r="F40" i="43"/>
  <c r="F41" i="43" s="1"/>
  <c r="F40" i="42"/>
  <c r="F41" i="42" s="1"/>
  <c r="F40" i="41"/>
  <c r="F41" i="41" s="1"/>
  <c r="F40" i="40"/>
  <c r="F41" i="40" s="1"/>
  <c r="F40" i="38"/>
  <c r="F41" i="38" s="1"/>
  <c r="F40" i="37"/>
  <c r="F41" i="37" s="1"/>
  <c r="F40" i="36"/>
  <c r="F41" i="36" s="1"/>
  <c r="F40" i="35"/>
  <c r="F41" i="35" s="1"/>
  <c r="F40" i="34"/>
  <c r="F41" i="34" s="1"/>
  <c r="F40" i="33"/>
  <c r="F41" i="33" s="1"/>
  <c r="F40" i="32"/>
  <c r="F41" i="32" s="1"/>
  <c r="F40" i="31"/>
  <c r="F41" i="31" s="1"/>
  <c r="F40" i="30"/>
  <c r="F41" i="30" s="1"/>
  <c r="F40" i="28"/>
  <c r="F41" i="28" s="1"/>
  <c r="F40" i="27"/>
  <c r="F41" i="27" s="1"/>
  <c r="F40" i="26"/>
  <c r="F41" i="26" s="1"/>
  <c r="F40" i="25"/>
  <c r="F41" i="25" s="1"/>
  <c r="F40" i="23"/>
  <c r="F41" i="23" s="1"/>
  <c r="F40" i="22"/>
  <c r="F41" i="22" s="1"/>
  <c r="F40" i="21"/>
  <c r="F41" i="21" s="1"/>
  <c r="F40" i="20"/>
  <c r="F41" i="20" s="1"/>
  <c r="F40" i="19"/>
  <c r="F41" i="19" s="1"/>
  <c r="F40" i="18"/>
  <c r="F41" i="18" s="1"/>
  <c r="H150" i="16"/>
  <c r="F40" i="17"/>
  <c r="F41" i="17" s="1"/>
  <c r="I40" i="56"/>
  <c r="I41" i="56" s="1"/>
  <c r="F40" i="49"/>
  <c r="F41" i="49" s="1"/>
  <c r="F40" i="45"/>
  <c r="F41" i="45" s="1"/>
  <c r="F40" i="39"/>
  <c r="F41" i="39" s="1"/>
  <c r="F40" i="29"/>
  <c r="F41" i="29" s="1"/>
  <c r="F40" i="24"/>
  <c r="F41" i="24" s="1"/>
  <c r="F40" i="51"/>
  <c r="F41" i="51" s="1"/>
  <c r="E40" i="53"/>
  <c r="E41" i="53" s="1"/>
  <c r="D40" i="55"/>
  <c r="D41" i="55" s="1"/>
  <c r="C40" i="54"/>
  <c r="C41" i="54" s="1"/>
  <c r="D40" i="53"/>
  <c r="D41" i="53" s="1"/>
  <c r="F150" i="16"/>
  <c r="D40" i="17"/>
  <c r="F40" i="53"/>
  <c r="F41" i="53" s="1"/>
  <c r="E40" i="55"/>
  <c r="E41" i="55" s="1"/>
  <c r="C40" i="56"/>
  <c r="C41" i="56" s="1"/>
  <c r="C40" i="55"/>
  <c r="C41" i="55" s="1"/>
  <c r="D40" i="54"/>
  <c r="D41" i="54" s="1"/>
  <c r="F40" i="52"/>
  <c r="F41" i="52" s="1"/>
  <c r="E40" i="56"/>
  <c r="E41" i="56" s="1"/>
  <c r="E40" i="54"/>
  <c r="E41" i="54" s="1"/>
  <c r="N29" i="56"/>
  <c r="B40" i="56"/>
  <c r="N29" i="55"/>
  <c r="B40" i="55"/>
  <c r="N29" i="54"/>
  <c r="B40" i="54"/>
  <c r="F40" i="50"/>
  <c r="F41" i="50" s="1"/>
  <c r="D40" i="56"/>
  <c r="D41" i="56" s="1"/>
  <c r="M40" i="53"/>
  <c r="M41" i="53" s="1"/>
  <c r="L40" i="54"/>
  <c r="L41" i="54" s="1"/>
  <c r="L40" i="53"/>
  <c r="L41" i="53" s="1"/>
  <c r="G574" i="2"/>
  <c r="AC574" i="2"/>
  <c r="AD574" i="2" s="1"/>
  <c r="E574" i="2"/>
  <c r="D574" i="2"/>
  <c r="V574" i="2"/>
  <c r="C575" i="2"/>
  <c r="M40" i="55"/>
  <c r="M41" i="55" s="1"/>
  <c r="M40" i="54"/>
  <c r="M41" i="54" s="1"/>
  <c r="L40" i="55"/>
  <c r="L41" i="55" s="1"/>
  <c r="K40" i="55"/>
  <c r="K41" i="55" s="1"/>
  <c r="K40" i="54"/>
  <c r="K41" i="54" s="1"/>
  <c r="K40" i="53"/>
  <c r="K41" i="53" s="1"/>
  <c r="W572" i="2"/>
  <c r="B573" i="2"/>
  <c r="I41" i="5"/>
  <c r="M41" i="5"/>
  <c r="I42" i="5"/>
  <c r="O41" i="5"/>
  <c r="Q41" i="5"/>
  <c r="P41" i="5"/>
  <c r="H42" i="5"/>
  <c r="J41" i="5"/>
  <c r="G42" i="5"/>
  <c r="N41" i="5"/>
  <c r="L42" i="5"/>
  <c r="G41" i="5"/>
  <c r="H41" i="5"/>
  <c r="M42" i="5"/>
  <c r="K42" i="5"/>
  <c r="K41" i="5"/>
  <c r="L41" i="5"/>
  <c r="J42" i="5"/>
  <c r="L39" i="5"/>
  <c r="K40" i="5"/>
  <c r="P39" i="5"/>
  <c r="L40" i="5"/>
  <c r="I39" i="5"/>
  <c r="Q40" i="5"/>
  <c r="P40" i="5"/>
  <c r="Q39" i="5"/>
  <c r="J39" i="5"/>
  <c r="N40" i="5"/>
  <c r="M39" i="5"/>
  <c r="G40" i="5"/>
  <c r="H39" i="5"/>
  <c r="K38" i="5"/>
  <c r="O39" i="5"/>
  <c r="M40" i="5"/>
  <c r="K39" i="5"/>
  <c r="I40" i="5"/>
  <c r="H40" i="5"/>
  <c r="J38" i="5"/>
  <c r="N39" i="5"/>
  <c r="O40" i="5"/>
  <c r="J40" i="5"/>
  <c r="J18" i="5"/>
  <c r="L29" i="7"/>
  <c r="J35" i="5"/>
  <c r="K28" i="5"/>
  <c r="K9" i="5"/>
  <c r="J20" i="5"/>
  <c r="L5" i="7"/>
  <c r="L12" i="7"/>
  <c r="K19" i="5"/>
  <c r="K34" i="5"/>
  <c r="L24" i="7"/>
  <c r="K10" i="5"/>
  <c r="J9" i="5"/>
  <c r="L28" i="7"/>
  <c r="K11" i="5"/>
  <c r="K24" i="5"/>
  <c r="L37" i="7"/>
  <c r="L27" i="7"/>
  <c r="K27" i="5"/>
  <c r="J10" i="5"/>
  <c r="L33" i="7"/>
  <c r="J32" i="5"/>
  <c r="L13" i="7"/>
  <c r="J17" i="5"/>
  <c r="J16" i="5"/>
  <c r="K37" i="5"/>
  <c r="L14" i="7"/>
  <c r="J27" i="5"/>
  <c r="L32" i="7"/>
  <c r="K4" i="5"/>
  <c r="J24" i="5"/>
  <c r="L38" i="7"/>
  <c r="K14" i="5"/>
  <c r="K17" i="5"/>
  <c r="I3" i="5"/>
  <c r="L3" i="7"/>
  <c r="K32" i="5"/>
  <c r="K30" i="5"/>
  <c r="J23" i="5"/>
  <c r="K36" i="5"/>
  <c r="L36" i="7"/>
  <c r="J37" i="5"/>
  <c r="K25" i="5"/>
  <c r="K13" i="5"/>
  <c r="J8" i="5"/>
  <c r="J28" i="5"/>
  <c r="L21" i="7"/>
  <c r="J36" i="5"/>
  <c r="J25" i="5"/>
  <c r="K33" i="5"/>
  <c r="J33" i="5"/>
  <c r="L16" i="7"/>
  <c r="K31" i="5"/>
  <c r="K7" i="5"/>
  <c r="J6" i="5"/>
  <c r="J22" i="5"/>
  <c r="K6" i="5"/>
  <c r="J31" i="5"/>
  <c r="K26" i="5"/>
  <c r="L15" i="7"/>
  <c r="J12" i="5"/>
  <c r="L25" i="7"/>
  <c r="K35" i="5"/>
  <c r="L18" i="7"/>
  <c r="J11" i="5"/>
  <c r="L10" i="7"/>
  <c r="K16" i="5"/>
  <c r="K8" i="5"/>
  <c r="K12" i="5"/>
  <c r="L31" i="7"/>
  <c r="K22" i="5"/>
  <c r="K15" i="5"/>
  <c r="J7" i="5"/>
  <c r="K23" i="5"/>
  <c r="K21" i="5"/>
  <c r="K3" i="5"/>
  <c r="L17" i="7"/>
  <c r="L7" i="7"/>
  <c r="L9" i="7"/>
  <c r="J34" i="5"/>
  <c r="J5" i="5"/>
  <c r="J14" i="5"/>
  <c r="J15" i="5"/>
  <c r="L11" i="7"/>
  <c r="L22" i="7"/>
  <c r="J29" i="5"/>
  <c r="L23" i="7"/>
  <c r="K18" i="5"/>
  <c r="G3" i="5"/>
  <c r="J13" i="5"/>
  <c r="K5" i="5"/>
  <c r="J26" i="5"/>
  <c r="J3" i="5"/>
  <c r="L34" i="7"/>
  <c r="L20" i="7"/>
  <c r="L6" i="7"/>
  <c r="L4" i="7"/>
  <c r="L8" i="7"/>
  <c r="J4" i="5"/>
  <c r="L19" i="7"/>
  <c r="K20" i="5"/>
  <c r="J21" i="5"/>
  <c r="F3" i="5"/>
  <c r="L35" i="7"/>
  <c r="J19" i="5"/>
  <c r="K29" i="5"/>
  <c r="L26" i="7"/>
  <c r="J30" i="5"/>
  <c r="L30" i="7"/>
  <c r="F574" i="2" l="1"/>
  <c r="AB574" i="2" s="1"/>
  <c r="B53" i="17"/>
  <c r="C53" i="17"/>
  <c r="L44" i="7"/>
  <c r="K44" i="5"/>
  <c r="J44" i="5"/>
  <c r="F53" i="31"/>
  <c r="DF574" i="2"/>
  <c r="CH574" i="2"/>
  <c r="BJ574" i="2"/>
  <c r="AN574" i="2"/>
  <c r="EB574" i="2"/>
  <c r="DD574" i="2"/>
  <c r="CF574" i="2"/>
  <c r="BH574" i="2"/>
  <c r="AL574" i="2"/>
  <c r="DZ574" i="2"/>
  <c r="DB574" i="2"/>
  <c r="CD574" i="2"/>
  <c r="BF574" i="2"/>
  <c r="AJ574" i="2"/>
  <c r="DX574" i="2"/>
  <c r="CZ574" i="2"/>
  <c r="CB574" i="2"/>
  <c r="BD574" i="2"/>
  <c r="AH574" i="2"/>
  <c r="DV574" i="2"/>
  <c r="CX574" i="2"/>
  <c r="BZ574" i="2"/>
  <c r="BB574" i="2"/>
  <c r="DT574" i="2"/>
  <c r="CV574" i="2"/>
  <c r="BX574" i="2"/>
  <c r="AZ574" i="2"/>
  <c r="DR574" i="2"/>
  <c r="CT574" i="2"/>
  <c r="BV574" i="2"/>
  <c r="AX574" i="2"/>
  <c r="DP574" i="2"/>
  <c r="CR574" i="2"/>
  <c r="BT574" i="2"/>
  <c r="AV574" i="2"/>
  <c r="DN574" i="2"/>
  <c r="CP574" i="2"/>
  <c r="BR574" i="2"/>
  <c r="AT574" i="2"/>
  <c r="DL574" i="2"/>
  <c r="CN574" i="2"/>
  <c r="BP574" i="2"/>
  <c r="AR574" i="2"/>
  <c r="A574" i="2"/>
  <c r="DJ574" i="2"/>
  <c r="CL574" i="2"/>
  <c r="BN574" i="2"/>
  <c r="AP574" i="2"/>
  <c r="DH574" i="2"/>
  <c r="CJ574" i="2"/>
  <c r="BL574" i="2"/>
  <c r="S574" i="2"/>
  <c r="T574" i="2" s="1"/>
  <c r="E53" i="54"/>
  <c r="C53" i="54"/>
  <c r="F53" i="18"/>
  <c r="F53" i="32"/>
  <c r="F53" i="46"/>
  <c r="H40" i="27"/>
  <c r="H41" i="27" s="1"/>
  <c r="I29" i="27"/>
  <c r="H40" i="40"/>
  <c r="H41" i="40" s="1"/>
  <c r="I29" i="40"/>
  <c r="G53" i="30"/>
  <c r="G53" i="20"/>
  <c r="G53" i="22"/>
  <c r="G53" i="24"/>
  <c r="G53" i="26"/>
  <c r="F53" i="36"/>
  <c r="K53" i="53"/>
  <c r="L53" i="53"/>
  <c r="E53" i="56"/>
  <c r="D53" i="55"/>
  <c r="F53" i="19"/>
  <c r="F53" i="33"/>
  <c r="F53" i="47"/>
  <c r="G53" i="27"/>
  <c r="G53" i="40"/>
  <c r="H40" i="42"/>
  <c r="H41" i="42" s="1"/>
  <c r="I29" i="42"/>
  <c r="H40" i="32"/>
  <c r="H41" i="32" s="1"/>
  <c r="I29" i="32"/>
  <c r="H40" i="34"/>
  <c r="H41" i="34" s="1"/>
  <c r="I29" i="34"/>
  <c r="H40" i="36"/>
  <c r="H41" i="36" s="1"/>
  <c r="I29" i="36"/>
  <c r="H40" i="38"/>
  <c r="H41" i="38" s="1"/>
  <c r="I29" i="38"/>
  <c r="F53" i="20"/>
  <c r="F53" i="34"/>
  <c r="F53" i="48"/>
  <c r="H53" i="53"/>
  <c r="H40" i="39"/>
  <c r="H41" i="39" s="1"/>
  <c r="I29" i="39"/>
  <c r="J150" i="16"/>
  <c r="H40" i="17"/>
  <c r="H41" i="17" s="1"/>
  <c r="I29" i="17"/>
  <c r="G53" i="42"/>
  <c r="G53" i="32"/>
  <c r="G53" i="34"/>
  <c r="G53" i="36"/>
  <c r="G53" i="38"/>
  <c r="F53" i="52"/>
  <c r="F53" i="21"/>
  <c r="F53" i="35"/>
  <c r="F53" i="54"/>
  <c r="H53" i="54"/>
  <c r="G53" i="39"/>
  <c r="G53" i="17"/>
  <c r="H40" i="19"/>
  <c r="H41" i="19" s="1"/>
  <c r="I29" i="19"/>
  <c r="H40" i="44"/>
  <c r="H41" i="44" s="1"/>
  <c r="I29" i="44"/>
  <c r="H40" i="46"/>
  <c r="H41" i="46" s="1"/>
  <c r="I29" i="46"/>
  <c r="H40" i="48"/>
  <c r="H41" i="48" s="1"/>
  <c r="I29" i="48"/>
  <c r="E53" i="53"/>
  <c r="C53" i="55"/>
  <c r="G53" i="53"/>
  <c r="H53" i="56"/>
  <c r="H40" i="51"/>
  <c r="H41" i="51" s="1"/>
  <c r="I29" i="51"/>
  <c r="G53" i="19"/>
  <c r="G53" i="44"/>
  <c r="G53" i="46"/>
  <c r="G53" i="48"/>
  <c r="D53" i="54"/>
  <c r="F53" i="22"/>
  <c r="F53" i="29"/>
  <c r="G53" i="54"/>
  <c r="I53" i="54"/>
  <c r="G53" i="51"/>
  <c r="H40" i="29"/>
  <c r="H41" i="29" s="1"/>
  <c r="I29" i="29"/>
  <c r="H40" i="31"/>
  <c r="H41" i="31" s="1"/>
  <c r="I29" i="31"/>
  <c r="H40" i="21"/>
  <c r="H41" i="21" s="1"/>
  <c r="I29" i="21"/>
  <c r="H40" i="23"/>
  <c r="H41" i="23" s="1"/>
  <c r="I29" i="23"/>
  <c r="H40" i="25"/>
  <c r="H41" i="25" s="1"/>
  <c r="I29" i="25"/>
  <c r="N40" i="54"/>
  <c r="B41" i="54"/>
  <c r="F53" i="39"/>
  <c r="F53" i="25"/>
  <c r="F53" i="38"/>
  <c r="G53" i="55"/>
  <c r="I53" i="53"/>
  <c r="H40" i="52"/>
  <c r="H41" i="52" s="1"/>
  <c r="I29" i="52"/>
  <c r="G53" i="29"/>
  <c r="G53" i="31"/>
  <c r="G53" i="21"/>
  <c r="G53" i="23"/>
  <c r="G53" i="25"/>
  <c r="C576" i="2"/>
  <c r="G575" i="2"/>
  <c r="AC575" i="2"/>
  <c r="AD575" i="2" s="1"/>
  <c r="E575" i="2"/>
  <c r="D575" i="2"/>
  <c r="V575" i="2"/>
  <c r="F53" i="53"/>
  <c r="F53" i="45"/>
  <c r="F53" i="26"/>
  <c r="F53" i="40"/>
  <c r="G53" i="56"/>
  <c r="J53" i="53"/>
  <c r="G53" i="52"/>
  <c r="H40" i="41"/>
  <c r="H41" i="41" s="1"/>
  <c r="I29" i="41"/>
  <c r="H40" i="43"/>
  <c r="H41" i="43" s="1"/>
  <c r="I29" i="43"/>
  <c r="H40" i="33"/>
  <c r="H41" i="33" s="1"/>
  <c r="I29" i="33"/>
  <c r="H40" i="35"/>
  <c r="H41" i="35" s="1"/>
  <c r="I29" i="35"/>
  <c r="H40" i="37"/>
  <c r="H41" i="37" s="1"/>
  <c r="I29" i="37"/>
  <c r="M53" i="53"/>
  <c r="F53" i="24"/>
  <c r="F53" i="50"/>
  <c r="F53" i="37"/>
  <c r="M53" i="55"/>
  <c r="E53" i="55"/>
  <c r="W573" i="2"/>
  <c r="B574" i="2"/>
  <c r="N40" i="55"/>
  <c r="B41" i="55"/>
  <c r="D41" i="17"/>
  <c r="F53" i="49"/>
  <c r="F53" i="27"/>
  <c r="F53" i="41"/>
  <c r="H53" i="55"/>
  <c r="J53" i="54"/>
  <c r="E53" i="17"/>
  <c r="G53" i="41"/>
  <c r="G53" i="43"/>
  <c r="G53" i="33"/>
  <c r="G53" i="35"/>
  <c r="G53" i="37"/>
  <c r="K53" i="54"/>
  <c r="L53" i="55"/>
  <c r="F53" i="23"/>
  <c r="F53" i="28"/>
  <c r="F53" i="42"/>
  <c r="J53" i="55"/>
  <c r="H40" i="18"/>
  <c r="H41" i="18" s="1"/>
  <c r="I29" i="18"/>
  <c r="H40" i="50"/>
  <c r="H41" i="50" s="1"/>
  <c r="I29" i="50"/>
  <c r="H40" i="45"/>
  <c r="H41" i="45" s="1"/>
  <c r="I29" i="45"/>
  <c r="H40" i="47"/>
  <c r="H41" i="47" s="1"/>
  <c r="I29" i="47"/>
  <c r="H40" i="49"/>
  <c r="H41" i="49" s="1"/>
  <c r="I29" i="49"/>
  <c r="L53" i="54"/>
  <c r="F53" i="51"/>
  <c r="C53" i="56"/>
  <c r="I53" i="56"/>
  <c r="I53" i="55"/>
  <c r="N40" i="56"/>
  <c r="B41" i="56"/>
  <c r="F53" i="17"/>
  <c r="F53" i="30"/>
  <c r="F53" i="43"/>
  <c r="F53" i="55"/>
  <c r="H40" i="28"/>
  <c r="H41" i="28" s="1"/>
  <c r="I29" i="28"/>
  <c r="G53" i="18"/>
  <c r="G53" i="50"/>
  <c r="G53" i="45"/>
  <c r="G53" i="47"/>
  <c r="G53" i="49"/>
  <c r="K53" i="55"/>
  <c r="D53" i="56"/>
  <c r="M53" i="54"/>
  <c r="D53" i="53"/>
  <c r="F53" i="44"/>
  <c r="F53" i="56"/>
  <c r="G53" i="28"/>
  <c r="H40" i="30"/>
  <c r="H41" i="30" s="1"/>
  <c r="I29" i="30"/>
  <c r="H40" i="20"/>
  <c r="H41" i="20" s="1"/>
  <c r="I29" i="20"/>
  <c r="H40" i="22"/>
  <c r="H41" i="22" s="1"/>
  <c r="I29" i="22"/>
  <c r="H40" i="24"/>
  <c r="H41" i="24" s="1"/>
  <c r="I29" i="24"/>
  <c r="H40" i="26"/>
  <c r="H41" i="26" s="1"/>
  <c r="I29" i="26"/>
  <c r="I42" i="3"/>
  <c r="I42" i="12"/>
  <c r="F42" i="5"/>
  <c r="I41" i="3"/>
  <c r="F41" i="5"/>
  <c r="I41" i="12"/>
  <c r="L38" i="5"/>
  <c r="I40" i="3"/>
  <c r="F40" i="5"/>
  <c r="I40" i="12"/>
  <c r="L22" i="5"/>
  <c r="M9" i="7"/>
  <c r="M3" i="7"/>
  <c r="L15" i="5"/>
  <c r="M20" i="7"/>
  <c r="M6" i="7"/>
  <c r="L12" i="5"/>
  <c r="M33" i="7"/>
  <c r="L9" i="5"/>
  <c r="M35" i="7"/>
  <c r="M21" i="7"/>
  <c r="L24" i="5"/>
  <c r="L23" i="5"/>
  <c r="M22" i="7"/>
  <c r="L6" i="5"/>
  <c r="M19" i="7"/>
  <c r="M23" i="7"/>
  <c r="M26" i="7"/>
  <c r="M31" i="7"/>
  <c r="L3" i="5"/>
  <c r="L29" i="5"/>
  <c r="L16" i="5"/>
  <c r="L5" i="5"/>
  <c r="L26" i="5"/>
  <c r="H3" i="5"/>
  <c r="L14" i="5"/>
  <c r="M11" i="7"/>
  <c r="M29" i="7"/>
  <c r="L4" i="5"/>
  <c r="M13" i="7"/>
  <c r="M18" i="7"/>
  <c r="L17" i="5"/>
  <c r="M38" i="7"/>
  <c r="L33" i="5"/>
  <c r="L32" i="5"/>
  <c r="M4" i="7"/>
  <c r="L21" i="5"/>
  <c r="L19" i="5"/>
  <c r="M14" i="7"/>
  <c r="L10" i="5"/>
  <c r="L30" i="5"/>
  <c r="L13" i="5"/>
  <c r="M32" i="7"/>
  <c r="L18" i="5"/>
  <c r="M10" i="7"/>
  <c r="L28" i="5"/>
  <c r="M30" i="7"/>
  <c r="M8" i="7"/>
  <c r="M34" i="7"/>
  <c r="M15" i="7"/>
  <c r="L20" i="5"/>
  <c r="M27" i="7"/>
  <c r="L37" i="5"/>
  <c r="M24" i="7"/>
  <c r="M25" i="7"/>
  <c r="L27" i="5"/>
  <c r="M37" i="7"/>
  <c r="L34" i="5"/>
  <c r="L7" i="5"/>
  <c r="M28" i="7"/>
  <c r="L25" i="5"/>
  <c r="M36" i="7"/>
  <c r="M16" i="7"/>
  <c r="M7" i="7"/>
  <c r="L8" i="5"/>
  <c r="M17" i="7"/>
  <c r="L36" i="5"/>
  <c r="L31" i="5"/>
  <c r="M12" i="7"/>
  <c r="L35" i="5"/>
  <c r="L11" i="5"/>
  <c r="M5" i="7"/>
  <c r="K43" i="3" l="1"/>
  <c r="J43" i="3"/>
  <c r="J43" i="12"/>
  <c r="K43" i="12"/>
  <c r="R40" i="5"/>
  <c r="M44" i="7"/>
  <c r="L44" i="5"/>
  <c r="R42" i="5"/>
  <c r="R41" i="5"/>
  <c r="J42" i="12"/>
  <c r="K42" i="12"/>
  <c r="K42" i="3"/>
  <c r="J42" i="3"/>
  <c r="K41" i="3"/>
  <c r="J41" i="3"/>
  <c r="K41" i="12"/>
  <c r="J41" i="12"/>
  <c r="H53" i="33"/>
  <c r="W574" i="2"/>
  <c r="B575" i="2"/>
  <c r="H53" i="52"/>
  <c r="I40" i="21"/>
  <c r="I41" i="21" s="1"/>
  <c r="J29" i="21"/>
  <c r="I40" i="46"/>
  <c r="I41" i="46" s="1"/>
  <c r="J29" i="46"/>
  <c r="H53" i="42"/>
  <c r="I40" i="18"/>
  <c r="I41" i="18" s="1"/>
  <c r="J29" i="18"/>
  <c r="I40" i="30"/>
  <c r="I41" i="30" s="1"/>
  <c r="J29" i="30"/>
  <c r="H53" i="18"/>
  <c r="I40" i="43"/>
  <c r="I41" i="43" s="1"/>
  <c r="J29" i="43"/>
  <c r="F575" i="2"/>
  <c r="AB575" i="2" s="1"/>
  <c r="H53" i="21"/>
  <c r="H53" i="46"/>
  <c r="H53" i="30"/>
  <c r="H53" i="43"/>
  <c r="I40" i="31"/>
  <c r="I41" i="31" s="1"/>
  <c r="J29" i="31"/>
  <c r="I40" i="44"/>
  <c r="I41" i="44" s="1"/>
  <c r="J29" i="44"/>
  <c r="I40" i="41"/>
  <c r="I41" i="41" s="1"/>
  <c r="J29" i="41"/>
  <c r="H53" i="31"/>
  <c r="H53" i="44"/>
  <c r="I40" i="38"/>
  <c r="I41" i="38" s="1"/>
  <c r="J29" i="38"/>
  <c r="H53" i="20"/>
  <c r="H53" i="28"/>
  <c r="I40" i="49"/>
  <c r="I41" i="49" s="1"/>
  <c r="J29" i="49"/>
  <c r="H53" i="41"/>
  <c r="DN575" i="2"/>
  <c r="CP575" i="2"/>
  <c r="BR575" i="2"/>
  <c r="AT575" i="2"/>
  <c r="A575" i="2"/>
  <c r="DL575" i="2"/>
  <c r="CN575" i="2"/>
  <c r="BP575" i="2"/>
  <c r="AR575" i="2"/>
  <c r="DJ575" i="2"/>
  <c r="CL575" i="2"/>
  <c r="BN575" i="2"/>
  <c r="AP575" i="2"/>
  <c r="S575" i="2"/>
  <c r="T575" i="2" s="1"/>
  <c r="DH575" i="2"/>
  <c r="CJ575" i="2"/>
  <c r="BL575" i="2"/>
  <c r="AN575" i="2"/>
  <c r="DF575" i="2"/>
  <c r="CH575" i="2"/>
  <c r="BJ575" i="2"/>
  <c r="AL575" i="2"/>
  <c r="EB575" i="2"/>
  <c r="DD575" i="2"/>
  <c r="CF575" i="2"/>
  <c r="BH575" i="2"/>
  <c r="AJ575" i="2"/>
  <c r="DZ575" i="2"/>
  <c r="DB575" i="2"/>
  <c r="CD575" i="2"/>
  <c r="BF575" i="2"/>
  <c r="AH575" i="2"/>
  <c r="DX575" i="2"/>
  <c r="CZ575" i="2"/>
  <c r="CB575" i="2"/>
  <c r="BD575" i="2"/>
  <c r="DV575" i="2"/>
  <c r="CX575" i="2"/>
  <c r="BZ575" i="2"/>
  <c r="BB575" i="2"/>
  <c r="DT575" i="2"/>
  <c r="CV575" i="2"/>
  <c r="BX575" i="2"/>
  <c r="AZ575" i="2"/>
  <c r="DR575" i="2"/>
  <c r="CT575" i="2"/>
  <c r="BV575" i="2"/>
  <c r="AX575" i="2"/>
  <c r="DP575" i="2"/>
  <c r="CR575" i="2"/>
  <c r="AV575" i="2"/>
  <c r="BT575" i="2"/>
  <c r="I40" i="29"/>
  <c r="I41" i="29" s="1"/>
  <c r="J29" i="29"/>
  <c r="I40" i="51"/>
  <c r="I41" i="51" s="1"/>
  <c r="J29" i="51"/>
  <c r="I40" i="19"/>
  <c r="I41" i="19" s="1"/>
  <c r="J29" i="19"/>
  <c r="H53" i="38"/>
  <c r="I40" i="40"/>
  <c r="I41" i="40" s="1"/>
  <c r="J29" i="40"/>
  <c r="H53" i="49"/>
  <c r="AC576" i="2"/>
  <c r="AD576" i="2" s="1"/>
  <c r="E576" i="2"/>
  <c r="D576" i="2"/>
  <c r="F576" i="2" s="1"/>
  <c r="AB576" i="2" s="1"/>
  <c r="V576" i="2"/>
  <c r="C577" i="2"/>
  <c r="G576" i="2"/>
  <c r="H53" i="29"/>
  <c r="H53" i="51"/>
  <c r="H53" i="19"/>
  <c r="I40" i="36"/>
  <c r="I41" i="36" s="1"/>
  <c r="J29" i="36"/>
  <c r="H53" i="40"/>
  <c r="I40" i="28"/>
  <c r="I41" i="28" s="1"/>
  <c r="J29" i="28"/>
  <c r="I40" i="26"/>
  <c r="I41" i="26" s="1"/>
  <c r="J29" i="26"/>
  <c r="H53" i="26"/>
  <c r="I40" i="47"/>
  <c r="I41" i="47" s="1"/>
  <c r="J29" i="47"/>
  <c r="N41" i="54"/>
  <c r="B53" i="54"/>
  <c r="K150" i="16"/>
  <c r="I40" i="17"/>
  <c r="J29" i="17"/>
  <c r="H53" i="36"/>
  <c r="I40" i="27"/>
  <c r="I41" i="27" s="1"/>
  <c r="J29" i="27"/>
  <c r="H53" i="17"/>
  <c r="I40" i="34"/>
  <c r="I41" i="34" s="1"/>
  <c r="J29" i="34"/>
  <c r="H53" i="27"/>
  <c r="I40" i="37"/>
  <c r="I41" i="37" s="1"/>
  <c r="J29" i="37"/>
  <c r="H53" i="24"/>
  <c r="I40" i="45"/>
  <c r="I41" i="45" s="1"/>
  <c r="J29" i="45"/>
  <c r="D53" i="17"/>
  <c r="H53" i="37"/>
  <c r="I40" i="25"/>
  <c r="I41" i="25" s="1"/>
  <c r="J29" i="25"/>
  <c r="H53" i="34"/>
  <c r="I40" i="35"/>
  <c r="I41" i="35" s="1"/>
  <c r="J29" i="35"/>
  <c r="H53" i="25"/>
  <c r="I40" i="39"/>
  <c r="I41" i="39" s="1"/>
  <c r="J29" i="39"/>
  <c r="I40" i="32"/>
  <c r="I41" i="32" s="1"/>
  <c r="J29" i="32"/>
  <c r="H53" i="47"/>
  <c r="I40" i="22"/>
  <c r="I41" i="22" s="1"/>
  <c r="J29" i="22"/>
  <c r="N41" i="56"/>
  <c r="B53" i="56"/>
  <c r="H53" i="45"/>
  <c r="N41" i="55"/>
  <c r="B53" i="55"/>
  <c r="H53" i="22"/>
  <c r="I40" i="50"/>
  <c r="I41" i="50" s="1"/>
  <c r="J29" i="50"/>
  <c r="H53" i="35"/>
  <c r="I40" i="23"/>
  <c r="I41" i="23" s="1"/>
  <c r="J29" i="23"/>
  <c r="I40" i="48"/>
  <c r="I41" i="48" s="1"/>
  <c r="J29" i="48"/>
  <c r="H53" i="39"/>
  <c r="H53" i="32"/>
  <c r="I40" i="24"/>
  <c r="I41" i="24" s="1"/>
  <c r="J29" i="24"/>
  <c r="I40" i="20"/>
  <c r="I41" i="20" s="1"/>
  <c r="J29" i="20"/>
  <c r="H53" i="50"/>
  <c r="I40" i="33"/>
  <c r="I41" i="33" s="1"/>
  <c r="J29" i="33"/>
  <c r="I40" i="52"/>
  <c r="I41" i="52" s="1"/>
  <c r="J29" i="52"/>
  <c r="H53" i="23"/>
  <c r="H53" i="48"/>
  <c r="I40" i="42"/>
  <c r="I41" i="42" s="1"/>
  <c r="J29" i="42"/>
  <c r="L42" i="12"/>
  <c r="L41" i="12"/>
  <c r="L41" i="3"/>
  <c r="L42" i="3"/>
  <c r="L40" i="12"/>
  <c r="M38" i="5"/>
  <c r="L40" i="3"/>
  <c r="M18" i="5"/>
  <c r="M37" i="5"/>
  <c r="M15" i="5"/>
  <c r="N38" i="7"/>
  <c r="N17" i="7"/>
  <c r="M29" i="5"/>
  <c r="M28" i="5"/>
  <c r="M13" i="5"/>
  <c r="N16" i="7"/>
  <c r="M11" i="5"/>
  <c r="N14" i="7"/>
  <c r="N26" i="7"/>
  <c r="M35" i="5"/>
  <c r="M36" i="5"/>
  <c r="M23" i="5"/>
  <c r="N5" i="7"/>
  <c r="N32" i="7"/>
  <c r="N11" i="7"/>
  <c r="M31" i="5"/>
  <c r="M27" i="5"/>
  <c r="N21" i="7"/>
  <c r="N31" i="7"/>
  <c r="N34" i="7"/>
  <c r="N24" i="7"/>
  <c r="N12" i="7"/>
  <c r="N15" i="7"/>
  <c r="N35" i="7"/>
  <c r="M21" i="5"/>
  <c r="N25" i="7"/>
  <c r="M24" i="5"/>
  <c r="N37" i="7"/>
  <c r="M34" i="5"/>
  <c r="M25" i="5"/>
  <c r="M12" i="5"/>
  <c r="M5" i="5"/>
  <c r="N13" i="7"/>
  <c r="M8" i="5"/>
  <c r="M19" i="5"/>
  <c r="N36" i="7"/>
  <c r="M16" i="5"/>
  <c r="N7" i="7"/>
  <c r="M30" i="5"/>
  <c r="N27" i="7"/>
  <c r="M4" i="5"/>
  <c r="M32" i="5"/>
  <c r="N8" i="7"/>
  <c r="M26" i="5"/>
  <c r="M33" i="5"/>
  <c r="N30" i="7"/>
  <c r="M9" i="5"/>
  <c r="N19" i="7"/>
  <c r="N4" i="7"/>
  <c r="N9" i="7"/>
  <c r="M22" i="5"/>
  <c r="N29" i="7"/>
  <c r="M10" i="5"/>
  <c r="N23" i="7"/>
  <c r="N28" i="7"/>
  <c r="N18" i="7"/>
  <c r="N6" i="7"/>
  <c r="N20" i="7"/>
  <c r="N33" i="7"/>
  <c r="M14" i="5"/>
  <c r="N3" i="7"/>
  <c r="M6" i="5"/>
  <c r="M20" i="5"/>
  <c r="M17" i="5"/>
  <c r="M7" i="5"/>
  <c r="N22" i="7"/>
  <c r="N10" i="7"/>
  <c r="N43" i="12" l="1"/>
  <c r="N43" i="3"/>
  <c r="N44" i="7"/>
  <c r="N41" i="12"/>
  <c r="M41" i="12"/>
  <c r="O41" i="12" s="1"/>
  <c r="N41" i="3"/>
  <c r="M41" i="3"/>
  <c r="N42" i="3"/>
  <c r="M42" i="3"/>
  <c r="N42" i="12"/>
  <c r="M42" i="12"/>
  <c r="J40" i="23"/>
  <c r="J41" i="23" s="1"/>
  <c r="K29" i="23"/>
  <c r="J40" i="20"/>
  <c r="J41" i="20" s="1"/>
  <c r="K29" i="20"/>
  <c r="I53" i="50"/>
  <c r="J40" i="39"/>
  <c r="J41" i="39" s="1"/>
  <c r="K29" i="39"/>
  <c r="I53" i="45"/>
  <c r="L150" i="16"/>
  <c r="J40" i="17"/>
  <c r="J41" i="17" s="1"/>
  <c r="K29" i="17"/>
  <c r="I53" i="41"/>
  <c r="I41" i="17"/>
  <c r="J40" i="36"/>
  <c r="J41" i="36" s="1"/>
  <c r="K29" i="36"/>
  <c r="J40" i="40"/>
  <c r="J41" i="40" s="1"/>
  <c r="K29" i="40"/>
  <c r="J40" i="44"/>
  <c r="J41" i="44" s="1"/>
  <c r="K29" i="44"/>
  <c r="J40" i="30"/>
  <c r="J41" i="30" s="1"/>
  <c r="K29" i="30"/>
  <c r="I53" i="30"/>
  <c r="J40" i="37"/>
  <c r="J41" i="37" s="1"/>
  <c r="K29" i="37"/>
  <c r="J40" i="42"/>
  <c r="J41" i="42" s="1"/>
  <c r="K29" i="42"/>
  <c r="N53" i="55"/>
  <c r="J40" i="35"/>
  <c r="J41" i="35" s="1"/>
  <c r="K29" i="35"/>
  <c r="I53" i="37"/>
  <c r="J40" i="49"/>
  <c r="J41" i="49" s="1"/>
  <c r="K29" i="49"/>
  <c r="J40" i="31"/>
  <c r="J41" i="31" s="1"/>
  <c r="K29" i="31"/>
  <c r="J40" i="18"/>
  <c r="J41" i="18" s="1"/>
  <c r="K29" i="18"/>
  <c r="I53" i="42"/>
  <c r="N53" i="54"/>
  <c r="J40" i="19"/>
  <c r="J41" i="19" s="1"/>
  <c r="K29" i="19"/>
  <c r="I53" i="49"/>
  <c r="I53" i="31"/>
  <c r="I53" i="18"/>
  <c r="I53" i="44"/>
  <c r="J40" i="34"/>
  <c r="J41" i="34" s="1"/>
  <c r="K29" i="34"/>
  <c r="J40" i="47"/>
  <c r="J41" i="47" s="1"/>
  <c r="K29" i="47"/>
  <c r="I53" i="19"/>
  <c r="I53" i="35"/>
  <c r="J40" i="48"/>
  <c r="J41" i="48" s="1"/>
  <c r="K29" i="48"/>
  <c r="N53" i="56"/>
  <c r="J40" i="25"/>
  <c r="J41" i="25" s="1"/>
  <c r="K29" i="25"/>
  <c r="I53" i="34"/>
  <c r="I53" i="47"/>
  <c r="DV576" i="2"/>
  <c r="CX576" i="2"/>
  <c r="BZ576" i="2"/>
  <c r="BB576" i="2"/>
  <c r="DT576" i="2"/>
  <c r="CV576" i="2"/>
  <c r="BX576" i="2"/>
  <c r="AZ576" i="2"/>
  <c r="DR576" i="2"/>
  <c r="CT576" i="2"/>
  <c r="BV576" i="2"/>
  <c r="AX576" i="2"/>
  <c r="DP576" i="2"/>
  <c r="CR576" i="2"/>
  <c r="BT576" i="2"/>
  <c r="AV576" i="2"/>
  <c r="DN576" i="2"/>
  <c r="CP576" i="2"/>
  <c r="BR576" i="2"/>
  <c r="AT576" i="2"/>
  <c r="A576" i="2"/>
  <c r="DL576" i="2"/>
  <c r="CN576" i="2"/>
  <c r="BP576" i="2"/>
  <c r="AR576" i="2"/>
  <c r="DJ576" i="2"/>
  <c r="CL576" i="2"/>
  <c r="BN576" i="2"/>
  <c r="AP576" i="2"/>
  <c r="S576" i="2"/>
  <c r="T576" i="2" s="1"/>
  <c r="DH576" i="2"/>
  <c r="CJ576" i="2"/>
  <c r="BL576" i="2"/>
  <c r="AN576" i="2"/>
  <c r="DF576" i="2"/>
  <c r="CH576" i="2"/>
  <c r="BJ576" i="2"/>
  <c r="AL576" i="2"/>
  <c r="EB576" i="2"/>
  <c r="DD576" i="2"/>
  <c r="CF576" i="2"/>
  <c r="BH576" i="2"/>
  <c r="AJ576" i="2"/>
  <c r="DZ576" i="2"/>
  <c r="DB576" i="2"/>
  <c r="CD576" i="2"/>
  <c r="BF576" i="2"/>
  <c r="AH576" i="2"/>
  <c r="CB576" i="2"/>
  <c r="BD576" i="2"/>
  <c r="CZ576" i="2"/>
  <c r="DX576" i="2"/>
  <c r="J40" i="51"/>
  <c r="J41" i="51" s="1"/>
  <c r="K29" i="51"/>
  <c r="J40" i="46"/>
  <c r="J41" i="46" s="1"/>
  <c r="K29" i="46"/>
  <c r="I53" i="39"/>
  <c r="J40" i="52"/>
  <c r="J41" i="52" s="1"/>
  <c r="K29" i="52"/>
  <c r="I53" i="48"/>
  <c r="J40" i="22"/>
  <c r="J41" i="22" s="1"/>
  <c r="K29" i="22"/>
  <c r="I53" i="25"/>
  <c r="G577" i="2"/>
  <c r="AC577" i="2"/>
  <c r="AD577" i="2" s="1"/>
  <c r="E577" i="2"/>
  <c r="D577" i="2"/>
  <c r="F577" i="2" s="1"/>
  <c r="AB577" i="2" s="1"/>
  <c r="V577" i="2"/>
  <c r="C578" i="2"/>
  <c r="I53" i="51"/>
  <c r="J40" i="38"/>
  <c r="J41" i="38" s="1"/>
  <c r="K29" i="38"/>
  <c r="I53" i="46"/>
  <c r="I53" i="52"/>
  <c r="J40" i="26"/>
  <c r="J41" i="26" s="1"/>
  <c r="K29" i="26"/>
  <c r="W575" i="2"/>
  <c r="B576" i="2"/>
  <c r="J40" i="29"/>
  <c r="J41" i="29" s="1"/>
  <c r="K29" i="29"/>
  <c r="I53" i="38"/>
  <c r="J40" i="21"/>
  <c r="J41" i="21" s="1"/>
  <c r="K29" i="21"/>
  <c r="J40" i="24"/>
  <c r="J41" i="24" s="1"/>
  <c r="K29" i="24"/>
  <c r="I53" i="36"/>
  <c r="I53" i="22"/>
  <c r="I53" i="26"/>
  <c r="I53" i="21"/>
  <c r="I53" i="20"/>
  <c r="I53" i="40"/>
  <c r="J40" i="33"/>
  <c r="J41" i="33" s="1"/>
  <c r="K29" i="33"/>
  <c r="I53" i="27"/>
  <c r="I53" i="33"/>
  <c r="J40" i="32"/>
  <c r="J41" i="32" s="1"/>
  <c r="K29" i="32"/>
  <c r="J40" i="28"/>
  <c r="J41" i="28" s="1"/>
  <c r="K29" i="28"/>
  <c r="J40" i="43"/>
  <c r="J41" i="43" s="1"/>
  <c r="K29" i="43"/>
  <c r="I53" i="24"/>
  <c r="J40" i="27"/>
  <c r="J41" i="27" s="1"/>
  <c r="K29" i="27"/>
  <c r="I53" i="23"/>
  <c r="I53" i="29"/>
  <c r="J40" i="50"/>
  <c r="J41" i="50" s="1"/>
  <c r="K29" i="50"/>
  <c r="I53" i="32"/>
  <c r="J40" i="45"/>
  <c r="J41" i="45" s="1"/>
  <c r="K29" i="45"/>
  <c r="I53" i="28"/>
  <c r="J40" i="41"/>
  <c r="J41" i="41" s="1"/>
  <c r="K29" i="41"/>
  <c r="I53" i="43"/>
  <c r="P41" i="3"/>
  <c r="P42" i="3"/>
  <c r="P40" i="3"/>
  <c r="N38" i="5"/>
  <c r="N37" i="5"/>
  <c r="N25" i="5"/>
  <c r="N15" i="5"/>
  <c r="O12" i="7"/>
  <c r="O32" i="7"/>
  <c r="O11" i="7"/>
  <c r="O14" i="7"/>
  <c r="O16" i="7"/>
  <c r="O3" i="7"/>
  <c r="O29" i="7"/>
  <c r="M3" i="5"/>
  <c r="O15" i="7"/>
  <c r="N6" i="5"/>
  <c r="N4" i="5"/>
  <c r="O20" i="7"/>
  <c r="N27" i="5"/>
  <c r="N34" i="5"/>
  <c r="O19" i="7"/>
  <c r="O36" i="7"/>
  <c r="O21" i="7"/>
  <c r="O9" i="7"/>
  <c r="O28" i="7"/>
  <c r="N10" i="5"/>
  <c r="O23" i="7"/>
  <c r="N26" i="5"/>
  <c r="N11" i="5"/>
  <c r="N20" i="5"/>
  <c r="O18" i="7"/>
  <c r="N22" i="5"/>
  <c r="N19" i="5"/>
  <c r="N33" i="5"/>
  <c r="O8" i="7"/>
  <c r="O22" i="7"/>
  <c r="N8" i="5"/>
  <c r="N31" i="5"/>
  <c r="O13" i="7"/>
  <c r="O30" i="7"/>
  <c r="N16" i="5"/>
  <c r="N24" i="5"/>
  <c r="N17" i="5"/>
  <c r="N9" i="5"/>
  <c r="O24" i="7"/>
  <c r="O35" i="7"/>
  <c r="N36" i="5"/>
  <c r="N35" i="5"/>
  <c r="O31" i="7"/>
  <c r="O34" i="7"/>
  <c r="N5" i="5"/>
  <c r="N29" i="5"/>
  <c r="O17" i="7"/>
  <c r="N13" i="5"/>
  <c r="O27" i="7"/>
  <c r="N12" i="5"/>
  <c r="O10" i="7"/>
  <c r="N28" i="5"/>
  <c r="N30" i="5"/>
  <c r="O33" i="7"/>
  <c r="N18" i="5"/>
  <c r="O38" i="7"/>
  <c r="N21" i="5"/>
  <c r="N32" i="5"/>
  <c r="N3" i="5"/>
  <c r="O37" i="7"/>
  <c r="O25" i="7"/>
  <c r="N14" i="5"/>
  <c r="O4" i="7"/>
  <c r="O26" i="7"/>
  <c r="N7" i="5"/>
  <c r="O5" i="7"/>
  <c r="O6" i="7"/>
  <c r="O7" i="7"/>
  <c r="N23" i="5"/>
  <c r="N44" i="5" l="1"/>
  <c r="M44" i="5"/>
  <c r="O44" i="7"/>
  <c r="K40" i="41"/>
  <c r="K41" i="41" s="1"/>
  <c r="L29" i="41"/>
  <c r="K40" i="50"/>
  <c r="K41" i="50" s="1"/>
  <c r="L29" i="50"/>
  <c r="J53" i="32"/>
  <c r="J53" i="24"/>
  <c r="K40" i="38"/>
  <c r="K41" i="38" s="1"/>
  <c r="L29" i="38"/>
  <c r="J53" i="34"/>
  <c r="J53" i="31"/>
  <c r="K40" i="30"/>
  <c r="K41" i="30" s="1"/>
  <c r="L29" i="30"/>
  <c r="J53" i="17"/>
  <c r="K40" i="52"/>
  <c r="K41" i="52" s="1"/>
  <c r="L29" i="52"/>
  <c r="K40" i="49"/>
  <c r="K41" i="49" s="1"/>
  <c r="L29" i="49"/>
  <c r="J53" i="30"/>
  <c r="K40" i="21"/>
  <c r="K41" i="21" s="1"/>
  <c r="L29" i="21"/>
  <c r="J53" i="21"/>
  <c r="J53" i="52"/>
  <c r="K40" i="25"/>
  <c r="K41" i="25" s="1"/>
  <c r="L29" i="25"/>
  <c r="J53" i="49"/>
  <c r="K40" i="44"/>
  <c r="K41" i="44" s="1"/>
  <c r="L29" i="44"/>
  <c r="J53" i="44"/>
  <c r="K40" i="39"/>
  <c r="K41" i="39" s="1"/>
  <c r="L29" i="39"/>
  <c r="K40" i="29"/>
  <c r="K41" i="29" s="1"/>
  <c r="L29" i="29"/>
  <c r="W576" i="2"/>
  <c r="B577" i="2"/>
  <c r="K40" i="46"/>
  <c r="K41" i="46" s="1"/>
  <c r="L29" i="46"/>
  <c r="K40" i="35"/>
  <c r="K41" i="35" s="1"/>
  <c r="L29" i="35"/>
  <c r="K40" i="40"/>
  <c r="K41" i="40" s="1"/>
  <c r="L29" i="40"/>
  <c r="J53" i="39"/>
  <c r="K40" i="19"/>
  <c r="K41" i="19" s="1"/>
  <c r="L29" i="19"/>
  <c r="J53" i="35"/>
  <c r="J53" i="40"/>
  <c r="J53" i="50"/>
  <c r="K40" i="51"/>
  <c r="K41" i="51" s="1"/>
  <c r="L29" i="51"/>
  <c r="J53" i="48"/>
  <c r="J53" i="19"/>
  <c r="K40" i="36"/>
  <c r="K41" i="36" s="1"/>
  <c r="L29" i="36"/>
  <c r="K40" i="20"/>
  <c r="K41" i="20" s="1"/>
  <c r="L29" i="20"/>
  <c r="J53" i="38"/>
  <c r="C579" i="2"/>
  <c r="G578" i="2"/>
  <c r="AC578" i="2"/>
  <c r="AD578" i="2" s="1"/>
  <c r="E578" i="2"/>
  <c r="D578" i="2"/>
  <c r="V578" i="2"/>
  <c r="J53" i="46"/>
  <c r="J53" i="41"/>
  <c r="J53" i="51"/>
  <c r="K40" i="42"/>
  <c r="K41" i="42" s="1"/>
  <c r="L29" i="42"/>
  <c r="J53" i="36"/>
  <c r="J53" i="20"/>
  <c r="K40" i="33"/>
  <c r="K41" i="33" s="1"/>
  <c r="L29" i="33"/>
  <c r="K40" i="27"/>
  <c r="K41" i="27" s="1"/>
  <c r="L29" i="27"/>
  <c r="K40" i="43"/>
  <c r="K41" i="43" s="1"/>
  <c r="L29" i="43"/>
  <c r="J53" i="43"/>
  <c r="K40" i="26"/>
  <c r="K41" i="26" s="1"/>
  <c r="L29" i="26"/>
  <c r="DF577" i="2"/>
  <c r="CH577" i="2"/>
  <c r="BJ577" i="2"/>
  <c r="AL577" i="2"/>
  <c r="EB577" i="2"/>
  <c r="DD577" i="2"/>
  <c r="CF577" i="2"/>
  <c r="BH577" i="2"/>
  <c r="AJ577" i="2"/>
  <c r="DZ577" i="2"/>
  <c r="DB577" i="2"/>
  <c r="CD577" i="2"/>
  <c r="BF577" i="2"/>
  <c r="AH577" i="2"/>
  <c r="DX577" i="2"/>
  <c r="CZ577" i="2"/>
  <c r="CB577" i="2"/>
  <c r="BD577" i="2"/>
  <c r="DV577" i="2"/>
  <c r="CX577" i="2"/>
  <c r="BZ577" i="2"/>
  <c r="BB577" i="2"/>
  <c r="DT577" i="2"/>
  <c r="CV577" i="2"/>
  <c r="BX577" i="2"/>
  <c r="AZ577" i="2"/>
  <c r="DR577" i="2"/>
  <c r="CT577" i="2"/>
  <c r="BV577" i="2"/>
  <c r="AX577" i="2"/>
  <c r="DP577" i="2"/>
  <c r="CR577" i="2"/>
  <c r="BT577" i="2"/>
  <c r="AV577" i="2"/>
  <c r="DN577" i="2"/>
  <c r="CP577" i="2"/>
  <c r="BR577" i="2"/>
  <c r="AT577" i="2"/>
  <c r="A577" i="2"/>
  <c r="DL577" i="2"/>
  <c r="CN577" i="2"/>
  <c r="BP577" i="2"/>
  <c r="AR577" i="2"/>
  <c r="DJ577" i="2"/>
  <c r="CL577" i="2"/>
  <c r="BN577" i="2"/>
  <c r="AP577" i="2"/>
  <c r="S577" i="2"/>
  <c r="T577" i="2" s="1"/>
  <c r="DH577" i="2"/>
  <c r="CJ577" i="2"/>
  <c r="BL577" i="2"/>
  <c r="AN577" i="2"/>
  <c r="J53" i="42"/>
  <c r="K40" i="23"/>
  <c r="K41" i="23" s="1"/>
  <c r="L29" i="23"/>
  <c r="J53" i="27"/>
  <c r="K40" i="48"/>
  <c r="K41" i="48" s="1"/>
  <c r="L29" i="48"/>
  <c r="K40" i="28"/>
  <c r="K41" i="28" s="1"/>
  <c r="L29" i="28"/>
  <c r="J53" i="26"/>
  <c r="K40" i="47"/>
  <c r="K41" i="47" s="1"/>
  <c r="L29" i="47"/>
  <c r="K40" i="18"/>
  <c r="K41" i="18" s="1"/>
  <c r="L29" i="18"/>
  <c r="K40" i="37"/>
  <c r="K41" i="37" s="1"/>
  <c r="L29" i="37"/>
  <c r="I53" i="17"/>
  <c r="J53" i="23"/>
  <c r="J53" i="29"/>
  <c r="K40" i="45"/>
  <c r="K41" i="45" s="1"/>
  <c r="L29" i="45"/>
  <c r="J53" i="45"/>
  <c r="J53" i="28"/>
  <c r="K40" i="22"/>
  <c r="K41" i="22" s="1"/>
  <c r="L29" i="22"/>
  <c r="J53" i="47"/>
  <c r="J53" i="18"/>
  <c r="J53" i="37"/>
  <c r="J53" i="25"/>
  <c r="J53" i="33"/>
  <c r="K40" i="32"/>
  <c r="K41" i="32" s="1"/>
  <c r="L29" i="32"/>
  <c r="K40" i="24"/>
  <c r="K41" i="24" s="1"/>
  <c r="L29" i="24"/>
  <c r="J53" i="22"/>
  <c r="K40" i="34"/>
  <c r="K41" i="34" s="1"/>
  <c r="L29" i="34"/>
  <c r="K40" i="31"/>
  <c r="K41" i="31" s="1"/>
  <c r="L29" i="31"/>
  <c r="M150" i="16"/>
  <c r="K40" i="17"/>
  <c r="K41" i="17" s="1"/>
  <c r="L29" i="17"/>
  <c r="O38" i="5"/>
  <c r="P38" i="7"/>
  <c r="P22" i="7"/>
  <c r="P6" i="7"/>
  <c r="O31" i="5"/>
  <c r="P18" i="7"/>
  <c r="P21" i="7"/>
  <c r="O10" i="5"/>
  <c r="P10" i="7"/>
  <c r="P3" i="7"/>
  <c r="P35" i="7"/>
  <c r="O22" i="5"/>
  <c r="P33" i="7"/>
  <c r="O21" i="5"/>
  <c r="P16" i="7"/>
  <c r="P23" i="7"/>
  <c r="O5" i="5"/>
  <c r="O35" i="5"/>
  <c r="P30" i="7"/>
  <c r="O18" i="5"/>
  <c r="P4" i="7"/>
  <c r="P36" i="7"/>
  <c r="O20" i="5"/>
  <c r="P17" i="7"/>
  <c r="O19" i="5"/>
  <c r="P29" i="7"/>
  <c r="O37" i="5"/>
  <c r="P27" i="7"/>
  <c r="O36" i="5"/>
  <c r="O9" i="5"/>
  <c r="O23" i="5"/>
  <c r="O8" i="5"/>
  <c r="P26" i="7"/>
  <c r="P31" i="7"/>
  <c r="O24" i="5"/>
  <c r="O33" i="5"/>
  <c r="P28" i="7"/>
  <c r="P25" i="7"/>
  <c r="O32" i="5"/>
  <c r="O27" i="5"/>
  <c r="O26" i="5"/>
  <c r="O30" i="5"/>
  <c r="O28" i="5"/>
  <c r="P15" i="7"/>
  <c r="P5" i="7"/>
  <c r="O25" i="5"/>
  <c r="P7" i="7"/>
  <c r="O12" i="5"/>
  <c r="O7" i="5"/>
  <c r="O16" i="5"/>
  <c r="O11" i="5"/>
  <c r="O15" i="5"/>
  <c r="O14" i="5"/>
  <c r="P34" i="7"/>
  <c r="O34" i="5"/>
  <c r="P20" i="7"/>
  <c r="P19" i="7"/>
  <c r="P13" i="7"/>
  <c r="P24" i="7"/>
  <c r="O13" i="5"/>
  <c r="O4" i="5"/>
  <c r="O17" i="5"/>
  <c r="P32" i="7"/>
  <c r="O29" i="5"/>
  <c r="O6" i="5"/>
  <c r="P9" i="7"/>
  <c r="P8" i="7"/>
  <c r="P11" i="7"/>
  <c r="P14" i="7"/>
  <c r="P12" i="7"/>
  <c r="O3" i="5"/>
  <c r="P37" i="7"/>
  <c r="F578" i="2" l="1"/>
  <c r="AB578" i="2" s="1"/>
  <c r="P44" i="7"/>
  <c r="O44" i="5"/>
  <c r="L40" i="19"/>
  <c r="L41" i="19" s="1"/>
  <c r="M29" i="19"/>
  <c r="K53" i="45"/>
  <c r="L40" i="28"/>
  <c r="L41" i="28" s="1"/>
  <c r="M29" i="28"/>
  <c r="L40" i="42"/>
  <c r="L41" i="42" s="1"/>
  <c r="M29" i="42"/>
  <c r="L40" i="20"/>
  <c r="L41" i="20" s="1"/>
  <c r="M29" i="20"/>
  <c r="K53" i="19"/>
  <c r="L40" i="39"/>
  <c r="L41" i="39" s="1"/>
  <c r="M29" i="39"/>
  <c r="K53" i="21"/>
  <c r="L40" i="32"/>
  <c r="L41" i="32" s="1"/>
  <c r="M29" i="32"/>
  <c r="K53" i="32"/>
  <c r="K53" i="28"/>
  <c r="L40" i="26"/>
  <c r="L41" i="26" s="1"/>
  <c r="M29" i="26"/>
  <c r="K53" i="42"/>
  <c r="K53" i="20"/>
  <c r="K53" i="39"/>
  <c r="L40" i="49"/>
  <c r="L41" i="49" s="1"/>
  <c r="M29" i="49"/>
  <c r="N150" i="16"/>
  <c r="L40" i="17"/>
  <c r="L41" i="17" s="1"/>
  <c r="M29" i="17"/>
  <c r="N29" i="17" s="1"/>
  <c r="L40" i="48"/>
  <c r="L41" i="48" s="1"/>
  <c r="M29" i="48"/>
  <c r="K53" i="26"/>
  <c r="L40" i="36"/>
  <c r="L41" i="36" s="1"/>
  <c r="M29" i="36"/>
  <c r="L40" i="40"/>
  <c r="L41" i="40" s="1"/>
  <c r="M29" i="40"/>
  <c r="K53" i="49"/>
  <c r="L40" i="50"/>
  <c r="L41" i="50" s="1"/>
  <c r="M29" i="50"/>
  <c r="K53" i="24"/>
  <c r="K53" i="38"/>
  <c r="K53" i="17"/>
  <c r="K53" i="48"/>
  <c r="K53" i="36"/>
  <c r="K53" i="40"/>
  <c r="L40" i="44"/>
  <c r="L41" i="44" s="1"/>
  <c r="M29" i="44"/>
  <c r="L40" i="52"/>
  <c r="L41" i="52" s="1"/>
  <c r="M29" i="52"/>
  <c r="K53" i="50"/>
  <c r="K53" i="29"/>
  <c r="L40" i="43"/>
  <c r="L41" i="43" s="1"/>
  <c r="M29" i="43"/>
  <c r="L40" i="35"/>
  <c r="L41" i="35" s="1"/>
  <c r="M29" i="35"/>
  <c r="K53" i="44"/>
  <c r="K53" i="52"/>
  <c r="L40" i="41"/>
  <c r="L41" i="41" s="1"/>
  <c r="M29" i="41"/>
  <c r="L40" i="37"/>
  <c r="L41" i="37" s="1"/>
  <c r="M29" i="37"/>
  <c r="L40" i="23"/>
  <c r="L41" i="23" s="1"/>
  <c r="M29" i="23"/>
  <c r="K53" i="43"/>
  <c r="W577" i="2"/>
  <c r="B578" i="2"/>
  <c r="K53" i="35"/>
  <c r="K53" i="41"/>
  <c r="L40" i="45"/>
  <c r="L41" i="45" s="1"/>
  <c r="M29" i="45"/>
  <c r="L40" i="31"/>
  <c r="L41" i="31" s="1"/>
  <c r="M29" i="31"/>
  <c r="K53" i="31"/>
  <c r="K53" i="37"/>
  <c r="K53" i="23"/>
  <c r="L40" i="27"/>
  <c r="L41" i="27" s="1"/>
  <c r="M29" i="27"/>
  <c r="L40" i="51"/>
  <c r="L41" i="51" s="1"/>
  <c r="M29" i="51"/>
  <c r="L40" i="46"/>
  <c r="L41" i="46" s="1"/>
  <c r="M29" i="46"/>
  <c r="L40" i="25"/>
  <c r="L41" i="25" s="1"/>
  <c r="M29" i="25"/>
  <c r="L40" i="30"/>
  <c r="L41" i="30" s="1"/>
  <c r="M29" i="30"/>
  <c r="L40" i="34"/>
  <c r="L41" i="34" s="1"/>
  <c r="M29" i="34"/>
  <c r="L40" i="22"/>
  <c r="L41" i="22" s="1"/>
  <c r="M29" i="22"/>
  <c r="L40" i="18"/>
  <c r="L41" i="18" s="1"/>
  <c r="M29" i="18"/>
  <c r="K53" i="27"/>
  <c r="K53" i="51"/>
  <c r="K53" i="46"/>
  <c r="K53" i="25"/>
  <c r="K53" i="30"/>
  <c r="K53" i="34"/>
  <c r="K53" i="22"/>
  <c r="K53" i="18"/>
  <c r="L40" i="33"/>
  <c r="L41" i="33" s="1"/>
  <c r="M29" i="33"/>
  <c r="L40" i="47"/>
  <c r="L41" i="47" s="1"/>
  <c r="M29" i="47"/>
  <c r="K53" i="33"/>
  <c r="DN578" i="2"/>
  <c r="CP578" i="2"/>
  <c r="BR578" i="2"/>
  <c r="AT578" i="2"/>
  <c r="A578" i="2"/>
  <c r="DL578" i="2"/>
  <c r="CN578" i="2"/>
  <c r="BP578" i="2"/>
  <c r="AR578" i="2"/>
  <c r="DJ578" i="2"/>
  <c r="CL578" i="2"/>
  <c r="BN578" i="2"/>
  <c r="AP578" i="2"/>
  <c r="S578" i="2"/>
  <c r="T578" i="2" s="1"/>
  <c r="DH578" i="2"/>
  <c r="CJ578" i="2"/>
  <c r="BL578" i="2"/>
  <c r="AN578" i="2"/>
  <c r="DF578" i="2"/>
  <c r="CH578" i="2"/>
  <c r="BJ578" i="2"/>
  <c r="AL578" i="2"/>
  <c r="EB578" i="2"/>
  <c r="DD578" i="2"/>
  <c r="CF578" i="2"/>
  <c r="BH578" i="2"/>
  <c r="AJ578" i="2"/>
  <c r="DZ578" i="2"/>
  <c r="DB578" i="2"/>
  <c r="CD578" i="2"/>
  <c r="BF578" i="2"/>
  <c r="AH578" i="2"/>
  <c r="DX578" i="2"/>
  <c r="CZ578" i="2"/>
  <c r="CB578" i="2"/>
  <c r="BD578" i="2"/>
  <c r="DV578" i="2"/>
  <c r="CX578" i="2"/>
  <c r="BZ578" i="2"/>
  <c r="BB578" i="2"/>
  <c r="DT578" i="2"/>
  <c r="CV578" i="2"/>
  <c r="BX578" i="2"/>
  <c r="AZ578" i="2"/>
  <c r="DR578" i="2"/>
  <c r="CT578" i="2"/>
  <c r="BV578" i="2"/>
  <c r="AX578" i="2"/>
  <c r="DP578" i="2"/>
  <c r="CR578" i="2"/>
  <c r="BT578" i="2"/>
  <c r="AV578" i="2"/>
  <c r="L40" i="24"/>
  <c r="L41" i="24" s="1"/>
  <c r="M29" i="24"/>
  <c r="K53" i="47"/>
  <c r="AC579" i="2"/>
  <c r="AD579" i="2" s="1"/>
  <c r="E579" i="2"/>
  <c r="D579" i="2"/>
  <c r="V579" i="2"/>
  <c r="C580" i="2"/>
  <c r="G579" i="2"/>
  <c r="L40" i="29"/>
  <c r="L41" i="29" s="1"/>
  <c r="M29" i="29"/>
  <c r="L40" i="21"/>
  <c r="L41" i="21" s="1"/>
  <c r="M29" i="21"/>
  <c r="L40" i="38"/>
  <c r="L41" i="38" s="1"/>
  <c r="M29" i="38"/>
  <c r="P38" i="5"/>
  <c r="Q34" i="7"/>
  <c r="Q8" i="7"/>
  <c r="Q10" i="7"/>
  <c r="P25" i="5"/>
  <c r="P11" i="5"/>
  <c r="Q26" i="7"/>
  <c r="Q19" i="7"/>
  <c r="P33" i="5"/>
  <c r="P29" i="5"/>
  <c r="Q14" i="7"/>
  <c r="P17" i="5"/>
  <c r="P35" i="5"/>
  <c r="Q35" i="7"/>
  <c r="Q27" i="7"/>
  <c r="Q23" i="7"/>
  <c r="P14" i="5"/>
  <c r="P3" i="5"/>
  <c r="P36" i="5"/>
  <c r="Q25" i="7"/>
  <c r="Q33" i="7"/>
  <c r="Q21" i="7"/>
  <c r="P30" i="5"/>
  <c r="P32" i="5"/>
  <c r="Q29" i="7"/>
  <c r="P27" i="5"/>
  <c r="Q22" i="7"/>
  <c r="Q28" i="7"/>
  <c r="P21" i="5"/>
  <c r="Q15" i="7"/>
  <c r="P34" i="5"/>
  <c r="Q3" i="7"/>
  <c r="Q16" i="7"/>
  <c r="Q32" i="7"/>
  <c r="P4" i="5"/>
  <c r="Q36" i="7"/>
  <c r="P22" i="5"/>
  <c r="P24" i="5"/>
  <c r="P37" i="5"/>
  <c r="Q17" i="7"/>
  <c r="Q30" i="7"/>
  <c r="P6" i="5"/>
  <c r="Q5" i="7"/>
  <c r="P18" i="5"/>
  <c r="P19" i="5"/>
  <c r="Q38" i="7"/>
  <c r="P20" i="5"/>
  <c r="Q37" i="7"/>
  <c r="P7" i="5"/>
  <c r="Q9" i="7"/>
  <c r="P28" i="5"/>
  <c r="Q7" i="7"/>
  <c r="Q4" i="7"/>
  <c r="Q12" i="7"/>
  <c r="Q24" i="7"/>
  <c r="P9" i="5"/>
  <c r="Q18" i="7"/>
  <c r="P16" i="5"/>
  <c r="P13" i="5"/>
  <c r="P8" i="5"/>
  <c r="P23" i="5"/>
  <c r="Q11" i="7"/>
  <c r="P31" i="5"/>
  <c r="Q31" i="7"/>
  <c r="Q6" i="7"/>
  <c r="P12" i="5"/>
  <c r="P10" i="5"/>
  <c r="Q20" i="7"/>
  <c r="P26" i="5"/>
  <c r="P15" i="5"/>
  <c r="P5" i="5"/>
  <c r="Q13" i="7"/>
  <c r="Q44" i="7" l="1"/>
  <c r="R3" i="7"/>
  <c r="P44" i="5"/>
  <c r="M40" i="47"/>
  <c r="M41" i="47" s="1"/>
  <c r="B29" i="48"/>
  <c r="M40" i="18"/>
  <c r="M41" i="18" s="1"/>
  <c r="B29" i="19"/>
  <c r="M40" i="51"/>
  <c r="M41" i="51" s="1"/>
  <c r="B29" i="52"/>
  <c r="M40" i="35"/>
  <c r="M41" i="35" s="1"/>
  <c r="B29" i="36"/>
  <c r="M40" i="26"/>
  <c r="M41" i="26" s="1"/>
  <c r="B29" i="27"/>
  <c r="M40" i="42"/>
  <c r="M41" i="42" s="1"/>
  <c r="B29" i="43"/>
  <c r="L53" i="47"/>
  <c r="L53" i="18"/>
  <c r="L53" i="51"/>
  <c r="L53" i="35"/>
  <c r="M40" i="48"/>
  <c r="M41" i="48" s="1"/>
  <c r="B29" i="49"/>
  <c r="L53" i="26"/>
  <c r="L53" i="42"/>
  <c r="M40" i="33"/>
  <c r="M41" i="33" s="1"/>
  <c r="B29" i="34"/>
  <c r="M40" i="27"/>
  <c r="M41" i="27" s="1"/>
  <c r="B29" i="28"/>
  <c r="M40" i="43"/>
  <c r="M41" i="43" s="1"/>
  <c r="B29" i="44"/>
  <c r="L53" i="48"/>
  <c r="M40" i="28"/>
  <c r="M41" i="28" s="1"/>
  <c r="B29" i="29"/>
  <c r="L53" i="20"/>
  <c r="F579" i="2"/>
  <c r="AB579" i="2" s="1"/>
  <c r="M40" i="22"/>
  <c r="M41" i="22" s="1"/>
  <c r="B29" i="23"/>
  <c r="L53" i="33"/>
  <c r="L53" i="22"/>
  <c r="L53" i="27"/>
  <c r="L53" i="43"/>
  <c r="L53" i="28"/>
  <c r="M40" i="34"/>
  <c r="M41" i="34" s="1"/>
  <c r="B29" i="35"/>
  <c r="M40" i="23"/>
  <c r="M41" i="23" s="1"/>
  <c r="B29" i="24"/>
  <c r="O150" i="16"/>
  <c r="M40" i="17"/>
  <c r="B29" i="18"/>
  <c r="M40" i="32"/>
  <c r="M41" i="32" s="1"/>
  <c r="B29" i="33"/>
  <c r="L53" i="36"/>
  <c r="L53" i="34"/>
  <c r="L53" i="23"/>
  <c r="M40" i="50"/>
  <c r="M41" i="50" s="1"/>
  <c r="B29" i="51"/>
  <c r="L53" i="17"/>
  <c r="L53" i="32"/>
  <c r="M40" i="19"/>
  <c r="M41" i="19" s="1"/>
  <c r="B29" i="20"/>
  <c r="G580" i="2"/>
  <c r="AC580" i="2"/>
  <c r="AD580" i="2" s="1"/>
  <c r="E580" i="2"/>
  <c r="D580" i="2"/>
  <c r="V580" i="2"/>
  <c r="C581" i="2"/>
  <c r="W578" i="2"/>
  <c r="B579" i="2"/>
  <c r="M40" i="21"/>
  <c r="M41" i="21" s="1"/>
  <c r="B29" i="22"/>
  <c r="M40" i="30"/>
  <c r="M41" i="30" s="1"/>
  <c r="B29" i="31"/>
  <c r="M40" i="37"/>
  <c r="M41" i="37" s="1"/>
  <c r="B29" i="38"/>
  <c r="M40" i="52"/>
  <c r="M41" i="52" s="1"/>
  <c r="B29" i="53"/>
  <c r="L53" i="50"/>
  <c r="L53" i="19"/>
  <c r="M40" i="24"/>
  <c r="M41" i="24" s="1"/>
  <c r="B29" i="25"/>
  <c r="L53" i="24"/>
  <c r="L53" i="21"/>
  <c r="L53" i="30"/>
  <c r="M40" i="31"/>
  <c r="M41" i="31" s="1"/>
  <c r="B29" i="32"/>
  <c r="L53" i="37"/>
  <c r="L53" i="52"/>
  <c r="M40" i="49"/>
  <c r="M41" i="49" s="1"/>
  <c r="B29" i="50"/>
  <c r="M40" i="39"/>
  <c r="M41" i="39" s="1"/>
  <c r="B29" i="40"/>
  <c r="L53" i="38"/>
  <c r="M40" i="25"/>
  <c r="M41" i="25" s="1"/>
  <c r="B29" i="26"/>
  <c r="L53" i="31"/>
  <c r="M40" i="41"/>
  <c r="M41" i="41" s="1"/>
  <c r="B29" i="42"/>
  <c r="M40" i="44"/>
  <c r="M41" i="44" s="1"/>
  <c r="B29" i="45"/>
  <c r="M40" i="40"/>
  <c r="M41" i="40" s="1"/>
  <c r="B29" i="41"/>
  <c r="L53" i="49"/>
  <c r="L53" i="39"/>
  <c r="L53" i="46"/>
  <c r="M40" i="38"/>
  <c r="M41" i="38" s="1"/>
  <c r="B29" i="39"/>
  <c r="L53" i="29"/>
  <c r="L53" i="25"/>
  <c r="M40" i="45"/>
  <c r="M41" i="45" s="1"/>
  <c r="B29" i="46"/>
  <c r="L53" i="41"/>
  <c r="L53" i="44"/>
  <c r="L53" i="40"/>
  <c r="M40" i="29"/>
  <c r="M41" i="29" s="1"/>
  <c r="B29" i="30"/>
  <c r="DV579" i="2"/>
  <c r="CX579" i="2"/>
  <c r="BZ579" i="2"/>
  <c r="BB579" i="2"/>
  <c r="DT579" i="2"/>
  <c r="CV579" i="2"/>
  <c r="BX579" i="2"/>
  <c r="AZ579" i="2"/>
  <c r="DR579" i="2"/>
  <c r="CT579" i="2"/>
  <c r="BV579" i="2"/>
  <c r="AX579" i="2"/>
  <c r="DP579" i="2"/>
  <c r="CR579" i="2"/>
  <c r="BT579" i="2"/>
  <c r="AV579" i="2"/>
  <c r="DN579" i="2"/>
  <c r="CP579" i="2"/>
  <c r="BR579" i="2"/>
  <c r="AT579" i="2"/>
  <c r="A579" i="2"/>
  <c r="DL579" i="2"/>
  <c r="CN579" i="2"/>
  <c r="BP579" i="2"/>
  <c r="AR579" i="2"/>
  <c r="DJ579" i="2"/>
  <c r="CL579" i="2"/>
  <c r="BN579" i="2"/>
  <c r="AP579" i="2"/>
  <c r="S579" i="2"/>
  <c r="T579" i="2" s="1"/>
  <c r="DH579" i="2"/>
  <c r="CJ579" i="2"/>
  <c r="BL579" i="2"/>
  <c r="AN579" i="2"/>
  <c r="DF579" i="2"/>
  <c r="CH579" i="2"/>
  <c r="BJ579" i="2"/>
  <c r="AL579" i="2"/>
  <c r="EB579" i="2"/>
  <c r="DD579" i="2"/>
  <c r="CF579" i="2"/>
  <c r="BH579" i="2"/>
  <c r="AJ579" i="2"/>
  <c r="DZ579" i="2"/>
  <c r="DB579" i="2"/>
  <c r="CD579" i="2"/>
  <c r="BF579" i="2"/>
  <c r="AH579" i="2"/>
  <c r="DX579" i="2"/>
  <c r="CZ579" i="2"/>
  <c r="CB579" i="2"/>
  <c r="BD579" i="2"/>
  <c r="M40" i="46"/>
  <c r="M41" i="46" s="1"/>
  <c r="B29" i="47"/>
  <c r="L53" i="45"/>
  <c r="M40" i="36"/>
  <c r="M41" i="36" s="1"/>
  <c r="B29" i="37"/>
  <c r="M40" i="20"/>
  <c r="M41" i="20" s="1"/>
  <c r="B29" i="21"/>
  <c r="Q38" i="5"/>
  <c r="F8" i="7"/>
  <c r="F11" i="7"/>
  <c r="F23" i="7"/>
  <c r="Q28" i="5"/>
  <c r="F5" i="7"/>
  <c r="F6" i="7"/>
  <c r="F31" i="7"/>
  <c r="F12" i="7"/>
  <c r="Q14" i="5"/>
  <c r="Q23" i="5"/>
  <c r="F29" i="7"/>
  <c r="Q15" i="5"/>
  <c r="Q29" i="5"/>
  <c r="F9" i="7"/>
  <c r="Q32" i="5"/>
  <c r="Q18" i="5"/>
  <c r="Q16" i="5"/>
  <c r="Q7" i="5"/>
  <c r="Q5" i="5"/>
  <c r="F7" i="7"/>
  <c r="F33" i="7"/>
  <c r="Q37" i="5"/>
  <c r="Q6" i="5"/>
  <c r="F32" i="7"/>
  <c r="F19" i="7"/>
  <c r="F16" i="7"/>
  <c r="F24" i="7"/>
  <c r="Q10" i="5"/>
  <c r="Q8" i="5"/>
  <c r="Q33" i="5"/>
  <c r="F18" i="7"/>
  <c r="Q13" i="5"/>
  <c r="F28" i="7"/>
  <c r="F21" i="7"/>
  <c r="Q24" i="5"/>
  <c r="Q11" i="5"/>
  <c r="F39" i="7"/>
  <c r="Q9" i="5"/>
  <c r="Q30" i="5"/>
  <c r="F26" i="7"/>
  <c r="Q19" i="5"/>
  <c r="F34" i="7"/>
  <c r="Q4" i="5"/>
  <c r="Q20" i="5"/>
  <c r="F27" i="7"/>
  <c r="Q27" i="5"/>
  <c r="F37" i="7"/>
  <c r="F20" i="7"/>
  <c r="Q21" i="5"/>
  <c r="F35" i="7"/>
  <c r="F30" i="7"/>
  <c r="Q17" i="5"/>
  <c r="F10" i="7"/>
  <c r="F22" i="7"/>
  <c r="Q35" i="5"/>
  <c r="F38" i="7"/>
  <c r="F25" i="7"/>
  <c r="F14" i="7"/>
  <c r="Q26" i="5"/>
  <c r="F36" i="7"/>
  <c r="Q12" i="5"/>
  <c r="Q31" i="5"/>
  <c r="Q36" i="5"/>
  <c r="F17" i="7"/>
  <c r="F4" i="7"/>
  <c r="F13" i="7"/>
  <c r="Q22" i="5"/>
  <c r="Q25" i="5"/>
  <c r="F15" i="7"/>
  <c r="Q34" i="5"/>
  <c r="F580" i="2" l="1"/>
  <c r="AB580" i="2" s="1"/>
  <c r="F44" i="7"/>
  <c r="M53" i="41"/>
  <c r="M53" i="31"/>
  <c r="B40" i="31"/>
  <c r="C29" i="31"/>
  <c r="B40" i="20"/>
  <c r="C29" i="20"/>
  <c r="M41" i="17"/>
  <c r="N40" i="17"/>
  <c r="M53" i="22"/>
  <c r="B40" i="36"/>
  <c r="C29" i="36"/>
  <c r="B40" i="47"/>
  <c r="C29" i="47"/>
  <c r="M53" i="46"/>
  <c r="M53" i="30"/>
  <c r="M53" i="19"/>
  <c r="M53" i="35"/>
  <c r="B40" i="52"/>
  <c r="C29" i="52"/>
  <c r="B40" i="39"/>
  <c r="C29" i="39"/>
  <c r="B40" i="22"/>
  <c r="C29" i="22"/>
  <c r="B40" i="49"/>
  <c r="C29" i="49"/>
  <c r="M53" i="38"/>
  <c r="M53" i="25"/>
  <c r="M53" i="21"/>
  <c r="M53" i="23"/>
  <c r="B40" i="29"/>
  <c r="C29" i="29"/>
  <c r="M53" i="48"/>
  <c r="M53" i="51"/>
  <c r="B40" i="26"/>
  <c r="C29" i="26"/>
  <c r="B40" i="24"/>
  <c r="C29" i="24"/>
  <c r="B40" i="25"/>
  <c r="C29" i="25"/>
  <c r="B40" i="51"/>
  <c r="C29" i="51"/>
  <c r="B40" i="35"/>
  <c r="C29" i="35"/>
  <c r="M53" i="28"/>
  <c r="B40" i="19"/>
  <c r="C29" i="19"/>
  <c r="B40" i="30"/>
  <c r="C29" i="30"/>
  <c r="M53" i="24"/>
  <c r="M53" i="34"/>
  <c r="M53" i="18"/>
  <c r="B40" i="40"/>
  <c r="C29" i="40"/>
  <c r="M53" i="50"/>
  <c r="B40" i="21"/>
  <c r="C29" i="21"/>
  <c r="M53" i="29"/>
  <c r="M53" i="39"/>
  <c r="C582" i="2"/>
  <c r="G581" i="2"/>
  <c r="AC581" i="2"/>
  <c r="AD581" i="2" s="1"/>
  <c r="E581" i="2"/>
  <c r="D581" i="2"/>
  <c r="V581" i="2"/>
  <c r="B40" i="44"/>
  <c r="C29" i="44"/>
  <c r="B40" i="48"/>
  <c r="C29" i="48"/>
  <c r="M53" i="43"/>
  <c r="M53" i="47"/>
  <c r="M53" i="20"/>
  <c r="B40" i="50"/>
  <c r="C29" i="50"/>
  <c r="B40" i="53"/>
  <c r="C29" i="53"/>
  <c r="N29" i="53" s="1"/>
  <c r="B40" i="28"/>
  <c r="C29" i="28"/>
  <c r="B40" i="43"/>
  <c r="C29" i="43"/>
  <c r="B40" i="41"/>
  <c r="C29" i="41"/>
  <c r="M53" i="49"/>
  <c r="M53" i="36"/>
  <c r="B40" i="45"/>
  <c r="C29" i="45"/>
  <c r="M53" i="52"/>
  <c r="B40" i="33"/>
  <c r="C29" i="33"/>
  <c r="M53" i="27"/>
  <c r="M53" i="42"/>
  <c r="W579" i="2"/>
  <c r="B580" i="2"/>
  <c r="B40" i="37"/>
  <c r="C29" i="37"/>
  <c r="M53" i="40"/>
  <c r="B40" i="46"/>
  <c r="C29" i="46"/>
  <c r="M53" i="44"/>
  <c r="B40" i="38"/>
  <c r="C29" i="38"/>
  <c r="M53" i="32"/>
  <c r="B40" i="34"/>
  <c r="C29" i="34"/>
  <c r="B40" i="27"/>
  <c r="C29" i="27"/>
  <c r="M53" i="45"/>
  <c r="B40" i="42"/>
  <c r="C29" i="42"/>
  <c r="B40" i="32"/>
  <c r="C29" i="32"/>
  <c r="M53" i="37"/>
  <c r="DF580" i="2"/>
  <c r="CH580" i="2"/>
  <c r="BJ580" i="2"/>
  <c r="AL580" i="2"/>
  <c r="EB580" i="2"/>
  <c r="DD580" i="2"/>
  <c r="CF580" i="2"/>
  <c r="BH580" i="2"/>
  <c r="AJ580" i="2"/>
  <c r="DZ580" i="2"/>
  <c r="DB580" i="2"/>
  <c r="CD580" i="2"/>
  <c r="BF580" i="2"/>
  <c r="AH580" i="2"/>
  <c r="DX580" i="2"/>
  <c r="CZ580" i="2"/>
  <c r="CB580" i="2"/>
  <c r="BD580" i="2"/>
  <c r="DV580" i="2"/>
  <c r="CX580" i="2"/>
  <c r="BZ580" i="2"/>
  <c r="BB580" i="2"/>
  <c r="DT580" i="2"/>
  <c r="CV580" i="2"/>
  <c r="BX580" i="2"/>
  <c r="AZ580" i="2"/>
  <c r="DR580" i="2"/>
  <c r="CT580" i="2"/>
  <c r="BV580" i="2"/>
  <c r="AX580" i="2"/>
  <c r="DP580" i="2"/>
  <c r="CR580" i="2"/>
  <c r="BT580" i="2"/>
  <c r="AV580" i="2"/>
  <c r="DN580" i="2"/>
  <c r="CP580" i="2"/>
  <c r="BR580" i="2"/>
  <c r="AT580" i="2"/>
  <c r="A580" i="2"/>
  <c r="DL580" i="2"/>
  <c r="CN580" i="2"/>
  <c r="BP580" i="2"/>
  <c r="AR580" i="2"/>
  <c r="DJ580" i="2"/>
  <c r="CL580" i="2"/>
  <c r="BN580" i="2"/>
  <c r="AP580" i="2"/>
  <c r="S580" i="2"/>
  <c r="T580" i="2" s="1"/>
  <c r="BL580" i="2"/>
  <c r="AN580" i="2"/>
  <c r="CJ580" i="2"/>
  <c r="DH580" i="2"/>
  <c r="B40" i="18"/>
  <c r="C29" i="18"/>
  <c r="B40" i="23"/>
  <c r="C29" i="23"/>
  <c r="M53" i="33"/>
  <c r="M53" i="26"/>
  <c r="G31" i="7"/>
  <c r="G13" i="7"/>
  <c r="G35" i="7"/>
  <c r="G26" i="7"/>
  <c r="G38" i="7"/>
  <c r="I3" i="3"/>
  <c r="G20" i="7"/>
  <c r="G32" i="7"/>
  <c r="G6" i="7"/>
  <c r="G29" i="7"/>
  <c r="G4" i="7"/>
  <c r="G16" i="7"/>
  <c r="G10" i="7"/>
  <c r="G11" i="7"/>
  <c r="G30" i="7"/>
  <c r="G27" i="7"/>
  <c r="G37" i="7"/>
  <c r="G17" i="7"/>
  <c r="G21" i="7"/>
  <c r="G14" i="7"/>
  <c r="G36" i="7"/>
  <c r="G28" i="7"/>
  <c r="G34" i="7"/>
  <c r="G7" i="7"/>
  <c r="G24" i="7"/>
  <c r="G5" i="7"/>
  <c r="I3" i="12"/>
  <c r="G8" i="7"/>
  <c r="G33" i="7"/>
  <c r="G25" i="7"/>
  <c r="G15" i="7"/>
  <c r="G9" i="7"/>
  <c r="G19" i="7"/>
  <c r="G18" i="7"/>
  <c r="G39" i="7"/>
  <c r="G23" i="7"/>
  <c r="Q3" i="5"/>
  <c r="G12" i="7"/>
  <c r="G22" i="7"/>
  <c r="R39" i="7" l="1"/>
  <c r="Q44" i="5"/>
  <c r="R3" i="5"/>
  <c r="G44" i="7"/>
  <c r="C40" i="32"/>
  <c r="C41" i="32" s="1"/>
  <c r="D29" i="32"/>
  <c r="C40" i="23"/>
  <c r="C41" i="23" s="1"/>
  <c r="D29" i="23"/>
  <c r="B41" i="32"/>
  <c r="B41" i="24"/>
  <c r="B41" i="52"/>
  <c r="C40" i="53"/>
  <c r="C41" i="53" s="1"/>
  <c r="C40" i="38"/>
  <c r="C41" i="38" s="1"/>
  <c r="D29" i="38"/>
  <c r="C40" i="41"/>
  <c r="C41" i="41" s="1"/>
  <c r="D29" i="41"/>
  <c r="C40" i="50"/>
  <c r="C41" i="50" s="1"/>
  <c r="D29" i="50"/>
  <c r="W580" i="2"/>
  <c r="B581" i="2"/>
  <c r="C40" i="40"/>
  <c r="C41" i="40" s="1"/>
  <c r="D29" i="40"/>
  <c r="B41" i="45"/>
  <c r="B41" i="37"/>
  <c r="B41" i="23"/>
  <c r="C40" i="42"/>
  <c r="C41" i="42" s="1"/>
  <c r="D29" i="42"/>
  <c r="B41" i="38"/>
  <c r="B41" i="41"/>
  <c r="B41" i="50"/>
  <c r="F581" i="2"/>
  <c r="AB581" i="2" s="1"/>
  <c r="B41" i="40"/>
  <c r="C40" i="35"/>
  <c r="C41" i="35" s="1"/>
  <c r="D29" i="35"/>
  <c r="C40" i="26"/>
  <c r="C41" i="26" s="1"/>
  <c r="D29" i="26"/>
  <c r="C40" i="49"/>
  <c r="C41" i="49" s="1"/>
  <c r="D29" i="49"/>
  <c r="M53" i="17"/>
  <c r="N41" i="17"/>
  <c r="C40" i="18"/>
  <c r="C41" i="18" s="1"/>
  <c r="D29" i="18"/>
  <c r="B41" i="42"/>
  <c r="B41" i="35"/>
  <c r="B41" i="26"/>
  <c r="B41" i="49"/>
  <c r="C40" i="20"/>
  <c r="C41" i="20" s="1"/>
  <c r="D29" i="20"/>
  <c r="C40" i="33"/>
  <c r="C41" i="33" s="1"/>
  <c r="D29" i="33"/>
  <c r="C40" i="43"/>
  <c r="C41" i="43" s="1"/>
  <c r="D29" i="43"/>
  <c r="B41" i="20"/>
  <c r="C40" i="37"/>
  <c r="C41" i="37" s="1"/>
  <c r="D29" i="37"/>
  <c r="B41" i="34"/>
  <c r="C40" i="46"/>
  <c r="C41" i="46" s="1"/>
  <c r="D29" i="46"/>
  <c r="B41" i="33"/>
  <c r="B41" i="43"/>
  <c r="DN581" i="2"/>
  <c r="CP581" i="2"/>
  <c r="BR581" i="2"/>
  <c r="AT581" i="2"/>
  <c r="A581" i="2"/>
  <c r="DL581" i="2"/>
  <c r="CN581" i="2"/>
  <c r="BP581" i="2"/>
  <c r="AR581" i="2"/>
  <c r="DJ581" i="2"/>
  <c r="CL581" i="2"/>
  <c r="BN581" i="2"/>
  <c r="AP581" i="2"/>
  <c r="S581" i="2"/>
  <c r="T581" i="2" s="1"/>
  <c r="DH581" i="2"/>
  <c r="CJ581" i="2"/>
  <c r="BL581" i="2"/>
  <c r="AN581" i="2"/>
  <c r="DF581" i="2"/>
  <c r="CH581" i="2"/>
  <c r="BJ581" i="2"/>
  <c r="AL581" i="2"/>
  <c r="EB581" i="2"/>
  <c r="DD581" i="2"/>
  <c r="CF581" i="2"/>
  <c r="BH581" i="2"/>
  <c r="AJ581" i="2"/>
  <c r="DZ581" i="2"/>
  <c r="DB581" i="2"/>
  <c r="CD581" i="2"/>
  <c r="BF581" i="2"/>
  <c r="AH581" i="2"/>
  <c r="DX581" i="2"/>
  <c r="CZ581" i="2"/>
  <c r="CB581" i="2"/>
  <c r="BD581" i="2"/>
  <c r="DV581" i="2"/>
  <c r="CX581" i="2"/>
  <c r="BZ581" i="2"/>
  <c r="BB581" i="2"/>
  <c r="DT581" i="2"/>
  <c r="CV581" i="2"/>
  <c r="BX581" i="2"/>
  <c r="AZ581" i="2"/>
  <c r="DR581" i="2"/>
  <c r="CT581" i="2"/>
  <c r="BV581" i="2"/>
  <c r="AX581" i="2"/>
  <c r="DP581" i="2"/>
  <c r="CR581" i="2"/>
  <c r="BT581" i="2"/>
  <c r="AV581" i="2"/>
  <c r="C40" i="51"/>
  <c r="C41" i="51" s="1"/>
  <c r="D29" i="51"/>
  <c r="C40" i="22"/>
  <c r="C41" i="22" s="1"/>
  <c r="D29" i="22"/>
  <c r="C40" i="34"/>
  <c r="C41" i="34" s="1"/>
  <c r="D29" i="34"/>
  <c r="B41" i="18"/>
  <c r="C40" i="27"/>
  <c r="C41" i="27" s="1"/>
  <c r="D29" i="27"/>
  <c r="B41" i="46"/>
  <c r="AC582" i="2"/>
  <c r="AD582" i="2" s="1"/>
  <c r="E582" i="2"/>
  <c r="D582" i="2"/>
  <c r="V582" i="2"/>
  <c r="C583" i="2"/>
  <c r="G582" i="2"/>
  <c r="B41" i="51"/>
  <c r="B41" i="22"/>
  <c r="C40" i="47"/>
  <c r="C41" i="47" s="1"/>
  <c r="D29" i="47"/>
  <c r="C40" i="31"/>
  <c r="C41" i="31" s="1"/>
  <c r="D29" i="31"/>
  <c r="B41" i="27"/>
  <c r="C40" i="28"/>
  <c r="C41" i="28" s="1"/>
  <c r="D29" i="28"/>
  <c r="C40" i="48"/>
  <c r="C41" i="48" s="1"/>
  <c r="D29" i="48"/>
  <c r="C40" i="30"/>
  <c r="C41" i="30" s="1"/>
  <c r="D29" i="30"/>
  <c r="C40" i="29"/>
  <c r="C41" i="29" s="1"/>
  <c r="D29" i="29"/>
  <c r="B41" i="47"/>
  <c r="B41" i="31"/>
  <c r="C40" i="45"/>
  <c r="C41" i="45" s="1"/>
  <c r="D29" i="45"/>
  <c r="B41" i="28"/>
  <c r="B41" i="48"/>
  <c r="B41" i="30"/>
  <c r="C40" i="25"/>
  <c r="C41" i="25" s="1"/>
  <c r="D29" i="25"/>
  <c r="B41" i="29"/>
  <c r="C40" i="39"/>
  <c r="C41" i="39" s="1"/>
  <c r="D29" i="39"/>
  <c r="C40" i="21"/>
  <c r="C41" i="21" s="1"/>
  <c r="D29" i="21"/>
  <c r="B41" i="25"/>
  <c r="B41" i="39"/>
  <c r="C40" i="36"/>
  <c r="C41" i="36" s="1"/>
  <c r="D29" i="36"/>
  <c r="C40" i="44"/>
  <c r="C41" i="44" s="1"/>
  <c r="D29" i="44"/>
  <c r="B41" i="21"/>
  <c r="C40" i="19"/>
  <c r="C41" i="19" s="1"/>
  <c r="D29" i="19"/>
  <c r="B41" i="36"/>
  <c r="B41" i="53"/>
  <c r="B41" i="44"/>
  <c r="B41" i="19"/>
  <c r="C40" i="24"/>
  <c r="C41" i="24" s="1"/>
  <c r="D29" i="24"/>
  <c r="C40" i="52"/>
  <c r="C41" i="52" s="1"/>
  <c r="D29" i="52"/>
  <c r="F38" i="5"/>
  <c r="G38" i="5"/>
  <c r="G39" i="5"/>
  <c r="F39" i="5"/>
  <c r="H35" i="7"/>
  <c r="F35" i="5"/>
  <c r="G17" i="5"/>
  <c r="F21" i="5"/>
  <c r="H30" i="7"/>
  <c r="F14" i="5"/>
  <c r="H9" i="7"/>
  <c r="F26" i="5"/>
  <c r="H16" i="7"/>
  <c r="H24" i="7"/>
  <c r="F23" i="5"/>
  <c r="G25" i="5"/>
  <c r="G12" i="5"/>
  <c r="H14" i="7"/>
  <c r="F6" i="5"/>
  <c r="H5" i="7"/>
  <c r="G34" i="5"/>
  <c r="H36" i="7"/>
  <c r="H29" i="7"/>
  <c r="L3" i="3"/>
  <c r="F20" i="5"/>
  <c r="G26" i="5"/>
  <c r="F7" i="5"/>
  <c r="H11" i="7"/>
  <c r="F13" i="5"/>
  <c r="G5" i="5"/>
  <c r="H38" i="7"/>
  <c r="G21" i="5"/>
  <c r="G13" i="5"/>
  <c r="G15" i="5"/>
  <c r="F9" i="5"/>
  <c r="H32" i="7"/>
  <c r="H19" i="7"/>
  <c r="F16" i="5"/>
  <c r="F30" i="5"/>
  <c r="G18" i="5"/>
  <c r="H21" i="7"/>
  <c r="H28" i="7"/>
  <c r="G35" i="5"/>
  <c r="G4" i="5"/>
  <c r="F37" i="5"/>
  <c r="G30" i="5"/>
  <c r="G28" i="5"/>
  <c r="H12" i="7"/>
  <c r="G6" i="5"/>
  <c r="F27" i="5"/>
  <c r="H31" i="7"/>
  <c r="H37" i="7"/>
  <c r="F12" i="5"/>
  <c r="H33" i="7"/>
  <c r="H7" i="7"/>
  <c r="H18" i="7"/>
  <c r="G36" i="5"/>
  <c r="F17" i="5"/>
  <c r="H17" i="7"/>
  <c r="G9" i="5"/>
  <c r="G7" i="5"/>
  <c r="G20" i="5"/>
  <c r="F22" i="5"/>
  <c r="H20" i="7"/>
  <c r="H13" i="7"/>
  <c r="F25" i="5"/>
  <c r="F8" i="5"/>
  <c r="G16" i="5"/>
  <c r="H8" i="7"/>
  <c r="L3" i="12"/>
  <c r="H26" i="7"/>
  <c r="G8" i="5"/>
  <c r="G10" i="5"/>
  <c r="F11" i="5"/>
  <c r="G19" i="5"/>
  <c r="G27" i="5"/>
  <c r="F19" i="5"/>
  <c r="G11" i="5"/>
  <c r="H23" i="7"/>
  <c r="H25" i="7"/>
  <c r="G29" i="5"/>
  <c r="F28" i="5"/>
  <c r="F4" i="5"/>
  <c r="H27" i="7"/>
  <c r="F18" i="5"/>
  <c r="H15" i="7"/>
  <c r="F31" i="5"/>
  <c r="F33" i="5"/>
  <c r="G33" i="5"/>
  <c r="F24" i="5"/>
  <c r="H22" i="7"/>
  <c r="H10" i="7"/>
  <c r="G14" i="5"/>
  <c r="G32" i="5"/>
  <c r="G37" i="5"/>
  <c r="H4" i="7"/>
  <c r="F34" i="5"/>
  <c r="F5" i="5"/>
  <c r="G31" i="5"/>
  <c r="H34" i="7"/>
  <c r="G23" i="5"/>
  <c r="F10" i="5"/>
  <c r="G22" i="5"/>
  <c r="F32" i="5"/>
  <c r="F36" i="5"/>
  <c r="G24" i="5"/>
  <c r="F15" i="5"/>
  <c r="H6" i="7"/>
  <c r="F29" i="5"/>
  <c r="N40" i="53" l="1"/>
  <c r="H44" i="7"/>
  <c r="R39" i="5"/>
  <c r="G44" i="5"/>
  <c r="F44" i="5"/>
  <c r="D40" i="47"/>
  <c r="E29" i="47"/>
  <c r="C53" i="22"/>
  <c r="C53" i="46"/>
  <c r="D40" i="33"/>
  <c r="E29" i="33"/>
  <c r="C53" i="35"/>
  <c r="B53" i="23"/>
  <c r="D40" i="41"/>
  <c r="E29" i="41"/>
  <c r="D40" i="23"/>
  <c r="E29" i="23"/>
  <c r="N29" i="23" s="1"/>
  <c r="D40" i="52"/>
  <c r="D41" i="52" s="1"/>
  <c r="E29" i="52"/>
  <c r="N29" i="52" s="1"/>
  <c r="C53" i="19"/>
  <c r="C53" i="21"/>
  <c r="B53" i="21"/>
  <c r="B53" i="28"/>
  <c r="D40" i="30"/>
  <c r="D41" i="30" s="1"/>
  <c r="E29" i="30"/>
  <c r="N29" i="30" s="1"/>
  <c r="C53" i="47"/>
  <c r="D40" i="51"/>
  <c r="E29" i="51"/>
  <c r="C53" i="33"/>
  <c r="B53" i="42"/>
  <c r="B53" i="40"/>
  <c r="C53" i="41"/>
  <c r="C53" i="23"/>
  <c r="B53" i="44"/>
  <c r="C53" i="30"/>
  <c r="B53" i="46"/>
  <c r="C53" i="51"/>
  <c r="B53" i="34"/>
  <c r="D40" i="20"/>
  <c r="E29" i="20"/>
  <c r="B53" i="37"/>
  <c r="D40" i="38"/>
  <c r="E29" i="38"/>
  <c r="D40" i="32"/>
  <c r="D41" i="32" s="1"/>
  <c r="E29" i="32"/>
  <c r="N29" i="32" s="1"/>
  <c r="D40" i="39"/>
  <c r="E29" i="39"/>
  <c r="N29" i="39" s="1"/>
  <c r="D40" i="45"/>
  <c r="D41" i="45" s="1"/>
  <c r="E29" i="45"/>
  <c r="N29" i="45" s="1"/>
  <c r="D40" i="48"/>
  <c r="E29" i="48"/>
  <c r="N29" i="48" s="1"/>
  <c r="C53" i="20"/>
  <c r="D40" i="18"/>
  <c r="E29" i="18"/>
  <c r="C53" i="38"/>
  <c r="C53" i="32"/>
  <c r="B53" i="22"/>
  <c r="D40" i="44"/>
  <c r="E29" i="44"/>
  <c r="N29" i="44" s="1"/>
  <c r="B53" i="53"/>
  <c r="N41" i="53"/>
  <c r="C53" i="44"/>
  <c r="C53" i="39"/>
  <c r="C53" i="45"/>
  <c r="C53" i="48"/>
  <c r="B53" i="51"/>
  <c r="D40" i="27"/>
  <c r="D41" i="27" s="1"/>
  <c r="E29" i="27"/>
  <c r="N29" i="27" s="1"/>
  <c r="D40" i="37"/>
  <c r="D41" i="37" s="1"/>
  <c r="E29" i="37"/>
  <c r="B53" i="49"/>
  <c r="C53" i="18"/>
  <c r="B53" i="50"/>
  <c r="B53" i="45"/>
  <c r="C53" i="53"/>
  <c r="C53" i="27"/>
  <c r="C53" i="37"/>
  <c r="N53" i="17"/>
  <c r="B53" i="31"/>
  <c r="D40" i="28"/>
  <c r="E29" i="28"/>
  <c r="N29" i="28" s="1"/>
  <c r="C53" i="36"/>
  <c r="C53" i="28"/>
  <c r="DV582" i="2"/>
  <c r="CX582" i="2"/>
  <c r="BZ582" i="2"/>
  <c r="BB582" i="2"/>
  <c r="DT582" i="2"/>
  <c r="CV582" i="2"/>
  <c r="BX582" i="2"/>
  <c r="AZ582" i="2"/>
  <c r="DR582" i="2"/>
  <c r="CT582" i="2"/>
  <c r="BV582" i="2"/>
  <c r="AX582" i="2"/>
  <c r="DP582" i="2"/>
  <c r="CR582" i="2"/>
  <c r="BT582" i="2"/>
  <c r="AV582" i="2"/>
  <c r="DN582" i="2"/>
  <c r="CP582" i="2"/>
  <c r="BR582" i="2"/>
  <c r="AT582" i="2"/>
  <c r="A582" i="2"/>
  <c r="DL582" i="2"/>
  <c r="CN582" i="2"/>
  <c r="BP582" i="2"/>
  <c r="AR582" i="2"/>
  <c r="DJ582" i="2"/>
  <c r="CL582" i="2"/>
  <c r="BN582" i="2"/>
  <c r="AP582" i="2"/>
  <c r="S582" i="2"/>
  <c r="T582" i="2" s="1"/>
  <c r="DH582" i="2"/>
  <c r="CJ582" i="2"/>
  <c r="BL582" i="2"/>
  <c r="AN582" i="2"/>
  <c r="DF582" i="2"/>
  <c r="CH582" i="2"/>
  <c r="BJ582" i="2"/>
  <c r="AL582" i="2"/>
  <c r="EB582" i="2"/>
  <c r="DD582" i="2"/>
  <c r="CF582" i="2"/>
  <c r="BH582" i="2"/>
  <c r="AJ582" i="2"/>
  <c r="DZ582" i="2"/>
  <c r="DB582" i="2"/>
  <c r="CD582" i="2"/>
  <c r="BF582" i="2"/>
  <c r="AH582" i="2"/>
  <c r="DX582" i="2"/>
  <c r="CZ582" i="2"/>
  <c r="CB582" i="2"/>
  <c r="BD582" i="2"/>
  <c r="B53" i="18"/>
  <c r="B53" i="20"/>
  <c r="B53" i="26"/>
  <c r="B53" i="41"/>
  <c r="D40" i="40"/>
  <c r="E29" i="40"/>
  <c r="B53" i="52"/>
  <c r="B53" i="36"/>
  <c r="B53" i="47"/>
  <c r="G583" i="2"/>
  <c r="AC583" i="2"/>
  <c r="AD583" i="2" s="1"/>
  <c r="E583" i="2"/>
  <c r="D583" i="2"/>
  <c r="F583" i="2" s="1"/>
  <c r="AB583" i="2" s="1"/>
  <c r="V583" i="2"/>
  <c r="C584" i="2"/>
  <c r="B53" i="43"/>
  <c r="D40" i="49"/>
  <c r="E29" i="49"/>
  <c r="N29" i="49" s="1"/>
  <c r="C53" i="40"/>
  <c r="B53" i="29"/>
  <c r="D40" i="34"/>
  <c r="D41" i="34" s="1"/>
  <c r="E29" i="34"/>
  <c r="N29" i="34" s="1"/>
  <c r="B53" i="35"/>
  <c r="C53" i="49"/>
  <c r="B53" i="38"/>
  <c r="B53" i="24"/>
  <c r="W581" i="2"/>
  <c r="B582" i="2"/>
  <c r="B53" i="25"/>
  <c r="B53" i="30"/>
  <c r="F582" i="2"/>
  <c r="AB582" i="2" s="1"/>
  <c r="C53" i="34"/>
  <c r="B53" i="33"/>
  <c r="D40" i="26"/>
  <c r="E29" i="26"/>
  <c r="D40" i="36"/>
  <c r="E29" i="36"/>
  <c r="N29" i="36" s="1"/>
  <c r="B53" i="39"/>
  <c r="C53" i="24"/>
  <c r="D40" i="29"/>
  <c r="E29" i="29"/>
  <c r="N29" i="29" s="1"/>
  <c r="D40" i="31"/>
  <c r="E29" i="31"/>
  <c r="D40" i="43"/>
  <c r="E29" i="43"/>
  <c r="C53" i="26"/>
  <c r="D40" i="42"/>
  <c r="E29" i="42"/>
  <c r="N29" i="42" s="1"/>
  <c r="D40" i="50"/>
  <c r="E29" i="50"/>
  <c r="N29" i="50" s="1"/>
  <c r="B53" i="32"/>
  <c r="D40" i="25"/>
  <c r="D41" i="25" s="1"/>
  <c r="E29" i="25"/>
  <c r="N29" i="25" s="1"/>
  <c r="C53" i="52"/>
  <c r="C53" i="25"/>
  <c r="B53" i="27"/>
  <c r="D40" i="24"/>
  <c r="D41" i="24" s="1"/>
  <c r="E29" i="24"/>
  <c r="B53" i="19"/>
  <c r="D40" i="19"/>
  <c r="E29" i="19"/>
  <c r="N29" i="19" s="1"/>
  <c r="D40" i="21"/>
  <c r="E29" i="21"/>
  <c r="B53" i="48"/>
  <c r="C53" i="29"/>
  <c r="C53" i="31"/>
  <c r="D40" i="22"/>
  <c r="E29" i="22"/>
  <c r="D40" i="46"/>
  <c r="E29" i="46"/>
  <c r="C53" i="43"/>
  <c r="D40" i="35"/>
  <c r="E29" i="35"/>
  <c r="C53" i="42"/>
  <c r="C53" i="50"/>
  <c r="L39" i="3"/>
  <c r="I39" i="12"/>
  <c r="H38" i="5"/>
  <c r="I39" i="3"/>
  <c r="L39" i="12"/>
  <c r="I22" i="7"/>
  <c r="I28" i="7"/>
  <c r="H23" i="5"/>
  <c r="I14" i="7"/>
  <c r="H18" i="5"/>
  <c r="I10" i="7"/>
  <c r="I30" i="7"/>
  <c r="H31" i="5"/>
  <c r="I36" i="7"/>
  <c r="H20" i="5"/>
  <c r="I21" i="7"/>
  <c r="I6" i="7"/>
  <c r="I23" i="7"/>
  <c r="I11" i="7"/>
  <c r="I35" i="7"/>
  <c r="I33" i="7"/>
  <c r="I24" i="7"/>
  <c r="H10" i="5"/>
  <c r="I34" i="7"/>
  <c r="I16" i="7"/>
  <c r="H11" i="5"/>
  <c r="I15" i="7"/>
  <c r="I32" i="7"/>
  <c r="I7" i="7"/>
  <c r="I5" i="7"/>
  <c r="I38" i="7"/>
  <c r="I37" i="7"/>
  <c r="I8" i="7"/>
  <c r="I9" i="7"/>
  <c r="I25" i="7"/>
  <c r="I12" i="7"/>
  <c r="I31" i="7"/>
  <c r="I27" i="7"/>
  <c r="H16" i="5"/>
  <c r="I20" i="7"/>
  <c r="I13" i="7"/>
  <c r="H13" i="5"/>
  <c r="I29" i="7"/>
  <c r="I26" i="7"/>
  <c r="P3" i="3"/>
  <c r="I17" i="7"/>
  <c r="I19" i="7"/>
  <c r="I4" i="7"/>
  <c r="I18" i="7"/>
  <c r="K40" i="3" l="1"/>
  <c r="J40" i="3"/>
  <c r="K40" i="12"/>
  <c r="J40" i="12"/>
  <c r="R14" i="7"/>
  <c r="R19" i="7"/>
  <c r="R10" i="7"/>
  <c r="R32" i="7"/>
  <c r="R8" i="7"/>
  <c r="R15" i="7"/>
  <c r="I44" i="7"/>
  <c r="R44" i="7" s="1"/>
  <c r="R4" i="7"/>
  <c r="A44" i="7"/>
  <c r="R37" i="7"/>
  <c r="R36" i="7"/>
  <c r="R18" i="7"/>
  <c r="R38" i="7"/>
  <c r="R35" i="7"/>
  <c r="N40" i="12"/>
  <c r="M40" i="12"/>
  <c r="O40" i="12" s="1"/>
  <c r="N40" i="3"/>
  <c r="M40" i="3"/>
  <c r="R24" i="7"/>
  <c r="R33" i="7"/>
  <c r="R28" i="7"/>
  <c r="R23" i="7"/>
  <c r="R16" i="7"/>
  <c r="R9" i="7"/>
  <c r="R30" i="7"/>
  <c r="R34" i="7"/>
  <c r="Q3" i="3"/>
  <c r="R7" i="7"/>
  <c r="R26" i="7"/>
  <c r="R27" i="7"/>
  <c r="R21" i="7"/>
  <c r="R29" i="7"/>
  <c r="R22" i="7"/>
  <c r="R20" i="7"/>
  <c r="R13" i="7"/>
  <c r="R6" i="7"/>
  <c r="R31" i="7"/>
  <c r="R11" i="7"/>
  <c r="R5" i="7"/>
  <c r="R17" i="7"/>
  <c r="R12" i="7"/>
  <c r="R25" i="7"/>
  <c r="D41" i="26"/>
  <c r="DF583" i="2"/>
  <c r="CH583" i="2"/>
  <c r="BJ583" i="2"/>
  <c r="AL583" i="2"/>
  <c r="EB583" i="2"/>
  <c r="DD583" i="2"/>
  <c r="CF583" i="2"/>
  <c r="BH583" i="2"/>
  <c r="AJ583" i="2"/>
  <c r="DZ583" i="2"/>
  <c r="DB583" i="2"/>
  <c r="CD583" i="2"/>
  <c r="BF583" i="2"/>
  <c r="AH583" i="2"/>
  <c r="DX583" i="2"/>
  <c r="CZ583" i="2"/>
  <c r="CB583" i="2"/>
  <c r="BD583" i="2"/>
  <c r="DV583" i="2"/>
  <c r="CX583" i="2"/>
  <c r="BZ583" i="2"/>
  <c r="BB583" i="2"/>
  <c r="DT583" i="2"/>
  <c r="CV583" i="2"/>
  <c r="BX583" i="2"/>
  <c r="AZ583" i="2"/>
  <c r="DR583" i="2"/>
  <c r="CT583" i="2"/>
  <c r="BV583" i="2"/>
  <c r="AX583" i="2"/>
  <c r="DP583" i="2"/>
  <c r="CR583" i="2"/>
  <c r="BT583" i="2"/>
  <c r="AV583" i="2"/>
  <c r="DN583" i="2"/>
  <c r="CP583" i="2"/>
  <c r="BR583" i="2"/>
  <c r="AT583" i="2"/>
  <c r="A583" i="2"/>
  <c r="DL583" i="2"/>
  <c r="CN583" i="2"/>
  <c r="BP583" i="2"/>
  <c r="AR583" i="2"/>
  <c r="DJ583" i="2"/>
  <c r="CL583" i="2"/>
  <c r="BN583" i="2"/>
  <c r="AP583" i="2"/>
  <c r="S583" i="2"/>
  <c r="T583" i="2" s="1"/>
  <c r="DH583" i="2"/>
  <c r="CJ583" i="2"/>
  <c r="BL583" i="2"/>
  <c r="AN583" i="2"/>
  <c r="E40" i="28"/>
  <c r="E41" i="28" s="1"/>
  <c r="D41" i="39"/>
  <c r="E40" i="33"/>
  <c r="E41" i="33" s="1"/>
  <c r="N29" i="33"/>
  <c r="E40" i="24"/>
  <c r="E41" i="24" s="1"/>
  <c r="N41" i="24" s="1"/>
  <c r="E40" i="46"/>
  <c r="E41" i="46" s="1"/>
  <c r="N29" i="46"/>
  <c r="D41" i="46"/>
  <c r="E40" i="22"/>
  <c r="E41" i="22" s="1"/>
  <c r="N29" i="22"/>
  <c r="E40" i="29"/>
  <c r="E41" i="29" s="1"/>
  <c r="D41" i="28"/>
  <c r="E40" i="18"/>
  <c r="E41" i="18" s="1"/>
  <c r="N29" i="18"/>
  <c r="E40" i="51"/>
  <c r="E41" i="51" s="1"/>
  <c r="N29" i="51"/>
  <c r="D41" i="33"/>
  <c r="E40" i="50"/>
  <c r="E41" i="50" s="1"/>
  <c r="D41" i="29"/>
  <c r="D41" i="18"/>
  <c r="E40" i="32"/>
  <c r="D41" i="51"/>
  <c r="E40" i="52"/>
  <c r="D53" i="32"/>
  <c r="D53" i="52"/>
  <c r="D41" i="22"/>
  <c r="D41" i="50"/>
  <c r="E40" i="49"/>
  <c r="E41" i="49" s="1"/>
  <c r="D53" i="24"/>
  <c r="D41" i="49"/>
  <c r="N53" i="53"/>
  <c r="E40" i="38"/>
  <c r="E41" i="38" s="1"/>
  <c r="E40" i="47"/>
  <c r="E41" i="47" s="1"/>
  <c r="N29" i="47"/>
  <c r="E40" i="42"/>
  <c r="E41" i="42" s="1"/>
  <c r="E40" i="37"/>
  <c r="E41" i="37" s="1"/>
  <c r="N29" i="37"/>
  <c r="D41" i="38"/>
  <c r="E40" i="30"/>
  <c r="E40" i="23"/>
  <c r="E41" i="23" s="1"/>
  <c r="D41" i="47"/>
  <c r="D53" i="37"/>
  <c r="E40" i="44"/>
  <c r="E41" i="44" s="1"/>
  <c r="E40" i="48"/>
  <c r="E41" i="48" s="1"/>
  <c r="D53" i="30"/>
  <c r="D41" i="23"/>
  <c r="D41" i="42"/>
  <c r="E40" i="21"/>
  <c r="E41" i="21" s="1"/>
  <c r="N29" i="21"/>
  <c r="C585" i="2"/>
  <c r="G584" i="2"/>
  <c r="AC584" i="2"/>
  <c r="AD584" i="2" s="1"/>
  <c r="E584" i="2"/>
  <c r="D584" i="2"/>
  <c r="V584" i="2"/>
  <c r="E40" i="40"/>
  <c r="E41" i="40" s="1"/>
  <c r="N29" i="40"/>
  <c r="D41" i="44"/>
  <c r="D41" i="48"/>
  <c r="E40" i="41"/>
  <c r="E41" i="41" s="1"/>
  <c r="N29" i="41"/>
  <c r="N29" i="38"/>
  <c r="E40" i="35"/>
  <c r="E41" i="35" s="1"/>
  <c r="N29" i="35"/>
  <c r="D41" i="21"/>
  <c r="E40" i="43"/>
  <c r="E41" i="43" s="1"/>
  <c r="N29" i="43"/>
  <c r="E40" i="36"/>
  <c r="E41" i="36" s="1"/>
  <c r="E40" i="34"/>
  <c r="E41" i="34" s="1"/>
  <c r="W582" i="2"/>
  <c r="B583" i="2"/>
  <c r="D41" i="40"/>
  <c r="E40" i="27"/>
  <c r="E40" i="20"/>
  <c r="E41" i="20" s="1"/>
  <c r="N29" i="20"/>
  <c r="D41" i="41"/>
  <c r="N29" i="24"/>
  <c r="D41" i="35"/>
  <c r="D41" i="36"/>
  <c r="D53" i="34"/>
  <c r="D53" i="27"/>
  <c r="E40" i="45"/>
  <c r="D41" i="20"/>
  <c r="E40" i="25"/>
  <c r="D41" i="43"/>
  <c r="E40" i="19"/>
  <c r="E41" i="19" s="1"/>
  <c r="D53" i="25"/>
  <c r="E40" i="31"/>
  <c r="E41" i="31" s="1"/>
  <c r="N29" i="31"/>
  <c r="D53" i="45"/>
  <c r="D41" i="19"/>
  <c r="D41" i="31"/>
  <c r="E40" i="26"/>
  <c r="E41" i="26" s="1"/>
  <c r="N29" i="26"/>
  <c r="E40" i="39"/>
  <c r="E41" i="39" s="1"/>
  <c r="P39" i="3"/>
  <c r="H30" i="5"/>
  <c r="H34" i="5"/>
  <c r="I24" i="5"/>
  <c r="I22" i="5"/>
  <c r="I10" i="5"/>
  <c r="I26" i="5"/>
  <c r="L10" i="3"/>
  <c r="I17" i="5"/>
  <c r="I7" i="5"/>
  <c r="H25" i="5"/>
  <c r="I33" i="5"/>
  <c r="H28" i="5"/>
  <c r="I34" i="5"/>
  <c r="I21" i="5"/>
  <c r="I35" i="5"/>
  <c r="H15" i="5"/>
  <c r="I29" i="5"/>
  <c r="H37" i="5"/>
  <c r="I23" i="5"/>
  <c r="H4" i="5"/>
  <c r="H6" i="5"/>
  <c r="H12" i="5"/>
  <c r="H36" i="5"/>
  <c r="H9" i="5"/>
  <c r="I12" i="5"/>
  <c r="I30" i="5"/>
  <c r="I15" i="5"/>
  <c r="H29" i="5"/>
  <c r="H7" i="5"/>
  <c r="I4" i="5"/>
  <c r="H26" i="5"/>
  <c r="H17" i="5"/>
  <c r="H14" i="5"/>
  <c r="I20" i="5"/>
  <c r="I6" i="5"/>
  <c r="H5" i="5"/>
  <c r="I27" i="5"/>
  <c r="H22" i="5"/>
  <c r="I14" i="5"/>
  <c r="H8" i="5"/>
  <c r="I19" i="5"/>
  <c r="I37" i="5"/>
  <c r="I36" i="5"/>
  <c r="I32" i="5"/>
  <c r="H24" i="5"/>
  <c r="I8" i="5"/>
  <c r="I28" i="5"/>
  <c r="H27" i="5"/>
  <c r="H21" i="5"/>
  <c r="I9" i="5"/>
  <c r="L10" i="12"/>
  <c r="H35" i="5"/>
  <c r="I5" i="5"/>
  <c r="H33" i="5"/>
  <c r="I25" i="5"/>
  <c r="H32" i="5"/>
  <c r="H19" i="5"/>
  <c r="F584" i="2" l="1"/>
  <c r="AB584" i="2" s="1"/>
  <c r="N40" i="51"/>
  <c r="N40" i="18"/>
  <c r="N40" i="22"/>
  <c r="N40" i="29"/>
  <c r="N40" i="48"/>
  <c r="N40" i="33"/>
  <c r="N40" i="31"/>
  <c r="N40" i="38"/>
  <c r="N40" i="50"/>
  <c r="N40" i="23"/>
  <c r="N40" i="28"/>
  <c r="N40" i="35"/>
  <c r="N40" i="21"/>
  <c r="N40" i="43"/>
  <c r="N40" i="47"/>
  <c r="N40" i="40"/>
  <c r="R33" i="5"/>
  <c r="R29" i="5"/>
  <c r="R30" i="5"/>
  <c r="R35" i="5"/>
  <c r="R20" i="5"/>
  <c r="R28" i="5"/>
  <c r="R21" i="5"/>
  <c r="R7" i="5"/>
  <c r="R24" i="5"/>
  <c r="H44" i="5"/>
  <c r="R4" i="5"/>
  <c r="R14" i="5"/>
  <c r="R25" i="5"/>
  <c r="R9" i="5"/>
  <c r="R23" i="5"/>
  <c r="R36" i="5"/>
  <c r="R15" i="5"/>
  <c r="R17" i="5"/>
  <c r="R5" i="5"/>
  <c r="R26" i="5"/>
  <c r="R8" i="5"/>
  <c r="R6" i="5"/>
  <c r="R32" i="5"/>
  <c r="R34" i="5"/>
  <c r="R27" i="5"/>
  <c r="R22" i="5"/>
  <c r="R19" i="5"/>
  <c r="R10" i="5"/>
  <c r="R12" i="5"/>
  <c r="R37" i="5"/>
  <c r="N53" i="24"/>
  <c r="E53" i="19"/>
  <c r="D53" i="47"/>
  <c r="N41" i="47"/>
  <c r="E53" i="51"/>
  <c r="E53" i="26"/>
  <c r="D53" i="43"/>
  <c r="N41" i="43"/>
  <c r="N40" i="41"/>
  <c r="E53" i="43"/>
  <c r="D53" i="44"/>
  <c r="N41" i="44"/>
  <c r="N40" i="42"/>
  <c r="E41" i="30"/>
  <c r="N40" i="30"/>
  <c r="D53" i="49"/>
  <c r="N41" i="49"/>
  <c r="E41" i="32"/>
  <c r="N40" i="32"/>
  <c r="E53" i="18"/>
  <c r="E53" i="33"/>
  <c r="E53" i="34"/>
  <c r="D53" i="42"/>
  <c r="N41" i="42"/>
  <c r="D53" i="35"/>
  <c r="N41" i="35"/>
  <c r="N40" i="39"/>
  <c r="N40" i="19"/>
  <c r="N40" i="20"/>
  <c r="D53" i="21"/>
  <c r="N41" i="21"/>
  <c r="E53" i="40"/>
  <c r="D53" i="38"/>
  <c r="N41" i="38"/>
  <c r="E53" i="49"/>
  <c r="D53" i="18"/>
  <c r="N41" i="18"/>
  <c r="D53" i="28"/>
  <c r="N41" i="28"/>
  <c r="D53" i="39"/>
  <c r="N41" i="39"/>
  <c r="W583" i="2"/>
  <c r="B584" i="2"/>
  <c r="E53" i="29"/>
  <c r="N40" i="37"/>
  <c r="E41" i="25"/>
  <c r="N40" i="25"/>
  <c r="E41" i="45"/>
  <c r="N40" i="45"/>
  <c r="D53" i="23"/>
  <c r="N41" i="23"/>
  <c r="E53" i="37"/>
  <c r="D53" i="50"/>
  <c r="N41" i="50"/>
  <c r="D53" i="29"/>
  <c r="N41" i="29"/>
  <c r="E53" i="28"/>
  <c r="E53" i="39"/>
  <c r="N40" i="34"/>
  <c r="D53" i="31"/>
  <c r="N41" i="31"/>
  <c r="D53" i="19"/>
  <c r="N41" i="19"/>
  <c r="N41" i="34"/>
  <c r="E53" i="42"/>
  <c r="E53" i="50"/>
  <c r="E53" i="22"/>
  <c r="E53" i="36"/>
  <c r="E53" i="20"/>
  <c r="E53" i="35"/>
  <c r="D53" i="40"/>
  <c r="N41" i="40"/>
  <c r="E53" i="48"/>
  <c r="D53" i="22"/>
  <c r="N41" i="22"/>
  <c r="N40" i="46"/>
  <c r="D53" i="20"/>
  <c r="N41" i="20"/>
  <c r="DN584" i="2"/>
  <c r="CP584" i="2"/>
  <c r="BR584" i="2"/>
  <c r="AT584" i="2"/>
  <c r="A584" i="2"/>
  <c r="DL584" i="2"/>
  <c r="CN584" i="2"/>
  <c r="BP584" i="2"/>
  <c r="AR584" i="2"/>
  <c r="DJ584" i="2"/>
  <c r="CL584" i="2"/>
  <c r="BN584" i="2"/>
  <c r="AP584" i="2"/>
  <c r="S584" i="2"/>
  <c r="T584" i="2" s="1"/>
  <c r="DH584" i="2"/>
  <c r="CJ584" i="2"/>
  <c r="BL584" i="2"/>
  <c r="AN584" i="2"/>
  <c r="DF584" i="2"/>
  <c r="CH584" i="2"/>
  <c r="BJ584" i="2"/>
  <c r="AL584" i="2"/>
  <c r="EB584" i="2"/>
  <c r="DD584" i="2"/>
  <c r="CF584" i="2"/>
  <c r="BH584" i="2"/>
  <c r="AJ584" i="2"/>
  <c r="DZ584" i="2"/>
  <c r="DB584" i="2"/>
  <c r="CD584" i="2"/>
  <c r="BF584" i="2"/>
  <c r="AH584" i="2"/>
  <c r="DX584" i="2"/>
  <c r="CZ584" i="2"/>
  <c r="CB584" i="2"/>
  <c r="BD584" i="2"/>
  <c r="DV584" i="2"/>
  <c r="CX584" i="2"/>
  <c r="BZ584" i="2"/>
  <c r="BB584" i="2"/>
  <c r="DT584" i="2"/>
  <c r="CV584" i="2"/>
  <c r="BX584" i="2"/>
  <c r="AZ584" i="2"/>
  <c r="DR584" i="2"/>
  <c r="CT584" i="2"/>
  <c r="BV584" i="2"/>
  <c r="AX584" i="2"/>
  <c r="DP584" i="2"/>
  <c r="CR584" i="2"/>
  <c r="AV584" i="2"/>
  <c r="BT584" i="2"/>
  <c r="E53" i="47"/>
  <c r="D53" i="46"/>
  <c r="N41" i="46"/>
  <c r="D53" i="48"/>
  <c r="N41" i="48"/>
  <c r="D53" i="41"/>
  <c r="N41" i="41"/>
  <c r="E41" i="27"/>
  <c r="N40" i="27"/>
  <c r="N40" i="24"/>
  <c r="N40" i="36"/>
  <c r="E53" i="41"/>
  <c r="E53" i="44"/>
  <c r="E53" i="31"/>
  <c r="D53" i="36"/>
  <c r="N41" i="36"/>
  <c r="N41" i="37"/>
  <c r="E585" i="2"/>
  <c r="D585" i="2"/>
  <c r="F585" i="2" s="1"/>
  <c r="AB585" i="2" s="1"/>
  <c r="V585" i="2"/>
  <c r="C586" i="2"/>
  <c r="AC585" i="2"/>
  <c r="AD585" i="2" s="1"/>
  <c r="G585" i="2"/>
  <c r="E53" i="38"/>
  <c r="D53" i="33"/>
  <c r="N41" i="33"/>
  <c r="E41" i="52"/>
  <c r="N40" i="52"/>
  <c r="E53" i="46"/>
  <c r="N40" i="26"/>
  <c r="E53" i="24"/>
  <c r="D53" i="26"/>
  <c r="N41" i="26"/>
  <c r="N40" i="44"/>
  <c r="E53" i="21"/>
  <c r="E53" i="23"/>
  <c r="N40" i="49"/>
  <c r="D53" i="51"/>
  <c r="N41" i="51"/>
  <c r="I38" i="5"/>
  <c r="I38" i="3"/>
  <c r="I38" i="12"/>
  <c r="I29" i="12"/>
  <c r="I14" i="12"/>
  <c r="I8" i="3"/>
  <c r="L5" i="12"/>
  <c r="I19" i="3"/>
  <c r="L35" i="3"/>
  <c r="L4" i="12"/>
  <c r="I7" i="3"/>
  <c r="I35" i="3"/>
  <c r="I18" i="3"/>
  <c r="I5" i="12"/>
  <c r="I8" i="12"/>
  <c r="I32" i="3"/>
  <c r="L14" i="3"/>
  <c r="I26" i="12"/>
  <c r="I10" i="3"/>
  <c r="I10" i="12"/>
  <c r="I31" i="12"/>
  <c r="L27" i="3"/>
  <c r="I23" i="3"/>
  <c r="L24" i="3"/>
  <c r="I11" i="5"/>
  <c r="L22" i="3"/>
  <c r="I28" i="3"/>
  <c r="L8" i="3"/>
  <c r="L37" i="12"/>
  <c r="L20" i="12"/>
  <c r="L28" i="12"/>
  <c r="I32" i="12"/>
  <c r="I18" i="12"/>
  <c r="I12" i="3"/>
  <c r="L25" i="12"/>
  <c r="L20" i="3"/>
  <c r="L19" i="3"/>
  <c r="L15" i="3"/>
  <c r="P10" i="3"/>
  <c r="L33" i="12"/>
  <c r="I13" i="5"/>
  <c r="L37" i="3"/>
  <c r="I36" i="3"/>
  <c r="I23" i="12"/>
  <c r="I9" i="3"/>
  <c r="L12" i="12"/>
  <c r="L22" i="12"/>
  <c r="I20" i="12"/>
  <c r="I25" i="12"/>
  <c r="I22" i="12"/>
  <c r="I27" i="12"/>
  <c r="I18" i="5"/>
  <c r="I24" i="3"/>
  <c r="I21" i="12"/>
  <c r="L29" i="12"/>
  <c r="I30" i="12"/>
  <c r="L9" i="3"/>
  <c r="L32" i="3"/>
  <c r="L29" i="3"/>
  <c r="L21" i="3"/>
  <c r="I31" i="5"/>
  <c r="I24" i="12"/>
  <c r="I7" i="12"/>
  <c r="I17" i="12"/>
  <c r="I16" i="12"/>
  <c r="I20" i="3"/>
  <c r="L9" i="12"/>
  <c r="L30" i="12"/>
  <c r="I14" i="3"/>
  <c r="L35" i="12"/>
  <c r="L6" i="12"/>
  <c r="L33" i="3"/>
  <c r="I28" i="12"/>
  <c r="I6" i="3"/>
  <c r="I29" i="3"/>
  <c r="I34" i="3"/>
  <c r="I35" i="12"/>
  <c r="I17" i="3"/>
  <c r="L34" i="3"/>
  <c r="I27" i="3"/>
  <c r="L7" i="3"/>
  <c r="L23" i="12"/>
  <c r="L8" i="12"/>
  <c r="I31" i="3"/>
  <c r="I33" i="3"/>
  <c r="L14" i="12"/>
  <c r="I11" i="12"/>
  <c r="L23" i="3"/>
  <c r="I15" i="12"/>
  <c r="I11" i="3"/>
  <c r="I4" i="12"/>
  <c r="L24" i="12"/>
  <c r="I19" i="12"/>
  <c r="L25" i="3"/>
  <c r="L26" i="12"/>
  <c r="L12" i="3"/>
  <c r="L15" i="12"/>
  <c r="I12" i="12"/>
  <c r="I5" i="3"/>
  <c r="L32" i="12"/>
  <c r="I16" i="3"/>
  <c r="I33" i="12"/>
  <c r="I21" i="3"/>
  <c r="I36" i="12"/>
  <c r="I6" i="12"/>
  <c r="I37" i="12"/>
  <c r="I26" i="3"/>
  <c r="I34" i="12"/>
  <c r="L19" i="12"/>
  <c r="L26" i="3"/>
  <c r="L30" i="3"/>
  <c r="L36" i="3"/>
  <c r="I22" i="3"/>
  <c r="I16" i="5"/>
  <c r="I25" i="3"/>
  <c r="I37" i="3"/>
  <c r="I13" i="3"/>
  <c r="L28" i="3"/>
  <c r="L17" i="3"/>
  <c r="I13" i="12"/>
  <c r="I9" i="12"/>
  <c r="I15" i="3"/>
  <c r="L36" i="12"/>
  <c r="L5" i="3"/>
  <c r="L7" i="12"/>
  <c r="L4" i="3"/>
  <c r="L34" i="12"/>
  <c r="I30" i="3"/>
  <c r="L17" i="12"/>
  <c r="L6" i="3"/>
  <c r="L21" i="12"/>
  <c r="I4" i="3"/>
  <c r="L27" i="12"/>
  <c r="K4" i="3" l="1"/>
  <c r="J4" i="3"/>
  <c r="K4" i="12"/>
  <c r="J4" i="12"/>
  <c r="K34" i="3"/>
  <c r="J34" i="3"/>
  <c r="J34" i="12"/>
  <c r="K34" i="12"/>
  <c r="K8" i="3"/>
  <c r="J8" i="3"/>
  <c r="K8" i="12"/>
  <c r="J8" i="12"/>
  <c r="K15" i="3"/>
  <c r="J15" i="3"/>
  <c r="J15" i="12"/>
  <c r="K15" i="12"/>
  <c r="K9" i="3"/>
  <c r="J9" i="3"/>
  <c r="K9" i="12"/>
  <c r="J9" i="12"/>
  <c r="K37" i="12"/>
  <c r="J37" i="12"/>
  <c r="K37" i="3"/>
  <c r="J37" i="3"/>
  <c r="N34" i="3"/>
  <c r="M34" i="3"/>
  <c r="N34" i="12"/>
  <c r="M34" i="12"/>
  <c r="O34" i="12" s="1"/>
  <c r="K38" i="3"/>
  <c r="J38" i="3"/>
  <c r="K39" i="3"/>
  <c r="J39" i="3"/>
  <c r="K38" i="12"/>
  <c r="J38" i="12"/>
  <c r="K39" i="12"/>
  <c r="J39" i="12"/>
  <c r="R13" i="5"/>
  <c r="N6" i="12"/>
  <c r="M6" i="12"/>
  <c r="O6" i="12" s="1"/>
  <c r="M6" i="3"/>
  <c r="N6" i="3"/>
  <c r="N36" i="3"/>
  <c r="M36" i="3"/>
  <c r="N36" i="12"/>
  <c r="M36" i="12"/>
  <c r="O36" i="12" s="1"/>
  <c r="R18" i="5"/>
  <c r="N27" i="12"/>
  <c r="M27" i="12"/>
  <c r="O27" i="12" s="1"/>
  <c r="N27" i="3"/>
  <c r="M27" i="3"/>
  <c r="N25" i="12"/>
  <c r="M25" i="12"/>
  <c r="O25" i="12" s="1"/>
  <c r="N25" i="3"/>
  <c r="M25" i="3"/>
  <c r="K6" i="3"/>
  <c r="J6" i="3"/>
  <c r="J7" i="3"/>
  <c r="K7" i="3"/>
  <c r="J6" i="12"/>
  <c r="K6" i="12"/>
  <c r="K7" i="12"/>
  <c r="J7" i="12"/>
  <c r="N35" i="12"/>
  <c r="M35" i="12"/>
  <c r="O35" i="12" s="1"/>
  <c r="N35" i="3"/>
  <c r="M35" i="3"/>
  <c r="K32" i="12"/>
  <c r="J32" i="12"/>
  <c r="K33" i="12"/>
  <c r="J33" i="12"/>
  <c r="K32" i="3"/>
  <c r="J32" i="3"/>
  <c r="K33" i="3"/>
  <c r="J33" i="3"/>
  <c r="N20" i="12"/>
  <c r="M20" i="12"/>
  <c r="O20" i="12" s="1"/>
  <c r="N20" i="3"/>
  <c r="M20" i="3"/>
  <c r="K5" i="12"/>
  <c r="J5" i="12"/>
  <c r="I44" i="12"/>
  <c r="K5" i="3"/>
  <c r="J5" i="3"/>
  <c r="I44" i="3"/>
  <c r="N33" i="12"/>
  <c r="M33" i="12"/>
  <c r="O33" i="12" s="1"/>
  <c r="N33" i="3"/>
  <c r="M33" i="3"/>
  <c r="K25" i="3"/>
  <c r="J25" i="3"/>
  <c r="K26" i="3"/>
  <c r="J26" i="3"/>
  <c r="K25" i="12"/>
  <c r="J25" i="12"/>
  <c r="J26" i="12"/>
  <c r="K26" i="12"/>
  <c r="K16" i="3"/>
  <c r="J16" i="3"/>
  <c r="J17" i="3"/>
  <c r="K17" i="3"/>
  <c r="K16" i="12"/>
  <c r="J16" i="12"/>
  <c r="K17" i="12"/>
  <c r="J17" i="12"/>
  <c r="N21" i="12"/>
  <c r="M21" i="12"/>
  <c r="O21" i="12" s="1"/>
  <c r="N21" i="3"/>
  <c r="M21" i="3"/>
  <c r="R16" i="5"/>
  <c r="N23" i="12"/>
  <c r="M23" i="12"/>
  <c r="O23" i="12" s="1"/>
  <c r="N23" i="3"/>
  <c r="M23" i="3"/>
  <c r="N22" i="12"/>
  <c r="M22" i="12"/>
  <c r="O22" i="12" s="1"/>
  <c r="N22" i="3"/>
  <c r="M22" i="3"/>
  <c r="N37" i="12"/>
  <c r="M37" i="12"/>
  <c r="O37" i="12" s="1"/>
  <c r="N37" i="3"/>
  <c r="M37" i="3"/>
  <c r="R38" i="5"/>
  <c r="K31" i="12"/>
  <c r="J31" i="12"/>
  <c r="K31" i="3"/>
  <c r="J31" i="3"/>
  <c r="N4" i="12"/>
  <c r="M4" i="12"/>
  <c r="O4" i="12" s="1"/>
  <c r="M4" i="3"/>
  <c r="N4" i="3"/>
  <c r="K28" i="12"/>
  <c r="J28" i="12"/>
  <c r="J29" i="12"/>
  <c r="K29" i="12"/>
  <c r="K28" i="3"/>
  <c r="J28" i="3"/>
  <c r="K29" i="3"/>
  <c r="J29" i="3"/>
  <c r="N26" i="3"/>
  <c r="M26" i="3"/>
  <c r="N26" i="12"/>
  <c r="M26" i="12"/>
  <c r="O26" i="12" s="1"/>
  <c r="R31" i="5"/>
  <c r="N28" i="3"/>
  <c r="M28" i="3"/>
  <c r="N28" i="12"/>
  <c r="M28" i="12"/>
  <c r="O28" i="12" s="1"/>
  <c r="N30" i="3"/>
  <c r="M30" i="3"/>
  <c r="N30" i="12"/>
  <c r="M30" i="12"/>
  <c r="O30" i="12" s="1"/>
  <c r="K20" i="12"/>
  <c r="J20" i="12"/>
  <c r="K21" i="12"/>
  <c r="J21" i="12"/>
  <c r="K20" i="3"/>
  <c r="J20" i="3"/>
  <c r="K21" i="3"/>
  <c r="J21" i="3"/>
  <c r="J11" i="3"/>
  <c r="K11" i="3"/>
  <c r="K11" i="12"/>
  <c r="J11" i="12"/>
  <c r="J12" i="12"/>
  <c r="K12" i="12"/>
  <c r="K12" i="3"/>
  <c r="J12" i="3"/>
  <c r="M8" i="3"/>
  <c r="N8" i="3"/>
  <c r="N8" i="12"/>
  <c r="M8" i="12"/>
  <c r="O8" i="12" s="1"/>
  <c r="K35" i="12"/>
  <c r="J35" i="12"/>
  <c r="J36" i="12"/>
  <c r="K36" i="12"/>
  <c r="K35" i="3"/>
  <c r="J35" i="3"/>
  <c r="K36" i="3"/>
  <c r="J36" i="3"/>
  <c r="R11" i="5"/>
  <c r="I44" i="5"/>
  <c r="R44" i="5" s="1"/>
  <c r="A44" i="5"/>
  <c r="N24" i="12"/>
  <c r="M24" i="12"/>
  <c r="O24" i="12" s="1"/>
  <c r="N24" i="3"/>
  <c r="M24" i="3"/>
  <c r="K27" i="12"/>
  <c r="J27" i="12"/>
  <c r="K27" i="3"/>
  <c r="J27" i="3"/>
  <c r="N9" i="12"/>
  <c r="M9" i="12"/>
  <c r="O9" i="12" s="1"/>
  <c r="N10" i="12"/>
  <c r="M10" i="12"/>
  <c r="O10" i="12" s="1"/>
  <c r="M9" i="3"/>
  <c r="N9" i="3"/>
  <c r="N10" i="3"/>
  <c r="M10" i="3"/>
  <c r="K30" i="3"/>
  <c r="J30" i="3"/>
  <c r="J30" i="12"/>
  <c r="K30" i="12"/>
  <c r="K10" i="12"/>
  <c r="J10" i="12"/>
  <c r="K10" i="3"/>
  <c r="J10" i="3"/>
  <c r="N15" i="12"/>
  <c r="M15" i="12"/>
  <c r="O15" i="12" s="1"/>
  <c r="M15" i="3"/>
  <c r="N15" i="3"/>
  <c r="N29" i="12"/>
  <c r="M29" i="12"/>
  <c r="O29" i="12" s="1"/>
  <c r="N29" i="3"/>
  <c r="M29" i="3"/>
  <c r="N5" i="12"/>
  <c r="M5" i="12"/>
  <c r="O5" i="12" s="1"/>
  <c r="M5" i="3"/>
  <c r="N5" i="3"/>
  <c r="K22" i="12"/>
  <c r="J22" i="12"/>
  <c r="K22" i="3"/>
  <c r="J22" i="3"/>
  <c r="K23" i="12"/>
  <c r="J23" i="12"/>
  <c r="J24" i="12"/>
  <c r="K24" i="12"/>
  <c r="K23" i="3"/>
  <c r="J23" i="3"/>
  <c r="K24" i="3"/>
  <c r="J24" i="3"/>
  <c r="K13" i="3"/>
  <c r="J13" i="3"/>
  <c r="J14" i="3"/>
  <c r="K14" i="3"/>
  <c r="K13" i="12"/>
  <c r="J13" i="12"/>
  <c r="J14" i="12"/>
  <c r="K14" i="12"/>
  <c r="M7" i="3"/>
  <c r="N7" i="3"/>
  <c r="N7" i="12"/>
  <c r="M7" i="12"/>
  <c r="O7" i="12" s="1"/>
  <c r="J18" i="12"/>
  <c r="K18" i="12"/>
  <c r="K19" i="12"/>
  <c r="J19" i="12"/>
  <c r="K18" i="3"/>
  <c r="J18" i="3"/>
  <c r="K19" i="3"/>
  <c r="J19" i="3"/>
  <c r="N53" i="48"/>
  <c r="W584" i="2"/>
  <c r="B585" i="2"/>
  <c r="E53" i="27"/>
  <c r="N41" i="27"/>
  <c r="N53" i="20"/>
  <c r="N53" i="50"/>
  <c r="E53" i="32"/>
  <c r="N41" i="32"/>
  <c r="N53" i="41"/>
  <c r="N53" i="39"/>
  <c r="N53" i="49"/>
  <c r="N53" i="34"/>
  <c r="N53" i="47"/>
  <c r="N53" i="28"/>
  <c r="N53" i="35"/>
  <c r="E53" i="30"/>
  <c r="N41" i="30"/>
  <c r="N53" i="37"/>
  <c r="N53" i="36"/>
  <c r="N53" i="51"/>
  <c r="E53" i="52"/>
  <c r="N41" i="52"/>
  <c r="N53" i="46"/>
  <c r="N53" i="31"/>
  <c r="N53" i="18"/>
  <c r="N53" i="40"/>
  <c r="E53" i="45"/>
  <c r="N41" i="45"/>
  <c r="N53" i="42"/>
  <c r="N53" i="44"/>
  <c r="N53" i="22"/>
  <c r="N53" i="33"/>
  <c r="E53" i="25"/>
  <c r="N41" i="25"/>
  <c r="N53" i="38"/>
  <c r="DR585" i="2"/>
  <c r="CT585" i="2"/>
  <c r="BV585" i="2"/>
  <c r="AX585" i="2"/>
  <c r="DP585" i="2"/>
  <c r="CR585" i="2"/>
  <c r="BT585" i="2"/>
  <c r="AV585" i="2"/>
  <c r="DN585" i="2"/>
  <c r="CP585" i="2"/>
  <c r="BR585" i="2"/>
  <c r="AT585" i="2"/>
  <c r="DL585" i="2"/>
  <c r="CN585" i="2"/>
  <c r="BP585" i="2"/>
  <c r="AR585" i="2"/>
  <c r="DJ585" i="2"/>
  <c r="CL585" i="2"/>
  <c r="BN585" i="2"/>
  <c r="AP585" i="2"/>
  <c r="A585" i="2"/>
  <c r="DH585" i="2"/>
  <c r="CJ585" i="2"/>
  <c r="BL585" i="2"/>
  <c r="AN585" i="2"/>
  <c r="DF585" i="2"/>
  <c r="CH585" i="2"/>
  <c r="BJ585" i="2"/>
  <c r="AL585" i="2"/>
  <c r="S585" i="2"/>
  <c r="T585" i="2" s="1"/>
  <c r="EB585" i="2"/>
  <c r="DD585" i="2"/>
  <c r="CF585" i="2"/>
  <c r="BH585" i="2"/>
  <c r="AJ585" i="2"/>
  <c r="DZ585" i="2"/>
  <c r="DB585" i="2"/>
  <c r="CD585" i="2"/>
  <c r="BF585" i="2"/>
  <c r="AH585" i="2"/>
  <c r="DX585" i="2"/>
  <c r="CZ585" i="2"/>
  <c r="CB585" i="2"/>
  <c r="BD585" i="2"/>
  <c r="DV585" i="2"/>
  <c r="CX585" i="2"/>
  <c r="BZ585" i="2"/>
  <c r="BB585" i="2"/>
  <c r="AZ585" i="2"/>
  <c r="DT585" i="2"/>
  <c r="BX585" i="2"/>
  <c r="CV585" i="2"/>
  <c r="N53" i="23"/>
  <c r="N53" i="29"/>
  <c r="N53" i="43"/>
  <c r="N53" i="19"/>
  <c r="N53" i="26"/>
  <c r="G586" i="2"/>
  <c r="AC586" i="2"/>
  <c r="AD586" i="2" s="1"/>
  <c r="E586" i="2"/>
  <c r="D586" i="2"/>
  <c r="V586" i="2"/>
  <c r="C587" i="2"/>
  <c r="N53" i="21"/>
  <c r="L38" i="12"/>
  <c r="L38" i="3"/>
  <c r="P14" i="3"/>
  <c r="P17" i="3"/>
  <c r="P33" i="3"/>
  <c r="P23" i="3"/>
  <c r="P37" i="3"/>
  <c r="P7" i="3"/>
  <c r="P19" i="3"/>
  <c r="P25" i="3"/>
  <c r="P5" i="3"/>
  <c r="P9" i="3"/>
  <c r="L18" i="3"/>
  <c r="L16" i="3"/>
  <c r="L11" i="3"/>
  <c r="P34" i="3"/>
  <c r="P30" i="3"/>
  <c r="P36" i="3"/>
  <c r="L11" i="12"/>
  <c r="P15" i="3"/>
  <c r="P21" i="3"/>
  <c r="P27" i="3"/>
  <c r="P35" i="3"/>
  <c r="P8" i="3"/>
  <c r="L16" i="12"/>
  <c r="P6" i="3"/>
  <c r="P22" i="3"/>
  <c r="P4" i="3"/>
  <c r="P26" i="3"/>
  <c r="L31" i="12"/>
  <c r="L31" i="3"/>
  <c r="P24" i="3"/>
  <c r="P29" i="3"/>
  <c r="P20" i="3"/>
  <c r="P28" i="3"/>
  <c r="P32" i="3"/>
  <c r="P12" i="3"/>
  <c r="L13" i="12"/>
  <c r="L13" i="3"/>
  <c r="L18" i="12"/>
  <c r="K44" i="3" l="1"/>
  <c r="K44" i="12"/>
  <c r="N13" i="12"/>
  <c r="M13" i="12"/>
  <c r="O13" i="12" s="1"/>
  <c r="N14" i="12"/>
  <c r="M14" i="12"/>
  <c r="O14" i="12" s="1"/>
  <c r="N13" i="3"/>
  <c r="M13" i="3"/>
  <c r="M14" i="3"/>
  <c r="N14" i="3"/>
  <c r="N16" i="3"/>
  <c r="M16" i="3"/>
  <c r="M17" i="3"/>
  <c r="N17" i="3"/>
  <c r="N16" i="12"/>
  <c r="M16" i="12"/>
  <c r="O16" i="12" s="1"/>
  <c r="N17" i="12"/>
  <c r="M17" i="12"/>
  <c r="O17" i="12" s="1"/>
  <c r="N31" i="3"/>
  <c r="M31" i="3"/>
  <c r="N32" i="3"/>
  <c r="M32" i="3"/>
  <c r="N31" i="12"/>
  <c r="M31" i="12"/>
  <c r="O31" i="12" s="1"/>
  <c r="N32" i="12"/>
  <c r="M32" i="12"/>
  <c r="O32" i="12" s="1"/>
  <c r="Q4" i="3"/>
  <c r="Q5" i="3"/>
  <c r="Q6" i="3"/>
  <c r="Q7" i="3"/>
  <c r="Q8" i="3"/>
  <c r="Q9" i="3"/>
  <c r="Q10" i="3"/>
  <c r="N11" i="12"/>
  <c r="M11" i="12"/>
  <c r="O11" i="12" s="1"/>
  <c r="L44" i="12"/>
  <c r="M12" i="12"/>
  <c r="O12" i="12" s="1"/>
  <c r="N12" i="12"/>
  <c r="M11" i="3"/>
  <c r="N11" i="3"/>
  <c r="M12" i="3"/>
  <c r="L44" i="3"/>
  <c r="N12" i="3"/>
  <c r="N18" i="12"/>
  <c r="M18" i="12"/>
  <c r="O18" i="12" s="1"/>
  <c r="N19" i="12"/>
  <c r="M19" i="12"/>
  <c r="O19" i="12" s="1"/>
  <c r="M18" i="3"/>
  <c r="N18" i="3"/>
  <c r="M19" i="3"/>
  <c r="N19" i="3"/>
  <c r="N38" i="3"/>
  <c r="M38" i="3"/>
  <c r="N39" i="3"/>
  <c r="M39" i="3"/>
  <c r="N38" i="12"/>
  <c r="M38" i="12"/>
  <c r="O38" i="12" s="1"/>
  <c r="N39" i="12"/>
  <c r="M39" i="12"/>
  <c r="O39" i="12" s="1"/>
  <c r="G587" i="2"/>
  <c r="AC587" i="2"/>
  <c r="AD587" i="2" s="1"/>
  <c r="E587" i="2"/>
  <c r="D587" i="2"/>
  <c r="F587" i="2" s="1"/>
  <c r="AB587" i="2" s="1"/>
  <c r="V587" i="2"/>
  <c r="C588" i="2"/>
  <c r="N53" i="27"/>
  <c r="W585" i="2"/>
  <c r="B586" i="2"/>
  <c r="DX586" i="2"/>
  <c r="CZ586" i="2"/>
  <c r="CB586" i="2"/>
  <c r="BD586" i="2"/>
  <c r="AH586" i="2"/>
  <c r="DV586" i="2"/>
  <c r="CX586" i="2"/>
  <c r="BZ586" i="2"/>
  <c r="BB586" i="2"/>
  <c r="DT586" i="2"/>
  <c r="CV586" i="2"/>
  <c r="BX586" i="2"/>
  <c r="AZ586" i="2"/>
  <c r="DR586" i="2"/>
  <c r="CT586" i="2"/>
  <c r="BV586" i="2"/>
  <c r="AX586" i="2"/>
  <c r="DP586" i="2"/>
  <c r="CR586" i="2"/>
  <c r="BT586" i="2"/>
  <c r="AV586" i="2"/>
  <c r="DN586" i="2"/>
  <c r="CP586" i="2"/>
  <c r="BR586" i="2"/>
  <c r="AT586" i="2"/>
  <c r="DL586" i="2"/>
  <c r="CN586" i="2"/>
  <c r="BP586" i="2"/>
  <c r="AR586" i="2"/>
  <c r="A586" i="2"/>
  <c r="DJ586" i="2"/>
  <c r="CL586" i="2"/>
  <c r="BN586" i="2"/>
  <c r="AP586" i="2"/>
  <c r="DH586" i="2"/>
  <c r="CJ586" i="2"/>
  <c r="BL586" i="2"/>
  <c r="S586" i="2"/>
  <c r="T586" i="2" s="1"/>
  <c r="DF586" i="2"/>
  <c r="CH586" i="2"/>
  <c r="BJ586" i="2"/>
  <c r="AN586" i="2"/>
  <c r="EB586" i="2"/>
  <c r="DD586" i="2"/>
  <c r="CF586" i="2"/>
  <c r="BH586" i="2"/>
  <c r="AL586" i="2"/>
  <c r="DB586" i="2"/>
  <c r="CD586" i="2"/>
  <c r="BF586" i="2"/>
  <c r="AJ586" i="2"/>
  <c r="DZ586" i="2"/>
  <c r="N53" i="30"/>
  <c r="N53" i="45"/>
  <c r="F586" i="2"/>
  <c r="AB586" i="2" s="1"/>
  <c r="N53" i="25"/>
  <c r="N53" i="32"/>
  <c r="N53" i="52"/>
  <c r="P38" i="3"/>
  <c r="P11" i="3"/>
  <c r="P31" i="3"/>
  <c r="P16" i="3"/>
  <c r="P18" i="3"/>
  <c r="P13" i="3"/>
  <c r="Q43" i="3" l="1"/>
  <c r="N44" i="3"/>
  <c r="O44" i="12"/>
  <c r="N44" i="12"/>
  <c r="Q15" i="3"/>
  <c r="Q18" i="3"/>
  <c r="P44" i="3"/>
  <c r="Q27" i="3"/>
  <c r="Q30" i="3"/>
  <c r="Q22" i="3"/>
  <c r="Q14" i="3"/>
  <c r="Q39" i="3"/>
  <c r="Q42" i="3"/>
  <c r="Q34" i="3"/>
  <c r="Q26" i="3"/>
  <c r="Q11" i="3"/>
  <c r="Q38" i="3"/>
  <c r="Q16" i="3"/>
  <c r="Q19" i="3"/>
  <c r="Q23" i="3"/>
  <c r="Q28" i="3"/>
  <c r="Q31" i="3"/>
  <c r="Q35" i="3"/>
  <c r="Q40" i="3"/>
  <c r="Q12" i="3"/>
  <c r="Q20" i="3"/>
  <c r="Q24" i="3"/>
  <c r="Q17" i="3"/>
  <c r="Q32" i="3"/>
  <c r="Q36" i="3"/>
  <c r="Q29" i="3"/>
  <c r="Q13" i="3"/>
  <c r="Q41" i="3"/>
  <c r="Q21" i="3"/>
  <c r="Q25" i="3"/>
  <c r="Q33" i="3"/>
  <c r="Q37" i="3"/>
  <c r="V588" i="2"/>
  <c r="C589" i="2"/>
  <c r="G588" i="2"/>
  <c r="AC588" i="2"/>
  <c r="AD588" i="2" s="1"/>
  <c r="E588" i="2"/>
  <c r="D588" i="2"/>
  <c r="W586" i="2"/>
  <c r="B587" i="2"/>
  <c r="DH587" i="2"/>
  <c r="CJ587" i="2"/>
  <c r="BL587" i="2"/>
  <c r="AN587" i="2"/>
  <c r="DF587" i="2"/>
  <c r="CH587" i="2"/>
  <c r="BJ587" i="2"/>
  <c r="AL587" i="2"/>
  <c r="EB587" i="2"/>
  <c r="DD587" i="2"/>
  <c r="CF587" i="2"/>
  <c r="BH587" i="2"/>
  <c r="AJ587" i="2"/>
  <c r="DZ587" i="2"/>
  <c r="DB587" i="2"/>
  <c r="CD587" i="2"/>
  <c r="BF587" i="2"/>
  <c r="AH587" i="2"/>
  <c r="DX587" i="2"/>
  <c r="CZ587" i="2"/>
  <c r="CB587" i="2"/>
  <c r="BD587" i="2"/>
  <c r="DV587" i="2"/>
  <c r="CX587" i="2"/>
  <c r="BZ587" i="2"/>
  <c r="BB587" i="2"/>
  <c r="DT587" i="2"/>
  <c r="CV587" i="2"/>
  <c r="BX587" i="2"/>
  <c r="AZ587" i="2"/>
  <c r="DR587" i="2"/>
  <c r="CT587" i="2"/>
  <c r="BV587" i="2"/>
  <c r="AX587" i="2"/>
  <c r="DP587" i="2"/>
  <c r="CR587" i="2"/>
  <c r="BT587" i="2"/>
  <c r="AV587" i="2"/>
  <c r="DN587" i="2"/>
  <c r="CP587" i="2"/>
  <c r="BR587" i="2"/>
  <c r="AT587" i="2"/>
  <c r="A587" i="2"/>
  <c r="DL587" i="2"/>
  <c r="CN587" i="2"/>
  <c r="BP587" i="2"/>
  <c r="AR587" i="2"/>
  <c r="DJ587" i="2"/>
  <c r="CL587" i="2"/>
  <c r="BN587" i="2"/>
  <c r="AP587" i="2"/>
  <c r="S587" i="2"/>
  <c r="T587" i="2" s="1"/>
  <c r="F588" i="2" l="1"/>
  <c r="AB588" i="2" s="1"/>
  <c r="DP588" i="2"/>
  <c r="CR588" i="2"/>
  <c r="BT588" i="2"/>
  <c r="AV588" i="2"/>
  <c r="DN588" i="2"/>
  <c r="CP588" i="2"/>
  <c r="BR588" i="2"/>
  <c r="AT588" i="2"/>
  <c r="A588" i="2"/>
  <c r="DL588" i="2"/>
  <c r="CN588" i="2"/>
  <c r="BP588" i="2"/>
  <c r="AR588" i="2"/>
  <c r="DJ588" i="2"/>
  <c r="CL588" i="2"/>
  <c r="BN588" i="2"/>
  <c r="AP588" i="2"/>
  <c r="S588" i="2"/>
  <c r="T588" i="2" s="1"/>
  <c r="DH588" i="2"/>
  <c r="CJ588" i="2"/>
  <c r="BL588" i="2"/>
  <c r="AN588" i="2"/>
  <c r="DF588" i="2"/>
  <c r="CH588" i="2"/>
  <c r="BJ588" i="2"/>
  <c r="AL588" i="2"/>
  <c r="EB588" i="2"/>
  <c r="DD588" i="2"/>
  <c r="CF588" i="2"/>
  <c r="BH588" i="2"/>
  <c r="AJ588" i="2"/>
  <c r="DZ588" i="2"/>
  <c r="DB588" i="2"/>
  <c r="CD588" i="2"/>
  <c r="BF588" i="2"/>
  <c r="AH588" i="2"/>
  <c r="DX588" i="2"/>
  <c r="CZ588" i="2"/>
  <c r="CB588" i="2"/>
  <c r="BD588" i="2"/>
  <c r="DV588" i="2"/>
  <c r="CX588" i="2"/>
  <c r="BZ588" i="2"/>
  <c r="BB588" i="2"/>
  <c r="DT588" i="2"/>
  <c r="CV588" i="2"/>
  <c r="BX588" i="2"/>
  <c r="AZ588" i="2"/>
  <c r="DR588" i="2"/>
  <c r="CT588" i="2"/>
  <c r="BV588" i="2"/>
  <c r="AX588" i="2"/>
  <c r="W587" i="2"/>
  <c r="B588" i="2"/>
  <c r="AC589" i="2"/>
  <c r="AD589" i="2" s="1"/>
  <c r="E589" i="2"/>
  <c r="D589" i="2"/>
  <c r="F589" i="2" s="1"/>
  <c r="AB589" i="2" s="1"/>
  <c r="V589" i="2"/>
  <c r="C590" i="2"/>
  <c r="G589" i="2"/>
  <c r="G590" i="2" l="1"/>
  <c r="AC590" i="2"/>
  <c r="AD590" i="2" s="1"/>
  <c r="E590" i="2"/>
  <c r="D590" i="2"/>
  <c r="F590" i="2" s="1"/>
  <c r="AB590" i="2" s="1"/>
  <c r="V590" i="2"/>
  <c r="C591" i="2"/>
  <c r="DX589" i="2"/>
  <c r="CZ589" i="2"/>
  <c r="CB589" i="2"/>
  <c r="BD589" i="2"/>
  <c r="DV589" i="2"/>
  <c r="CX589" i="2"/>
  <c r="BZ589" i="2"/>
  <c r="BB589" i="2"/>
  <c r="DT589" i="2"/>
  <c r="CV589" i="2"/>
  <c r="BX589" i="2"/>
  <c r="AZ589" i="2"/>
  <c r="DR589" i="2"/>
  <c r="CT589" i="2"/>
  <c r="BV589" i="2"/>
  <c r="AX589" i="2"/>
  <c r="DP589" i="2"/>
  <c r="CR589" i="2"/>
  <c r="BT589" i="2"/>
  <c r="AV589" i="2"/>
  <c r="DN589" i="2"/>
  <c r="CP589" i="2"/>
  <c r="BR589" i="2"/>
  <c r="AT589" i="2"/>
  <c r="A589" i="2"/>
  <c r="DL589" i="2"/>
  <c r="CN589" i="2"/>
  <c r="BP589" i="2"/>
  <c r="AR589" i="2"/>
  <c r="DJ589" i="2"/>
  <c r="CL589" i="2"/>
  <c r="BN589" i="2"/>
  <c r="AP589" i="2"/>
  <c r="S589" i="2"/>
  <c r="T589" i="2" s="1"/>
  <c r="DH589" i="2"/>
  <c r="CJ589" i="2"/>
  <c r="BL589" i="2"/>
  <c r="AN589" i="2"/>
  <c r="DF589" i="2"/>
  <c r="CH589" i="2"/>
  <c r="BJ589" i="2"/>
  <c r="AL589" i="2"/>
  <c r="EB589" i="2"/>
  <c r="DD589" i="2"/>
  <c r="CF589" i="2"/>
  <c r="BH589" i="2"/>
  <c r="AJ589" i="2"/>
  <c r="DZ589" i="2"/>
  <c r="DB589" i="2"/>
  <c r="CD589" i="2"/>
  <c r="BF589" i="2"/>
  <c r="AH589" i="2"/>
  <c r="W588" i="2"/>
  <c r="B589" i="2"/>
  <c r="V591" i="2" l="1"/>
  <c r="C592" i="2"/>
  <c r="G591" i="2"/>
  <c r="AC591" i="2"/>
  <c r="AD591" i="2" s="1"/>
  <c r="E591" i="2"/>
  <c r="D591" i="2"/>
  <c r="F591" i="2" s="1"/>
  <c r="AB591" i="2" s="1"/>
  <c r="W589" i="2"/>
  <c r="B590" i="2"/>
  <c r="DH590" i="2"/>
  <c r="CJ590" i="2"/>
  <c r="BL590" i="2"/>
  <c r="AN590" i="2"/>
  <c r="DF590" i="2"/>
  <c r="CH590" i="2"/>
  <c r="BJ590" i="2"/>
  <c r="AL590" i="2"/>
  <c r="EB590" i="2"/>
  <c r="DD590" i="2"/>
  <c r="CF590" i="2"/>
  <c r="BH590" i="2"/>
  <c r="AJ590" i="2"/>
  <c r="DZ590" i="2"/>
  <c r="DB590" i="2"/>
  <c r="CD590" i="2"/>
  <c r="BF590" i="2"/>
  <c r="AH590" i="2"/>
  <c r="DX590" i="2"/>
  <c r="CZ590" i="2"/>
  <c r="CB590" i="2"/>
  <c r="BD590" i="2"/>
  <c r="DV590" i="2"/>
  <c r="CX590" i="2"/>
  <c r="BZ590" i="2"/>
  <c r="BB590" i="2"/>
  <c r="DT590" i="2"/>
  <c r="CV590" i="2"/>
  <c r="BX590" i="2"/>
  <c r="AZ590" i="2"/>
  <c r="DR590" i="2"/>
  <c r="CT590" i="2"/>
  <c r="BV590" i="2"/>
  <c r="AX590" i="2"/>
  <c r="DP590" i="2"/>
  <c r="CR590" i="2"/>
  <c r="BT590" i="2"/>
  <c r="AV590" i="2"/>
  <c r="DN590" i="2"/>
  <c r="CP590" i="2"/>
  <c r="BR590" i="2"/>
  <c r="AT590" i="2"/>
  <c r="A590" i="2"/>
  <c r="DL590" i="2"/>
  <c r="CN590" i="2"/>
  <c r="BP590" i="2"/>
  <c r="AR590" i="2"/>
  <c r="AP590" i="2"/>
  <c r="S590" i="2"/>
  <c r="T590" i="2" s="1"/>
  <c r="DJ590" i="2"/>
  <c r="BN590" i="2"/>
  <c r="CL590" i="2"/>
  <c r="DP591" i="2" l="1"/>
  <c r="CR591" i="2"/>
  <c r="BT591" i="2"/>
  <c r="AV591" i="2"/>
  <c r="DN591" i="2"/>
  <c r="CP591" i="2"/>
  <c r="BR591" i="2"/>
  <c r="AT591" i="2"/>
  <c r="A591" i="2"/>
  <c r="DL591" i="2"/>
  <c r="CN591" i="2"/>
  <c r="BP591" i="2"/>
  <c r="AR591" i="2"/>
  <c r="DJ591" i="2"/>
  <c r="CL591" i="2"/>
  <c r="BN591" i="2"/>
  <c r="AP591" i="2"/>
  <c r="S591" i="2"/>
  <c r="T591" i="2" s="1"/>
  <c r="DH591" i="2"/>
  <c r="CJ591" i="2"/>
  <c r="BL591" i="2"/>
  <c r="AN591" i="2"/>
  <c r="DF591" i="2"/>
  <c r="CH591" i="2"/>
  <c r="BJ591" i="2"/>
  <c r="AL591" i="2"/>
  <c r="EB591" i="2"/>
  <c r="DD591" i="2"/>
  <c r="CF591" i="2"/>
  <c r="BH591" i="2"/>
  <c r="AJ591" i="2"/>
  <c r="DZ591" i="2"/>
  <c r="DB591" i="2"/>
  <c r="CD591" i="2"/>
  <c r="BF591" i="2"/>
  <c r="AH591" i="2"/>
  <c r="DX591" i="2"/>
  <c r="CZ591" i="2"/>
  <c r="CB591" i="2"/>
  <c r="BD591" i="2"/>
  <c r="DV591" i="2"/>
  <c r="CX591" i="2"/>
  <c r="BZ591" i="2"/>
  <c r="BB591" i="2"/>
  <c r="DT591" i="2"/>
  <c r="CV591" i="2"/>
  <c r="BX591" i="2"/>
  <c r="AZ591" i="2"/>
  <c r="CT591" i="2"/>
  <c r="BV591" i="2"/>
  <c r="AX591" i="2"/>
  <c r="DR591" i="2"/>
  <c r="AC592" i="2"/>
  <c r="AD592" i="2" s="1"/>
  <c r="E592" i="2"/>
  <c r="D592" i="2"/>
  <c r="F592" i="2" s="1"/>
  <c r="AB592" i="2" s="1"/>
  <c r="V592" i="2"/>
  <c r="C593" i="2"/>
  <c r="G592" i="2"/>
  <c r="W590" i="2"/>
  <c r="B591" i="2"/>
  <c r="DX592" i="2" l="1"/>
  <c r="CZ592" i="2"/>
  <c r="CB592" i="2"/>
  <c r="BD592" i="2"/>
  <c r="DV592" i="2"/>
  <c r="CX592" i="2"/>
  <c r="BZ592" i="2"/>
  <c r="BB592" i="2"/>
  <c r="DT592" i="2"/>
  <c r="CV592" i="2"/>
  <c r="BX592" i="2"/>
  <c r="AZ592" i="2"/>
  <c r="DR592" i="2"/>
  <c r="CT592" i="2"/>
  <c r="BV592" i="2"/>
  <c r="AX592" i="2"/>
  <c r="DP592" i="2"/>
  <c r="CR592" i="2"/>
  <c r="BT592" i="2"/>
  <c r="AV592" i="2"/>
  <c r="DN592" i="2"/>
  <c r="CP592" i="2"/>
  <c r="BR592" i="2"/>
  <c r="AT592" i="2"/>
  <c r="A592" i="2"/>
  <c r="DL592" i="2"/>
  <c r="CN592" i="2"/>
  <c r="BP592" i="2"/>
  <c r="AR592" i="2"/>
  <c r="DJ592" i="2"/>
  <c r="CL592" i="2"/>
  <c r="BN592" i="2"/>
  <c r="AP592" i="2"/>
  <c r="S592" i="2"/>
  <c r="T592" i="2" s="1"/>
  <c r="DH592" i="2"/>
  <c r="CJ592" i="2"/>
  <c r="BL592" i="2"/>
  <c r="AN592" i="2"/>
  <c r="DF592" i="2"/>
  <c r="CH592" i="2"/>
  <c r="BJ592" i="2"/>
  <c r="AL592" i="2"/>
  <c r="EB592" i="2"/>
  <c r="DD592" i="2"/>
  <c r="CF592" i="2"/>
  <c r="BH592" i="2"/>
  <c r="AJ592" i="2"/>
  <c r="DZ592" i="2"/>
  <c r="DB592" i="2"/>
  <c r="CD592" i="2"/>
  <c r="BF592" i="2"/>
  <c r="AH592" i="2"/>
  <c r="W591" i="2"/>
  <c r="B592" i="2"/>
  <c r="G593" i="2"/>
  <c r="AC593" i="2"/>
  <c r="AD593" i="2" s="1"/>
  <c r="E593" i="2"/>
  <c r="D593" i="2"/>
  <c r="F593" i="2" s="1"/>
  <c r="AB593" i="2" s="1"/>
  <c r="V593" i="2"/>
  <c r="C594" i="2"/>
  <c r="V594" i="2" l="1"/>
  <c r="C595" i="2"/>
  <c r="G594" i="2"/>
  <c r="AC594" i="2"/>
  <c r="AD594" i="2" s="1"/>
  <c r="E594" i="2"/>
  <c r="D594" i="2"/>
  <c r="F594" i="2" s="1"/>
  <c r="AB594" i="2" s="1"/>
  <c r="W592" i="2"/>
  <c r="B593" i="2"/>
  <c r="DH593" i="2"/>
  <c r="CJ593" i="2"/>
  <c r="BL593" i="2"/>
  <c r="AN593" i="2"/>
  <c r="DF593" i="2"/>
  <c r="CH593" i="2"/>
  <c r="BJ593" i="2"/>
  <c r="AL593" i="2"/>
  <c r="EB593" i="2"/>
  <c r="DD593" i="2"/>
  <c r="CF593" i="2"/>
  <c r="BH593" i="2"/>
  <c r="AJ593" i="2"/>
  <c r="DZ593" i="2"/>
  <c r="DB593" i="2"/>
  <c r="CD593" i="2"/>
  <c r="BF593" i="2"/>
  <c r="AH593" i="2"/>
  <c r="DX593" i="2"/>
  <c r="CZ593" i="2"/>
  <c r="CB593" i="2"/>
  <c r="BD593" i="2"/>
  <c r="DV593" i="2"/>
  <c r="CX593" i="2"/>
  <c r="BZ593" i="2"/>
  <c r="BB593" i="2"/>
  <c r="DT593" i="2"/>
  <c r="CV593" i="2"/>
  <c r="BX593" i="2"/>
  <c r="AZ593" i="2"/>
  <c r="DR593" i="2"/>
  <c r="CT593" i="2"/>
  <c r="BV593" i="2"/>
  <c r="AX593" i="2"/>
  <c r="DP593" i="2"/>
  <c r="CR593" i="2"/>
  <c r="BT593" i="2"/>
  <c r="AV593" i="2"/>
  <c r="DN593" i="2"/>
  <c r="CP593" i="2"/>
  <c r="BR593" i="2"/>
  <c r="AT593" i="2"/>
  <c r="A593" i="2"/>
  <c r="DL593" i="2"/>
  <c r="CN593" i="2"/>
  <c r="BP593" i="2"/>
  <c r="AR593" i="2"/>
  <c r="DJ593" i="2"/>
  <c r="CL593" i="2"/>
  <c r="BN593" i="2"/>
  <c r="AP593" i="2"/>
  <c r="S593" i="2"/>
  <c r="T593" i="2" s="1"/>
  <c r="DP594" i="2" l="1"/>
  <c r="CR594" i="2"/>
  <c r="BT594" i="2"/>
  <c r="AV594" i="2"/>
  <c r="DN594" i="2"/>
  <c r="CP594" i="2"/>
  <c r="BR594" i="2"/>
  <c r="AT594" i="2"/>
  <c r="A594" i="2"/>
  <c r="DL594" i="2"/>
  <c r="CN594" i="2"/>
  <c r="BP594" i="2"/>
  <c r="AR594" i="2"/>
  <c r="DJ594" i="2"/>
  <c r="CL594" i="2"/>
  <c r="BN594" i="2"/>
  <c r="AP594" i="2"/>
  <c r="S594" i="2"/>
  <c r="T594" i="2" s="1"/>
  <c r="DH594" i="2"/>
  <c r="CJ594" i="2"/>
  <c r="BL594" i="2"/>
  <c r="AN594" i="2"/>
  <c r="DF594" i="2"/>
  <c r="CH594" i="2"/>
  <c r="BJ594" i="2"/>
  <c r="AL594" i="2"/>
  <c r="EB594" i="2"/>
  <c r="DD594" i="2"/>
  <c r="CF594" i="2"/>
  <c r="BH594" i="2"/>
  <c r="AJ594" i="2"/>
  <c r="DZ594" i="2"/>
  <c r="DB594" i="2"/>
  <c r="CD594" i="2"/>
  <c r="BF594" i="2"/>
  <c r="AH594" i="2"/>
  <c r="DX594" i="2"/>
  <c r="CZ594" i="2"/>
  <c r="CB594" i="2"/>
  <c r="BD594" i="2"/>
  <c r="DV594" i="2"/>
  <c r="CX594" i="2"/>
  <c r="BZ594" i="2"/>
  <c r="BB594" i="2"/>
  <c r="DT594" i="2"/>
  <c r="CV594" i="2"/>
  <c r="BX594" i="2"/>
  <c r="AZ594" i="2"/>
  <c r="DR594" i="2"/>
  <c r="CT594" i="2"/>
  <c r="BV594" i="2"/>
  <c r="AX594" i="2"/>
  <c r="AC595" i="2"/>
  <c r="AD595" i="2" s="1"/>
  <c r="E595" i="2"/>
  <c r="D595" i="2"/>
  <c r="F595" i="2" s="1"/>
  <c r="AB595" i="2" s="1"/>
  <c r="V595" i="2"/>
  <c r="C596" i="2"/>
  <c r="G595" i="2"/>
  <c r="W593" i="2"/>
  <c r="B594" i="2"/>
  <c r="DX595" i="2" l="1"/>
  <c r="CZ595" i="2"/>
  <c r="CB595" i="2"/>
  <c r="BD595" i="2"/>
  <c r="DV595" i="2"/>
  <c r="CX595" i="2"/>
  <c r="BZ595" i="2"/>
  <c r="BB595" i="2"/>
  <c r="DT595" i="2"/>
  <c r="CV595" i="2"/>
  <c r="BX595" i="2"/>
  <c r="AZ595" i="2"/>
  <c r="DR595" i="2"/>
  <c r="CT595" i="2"/>
  <c r="BV595" i="2"/>
  <c r="AX595" i="2"/>
  <c r="DP595" i="2"/>
  <c r="CR595" i="2"/>
  <c r="BT595" i="2"/>
  <c r="AV595" i="2"/>
  <c r="DN595" i="2"/>
  <c r="CP595" i="2"/>
  <c r="BR595" i="2"/>
  <c r="AT595" i="2"/>
  <c r="A595" i="2"/>
  <c r="DL595" i="2"/>
  <c r="CN595" i="2"/>
  <c r="BP595" i="2"/>
  <c r="AR595" i="2"/>
  <c r="DJ595" i="2"/>
  <c r="CL595" i="2"/>
  <c r="BN595" i="2"/>
  <c r="AP595" i="2"/>
  <c r="S595" i="2"/>
  <c r="T595" i="2" s="1"/>
  <c r="DH595" i="2"/>
  <c r="CJ595" i="2"/>
  <c r="BL595" i="2"/>
  <c r="AN595" i="2"/>
  <c r="DF595" i="2"/>
  <c r="CH595" i="2"/>
  <c r="BJ595" i="2"/>
  <c r="AL595" i="2"/>
  <c r="EB595" i="2"/>
  <c r="DD595" i="2"/>
  <c r="CF595" i="2"/>
  <c r="BH595" i="2"/>
  <c r="AJ595" i="2"/>
  <c r="AH595" i="2"/>
  <c r="DZ595" i="2"/>
  <c r="DB595" i="2"/>
  <c r="BF595" i="2"/>
  <c r="CD595" i="2"/>
  <c r="G596" i="2"/>
  <c r="AC596" i="2"/>
  <c r="AD596" i="2" s="1"/>
  <c r="E596" i="2"/>
  <c r="D596" i="2"/>
  <c r="F596" i="2" s="1"/>
  <c r="AB596" i="2" s="1"/>
  <c r="V596" i="2"/>
  <c r="C597" i="2"/>
  <c r="W594" i="2"/>
  <c r="B595" i="2"/>
  <c r="W595" i="2" l="1"/>
  <c r="B596" i="2"/>
  <c r="DH596" i="2"/>
  <c r="CJ596" i="2"/>
  <c r="BL596" i="2"/>
  <c r="AN596" i="2"/>
  <c r="DF596" i="2"/>
  <c r="CH596" i="2"/>
  <c r="BJ596" i="2"/>
  <c r="AL596" i="2"/>
  <c r="EB596" i="2"/>
  <c r="DD596" i="2"/>
  <c r="CF596" i="2"/>
  <c r="BH596" i="2"/>
  <c r="AJ596" i="2"/>
  <c r="DZ596" i="2"/>
  <c r="DB596" i="2"/>
  <c r="CD596" i="2"/>
  <c r="BF596" i="2"/>
  <c r="AH596" i="2"/>
  <c r="DX596" i="2"/>
  <c r="CZ596" i="2"/>
  <c r="CB596" i="2"/>
  <c r="BD596" i="2"/>
  <c r="DV596" i="2"/>
  <c r="CX596" i="2"/>
  <c r="BZ596" i="2"/>
  <c r="BB596" i="2"/>
  <c r="DT596" i="2"/>
  <c r="CV596" i="2"/>
  <c r="BX596" i="2"/>
  <c r="AZ596" i="2"/>
  <c r="DR596" i="2"/>
  <c r="CT596" i="2"/>
  <c r="BV596" i="2"/>
  <c r="AX596" i="2"/>
  <c r="DP596" i="2"/>
  <c r="CR596" i="2"/>
  <c r="BT596" i="2"/>
  <c r="AV596" i="2"/>
  <c r="DN596" i="2"/>
  <c r="CP596" i="2"/>
  <c r="BR596" i="2"/>
  <c r="AT596" i="2"/>
  <c r="A596" i="2"/>
  <c r="DL596" i="2"/>
  <c r="CN596" i="2"/>
  <c r="BP596" i="2"/>
  <c r="AR596" i="2"/>
  <c r="CL596" i="2"/>
  <c r="BN596" i="2"/>
  <c r="AP596" i="2"/>
  <c r="S596" i="2"/>
  <c r="T596" i="2" s="1"/>
  <c r="DJ596" i="2"/>
  <c r="V597" i="2"/>
  <c r="C598" i="2"/>
  <c r="AC597" i="2"/>
  <c r="AD597" i="2" s="1"/>
  <c r="G597" i="2"/>
  <c r="E597" i="2"/>
  <c r="D597" i="2"/>
  <c r="F597" i="2" s="1"/>
  <c r="AB597" i="2" s="1"/>
  <c r="DL597" i="2" l="1"/>
  <c r="CN597" i="2"/>
  <c r="BP597" i="2"/>
  <c r="AR597" i="2"/>
  <c r="DJ597" i="2"/>
  <c r="CL597" i="2"/>
  <c r="BN597" i="2"/>
  <c r="AP597" i="2"/>
  <c r="A597" i="2"/>
  <c r="DH597" i="2"/>
  <c r="CJ597" i="2"/>
  <c r="BL597" i="2"/>
  <c r="AN597" i="2"/>
  <c r="DF597" i="2"/>
  <c r="CH597" i="2"/>
  <c r="BJ597" i="2"/>
  <c r="AL597" i="2"/>
  <c r="S597" i="2"/>
  <c r="T597" i="2" s="1"/>
  <c r="EB597" i="2"/>
  <c r="DD597" i="2"/>
  <c r="CF597" i="2"/>
  <c r="BH597" i="2"/>
  <c r="AJ597" i="2"/>
  <c r="DZ597" i="2"/>
  <c r="DB597" i="2"/>
  <c r="CD597" i="2"/>
  <c r="BF597" i="2"/>
  <c r="AH597" i="2"/>
  <c r="DX597" i="2"/>
  <c r="CZ597" i="2"/>
  <c r="CB597" i="2"/>
  <c r="BD597" i="2"/>
  <c r="DV597" i="2"/>
  <c r="CX597" i="2"/>
  <c r="BZ597" i="2"/>
  <c r="BB597" i="2"/>
  <c r="DT597" i="2"/>
  <c r="CV597" i="2"/>
  <c r="BX597" i="2"/>
  <c r="AZ597" i="2"/>
  <c r="DR597" i="2"/>
  <c r="CT597" i="2"/>
  <c r="BV597" i="2"/>
  <c r="AX597" i="2"/>
  <c r="DP597" i="2"/>
  <c r="CR597" i="2"/>
  <c r="BT597" i="2"/>
  <c r="AV597" i="2"/>
  <c r="DN597" i="2"/>
  <c r="CP597" i="2"/>
  <c r="BR597" i="2"/>
  <c r="AT597" i="2"/>
  <c r="D598" i="2"/>
  <c r="V598" i="2"/>
  <c r="C599" i="2"/>
  <c r="G598" i="2"/>
  <c r="AC598" i="2"/>
  <c r="AD598" i="2" s="1"/>
  <c r="E598" i="2"/>
  <c r="W596" i="2"/>
  <c r="B597" i="2"/>
  <c r="W597" i="2" l="1"/>
  <c r="B598" i="2"/>
  <c r="G599" i="2"/>
  <c r="AC599" i="2"/>
  <c r="AD599" i="2" s="1"/>
  <c r="E599" i="2"/>
  <c r="D599" i="2"/>
  <c r="F599" i="2" s="1"/>
  <c r="AB599" i="2" s="1"/>
  <c r="V599" i="2"/>
  <c r="C600" i="2"/>
  <c r="DR598" i="2"/>
  <c r="CT598" i="2"/>
  <c r="BV598" i="2"/>
  <c r="AX598" i="2"/>
  <c r="DP598" i="2"/>
  <c r="CR598" i="2"/>
  <c r="BT598" i="2"/>
  <c r="AV598" i="2"/>
  <c r="DN598" i="2"/>
  <c r="CP598" i="2"/>
  <c r="BR598" i="2"/>
  <c r="AT598" i="2"/>
  <c r="DL598" i="2"/>
  <c r="CN598" i="2"/>
  <c r="BP598" i="2"/>
  <c r="AR598" i="2"/>
  <c r="A598" i="2"/>
  <c r="DJ598" i="2"/>
  <c r="CL598" i="2"/>
  <c r="BN598" i="2"/>
  <c r="AP598" i="2"/>
  <c r="DH598" i="2"/>
  <c r="CJ598" i="2"/>
  <c r="BL598" i="2"/>
  <c r="S598" i="2"/>
  <c r="T598" i="2" s="1"/>
  <c r="DF598" i="2"/>
  <c r="CH598" i="2"/>
  <c r="BJ598" i="2"/>
  <c r="AN598" i="2"/>
  <c r="EB598" i="2"/>
  <c r="DD598" i="2"/>
  <c r="CF598" i="2"/>
  <c r="BH598" i="2"/>
  <c r="AL598" i="2"/>
  <c r="DZ598" i="2"/>
  <c r="DB598" i="2"/>
  <c r="CD598" i="2"/>
  <c r="BF598" i="2"/>
  <c r="AJ598" i="2"/>
  <c r="DX598" i="2"/>
  <c r="CZ598" i="2"/>
  <c r="CB598" i="2"/>
  <c r="BD598" i="2"/>
  <c r="AH598" i="2"/>
  <c r="DV598" i="2"/>
  <c r="CX598" i="2"/>
  <c r="BZ598" i="2"/>
  <c r="BB598" i="2"/>
  <c r="DT598" i="2"/>
  <c r="CV598" i="2"/>
  <c r="BX598" i="2"/>
  <c r="AZ598" i="2"/>
  <c r="F598" i="2"/>
  <c r="AB598" i="2" s="1"/>
  <c r="C601" i="2" l="1"/>
  <c r="G600" i="2"/>
  <c r="AC600" i="2"/>
  <c r="AD600" i="2" s="1"/>
  <c r="E600" i="2"/>
  <c r="D600" i="2"/>
  <c r="F600" i="2" s="1"/>
  <c r="AB600" i="2" s="1"/>
  <c r="V600" i="2"/>
  <c r="W598" i="2"/>
  <c r="B599" i="2"/>
  <c r="DZ599" i="2"/>
  <c r="DB599" i="2"/>
  <c r="CD599" i="2"/>
  <c r="BF599" i="2"/>
  <c r="AH599" i="2"/>
  <c r="DX599" i="2"/>
  <c r="CZ599" i="2"/>
  <c r="CB599" i="2"/>
  <c r="BD599" i="2"/>
  <c r="DV599" i="2"/>
  <c r="CX599" i="2"/>
  <c r="BZ599" i="2"/>
  <c r="BB599" i="2"/>
  <c r="DT599" i="2"/>
  <c r="CV599" i="2"/>
  <c r="BX599" i="2"/>
  <c r="AZ599" i="2"/>
  <c r="DR599" i="2"/>
  <c r="CT599" i="2"/>
  <c r="BV599" i="2"/>
  <c r="AX599" i="2"/>
  <c r="DP599" i="2"/>
  <c r="CR599" i="2"/>
  <c r="BT599" i="2"/>
  <c r="AV599" i="2"/>
  <c r="DN599" i="2"/>
  <c r="CP599" i="2"/>
  <c r="BR599" i="2"/>
  <c r="AT599" i="2"/>
  <c r="A599" i="2"/>
  <c r="DL599" i="2"/>
  <c r="CN599" i="2"/>
  <c r="BP599" i="2"/>
  <c r="AR599" i="2"/>
  <c r="DJ599" i="2"/>
  <c r="CL599" i="2"/>
  <c r="BN599" i="2"/>
  <c r="AP599" i="2"/>
  <c r="S599" i="2"/>
  <c r="T599" i="2" s="1"/>
  <c r="DH599" i="2"/>
  <c r="CJ599" i="2"/>
  <c r="BL599" i="2"/>
  <c r="AN599" i="2"/>
  <c r="DF599" i="2"/>
  <c r="CH599" i="2"/>
  <c r="BJ599" i="2"/>
  <c r="AL599" i="2"/>
  <c r="EB599" i="2"/>
  <c r="DD599" i="2"/>
  <c r="CF599" i="2"/>
  <c r="BH599" i="2"/>
  <c r="AJ599" i="2"/>
  <c r="W599" i="2" l="1"/>
  <c r="B600" i="2"/>
  <c r="DJ600" i="2"/>
  <c r="CL600" i="2"/>
  <c r="BN600" i="2"/>
  <c r="AP600" i="2"/>
  <c r="S600" i="2"/>
  <c r="T600" i="2" s="1"/>
  <c r="DH600" i="2"/>
  <c r="CJ600" i="2"/>
  <c r="BL600" i="2"/>
  <c r="AN600" i="2"/>
  <c r="DF600" i="2"/>
  <c r="CH600" i="2"/>
  <c r="BJ600" i="2"/>
  <c r="AL600" i="2"/>
  <c r="EB600" i="2"/>
  <c r="DD600" i="2"/>
  <c r="CF600" i="2"/>
  <c r="BH600" i="2"/>
  <c r="AJ600" i="2"/>
  <c r="DZ600" i="2"/>
  <c r="DB600" i="2"/>
  <c r="CD600" i="2"/>
  <c r="BF600" i="2"/>
  <c r="AH600" i="2"/>
  <c r="DX600" i="2"/>
  <c r="CZ600" i="2"/>
  <c r="CB600" i="2"/>
  <c r="BD600" i="2"/>
  <c r="DV600" i="2"/>
  <c r="CX600" i="2"/>
  <c r="BZ600" i="2"/>
  <c r="BB600" i="2"/>
  <c r="DT600" i="2"/>
  <c r="CV600" i="2"/>
  <c r="BX600" i="2"/>
  <c r="AZ600" i="2"/>
  <c r="DR600" i="2"/>
  <c r="CT600" i="2"/>
  <c r="BV600" i="2"/>
  <c r="AX600" i="2"/>
  <c r="DP600" i="2"/>
  <c r="CR600" i="2"/>
  <c r="BT600" i="2"/>
  <c r="AV600" i="2"/>
  <c r="DN600" i="2"/>
  <c r="CP600" i="2"/>
  <c r="BR600" i="2"/>
  <c r="AT600" i="2"/>
  <c r="A600" i="2"/>
  <c r="DL600" i="2"/>
  <c r="CN600" i="2"/>
  <c r="BP600" i="2"/>
  <c r="AR600" i="2"/>
  <c r="V601" i="2"/>
  <c r="C602" i="2"/>
  <c r="G601" i="2"/>
  <c r="AC601" i="2"/>
  <c r="AD601" i="2" s="1"/>
  <c r="E601" i="2"/>
  <c r="D601" i="2"/>
  <c r="F601" i="2" s="1"/>
  <c r="AB601" i="2" s="1"/>
  <c r="W600" i="2" l="1"/>
  <c r="B601" i="2"/>
  <c r="DR601" i="2"/>
  <c r="CT601" i="2"/>
  <c r="BV601" i="2"/>
  <c r="AX601" i="2"/>
  <c r="DP601" i="2"/>
  <c r="CR601" i="2"/>
  <c r="BT601" i="2"/>
  <c r="AV601" i="2"/>
  <c r="DN601" i="2"/>
  <c r="CP601" i="2"/>
  <c r="BR601" i="2"/>
  <c r="AT601" i="2"/>
  <c r="A601" i="2"/>
  <c r="DL601" i="2"/>
  <c r="CN601" i="2"/>
  <c r="BP601" i="2"/>
  <c r="AR601" i="2"/>
  <c r="DJ601" i="2"/>
  <c r="CL601" i="2"/>
  <c r="BN601" i="2"/>
  <c r="AP601" i="2"/>
  <c r="S601" i="2"/>
  <c r="T601" i="2" s="1"/>
  <c r="DH601" i="2"/>
  <c r="CJ601" i="2"/>
  <c r="BL601" i="2"/>
  <c r="AN601" i="2"/>
  <c r="DF601" i="2"/>
  <c r="CH601" i="2"/>
  <c r="BJ601" i="2"/>
  <c r="AL601" i="2"/>
  <c r="EB601" i="2"/>
  <c r="DD601" i="2"/>
  <c r="CF601" i="2"/>
  <c r="BH601" i="2"/>
  <c r="AJ601" i="2"/>
  <c r="DZ601" i="2"/>
  <c r="DB601" i="2"/>
  <c r="CD601" i="2"/>
  <c r="BF601" i="2"/>
  <c r="AH601" i="2"/>
  <c r="DX601" i="2"/>
  <c r="CZ601" i="2"/>
  <c r="CB601" i="2"/>
  <c r="BD601" i="2"/>
  <c r="DV601" i="2"/>
  <c r="CX601" i="2"/>
  <c r="BZ601" i="2"/>
  <c r="BB601" i="2"/>
  <c r="AZ601" i="2"/>
  <c r="DT601" i="2"/>
  <c r="BX601" i="2"/>
  <c r="CV601" i="2"/>
  <c r="G602" i="2"/>
  <c r="AC602" i="2"/>
  <c r="AD602" i="2" s="1"/>
  <c r="E602" i="2"/>
  <c r="D602" i="2"/>
  <c r="F602" i="2" s="1"/>
  <c r="AB602" i="2" s="1"/>
  <c r="V602" i="2"/>
  <c r="C603" i="2"/>
  <c r="AC603" i="2" l="1"/>
  <c r="AD603" i="2" s="1"/>
  <c r="G603" i="2"/>
  <c r="E603" i="2"/>
  <c r="V603" i="2"/>
  <c r="D603" i="2"/>
  <c r="F603" i="2" s="1"/>
  <c r="C604" i="2"/>
  <c r="W601" i="2"/>
  <c r="B602" i="2"/>
  <c r="DZ602" i="2"/>
  <c r="DB602" i="2"/>
  <c r="CD602" i="2"/>
  <c r="BF602" i="2"/>
  <c r="AH602" i="2"/>
  <c r="DX602" i="2"/>
  <c r="CZ602" i="2"/>
  <c r="CB602" i="2"/>
  <c r="BD602" i="2"/>
  <c r="DV602" i="2"/>
  <c r="CX602" i="2"/>
  <c r="BZ602" i="2"/>
  <c r="BB602" i="2"/>
  <c r="DT602" i="2"/>
  <c r="CV602" i="2"/>
  <c r="BX602" i="2"/>
  <c r="AZ602" i="2"/>
  <c r="DR602" i="2"/>
  <c r="CT602" i="2"/>
  <c r="BV602" i="2"/>
  <c r="AX602" i="2"/>
  <c r="DP602" i="2"/>
  <c r="CR602" i="2"/>
  <c r="BT602" i="2"/>
  <c r="AV602" i="2"/>
  <c r="DN602" i="2"/>
  <c r="CP602" i="2"/>
  <c r="BR602" i="2"/>
  <c r="AT602" i="2"/>
  <c r="A602" i="2"/>
  <c r="DL602" i="2"/>
  <c r="CN602" i="2"/>
  <c r="BP602" i="2"/>
  <c r="AR602" i="2"/>
  <c r="DJ602" i="2"/>
  <c r="CL602" i="2"/>
  <c r="BN602" i="2"/>
  <c r="AP602" i="2"/>
  <c r="S602" i="2"/>
  <c r="T602" i="2" s="1"/>
  <c r="DH602" i="2"/>
  <c r="CJ602" i="2"/>
  <c r="BL602" i="2"/>
  <c r="AN602" i="2"/>
  <c r="DF602" i="2"/>
  <c r="CH602" i="2"/>
  <c r="BJ602" i="2"/>
  <c r="AL602" i="2"/>
  <c r="EB602" i="2"/>
  <c r="DD602" i="2"/>
  <c r="CF602" i="2"/>
  <c r="BH602" i="2"/>
  <c r="AJ602" i="2"/>
  <c r="C605" i="2" l="1"/>
  <c r="AC604" i="2"/>
  <c r="AD604" i="2" s="1"/>
  <c r="G604" i="2"/>
  <c r="E604" i="2"/>
  <c r="V604" i="2"/>
  <c r="D604" i="2"/>
  <c r="F604" i="2" s="1"/>
  <c r="H603" i="2"/>
  <c r="AB603" i="2"/>
  <c r="W602" i="2"/>
  <c r="B603" i="2"/>
  <c r="DF603" i="2"/>
  <c r="CH603" i="2"/>
  <c r="BJ603" i="2"/>
  <c r="AL603" i="2"/>
  <c r="EB603" i="2"/>
  <c r="DD603" i="2"/>
  <c r="CF603" i="2"/>
  <c r="BH603" i="2"/>
  <c r="AJ603" i="2"/>
  <c r="DZ603" i="2"/>
  <c r="DB603" i="2"/>
  <c r="CD603" i="2"/>
  <c r="BF603" i="2"/>
  <c r="AH603" i="2"/>
  <c r="DX603" i="2"/>
  <c r="CZ603" i="2"/>
  <c r="CB603" i="2"/>
  <c r="BD603" i="2"/>
  <c r="DV603" i="2"/>
  <c r="CX603" i="2"/>
  <c r="BZ603" i="2"/>
  <c r="BB603" i="2"/>
  <c r="DT603" i="2"/>
  <c r="CV603" i="2"/>
  <c r="BX603" i="2"/>
  <c r="AZ603" i="2"/>
  <c r="DR603" i="2"/>
  <c r="CT603" i="2"/>
  <c r="BV603" i="2"/>
  <c r="AX603" i="2"/>
  <c r="DP603" i="2"/>
  <c r="CR603" i="2"/>
  <c r="BT603" i="2"/>
  <c r="AV603" i="2"/>
  <c r="DN603" i="2"/>
  <c r="CP603" i="2"/>
  <c r="BR603" i="2"/>
  <c r="AT603" i="2"/>
  <c r="DL603" i="2"/>
  <c r="CN603" i="2"/>
  <c r="BP603" i="2"/>
  <c r="AR603" i="2"/>
  <c r="DJ603" i="2"/>
  <c r="CL603" i="2"/>
  <c r="BN603" i="2"/>
  <c r="AP603" i="2"/>
  <c r="S603" i="2"/>
  <c r="T603" i="2" s="1"/>
  <c r="A603" i="2"/>
  <c r="DH603" i="2"/>
  <c r="CJ603" i="2"/>
  <c r="BL603" i="2"/>
  <c r="AN603" i="2"/>
  <c r="I603" i="2" l="1"/>
  <c r="U603" i="2"/>
  <c r="H604" i="2"/>
  <c r="AB604" i="2"/>
  <c r="W603" i="2"/>
  <c r="B604" i="2"/>
  <c r="DJ604" i="2"/>
  <c r="CL604" i="2"/>
  <c r="BN604" i="2"/>
  <c r="AP604" i="2"/>
  <c r="S604" i="2"/>
  <c r="T604" i="2" s="1"/>
  <c r="A604" i="2"/>
  <c r="DH604" i="2"/>
  <c r="CJ604" i="2"/>
  <c r="BL604" i="2"/>
  <c r="AN604" i="2"/>
  <c r="DF604" i="2"/>
  <c r="CH604" i="2"/>
  <c r="BJ604" i="2"/>
  <c r="AL604" i="2"/>
  <c r="EB604" i="2"/>
  <c r="DD604" i="2"/>
  <c r="CF604" i="2"/>
  <c r="BH604" i="2"/>
  <c r="AJ604" i="2"/>
  <c r="DZ604" i="2"/>
  <c r="DB604" i="2"/>
  <c r="CD604" i="2"/>
  <c r="BF604" i="2"/>
  <c r="AH604" i="2"/>
  <c r="DX604" i="2"/>
  <c r="CZ604" i="2"/>
  <c r="CB604" i="2"/>
  <c r="BD604" i="2"/>
  <c r="DV604" i="2"/>
  <c r="CX604" i="2"/>
  <c r="BZ604" i="2"/>
  <c r="BB604" i="2"/>
  <c r="DT604" i="2"/>
  <c r="CV604" i="2"/>
  <c r="BX604" i="2"/>
  <c r="AZ604" i="2"/>
  <c r="DR604" i="2"/>
  <c r="CT604" i="2"/>
  <c r="BV604" i="2"/>
  <c r="AX604" i="2"/>
  <c r="DP604" i="2"/>
  <c r="CR604" i="2"/>
  <c r="BT604" i="2"/>
  <c r="AV604" i="2"/>
  <c r="DN604" i="2"/>
  <c r="CP604" i="2"/>
  <c r="BR604" i="2"/>
  <c r="AT604" i="2"/>
  <c r="DL604" i="2"/>
  <c r="CN604" i="2"/>
  <c r="AR604" i="2"/>
  <c r="BP604" i="2"/>
  <c r="C606" i="2"/>
  <c r="AC605" i="2"/>
  <c r="AD605" i="2" s="1"/>
  <c r="G605" i="2"/>
  <c r="E605" i="2"/>
  <c r="V605" i="2"/>
  <c r="D605" i="2"/>
  <c r="F605" i="2" s="1"/>
  <c r="E606" i="2" l="1"/>
  <c r="V606" i="2"/>
  <c r="D606" i="2"/>
  <c r="F606" i="2" s="1"/>
  <c r="C607" i="2"/>
  <c r="AC606" i="2"/>
  <c r="AD606" i="2" s="1"/>
  <c r="G606" i="2"/>
  <c r="H605" i="2"/>
  <c r="I605" i="2" s="1"/>
  <c r="AB605" i="2"/>
  <c r="W604" i="2"/>
  <c r="B605" i="2"/>
  <c r="U604" i="2"/>
  <c r="DN605" i="2"/>
  <c r="CP605" i="2"/>
  <c r="BR605" i="2"/>
  <c r="AT605" i="2"/>
  <c r="DL605" i="2"/>
  <c r="CN605" i="2"/>
  <c r="BP605" i="2"/>
  <c r="AR605" i="2"/>
  <c r="DJ605" i="2"/>
  <c r="CL605" i="2"/>
  <c r="BN605" i="2"/>
  <c r="AP605" i="2"/>
  <c r="S605" i="2"/>
  <c r="T605" i="2" s="1"/>
  <c r="A605" i="2"/>
  <c r="DH605" i="2"/>
  <c r="CJ605" i="2"/>
  <c r="BL605" i="2"/>
  <c r="AN605" i="2"/>
  <c r="DF605" i="2"/>
  <c r="CH605" i="2"/>
  <c r="BJ605" i="2"/>
  <c r="AL605" i="2"/>
  <c r="EB605" i="2"/>
  <c r="DD605" i="2"/>
  <c r="CF605" i="2"/>
  <c r="BH605" i="2"/>
  <c r="AJ605" i="2"/>
  <c r="DZ605" i="2"/>
  <c r="DB605" i="2"/>
  <c r="CD605" i="2"/>
  <c r="BF605" i="2"/>
  <c r="AH605" i="2"/>
  <c r="DX605" i="2"/>
  <c r="CZ605" i="2"/>
  <c r="CB605" i="2"/>
  <c r="BD605" i="2"/>
  <c r="DV605" i="2"/>
  <c r="CX605" i="2"/>
  <c r="BZ605" i="2"/>
  <c r="BB605" i="2"/>
  <c r="DT605" i="2"/>
  <c r="CV605" i="2"/>
  <c r="BX605" i="2"/>
  <c r="AZ605" i="2"/>
  <c r="DR605" i="2"/>
  <c r="CT605" i="2"/>
  <c r="BV605" i="2"/>
  <c r="AX605" i="2"/>
  <c r="CR605" i="2"/>
  <c r="BT605" i="2"/>
  <c r="AV605" i="2"/>
  <c r="DP605" i="2"/>
  <c r="I604" i="2"/>
  <c r="U605" i="2" l="1"/>
  <c r="DR606" i="2"/>
  <c r="CT606" i="2"/>
  <c r="BV606" i="2"/>
  <c r="AX606" i="2"/>
  <c r="DP606" i="2"/>
  <c r="CR606" i="2"/>
  <c r="BT606" i="2"/>
  <c r="AV606" i="2"/>
  <c r="DN606" i="2"/>
  <c r="CP606" i="2"/>
  <c r="BR606" i="2"/>
  <c r="AT606" i="2"/>
  <c r="DL606" i="2"/>
  <c r="CN606" i="2"/>
  <c r="BP606" i="2"/>
  <c r="AR606" i="2"/>
  <c r="DJ606" i="2"/>
  <c r="CL606" i="2"/>
  <c r="BN606" i="2"/>
  <c r="AP606" i="2"/>
  <c r="S606" i="2"/>
  <c r="T606" i="2" s="1"/>
  <c r="A606" i="2"/>
  <c r="DH606" i="2"/>
  <c r="CJ606" i="2"/>
  <c r="BL606" i="2"/>
  <c r="AN606" i="2"/>
  <c r="DF606" i="2"/>
  <c r="CH606" i="2"/>
  <c r="BJ606" i="2"/>
  <c r="AL606" i="2"/>
  <c r="EB606" i="2"/>
  <c r="DD606" i="2"/>
  <c r="CF606" i="2"/>
  <c r="BH606" i="2"/>
  <c r="AJ606" i="2"/>
  <c r="DZ606" i="2"/>
  <c r="DB606" i="2"/>
  <c r="CD606" i="2"/>
  <c r="BF606" i="2"/>
  <c r="AH606" i="2"/>
  <c r="DX606" i="2"/>
  <c r="CZ606" i="2"/>
  <c r="CB606" i="2"/>
  <c r="BD606" i="2"/>
  <c r="DV606" i="2"/>
  <c r="CX606" i="2"/>
  <c r="BZ606" i="2"/>
  <c r="BB606" i="2"/>
  <c r="DT606" i="2"/>
  <c r="CV606" i="2"/>
  <c r="BX606" i="2"/>
  <c r="AZ606" i="2"/>
  <c r="G607" i="2"/>
  <c r="AC607" i="2"/>
  <c r="AD607" i="2" s="1"/>
  <c r="E607" i="2"/>
  <c r="D607" i="2"/>
  <c r="F607" i="2" s="1"/>
  <c r="C608" i="2"/>
  <c r="V607" i="2"/>
  <c r="H606" i="2"/>
  <c r="I606" i="2" s="1"/>
  <c r="AB606" i="2"/>
  <c r="W605" i="2"/>
  <c r="B606" i="2"/>
  <c r="AB607" i="2" l="1"/>
  <c r="H607" i="2"/>
  <c r="I607" i="2" s="1"/>
  <c r="G608" i="2"/>
  <c r="AC608" i="2"/>
  <c r="AD608" i="2" s="1"/>
  <c r="E608" i="2"/>
  <c r="D608" i="2"/>
  <c r="V608" i="2"/>
  <c r="DT607" i="2"/>
  <c r="CV607" i="2"/>
  <c r="BX607" i="2"/>
  <c r="AZ607" i="2"/>
  <c r="DH607" i="2"/>
  <c r="CJ607" i="2"/>
  <c r="BL607" i="2"/>
  <c r="DN607" i="2"/>
  <c r="CL607" i="2"/>
  <c r="BH607" i="2"/>
  <c r="AH607" i="2"/>
  <c r="DL607" i="2"/>
  <c r="CH607" i="2"/>
  <c r="BF607" i="2"/>
  <c r="DJ607" i="2"/>
  <c r="CF607" i="2"/>
  <c r="BD607" i="2"/>
  <c r="DF607" i="2"/>
  <c r="CD607" i="2"/>
  <c r="BB607" i="2"/>
  <c r="DD607" i="2"/>
  <c r="CB607" i="2"/>
  <c r="AX607" i="2"/>
  <c r="DB607" i="2"/>
  <c r="BZ607" i="2"/>
  <c r="AV607" i="2"/>
  <c r="EB607" i="2"/>
  <c r="CZ607" i="2"/>
  <c r="BV607" i="2"/>
  <c r="AT607" i="2"/>
  <c r="A607" i="2"/>
  <c r="DZ607" i="2"/>
  <c r="CX607" i="2"/>
  <c r="BT607" i="2"/>
  <c r="AR607" i="2"/>
  <c r="S607" i="2"/>
  <c r="T607" i="2" s="1"/>
  <c r="DX607" i="2"/>
  <c r="CT607" i="2"/>
  <c r="BR607" i="2"/>
  <c r="AP607" i="2"/>
  <c r="DV607" i="2"/>
  <c r="CR607" i="2"/>
  <c r="BP607" i="2"/>
  <c r="AN607" i="2"/>
  <c r="DR607" i="2"/>
  <c r="CP607" i="2"/>
  <c r="BN607" i="2"/>
  <c r="AL607" i="2"/>
  <c r="DP607" i="2"/>
  <c r="CN607" i="2"/>
  <c r="BJ607" i="2"/>
  <c r="AJ607" i="2"/>
  <c r="W606" i="2"/>
  <c r="B607" i="2"/>
  <c r="U606" i="2"/>
  <c r="W607" i="2" l="1"/>
  <c r="B608" i="2"/>
  <c r="F608" i="2"/>
  <c r="DX608" i="2"/>
  <c r="CZ608" i="2"/>
  <c r="CB608" i="2"/>
  <c r="BD608" i="2"/>
  <c r="DT608" i="2"/>
  <c r="DL608" i="2"/>
  <c r="CN608" i="2"/>
  <c r="BP608" i="2"/>
  <c r="AR608" i="2"/>
  <c r="EB608" i="2"/>
  <c r="DR608" i="2"/>
  <c r="CP608" i="2"/>
  <c r="BL608" i="2"/>
  <c r="AJ608" i="2"/>
  <c r="DP608" i="2"/>
  <c r="CL608" i="2"/>
  <c r="BJ608" i="2"/>
  <c r="AH608" i="2"/>
  <c r="DN608" i="2"/>
  <c r="CJ608" i="2"/>
  <c r="BH608" i="2"/>
  <c r="DJ608" i="2"/>
  <c r="CH608" i="2"/>
  <c r="BF608" i="2"/>
  <c r="DH608" i="2"/>
  <c r="CF608" i="2"/>
  <c r="BB608" i="2"/>
  <c r="DF608" i="2"/>
  <c r="CD608" i="2"/>
  <c r="AZ608" i="2"/>
  <c r="A608" i="2"/>
  <c r="AW2" i="2" s="1"/>
  <c r="AT2" i="2" s="1"/>
  <c r="AT3" i="2" s="1"/>
  <c r="DD608" i="2"/>
  <c r="BZ608" i="2"/>
  <c r="AX608" i="2"/>
  <c r="DB608" i="2"/>
  <c r="BX608" i="2"/>
  <c r="AV608" i="2"/>
  <c r="S608" i="2"/>
  <c r="T608" i="2" s="1"/>
  <c r="CX608" i="2"/>
  <c r="BV608" i="2"/>
  <c r="AT608" i="2"/>
  <c r="CV608" i="2"/>
  <c r="BT608" i="2"/>
  <c r="AP608" i="2"/>
  <c r="DZ608" i="2"/>
  <c r="CT608" i="2"/>
  <c r="BR608" i="2"/>
  <c r="AN608" i="2"/>
  <c r="AL608" i="2"/>
  <c r="DV608" i="2"/>
  <c r="BN608" i="2"/>
  <c r="CR608" i="2"/>
  <c r="U607" i="2"/>
  <c r="H608" i="2" l="1"/>
  <c r="AB608" i="2"/>
  <c r="U608" i="2" l="1"/>
  <c r="I60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i5</author>
    <author>q4pc</author>
  </authors>
  <commentList>
    <comment ref="B5" authorId="0" shapeId="0" xr:uid="{00000000-0006-0000-0000-000001000000}">
      <text>
        <r>
          <rPr>
            <sz val="6"/>
            <color rgb="FF000000"/>
            <rFont val="돋움"/>
            <family val="3"/>
            <charset val="129"/>
          </rPr>
          <t>자신의</t>
        </r>
        <r>
          <rPr>
            <sz val="6"/>
            <color rgb="FF000000"/>
            <rFont val="6"/>
          </rPr>
          <t xml:space="preserve"> </t>
        </r>
        <r>
          <rPr>
            <sz val="6"/>
            <color rgb="FF000000"/>
            <rFont val="돋움"/>
            <family val="3"/>
            <charset val="129"/>
          </rPr>
          <t>생년월일을</t>
        </r>
        <r>
          <rPr>
            <sz val="6"/>
            <color rgb="FF000000"/>
            <rFont val="6"/>
          </rPr>
          <t xml:space="preserve"> 1980-03-05 </t>
        </r>
        <r>
          <rPr>
            <sz val="6"/>
            <color rgb="FF000000"/>
            <rFont val="돋움"/>
            <family val="3"/>
            <charset val="129"/>
          </rPr>
          <t>또는</t>
        </r>
        <r>
          <rPr>
            <sz val="6"/>
            <color rgb="FF000000"/>
            <rFont val="6"/>
          </rPr>
          <t xml:space="preserve"> 1980/03/05 </t>
        </r>
        <r>
          <rPr>
            <sz val="6"/>
            <color rgb="FF000000"/>
            <rFont val="돋움"/>
            <family val="3"/>
            <charset val="129"/>
          </rPr>
          <t>형태로</t>
        </r>
        <r>
          <rPr>
            <sz val="6"/>
            <color rgb="FF000000"/>
            <rFont val="6"/>
          </rPr>
          <t xml:space="preserve"> </t>
        </r>
        <r>
          <rPr>
            <sz val="6"/>
            <color rgb="FF000000"/>
            <rFont val="돋움"/>
            <family val="3"/>
            <charset val="129"/>
          </rPr>
          <t>입력하세요</t>
        </r>
        <r>
          <rPr>
            <sz val="6"/>
            <color rgb="FF000000"/>
            <rFont val="6"/>
          </rPr>
          <t>.</t>
        </r>
      </text>
    </comment>
    <comment ref="B13" authorId="0" shapeId="0" xr:uid="{00000000-0006-0000-0000-000002000000}">
      <text>
        <r>
          <rPr>
            <b/>
            <sz val="10"/>
            <color rgb="FF000000"/>
            <rFont val="맑은 고딕"/>
            <family val="3"/>
            <charset val="129"/>
          </rPr>
          <t>2009.12.31까지의 경력을 2016.1.1 기준  연금관리공단에 있는 재직년수를 한번만 입력후 그이후는 더 이상 입력하지 말것.</t>
        </r>
      </text>
    </comment>
    <comment ref="C13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 xml:space="preserve">2016.1.1 </t>
        </r>
        <r>
          <rPr>
            <b/>
            <sz val="9"/>
            <color rgb="FF000000"/>
            <rFont val="돋움"/>
            <family val="3"/>
            <charset val="129"/>
          </rPr>
          <t>기준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왼쪽의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년수를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제외한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나머지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경력의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개월수를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넣으세요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B14" authorId="0" shapeId="0" xr:uid="{00000000-0006-0000-0000-000004000000}">
      <text>
        <r>
          <rPr>
            <sz val="12"/>
            <color rgb="FF000000"/>
            <rFont val="맑은 고딕"/>
            <family val="3"/>
            <charset val="129"/>
          </rPr>
          <t xml:space="preserve">2010.1.1 ~ 2015.12.31까지의 경력을 2016.1.1 기준으로  연금관리공단에 있는 재직년수중 2기간의 년수를 넣으세요. 2010.1.1 이전에 발령 받으신 분은 모두 6년이겠죠? </t>
        </r>
      </text>
    </comment>
    <comment ref="C15" authorId="0" shapeId="0" xr:uid="{00000000-0006-0000-0000-000005000000}">
      <text>
        <r>
          <rPr>
            <sz val="10"/>
            <color rgb="FF000000"/>
            <rFont val="맑은 고딕"/>
            <family val="3"/>
            <charset val="129"/>
          </rPr>
          <t>2016.1.1 ~ 현재까지입니다.</t>
        </r>
      </text>
    </comment>
    <comment ref="B20" authorId="0" shapeId="0" xr:uid="{00000000-0006-0000-0000-000006000000}">
      <text>
        <r>
          <rPr>
            <b/>
            <sz val="6"/>
            <color rgb="FF000000"/>
            <rFont val="돋움"/>
            <family val="3"/>
            <charset val="129"/>
          </rPr>
          <t>연금관리공단에서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열람하여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자신의</t>
        </r>
        <r>
          <rPr>
            <b/>
            <sz val="6"/>
            <color rgb="FF000000"/>
            <rFont val="Tahoma"/>
            <family val="2"/>
          </rPr>
          <t xml:space="preserve"> 1</t>
        </r>
        <r>
          <rPr>
            <b/>
            <sz val="6"/>
            <color rgb="FF000000"/>
            <rFont val="돋움"/>
            <family val="3"/>
            <charset val="129"/>
          </rPr>
          <t>기
간의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기준소득월액을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넣어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주세요</t>
        </r>
        <r>
          <rPr>
            <b/>
            <sz val="6"/>
            <color rgb="FF000000"/>
            <rFont val="Tahoma"/>
            <family val="2"/>
          </rPr>
          <t>.</t>
        </r>
      </text>
    </comment>
    <comment ref="B21" authorId="0" shapeId="0" xr:uid="{00000000-0006-0000-0000-000007000000}">
      <text>
        <r>
          <rPr>
            <b/>
            <sz val="6"/>
            <color rgb="FF000000"/>
            <rFont val="돋움"/>
            <family val="3"/>
            <charset val="129"/>
          </rPr>
          <t>공무원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연금관리공단에서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자료를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열람하여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자신의</t>
        </r>
        <r>
          <rPr>
            <b/>
            <sz val="6"/>
            <color rgb="FF000000"/>
            <rFont val="Tahoma"/>
            <family val="2"/>
          </rPr>
          <t xml:space="preserve"> 2,3</t>
        </r>
        <r>
          <rPr>
            <b/>
            <sz val="6"/>
            <color rgb="FF000000"/>
            <rFont val="돋움"/>
            <family val="3"/>
            <charset val="129"/>
          </rPr>
          <t>기간의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기준소득월액을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입력하시오</t>
        </r>
        <r>
          <rPr>
            <b/>
            <sz val="6"/>
            <color rgb="FF000000"/>
            <rFont val="Tahoma"/>
            <family val="2"/>
          </rPr>
          <t xml:space="preserve">.
</t>
        </r>
      </text>
    </comment>
    <comment ref="N33" authorId="1" shapeId="0" xr:uid="{00000000-0006-0000-0000-000008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sz val="9"/>
            <color rgb="FF000000"/>
            <rFont val="Tahoma"/>
            <family val="2"/>
          </rPr>
          <t xml:space="preserve">
~ 2001.1.31</t>
        </r>
        <r>
          <rPr>
            <sz val="9"/>
            <color rgb="FF000000"/>
            <rFont val="돋움"/>
            <family val="3"/>
            <charset val="129"/>
          </rPr>
          <t>까지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본인이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납부한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기여금납부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개월수를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입력해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넣으세요</t>
        </r>
        <r>
          <rPr>
            <sz val="9"/>
            <color rgb="FF000000"/>
            <rFont val="Tahoma"/>
            <family val="2"/>
          </rPr>
          <t xml:space="preserve">.
</t>
        </r>
        <r>
          <rPr>
            <sz val="9"/>
            <color rgb="FF000000"/>
            <rFont val="돋움"/>
            <family val="3"/>
            <charset val="129"/>
          </rPr>
          <t>그러면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퇴직후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납부할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연금납부세액을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구해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줍니다</t>
        </r>
        <r>
          <rPr>
            <sz val="9"/>
            <color rgb="FF000000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q4pc</author>
  </authors>
  <commentList>
    <comment ref="X7" authorId="0" shapeId="0" xr:uid="{00000000-0006-0000-0100-000001000000}">
      <text>
        <r>
          <rPr>
            <b/>
            <sz val="6"/>
            <color rgb="FF000000"/>
            <rFont val="돋움"/>
            <family val="3"/>
            <charset val="129"/>
          </rPr>
          <t>이행률표를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보고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자신에게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맞는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이행률을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년단위로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입력합니다</t>
        </r>
        <r>
          <rPr>
            <b/>
            <sz val="6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</authors>
  <commentList>
    <comment ref="P1" authorId="0" shapeId="0" xr:uid="{00000000-0006-0000-0200-000001000000}">
      <text>
        <r>
          <rPr>
            <sz val="9"/>
            <color rgb="FF000000"/>
            <rFont val="돋움"/>
            <family val="3"/>
            <charset val="129"/>
          </rPr>
          <t>평균보수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인상률을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조정하여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미래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연봉을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추정해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볼수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있습니다</t>
        </r>
        <r>
          <rPr>
            <sz val="9"/>
            <color rgb="FF000000"/>
            <rFont val="Tahoma"/>
            <family val="2"/>
          </rPr>
          <t>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</authors>
  <commentList>
    <comment ref="D3" authorId="0" shapeId="0" xr:uid="{00000000-0006-0000-0A00-000001000000}">
      <text>
        <r>
          <rPr>
            <b/>
            <sz val="9"/>
            <color rgb="FF000000"/>
            <rFont val="돋움"/>
            <family val="3"/>
            <charset val="129"/>
          </rPr>
          <t>통계청에서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발표되는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소비자물가지수를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년도별로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입력하시오</t>
        </r>
        <r>
          <rPr>
            <b/>
            <sz val="9"/>
            <color rgb="FF000000"/>
            <rFont val="Tahoma"/>
            <family val="2"/>
          </rPr>
          <t>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ThreadComment</author>
  </authors>
  <commentList>
    <comment ref="A12" authorId="0" shapeId="0" xr:uid="{00000000-0006-0000-0D00-000006000000}">
      <text>
        <r>
          <rPr>
            <b/>
            <sz val="9"/>
            <color rgb="FF000000"/>
            <rFont val="Tahoma"/>
            <family val="2"/>
          </rPr>
          <t>cpu9: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기간제교사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성과급기준</t>
        </r>
      </text>
    </comment>
    <comment ref="AW12" authorId="0" shapeId="0" xr:uid="{00000000-0006-0000-0D00-000003000000}">
      <text>
        <r>
          <rPr>
            <b/>
            <sz val="9"/>
            <color rgb="FF000000"/>
            <rFont val="Tahoma"/>
            <family val="2"/>
          </rPr>
          <t>cpu9: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기간제교사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 xml:space="preserve">성과급기준
</t>
        </r>
        <r>
          <rPr>
            <sz val="9"/>
            <color rgb="FF000000"/>
            <rFont val="Tahoma"/>
            <family val="2"/>
          </rPr>
          <t>15</t>
        </r>
        <r>
          <rPr>
            <sz val="9"/>
            <color rgb="FF000000"/>
            <rFont val="돋움"/>
            <family val="3"/>
            <charset val="129"/>
          </rPr>
          <t>호봉</t>
        </r>
      </text>
    </comment>
    <comment ref="A23" authorId="1" shapeId="0" xr:uid="{00000000-0006-0000-0D00-000001000000}">
      <text>
        <r>
          <rPr>
            <sz val="9"/>
            <color rgb="FF000000"/>
            <rFont val="돋움"/>
            <family val="3"/>
            <charset val="129"/>
          </rPr>
          <t>평교사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성과급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기준
전년도</t>
        </r>
        <r>
          <rPr>
            <sz val="9"/>
            <color rgb="FF000000"/>
            <rFont val="Tahoma"/>
            <family val="2"/>
          </rPr>
          <t xml:space="preserve"> 26</t>
        </r>
        <r>
          <rPr>
            <sz val="9"/>
            <color rgb="FF000000"/>
            <rFont val="돋움"/>
            <family val="3"/>
            <charset val="129"/>
          </rPr>
          <t>호봉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기본급액</t>
        </r>
      </text>
    </comment>
    <comment ref="AW23" authorId="1" shapeId="0" xr:uid="{00000000-0006-0000-0D00-000002000000}">
      <text>
        <r>
          <rPr>
            <sz val="9"/>
            <color rgb="FF000000"/>
            <rFont val="돋움"/>
            <family val="3"/>
            <charset val="129"/>
          </rPr>
          <t>성과급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기준
전년도</t>
        </r>
        <r>
          <rPr>
            <sz val="9"/>
            <color rgb="FF000000"/>
            <rFont val="Tahoma"/>
            <family val="2"/>
          </rPr>
          <t xml:space="preserve"> 26</t>
        </r>
        <r>
          <rPr>
            <sz val="9"/>
            <color rgb="FF000000"/>
            <rFont val="돋움"/>
            <family val="3"/>
            <charset val="129"/>
          </rPr>
          <t>호봉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기본급액</t>
        </r>
      </text>
    </comment>
    <comment ref="A27" authorId="0" shapeId="0" xr:uid="{00000000-0006-0000-0D00-000008000000}">
      <text>
        <r>
          <rPr>
            <b/>
            <sz val="9"/>
            <color rgb="FF000000"/>
            <rFont val="Tahoma"/>
            <family val="2"/>
          </rPr>
          <t>cpu9: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교감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성과급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기준호봉</t>
        </r>
      </text>
    </comment>
    <comment ref="AW27" authorId="0" shapeId="0" xr:uid="{00000000-0006-0000-0D00-000004000000}">
      <text>
        <r>
          <rPr>
            <b/>
            <sz val="9"/>
            <color rgb="FF000000"/>
            <rFont val="돋움"/>
            <family val="3"/>
            <charset val="129"/>
          </rPr>
          <t>교감성과급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</t>
        </r>
        <r>
          <rPr>
            <b/>
            <sz val="9"/>
            <color rgb="FF000000"/>
            <rFont val="Tahoma"/>
            <family val="2"/>
          </rPr>
          <t xml:space="preserve"> 30</t>
        </r>
        <r>
          <rPr>
            <b/>
            <sz val="9"/>
            <color rgb="FF000000"/>
            <rFont val="돋움"/>
            <family val="3"/>
            <charset val="129"/>
          </rPr>
          <t>호봉</t>
        </r>
      </text>
    </comment>
    <comment ref="A32" authorId="0" shapeId="0" xr:uid="{00000000-0006-0000-0D00-000007000000}">
      <text>
        <r>
          <rPr>
            <sz val="9"/>
            <color rgb="FF000000"/>
            <rFont val="돋움"/>
            <family val="3"/>
            <charset val="129"/>
          </rPr>
          <t>교장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성과급기준호봉</t>
        </r>
      </text>
    </comment>
    <comment ref="AW32" authorId="0" shapeId="0" xr:uid="{00000000-0006-0000-0D00-000005000000}">
      <text>
        <r>
          <rPr>
            <b/>
            <sz val="9"/>
            <color rgb="FF000000"/>
            <rFont val="Tahoma"/>
            <family val="2"/>
          </rPr>
          <t>cpu9: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교장성과급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기준</t>
        </r>
        <r>
          <rPr>
            <sz val="9"/>
            <color rgb="FF000000"/>
            <rFont val="Tahoma"/>
            <family val="2"/>
          </rPr>
          <t xml:space="preserve"> 35</t>
        </r>
        <r>
          <rPr>
            <sz val="9"/>
            <color rgb="FF000000"/>
            <rFont val="돋움"/>
            <family val="3"/>
            <charset val="129"/>
          </rPr>
          <t>호봉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  <author>q4pc</author>
    <author>i5</author>
  </authors>
  <commentList>
    <comment ref="E1" authorId="0" shapeId="0" xr:uid="{00000000-0006-0000-0F00-000002000000}">
      <text>
        <r>
          <rPr>
            <b/>
            <sz val="9"/>
            <color rgb="FF000000"/>
            <rFont val="Tahoma"/>
            <family val="2"/>
          </rPr>
          <t xml:space="preserve">i5: </t>
        </r>
        <r>
          <rPr>
            <b/>
            <sz val="9"/>
            <color rgb="FF000000"/>
            <rFont val="돋움"/>
            <family val="3"/>
            <charset val="129"/>
          </rPr>
          <t>공무원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</t>
        </r>
        <r>
          <rPr>
            <b/>
            <sz val="9"/>
            <color rgb="FF000000"/>
            <rFont val="Tahoma"/>
            <family val="2"/>
          </rPr>
          <t xml:space="preserve"> v</t>
        </r>
        <r>
          <rPr>
            <b/>
            <sz val="9"/>
            <color rgb="FF000000"/>
            <rFont val="돋움"/>
            <family val="3"/>
            <charset val="129"/>
          </rPr>
          <t>열</t>
        </r>
        <r>
          <rPr>
            <b/>
            <sz val="9"/>
            <color rgb="FF000000"/>
            <rFont val="Tahoma"/>
            <family val="2"/>
          </rPr>
          <t xml:space="preserve"> 
</t>
        </r>
        <r>
          <rPr>
            <b/>
            <sz val="9"/>
            <color rgb="FF000000"/>
            <rFont val="돋움"/>
            <family val="3"/>
            <charset val="129"/>
          </rPr>
          <t xml:space="preserve">행번호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L2" authorId="1" shapeId="0" xr:uid="{00000000-0006-0000-0F00-000031000000}">
      <text>
        <r>
          <rPr>
            <b/>
            <sz val="20"/>
            <color rgb="FF000000"/>
            <rFont val="돋움"/>
            <family val="3"/>
            <charset val="129"/>
          </rPr>
          <t>항상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전년도로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수정할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것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L3" authorId="0" shapeId="0" xr:uid="{00000000-0006-0000-0F00-00002C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AR3" authorId="1" shapeId="0" xr:uid="{00000000-0006-0000-0F00-00002F000000}">
      <text>
        <r>
          <rPr>
            <b/>
            <sz val="20"/>
            <color rgb="FF000000"/>
            <rFont val="돋움"/>
            <family val="3"/>
            <charset val="129"/>
          </rPr>
          <t>당해년도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분으로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매년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수정할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것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S3" authorId="1" shapeId="0" xr:uid="{00000000-0006-0000-0F00-000030000000}">
      <text>
        <r>
          <rPr>
            <b/>
            <sz val="20"/>
            <color rgb="FF000000"/>
            <rFont val="돋움"/>
            <family val="3"/>
            <charset val="129"/>
          </rPr>
          <t>당해년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인상된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비율로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매년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수정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입력할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것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T3" authorId="0" shapeId="0" xr:uid="{00000000-0006-0000-0F00-000001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AX3" authorId="0" shapeId="0" xr:uid="{00000000-0006-0000-0F00-000003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B3" authorId="0" shapeId="0" xr:uid="{00000000-0006-0000-0F00-000004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F3" authorId="0" shapeId="0" xr:uid="{00000000-0006-0000-0F00-000005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J3" authorId="0" shapeId="0" xr:uid="{00000000-0006-0000-0F00-000006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N3" authorId="0" shapeId="0" xr:uid="{00000000-0006-0000-0F00-000019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R3" authorId="0" shapeId="0" xr:uid="{00000000-0006-0000-0F00-000007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V3" authorId="0" shapeId="0" xr:uid="{00000000-0006-0000-0F00-00001A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Z3" authorId="0" shapeId="0" xr:uid="{00000000-0006-0000-0F00-000008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CD3" authorId="0" shapeId="0" xr:uid="{00000000-0006-0000-0F00-00001B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CH3" authorId="0" shapeId="0" xr:uid="{00000000-0006-0000-0F00-000009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CL3" authorId="0" shapeId="0" xr:uid="{00000000-0006-0000-0F00-00001C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CP3" authorId="0" shapeId="0" xr:uid="{00000000-0006-0000-0F00-00000A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CT3" authorId="0" shapeId="0" xr:uid="{00000000-0006-0000-0F00-00001D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CX3" authorId="0" shapeId="0" xr:uid="{00000000-0006-0000-0F00-00000B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B3" authorId="0" shapeId="0" xr:uid="{00000000-0006-0000-0F00-00001E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F3" authorId="0" shapeId="0" xr:uid="{00000000-0006-0000-0F00-00000C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J3" authorId="0" shapeId="0" xr:uid="{00000000-0006-0000-0F00-00001F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N3" authorId="0" shapeId="0" xr:uid="{00000000-0006-0000-0F00-00000D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R3" authorId="0" shapeId="0" xr:uid="{00000000-0006-0000-0F00-000020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V3" authorId="0" shapeId="0" xr:uid="{00000000-0006-0000-0F00-00000E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Z3" authorId="0" shapeId="0" xr:uid="{00000000-0006-0000-0F00-000021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ED3" authorId="0" shapeId="0" xr:uid="{00000000-0006-0000-0F00-00000F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EH3" authorId="0" shapeId="0" xr:uid="{00000000-0006-0000-0F00-000022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EL3" authorId="0" shapeId="0" xr:uid="{00000000-0006-0000-0F00-000010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EP3" authorId="0" shapeId="0" xr:uid="{00000000-0006-0000-0F00-000023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ET3" authorId="0" shapeId="0" xr:uid="{00000000-0006-0000-0F00-000011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EX3" authorId="0" shapeId="0" xr:uid="{00000000-0006-0000-0F00-000024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B3" authorId="0" shapeId="0" xr:uid="{00000000-0006-0000-0F00-000012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F3" authorId="0" shapeId="0" xr:uid="{00000000-0006-0000-0F00-000025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J3" authorId="0" shapeId="0" xr:uid="{00000000-0006-0000-0F00-000013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N3" authorId="0" shapeId="0" xr:uid="{00000000-0006-0000-0F00-000026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R3" authorId="0" shapeId="0" xr:uid="{00000000-0006-0000-0F00-000014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V3" authorId="0" shapeId="0" xr:uid="{00000000-0006-0000-0F00-000027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Z3" authorId="0" shapeId="0" xr:uid="{00000000-0006-0000-0F00-000015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GD3" authorId="0" shapeId="0" xr:uid="{00000000-0006-0000-0F00-000028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GH3" authorId="0" shapeId="0" xr:uid="{00000000-0006-0000-0F00-000016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GL3" authorId="0" shapeId="0" xr:uid="{00000000-0006-0000-0F00-000029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GP3" authorId="0" shapeId="0" xr:uid="{00000000-0006-0000-0F00-000017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GT3" authorId="0" shapeId="0" xr:uid="{00000000-0006-0000-0F00-00002A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GX3" authorId="0" shapeId="0" xr:uid="{00000000-0006-0000-0F00-000018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HB3" authorId="0" shapeId="0" xr:uid="{00000000-0006-0000-0F00-00002D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AQ61" authorId="2" shapeId="0" xr:uid="{00000000-0006-0000-0F00-00002B000000}">
      <text>
        <r>
          <rPr>
            <sz val="6"/>
            <color rgb="FF000000"/>
            <rFont val="돋움"/>
            <family val="3"/>
            <charset val="129"/>
          </rPr>
          <t>자신의</t>
        </r>
        <r>
          <rPr>
            <sz val="6"/>
            <color rgb="FF000000"/>
            <rFont val="6"/>
          </rPr>
          <t xml:space="preserve"> </t>
        </r>
        <r>
          <rPr>
            <sz val="6"/>
            <color rgb="FF000000"/>
            <rFont val="돋움"/>
            <family val="3"/>
            <charset val="129"/>
          </rPr>
          <t>생년월일을</t>
        </r>
        <r>
          <rPr>
            <sz val="6"/>
            <color rgb="FF000000"/>
            <rFont val="6"/>
          </rPr>
          <t xml:space="preserve"> 1980-03-05 </t>
        </r>
        <r>
          <rPr>
            <sz val="6"/>
            <color rgb="FF000000"/>
            <rFont val="돋움"/>
            <family val="3"/>
            <charset val="129"/>
          </rPr>
          <t>또는</t>
        </r>
        <r>
          <rPr>
            <sz val="6"/>
            <color rgb="FF000000"/>
            <rFont val="6"/>
          </rPr>
          <t xml:space="preserve"> 1980/03/05 </t>
        </r>
        <r>
          <rPr>
            <sz val="6"/>
            <color rgb="FF000000"/>
            <rFont val="돋움"/>
            <family val="3"/>
            <charset val="129"/>
          </rPr>
          <t>형태로</t>
        </r>
        <r>
          <rPr>
            <sz val="6"/>
            <color rgb="FF000000"/>
            <rFont val="6"/>
          </rPr>
          <t xml:space="preserve"> </t>
        </r>
        <r>
          <rPr>
            <sz val="6"/>
            <color rgb="FF000000"/>
            <rFont val="돋움"/>
            <family val="3"/>
            <charset val="129"/>
          </rPr>
          <t>입력하세요</t>
        </r>
        <r>
          <rPr>
            <sz val="6"/>
            <color rgb="FF000000"/>
            <rFont val="6"/>
          </rPr>
          <t>.</t>
        </r>
      </text>
    </comment>
    <comment ref="AA149" authorId="1" shapeId="0" xr:uid="{00000000-0006-0000-0F00-00002E000000}">
      <text>
        <r>
          <rPr>
            <b/>
            <sz val="9"/>
            <color rgb="FF000000"/>
            <rFont val="Tahoma"/>
            <family val="2"/>
          </rPr>
          <t>1</t>
        </r>
        <r>
          <rPr>
            <b/>
            <sz val="9"/>
            <color rgb="FF000000"/>
            <rFont val="돋움"/>
            <family val="3"/>
            <charset val="129"/>
          </rPr>
          <t>개는</t>
        </r>
        <r>
          <rPr>
            <b/>
            <sz val="9"/>
            <color rgb="FF000000"/>
            <rFont val="Tahoma"/>
            <family val="2"/>
          </rPr>
          <t xml:space="preserve"> 
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수정할것</t>
        </r>
      </text>
    </comment>
    <comment ref="AA152" authorId="1" shapeId="0" xr:uid="{00000000-0006-0000-0F00-000032000000}">
      <text>
        <r>
          <rPr>
            <b/>
            <sz val="9"/>
            <color rgb="FF000000"/>
            <rFont val="Tahoma"/>
            <family val="2"/>
          </rPr>
          <t>cpu9: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당해년도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되면</t>
        </r>
        <r>
          <rPr>
            <sz val="9"/>
            <color rgb="FF000000"/>
            <rFont val="Tahoma"/>
            <family val="2"/>
          </rPr>
          <t xml:space="preserve"> 
</t>
        </r>
        <r>
          <rPr>
            <sz val="9"/>
            <color rgb="FF000000"/>
            <rFont val="돋움"/>
            <family val="3"/>
            <charset val="129"/>
          </rPr>
          <t>숫자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값으로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바꿔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놓을것</t>
        </r>
      </text>
    </comment>
    <comment ref="AA153" authorId="1" shapeId="0" xr:uid="{00000000-0006-0000-0F00-000033000000}">
      <text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되면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내년도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확정된후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숫사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값으로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바꿔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놓을것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user</author>
    <author>ThreadComment</author>
  </authors>
  <commentList>
    <comment ref="N1" authorId="0" shapeId="0" xr:uid="{00000000-0006-0000-1000-000002000000}">
      <text>
        <r>
          <rPr>
            <b/>
            <sz val="9"/>
            <color rgb="FF000000"/>
            <rFont val="돋움"/>
            <family val="2"/>
            <charset val="129"/>
          </rPr>
          <t>전년도에는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직책</t>
        </r>
        <r>
          <rPr>
            <b/>
            <sz val="9"/>
            <color rgb="FF000000"/>
            <rFont val="Tahoma"/>
            <family val="2"/>
          </rPr>
          <t>(</t>
        </r>
        <r>
          <rPr>
            <b/>
            <sz val="9"/>
            <color rgb="FF000000"/>
            <rFont val="돋움"/>
            <family val="2"/>
            <charset val="129"/>
          </rPr>
          <t>담임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및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교감</t>
        </r>
        <r>
          <rPr>
            <b/>
            <sz val="9"/>
            <color rgb="FF000000"/>
            <rFont val="Tahoma"/>
            <family val="2"/>
          </rPr>
          <t>,</t>
        </r>
        <r>
          <rPr>
            <b/>
            <sz val="9"/>
            <color rgb="FF000000"/>
            <rFont val="돋움"/>
            <family val="2"/>
            <charset val="129"/>
          </rPr>
          <t>교장</t>
        </r>
        <r>
          <rPr>
            <b/>
            <sz val="9"/>
            <color rgb="FF000000"/>
            <rFont val="Tahoma"/>
            <family val="2"/>
          </rPr>
          <t>)</t>
        </r>
        <r>
          <rPr>
            <b/>
            <sz val="9"/>
            <color rgb="FF000000"/>
            <rFont val="돋움"/>
            <family val="2"/>
            <charset val="129"/>
          </rPr>
          <t>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아니었다면</t>
        </r>
        <r>
          <rPr>
            <b/>
            <sz val="9"/>
            <color rgb="FF000000"/>
            <rFont val="Tahoma"/>
            <family val="2"/>
          </rPr>
          <t xml:space="preserve"> 1</t>
        </r>
        <r>
          <rPr>
            <b/>
            <sz val="9"/>
            <color rgb="FF000000"/>
            <rFont val="돋움"/>
            <family val="2"/>
            <charset val="129"/>
          </rPr>
          <t>월의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담임</t>
        </r>
        <r>
          <rPr>
            <b/>
            <sz val="9"/>
            <color rgb="FF000000"/>
            <rFont val="Tahoma"/>
            <family val="2"/>
          </rPr>
          <t>,</t>
        </r>
        <r>
          <rPr>
            <b/>
            <sz val="9"/>
            <color rgb="FF000000"/>
            <rFont val="돋움"/>
            <family val="2"/>
            <charset val="129"/>
          </rPr>
          <t>부장</t>
        </r>
        <r>
          <rPr>
            <b/>
            <sz val="9"/>
            <color rgb="FF000000"/>
            <rFont val="Tahoma"/>
            <family val="2"/>
          </rPr>
          <t>,</t>
        </r>
        <r>
          <rPr>
            <b/>
            <sz val="9"/>
            <color rgb="FF000000"/>
            <rFont val="돋움"/>
            <family val="2"/>
            <charset val="129"/>
          </rPr>
          <t>직책</t>
        </r>
        <r>
          <rPr>
            <b/>
            <sz val="9"/>
            <color rgb="FF000000"/>
            <rFont val="Tahoma"/>
            <family val="2"/>
          </rPr>
          <t>,</t>
        </r>
        <r>
          <rPr>
            <b/>
            <sz val="9"/>
            <color rgb="FF000000"/>
            <rFont val="돋움"/>
            <family val="2"/>
            <charset val="129"/>
          </rPr>
          <t>수당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금액만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지워주시오</t>
        </r>
        <r>
          <rPr>
            <b/>
            <sz val="9"/>
            <color rgb="FF000000"/>
            <rFont val="Tahoma"/>
            <family val="2"/>
          </rPr>
          <t xml:space="preserve">. 
</t>
        </r>
        <r>
          <rPr>
            <b/>
            <sz val="9"/>
            <color rgb="FF000000"/>
            <rFont val="돋움"/>
            <family val="2"/>
            <charset val="129"/>
          </rPr>
          <t>내년부터는</t>
        </r>
        <r>
          <rPr>
            <b/>
            <sz val="9"/>
            <color rgb="FF000000"/>
            <rFont val="Tahoma"/>
            <family val="2"/>
          </rPr>
          <t xml:space="preserve"> 1,2</t>
        </r>
        <r>
          <rPr>
            <b/>
            <sz val="9"/>
            <color rgb="FF000000"/>
            <rFont val="돋움"/>
            <family val="2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수당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지우면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안되고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자동으로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계산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반영됩니다</t>
        </r>
        <r>
          <rPr>
            <b/>
            <sz val="9"/>
            <color rgb="FF000000"/>
            <rFont val="Tahoma"/>
            <family val="2"/>
          </rPr>
          <t>.</t>
        </r>
      </text>
    </comment>
    <comment ref="B2" authorId="1" shapeId="0" xr:uid="{00000000-0006-0000-1000-00000C000000}">
      <text>
        <r>
          <rPr>
            <sz val="9"/>
            <color rgb="FF000000"/>
            <rFont val="돋움"/>
            <family val="3"/>
            <charset val="129"/>
          </rPr>
          <t>구입시 보내주신 생년월이 자동으로 들어가 있으며, 수정이 불가능하며, 끝자리 일자는 어떤 일자가 들어가 있어도 동일합니다.</t>
        </r>
      </text>
    </comment>
    <comment ref="D2" authorId="0" shapeId="0" xr:uid="{00000000-0006-0000-1000-000009000000}">
      <text>
        <r>
          <rPr>
            <sz val="20"/>
            <color rgb="FF000000"/>
            <rFont val="돋움"/>
            <family val="2"/>
            <charset val="129"/>
          </rPr>
          <t>재직중인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분들은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신규아님을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선택하면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되며</t>
        </r>
        <r>
          <rPr>
            <sz val="20"/>
            <color rgb="FF000000"/>
            <rFont val="Tahoma"/>
            <family val="2"/>
          </rPr>
          <t>, 3</t>
        </r>
        <r>
          <rPr>
            <sz val="20"/>
            <color rgb="FF000000"/>
            <rFont val="돋움"/>
            <family val="2"/>
            <charset val="129"/>
          </rPr>
          <t>월에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발령받은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신규교사인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경우</t>
        </r>
        <r>
          <rPr>
            <sz val="20"/>
            <color rgb="FF000000"/>
            <rFont val="Tahoma"/>
            <family val="2"/>
          </rPr>
          <t xml:space="preserve"> Y 3</t>
        </r>
        <r>
          <rPr>
            <sz val="20"/>
            <color rgb="FF000000"/>
            <rFont val="돋움"/>
            <family val="2"/>
            <charset val="129"/>
          </rPr>
          <t>월발령을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선택하며</t>
        </r>
        <r>
          <rPr>
            <sz val="20"/>
            <color rgb="FF000000"/>
            <rFont val="Tahoma"/>
            <family val="2"/>
          </rPr>
          <t xml:space="preserve">, </t>
        </r>
        <r>
          <rPr>
            <sz val="20"/>
            <color rgb="FF000000"/>
            <rFont val="돋움"/>
            <family val="2"/>
            <charset val="129"/>
          </rPr>
          <t>휴직후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복직하신분도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신규발령자와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같이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복직때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획정된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호봉을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선택합니다</t>
        </r>
        <r>
          <rPr>
            <sz val="20"/>
            <color rgb="FF000000"/>
            <rFont val="Tahoma"/>
            <family val="2"/>
          </rPr>
          <t xml:space="preserve">. </t>
        </r>
      </text>
    </comment>
    <comment ref="G2" authorId="1" shapeId="0" xr:uid="{00000000-0006-0000-1000-00000D000000}">
      <text>
        <r>
          <rPr>
            <sz val="20"/>
            <color rgb="FF000000"/>
            <rFont val="돋움"/>
            <family val="3"/>
            <charset val="129"/>
          </rPr>
          <t>신규교사가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아닌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재직중에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있는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교사는</t>
        </r>
        <r>
          <rPr>
            <sz val="20"/>
            <color rgb="FF000000"/>
            <rFont val="Tahoma"/>
            <family val="2"/>
          </rPr>
          <t xml:space="preserve"> 1</t>
        </r>
        <r>
          <rPr>
            <sz val="20"/>
            <color rgb="FF000000"/>
            <rFont val="돋움"/>
            <family val="3"/>
            <charset val="129"/>
          </rPr>
          <t>월</t>
        </r>
        <r>
          <rPr>
            <sz val="20"/>
            <color rgb="FF000000"/>
            <rFont val="Tahoma"/>
            <family val="2"/>
          </rPr>
          <t xml:space="preserve"> 1</t>
        </r>
        <r>
          <rPr>
            <sz val="20"/>
            <color rgb="FF000000"/>
            <rFont val="돋움"/>
            <family val="3"/>
            <charset val="129"/>
          </rPr>
          <t>일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기준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자신의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호봉을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입력하고</t>
        </r>
        <r>
          <rPr>
            <sz val="20"/>
            <color rgb="FF000000"/>
            <rFont val="Tahoma"/>
            <family val="2"/>
          </rPr>
          <t xml:space="preserve">, </t>
        </r>
        <r>
          <rPr>
            <sz val="20"/>
            <color rgb="FF000000"/>
            <rFont val="돋움"/>
            <family val="3"/>
            <charset val="129"/>
          </rPr>
          <t>신규교사는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발령고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맨처음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획정된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자신의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호봉을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선택합니다</t>
        </r>
        <r>
          <rPr>
            <sz val="20"/>
            <color rgb="FF000000"/>
            <rFont val="Tahoma"/>
            <family val="2"/>
          </rPr>
          <t>.</t>
        </r>
      </text>
    </comment>
    <comment ref="A7" authorId="0" shapeId="0" xr:uid="{00000000-0006-0000-1000-00000A000000}">
      <text>
        <r>
          <rPr>
            <sz val="20"/>
            <color rgb="FF000000"/>
            <rFont val="돋움"/>
            <family val="2"/>
            <charset val="129"/>
          </rPr>
          <t>전년도</t>
        </r>
        <r>
          <rPr>
            <sz val="20"/>
            <color rgb="FF000000"/>
            <rFont val="Tahoma"/>
            <family val="2"/>
          </rPr>
          <t xml:space="preserve"> 7</t>
        </r>
        <r>
          <rPr>
            <sz val="20"/>
            <color rgb="FF000000"/>
            <rFont val="돋움"/>
            <family val="2"/>
            <charset val="129"/>
          </rPr>
          <t>월</t>
        </r>
        <r>
          <rPr>
            <sz val="20"/>
            <color rgb="FF000000"/>
            <rFont val="Tahoma"/>
            <family val="2"/>
          </rPr>
          <t xml:space="preserve"> ~ 12</t>
        </r>
        <r>
          <rPr>
            <sz val="20"/>
            <color rgb="FF000000"/>
            <rFont val="돋움"/>
            <family val="2"/>
            <charset val="129"/>
          </rPr>
          <t>월까지</t>
        </r>
        <r>
          <rPr>
            <sz val="20"/>
            <color rgb="FF000000"/>
            <rFont val="Tahoma"/>
            <family val="2"/>
          </rPr>
          <t xml:space="preserve"> 30</t>
        </r>
        <r>
          <rPr>
            <sz val="20"/>
            <color rgb="FF000000"/>
            <rFont val="돋움"/>
            <family val="2"/>
            <charset val="129"/>
          </rPr>
          <t>일이상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근무하고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월급을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받은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개월수를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입력하세요</t>
        </r>
        <r>
          <rPr>
            <sz val="20"/>
            <color rgb="FF000000"/>
            <rFont val="Tahoma"/>
            <family val="2"/>
          </rPr>
          <t xml:space="preserve">. </t>
        </r>
      </text>
    </comment>
    <comment ref="D10" authorId="0" shapeId="0" xr:uid="{00000000-0006-0000-1000-00000B000000}">
      <text>
        <r>
          <rPr>
            <b/>
            <sz val="9"/>
            <color rgb="FF000000"/>
            <rFont val="돋움"/>
            <family val="3"/>
            <charset val="129"/>
          </rPr>
          <t>성과급은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실제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금액과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있음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16" authorId="0" shapeId="0" xr:uid="{00000000-0006-0000-1000-000005000000}">
      <text>
        <r>
          <rPr>
            <b/>
            <sz val="9"/>
            <color rgb="FF000000"/>
            <rFont val="돋움"/>
            <family val="3"/>
            <charset val="129"/>
          </rPr>
          <t>교원연구비에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포함되어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나오는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경우에는</t>
        </r>
        <r>
          <rPr>
            <b/>
            <sz val="9"/>
            <color rgb="FF000000"/>
            <rFont val="Tahoma"/>
            <family val="2"/>
          </rPr>
          <t xml:space="preserve"> 0</t>
        </r>
        <r>
          <rPr>
            <b/>
            <sz val="9"/>
            <color rgb="FF000000"/>
            <rFont val="돋움"/>
            <family val="3"/>
            <charset val="129"/>
          </rPr>
          <t>원을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입력하시오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17" authorId="0" shapeId="0" xr:uid="{00000000-0006-0000-1000-000006000000}">
      <text>
        <r>
          <rPr>
            <b/>
            <sz val="9"/>
            <color rgb="FF000000"/>
            <rFont val="돋움"/>
            <family val="3"/>
            <charset val="129"/>
          </rPr>
          <t>교원연구비는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시도교육청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마다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지급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금액이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정확한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금액으로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수정하시오</t>
        </r>
        <r>
          <rPr>
            <b/>
            <sz val="9"/>
            <color rgb="FF000000"/>
            <rFont val="Tahoma"/>
            <family val="2"/>
          </rPr>
          <t>.</t>
        </r>
      </text>
    </comment>
    <comment ref="A19" authorId="0" shapeId="0" xr:uid="{00000000-0006-0000-1000-000004000000}">
      <text>
        <r>
          <rPr>
            <b/>
            <sz val="20"/>
            <color rgb="FF000000"/>
            <rFont val="돋움"/>
            <family val="3"/>
            <charset val="129"/>
          </rPr>
          <t>배우자</t>
        </r>
        <r>
          <rPr>
            <b/>
            <sz val="20"/>
            <color rgb="FF000000"/>
            <rFont val="Tahoma"/>
            <family val="2"/>
          </rPr>
          <t xml:space="preserve"> 40,000</t>
        </r>
        <r>
          <rPr>
            <b/>
            <sz val="20"/>
            <color rgb="FF000000"/>
            <rFont val="돋움"/>
            <family val="3"/>
            <charset val="129"/>
          </rPr>
          <t>원</t>
        </r>
        <r>
          <rPr>
            <b/>
            <sz val="20"/>
            <color rgb="FF000000"/>
            <rFont val="Tahoma"/>
            <family val="2"/>
          </rPr>
          <t xml:space="preserve">, 
</t>
        </r>
        <r>
          <rPr>
            <b/>
            <sz val="20"/>
            <color rgb="FF000000"/>
            <rFont val="돋움"/>
            <family val="3"/>
            <charset val="129"/>
          </rPr>
          <t>배우자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및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자녀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제외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가족</t>
        </r>
        <r>
          <rPr>
            <b/>
            <sz val="20"/>
            <color rgb="FF000000"/>
            <rFont val="Tahoma"/>
            <family val="2"/>
          </rPr>
          <t>1</t>
        </r>
        <r>
          <rPr>
            <b/>
            <sz val="20"/>
            <color rgb="FF000000"/>
            <rFont val="돋움"/>
            <family val="3"/>
            <charset val="129"/>
          </rPr>
          <t>인당</t>
        </r>
        <r>
          <rPr>
            <b/>
            <sz val="20"/>
            <color rgb="FF000000"/>
            <rFont val="Tahoma"/>
            <family val="2"/>
          </rPr>
          <t xml:space="preserve"> 20,000</t>
        </r>
        <r>
          <rPr>
            <b/>
            <sz val="20"/>
            <color rgb="FF000000"/>
            <rFont val="돋움"/>
            <family val="3"/>
            <charset val="129"/>
          </rPr>
          <t>원</t>
        </r>
        <r>
          <rPr>
            <b/>
            <sz val="20"/>
            <color rgb="FF000000"/>
            <rFont val="Tahoma"/>
            <family val="2"/>
          </rPr>
          <t xml:space="preserve">, 
</t>
        </r>
        <r>
          <rPr>
            <b/>
            <sz val="20"/>
            <color rgb="FF000000"/>
            <rFont val="돋움"/>
            <family val="3"/>
            <charset val="129"/>
          </rPr>
          <t>첫째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자녀</t>
        </r>
        <r>
          <rPr>
            <b/>
            <sz val="20"/>
            <color rgb="FF000000"/>
            <rFont val="Tahoma"/>
            <family val="2"/>
          </rPr>
          <t xml:space="preserve"> 50,000</t>
        </r>
        <r>
          <rPr>
            <b/>
            <sz val="20"/>
            <color rgb="FF000000"/>
            <rFont val="돋움"/>
            <family val="3"/>
            <charset val="129"/>
          </rPr>
          <t>원</t>
        </r>
        <r>
          <rPr>
            <b/>
            <sz val="20"/>
            <color rgb="FF000000"/>
            <rFont val="Tahoma"/>
            <family val="2"/>
          </rPr>
          <t xml:space="preserve">,
</t>
        </r>
        <r>
          <rPr>
            <b/>
            <sz val="20"/>
            <color rgb="FF000000"/>
            <rFont val="돋움"/>
            <family val="3"/>
            <charset val="129"/>
          </rPr>
          <t>둘째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자녀</t>
        </r>
        <r>
          <rPr>
            <b/>
            <sz val="20"/>
            <color rgb="FF000000"/>
            <rFont val="Tahoma"/>
            <family val="2"/>
          </rPr>
          <t xml:space="preserve"> 80,000</t>
        </r>
        <r>
          <rPr>
            <b/>
            <sz val="20"/>
            <color rgb="FF000000"/>
            <rFont val="돋움"/>
            <family val="3"/>
            <charset val="129"/>
          </rPr>
          <t>원</t>
        </r>
        <r>
          <rPr>
            <b/>
            <sz val="20"/>
            <color rgb="FF000000"/>
            <rFont val="Tahoma"/>
            <family val="2"/>
          </rPr>
          <t xml:space="preserve">,
</t>
        </r>
        <r>
          <rPr>
            <b/>
            <sz val="20"/>
            <color rgb="FF000000"/>
            <rFont val="돋움"/>
            <family val="3"/>
            <charset val="129"/>
          </rPr>
          <t>셋째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이후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자녀</t>
        </r>
        <r>
          <rPr>
            <b/>
            <sz val="20"/>
            <color rgb="FF000000"/>
            <rFont val="Tahoma"/>
            <family val="2"/>
          </rPr>
          <t xml:space="preserve"> 120,000</t>
        </r>
        <r>
          <rPr>
            <b/>
            <sz val="20"/>
            <color rgb="FF000000"/>
            <rFont val="돋움"/>
            <family val="3"/>
            <charset val="129"/>
          </rPr>
          <t xml:space="preserve">원
</t>
        </r>
      </text>
    </comment>
    <comment ref="U25" authorId="2" shapeId="0" xr:uid="{00000000-0006-0000-1000-000001000000}">
      <text>
        <r>
          <rPr>
            <b/>
            <sz val="8"/>
            <color rgb="FF000000"/>
            <rFont val="돋움"/>
            <family val="2"/>
            <charset val="129"/>
          </rPr>
          <t>기여금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납입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기간을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왼쪽의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표에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입력한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시점의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날짜이며</t>
        </r>
        <r>
          <rPr>
            <b/>
            <sz val="8"/>
            <color rgb="FF000000"/>
            <rFont val="Tahoma"/>
            <family val="2"/>
          </rPr>
          <t xml:space="preserve">, </t>
        </r>
        <r>
          <rPr>
            <b/>
            <sz val="8"/>
            <color rgb="FF000000"/>
            <rFont val="돋움"/>
            <family val="2"/>
            <charset val="129"/>
          </rPr>
          <t>날짜와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기여금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납입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기간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입력은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입력당시</t>
        </r>
        <r>
          <rPr>
            <b/>
            <sz val="8"/>
            <color rgb="FF000000"/>
            <rFont val="Tahoma"/>
            <family val="2"/>
          </rPr>
          <t xml:space="preserve"> 1</t>
        </r>
        <r>
          <rPr>
            <b/>
            <sz val="8"/>
            <color rgb="FF000000"/>
            <rFont val="돋움"/>
            <family val="2"/>
            <charset val="129"/>
          </rPr>
          <t>회만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입력하고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이후에는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수정하지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않음</t>
        </r>
        <r>
          <rPr>
            <b/>
            <sz val="8"/>
            <color rgb="FF000000"/>
            <rFont val="Tahoma"/>
            <family val="2"/>
          </rPr>
          <t>.</t>
        </r>
      </text>
    </comment>
    <comment ref="B29" authorId="0" shapeId="0" xr:uid="{00000000-0006-0000-1000-000008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
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작년도</t>
        </r>
        <r>
          <rPr>
            <b/>
            <sz val="9"/>
            <color rgb="FF000000"/>
            <rFont val="Tahoma"/>
            <family val="2"/>
          </rPr>
          <t xml:space="preserve"> 12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또는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1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F29" authorId="0" shapeId="0" xr:uid="{00000000-0006-0000-1000-000007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 xml:space="preserve">있으므로
</t>
        </r>
        <r>
          <rPr>
            <b/>
            <sz val="9"/>
            <color rgb="FF000000"/>
            <rFont val="Tahoma"/>
            <family val="2"/>
          </rPr>
          <t>5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5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</text>
    </comment>
    <comment ref="S36" authorId="0" shapeId="0" xr:uid="{00000000-0006-0000-1000-000003000000}">
      <text>
        <r>
          <rPr>
            <b/>
            <sz val="8"/>
            <color rgb="FF000000"/>
            <rFont val="돋움"/>
            <family val="2"/>
            <charset val="129"/>
          </rPr>
          <t>교육경력은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기간제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교사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기간은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포함되나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시간강사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경력이나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대학조교경력은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포함이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안되며</t>
        </r>
        <r>
          <rPr>
            <b/>
            <sz val="8"/>
            <color rgb="FF000000"/>
            <rFont val="돋움"/>
            <family val="2"/>
            <charset val="129"/>
          </rPr>
          <t xml:space="preserve">, </t>
        </r>
        <r>
          <rPr>
            <b/>
            <sz val="8"/>
            <color rgb="FF000000"/>
            <rFont val="돋움"/>
            <family val="2"/>
            <charset val="129"/>
          </rPr>
          <t>임용후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군경력만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포함되며</t>
        </r>
        <r>
          <rPr>
            <b/>
            <sz val="8"/>
            <color rgb="FF000000"/>
            <rFont val="돋움"/>
            <family val="2"/>
            <charset val="129"/>
          </rPr>
          <t xml:space="preserve">, </t>
        </r>
        <r>
          <rPr>
            <b/>
            <sz val="8"/>
            <color rgb="FF000000"/>
            <rFont val="돋움"/>
            <family val="2"/>
            <charset val="129"/>
          </rPr>
          <t>육아휴직기간은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포함이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되지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않습니다</t>
        </r>
        <r>
          <rPr>
            <b/>
            <sz val="8"/>
            <color rgb="FF000000"/>
            <rFont val="돋움"/>
            <family val="2"/>
            <charset val="129"/>
          </rPr>
          <t>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</authors>
  <commentList>
    <comment ref="A16" authorId="0" shapeId="0" xr:uid="{00000000-0006-0000-1100-000003000000}">
      <text>
        <r>
          <rPr>
            <b/>
            <sz val="9"/>
            <color rgb="FF000000"/>
            <rFont val="돋움"/>
            <family val="3"/>
            <charset val="129"/>
          </rPr>
          <t>교원연구비에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포함되어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나오는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경우에는</t>
        </r>
        <r>
          <rPr>
            <b/>
            <sz val="9"/>
            <color rgb="FF000000"/>
            <rFont val="Tahoma"/>
            <family val="2"/>
          </rPr>
          <t xml:space="preserve"> 0</t>
        </r>
        <r>
          <rPr>
            <b/>
            <sz val="9"/>
            <color rgb="FF000000"/>
            <rFont val="돋움"/>
            <family val="3"/>
            <charset val="129"/>
          </rPr>
          <t>원을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입력하시오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17" authorId="0" shapeId="0" xr:uid="{00000000-0006-0000-1100-000004000000}">
      <text>
        <r>
          <rPr>
            <b/>
            <sz val="9"/>
            <color rgb="FF000000"/>
            <rFont val="돋움"/>
            <family val="3"/>
            <charset val="129"/>
          </rPr>
          <t>교원연구비는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시도교육청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마다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지급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금액이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정확한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금액으로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수정하시오</t>
        </r>
        <r>
          <rPr>
            <b/>
            <sz val="9"/>
            <color rgb="FF000000"/>
            <rFont val="Tahoma"/>
            <family val="2"/>
          </rPr>
          <t>.</t>
        </r>
      </text>
    </comment>
    <comment ref="A19" authorId="0" shapeId="0" xr:uid="{00000000-0006-0000-1100-000005000000}">
      <text>
        <r>
          <rPr>
            <b/>
            <sz val="9"/>
            <color rgb="FF000000"/>
            <rFont val="돋움"/>
            <family val="3"/>
            <charset val="129"/>
          </rPr>
          <t>배우자</t>
        </r>
        <r>
          <rPr>
            <b/>
            <sz val="9"/>
            <color rgb="FF000000"/>
            <rFont val="Tahoma"/>
            <family val="2"/>
          </rPr>
          <t xml:space="preserve"> 40,000</t>
        </r>
        <r>
          <rPr>
            <b/>
            <sz val="9"/>
            <color rgb="FF000000"/>
            <rFont val="돋움"/>
            <family val="3"/>
            <charset val="129"/>
          </rPr>
          <t>원</t>
        </r>
        <r>
          <rPr>
            <b/>
            <sz val="9"/>
            <color rgb="FF000000"/>
            <rFont val="Tahoma"/>
            <family val="2"/>
          </rPr>
          <t xml:space="preserve">, 
</t>
        </r>
        <r>
          <rPr>
            <b/>
            <sz val="9"/>
            <color rgb="FF000000"/>
            <rFont val="돋움"/>
            <family val="3"/>
            <charset val="129"/>
          </rPr>
          <t>배우자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및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제외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가족</t>
        </r>
        <r>
          <rPr>
            <b/>
            <sz val="9"/>
            <color rgb="FF000000"/>
            <rFont val="Tahoma"/>
            <family val="2"/>
          </rPr>
          <t>1</t>
        </r>
        <r>
          <rPr>
            <b/>
            <sz val="9"/>
            <color rgb="FF000000"/>
            <rFont val="돋움"/>
            <family val="3"/>
            <charset val="129"/>
          </rPr>
          <t>인당</t>
        </r>
        <r>
          <rPr>
            <b/>
            <sz val="9"/>
            <color rgb="FF000000"/>
            <rFont val="Tahoma"/>
            <family val="2"/>
          </rPr>
          <t xml:space="preserve"> 20,000</t>
        </r>
        <r>
          <rPr>
            <b/>
            <sz val="9"/>
            <color rgb="FF000000"/>
            <rFont val="돋움"/>
            <family val="3"/>
            <charset val="129"/>
          </rPr>
          <t>원</t>
        </r>
        <r>
          <rPr>
            <b/>
            <sz val="9"/>
            <color rgb="FF000000"/>
            <rFont val="Tahoma"/>
            <family val="2"/>
          </rPr>
          <t xml:space="preserve">, 
</t>
        </r>
        <r>
          <rPr>
            <b/>
            <sz val="9"/>
            <color rgb="FF000000"/>
            <rFont val="돋움"/>
            <family val="3"/>
            <charset val="129"/>
          </rPr>
          <t>첫째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자녀</t>
        </r>
        <r>
          <rPr>
            <b/>
            <sz val="9"/>
            <color rgb="FF000000"/>
            <rFont val="Tahoma"/>
            <family val="2"/>
          </rPr>
          <t xml:space="preserve"> 50,000</t>
        </r>
        <r>
          <rPr>
            <b/>
            <sz val="9"/>
            <color rgb="FF000000"/>
            <rFont val="돋움"/>
            <family val="3"/>
            <charset val="129"/>
          </rPr>
          <t>원</t>
        </r>
        <r>
          <rPr>
            <b/>
            <sz val="9"/>
            <color rgb="FF000000"/>
            <rFont val="Tahoma"/>
            <family val="2"/>
          </rPr>
          <t xml:space="preserve">,
</t>
        </r>
        <r>
          <rPr>
            <b/>
            <sz val="9"/>
            <color rgb="FF000000"/>
            <rFont val="돋움"/>
            <family val="3"/>
            <charset val="129"/>
          </rPr>
          <t>둘째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자녀</t>
        </r>
        <r>
          <rPr>
            <b/>
            <sz val="9"/>
            <color rgb="FF000000"/>
            <rFont val="Tahoma"/>
            <family val="2"/>
          </rPr>
          <t xml:space="preserve"> 80,000</t>
        </r>
        <r>
          <rPr>
            <b/>
            <sz val="9"/>
            <color rgb="FF000000"/>
            <rFont val="돋움"/>
            <family val="3"/>
            <charset val="129"/>
          </rPr>
          <t>원</t>
        </r>
        <r>
          <rPr>
            <b/>
            <sz val="9"/>
            <color rgb="FF000000"/>
            <rFont val="Tahoma"/>
            <family val="2"/>
          </rPr>
          <t xml:space="preserve">,
</t>
        </r>
        <r>
          <rPr>
            <b/>
            <sz val="9"/>
            <color rgb="FF000000"/>
            <rFont val="돋움"/>
            <family val="3"/>
            <charset val="129"/>
          </rPr>
          <t>셋째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이후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자녀</t>
        </r>
        <r>
          <rPr>
            <b/>
            <sz val="9"/>
            <color rgb="FF000000"/>
            <rFont val="Tahoma"/>
            <family val="2"/>
          </rPr>
          <t xml:space="preserve"> 120,000</t>
        </r>
        <r>
          <rPr>
            <b/>
            <sz val="9"/>
            <color rgb="FF000000"/>
            <rFont val="돋움"/>
            <family val="3"/>
            <charset val="129"/>
          </rPr>
          <t xml:space="preserve">원
</t>
        </r>
      </text>
    </comment>
    <comment ref="B29" authorId="0" shapeId="0" xr:uid="{00000000-0006-0000-1100-000001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
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작년도</t>
        </r>
        <r>
          <rPr>
            <b/>
            <sz val="9"/>
            <color rgb="FF000000"/>
            <rFont val="Tahoma"/>
            <family val="2"/>
          </rPr>
          <t xml:space="preserve"> 12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또는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1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</text>
    </comment>
    <comment ref="F29" authorId="0" shapeId="0" xr:uid="{00000000-0006-0000-1100-000002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 xml:space="preserve">있으므로
</t>
        </r>
        <r>
          <rPr>
            <b/>
            <sz val="9"/>
            <color rgb="FF000000"/>
            <rFont val="Tahoma"/>
            <family val="2"/>
          </rPr>
          <t>5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5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</authors>
  <commentList>
    <comment ref="B29" authorId="0" shapeId="0" xr:uid="{00000000-0006-0000-1200-000001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
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작년도</t>
        </r>
        <r>
          <rPr>
            <b/>
            <sz val="9"/>
            <color rgb="FF000000"/>
            <rFont val="Tahoma"/>
            <family val="2"/>
          </rPr>
          <t xml:space="preserve"> 12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또는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1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F29" authorId="0" shapeId="0" xr:uid="{00000000-0006-0000-1200-000002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 xml:space="preserve">있으므로
</t>
        </r>
        <r>
          <rPr>
            <b/>
            <sz val="9"/>
            <color rgb="FF000000"/>
            <rFont val="Tahoma"/>
            <family val="2"/>
          </rPr>
          <t>5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5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</authors>
  <commentList>
    <comment ref="B29" authorId="0" shapeId="0" xr:uid="{00000000-0006-0000-1300-000001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
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작년도</t>
        </r>
        <r>
          <rPr>
            <b/>
            <sz val="9"/>
            <color rgb="FF000000"/>
            <rFont val="Tahoma"/>
            <family val="2"/>
          </rPr>
          <t xml:space="preserve"> 12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또는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1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F29" authorId="0" shapeId="0" xr:uid="{00000000-0006-0000-1300-000002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 xml:space="preserve">있으므로
</t>
        </r>
        <r>
          <rPr>
            <b/>
            <sz val="9"/>
            <color rgb="FF000000"/>
            <rFont val="Tahoma"/>
            <family val="2"/>
          </rPr>
          <t>5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5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</authors>
  <commentList>
    <comment ref="B29" authorId="0" shapeId="0" xr:uid="{00000000-0006-0000-1400-000002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
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작년도</t>
        </r>
        <r>
          <rPr>
            <b/>
            <sz val="9"/>
            <color rgb="FF000000"/>
            <rFont val="Tahoma"/>
            <family val="2"/>
          </rPr>
          <t xml:space="preserve"> 12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또는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1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F29" authorId="0" shapeId="0" xr:uid="{00000000-0006-0000-1400-000001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 xml:space="preserve">있으므로
</t>
        </r>
        <r>
          <rPr>
            <b/>
            <sz val="9"/>
            <color rgb="FF000000"/>
            <rFont val="Tahoma"/>
            <family val="2"/>
          </rPr>
          <t>5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5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<sst xmlns="http://schemas.openxmlformats.org/spreadsheetml/2006/main" count="21946" uniqueCount="667">
  <si>
    <t>10) A25 는 특수교사, 상담교사, 보건교사, 영야교사, 사서교사, 실과교사수당을 선택하시면 해당 수당이 자동반영되며 관련 없는 선생님은 해당 없음을 선택하고, 교직원공제회, 급식비, 상조회비 등은 자신에게 맞는 금액을 입력한다.</t>
  </si>
  <si>
    <t>11) 소득세, 주민세, 기여금, 건강보험료 등의 공제금액은 조견표에 의한 추정금액이므로 봉급 명세서의 본인 금액으로 수정할 수 있으며, 자신의 소득세 인적공제 인원수에 따라 1명 ~ 11명을 선택한다.(본인만 해당되면 1명)</t>
  </si>
  <si>
    <t>7) 호봉승급이 있는 월을 선택하며, 1정연수후 호봉승급이 있는 경우에는 1호봉을 합산하여 해당월의 호봉란에 직접 입력하며 승급월은 변함이 없이 그대로 선택한다.</t>
  </si>
  <si>
    <t>13) 아래 표는 기여금 납부 종료일을 파악하여 급여 명세서에서 종료 월 이후의 기여금 납부액을 자동으로 산출하기 위헤 필요하니  입력 기준 날짜와 경력을 입력해 주세요.</t>
  </si>
  <si>
    <r>
      <rPr>
        <sz val="8"/>
        <color rgb="FFFF0000"/>
        <rFont val="맑은 고딕"/>
        <family val="3"/>
        <charset val="129"/>
      </rPr>
      <t>둘째</t>
    </r>
    <r>
      <rPr>
        <sz val="8"/>
        <color rgb="FFFF0000"/>
        <rFont val="Arial"/>
        <family val="2"/>
      </rPr>
      <t xml:space="preserve">, Shift </t>
    </r>
    <r>
      <rPr>
        <sz val="8"/>
        <color rgb="FFFF0000"/>
        <rFont val="맑은 고딕"/>
        <family val="3"/>
        <charset val="129"/>
      </rPr>
      <t>키를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누른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상태에서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맨마지막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시트인</t>
    </r>
    <r>
      <rPr>
        <sz val="8"/>
        <color rgb="FFFF0000"/>
        <rFont val="Arial"/>
        <family val="2"/>
      </rPr>
      <t xml:space="preserve"> 2062</t>
    </r>
    <r>
      <rPr>
        <sz val="8"/>
        <color rgb="FFFF0000"/>
        <rFont val="맑은 고딕"/>
        <family val="3"/>
        <charset val="129"/>
      </rPr>
      <t>년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시트를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클릭합니다</t>
    </r>
    <r>
      <rPr>
        <sz val="8"/>
        <color rgb="FFFF0000"/>
        <rFont val="Arial"/>
        <family val="2"/>
      </rPr>
      <t>.</t>
    </r>
  </si>
  <si>
    <t>2) 기본급인상률은 매년초 교사카페 공지사항을 참조하여 퇴직할 때 까지 입력한다.</t>
  </si>
  <si>
    <t>2) 신규교사가 아니니면 신규아님, 신규교사면 신규로 발령 받은 월을 선택한다.</t>
  </si>
  <si>
    <t>♠ 본 프로그램은 엑셀용 프로그램으로 노란색 셀을 대상으로 주로 작성하며, 가급적 행의 추가나 삭제는 금하며 첫번째 년도 메인시트만 작성하며 그 이후년도는 자동 작성됩니다. ♠</t>
  </si>
  <si>
    <r>
      <rPr>
        <b/>
        <sz val="20"/>
        <color rgb="FFED7D31"/>
        <rFont val="돋움"/>
        <family val="3"/>
        <charset val="129"/>
      </rPr>
      <t xml:space="preserve">     * 신규교사에게만 제공해 드리는 보약 같은</t>
    </r>
    <r>
      <rPr>
        <b/>
        <sz val="20"/>
        <color rgb="FFFF00FF"/>
        <rFont val="돋움"/>
        <family val="3"/>
        <charset val="129"/>
      </rPr>
      <t xml:space="preserve"> 공무원연금 예상 수령액 및 평균기준소득월액 계산표</t>
    </r>
  </si>
  <si>
    <t xml:space="preserve">* 공무원연금 개혁이 앞으로 없다면 기대되는 선생님의 공무원연금 수령액은 </t>
  </si>
  <si>
    <t>9) 교원연구비,가족수당,원로수당,시간외수당은 자신에게 해당되는 금액을 입력하며, 수당란이 부족한 경우에는 기타수당란을 이용하여 입력한다.</t>
  </si>
  <si>
    <t>6) 자신에게 해당되는 직책인 담임,부장,교감,교장 여부를 선택하되 전년도 직책이 해당이 되지 않는 경우에는 1,2월의 수당 금액을 지운다.</t>
  </si>
  <si>
    <t>원이 예상되오니 약간의 연금개혁이 있다고 해도 그리 많이 감액되지는 않을 것이므로 연금개혁으로 인해 너무 스트레스 받으실 필요는 없어 보입니다.</t>
  </si>
  <si>
    <t>5) 성과등급은 보수적으로 B등급이 선택되어 있으므로 매년 자신에게 해당되는 성과등급을 선택한다.</t>
  </si>
  <si>
    <t>16) O27의 오른쪽 모서리에 있는 역삼감형을 선택하여 80%, 100%, 120%를 각자 선택하여 소득세징수율을 선택수 있다.</t>
  </si>
  <si>
    <r>
      <rPr>
        <sz val="8"/>
        <color rgb="FFFF0000"/>
        <rFont val="Segoe UI Symbol"/>
        <family val="2"/>
      </rPr>
      <t>♠</t>
    </r>
    <r>
      <rPr>
        <sz val="8"/>
        <color rgb="FFFF0000"/>
        <rFont val="맑은 고딕"/>
        <family val="3"/>
        <charset val="129"/>
      </rPr>
      <t xml:space="preserve"> 화면의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개인마다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크기가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다르고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해상도가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다르기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때문에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본인에게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적절한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배율로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세팅하기</t>
    </r>
  </si>
  <si>
    <t>주의 : 프로그램 실행시 오른쪽과 같이 뜬 경우에는 꼭 사용을 클릭하시고 사용하셔야 합니다.</t>
  </si>
  <si>
    <r>
      <rPr>
        <sz val="8"/>
        <color rgb="FFFF0000"/>
        <rFont val="맑은 고딕"/>
        <family val="3"/>
        <charset val="129"/>
      </rPr>
      <t>여섯째</t>
    </r>
    <r>
      <rPr>
        <sz val="8"/>
        <color rgb="FFFF0000"/>
        <rFont val="Arial"/>
        <family val="2"/>
      </rPr>
      <t xml:space="preserve">, </t>
    </r>
    <r>
      <rPr>
        <sz val="8"/>
        <color rgb="FFFF0000"/>
        <rFont val="맑은 고딕"/>
        <family val="3"/>
        <charset val="129"/>
      </rPr>
      <t>엑셀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프로그램을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다시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실행합니다</t>
    </r>
    <r>
      <rPr>
        <sz val="8"/>
        <color rgb="FFFF0000"/>
        <rFont val="Arial"/>
        <family val="2"/>
      </rPr>
      <t xml:space="preserve">. </t>
    </r>
    <r>
      <rPr>
        <sz val="8"/>
        <color rgb="FFFF0000"/>
        <rFont val="맑은 고딕"/>
        <family val="3"/>
        <charset val="129"/>
      </rPr>
      <t>확인해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보시면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화면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크기가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조절되어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있을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거예요</t>
    </r>
    <r>
      <rPr>
        <sz val="8"/>
        <color rgb="FFFF0000"/>
        <rFont val="Arial"/>
        <family val="2"/>
      </rPr>
      <t>.</t>
    </r>
  </si>
  <si>
    <t>1) 정부에서 매년 발표하는 공무원봉급인상률을 퇴직할 때 까지 매년 년초에 1회 입력한다.</t>
  </si>
  <si>
    <t>* 주의 : 1월달 정근수당은 A7에서 전년도 7~12월까지 월급 받은 개월수를 선택한다.</t>
  </si>
  <si>
    <t xml:space="preserve">8) 전년도 7월 ~ 12월까지 30일이상 근무하고 월급을 받은 개월수를 입력하세요. </t>
  </si>
  <si>
    <t>12) 지출내용입력란에 월별로 지출되는 항목과 금액을 입력하여 지출되는 금액을 관리한다.</t>
  </si>
  <si>
    <t>14) 원로수당을 수령하기 위한 조건을 입력하는 곳입니다.  교육경력이 30년이 되는 년도와 월을 직접 입력하세요.</t>
  </si>
  <si>
    <t xml:space="preserve">(10,000,000원인 경우의 해당세액) + (1,372,000원)+ (14,000,000원을 초과하는 금액 중 98%를 곱한 금액의 38% 상당액) </t>
  </si>
  <si>
    <t>(10,000,000원인 경우의 해당 세액) + (10,000,000원을 초과하는 금액 중 98%를 곱한 금액의 35% 상당액)</t>
  </si>
  <si>
    <t>2002.1.1이후</t>
  </si>
  <si>
    <t>실제 정년 퇴직일</t>
  </si>
  <si>
    <t>2002.1.1이전</t>
  </si>
  <si>
    <t>완납하셨습니다.</t>
  </si>
  <si>
    <t>선생님의 퇴직일은</t>
  </si>
  <si>
    <t>오늘 현재 연금액</t>
  </si>
  <si>
    <t>매년 봉급인상률 가정</t>
  </si>
  <si>
    <t>세후연금 1년총액</t>
  </si>
  <si>
    <t>1. 생년월일 입력</t>
  </si>
  <si>
    <t>2)공무원봉급인상률</t>
  </si>
  <si>
    <t>납부해야 할 기간</t>
  </si>
  <si>
    <t>연금 재직년수 합계</t>
  </si>
  <si>
    <t>연금총액
(a+b)</t>
  </si>
  <si>
    <t>4)1/1재직년수</t>
  </si>
  <si>
    <t>매월
연금
증가액</t>
  </si>
  <si>
    <t>2018
초과분</t>
  </si>
  <si>
    <t>기여금 종료--&gt;</t>
  </si>
  <si>
    <t>기여금
납입개월수</t>
  </si>
  <si>
    <t>경력 2.3기간</t>
  </si>
  <si>
    <t>퇴직수당기준소득</t>
  </si>
  <si>
    <t>3)1/1 호봉?</t>
  </si>
  <si>
    <t>담임수당(교감,교장)</t>
  </si>
  <si>
    <t>기여금 납부액 총괄표</t>
  </si>
  <si>
    <t>기여금 총납입 기간</t>
  </si>
  <si>
    <t>오늘의 날짜 ▶</t>
  </si>
  <si>
    <t>30년 되는해--&gt;</t>
  </si>
  <si>
    <t>공무원연금
수령예상액</t>
  </si>
  <si>
    <t>30년초과시 변수</t>
  </si>
  <si>
    <t>기준소득월액</t>
  </si>
  <si>
    <t>교원연구비</t>
  </si>
  <si>
    <t>기여금 납부율</t>
  </si>
  <si>
    <t>노인장기보험</t>
  </si>
  <si>
    <t>기여금액</t>
  </si>
  <si>
    <t>건강보험료</t>
  </si>
  <si>
    <t>원로수당</t>
  </si>
  <si>
    <t>재직
년수</t>
  </si>
  <si>
    <t>가족수당</t>
  </si>
  <si>
    <t>26년후</t>
  </si>
  <si>
    <t>정액급식</t>
  </si>
  <si>
    <t>호봉간 차</t>
  </si>
  <si>
    <t>기본급인상률</t>
  </si>
  <si>
    <t>Yes, No</t>
  </si>
  <si>
    <t>교직수당</t>
  </si>
  <si>
    <t>성과급등급</t>
  </si>
  <si>
    <t>명절휴가</t>
  </si>
  <si>
    <t>학생지도비</t>
  </si>
  <si>
    <t>교직원공제비</t>
  </si>
  <si>
    <t>정근추가</t>
  </si>
  <si>
    <t>재직년수</t>
  </si>
  <si>
    <t>정근수당</t>
  </si>
  <si>
    <t>공제합계액</t>
  </si>
  <si>
    <t>부양가족수</t>
  </si>
  <si>
    <t>공제인원</t>
  </si>
  <si>
    <t>정근년수</t>
  </si>
  <si>
    <t>실수령액</t>
  </si>
  <si>
    <t>정근가산</t>
  </si>
  <si>
    <t>11년후</t>
  </si>
  <si>
    <t>시간외정액분</t>
  </si>
  <si>
    <t>20년후</t>
  </si>
  <si>
    <t>12년후</t>
  </si>
  <si>
    <t>28년후</t>
  </si>
  <si>
    <t>30년후</t>
  </si>
  <si>
    <t>부장직책비</t>
  </si>
  <si>
    <t>정근수당계산</t>
  </si>
  <si>
    <t>18년후</t>
  </si>
  <si>
    <t>19년후</t>
  </si>
  <si>
    <t>36년후</t>
  </si>
  <si>
    <t>34년후</t>
  </si>
  <si>
    <t>16년후</t>
  </si>
  <si>
    <t>21년후</t>
  </si>
  <si>
    <t>25년후</t>
  </si>
  <si>
    <t>40년후</t>
  </si>
  <si>
    <t>기타2수당</t>
  </si>
  <si>
    <t>35년후</t>
  </si>
  <si>
    <t>10년후</t>
  </si>
  <si>
    <t>32년후</t>
  </si>
  <si>
    <t>시간외초과분</t>
  </si>
  <si>
    <t>24년후</t>
  </si>
  <si>
    <t>33년후</t>
  </si>
  <si>
    <t>27년후</t>
  </si>
  <si>
    <t>31년후</t>
  </si>
  <si>
    <t>29년후</t>
  </si>
  <si>
    <t>23년후</t>
  </si>
  <si>
    <t>15년후</t>
  </si>
  <si>
    <t>13년후</t>
  </si>
  <si>
    <t>14년후</t>
  </si>
  <si>
    <t>22년후</t>
  </si>
  <si>
    <t>17년후</t>
  </si>
  <si>
    <t>지출내용입력6</t>
  </si>
  <si>
    <t>지출내용입력4</t>
  </si>
  <si>
    <t>2026</t>
  </si>
  <si>
    <t>2046</t>
  </si>
  <si>
    <t>2050</t>
  </si>
  <si>
    <t>잔액누계</t>
  </si>
  <si>
    <t>42년후</t>
  </si>
  <si>
    <t>지출내용입력7</t>
  </si>
  <si>
    <t>2021</t>
  </si>
  <si>
    <t>37년후</t>
  </si>
  <si>
    <t>지출내용입력5</t>
  </si>
  <si>
    <t>3)승급월은?</t>
  </si>
  <si>
    <t>지출내용입력3</t>
  </si>
  <si>
    <t>기타1수당</t>
  </si>
  <si>
    <t>2024</t>
  </si>
  <si>
    <t>지출내용입력8</t>
  </si>
  <si>
    <t>총액(연봉)</t>
  </si>
  <si>
    <t>41년후</t>
  </si>
  <si>
    <t>정년퇴직일</t>
  </si>
  <si>
    <t>38년후</t>
  </si>
  <si>
    <t>지출총액</t>
  </si>
  <si>
    <t>5)재직년수</t>
  </si>
  <si>
    <t>생년월일</t>
  </si>
  <si>
    <t>2022</t>
  </si>
  <si>
    <t>2023</t>
  </si>
  <si>
    <t>지출내용입력9</t>
  </si>
  <si>
    <t>4)호봉</t>
  </si>
  <si>
    <t>39년후</t>
  </si>
  <si>
    <t>2025</t>
  </si>
  <si>
    <t>2027</t>
  </si>
  <si>
    <t>2028</t>
  </si>
  <si>
    <t>지출내용입력2</t>
  </si>
  <si>
    <t>2036</t>
  </si>
  <si>
    <t>2043</t>
  </si>
  <si>
    <t>2040</t>
  </si>
  <si>
    <t>2060</t>
  </si>
  <si>
    <t>2041</t>
  </si>
  <si>
    <t>2042</t>
  </si>
  <si>
    <t>2035</t>
  </si>
  <si>
    <t>2055</t>
  </si>
  <si>
    <t>2039</t>
  </si>
  <si>
    <t>2030</t>
  </si>
  <si>
    <t>2037</t>
  </si>
  <si>
    <t>2032</t>
  </si>
  <si>
    <t>2052</t>
  </si>
  <si>
    <t>2045</t>
  </si>
  <si>
    <t>2051</t>
  </si>
  <si>
    <t>2053</t>
  </si>
  <si>
    <t>2054</t>
  </si>
  <si>
    <t>2044</t>
  </si>
  <si>
    <t>2057</t>
  </si>
  <si>
    <t>2049</t>
  </si>
  <si>
    <t>2058</t>
  </si>
  <si>
    <t>2047</t>
  </si>
  <si>
    <t>2059</t>
  </si>
  <si>
    <t>2038</t>
  </si>
  <si>
    <t>2067</t>
  </si>
  <si>
    <t>21년 이상</t>
  </si>
  <si>
    <t>2031</t>
  </si>
  <si>
    <t>2048</t>
  </si>
  <si>
    <t>2029</t>
  </si>
  <si>
    <t>2033</t>
  </si>
  <si>
    <t>2034</t>
  </si>
  <si>
    <t>2056</t>
  </si>
  <si>
    <t>2063</t>
  </si>
  <si>
    <t>6)재직년수</t>
  </si>
  <si>
    <t>2069</t>
  </si>
  <si>
    <t>정년 잔여년수</t>
  </si>
  <si>
    <t>2065</t>
  </si>
  <si>
    <t>보수월액</t>
  </si>
  <si>
    <t xml:space="preserve">오늘 :  </t>
  </si>
  <si>
    <t>2075</t>
  </si>
  <si>
    <t>2077</t>
  </si>
  <si>
    <t>1)생년월일</t>
  </si>
  <si>
    <t>2078</t>
  </si>
  <si>
    <t>2. 경력입력</t>
  </si>
  <si>
    <t>2076</t>
  </si>
  <si>
    <t>2070</t>
  </si>
  <si>
    <t>2064</t>
  </si>
  <si>
    <t>납부세액</t>
  </si>
  <si>
    <t>2079</t>
  </si>
  <si>
    <t>2062</t>
  </si>
  <si>
    <t>추가납부</t>
  </si>
  <si>
    <t>2074</t>
  </si>
  <si>
    <t>2068</t>
  </si>
  <si>
    <t>정년잔여 년수</t>
  </si>
  <si>
    <t>2071</t>
  </si>
  <si>
    <t>2072</t>
  </si>
  <si>
    <t>2020</t>
  </si>
  <si>
    <t>2061</t>
  </si>
  <si>
    <t>4)승급월은?</t>
  </si>
  <si>
    <t>2073</t>
  </si>
  <si>
    <t>2080</t>
  </si>
  <si>
    <t>5)호봉</t>
  </si>
  <si>
    <t>15년 미만</t>
  </si>
  <si>
    <t>2066</t>
  </si>
  <si>
    <t>퇴직년월</t>
  </si>
  <si>
    <t>기여최종</t>
  </si>
  <si>
    <t>2002이전</t>
  </si>
  <si>
    <t>증가율
숨기기</t>
  </si>
  <si>
    <t>지우지말것</t>
  </si>
  <si>
    <t>25호봉</t>
  </si>
  <si>
    <t>28호봉</t>
  </si>
  <si>
    <t>본인 금액</t>
  </si>
  <si>
    <t>~ 2015년</t>
  </si>
  <si>
    <t>기타공제1</t>
  </si>
  <si>
    <t>연금액
(b)</t>
  </si>
  <si>
    <t>경력구간</t>
  </si>
  <si>
    <t>이행률
(%)</t>
  </si>
  <si>
    <t>12호봉</t>
  </si>
  <si>
    <t>건강보험정산</t>
  </si>
  <si>
    <t>1년증가액</t>
  </si>
  <si>
    <t>과세대상</t>
  </si>
  <si>
    <t>기타공제2</t>
  </si>
  <si>
    <t>명절 달력</t>
  </si>
  <si>
    <t>나이(만)</t>
  </si>
  <si>
    <t>연금액
(a)</t>
  </si>
  <si>
    <t>년이상여부</t>
  </si>
  <si>
    <t>현가적용</t>
  </si>
  <si>
    <t>총개월수</t>
  </si>
  <si>
    <t>경력 보수월액</t>
  </si>
  <si>
    <t>상조회비</t>
  </si>
  <si>
    <t>과세소득</t>
  </si>
  <si>
    <t>2~3구간</t>
  </si>
  <si>
    <t>가상변수</t>
  </si>
  <si>
    <t>노인보험정산</t>
  </si>
  <si>
    <t>적용
비율</t>
  </si>
  <si>
    <t>30년초과분</t>
  </si>
  <si>
    <t>35호봉</t>
  </si>
  <si>
    <t>-식대보조비</t>
  </si>
  <si>
    <t>40호봉</t>
  </si>
  <si>
    <t>36호봉</t>
  </si>
  <si>
    <t>인적공제 인원</t>
  </si>
  <si>
    <t>교원호봉</t>
  </si>
  <si>
    <t>14호봉</t>
  </si>
  <si>
    <t>21호봉</t>
  </si>
  <si>
    <t>33호봉</t>
  </si>
  <si>
    <t>근가10</t>
  </si>
  <si>
    <t>20호봉</t>
  </si>
  <si>
    <t>31호봉</t>
  </si>
  <si>
    <t>37호봉</t>
  </si>
  <si>
    <t>15호봉</t>
  </si>
  <si>
    <t>17호봉</t>
  </si>
  <si>
    <t>24호봉</t>
  </si>
  <si>
    <t>11호봉</t>
  </si>
  <si>
    <t>27호봉</t>
  </si>
  <si>
    <t>22호봉</t>
  </si>
  <si>
    <t>30호봉</t>
  </si>
  <si>
    <t>16호봉</t>
  </si>
  <si>
    <t>10호봉</t>
  </si>
  <si>
    <t>13호봉</t>
  </si>
  <si>
    <t>29호봉</t>
  </si>
  <si>
    <t>18호봉</t>
  </si>
  <si>
    <t>26호봉</t>
  </si>
  <si>
    <t>19호봉</t>
  </si>
  <si>
    <t>32호봉</t>
  </si>
  <si>
    <t>34호봉</t>
  </si>
  <si>
    <t>23호봉</t>
  </si>
  <si>
    <t>신규교사 여부</t>
  </si>
  <si>
    <t>38호봉</t>
  </si>
  <si>
    <t xml:space="preserve">결론 : </t>
  </si>
  <si>
    <t>영양교사</t>
  </si>
  <si>
    <t>39호봉</t>
  </si>
  <si>
    <t>부장수당</t>
  </si>
  <si>
    <t>연말가정산</t>
  </si>
  <si>
    <t>9~13호봉</t>
  </si>
  <si>
    <t>기준소득액</t>
  </si>
  <si>
    <t>6)직책은?</t>
  </si>
  <si>
    <t>보건교사</t>
  </si>
  <si>
    <t>직책수당</t>
  </si>
  <si>
    <t>가족수당선택</t>
  </si>
  <si>
    <t>신규
이행률</t>
  </si>
  <si>
    <t>수당총액</t>
  </si>
  <si>
    <t>업무추진비</t>
  </si>
  <si>
    <t>소득세9명</t>
  </si>
  <si>
    <t>-시간외정액</t>
  </si>
  <si>
    <t>특수교사</t>
  </si>
  <si>
    <t>-연구비</t>
  </si>
  <si>
    <t>1~4호봉</t>
  </si>
  <si>
    <t>실과수당</t>
  </si>
  <si>
    <t>직접입력하세요</t>
  </si>
  <si>
    <t>-성과급</t>
  </si>
  <si>
    <t>실제납부액</t>
  </si>
  <si>
    <t>7)승급월은?</t>
  </si>
  <si>
    <t>상담교사</t>
  </si>
  <si>
    <t>5~8호봉</t>
  </si>
  <si>
    <t>-시간외초과</t>
  </si>
  <si>
    <t>해당없음</t>
  </si>
  <si>
    <t>물가지수</t>
  </si>
  <si>
    <t>+성과급평균액</t>
  </si>
  <si>
    <t>사서교사</t>
  </si>
  <si>
    <t>누적합계</t>
  </si>
  <si>
    <t>소득세1명</t>
  </si>
  <si>
    <t>교장성과급기준</t>
  </si>
  <si>
    <t>전체평균액</t>
  </si>
  <si>
    <t>지방소득세</t>
  </si>
  <si>
    <t>소득세11명</t>
  </si>
  <si>
    <t>장기요양보험료</t>
  </si>
  <si>
    <t>소득세정산</t>
  </si>
  <si>
    <t>소득세4명</t>
  </si>
  <si>
    <t>셀연결번호</t>
  </si>
  <si>
    <t>교감성과급기준</t>
  </si>
  <si>
    <t>명절휴가비</t>
  </si>
  <si>
    <t>5)성과급?</t>
  </si>
  <si>
    <t>소득세3명</t>
  </si>
  <si>
    <t>소득세10명</t>
  </si>
  <si>
    <t>담임수당</t>
  </si>
  <si>
    <t>공제액(B)</t>
  </si>
  <si>
    <t>소득세7명</t>
  </si>
  <si>
    <t>소득세징수율</t>
  </si>
  <si>
    <t>소득세8명</t>
  </si>
  <si>
    <t>정액급식비</t>
  </si>
  <si>
    <t>소득세5명</t>
  </si>
  <si>
    <t>증감액(f)</t>
  </si>
  <si>
    <t>소득세2명</t>
  </si>
  <si>
    <t>실수령액(C)</t>
  </si>
  <si>
    <t>증감액(e)</t>
  </si>
  <si>
    <t>증감액(d)</t>
  </si>
  <si>
    <t>보전및직책수당</t>
  </si>
  <si>
    <t>관련없음</t>
  </si>
  <si>
    <t>소득세6명</t>
  </si>
  <si>
    <t>보전및잭책수당</t>
  </si>
  <si>
    <t>기본급총액</t>
  </si>
  <si>
    <t>8)정근</t>
  </si>
  <si>
    <t>평균보수인상률</t>
  </si>
  <si>
    <t>9)교원연구비</t>
  </si>
  <si>
    <t>Y,6월발령(무급복직)</t>
  </si>
  <si>
    <t>연말정산 소득세 추정액란</t>
  </si>
  <si>
    <t xml:space="preserve">교감선생님께 1년전인 </t>
  </si>
  <si>
    <t>기준소득조정비율 --&gt;</t>
  </si>
  <si>
    <t>Y,9월발령(무급복직)</t>
  </si>
  <si>
    <t>선생님이 만55세가 되는 해</t>
  </si>
  <si>
    <t>교육경력의 30년이 되는 해</t>
  </si>
  <si>
    <t>Y,8월발령(무급복직)</t>
  </si>
  <si>
    <t>전년도기준15호봉기본급액</t>
  </si>
  <si>
    <t>Y,10월발령(무급복직)</t>
  </si>
  <si>
    <t>Y,1월발령(무급복직)</t>
  </si>
  <si>
    <t>Y,5월발령(무급복직)</t>
  </si>
  <si>
    <t>전체공무원
3년평균
기준소득</t>
  </si>
  <si>
    <t>3기간(2016.1.1~)</t>
  </si>
  <si>
    <t>기여금을  납부해야할 년수</t>
  </si>
  <si>
    <t>명퇴잔여 년수.개월 상수</t>
  </si>
  <si>
    <t>2002이전
납부개월수</t>
  </si>
  <si>
    <t>기여여금 납일할 총년수</t>
  </si>
  <si>
    <t>17년 이상 21년 미만</t>
  </si>
  <si>
    <t>15년 이상 17년 미만</t>
  </si>
  <si>
    <t>년 더 납부하셔야 합니다.</t>
  </si>
  <si>
    <t>기여금 더 납입해야 할 년수</t>
  </si>
  <si>
    <t>정년 잔여 년수 환산식</t>
  </si>
  <si>
    <t>공무원3년평균기준소득월액</t>
  </si>
  <si>
    <t>* 공무원연금 예상액 *</t>
  </si>
  <si>
    <t>실제 명퇴 날짜 입력하시오</t>
  </si>
  <si>
    <t>2015년 12월 31일기준</t>
  </si>
  <si>
    <t>Y,3월발령(무급복직)</t>
  </si>
  <si>
    <t>전년도기준30호봉기본급액</t>
  </si>
  <si>
    <t>교육경력 30년 되는 해는?</t>
  </si>
  <si>
    <t>전년도기준35호봉기본급액</t>
  </si>
  <si>
    <t>전년도기준26호봉기본급액</t>
  </si>
  <si>
    <t>Y,2월발령(무급복직)</t>
  </si>
  <si>
    <t>Y,11월발령(무급복직)</t>
  </si>
  <si>
    <t>Y,4월발령(무급복직)</t>
  </si>
  <si>
    <t>Y,7월발령(무급복직)</t>
  </si>
  <si>
    <t>Y,12월발령(무급복직)</t>
  </si>
  <si>
    <r>
      <rPr>
        <sz val="8"/>
        <color rgb="FFFF0000"/>
        <rFont val="맑은 고딕"/>
        <family val="3"/>
        <charset val="129"/>
      </rPr>
      <t>셋째</t>
    </r>
    <r>
      <rPr>
        <sz val="8"/>
        <color rgb="FFFF0000"/>
        <rFont val="Arial"/>
        <family val="2"/>
      </rPr>
      <t xml:space="preserve">, </t>
    </r>
    <r>
      <rPr>
        <sz val="8"/>
        <color rgb="FFFF0000"/>
        <rFont val="맑은 고딕"/>
        <family val="3"/>
        <charset val="129"/>
      </rPr>
      <t>모니터에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맞게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적절히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확대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및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축소를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합니다</t>
    </r>
    <r>
      <rPr>
        <sz val="8"/>
        <color rgb="FFFF0000"/>
        <rFont val="Arial"/>
        <family val="2"/>
      </rPr>
      <t>.</t>
    </r>
  </si>
  <si>
    <t>작성한 후에는 앞쪽 시트에 있는 총괄표등을 확인해 본다.</t>
  </si>
  <si>
    <t xml:space="preserve">3) 자신의 호봉을 1월 1일 기준으로 선택한다. </t>
  </si>
  <si>
    <r>
      <t>1기간</t>
    </r>
    <r>
      <rPr>
        <sz val="8"/>
        <color rgb="FFFF0000"/>
        <rFont val="맑은 고딕"/>
        <family val="3"/>
        <charset val="129"/>
      </rPr>
      <t>(연금란 금액)</t>
    </r>
  </si>
  <si>
    <r>
      <t xml:space="preserve">3. 적용보수 입력 </t>
    </r>
    <r>
      <rPr>
        <sz val="8"/>
        <color rgb="FFFF0000"/>
        <rFont val="맑은 고딕"/>
        <family val="3"/>
        <charset val="129"/>
      </rPr>
      <t>(공단의 내연금보기 - 예상퇴직금 바로가기-적용보수)</t>
    </r>
  </si>
  <si>
    <t>2010.1.1 ~ 기여금 납입 면제 구간까지 (2,3기간) 연금 계산</t>
  </si>
  <si>
    <t>~2001.1.31까지 기여금으로 
납부한 개월수를 입력하시오--&gt;</t>
  </si>
  <si>
    <t>위 연금을 현재가치로 환산하면
(금리 1.5% 반영시 현재가치)---&gt;</t>
  </si>
  <si>
    <r>
      <rPr>
        <b/>
        <sz val="18"/>
        <color rgb="FF000000"/>
        <rFont val="HY신명조"/>
        <family val="1"/>
        <charset val="129"/>
      </rPr>
      <t>2015년 근로소득에 대한 간이세액표</t>
    </r>
    <r>
      <rPr>
        <sz val="12"/>
        <color rgb="FF000000"/>
        <rFont val="HY신명조"/>
        <family val="1"/>
        <charset val="129"/>
      </rPr>
      <t>(소득세법시행령 제189조 관련)</t>
    </r>
  </si>
  <si>
    <t>순수 월평균증가액</t>
  </si>
  <si>
    <t>대표적 수당 집계표</t>
  </si>
  <si>
    <t>55세 되는 해</t>
  </si>
  <si>
    <t>원로수당 지급월</t>
  </si>
  <si>
    <t>현재가치 
환산액</t>
  </si>
  <si>
    <t>+연가보상평균액</t>
  </si>
  <si>
    <t>연말 가정산 미리보기</t>
  </si>
  <si>
    <t>시트부터 작성하시오.</t>
  </si>
  <si>
    <t>총액(연봉)(A)</t>
  </si>
  <si>
    <t>소득세 공제 인원</t>
  </si>
  <si>
    <t>+시간외 평균액</t>
  </si>
  <si>
    <t>원로수당 지급일은</t>
  </si>
  <si>
    <t>22호봉~30호봉</t>
  </si>
  <si>
    <t>2)신규(y,n)?</t>
  </si>
  <si>
    <t>16)소득세징수율</t>
  </si>
  <si>
    <t>신규(무급복직)아님</t>
  </si>
  <si>
    <t>6번복사해 올것</t>
  </si>
  <si>
    <t>12)지출내용입력1</t>
  </si>
  <si>
    <t>설명동영상 보기</t>
  </si>
  <si>
    <t>평균기준
소득월액</t>
  </si>
  <si>
    <t>기간제교사성과급기준</t>
  </si>
  <si>
    <t>기준소득
대비비율</t>
  </si>
  <si>
    <r>
      <rPr>
        <b/>
        <sz val="10"/>
        <color rgb="FFFF0000"/>
        <rFont val="맑은 고딕"/>
        <family val="3"/>
        <charset val="129"/>
      </rPr>
      <t>☜</t>
    </r>
    <r>
      <rPr>
        <b/>
        <sz val="8"/>
        <color rgb="FFFF0000"/>
        <rFont val="맑은 고딕"/>
        <family val="3"/>
        <charset val="129"/>
      </rPr>
      <t>1~2월 확인</t>
    </r>
  </si>
  <si>
    <r>
      <rPr>
        <sz val="8"/>
        <color rgb="FFFF0000"/>
        <rFont val="맑은 고딕"/>
        <family val="3"/>
        <charset val="129"/>
      </rPr>
      <t>넷째</t>
    </r>
    <r>
      <rPr>
        <sz val="8"/>
        <color rgb="FFFF0000"/>
        <rFont val="Arial"/>
        <family val="2"/>
      </rPr>
      <t xml:space="preserve">, </t>
    </r>
    <r>
      <rPr>
        <sz val="8"/>
        <color rgb="FFFF0000"/>
        <rFont val="맑은 고딕"/>
        <family val="3"/>
        <charset val="129"/>
      </rPr>
      <t>저장합니다</t>
    </r>
    <r>
      <rPr>
        <sz val="8"/>
        <color rgb="FFFF0000"/>
        <rFont val="Arial"/>
        <family val="2"/>
      </rPr>
      <t>.</t>
    </r>
  </si>
  <si>
    <t>14호봉~21호봉</t>
  </si>
  <si>
    <t>31호봉~40호봉</t>
  </si>
  <si>
    <t>1. 2001.1.31까지 기여금 납부 개월수는 ?</t>
  </si>
  <si>
    <t>1) 본인이 생년월일을 입력하고 정년 퇴직일을 확인한다.</t>
  </si>
  <si>
    <r>
      <t>2기간~3기간</t>
    </r>
    <r>
      <rPr>
        <sz val="8"/>
        <color rgb="FFFF0000"/>
        <rFont val="맑은 고딕"/>
        <family val="3"/>
        <charset val="129"/>
      </rPr>
      <t>(개인평균기준소득월액)</t>
    </r>
  </si>
  <si>
    <t>☞ 2021 시트부터 작성하시오.</t>
  </si>
  <si>
    <t>4. 연금 수령액(소득세 공제후)</t>
  </si>
  <si>
    <t>경력 및 호봉은 3/1기준임.</t>
  </si>
  <si>
    <t>이전년7월~12월까지 근무개월수</t>
  </si>
  <si>
    <t>2010.1.1 이후(2~3기간)</t>
  </si>
  <si>
    <t>2)기본급인상률 입력 ---&gt;</t>
  </si>
  <si>
    <t>3)기본급인상률 입력 ---&gt;</t>
  </si>
  <si>
    <t xml:space="preserve"> 공무원연금 예상 수령액 계산표</t>
  </si>
  <si>
    <t>1기간(발령~2009.12.31)</t>
  </si>
  <si>
    <t>경력별 기본급 대 수당의 비율</t>
  </si>
  <si>
    <t>* 주의 : 노란색 셀값만 입력</t>
  </si>
  <si>
    <t>년도별 월별 지출액 분석 총괄표</t>
  </si>
  <si>
    <t>2009.12.31까지 (1기간)</t>
  </si>
  <si>
    <t>년도별 월별 실수령액 분석 총괄표</t>
  </si>
  <si>
    <r>
      <t xml:space="preserve">급여 명세서 </t>
    </r>
    <r>
      <rPr>
        <sz val="5"/>
        <color rgb="FFFF0000"/>
        <rFont val="HY견고딕"/>
        <family val="1"/>
        <charset val="129"/>
      </rPr>
      <t>(무단복제 및 배포금지)</t>
    </r>
  </si>
  <si>
    <t>15년</t>
  </si>
  <si>
    <t>10년</t>
  </si>
  <si>
    <t>4년</t>
  </si>
  <si>
    <t>2년</t>
  </si>
  <si>
    <t>13년</t>
  </si>
  <si>
    <t>17년</t>
  </si>
  <si>
    <t>기여금</t>
  </si>
  <si>
    <t>28년</t>
  </si>
  <si>
    <t>39년</t>
  </si>
  <si>
    <t>37년</t>
  </si>
  <si>
    <t>호봉</t>
  </si>
  <si>
    <t>6년</t>
  </si>
  <si>
    <t>18년</t>
  </si>
  <si>
    <t>성과급</t>
  </si>
  <si>
    <t>9년</t>
  </si>
  <si>
    <t>14년</t>
  </si>
  <si>
    <t>27년</t>
  </si>
  <si>
    <t>21년</t>
  </si>
  <si>
    <t>3년</t>
  </si>
  <si>
    <t>금액</t>
  </si>
  <si>
    <t>7년</t>
  </si>
  <si>
    <t>단가</t>
  </si>
  <si>
    <t>11년</t>
  </si>
  <si>
    <t>12년</t>
  </si>
  <si>
    <t>8년</t>
  </si>
  <si>
    <t>기본급</t>
  </si>
  <si>
    <t>16년</t>
  </si>
  <si>
    <t>20년</t>
  </si>
  <si>
    <t>26년</t>
  </si>
  <si>
    <t>Y</t>
  </si>
  <si>
    <t>19년</t>
  </si>
  <si>
    <t>31년</t>
  </si>
  <si>
    <t>N</t>
  </si>
  <si>
    <t>승급월</t>
  </si>
  <si>
    <t>25년</t>
  </si>
  <si>
    <t>경력</t>
  </si>
  <si>
    <t>36년</t>
  </si>
  <si>
    <t>40년</t>
  </si>
  <si>
    <t>일</t>
  </si>
  <si>
    <t>명절</t>
  </si>
  <si>
    <t>월급여</t>
  </si>
  <si>
    <t>38년</t>
  </si>
  <si>
    <t>설날</t>
  </si>
  <si>
    <t>미만</t>
  </si>
  <si>
    <t>9년후</t>
  </si>
  <si>
    <t>35년</t>
  </si>
  <si>
    <t>급식비</t>
  </si>
  <si>
    <t>5년후</t>
  </si>
  <si>
    <t>24년</t>
  </si>
  <si>
    <t>8년후</t>
  </si>
  <si>
    <t>총계</t>
  </si>
  <si>
    <t>30년</t>
  </si>
  <si>
    <t>29년</t>
  </si>
  <si>
    <t>23년</t>
  </si>
  <si>
    <t>22년</t>
  </si>
  <si>
    <t>33년</t>
  </si>
  <si>
    <t>32년</t>
  </si>
  <si>
    <t>이상</t>
  </si>
  <si>
    <t>34년</t>
  </si>
  <si>
    <t>최저값</t>
  </si>
  <si>
    <t>변수B</t>
  </si>
  <si>
    <t>일시금</t>
  </si>
  <si>
    <t>총</t>
  </si>
  <si>
    <t>참고</t>
  </si>
  <si>
    <t>5년</t>
  </si>
  <si>
    <t>2년후</t>
  </si>
  <si>
    <t>4년후</t>
  </si>
  <si>
    <t>해당無</t>
  </si>
  <si>
    <t>6년후</t>
  </si>
  <si>
    <t>소득세</t>
  </si>
  <si>
    <t>1년</t>
  </si>
  <si>
    <t>년도</t>
  </si>
  <si>
    <t>a</t>
  </si>
  <si>
    <t>년</t>
  </si>
  <si>
    <t>B</t>
  </si>
  <si>
    <t>NO</t>
  </si>
  <si>
    <t>3년후</t>
  </si>
  <si>
    <t>s</t>
  </si>
  <si>
    <t>0년</t>
  </si>
  <si>
    <t>추석</t>
  </si>
  <si>
    <t>7년후</t>
  </si>
  <si>
    <t>합계</t>
  </si>
  <si>
    <t>잔액</t>
  </si>
  <si>
    <t>내역</t>
  </si>
  <si>
    <t>인상률</t>
  </si>
  <si>
    <t>월수</t>
  </si>
  <si>
    <t>b</t>
  </si>
  <si>
    <t>1년후</t>
  </si>
  <si>
    <t>11월</t>
  </si>
  <si>
    <t>공제액</t>
  </si>
  <si>
    <t>3월</t>
  </si>
  <si>
    <t>1월</t>
  </si>
  <si>
    <t>5월</t>
  </si>
  <si>
    <t>9월</t>
  </si>
  <si>
    <t>월</t>
  </si>
  <si>
    <t>2월</t>
  </si>
  <si>
    <t>12월</t>
  </si>
  <si>
    <t>4월</t>
  </si>
  <si>
    <t>주민세</t>
  </si>
  <si>
    <t>7월</t>
  </si>
  <si>
    <t>나이</t>
  </si>
  <si>
    <t>6월</t>
  </si>
  <si>
    <t>기간제</t>
  </si>
  <si>
    <t>근가9</t>
  </si>
  <si>
    <t>지급월</t>
  </si>
  <si>
    <t>8월</t>
  </si>
  <si>
    <t>S</t>
  </si>
  <si>
    <t>근가4</t>
  </si>
  <si>
    <t>교장</t>
  </si>
  <si>
    <t>근가3</t>
  </si>
  <si>
    <t>정액분</t>
  </si>
  <si>
    <t>증가액</t>
  </si>
  <si>
    <t>증가율</t>
  </si>
  <si>
    <t>총경력</t>
  </si>
  <si>
    <t>변수A</t>
  </si>
  <si>
    <t>년수</t>
  </si>
  <si>
    <t>근가6</t>
  </si>
  <si>
    <t>차액</t>
  </si>
  <si>
    <t>구간</t>
  </si>
  <si>
    <t>개월</t>
  </si>
  <si>
    <t>증감액</t>
  </si>
  <si>
    <t>A</t>
  </si>
  <si>
    <t>10월</t>
  </si>
  <si>
    <t>al</t>
  </si>
  <si>
    <t>8호봉</t>
  </si>
  <si>
    <t>근가2</t>
  </si>
  <si>
    <t>담임</t>
  </si>
  <si>
    <t>부장</t>
  </si>
  <si>
    <t>정교사</t>
  </si>
  <si>
    <t>ao</t>
  </si>
  <si>
    <t>無</t>
  </si>
  <si>
    <t>종류</t>
  </si>
  <si>
    <t>u</t>
  </si>
  <si>
    <t>비부장</t>
  </si>
  <si>
    <t>근가1</t>
  </si>
  <si>
    <t>분류</t>
  </si>
  <si>
    <t>근가5</t>
  </si>
  <si>
    <t>근가7</t>
  </si>
  <si>
    <t>i</t>
  </si>
  <si>
    <t>근가8</t>
  </si>
  <si>
    <t>비담임</t>
  </si>
  <si>
    <t>연금액</t>
  </si>
  <si>
    <t>f</t>
  </si>
  <si>
    <t>h</t>
  </si>
  <si>
    <t>g</t>
  </si>
  <si>
    <t>교감</t>
  </si>
  <si>
    <t>q</t>
  </si>
  <si>
    <t>e</t>
  </si>
  <si>
    <t>☞</t>
  </si>
  <si>
    <t>ak</t>
  </si>
  <si>
    <t>j</t>
  </si>
  <si>
    <t>ap</t>
  </si>
  <si>
    <t>9호봉</t>
  </si>
  <si>
    <t>aq</t>
  </si>
  <si>
    <t>ae</t>
  </si>
  <si>
    <t>t</t>
  </si>
  <si>
    <t>ar</t>
  </si>
  <si>
    <t>2개월</t>
  </si>
  <si>
    <t>ai</t>
  </si>
  <si>
    <t>지급율</t>
  </si>
  <si>
    <t>aj</t>
  </si>
  <si>
    <t>ac</t>
  </si>
  <si>
    <t>n</t>
  </si>
  <si>
    <t>ab</t>
  </si>
  <si>
    <t>p</t>
  </si>
  <si>
    <t>an</t>
  </si>
  <si>
    <t>aa</t>
  </si>
  <si>
    <t>o</t>
  </si>
  <si>
    <t>x</t>
  </si>
  <si>
    <t>v</t>
  </si>
  <si>
    <t>ah</t>
  </si>
  <si>
    <t>w</t>
  </si>
  <si>
    <t>m</t>
  </si>
  <si>
    <t>av</t>
  </si>
  <si>
    <t>ad</t>
  </si>
  <si>
    <t>k</t>
  </si>
  <si>
    <t>l</t>
  </si>
  <si>
    <t>af</t>
  </si>
  <si>
    <t>am</t>
  </si>
  <si>
    <t>r</t>
  </si>
  <si>
    <t>y</t>
  </si>
  <si>
    <t>z</t>
  </si>
  <si>
    <t>ag</t>
  </si>
  <si>
    <t>aw</t>
  </si>
  <si>
    <t>as</t>
  </si>
  <si>
    <t>봉급표</t>
  </si>
  <si>
    <t>az</t>
  </si>
  <si>
    <t>3개월</t>
  </si>
  <si>
    <t>5개월</t>
  </si>
  <si>
    <t>6개월</t>
  </si>
  <si>
    <t>at</t>
  </si>
  <si>
    <t>없음</t>
  </si>
  <si>
    <t/>
  </si>
  <si>
    <t>1개월</t>
  </si>
  <si>
    <t>ax</t>
  </si>
  <si>
    <t>12행</t>
  </si>
  <si>
    <t>ay</t>
  </si>
  <si>
    <t>23행</t>
  </si>
  <si>
    <t>au</t>
  </si>
  <si>
    <t>]</t>
  </si>
  <si>
    <t>비율</t>
  </si>
  <si>
    <t>교사</t>
  </si>
  <si>
    <t>32행</t>
  </si>
  <si>
    <t>27행</t>
  </si>
  <si>
    <t>4개월</t>
  </si>
  <si>
    <t>14,000천원 초과</t>
  </si>
  <si>
    <t>공무원봉급인상률</t>
  </si>
  <si>
    <t>전년도공무원인상률</t>
  </si>
  <si>
    <t>10,000천원 초과</t>
  </si>
  <si>
    <t>공제대상가족의 수</t>
  </si>
  <si>
    <t>14,000천원 이하</t>
  </si>
  <si>
    <t>총수령액(연봉)</t>
  </si>
  <si>
    <t>지출내용입력10</t>
  </si>
  <si>
    <t>1)공무원봉급인상률</t>
  </si>
  <si>
    <t>호봉
(1/1기준)</t>
  </si>
  <si>
    <t>2기간(2010.1.1~2015.12.31) 기여금납입</t>
  </si>
  <si>
    <t>3기간(2016.1.1~자료입력날짜 까지만) 기여금 납입</t>
  </si>
  <si>
    <t>2. 2002.1.1 ~ 최종납입시까지</t>
  </si>
  <si>
    <t>직책(담임,부장,교감,교장)수당 총괄표</t>
  </si>
  <si>
    <t>3. 선생님의 총 납부하셔야 할 개월수는?</t>
  </si>
  <si>
    <r>
      <rPr>
        <sz val="8"/>
        <color rgb="FFFF0000"/>
        <rFont val="맑은 고딕"/>
        <family val="3"/>
        <charset val="129"/>
      </rPr>
      <t>다섯째</t>
    </r>
    <r>
      <rPr>
        <sz val="8"/>
        <color rgb="FFFF0000"/>
        <rFont val="Arial"/>
        <family val="2"/>
      </rPr>
      <t xml:space="preserve">, </t>
    </r>
    <r>
      <rPr>
        <sz val="8"/>
        <color rgb="FFFF0000"/>
        <rFont val="맑은 고딕"/>
        <family val="3"/>
        <charset val="129"/>
      </rPr>
      <t>엑셀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프로그램을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종료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합니다</t>
    </r>
    <r>
      <rPr>
        <sz val="8"/>
        <color rgb="FFFF0000"/>
        <rFont val="Arial"/>
        <family val="2"/>
      </rPr>
      <t>.</t>
    </r>
  </si>
  <si>
    <t>자신의 평생 봉급 수령액 및 지출액 총괄표</t>
  </si>
  <si>
    <t>기여금(퇴직급여 재직기간) 납입 구간</t>
  </si>
  <si>
    <r>
      <t xml:space="preserve">월급여액(천원)
</t>
    </r>
    <r>
      <rPr>
        <sz val="9"/>
        <color rgb="FF000000"/>
        <rFont val="HY신명조"/>
        <family val="1"/>
        <charset val="129"/>
      </rPr>
      <t>[비과세 및 학자금 제외］</t>
    </r>
  </si>
  <si>
    <r>
      <t xml:space="preserve">급여 명세서 </t>
    </r>
    <r>
      <rPr>
        <sz val="7"/>
        <color rgb="FFFF0000"/>
        <rFont val="HY견고딕"/>
        <family val="1"/>
        <charset val="129"/>
      </rPr>
      <t>(무단복제 및 배포금지)</t>
    </r>
  </si>
  <si>
    <t>공무원연금 및 명퇴금 조회 프로그램(교원용)</t>
  </si>
  <si>
    <t>* 아래 자료가 입력(작성)된 시점의 날짜는?</t>
  </si>
  <si>
    <t>4) 재직년수을 1월 1일 기준으로 선택한다.</t>
  </si>
  <si>
    <t>교사 퇴직때까지 받게 되는 연봉표 및 실수령액표</t>
  </si>
  <si>
    <t>2016이후 소득
재분배 반영
평균기준 소득월액</t>
  </si>
  <si>
    <t>2기간(2010.1.1~2015.12.31)</t>
  </si>
  <si>
    <r>
      <rPr>
        <sz val="8"/>
        <color rgb="FFFF0000"/>
        <rFont val="맑은 고딕"/>
        <family val="3"/>
        <charset val="129"/>
      </rPr>
      <t>첫째</t>
    </r>
    <r>
      <rPr>
        <sz val="8"/>
        <color rgb="FFFF0000"/>
        <rFont val="Arial"/>
        <family val="2"/>
      </rPr>
      <t>, 2021</t>
    </r>
    <r>
      <rPr>
        <sz val="8"/>
        <color rgb="FFFF0000"/>
        <rFont val="맑은 고딕"/>
        <family val="3"/>
        <charset val="129"/>
      </rPr>
      <t>년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시트를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마우스로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클릭합니다</t>
    </r>
    <r>
      <rPr>
        <sz val="8"/>
        <color rgb="FFFF0000"/>
        <rFont val="Arial"/>
        <family val="2"/>
      </rPr>
      <t>.</t>
    </r>
  </si>
  <si>
    <t>1기간(발령~2009.12.31) 기여금납입</t>
  </si>
  <si>
    <r>
      <t xml:space="preserve">1호봉 증가시 실수령 순증가표   </t>
    </r>
    <r>
      <rPr>
        <b/>
        <sz val="8"/>
        <color rgb="FF0000FF"/>
        <rFont val="맑은 고딕"/>
        <family val="3"/>
        <charset val="129"/>
      </rPr>
      <t>(매년 봉급인상률 2% 가정)</t>
    </r>
    <r>
      <rPr>
        <b/>
        <sz val="10"/>
        <color rgb="FF0000FF"/>
        <rFont val="맑은 고딕"/>
        <family val="3"/>
        <charset val="129"/>
      </rPr>
      <t xml:space="preserve">  </t>
    </r>
  </si>
  <si>
    <t>수정해도 반영 안됨</t>
    <phoneticPr fontId="167" type="noConversion"/>
  </si>
  <si>
    <t>참고자료</t>
    <phoneticPr fontId="167" type="noConversion"/>
  </si>
  <si>
    <t>◐ 프로그램 사용법 ◑</t>
    <phoneticPr fontId="167" type="noConversion"/>
  </si>
  <si>
    <t>정근가산</t>
    <phoneticPr fontId="16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</si>
</sst>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0">
    <numFmt numFmtId="41" formatCode="_(* #,##0_);_(* \(#,##0\);_(* &quot;-&quot;_);_(@_)"/>
    <numFmt numFmtId="24" formatCode="\$#,##0_);[Red]\(\$#,##0\)"/>
    <numFmt numFmtId="176" formatCode="_-* #,##0_-;\-* #,##0_-;_-* &quot;-&quot;_-;_-@_-"/>
    <numFmt numFmtId="177" formatCode="#,##0_ "/>
    <numFmt numFmtId="178" formatCode="0.0%"/>
    <numFmt numFmtId="179" formatCode="General&quot;호봉&quot;"/>
    <numFmt numFmtId="180" formatCode="General&quot;월&quot;"/>
    <numFmt numFmtId="181" formatCode="General&quot;년&quot;"/>
    <numFmt numFmtId="182" formatCode="General&quot;일&quot;"/>
    <numFmt numFmtId="183" formatCode="General&quot;시간&quot;"/>
    <numFmt numFmtId="184" formatCode="General&quot;일 이상&quot;"/>
    <numFmt numFmtId="185" formatCode="General&quot;명&quot;"/>
    <numFmt numFmtId="186" formatCode="0_);[Red]\(0\)"/>
    <numFmt numFmtId="187" formatCode="General&quot;등급&quot;"/>
    <numFmt numFmtId="188" formatCode="[Red][&gt;1]#,##0;General"/>
    <numFmt numFmtId="189" formatCode="0.000%"/>
    <numFmt numFmtId="190" formatCode="0_ "/>
    <numFmt numFmtId="191" formatCode="yyyy\/mm\/dd\ &quot;이나&quot;"/>
    <numFmt numFmtId="192" formatCode="0.00_ "/>
    <numFmt numFmtId="193" formatCode="#,##0.0_ "/>
    <numFmt numFmtId="194" formatCode="#,##0.00_ "/>
    <numFmt numFmtId="195" formatCode="0.00_);[Red]\(0.00\)"/>
    <numFmt numFmtId="196" formatCode="&quot;퇴직일&quot;\ yyyy&quot;/&quot;m&quot;/&quot;d;@"/>
    <numFmt numFmtId="197" formatCode="&quot;총액:&quot;#,##0_);[Red]\(#,##0\)"/>
    <numFmt numFmtId="198" formatCode="yyyy&quot;/&quot;m&quot;/&quot;d;@"/>
    <numFmt numFmtId="199" formatCode="yyyy\/mm"/>
    <numFmt numFmtId="200" formatCode="General&quot;개월&quot;"/>
    <numFmt numFmtId="201" formatCode="yyyy&quot;-&quot;m&quot;-&quot;d;@"/>
    <numFmt numFmtId="202" formatCode="#,##0.0_);[Red]\(#,##0.0\)"/>
    <numFmt numFmtId="203" formatCode="yyyy&quot;년&quot;\ m&quot;월&quot;;@"/>
    <numFmt numFmtId="204" formatCode="0.0000%"/>
    <numFmt numFmtId="205" formatCode="0.000_);[Red]\(0.000\)"/>
    <numFmt numFmtId="206" formatCode="#,##0.00000_);[Red]\(#,##0.00000\)"/>
    <numFmt numFmtId="207" formatCode="General&quot;월 부터 입니다. 봉급명세서 확인요망&quot;"/>
    <numFmt numFmtId="208" formatCode="#,##0_ ;[Red]\-#,##0\ "/>
    <numFmt numFmtId="209" formatCode="[Red]#,##0;[Blue]\-#,##0"/>
    <numFmt numFmtId="210" formatCode="General&quot;년 시트에서&quot;"/>
    <numFmt numFmtId="211" formatCode="yyyy\/mm\/dd;@"/>
    <numFmt numFmtId="212" formatCode="General&quot;월에 신청바랍니다.&quot;"/>
    <numFmt numFmtId="213" formatCode="0.000_ "/>
  </numFmts>
  <fonts count="172">
    <font>
      <sz val="11"/>
      <color rgb="FF000000"/>
      <name val="맑은 고딕"/>
    </font>
    <font>
      <sz val="11"/>
      <color rgb="FF000000"/>
      <name val="돋움"/>
      <family val="3"/>
      <charset val="129"/>
    </font>
    <font>
      <u/>
      <sz val="11"/>
      <color rgb="FF0563C1"/>
      <name val="맑은 고딕"/>
      <family val="3"/>
      <charset val="129"/>
    </font>
    <font>
      <sz val="8"/>
      <color rgb="FF000000"/>
      <name val="굴림체"/>
      <family val="3"/>
      <charset val="129"/>
    </font>
    <font>
      <b/>
      <sz val="8"/>
      <color rgb="FF0000FF"/>
      <name val="굴림체"/>
      <family val="3"/>
      <charset val="129"/>
    </font>
    <font>
      <sz val="10"/>
      <color rgb="FF000000"/>
      <name val="맑은 고딕"/>
      <family val="3"/>
      <charset val="129"/>
    </font>
    <font>
      <sz val="10"/>
      <color rgb="FF000000"/>
      <name val="HY신명조"/>
      <family val="1"/>
      <charset val="129"/>
    </font>
    <font>
      <sz val="10"/>
      <color rgb="FF000000"/>
      <name val="한양신명조"/>
      <family val="3"/>
      <charset val="129"/>
    </font>
    <font>
      <sz val="9"/>
      <color rgb="FF000000"/>
      <name val="맑은 고딕"/>
      <family val="3"/>
      <charset val="129"/>
    </font>
    <font>
      <b/>
      <sz val="8"/>
      <color rgb="FFC55A11"/>
      <name val="굴림체"/>
      <family val="3"/>
      <charset val="129"/>
    </font>
    <font>
      <b/>
      <sz val="8"/>
      <color rgb="FFFF0000"/>
      <name val="굴림체"/>
      <family val="3"/>
      <charset val="129"/>
    </font>
    <font>
      <sz val="11"/>
      <color rgb="FFFF0000"/>
      <name val="맑은 고딕"/>
      <family val="3"/>
      <charset val="129"/>
    </font>
    <font>
      <b/>
      <sz val="8"/>
      <color rgb="FF000000"/>
      <name val="굴림체"/>
      <family val="3"/>
      <charset val="129"/>
    </font>
    <font>
      <b/>
      <sz val="8"/>
      <color rgb="FFFF0000"/>
      <name val="돋움체"/>
      <family val="3"/>
      <charset val="129"/>
    </font>
    <font>
      <b/>
      <sz val="12"/>
      <color rgb="FF000000"/>
      <name val="돋움체"/>
      <family val="3"/>
      <charset val="129"/>
    </font>
    <font>
      <b/>
      <sz val="11"/>
      <color rgb="FF000000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b/>
      <sz val="5"/>
      <color rgb="FF0000FF"/>
      <name val="맑은 고딕"/>
      <family val="3"/>
      <charset val="129"/>
    </font>
    <font>
      <b/>
      <sz val="12"/>
      <color rgb="FFFF0000"/>
      <name val="돋움체"/>
      <family val="3"/>
      <charset val="129"/>
    </font>
    <font>
      <sz val="10"/>
      <color rgb="FFFF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5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8"/>
      <color rgb="FFFF00FF"/>
      <name val="맑은 고딕"/>
      <family val="3"/>
      <charset val="129"/>
    </font>
    <font>
      <sz val="11"/>
      <color rgb="FF0000FF"/>
      <name val="Tahoma"/>
      <family val="2"/>
    </font>
    <font>
      <sz val="11"/>
      <color rgb="FF0000FF"/>
      <name val="맑은 고딕"/>
      <family val="3"/>
      <charset val="129"/>
    </font>
    <font>
      <sz val="8"/>
      <color rgb="FFFF0000"/>
      <name val="맑은 고딕"/>
      <family val="3"/>
      <charset val="129"/>
    </font>
    <font>
      <b/>
      <sz val="8"/>
      <color rgb="FFFF0000"/>
      <name val="맑은 고딕"/>
      <family val="3"/>
      <charset val="129"/>
    </font>
    <font>
      <sz val="12"/>
      <color rgb="FF000000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8"/>
      <color rgb="FFC00000"/>
      <name val="맑은 고딕"/>
      <family val="3"/>
      <charset val="129"/>
    </font>
    <font>
      <b/>
      <sz val="8"/>
      <color rgb="FFFF00FF"/>
      <name val="맑은 고딕"/>
      <family val="3"/>
      <charset val="129"/>
    </font>
    <font>
      <b/>
      <sz val="7"/>
      <color rgb="FFFF0000"/>
      <name val="맑은 고딕"/>
      <family val="3"/>
      <charset val="129"/>
    </font>
    <font>
      <b/>
      <sz val="7"/>
      <color rgb="FFC00000"/>
      <name val="맑은 고딕"/>
      <family val="3"/>
      <charset val="129"/>
    </font>
    <font>
      <b/>
      <sz val="7"/>
      <color rgb="FF0000FF"/>
      <name val="맑은 고딕"/>
      <family val="3"/>
      <charset val="129"/>
    </font>
    <font>
      <b/>
      <sz val="7"/>
      <color rgb="FF000000"/>
      <name val="맑은 고딕"/>
      <family val="3"/>
      <charset val="129"/>
    </font>
    <font>
      <sz val="7"/>
      <color rgb="FFCC00CC"/>
      <name val="HY견고딕"/>
      <family val="1"/>
      <charset val="129"/>
    </font>
    <font>
      <b/>
      <sz val="7"/>
      <color rgb="FFFF00FF"/>
      <name val="맑은 고딕"/>
      <family val="3"/>
      <charset val="129"/>
    </font>
    <font>
      <sz val="7"/>
      <color rgb="FF000000"/>
      <name val="맑은 고딕"/>
      <family val="3"/>
      <charset val="129"/>
    </font>
    <font>
      <sz val="7"/>
      <color rgb="FFCC00CC"/>
      <name val="맑은 고딕"/>
      <family val="3"/>
      <charset val="129"/>
    </font>
    <font>
      <b/>
      <sz val="7"/>
      <color rgb="FF000000"/>
      <name val="돋움"/>
      <family val="3"/>
      <charset val="129"/>
    </font>
    <font>
      <sz val="7"/>
      <color rgb="FF000000"/>
      <name val="돋움"/>
      <family val="3"/>
      <charset val="129"/>
    </font>
    <font>
      <sz val="7"/>
      <color rgb="FFFF0000"/>
      <name val="돋움"/>
      <family val="3"/>
      <charset val="129"/>
    </font>
    <font>
      <b/>
      <sz val="7"/>
      <color rgb="FFFF0000"/>
      <name val="돋움"/>
      <family val="3"/>
      <charset val="129"/>
    </font>
    <font>
      <sz val="7"/>
      <color rgb="FFFFFFFF"/>
      <name val="맑은 고딕"/>
      <family val="3"/>
      <charset val="129"/>
    </font>
    <font>
      <sz val="7"/>
      <color rgb="FF0000FF"/>
      <name val="맑은 고딕"/>
      <family val="3"/>
      <charset val="129"/>
    </font>
    <font>
      <sz val="7"/>
      <color rgb="FFCC0000"/>
      <name val="맑은 고딕"/>
      <family val="3"/>
      <charset val="129"/>
    </font>
    <font>
      <sz val="7"/>
      <color rgb="FF0070C0"/>
      <name val="맑은 고딕"/>
      <family val="3"/>
      <charset val="129"/>
    </font>
    <font>
      <b/>
      <sz val="7"/>
      <color rgb="FF000000"/>
      <name val="굴림체"/>
      <family val="3"/>
      <charset val="129"/>
    </font>
    <font>
      <sz val="7"/>
      <color rgb="FF000000"/>
      <name val="굴림체"/>
      <family val="3"/>
      <charset val="129"/>
    </font>
    <font>
      <b/>
      <sz val="18"/>
      <color rgb="FF000000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8"/>
      <color rgb="FFFFFFFF"/>
      <name val="돋움"/>
      <family val="3"/>
      <charset val="129"/>
    </font>
    <font>
      <b/>
      <sz val="14"/>
      <color rgb="FF000000"/>
      <name val="맑은 고딕"/>
      <family val="3"/>
      <charset val="129"/>
    </font>
    <font>
      <b/>
      <sz val="14"/>
      <color rgb="FF0000FF"/>
      <name val="맑은 고딕"/>
      <family val="3"/>
      <charset val="129"/>
    </font>
    <font>
      <b/>
      <sz val="14"/>
      <color rgb="FFC00000"/>
      <name val="맑은 고딕"/>
      <family val="3"/>
      <charset val="129"/>
    </font>
    <font>
      <b/>
      <sz val="6"/>
      <color rgb="FF000000"/>
      <name val="맑은 고딕"/>
      <family val="3"/>
      <charset val="129"/>
    </font>
    <font>
      <b/>
      <sz val="6"/>
      <color rgb="FFFF0000"/>
      <name val="맑은 고딕"/>
      <family val="3"/>
      <charset val="129"/>
    </font>
    <font>
      <b/>
      <sz val="6"/>
      <color rgb="FF0000FF"/>
      <name val="맑은 고딕"/>
      <family val="3"/>
      <charset val="129"/>
    </font>
    <font>
      <b/>
      <sz val="5"/>
      <color rgb="FF000000"/>
      <name val="맑은 고딕"/>
      <family val="3"/>
      <charset val="129"/>
    </font>
    <font>
      <b/>
      <sz val="5"/>
      <color rgb="FFFF0000"/>
      <name val="맑은 고딕"/>
      <family val="3"/>
      <charset val="129"/>
    </font>
    <font>
      <sz val="5"/>
      <color rgb="FF0000FF"/>
      <name val="맑은 고딕"/>
      <family val="3"/>
      <charset val="129"/>
    </font>
    <font>
      <sz val="6"/>
      <color rgb="FF000000"/>
      <name val="돋움"/>
      <family val="3"/>
      <charset val="129"/>
    </font>
    <font>
      <sz val="7"/>
      <color rgb="FFFFFFFF"/>
      <name val="HY견고딕"/>
      <family val="1"/>
      <charset val="129"/>
    </font>
    <font>
      <sz val="12"/>
      <color rgb="FFCC00CC"/>
      <name val="HY견고딕"/>
      <family val="1"/>
      <charset val="129"/>
    </font>
    <font>
      <sz val="7"/>
      <color rgb="FFFF0000"/>
      <name val="맑은 고딕"/>
      <family val="3"/>
      <charset val="129"/>
    </font>
    <font>
      <b/>
      <sz val="7"/>
      <color rgb="FFCC0000"/>
      <name val="맑은 고딕"/>
      <family val="3"/>
      <charset val="129"/>
    </font>
    <font>
      <b/>
      <sz val="7"/>
      <color rgb="FF0000FF"/>
      <name val="돋움"/>
      <family val="3"/>
      <charset val="129"/>
    </font>
    <font>
      <b/>
      <sz val="10"/>
      <color rgb="FF000000"/>
      <name val="맑은 고딕"/>
      <family val="3"/>
      <charset val="129"/>
    </font>
    <font>
      <sz val="6"/>
      <color rgb="FFFF0000"/>
      <name val="맑은 고딕"/>
      <family val="3"/>
      <charset val="129"/>
    </font>
    <font>
      <b/>
      <sz val="5"/>
      <color rgb="FF7030A0"/>
      <name val="맑은 고딕"/>
      <family val="3"/>
      <charset val="129"/>
    </font>
    <font>
      <b/>
      <sz val="5"/>
      <color rgb="FFFF0066"/>
      <name val="맑은 고딕"/>
      <family val="3"/>
      <charset val="129"/>
    </font>
    <font>
      <sz val="5"/>
      <color rgb="FFFF0000"/>
      <name val="맑은 고딕"/>
      <family val="3"/>
      <charset val="129"/>
    </font>
    <font>
      <sz val="6"/>
      <color rgb="FFFF0000"/>
      <name val="돋움"/>
      <family val="3"/>
      <charset val="129"/>
    </font>
    <font>
      <sz val="7"/>
      <color rgb="FF000000"/>
      <name val="한양신명조"/>
      <family val="3"/>
      <charset val="129"/>
    </font>
    <font>
      <b/>
      <sz val="7"/>
      <color rgb="FF0000FF"/>
      <name val="굴림체"/>
      <family val="3"/>
      <charset val="129"/>
    </font>
    <font>
      <sz val="6"/>
      <color rgb="FF000000"/>
      <name val="굴림체"/>
      <family val="3"/>
      <charset val="129"/>
    </font>
    <font>
      <b/>
      <sz val="6"/>
      <color rgb="FF0000FF"/>
      <name val="굴림체"/>
      <family val="3"/>
      <charset val="129"/>
    </font>
    <font>
      <sz val="6"/>
      <color rgb="FF0000FF"/>
      <name val="굴림체"/>
      <family val="3"/>
      <charset val="129"/>
    </font>
    <font>
      <b/>
      <sz val="6"/>
      <color rgb="FFFF0000"/>
      <name val="굴림체"/>
      <family val="3"/>
      <charset val="129"/>
    </font>
    <font>
      <sz val="9"/>
      <color rgb="FFCC00CC"/>
      <name val="HY견고딕"/>
      <family val="1"/>
      <charset val="129"/>
    </font>
    <font>
      <b/>
      <sz val="10"/>
      <color rgb="FFFF00F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8"/>
      <color rgb="FFFFFFFF"/>
      <name val="맑은 고딕"/>
      <family val="3"/>
      <charset val="129"/>
    </font>
    <font>
      <b/>
      <sz val="8"/>
      <color rgb="FFFFFF00"/>
      <name val="맑은 고딕"/>
      <family val="3"/>
      <charset val="129"/>
    </font>
    <font>
      <b/>
      <sz val="7"/>
      <color rgb="FFFFFF00"/>
      <name val="맑은 고딕"/>
      <family val="3"/>
      <charset val="129"/>
    </font>
    <font>
      <b/>
      <sz val="7"/>
      <color rgb="FF203864"/>
      <name val="맑은 고딕"/>
      <family val="3"/>
      <charset val="129"/>
    </font>
    <font>
      <b/>
      <sz val="7"/>
      <color rgb="FF0070C0"/>
      <name val="맑은 고딕"/>
      <family val="3"/>
      <charset val="129"/>
    </font>
    <font>
      <sz val="8"/>
      <color rgb="FFFF0000"/>
      <name val="Arial"/>
      <family val="2"/>
    </font>
    <font>
      <b/>
      <sz val="7"/>
      <color rgb="FF660066"/>
      <name val="맑은 고딕"/>
      <family val="3"/>
      <charset val="129"/>
    </font>
    <font>
      <sz val="8"/>
      <color rgb="FF000000"/>
      <name val="돋움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FF"/>
      <name val="돋움"/>
      <family val="3"/>
      <charset val="129"/>
    </font>
    <font>
      <b/>
      <sz val="7.5"/>
      <color rgb="FF000000"/>
      <name val="맑은 고딕"/>
      <family val="3"/>
      <charset val="129"/>
    </font>
    <font>
      <b/>
      <sz val="7.5"/>
      <color rgb="FFFF0000"/>
      <name val="맑은 고딕"/>
      <family val="3"/>
      <charset val="129"/>
    </font>
    <font>
      <b/>
      <sz val="7"/>
      <color rgb="FFFFFFFF"/>
      <name val="맑은 고딕"/>
      <family val="3"/>
      <charset val="129"/>
    </font>
    <font>
      <b/>
      <sz val="10"/>
      <color rgb="FFFF0000"/>
      <name val="함초롬바탕"/>
      <family val="1"/>
      <charset val="129"/>
    </font>
    <font>
      <b/>
      <sz val="8"/>
      <color rgb="FF0000FF"/>
      <name val="맑은 고딕"/>
      <family val="3"/>
      <charset val="129"/>
    </font>
    <font>
      <b/>
      <sz val="11"/>
      <color rgb="FF0000FF"/>
      <name val="맑은 고딕"/>
      <family val="3"/>
      <charset val="129"/>
    </font>
    <font>
      <b/>
      <sz val="12"/>
      <color rgb="FF000000"/>
      <name val="HY견고딕"/>
      <family val="1"/>
      <charset val="129"/>
    </font>
    <font>
      <b/>
      <sz val="12"/>
      <color rgb="FF0000FF"/>
      <name val="HY견고딕"/>
      <family val="1"/>
      <charset val="129"/>
    </font>
    <font>
      <b/>
      <sz val="12"/>
      <color rgb="FFFF0000"/>
      <name val="HY견고딕"/>
      <family val="1"/>
      <charset val="129"/>
    </font>
    <font>
      <sz val="12"/>
      <color rgb="FF000000"/>
      <name val="HY견고딕"/>
      <family val="1"/>
      <charset val="129"/>
    </font>
    <font>
      <b/>
      <sz val="11"/>
      <color rgb="FF660066"/>
      <name val="맑은 고딕"/>
      <family val="3"/>
      <charset val="129"/>
    </font>
    <font>
      <b/>
      <sz val="12"/>
      <color rgb="FF660066"/>
      <name val="HY견고딕"/>
      <family val="1"/>
      <charset val="129"/>
    </font>
    <font>
      <b/>
      <sz val="10"/>
      <color rgb="FF000000"/>
      <name val="돋움"/>
      <family val="3"/>
      <charset val="129"/>
    </font>
    <font>
      <b/>
      <sz val="10"/>
      <color rgb="FF0000FF"/>
      <name val="맑은 고딕"/>
      <family val="3"/>
      <charset val="129"/>
    </font>
    <font>
      <b/>
      <sz val="12"/>
      <color rgb="FF0000FF"/>
      <name val="맑은 고딕"/>
      <family val="3"/>
      <charset val="129"/>
    </font>
    <font>
      <b/>
      <sz val="12"/>
      <color rgb="FF660066"/>
      <name val="맑은 고딕"/>
      <family val="3"/>
      <charset val="129"/>
    </font>
    <font>
      <b/>
      <sz val="12"/>
      <color rgb="FFFF00FF"/>
      <name val="맑은 고딕"/>
      <family val="3"/>
      <charset val="129"/>
    </font>
    <font>
      <b/>
      <sz val="11"/>
      <color rgb="FFFF00FF"/>
      <name val="맑은 고딕"/>
      <family val="3"/>
      <charset val="129"/>
    </font>
    <font>
      <sz val="14"/>
      <color rgb="FF000000"/>
      <name val="맑은 고딕"/>
      <family val="3"/>
      <charset val="129"/>
    </font>
    <font>
      <b/>
      <sz val="14"/>
      <color rgb="FF000000"/>
      <name val="HY견고딕"/>
      <family val="1"/>
      <charset val="129"/>
    </font>
    <font>
      <sz val="11"/>
      <color rgb="FF000000"/>
      <name val="HY견고딕"/>
      <family val="1"/>
      <charset val="129"/>
    </font>
    <font>
      <b/>
      <sz val="7"/>
      <color rgb="FF548235"/>
      <name val="맑은 고딕"/>
      <family val="3"/>
      <charset val="129"/>
    </font>
    <font>
      <b/>
      <sz val="7"/>
      <color rgb="FF4472C4"/>
      <name val="맑은 고딕"/>
      <family val="3"/>
      <charset val="129"/>
    </font>
    <font>
      <b/>
      <sz val="7"/>
      <color rgb="FF7030A0"/>
      <name val="맑은 고딕"/>
      <family val="3"/>
      <charset val="129"/>
    </font>
    <font>
      <b/>
      <sz val="7"/>
      <color rgb="FFC55A11"/>
      <name val="맑은 고딕"/>
      <family val="3"/>
      <charset val="129"/>
    </font>
    <font>
      <b/>
      <sz val="7"/>
      <color rgb="FF262626"/>
      <name val="맑은 고딕"/>
      <family val="3"/>
      <charset val="129"/>
    </font>
    <font>
      <b/>
      <sz val="18"/>
      <color rgb="FFFF0000"/>
      <name val="HY견고딕"/>
      <family val="1"/>
      <charset val="129"/>
    </font>
    <font>
      <b/>
      <sz val="20"/>
      <color rgb="FFFF00FF"/>
      <name val="돋움"/>
      <family val="3"/>
      <charset val="129"/>
    </font>
    <font>
      <b/>
      <sz val="12"/>
      <color rgb="FFFF0000"/>
      <name val="돋움"/>
      <family val="3"/>
      <charset val="129"/>
    </font>
    <font>
      <b/>
      <sz val="8"/>
      <color rgb="FFFF0066"/>
      <name val="맑은 고딕"/>
      <family val="3"/>
      <charset val="129"/>
    </font>
    <font>
      <sz val="10"/>
      <color rgb="FF000000"/>
      <name val="굴림"/>
      <family val="3"/>
      <charset val="129"/>
    </font>
    <font>
      <b/>
      <sz val="10"/>
      <color rgb="FF0000FF"/>
      <name val="굴림"/>
      <family val="3"/>
      <charset val="129"/>
    </font>
    <font>
      <b/>
      <sz val="10"/>
      <color rgb="FF000000"/>
      <name val="굴림"/>
      <family val="3"/>
      <charset val="129"/>
    </font>
    <font>
      <b/>
      <sz val="10"/>
      <color rgb="FFFF0000"/>
      <name val="굴림"/>
      <family val="3"/>
      <charset val="129"/>
    </font>
    <font>
      <b/>
      <sz val="8"/>
      <color rgb="FFFFFFFF"/>
      <name val="맑은 고딕"/>
      <family val="3"/>
      <charset val="129"/>
    </font>
    <font>
      <b/>
      <sz val="11"/>
      <color rgb="FFFF0000"/>
      <name val="HY견고딕"/>
      <family val="1"/>
      <charset val="129"/>
    </font>
    <font>
      <b/>
      <sz val="11"/>
      <color rgb="FF0000FF"/>
      <name val="HY견고딕"/>
      <family val="1"/>
      <charset val="129"/>
    </font>
    <font>
      <b/>
      <sz val="10"/>
      <color rgb="FF660066"/>
      <name val="맑은 고딕"/>
      <family val="3"/>
      <charset val="129"/>
    </font>
    <font>
      <b/>
      <sz val="11"/>
      <color rgb="FF660066"/>
      <name val="HY견고딕"/>
      <family val="1"/>
      <charset val="129"/>
    </font>
    <font>
      <b/>
      <sz val="12"/>
      <color rgb="FFFF00FF"/>
      <name val="HY견고딕"/>
      <family val="1"/>
      <charset val="129"/>
    </font>
    <font>
      <sz val="18"/>
      <color rgb="FFFF0000"/>
      <name val="맑은 고딕"/>
      <family val="3"/>
      <charset val="129"/>
    </font>
    <font>
      <b/>
      <sz val="18"/>
      <color rgb="FFFF0000"/>
      <name val="맑은 고딕"/>
      <family val="3"/>
      <charset val="129"/>
    </font>
    <font>
      <b/>
      <sz val="10"/>
      <color rgb="FFFF0000"/>
      <name val="HY견고딕"/>
      <family val="1"/>
      <charset val="129"/>
    </font>
    <font>
      <b/>
      <sz val="7"/>
      <color rgb="FFFF6DFF"/>
      <name val="맑은 고딕"/>
      <family val="3"/>
      <charset val="129"/>
    </font>
    <font>
      <b/>
      <sz val="18"/>
      <color rgb="FF0000FF"/>
      <name val="맑은 고딕"/>
      <family val="3"/>
      <charset val="129"/>
    </font>
    <font>
      <b/>
      <sz val="11"/>
      <color rgb="FFC00000"/>
      <name val="맑은 고딕"/>
      <family val="3"/>
      <charset val="129"/>
    </font>
    <font>
      <b/>
      <sz val="7"/>
      <color rgb="FFFFFFFF"/>
      <name val="돋움"/>
      <family val="3"/>
      <charset val="129"/>
    </font>
    <font>
      <b/>
      <sz val="7"/>
      <color rgb="FFFFFFFF"/>
      <name val="굴림체"/>
      <family val="3"/>
      <charset val="129"/>
    </font>
    <font>
      <b/>
      <sz val="6"/>
      <color rgb="FF000000"/>
      <name val="굴림체"/>
      <family val="3"/>
      <charset val="129"/>
    </font>
    <font>
      <b/>
      <sz val="12"/>
      <color rgb="FFFF00FF"/>
      <name val="돋움"/>
      <family val="3"/>
      <charset val="129"/>
    </font>
    <font>
      <sz val="18"/>
      <color rgb="FF000000"/>
      <name val="HY신명조"/>
      <family val="1"/>
      <charset val="129"/>
    </font>
    <font>
      <b/>
      <sz val="20"/>
      <color rgb="FFFF0000"/>
      <name val="맑은 고딕"/>
      <family val="3"/>
      <charset val="129"/>
    </font>
    <font>
      <b/>
      <sz val="20"/>
      <color rgb="FFED7D31"/>
      <name val="돋움"/>
      <family val="3"/>
      <charset val="129"/>
    </font>
    <font>
      <sz val="8"/>
      <color rgb="FFFF0000"/>
      <name val="Segoe UI Symbol"/>
      <family val="2"/>
    </font>
    <font>
      <b/>
      <sz val="18"/>
      <color rgb="FF000000"/>
      <name val="HY신명조"/>
      <family val="1"/>
      <charset val="129"/>
    </font>
    <font>
      <sz val="12"/>
      <color rgb="FF000000"/>
      <name val="HY신명조"/>
      <family val="1"/>
      <charset val="129"/>
    </font>
    <font>
      <sz val="5"/>
      <color rgb="FFFF0000"/>
      <name val="HY견고딕"/>
      <family val="1"/>
      <charset val="129"/>
    </font>
    <font>
      <sz val="9"/>
      <color rgb="FF000000"/>
      <name val="HY신명조"/>
      <family val="1"/>
      <charset val="129"/>
    </font>
    <font>
      <sz val="7"/>
      <color rgb="FFFF0000"/>
      <name val="HY견고딕"/>
      <family val="1"/>
      <charset val="129"/>
    </font>
    <font>
      <sz val="6"/>
      <color rgb="FF000000"/>
      <name val="6"/>
    </font>
    <font>
      <b/>
      <sz val="9"/>
      <color rgb="FF000000"/>
      <name val="Tahoma"/>
      <family val="2"/>
    </font>
    <font>
      <b/>
      <sz val="9"/>
      <color rgb="FF000000"/>
      <name val="돋움"/>
      <family val="3"/>
      <charset val="129"/>
    </font>
    <font>
      <sz val="9"/>
      <color rgb="FF000000"/>
      <name val="Tahoma"/>
      <family val="2"/>
    </font>
    <font>
      <b/>
      <sz val="6"/>
      <color rgb="FF000000"/>
      <name val="돋움"/>
      <family val="3"/>
      <charset val="129"/>
    </font>
    <font>
      <b/>
      <sz val="6"/>
      <color rgb="FF000000"/>
      <name val="Tahoma"/>
      <family val="2"/>
    </font>
    <font>
      <sz val="9"/>
      <color rgb="FF000000"/>
      <name val="돋움"/>
      <family val="3"/>
      <charset val="129"/>
    </font>
    <font>
      <b/>
      <sz val="20"/>
      <color rgb="FF000000"/>
      <name val="돋움"/>
      <family val="3"/>
      <charset val="129"/>
    </font>
    <font>
      <b/>
      <sz val="20"/>
      <color rgb="FF000000"/>
      <name val="Tahoma"/>
      <family val="2"/>
    </font>
    <font>
      <b/>
      <sz val="8"/>
      <color rgb="FF000000"/>
      <name val="Tahoma"/>
      <family val="2"/>
    </font>
    <font>
      <sz val="20"/>
      <color rgb="FF000000"/>
      <name val="돋움"/>
      <family val="3"/>
      <charset val="129"/>
    </font>
    <font>
      <sz val="20"/>
      <color rgb="FF000000"/>
      <name val="Tahoma"/>
      <family val="2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7"/>
      <name val="맑은 고딕"/>
      <family val="3"/>
      <charset val="129"/>
    </font>
    <font>
      <sz val="20"/>
      <color rgb="FF000000"/>
      <name val="돋움"/>
      <family val="2"/>
      <charset val="129"/>
    </font>
    <font>
      <b/>
      <sz val="8"/>
      <color rgb="FF000000"/>
      <name val="돋움"/>
      <family val="2"/>
      <charset val="129"/>
    </font>
    <font>
      <b/>
      <sz val="9"/>
      <color rgb="FF000000"/>
      <name val="돋움"/>
      <family val="2"/>
      <charset val="129"/>
    </font>
  </fonts>
  <fills count="5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0B3"/>
        <bgColor indexed="64"/>
      </patternFill>
    </fill>
    <fill>
      <patternFill patternType="solid">
        <fgColor rgb="FFC6FDB3"/>
        <bgColor indexed="64"/>
      </patternFill>
    </fill>
    <fill>
      <patternFill patternType="solid">
        <fgColor rgb="FFF8CBA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E2F0D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F6DFF"/>
        <bgColor indexed="64"/>
      </patternFill>
    </fill>
    <fill>
      <patternFill patternType="solid">
        <fgColor rgb="FFB9FFFF"/>
        <bgColor indexed="64"/>
      </patternFill>
    </fill>
    <fill>
      <patternFill patternType="solid">
        <fgColor rgb="FFFFE0C1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BDFF"/>
        <bgColor indexed="64"/>
      </patternFill>
    </fill>
    <fill>
      <patternFill patternType="solid">
        <fgColor rgb="FFFFABFF"/>
        <bgColor indexed="64"/>
      </patternFill>
    </fill>
    <fill>
      <patternFill patternType="solid">
        <fgColor rgb="FFFBCDF2"/>
        <bgColor indexed="64"/>
      </patternFill>
    </fill>
    <fill>
      <patternFill patternType="solid">
        <fgColor rgb="FF3B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EBAB"/>
        <bgColor indexed="64"/>
      </patternFill>
    </fill>
    <fill>
      <patternFill patternType="solid">
        <fgColor rgb="FFF4B18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BE5D7"/>
        <bgColor indexed="64"/>
      </patternFill>
    </fill>
    <fill>
      <patternFill patternType="solid">
        <fgColor rgb="FFA8D08F"/>
        <bgColor indexed="64"/>
      </patternFill>
    </fill>
    <fill>
      <patternFill patternType="solid">
        <fgColor rgb="FFB7ECFF"/>
        <bgColor indexed="64"/>
      </patternFill>
    </fill>
    <fill>
      <patternFill patternType="solid">
        <fgColor rgb="FFBED7EE"/>
        <bgColor indexed="64"/>
      </patternFill>
    </fill>
    <fill>
      <patternFill patternType="solid">
        <fgColor rgb="FF6AFA6D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AE3F3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DDFBED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8EF2C2"/>
        <bgColor indexed="64"/>
      </patternFill>
    </fill>
    <fill>
      <patternFill patternType="solid">
        <fgColor rgb="FFFFB7FF"/>
        <bgColor indexed="64"/>
      </patternFill>
    </fill>
    <fill>
      <patternFill patternType="solid">
        <fgColor rgb="FFCDFFE4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97E4FF"/>
        <bgColor indexed="64"/>
      </patternFill>
    </fill>
    <fill>
      <patternFill patternType="solid">
        <fgColor rgb="FF44546A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DDEF7"/>
        <bgColor indexed="64"/>
      </patternFill>
    </fill>
    <fill>
      <patternFill patternType="solid">
        <fgColor rgb="FFCCECFF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9">
    <xf numFmtId="0" fontId="0" fillId="0" borderId="0">
      <alignment vertical="center"/>
    </xf>
    <xf numFmtId="176" fontId="166" fillId="0" borderId="0">
      <alignment vertical="center"/>
    </xf>
    <xf numFmtId="0" fontId="166" fillId="0" borderId="0">
      <alignment vertical="center"/>
    </xf>
    <xf numFmtId="0" fontId="166" fillId="0" borderId="0"/>
    <xf numFmtId="41" fontId="166" fillId="0" borderId="0">
      <alignment vertical="center"/>
    </xf>
    <xf numFmtId="0" fontId="166" fillId="0" borderId="0">
      <alignment vertical="center"/>
    </xf>
    <xf numFmtId="0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66" fillId="0" borderId="0">
      <alignment vertical="center"/>
    </xf>
    <xf numFmtId="41" fontId="1" fillId="0" borderId="0">
      <alignment vertical="center"/>
    </xf>
    <xf numFmtId="0" fontId="166" fillId="0" borderId="0">
      <alignment vertical="center"/>
    </xf>
    <xf numFmtId="176" fontId="166" fillId="0" borderId="0">
      <alignment vertical="center"/>
    </xf>
    <xf numFmtId="176" fontId="166" fillId="0" borderId="0">
      <alignment vertical="center"/>
    </xf>
    <xf numFmtId="0" fontId="1" fillId="0" borderId="0">
      <alignment vertical="center"/>
    </xf>
    <xf numFmtId="0" fontId="166" fillId="0" borderId="0">
      <alignment vertical="center"/>
    </xf>
    <xf numFmtId="0" fontId="1" fillId="0" borderId="0">
      <alignment vertical="center"/>
    </xf>
    <xf numFmtId="176" fontId="1" fillId="0" borderId="0">
      <alignment vertical="center"/>
    </xf>
    <xf numFmtId="0" fontId="2" fillId="0" borderId="0">
      <alignment vertical="center"/>
    </xf>
  </cellStyleXfs>
  <cellXfs count="1265">
    <xf numFmtId="0" fontId="0" fillId="0" borderId="0" xfId="0">
      <alignment vertical="center"/>
    </xf>
    <xf numFmtId="38" fontId="3" fillId="2" borderId="1" xfId="3" applyNumberFormat="1" applyFont="1" applyFill="1" applyBorder="1" applyAlignment="1">
      <alignment horizontal="center" vertical="center" wrapText="1"/>
    </xf>
    <xf numFmtId="38" fontId="3" fillId="0" borderId="1" xfId="3" applyNumberFormat="1" applyFont="1" applyBorder="1" applyAlignment="1">
      <alignment horizontal="center" vertical="center"/>
    </xf>
    <xf numFmtId="38" fontId="4" fillId="0" borderId="1" xfId="4" applyNumberFormat="1" applyFont="1" applyBorder="1" applyAlignment="1">
      <alignment horizontal="center" vertical="center"/>
    </xf>
    <xf numFmtId="38" fontId="3" fillId="3" borderId="1" xfId="3" applyNumberFormat="1" applyFont="1" applyFill="1" applyBorder="1" applyAlignment="1">
      <alignment horizontal="center" vertical="center"/>
    </xf>
    <xf numFmtId="38" fontId="3" fillId="3" borderId="1" xfId="3" applyNumberFormat="1" applyFont="1" applyFill="1" applyBorder="1" applyAlignment="1">
      <alignment horizontal="center" vertical="center" wrapText="1"/>
    </xf>
    <xf numFmtId="38" fontId="3" fillId="4" borderId="1" xfId="3" applyNumberFormat="1" applyFont="1" applyFill="1" applyBorder="1" applyAlignment="1">
      <alignment horizontal="center" vertical="center"/>
    </xf>
    <xf numFmtId="38" fontId="3" fillId="4" borderId="1" xfId="3" applyNumberFormat="1" applyFont="1" applyFill="1" applyBorder="1" applyAlignment="1">
      <alignment horizontal="center" vertical="center" wrapText="1"/>
    </xf>
    <xf numFmtId="38" fontId="3" fillId="0" borderId="1" xfId="3" applyNumberFormat="1" applyFont="1" applyBorder="1" applyAlignment="1">
      <alignment horizontal="center" vertical="center" wrapText="1"/>
    </xf>
    <xf numFmtId="38" fontId="3" fillId="5" borderId="1" xfId="3" applyNumberFormat="1" applyFont="1" applyFill="1" applyBorder="1" applyAlignment="1">
      <alignment horizontal="center" vertical="center"/>
    </xf>
    <xf numFmtId="38" fontId="3" fillId="5" borderId="1" xfId="3" applyNumberFormat="1" applyFont="1" applyFill="1" applyBorder="1" applyAlignment="1">
      <alignment horizontal="center" vertical="center" wrapText="1"/>
    </xf>
    <xf numFmtId="38" fontId="3" fillId="6" borderId="1" xfId="3" applyNumberFormat="1" applyFont="1" applyFill="1" applyBorder="1" applyAlignment="1">
      <alignment horizontal="center" vertical="center"/>
    </xf>
    <xf numFmtId="38" fontId="3" fillId="6" borderId="1" xfId="3" applyNumberFormat="1" applyFont="1" applyFill="1" applyBorder="1" applyAlignment="1">
      <alignment horizontal="center" vertical="center" wrapText="1"/>
    </xf>
    <xf numFmtId="38" fontId="3" fillId="7" borderId="1" xfId="3" applyNumberFormat="1" applyFont="1" applyFill="1" applyBorder="1" applyAlignment="1">
      <alignment horizontal="center" vertical="center"/>
    </xf>
    <xf numFmtId="38" fontId="3" fillId="7" borderId="1" xfId="3" applyNumberFormat="1" applyFont="1" applyFill="1" applyBorder="1" applyAlignment="1">
      <alignment horizontal="center" vertical="center" wrapText="1"/>
    </xf>
    <xf numFmtId="38" fontId="3" fillId="8" borderId="1" xfId="3" applyNumberFormat="1" applyFont="1" applyFill="1" applyBorder="1" applyAlignment="1">
      <alignment horizontal="center" vertical="center"/>
    </xf>
    <xf numFmtId="38" fontId="3" fillId="8" borderId="1" xfId="3" applyNumberFormat="1" applyFont="1" applyFill="1" applyBorder="1" applyAlignment="1">
      <alignment horizontal="center" vertical="center" wrapText="1"/>
    </xf>
    <xf numFmtId="38" fontId="3" fillId="9" borderId="1" xfId="3" applyNumberFormat="1" applyFont="1" applyFill="1" applyBorder="1" applyAlignment="1">
      <alignment horizontal="center" vertical="center"/>
    </xf>
    <xf numFmtId="38" fontId="3" fillId="9" borderId="1" xfId="3" applyNumberFormat="1" applyFont="1" applyFill="1" applyBorder="1" applyAlignment="1">
      <alignment horizontal="center" vertical="center" wrapText="1"/>
    </xf>
    <xf numFmtId="38" fontId="5" fillId="10" borderId="1" xfId="0" applyNumberFormat="1" applyFont="1" applyFill="1" applyBorder="1" applyAlignment="1">
      <alignment horizontal="center" vertical="center" wrapText="1"/>
    </xf>
    <xf numFmtId="38" fontId="5" fillId="10" borderId="1" xfId="0" applyNumberFormat="1" applyFont="1" applyFill="1" applyBorder="1" applyAlignment="1">
      <alignment horizontal="center" vertical="center"/>
    </xf>
    <xf numFmtId="38" fontId="5" fillId="10" borderId="1" xfId="0" quotePrefix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82" fontId="5" fillId="0" borderId="1" xfId="0" applyNumberFormat="1" applyFont="1" applyBorder="1" applyAlignment="1">
      <alignment horizontal="center" vertical="center"/>
    </xf>
    <xf numFmtId="183" fontId="5" fillId="0" borderId="1" xfId="0" applyNumberFormat="1" applyFont="1" applyBorder="1" applyAlignment="1">
      <alignment horizontal="center" vertical="center"/>
    </xf>
    <xf numFmtId="177" fontId="5" fillId="0" borderId="1" xfId="0" applyNumberFormat="1" applyFont="1" applyBorder="1" applyAlignment="1">
      <alignment horizontal="center" vertical="center"/>
    </xf>
    <xf numFmtId="38" fontId="5" fillId="0" borderId="1" xfId="0" applyNumberFormat="1" applyFont="1" applyBorder="1" applyAlignment="1">
      <alignment horizontal="center" vertical="center"/>
    </xf>
    <xf numFmtId="38" fontId="5" fillId="0" borderId="1" xfId="2" applyNumberFormat="1" applyFont="1" applyBorder="1" applyAlignment="1">
      <alignment horizontal="center" vertical="center"/>
    </xf>
    <xf numFmtId="184" fontId="5" fillId="0" borderId="1" xfId="0" applyNumberFormat="1" applyFont="1" applyBorder="1" applyAlignment="1">
      <alignment horizontal="center" vertical="center"/>
    </xf>
    <xf numFmtId="183" fontId="5" fillId="0" borderId="2" xfId="0" applyNumberFormat="1" applyFont="1" applyBorder="1" applyAlignment="1">
      <alignment horizontal="center" vertical="center"/>
    </xf>
    <xf numFmtId="0" fontId="166" fillId="0" borderId="0" xfId="5">
      <alignment vertical="center"/>
    </xf>
    <xf numFmtId="3" fontId="6" fillId="0" borderId="3" xfId="5" applyNumberFormat="1" applyFont="1" applyBorder="1" applyAlignment="1">
      <alignment horizontal="center" vertical="center" wrapText="1"/>
    </xf>
    <xf numFmtId="0" fontId="6" fillId="0" borderId="3" xfId="5" applyFont="1" applyBorder="1" applyAlignment="1">
      <alignment horizontal="center" vertical="center" wrapText="1"/>
    </xf>
    <xf numFmtId="0" fontId="7" fillId="0" borderId="3" xfId="5" applyFont="1" applyBorder="1" applyAlignment="1">
      <alignment horizontal="center" vertical="center" wrapText="1"/>
    </xf>
    <xf numFmtId="0" fontId="6" fillId="11" borderId="3" xfId="5" applyFont="1" applyFill="1" applyBorder="1" applyAlignment="1">
      <alignment horizontal="center" vertical="center" wrapText="1"/>
    </xf>
    <xf numFmtId="10" fontId="0" fillId="10" borderId="1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177" fontId="0" fillId="10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>
      <alignment vertical="center"/>
    </xf>
    <xf numFmtId="0" fontId="5" fillId="0" borderId="4" xfId="0" applyFont="1" applyBorder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  <xf numFmtId="187" fontId="5" fillId="0" borderId="1" xfId="0" applyNumberFormat="1" applyFont="1" applyBorder="1" applyAlignment="1">
      <alignment horizontal="center" vertical="center"/>
    </xf>
    <xf numFmtId="177" fontId="5" fillId="0" borderId="1" xfId="1" applyNumberFormat="1" applyFont="1" applyBorder="1" applyAlignment="1">
      <alignment horizontal="center" vertical="center"/>
    </xf>
    <xf numFmtId="38" fontId="4" fillId="0" borderId="1" xfId="3" applyNumberFormat="1" applyFont="1" applyBorder="1" applyAlignment="1">
      <alignment horizontal="center" vertical="center"/>
    </xf>
    <xf numFmtId="38" fontId="9" fillId="0" borderId="1" xfId="3" applyNumberFormat="1" applyFont="1" applyBorder="1" applyAlignment="1">
      <alignment horizontal="center" vertical="center"/>
    </xf>
    <xf numFmtId="38" fontId="9" fillId="3" borderId="1" xfId="3" applyNumberFormat="1" applyFont="1" applyFill="1" applyBorder="1" applyAlignment="1">
      <alignment horizontal="center" vertical="center"/>
    </xf>
    <xf numFmtId="38" fontId="9" fillId="4" borderId="1" xfId="3" applyNumberFormat="1" applyFont="1" applyFill="1" applyBorder="1" applyAlignment="1">
      <alignment horizontal="center" vertical="center"/>
    </xf>
    <xf numFmtId="38" fontId="9" fillId="5" borderId="1" xfId="3" applyNumberFormat="1" applyFont="1" applyFill="1" applyBorder="1" applyAlignment="1">
      <alignment horizontal="center" vertical="center"/>
    </xf>
    <xf numFmtId="38" fontId="9" fillId="6" borderId="1" xfId="3" applyNumberFormat="1" applyFont="1" applyFill="1" applyBorder="1" applyAlignment="1">
      <alignment horizontal="center" vertical="center"/>
    </xf>
    <xf numFmtId="38" fontId="10" fillId="0" borderId="1" xfId="3" applyNumberFormat="1" applyFont="1" applyBorder="1" applyAlignment="1">
      <alignment horizontal="center" vertical="center"/>
    </xf>
    <xf numFmtId="38" fontId="9" fillId="7" borderId="1" xfId="3" applyNumberFormat="1" applyFont="1" applyFill="1" applyBorder="1" applyAlignment="1">
      <alignment horizontal="center" vertical="center"/>
    </xf>
    <xf numFmtId="38" fontId="9" fillId="8" borderId="1" xfId="3" applyNumberFormat="1" applyFont="1" applyFill="1" applyBorder="1" applyAlignment="1">
      <alignment horizontal="center" vertical="center"/>
    </xf>
    <xf numFmtId="38" fontId="9" fillId="9" borderId="1" xfId="3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77" fontId="0" fillId="7" borderId="1" xfId="0" applyNumberFormat="1" applyFill="1" applyBorder="1" applyAlignment="1">
      <alignment horizontal="center" vertical="center"/>
    </xf>
    <xf numFmtId="177" fontId="11" fillId="7" borderId="1" xfId="0" applyNumberFormat="1" applyFont="1" applyFill="1" applyBorder="1" applyAlignment="1">
      <alignment horizontal="center" vertical="center"/>
    </xf>
    <xf numFmtId="38" fontId="12" fillId="0" borderId="1" xfId="3" applyNumberFormat="1" applyFont="1" applyBorder="1" applyAlignment="1">
      <alignment horizontal="center" vertical="center"/>
    </xf>
    <xf numFmtId="38" fontId="10" fillId="0" borderId="1" xfId="3" applyNumberFormat="1" applyFont="1" applyBorder="1" applyAlignment="1">
      <alignment horizontal="center" vertical="center" wrapText="1"/>
    </xf>
    <xf numFmtId="38" fontId="10" fillId="0" borderId="1" xfId="4" applyNumberFormat="1" applyFont="1" applyBorder="1" applyAlignment="1">
      <alignment horizontal="center" vertical="center"/>
    </xf>
    <xf numFmtId="38" fontId="10" fillId="3" borderId="1" xfId="4" applyNumberFormat="1" applyFont="1" applyFill="1" applyBorder="1" applyAlignment="1">
      <alignment horizontal="center" vertical="center"/>
    </xf>
    <xf numFmtId="38" fontId="10" fillId="4" borderId="1" xfId="4" applyNumberFormat="1" applyFont="1" applyFill="1" applyBorder="1" applyAlignment="1">
      <alignment horizontal="center" vertical="center"/>
    </xf>
    <xf numFmtId="38" fontId="10" fillId="5" borderId="1" xfId="4" applyNumberFormat="1" applyFont="1" applyFill="1" applyBorder="1" applyAlignment="1">
      <alignment horizontal="center" vertical="center"/>
    </xf>
    <xf numFmtId="38" fontId="10" fillId="6" borderId="1" xfId="4" applyNumberFormat="1" applyFont="1" applyFill="1" applyBorder="1" applyAlignment="1">
      <alignment horizontal="center" vertical="center"/>
    </xf>
    <xf numFmtId="38" fontId="10" fillId="7" borderId="1" xfId="4" applyNumberFormat="1" applyFont="1" applyFill="1" applyBorder="1" applyAlignment="1">
      <alignment horizontal="center" vertical="center"/>
    </xf>
    <xf numFmtId="38" fontId="10" fillId="8" borderId="1" xfId="4" applyNumberFormat="1" applyFont="1" applyFill="1" applyBorder="1" applyAlignment="1">
      <alignment horizontal="center" vertical="center"/>
    </xf>
    <xf numFmtId="38" fontId="3" fillId="13" borderId="1" xfId="4" applyNumberFormat="1" applyFont="1" applyFill="1" applyBorder="1" applyAlignment="1">
      <alignment horizontal="center" vertical="center"/>
    </xf>
    <xf numFmtId="38" fontId="12" fillId="0" borderId="1" xfId="4" applyNumberFormat="1" applyFont="1" applyBorder="1" applyAlignment="1">
      <alignment horizontal="center" vertical="center"/>
    </xf>
    <xf numFmtId="38" fontId="12" fillId="3" borderId="1" xfId="4" applyNumberFormat="1" applyFont="1" applyFill="1" applyBorder="1" applyAlignment="1">
      <alignment horizontal="center" vertical="center"/>
    </xf>
    <xf numFmtId="38" fontId="12" fillId="3" borderId="1" xfId="3" applyNumberFormat="1" applyFont="1" applyFill="1" applyBorder="1" applyAlignment="1">
      <alignment horizontal="center" vertical="center"/>
    </xf>
    <xf numFmtId="38" fontId="12" fillId="4" borderId="1" xfId="4" applyNumberFormat="1" applyFont="1" applyFill="1" applyBorder="1" applyAlignment="1">
      <alignment horizontal="center" vertical="center"/>
    </xf>
    <xf numFmtId="38" fontId="12" fillId="4" borderId="1" xfId="3" applyNumberFormat="1" applyFont="1" applyFill="1" applyBorder="1" applyAlignment="1">
      <alignment horizontal="center" vertical="center"/>
    </xf>
    <xf numFmtId="38" fontId="12" fillId="5" borderId="1" xfId="4" applyNumberFormat="1" applyFont="1" applyFill="1" applyBorder="1" applyAlignment="1">
      <alignment horizontal="center" vertical="center"/>
    </xf>
    <xf numFmtId="38" fontId="12" fillId="5" borderId="1" xfId="3" applyNumberFormat="1" applyFont="1" applyFill="1" applyBorder="1" applyAlignment="1">
      <alignment horizontal="center" vertical="center"/>
    </xf>
    <xf numFmtId="38" fontId="12" fillId="6" borderId="1" xfId="4" applyNumberFormat="1" applyFont="1" applyFill="1" applyBorder="1" applyAlignment="1">
      <alignment horizontal="center" vertical="center"/>
    </xf>
    <xf numFmtId="38" fontId="12" fillId="6" borderId="1" xfId="3" applyNumberFormat="1" applyFont="1" applyFill="1" applyBorder="1" applyAlignment="1">
      <alignment horizontal="center" vertical="center"/>
    </xf>
    <xf numFmtId="38" fontId="12" fillId="7" borderId="1" xfId="4" applyNumberFormat="1" applyFont="1" applyFill="1" applyBorder="1" applyAlignment="1">
      <alignment horizontal="center" vertical="center"/>
    </xf>
    <xf numFmtId="38" fontId="12" fillId="7" borderId="1" xfId="3" applyNumberFormat="1" applyFont="1" applyFill="1" applyBorder="1" applyAlignment="1">
      <alignment horizontal="center" vertical="center"/>
    </xf>
    <xf numFmtId="38" fontId="12" fillId="8" borderId="1" xfId="4" applyNumberFormat="1" applyFont="1" applyFill="1" applyBorder="1" applyAlignment="1">
      <alignment horizontal="center" vertical="center"/>
    </xf>
    <xf numFmtId="38" fontId="12" fillId="8" borderId="1" xfId="3" applyNumberFormat="1" applyFont="1" applyFill="1" applyBorder="1" applyAlignment="1">
      <alignment horizontal="center" vertical="center"/>
    </xf>
    <xf numFmtId="38" fontId="13" fillId="7" borderId="1" xfId="3" applyNumberFormat="1" applyFont="1" applyFill="1" applyBorder="1" applyAlignment="1">
      <alignment horizontal="center" vertical="center"/>
    </xf>
    <xf numFmtId="38" fontId="3" fillId="0" borderId="0" xfId="3" applyNumberFormat="1" applyFont="1" applyAlignment="1">
      <alignment horizontal="center" vertical="center"/>
    </xf>
    <xf numFmtId="38" fontId="12" fillId="0" borderId="0" xfId="3" applyNumberFormat="1" applyFont="1" applyAlignment="1">
      <alignment vertical="center"/>
    </xf>
    <xf numFmtId="38" fontId="9" fillId="0" borderId="0" xfId="3" applyNumberFormat="1" applyFont="1" applyAlignment="1">
      <alignment horizontal="center" vertical="center"/>
    </xf>
    <xf numFmtId="38" fontId="14" fillId="0" borderId="0" xfId="3" applyNumberFormat="1" applyFont="1" applyAlignment="1">
      <alignment vertical="center"/>
    </xf>
    <xf numFmtId="38" fontId="12" fillId="0" borderId="0" xfId="3" applyNumberFormat="1" applyFont="1" applyAlignment="1">
      <alignment horizontal="center" vertical="center"/>
    </xf>
    <xf numFmtId="38" fontId="10" fillId="0" borderId="1" xfId="3" applyNumberFormat="1" applyFont="1" applyBorder="1" applyAlignment="1">
      <alignment vertical="center"/>
    </xf>
    <xf numFmtId="38" fontId="10" fillId="9" borderId="1" xfId="4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15" fillId="0" borderId="0" xfId="0" applyFont="1" applyAlignment="1">
      <alignment horizontal="center" vertical="center"/>
    </xf>
    <xf numFmtId="178" fontId="16" fillId="7" borderId="1" xfId="0" applyNumberFormat="1" applyFont="1" applyFill="1" applyBorder="1" applyAlignment="1">
      <alignment horizontal="center" vertical="center"/>
    </xf>
    <xf numFmtId="38" fontId="17" fillId="0" borderId="0" xfId="0" applyNumberFormat="1" applyFont="1" applyAlignment="1">
      <alignment horizontal="center" vertical="center"/>
    </xf>
    <xf numFmtId="189" fontId="18" fillId="7" borderId="1" xfId="3" applyNumberFormat="1" applyFont="1" applyFill="1" applyBorder="1" applyAlignment="1">
      <alignment vertical="center"/>
    </xf>
    <xf numFmtId="189" fontId="15" fillId="0" borderId="0" xfId="0" applyNumberFormat="1" applyFont="1" applyAlignment="1">
      <alignment horizontal="center" vertical="center"/>
    </xf>
    <xf numFmtId="190" fontId="0" fillId="0" borderId="0" xfId="0" applyNumberFormat="1" applyAlignment="1">
      <alignment horizontal="center" vertical="center"/>
    </xf>
    <xf numFmtId="190" fontId="5" fillId="0" borderId="0" xfId="0" applyNumberFormat="1" applyFont="1" applyAlignment="1">
      <alignment horizontal="center" vertical="center"/>
    </xf>
    <xf numFmtId="190" fontId="15" fillId="0" borderId="0" xfId="0" applyNumberFormat="1" applyFont="1" applyAlignment="1">
      <alignment horizontal="center" vertical="center"/>
    </xf>
    <xf numFmtId="189" fontId="15" fillId="0" borderId="1" xfId="0" applyNumberFormat="1" applyFont="1" applyBorder="1" applyAlignment="1">
      <alignment horizontal="center" vertical="center"/>
    </xf>
    <xf numFmtId="189" fontId="5" fillId="0" borderId="0" xfId="0" applyNumberFormat="1" applyFont="1" applyAlignment="1">
      <alignment horizontal="center" vertical="center"/>
    </xf>
    <xf numFmtId="38" fontId="19" fillId="10" borderId="1" xfId="0" applyNumberFormat="1" applyFont="1" applyFill="1" applyBorder="1" applyAlignment="1">
      <alignment horizontal="center" vertical="center"/>
    </xf>
    <xf numFmtId="177" fontId="19" fillId="10" borderId="1" xfId="0" applyNumberFormat="1" applyFont="1" applyFill="1" applyBorder="1" applyAlignment="1">
      <alignment horizontal="center" vertical="center"/>
    </xf>
    <xf numFmtId="177" fontId="15" fillId="0" borderId="0" xfId="0" applyNumberFormat="1" applyFont="1" applyAlignment="1">
      <alignment horizontal="center" vertical="center"/>
    </xf>
    <xf numFmtId="187" fontId="5" fillId="0" borderId="5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89" fontId="15" fillId="0" borderId="2" xfId="0" applyNumberFormat="1" applyFont="1" applyBorder="1" applyAlignment="1">
      <alignment horizontal="center" vertical="center"/>
    </xf>
    <xf numFmtId="177" fontId="20" fillId="0" borderId="0" xfId="6" applyNumberFormat="1" applyFont="1" applyAlignment="1">
      <alignment horizontal="center" vertical="center"/>
    </xf>
    <xf numFmtId="177" fontId="21" fillId="9" borderId="1" xfId="6" applyNumberFormat="1" applyFont="1" applyFill="1" applyBorder="1" applyAlignment="1">
      <alignment horizontal="center" vertical="center"/>
    </xf>
    <xf numFmtId="177" fontId="21" fillId="0" borderId="0" xfId="6" applyNumberFormat="1" applyFont="1" applyAlignment="1">
      <alignment horizontal="center" vertical="center"/>
    </xf>
    <xf numFmtId="177" fontId="21" fillId="14" borderId="1" xfId="7" applyNumberFormat="1" applyFont="1" applyFill="1" applyBorder="1" applyAlignment="1">
      <alignment horizontal="center" vertical="center"/>
    </xf>
    <xf numFmtId="177" fontId="21" fillId="14" borderId="1" xfId="6" applyNumberFormat="1" applyFont="1" applyFill="1" applyBorder="1" applyAlignment="1">
      <alignment horizontal="center" vertical="center"/>
    </xf>
    <xf numFmtId="177" fontId="21" fillId="5" borderId="1" xfId="6" applyNumberFormat="1" applyFont="1" applyFill="1" applyBorder="1" applyAlignment="1">
      <alignment horizontal="center" vertical="center"/>
    </xf>
    <xf numFmtId="177" fontId="21" fillId="7" borderId="1" xfId="6" applyNumberFormat="1" applyFont="1" applyFill="1" applyBorder="1" applyAlignment="1">
      <alignment horizontal="center" vertical="center"/>
    </xf>
    <xf numFmtId="177" fontId="21" fillId="0" borderId="1" xfId="6" applyNumberFormat="1" applyFont="1" applyBorder="1" applyAlignment="1">
      <alignment horizontal="center" vertical="center"/>
    </xf>
    <xf numFmtId="177" fontId="21" fillId="6" borderId="1" xfId="6" applyNumberFormat="1" applyFont="1" applyFill="1" applyBorder="1" applyAlignment="1">
      <alignment horizontal="center" vertical="center"/>
    </xf>
    <xf numFmtId="189" fontId="20" fillId="0" borderId="0" xfId="6" applyNumberFormat="1" applyFont="1" applyAlignment="1">
      <alignment horizontal="center" vertical="center"/>
    </xf>
    <xf numFmtId="177" fontId="21" fillId="15" borderId="1" xfId="7" applyNumberFormat="1" applyFont="1" applyFill="1" applyBorder="1" applyAlignment="1">
      <alignment horizontal="center" vertical="center"/>
    </xf>
    <xf numFmtId="177" fontId="21" fillId="15" borderId="1" xfId="6" applyNumberFormat="1" applyFont="1" applyFill="1" applyBorder="1" applyAlignment="1">
      <alignment horizontal="center" vertical="center"/>
    </xf>
    <xf numFmtId="177" fontId="21" fillId="16" borderId="1" xfId="7" applyNumberFormat="1" applyFont="1" applyFill="1" applyBorder="1" applyAlignment="1">
      <alignment horizontal="center" vertical="center"/>
    </xf>
    <xf numFmtId="177" fontId="21" fillId="16" borderId="1" xfId="6" applyNumberFormat="1" applyFont="1" applyFill="1" applyBorder="1" applyAlignment="1">
      <alignment horizontal="center"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0" fillId="16" borderId="1" xfId="0" applyFill="1" applyBorder="1" applyAlignment="1">
      <alignment horizontal="center" vertical="center"/>
    </xf>
    <xf numFmtId="178" fontId="16" fillId="16" borderId="1" xfId="0" applyNumberFormat="1" applyFont="1" applyFill="1" applyBorder="1" applyAlignment="1">
      <alignment horizontal="center" vertical="center"/>
    </xf>
    <xf numFmtId="10" fontId="0" fillId="16" borderId="1" xfId="0" applyNumberFormat="1" applyFill="1" applyBorder="1" applyAlignment="1">
      <alignment horizontal="center" vertical="center"/>
    </xf>
    <xf numFmtId="177" fontId="0" fillId="16" borderId="1" xfId="0" applyNumberFormat="1" applyFill="1" applyBorder="1" applyAlignment="1">
      <alignment horizontal="center" vertical="center"/>
    </xf>
    <xf numFmtId="177" fontId="11" fillId="16" borderId="1" xfId="0" applyNumberFormat="1" applyFont="1" applyFill="1" applyBorder="1" applyAlignment="1">
      <alignment horizontal="center" vertical="center"/>
    </xf>
    <xf numFmtId="177" fontId="24" fillId="16" borderId="1" xfId="1" applyNumberFormat="1" applyFont="1" applyFill="1" applyBorder="1" applyAlignment="1">
      <alignment horizontal="center" vertical="center" wrapText="1"/>
    </xf>
    <xf numFmtId="177" fontId="25" fillId="16" borderId="1" xfId="0" applyNumberFormat="1" applyFont="1" applyFill="1" applyBorder="1" applyAlignment="1">
      <alignment horizontal="center" vertical="center"/>
    </xf>
    <xf numFmtId="177" fontId="0" fillId="17" borderId="1" xfId="0" applyNumberFormat="1" applyFill="1" applyBorder="1" applyAlignment="1">
      <alignment horizontal="center" vertical="center"/>
    </xf>
    <xf numFmtId="177" fontId="0" fillId="15" borderId="1" xfId="0" applyNumberFormat="1" applyFill="1" applyBorder="1" applyAlignment="1">
      <alignment horizontal="center" vertical="center"/>
    </xf>
    <xf numFmtId="10" fontId="22" fillId="0" borderId="0" xfId="0" applyNumberFormat="1" applyFont="1">
      <alignment vertical="center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  <xf numFmtId="181" fontId="5" fillId="0" borderId="0" xfId="0" applyNumberFormat="1" applyFont="1">
      <alignment vertical="center"/>
    </xf>
    <xf numFmtId="38" fontId="5" fillId="0" borderId="1" xfId="0" applyNumberFormat="1" applyFont="1" applyBorder="1">
      <alignment vertical="center"/>
    </xf>
    <xf numFmtId="38" fontId="166" fillId="0" borderId="0" xfId="2" applyNumberFormat="1">
      <alignment vertical="center"/>
    </xf>
    <xf numFmtId="188" fontId="11" fillId="0" borderId="1" xfId="2" applyNumberFormat="1" applyFont="1" applyBorder="1">
      <alignment vertical="center"/>
    </xf>
    <xf numFmtId="177" fontId="5" fillId="0" borderId="0" xfId="0" applyNumberFormat="1" applyFont="1">
      <alignment vertical="center"/>
    </xf>
    <xf numFmtId="0" fontId="0" fillId="0" borderId="1" xfId="0" applyBorder="1">
      <alignment vertical="center"/>
    </xf>
    <xf numFmtId="9" fontId="0" fillId="0" borderId="1" xfId="0" applyNumberFormat="1" applyBorder="1">
      <alignment vertical="center"/>
    </xf>
    <xf numFmtId="178" fontId="0" fillId="0" borderId="1" xfId="0" applyNumberFormat="1" applyBorder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177" fontId="20" fillId="18" borderId="1" xfId="6" applyNumberFormat="1" applyFont="1" applyFill="1" applyBorder="1" applyAlignment="1">
      <alignment horizontal="center" vertical="center"/>
    </xf>
    <xf numFmtId="177" fontId="20" fillId="16" borderId="1" xfId="6" applyNumberFormat="1" applyFont="1" applyFill="1" applyBorder="1" applyAlignment="1">
      <alignment horizontal="center" vertical="center"/>
    </xf>
    <xf numFmtId="177" fontId="20" fillId="19" borderId="1" xfId="6" applyNumberFormat="1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177" fontId="0" fillId="20" borderId="1" xfId="0" applyNumberFormat="1" applyFill="1" applyBorder="1" applyAlignment="1">
      <alignment horizontal="center" vertical="center"/>
    </xf>
    <xf numFmtId="0" fontId="28" fillId="0" borderId="1" xfId="0" applyFont="1" applyBorder="1" applyAlignment="1">
      <alignment horizontal="left" vertical="center"/>
    </xf>
    <xf numFmtId="0" fontId="28" fillId="0" borderId="0" xfId="0" applyFont="1">
      <alignment vertical="center"/>
    </xf>
    <xf numFmtId="193" fontId="28" fillId="0" borderId="0" xfId="0" applyNumberFormat="1" applyFont="1">
      <alignment vertical="center"/>
    </xf>
    <xf numFmtId="0" fontId="28" fillId="0" borderId="0" xfId="0" applyFont="1" applyAlignment="1">
      <alignment horizontal="center" vertical="center"/>
    </xf>
    <xf numFmtId="186" fontId="29" fillId="0" borderId="0" xfId="9" applyNumberFormat="1" applyFont="1" applyAlignment="1" applyProtection="1">
      <alignment horizontal="center" vertical="center"/>
      <protection locked="0"/>
    </xf>
    <xf numFmtId="186" fontId="28" fillId="0" borderId="0" xfId="9" applyNumberFormat="1" applyFont="1" applyAlignment="1">
      <alignment horizontal="center" vertical="center"/>
    </xf>
    <xf numFmtId="177" fontId="5" fillId="0" borderId="5" xfId="0" applyNumberFormat="1" applyFont="1" applyBorder="1" applyAlignment="1">
      <alignment horizontal="center" vertical="center"/>
    </xf>
    <xf numFmtId="185" fontId="5" fillId="0" borderId="1" xfId="0" applyNumberFormat="1" applyFont="1" applyBorder="1" applyAlignment="1">
      <alignment horizontal="center" vertical="center"/>
    </xf>
    <xf numFmtId="190" fontId="0" fillId="0" borderId="1" xfId="0" applyNumberFormat="1" applyBorder="1" applyAlignment="1">
      <alignment horizontal="center" vertical="center"/>
    </xf>
    <xf numFmtId="186" fontId="8" fillId="0" borderId="0" xfId="0" applyNumberFormat="1" applyFont="1">
      <alignment vertical="center"/>
    </xf>
    <xf numFmtId="0" fontId="8" fillId="0" borderId="0" xfId="0" applyFont="1" applyAlignment="1">
      <alignment horizontal="right" vertical="center"/>
    </xf>
    <xf numFmtId="0" fontId="22" fillId="0" borderId="0" xfId="0" applyFont="1" applyProtection="1">
      <alignment vertical="center"/>
      <protection locked="0"/>
    </xf>
    <xf numFmtId="177" fontId="8" fillId="0" borderId="0" xfId="0" applyNumberFormat="1" applyFont="1">
      <alignment vertical="center"/>
    </xf>
    <xf numFmtId="180" fontId="30" fillId="0" borderId="1" xfId="0" applyNumberFormat="1" applyFont="1" applyBorder="1" applyAlignment="1">
      <alignment horizontal="center" vertical="center"/>
    </xf>
    <xf numFmtId="190" fontId="5" fillId="0" borderId="1" xfId="0" applyNumberFormat="1" applyFont="1" applyBorder="1" applyAlignment="1">
      <alignment horizontal="center" vertical="center"/>
    </xf>
    <xf numFmtId="180" fontId="5" fillId="0" borderId="0" xfId="0" applyNumberFormat="1" applyFont="1" applyAlignment="1">
      <alignment horizontal="center" vertical="center"/>
    </xf>
    <xf numFmtId="14" fontId="28" fillId="0" borderId="0" xfId="8" applyNumberFormat="1" applyFont="1" applyAlignment="1">
      <alignment horizontal="center" vertical="center"/>
    </xf>
    <xf numFmtId="0" fontId="28" fillId="0" borderId="0" xfId="9" applyFont="1" applyAlignment="1">
      <alignment horizontal="center" vertical="center"/>
    </xf>
    <xf numFmtId="0" fontId="27" fillId="0" borderId="0" xfId="0" applyFont="1" applyProtection="1">
      <alignment vertical="center"/>
      <protection locked="0"/>
    </xf>
    <xf numFmtId="0" fontId="31" fillId="0" borderId="0" xfId="0" applyFont="1" applyProtection="1">
      <alignment vertical="center"/>
      <protection locked="0"/>
    </xf>
    <xf numFmtId="0" fontId="32" fillId="7" borderId="1" xfId="0" applyFont="1" applyFill="1" applyBorder="1" applyAlignment="1" applyProtection="1">
      <alignment horizontal="center" vertical="center"/>
      <protection locked="0"/>
    </xf>
    <xf numFmtId="177" fontId="33" fillId="0" borderId="1" xfId="0" applyNumberFormat="1" applyFont="1" applyBorder="1" applyAlignment="1">
      <alignment horizontal="center" vertical="center"/>
    </xf>
    <xf numFmtId="180" fontId="33" fillId="0" borderId="1" xfId="0" applyNumberFormat="1" applyFont="1" applyBorder="1" applyAlignment="1">
      <alignment horizontal="center" vertical="center"/>
    </xf>
    <xf numFmtId="0" fontId="34" fillId="7" borderId="1" xfId="0" applyFont="1" applyFill="1" applyBorder="1" applyAlignment="1" applyProtection="1">
      <alignment horizontal="center" vertical="center"/>
      <protection locked="0"/>
    </xf>
    <xf numFmtId="0" fontId="35" fillId="0" borderId="1" xfId="0" applyFont="1" applyBorder="1" applyAlignment="1" applyProtection="1">
      <alignment horizontal="center" vertical="center"/>
      <protection locked="0"/>
    </xf>
    <xf numFmtId="180" fontId="32" fillId="7" borderId="1" xfId="0" applyNumberFormat="1" applyFont="1" applyFill="1" applyBorder="1" applyAlignment="1" applyProtection="1">
      <alignment horizontal="center" vertical="center"/>
      <protection locked="0"/>
    </xf>
    <xf numFmtId="0" fontId="35" fillId="0" borderId="1" xfId="2" applyFont="1" applyBorder="1" applyAlignment="1" applyProtection="1">
      <alignment horizontal="center" vertical="center"/>
      <protection locked="0"/>
    </xf>
    <xf numFmtId="38" fontId="35" fillId="0" borderId="1" xfId="0" applyNumberFormat="1" applyFont="1" applyBorder="1" applyProtection="1">
      <alignment vertical="center"/>
      <protection locked="0"/>
    </xf>
    <xf numFmtId="38" fontId="32" fillId="0" borderId="1" xfId="0" applyNumberFormat="1" applyFont="1" applyBorder="1" applyProtection="1">
      <alignment vertical="center"/>
      <protection locked="0"/>
    </xf>
    <xf numFmtId="177" fontId="35" fillId="0" borderId="1" xfId="2" applyNumberFormat="1" applyFont="1" applyBorder="1" applyAlignment="1" applyProtection="1">
      <alignment horizontal="center" vertical="center"/>
      <protection locked="0"/>
    </xf>
    <xf numFmtId="177" fontId="35" fillId="0" borderId="1" xfId="0" applyNumberFormat="1" applyFont="1" applyBorder="1" applyAlignment="1" applyProtection="1">
      <alignment horizontal="center" vertical="center"/>
      <protection locked="0"/>
    </xf>
    <xf numFmtId="177" fontId="32" fillId="21" borderId="1" xfId="0" applyNumberFormat="1" applyFont="1" applyFill="1" applyBorder="1" applyAlignment="1" applyProtection="1">
      <alignment horizontal="center" vertical="center"/>
      <protection locked="0"/>
    </xf>
    <xf numFmtId="38" fontId="32" fillId="21" borderId="1" xfId="0" applyNumberFormat="1" applyFont="1" applyFill="1" applyBorder="1" applyProtection="1">
      <alignment vertical="center"/>
      <protection locked="0"/>
    </xf>
    <xf numFmtId="0" fontId="35" fillId="22" borderId="1" xfId="0" applyFont="1" applyFill="1" applyBorder="1" applyAlignment="1" applyProtection="1">
      <alignment horizontal="center" vertical="center"/>
      <protection locked="0"/>
    </xf>
    <xf numFmtId="38" fontId="35" fillId="22" borderId="1" xfId="0" applyNumberFormat="1" applyFont="1" applyFill="1" applyBorder="1" applyProtection="1">
      <alignment vertical="center"/>
      <protection locked="0"/>
    </xf>
    <xf numFmtId="0" fontId="32" fillId="17" borderId="1" xfId="0" applyFont="1" applyFill="1" applyBorder="1" applyAlignment="1" applyProtection="1">
      <alignment horizontal="center" vertical="center"/>
      <protection locked="0"/>
    </xf>
    <xf numFmtId="38" fontId="32" fillId="17" borderId="1" xfId="0" applyNumberFormat="1" applyFont="1" applyFill="1" applyBorder="1" applyProtection="1">
      <alignment vertical="center"/>
      <protection locked="0"/>
    </xf>
    <xf numFmtId="186" fontId="36" fillId="0" borderId="0" xfId="0" applyNumberFormat="1" applyFont="1" applyAlignment="1">
      <alignment horizontal="right" vertical="center"/>
    </xf>
    <xf numFmtId="0" fontId="34" fillId="0" borderId="0" xfId="0" applyFont="1" applyProtection="1">
      <alignment vertical="center"/>
      <protection locked="0"/>
    </xf>
    <xf numFmtId="0" fontId="37" fillId="0" borderId="0" xfId="0" applyFont="1" applyProtection="1">
      <alignment vertical="center"/>
      <protection locked="0"/>
    </xf>
    <xf numFmtId="0" fontId="38" fillId="0" borderId="0" xfId="0" applyFont="1" applyProtection="1">
      <alignment vertical="center"/>
      <protection locked="0"/>
    </xf>
    <xf numFmtId="0" fontId="37" fillId="0" borderId="0" xfId="0" applyFont="1">
      <alignment vertical="center"/>
    </xf>
    <xf numFmtId="0" fontId="38" fillId="0" borderId="0" xfId="0" applyFont="1">
      <alignment vertical="center"/>
    </xf>
    <xf numFmtId="0" fontId="33" fillId="0" borderId="0" xfId="0" applyFont="1" applyProtection="1">
      <alignment vertical="center"/>
      <protection locked="0"/>
    </xf>
    <xf numFmtId="0" fontId="36" fillId="0" borderId="0" xfId="0" applyFont="1">
      <alignment vertical="center"/>
    </xf>
    <xf numFmtId="181" fontId="35" fillId="0" borderId="0" xfId="0" applyNumberFormat="1" applyFont="1" applyAlignment="1" applyProtection="1">
      <alignment horizontal="center" vertical="center"/>
      <protection locked="0"/>
    </xf>
    <xf numFmtId="178" fontId="32" fillId="7" borderId="0" xfId="0" applyNumberFormat="1" applyFont="1" applyFill="1" applyAlignment="1" applyProtection="1">
      <alignment horizontal="center" vertical="center"/>
      <protection locked="0"/>
    </xf>
    <xf numFmtId="0" fontId="35" fillId="0" borderId="0" xfId="0" applyFont="1" applyProtection="1">
      <alignment vertical="center"/>
      <protection locked="0"/>
    </xf>
    <xf numFmtId="186" fontId="38" fillId="0" borderId="0" xfId="0" applyNumberFormat="1" applyFont="1">
      <alignment vertical="center"/>
    </xf>
    <xf numFmtId="24" fontId="38" fillId="0" borderId="0" xfId="0" applyNumberFormat="1" applyFont="1">
      <alignment vertical="center"/>
    </xf>
    <xf numFmtId="0" fontId="34" fillId="0" borderId="1" xfId="0" applyFont="1" applyBorder="1" applyAlignment="1" applyProtection="1">
      <alignment horizontal="center" vertical="center"/>
      <protection locked="0"/>
    </xf>
    <xf numFmtId="0" fontId="39" fillId="0" borderId="0" xfId="0" applyFont="1">
      <alignment vertical="center"/>
    </xf>
    <xf numFmtId="38" fontId="35" fillId="0" borderId="1" xfId="0" applyNumberFormat="1" applyFont="1" applyBorder="1" applyAlignment="1" applyProtection="1">
      <alignment horizontal="center" vertical="center"/>
      <protection locked="0"/>
    </xf>
    <xf numFmtId="0" fontId="38" fillId="0" borderId="0" xfId="0" applyFont="1" applyAlignment="1">
      <alignment horizontal="center" vertical="center"/>
    </xf>
    <xf numFmtId="181" fontId="35" fillId="0" borderId="0" xfId="0" applyNumberFormat="1" applyFont="1" applyAlignment="1">
      <alignment horizontal="center" vertical="center"/>
    </xf>
    <xf numFmtId="0" fontId="35" fillId="0" borderId="0" xfId="0" applyFont="1">
      <alignment vertical="center"/>
    </xf>
    <xf numFmtId="0" fontId="34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5" fillId="0" borderId="1" xfId="2" applyFont="1" applyBorder="1" applyAlignment="1">
      <alignment horizontal="center" vertical="center"/>
    </xf>
    <xf numFmtId="38" fontId="35" fillId="0" borderId="1" xfId="0" applyNumberFormat="1" applyFont="1" applyBorder="1">
      <alignment vertical="center"/>
    </xf>
    <xf numFmtId="0" fontId="32" fillId="18" borderId="1" xfId="2" applyFont="1" applyFill="1" applyBorder="1" applyAlignment="1">
      <alignment horizontal="center" vertical="center"/>
    </xf>
    <xf numFmtId="38" fontId="35" fillId="18" borderId="1" xfId="0" applyNumberFormat="1" applyFont="1" applyFill="1" applyBorder="1">
      <alignment vertical="center"/>
    </xf>
    <xf numFmtId="38" fontId="32" fillId="18" borderId="1" xfId="0" applyNumberFormat="1" applyFont="1" applyFill="1" applyBorder="1">
      <alignment vertical="center"/>
    </xf>
    <xf numFmtId="177" fontId="35" fillId="16" borderId="1" xfId="0" applyNumberFormat="1" applyFont="1" applyFill="1" applyBorder="1" applyAlignment="1">
      <alignment horizontal="center" vertical="center"/>
    </xf>
    <xf numFmtId="38" fontId="35" fillId="16" borderId="1" xfId="0" applyNumberFormat="1" applyFont="1" applyFill="1" applyBorder="1">
      <alignment vertical="center"/>
    </xf>
    <xf numFmtId="38" fontId="35" fillId="0" borderId="1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1" fillId="0" borderId="0" xfId="0" applyFont="1">
      <alignment vertical="center"/>
    </xf>
    <xf numFmtId="0" fontId="41" fillId="0" borderId="0" xfId="0" applyFont="1" applyAlignment="1">
      <alignment horizontal="center" vertical="center"/>
    </xf>
    <xf numFmtId="190" fontId="41" fillId="18" borderId="1" xfId="0" applyNumberFormat="1" applyFont="1" applyFill="1" applyBorder="1" applyAlignment="1">
      <alignment horizontal="center" vertical="center"/>
    </xf>
    <xf numFmtId="0" fontId="41" fillId="18" borderId="1" xfId="0" applyFont="1" applyFill="1" applyBorder="1" applyAlignment="1">
      <alignment horizontal="center" vertical="center"/>
    </xf>
    <xf numFmtId="177" fontId="42" fillId="7" borderId="1" xfId="0" applyNumberFormat="1" applyFont="1" applyFill="1" applyBorder="1" applyAlignment="1">
      <alignment horizontal="right" vertical="center"/>
    </xf>
    <xf numFmtId="0" fontId="41" fillId="0" borderId="0" xfId="0" applyFont="1" applyAlignment="1">
      <alignment horizontal="right" vertical="center"/>
    </xf>
    <xf numFmtId="197" fontId="41" fillId="0" borderId="0" xfId="0" applyNumberFormat="1" applyFont="1">
      <alignment vertical="center"/>
    </xf>
    <xf numFmtId="0" fontId="43" fillId="0" borderId="1" xfId="0" applyFont="1" applyBorder="1" applyAlignment="1">
      <alignment horizontal="center" vertical="center"/>
    </xf>
    <xf numFmtId="177" fontId="43" fillId="0" borderId="1" xfId="0" applyNumberFormat="1" applyFont="1" applyBorder="1">
      <alignment vertical="center"/>
    </xf>
    <xf numFmtId="177" fontId="41" fillId="0" borderId="1" xfId="0" applyNumberFormat="1" applyFont="1" applyBorder="1" applyAlignment="1">
      <alignment horizontal="right" vertical="center"/>
    </xf>
    <xf numFmtId="196" fontId="44" fillId="23" borderId="6" xfId="0" applyNumberFormat="1" applyFont="1" applyFill="1" applyBorder="1" applyAlignment="1">
      <alignment horizontal="center" vertical="center"/>
    </xf>
    <xf numFmtId="0" fontId="38" fillId="16" borderId="1" xfId="0" applyFont="1" applyFill="1" applyBorder="1" applyAlignment="1">
      <alignment horizontal="center" vertical="center"/>
    </xf>
    <xf numFmtId="190" fontId="38" fillId="18" borderId="1" xfId="0" applyNumberFormat="1" applyFont="1" applyFill="1" applyBorder="1" applyAlignment="1">
      <alignment horizontal="center" vertical="center"/>
    </xf>
    <xf numFmtId="0" fontId="38" fillId="18" borderId="1" xfId="0" applyFont="1" applyFill="1" applyBorder="1" applyAlignment="1">
      <alignment horizontal="center" vertical="center"/>
    </xf>
    <xf numFmtId="177" fontId="45" fillId="0" borderId="1" xfId="0" applyNumberFormat="1" applyFont="1" applyBorder="1" applyAlignment="1">
      <alignment horizontal="right" vertical="center"/>
    </xf>
    <xf numFmtId="177" fontId="46" fillId="0" borderId="1" xfId="0" applyNumberFormat="1" applyFont="1" applyBorder="1" applyAlignment="1">
      <alignment horizontal="right" vertical="center"/>
    </xf>
    <xf numFmtId="177" fontId="38" fillId="0" borderId="1" xfId="0" applyNumberFormat="1" applyFont="1" applyBorder="1" applyAlignment="1">
      <alignment horizontal="right" vertical="center"/>
    </xf>
    <xf numFmtId="177" fontId="47" fillId="24" borderId="1" xfId="0" applyNumberFormat="1" applyFont="1" applyFill="1" applyBorder="1">
      <alignment vertical="center"/>
    </xf>
    <xf numFmtId="177" fontId="45" fillId="24" borderId="1" xfId="0" applyNumberFormat="1" applyFont="1" applyFill="1" applyBorder="1">
      <alignment vertical="center"/>
    </xf>
    <xf numFmtId="177" fontId="46" fillId="24" borderId="1" xfId="0" applyNumberFormat="1" applyFont="1" applyFill="1" applyBorder="1">
      <alignment vertical="center"/>
    </xf>
    <xf numFmtId="177" fontId="38" fillId="24" borderId="1" xfId="0" applyNumberFormat="1" applyFont="1" applyFill="1" applyBorder="1">
      <alignment vertical="center"/>
    </xf>
    <xf numFmtId="0" fontId="48" fillId="0" borderId="6" xfId="0" applyFont="1" applyBorder="1" applyAlignment="1">
      <alignment horizontal="center" vertical="center"/>
    </xf>
    <xf numFmtId="186" fontId="49" fillId="0" borderId="0" xfId="0" applyNumberFormat="1" applyFont="1">
      <alignment vertical="center"/>
    </xf>
    <xf numFmtId="0" fontId="49" fillId="0" borderId="0" xfId="0" applyFont="1">
      <alignment vertical="center"/>
    </xf>
    <xf numFmtId="0" fontId="48" fillId="25" borderId="1" xfId="0" applyFont="1" applyFill="1" applyBorder="1" applyAlignment="1">
      <alignment horizontal="center" vertical="center"/>
    </xf>
    <xf numFmtId="0" fontId="48" fillId="25" borderId="1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/>
    </xf>
    <xf numFmtId="177" fontId="49" fillId="0" borderId="0" xfId="0" applyNumberFormat="1" applyFont="1">
      <alignment vertical="center"/>
    </xf>
    <xf numFmtId="0" fontId="49" fillId="0" borderId="0" xfId="0" applyFont="1" applyAlignment="1">
      <alignment horizontal="right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52" fillId="0" borderId="0" xfId="0" applyFont="1">
      <alignment vertical="center"/>
    </xf>
    <xf numFmtId="0" fontId="16" fillId="0" borderId="0" xfId="0" applyFont="1" applyAlignment="1">
      <alignment horizontal="right" vertical="center"/>
    </xf>
    <xf numFmtId="14" fontId="16" fillId="0" borderId="0" xfId="0" applyNumberFormat="1" applyFont="1" applyAlignment="1">
      <alignment horizontal="left" vertical="center"/>
    </xf>
    <xf numFmtId="14" fontId="0" fillId="0" borderId="0" xfId="0" applyNumberFormat="1">
      <alignment vertical="center"/>
    </xf>
    <xf numFmtId="0" fontId="16" fillId="0" borderId="0" xfId="0" applyFont="1">
      <alignment vertical="center"/>
    </xf>
    <xf numFmtId="192" fontId="16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28" fillId="0" borderId="0" xfId="0" applyFont="1" applyAlignment="1">
      <alignment horizontal="left" vertical="center"/>
    </xf>
    <xf numFmtId="0" fontId="53" fillId="0" borderId="0" xfId="0" applyFont="1" applyAlignment="1">
      <alignment horizontal="center" vertical="center"/>
    </xf>
    <xf numFmtId="194" fontId="0" fillId="0" borderId="0" xfId="0" applyNumberFormat="1">
      <alignment vertical="center"/>
    </xf>
    <xf numFmtId="194" fontId="16" fillId="0" borderId="0" xfId="0" applyNumberFormat="1" applyFont="1">
      <alignment vertical="center"/>
    </xf>
    <xf numFmtId="177" fontId="53" fillId="14" borderId="1" xfId="9" applyNumberFormat="1" applyFont="1" applyFill="1" applyBorder="1" applyAlignment="1" applyProtection="1">
      <alignment horizontal="center" vertical="center"/>
      <protection locked="0"/>
    </xf>
    <xf numFmtId="177" fontId="53" fillId="26" borderId="1" xfId="9" applyNumberFormat="1" applyFont="1" applyFill="1" applyBorder="1" applyAlignment="1" applyProtection="1">
      <alignment horizontal="center" vertical="center"/>
      <protection locked="0"/>
    </xf>
    <xf numFmtId="177" fontId="53" fillId="0" borderId="0" xfId="9" applyNumberFormat="1" applyFont="1" applyAlignment="1" applyProtection="1">
      <alignment horizontal="center" vertical="center"/>
      <protection locked="0"/>
    </xf>
    <xf numFmtId="177" fontId="53" fillId="14" borderId="1" xfId="9" applyNumberFormat="1" applyFont="1" applyFill="1" applyBorder="1" applyAlignment="1">
      <alignment horizontal="center" vertical="center"/>
    </xf>
    <xf numFmtId="38" fontId="53" fillId="26" borderId="1" xfId="10" applyNumberFormat="1" applyFont="1" applyFill="1" applyBorder="1" applyAlignment="1">
      <alignment horizontal="center" vertical="center"/>
    </xf>
    <xf numFmtId="38" fontId="53" fillId="0" borderId="0" xfId="10" applyNumberFormat="1" applyFont="1" applyAlignment="1">
      <alignment horizontal="center" vertical="center"/>
    </xf>
    <xf numFmtId="14" fontId="28" fillId="0" borderId="1" xfId="8" applyNumberFormat="1" applyFont="1" applyBorder="1">
      <alignment vertical="center"/>
    </xf>
    <xf numFmtId="40" fontId="53" fillId="0" borderId="1" xfId="10" applyNumberFormat="1" applyFont="1" applyBorder="1" applyAlignment="1">
      <alignment horizontal="center" vertical="center"/>
    </xf>
    <xf numFmtId="40" fontId="0" fillId="0" borderId="1" xfId="0" applyNumberFormat="1" applyBorder="1">
      <alignment vertical="center"/>
    </xf>
    <xf numFmtId="40" fontId="0" fillId="0" borderId="1" xfId="0" applyNumberFormat="1" applyBorder="1" applyAlignment="1">
      <alignment horizontal="center" vertical="center"/>
    </xf>
    <xf numFmtId="192" fontId="0" fillId="0" borderId="1" xfId="0" applyNumberFormat="1" applyBorder="1">
      <alignment vertical="center"/>
    </xf>
    <xf numFmtId="0" fontId="28" fillId="0" borderId="1" xfId="9" applyFont="1" applyBorder="1">
      <alignment vertical="center"/>
    </xf>
    <xf numFmtId="40" fontId="0" fillId="0" borderId="0" xfId="0" applyNumberFormat="1" applyAlignment="1">
      <alignment horizontal="center" vertical="center"/>
    </xf>
    <xf numFmtId="200" fontId="0" fillId="0" borderId="0" xfId="0" applyNumberFormat="1" applyAlignment="1">
      <alignment horizontal="center" vertical="center"/>
    </xf>
    <xf numFmtId="38" fontId="0" fillId="0" borderId="0" xfId="0" applyNumberFormat="1" applyAlignment="1">
      <alignment horizontal="center" vertical="center"/>
    </xf>
    <xf numFmtId="0" fontId="22" fillId="5" borderId="1" xfId="0" applyFont="1" applyFill="1" applyBorder="1" applyAlignment="1">
      <alignment horizontal="left" vertical="center"/>
    </xf>
    <xf numFmtId="191" fontId="22" fillId="5" borderId="1" xfId="8" applyNumberFormat="1" applyFont="1" applyFill="1" applyBorder="1">
      <alignment vertical="center"/>
    </xf>
    <xf numFmtId="200" fontId="0" fillId="27" borderId="1" xfId="0" applyNumberFormat="1" applyFill="1" applyBorder="1" applyAlignment="1">
      <alignment horizontal="center" vertical="center"/>
    </xf>
    <xf numFmtId="192" fontId="22" fillId="27" borderId="1" xfId="8" applyNumberFormat="1" applyFont="1" applyFill="1" applyBorder="1" applyAlignment="1">
      <alignment horizontal="center" vertical="center"/>
    </xf>
    <xf numFmtId="192" fontId="0" fillId="0" borderId="0" xfId="0" applyNumberFormat="1">
      <alignment vertical="center"/>
    </xf>
    <xf numFmtId="0" fontId="28" fillId="0" borderId="1" xfId="0" applyFont="1" applyBorder="1" applyAlignment="1">
      <alignment horizontal="center" vertical="center"/>
    </xf>
    <xf numFmtId="186" fontId="29" fillId="7" borderId="1" xfId="9" applyNumberFormat="1" applyFont="1" applyFill="1" applyBorder="1" applyAlignment="1" applyProtection="1">
      <alignment horizontal="center" vertical="center"/>
      <protection locked="0"/>
    </xf>
    <xf numFmtId="194" fontId="28" fillId="0" borderId="1" xfId="9" applyNumberFormat="1" applyFont="1" applyBorder="1" applyAlignment="1">
      <alignment horizontal="right" vertical="center"/>
    </xf>
    <xf numFmtId="200" fontId="0" fillId="0" borderId="1" xfId="0" applyNumberFormat="1" applyBorder="1" applyAlignment="1">
      <alignment horizontal="center" vertical="center"/>
    </xf>
    <xf numFmtId="38" fontId="0" fillId="0" borderId="1" xfId="0" applyNumberFormat="1" applyBorder="1" applyAlignment="1">
      <alignment horizontal="center" vertical="center"/>
    </xf>
    <xf numFmtId="186" fontId="0" fillId="0" borderId="0" xfId="0" applyNumberFormat="1">
      <alignment vertical="center"/>
    </xf>
    <xf numFmtId="200" fontId="0" fillId="0" borderId="0" xfId="0" applyNumberFormat="1">
      <alignment vertical="center"/>
    </xf>
    <xf numFmtId="177" fontId="0" fillId="0" borderId="1" xfId="0" applyNumberFormat="1" applyBorder="1">
      <alignment vertical="center"/>
    </xf>
    <xf numFmtId="194" fontId="53" fillId="0" borderId="1" xfId="9" applyNumberFormat="1" applyFont="1" applyBorder="1" applyAlignment="1">
      <alignment horizontal="right" vertical="center"/>
    </xf>
    <xf numFmtId="38" fontId="0" fillId="0" borderId="1" xfId="0" applyNumberFormat="1" applyBorder="1" applyAlignment="1">
      <alignment horizontal="right" vertical="center"/>
    </xf>
    <xf numFmtId="195" fontId="28" fillId="0" borderId="0" xfId="9" applyNumberFormat="1" applyFont="1" applyAlignment="1">
      <alignment horizontal="center" vertical="center"/>
    </xf>
    <xf numFmtId="0" fontId="54" fillId="0" borderId="0" xfId="0" applyFont="1">
      <alignment vertical="center"/>
    </xf>
    <xf numFmtId="0" fontId="0" fillId="0" borderId="1" xfId="0" applyBorder="1" applyAlignment="1">
      <alignment horizontal="center" vertical="center" wrapText="1"/>
    </xf>
    <xf numFmtId="38" fontId="11" fillId="7" borderId="1" xfId="0" applyNumberFormat="1" applyFont="1" applyFill="1" applyBorder="1">
      <alignment vertical="center"/>
    </xf>
    <xf numFmtId="38" fontId="25" fillId="0" borderId="1" xfId="0" applyNumberFormat="1" applyFont="1" applyBorder="1">
      <alignment vertical="center"/>
    </xf>
    <xf numFmtId="38" fontId="0" fillId="0" borderId="0" xfId="0" applyNumberFormat="1">
      <alignment vertical="center"/>
    </xf>
    <xf numFmtId="177" fontId="28" fillId="0" borderId="1" xfId="9" applyNumberFormat="1" applyFont="1" applyBorder="1">
      <alignment vertical="center"/>
    </xf>
    <xf numFmtId="38" fontId="0" fillId="0" borderId="1" xfId="0" applyNumberFormat="1" applyBorder="1">
      <alignment vertical="center"/>
    </xf>
    <xf numFmtId="14" fontId="55" fillId="14" borderId="1" xfId="9" applyNumberFormat="1" applyFont="1" applyFill="1" applyBorder="1" applyAlignment="1">
      <alignment horizontal="center" vertical="center"/>
    </xf>
    <xf numFmtId="0" fontId="56" fillId="0" borderId="1" xfId="0" applyFont="1" applyBorder="1" applyAlignment="1">
      <alignment horizontal="center" vertical="center" wrapText="1"/>
    </xf>
    <xf numFmtId="0" fontId="55" fillId="0" borderId="0" xfId="0" applyFont="1" applyAlignment="1">
      <alignment horizontal="center" vertical="center"/>
    </xf>
    <xf numFmtId="177" fontId="29" fillId="0" borderId="0" xfId="12" applyNumberFormat="1" applyFont="1" applyAlignment="1">
      <alignment horizontal="center" vertical="center"/>
    </xf>
    <xf numFmtId="177" fontId="57" fillId="0" borderId="0" xfId="12" applyNumberFormat="1" applyFont="1" applyAlignment="1">
      <alignment horizontal="center" vertical="center"/>
    </xf>
    <xf numFmtId="176" fontId="5" fillId="28" borderId="7" xfId="12" applyFont="1" applyFill="1" applyBorder="1">
      <alignment vertical="center"/>
    </xf>
    <xf numFmtId="38" fontId="5" fillId="28" borderId="7" xfId="12" applyNumberFormat="1" applyFont="1" applyFill="1" applyBorder="1">
      <alignment vertical="center"/>
    </xf>
    <xf numFmtId="176" fontId="8" fillId="0" borderId="0" xfId="12" applyFont="1">
      <alignment vertical="center"/>
    </xf>
    <xf numFmtId="0" fontId="5" fillId="28" borderId="7" xfId="0" applyFont="1" applyFill="1" applyBorder="1">
      <alignment vertical="center"/>
    </xf>
    <xf numFmtId="38" fontId="5" fillId="28" borderId="7" xfId="0" applyNumberFormat="1" applyFont="1" applyFill="1" applyBorder="1">
      <alignment vertical="center"/>
    </xf>
    <xf numFmtId="186" fontId="5" fillId="0" borderId="1" xfId="0" applyNumberFormat="1" applyFont="1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4" xfId="0" applyBorder="1">
      <alignment vertical="center"/>
    </xf>
    <xf numFmtId="0" fontId="0" fillId="28" borderId="1" xfId="0" applyFill="1" applyBorder="1">
      <alignment vertical="center"/>
    </xf>
    <xf numFmtId="0" fontId="0" fillId="28" borderId="1" xfId="0" applyFill="1" applyBorder="1" applyAlignment="1">
      <alignment vertical="center" wrapText="1"/>
    </xf>
    <xf numFmtId="193" fontId="0" fillId="0" borderId="1" xfId="0" applyNumberFormat="1" applyBorder="1">
      <alignment vertical="center"/>
    </xf>
    <xf numFmtId="14" fontId="22" fillId="0" borderId="1" xfId="0" applyNumberFormat="1" applyFont="1" applyBorder="1">
      <alignment vertical="center"/>
    </xf>
    <xf numFmtId="193" fontId="0" fillId="28" borderId="1" xfId="0" applyNumberFormat="1" applyFill="1" applyBorder="1">
      <alignment vertical="center"/>
    </xf>
    <xf numFmtId="177" fontId="0" fillId="28" borderId="1" xfId="0" applyNumberFormat="1" applyFill="1" applyBorder="1">
      <alignment vertical="center"/>
    </xf>
    <xf numFmtId="0" fontId="11" fillId="0" borderId="0" xfId="0" applyFont="1">
      <alignment vertical="center"/>
    </xf>
    <xf numFmtId="38" fontId="11" fillId="0" borderId="0" xfId="0" applyNumberFormat="1" applyFont="1">
      <alignment vertical="center"/>
    </xf>
    <xf numFmtId="195" fontId="20" fillId="0" borderId="0" xfId="9" applyNumberFormat="1" applyFont="1" applyAlignment="1">
      <alignment horizontal="center" vertical="center"/>
    </xf>
    <xf numFmtId="0" fontId="21" fillId="0" borderId="0" xfId="9" applyFont="1" applyAlignment="1">
      <alignment horizontal="center" vertical="center"/>
    </xf>
    <xf numFmtId="0" fontId="58" fillId="0" borderId="0" xfId="9" applyFont="1" applyAlignment="1">
      <alignment horizontal="center" vertical="center"/>
    </xf>
    <xf numFmtId="0" fontId="20" fillId="0" borderId="0" xfId="9" applyFont="1" applyAlignment="1">
      <alignment horizontal="center" vertical="center"/>
    </xf>
    <xf numFmtId="0" fontId="21" fillId="6" borderId="1" xfId="9" applyFont="1" applyFill="1" applyBorder="1" applyAlignment="1">
      <alignment horizontal="center" vertical="center"/>
    </xf>
    <xf numFmtId="0" fontId="59" fillId="7" borderId="1" xfId="9" applyFont="1" applyFill="1" applyBorder="1">
      <alignment vertical="center"/>
    </xf>
    <xf numFmtId="177" fontId="60" fillId="29" borderId="0" xfId="9" applyNumberFormat="1" applyFont="1" applyFill="1" applyAlignment="1">
      <alignment horizontal="center" vertical="center"/>
    </xf>
    <xf numFmtId="0" fontId="20" fillId="0" borderId="0" xfId="9" applyFont="1">
      <alignment vertical="center"/>
    </xf>
    <xf numFmtId="195" fontId="20" fillId="0" borderId="0" xfId="9" applyNumberFormat="1" applyFont="1">
      <alignment vertical="center"/>
    </xf>
    <xf numFmtId="195" fontId="61" fillId="30" borderId="1" xfId="9" applyNumberFormat="1" applyFont="1" applyFill="1" applyBorder="1" applyAlignment="1">
      <alignment horizontal="center" vertical="center"/>
    </xf>
    <xf numFmtId="0" fontId="61" fillId="31" borderId="1" xfId="13" applyNumberFormat="1" applyFont="1" applyFill="1" applyBorder="1" applyAlignment="1">
      <alignment horizontal="center" vertical="center"/>
    </xf>
    <xf numFmtId="195" fontId="62" fillId="31" borderId="1" xfId="9" applyNumberFormat="1" applyFont="1" applyFill="1" applyBorder="1" applyAlignment="1">
      <alignment horizontal="center" vertical="center" wrapText="1"/>
    </xf>
    <xf numFmtId="199" fontId="61" fillId="32" borderId="1" xfId="9" applyNumberFormat="1" applyFont="1" applyFill="1" applyBorder="1" applyAlignment="1">
      <alignment horizontal="center" vertical="center"/>
    </xf>
    <xf numFmtId="195" fontId="21" fillId="32" borderId="1" xfId="9" applyNumberFormat="1" applyFont="1" applyFill="1" applyBorder="1" applyAlignment="1">
      <alignment horizontal="center" vertical="center"/>
    </xf>
    <xf numFmtId="38" fontId="21" fillId="32" borderId="1" xfId="13" applyNumberFormat="1" applyFont="1" applyFill="1" applyBorder="1" applyAlignment="1">
      <alignment horizontal="center" vertical="center"/>
    </xf>
    <xf numFmtId="38" fontId="63" fillId="32" borderId="1" xfId="13" applyNumberFormat="1" applyFont="1" applyFill="1" applyBorder="1" applyAlignment="1">
      <alignment horizontal="center" vertical="center"/>
    </xf>
    <xf numFmtId="199" fontId="61" fillId="0" borderId="1" xfId="9" applyNumberFormat="1" applyFont="1" applyBorder="1" applyAlignment="1">
      <alignment horizontal="center" vertical="center"/>
    </xf>
    <xf numFmtId="38" fontId="21" fillId="31" borderId="1" xfId="13" applyNumberFormat="1" applyFont="1" applyFill="1" applyBorder="1" applyAlignment="1">
      <alignment horizontal="center" vertical="center"/>
    </xf>
    <xf numFmtId="195" fontId="21" fillId="31" borderId="1" xfId="9" applyNumberFormat="1" applyFont="1" applyFill="1" applyBorder="1" applyAlignment="1">
      <alignment horizontal="center" vertical="center"/>
    </xf>
    <xf numFmtId="195" fontId="21" fillId="13" borderId="1" xfId="9" applyNumberFormat="1" applyFont="1" applyFill="1" applyBorder="1" applyAlignment="1">
      <alignment horizontal="center" vertical="center"/>
    </xf>
    <xf numFmtId="195" fontId="21" fillId="28" borderId="1" xfId="9" applyNumberFormat="1" applyFont="1" applyFill="1" applyBorder="1" applyAlignment="1">
      <alignment horizontal="center" vertical="center"/>
    </xf>
    <xf numFmtId="199" fontId="61" fillId="28" borderId="1" xfId="9" applyNumberFormat="1" applyFont="1" applyFill="1" applyBorder="1" applyAlignment="1">
      <alignment horizontal="center" vertical="center"/>
    </xf>
    <xf numFmtId="38" fontId="21" fillId="28" borderId="1" xfId="13" applyNumberFormat="1" applyFont="1" applyFill="1" applyBorder="1" applyAlignment="1">
      <alignment horizontal="center" vertical="center"/>
    </xf>
    <xf numFmtId="38" fontId="21" fillId="0" borderId="1" xfId="13" applyNumberFormat="1" applyFont="1" applyBorder="1" applyAlignment="1">
      <alignment horizontal="center" vertical="center"/>
    </xf>
    <xf numFmtId="199" fontId="61" fillId="13" borderId="1" xfId="9" applyNumberFormat="1" applyFont="1" applyFill="1" applyBorder="1" applyAlignment="1">
      <alignment horizontal="center" vertical="center"/>
    </xf>
    <xf numFmtId="0" fontId="1" fillId="0" borderId="0" xfId="14">
      <alignment vertical="center"/>
    </xf>
    <xf numFmtId="0" fontId="64" fillId="0" borderId="0" xfId="14" applyFont="1">
      <alignment vertical="center"/>
    </xf>
    <xf numFmtId="202" fontId="64" fillId="0" borderId="0" xfId="14" applyNumberFormat="1" applyFont="1">
      <alignment vertical="center"/>
    </xf>
    <xf numFmtId="180" fontId="38" fillId="0" borderId="0" xfId="0" applyNumberFormat="1" applyFont="1">
      <alignment vertical="center"/>
    </xf>
    <xf numFmtId="186" fontId="38" fillId="0" borderId="0" xfId="0" applyNumberFormat="1" applyFont="1" applyAlignment="1">
      <alignment horizontal="center" vertical="center"/>
    </xf>
    <xf numFmtId="186" fontId="32" fillId="7" borderId="1" xfId="9" applyNumberFormat="1" applyFont="1" applyFill="1" applyBorder="1" applyAlignment="1" applyProtection="1">
      <alignment horizontal="center" vertical="center"/>
      <protection locked="0"/>
    </xf>
    <xf numFmtId="0" fontId="65" fillId="23" borderId="0" xfId="0" applyFont="1" applyFill="1" applyAlignment="1">
      <alignment horizontal="center" vertical="center"/>
    </xf>
    <xf numFmtId="198" fontId="65" fillId="23" borderId="0" xfId="0" applyNumberFormat="1" applyFont="1" applyFill="1" applyAlignment="1">
      <alignment horizontal="center" vertical="center"/>
    </xf>
    <xf numFmtId="181" fontId="35" fillId="0" borderId="0" xfId="0" applyNumberFormat="1" applyFont="1" applyProtection="1">
      <alignment vertical="center"/>
      <protection locked="0"/>
    </xf>
    <xf numFmtId="0" fontId="35" fillId="0" borderId="0" xfId="0" applyFont="1" applyAlignment="1">
      <alignment horizontal="center" vertical="center"/>
    </xf>
    <xf numFmtId="0" fontId="32" fillId="0" borderId="1" xfId="0" applyFont="1" applyBorder="1" applyAlignment="1" applyProtection="1">
      <alignment horizontal="center" vertical="center"/>
      <protection locked="0"/>
    </xf>
    <xf numFmtId="0" fontId="38" fillId="20" borderId="1" xfId="0" applyFont="1" applyFill="1" applyBorder="1" applyAlignment="1">
      <alignment horizontal="center" vertical="center"/>
    </xf>
    <xf numFmtId="0" fontId="48" fillId="0" borderId="6" xfId="0" applyFont="1" applyBorder="1">
      <alignment vertical="center"/>
    </xf>
    <xf numFmtId="0" fontId="67" fillId="0" borderId="0" xfId="0" applyFont="1" applyAlignment="1">
      <alignment horizontal="center" vertical="center"/>
    </xf>
    <xf numFmtId="186" fontId="6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7" fillId="25" borderId="1" xfId="0" applyFont="1" applyFill="1" applyBorder="1" applyAlignment="1">
      <alignment horizontal="center" vertical="center"/>
    </xf>
    <xf numFmtId="177" fontId="37" fillId="0" borderId="1" xfId="0" applyNumberFormat="1" applyFont="1" applyBorder="1" applyAlignment="1">
      <alignment horizontal="right" vertical="center"/>
    </xf>
    <xf numFmtId="177" fontId="37" fillId="0" borderId="1" xfId="0" applyNumberFormat="1" applyFont="1" applyBorder="1" applyAlignment="1">
      <alignment horizontal="center" vertical="center"/>
    </xf>
    <xf numFmtId="178" fontId="37" fillId="0" borderId="1" xfId="0" applyNumberFormat="1" applyFont="1" applyBorder="1" applyAlignment="1">
      <alignment horizontal="center" vertical="center"/>
    </xf>
    <xf numFmtId="177" fontId="37" fillId="24" borderId="1" xfId="0" applyNumberFormat="1" applyFont="1" applyFill="1" applyBorder="1" applyAlignment="1">
      <alignment horizontal="right" vertical="center"/>
    </xf>
    <xf numFmtId="0" fontId="32" fillId="25" borderId="1" xfId="0" applyFont="1" applyFill="1" applyBorder="1" applyAlignment="1">
      <alignment horizontal="center" vertical="center"/>
    </xf>
    <xf numFmtId="177" fontId="32" fillId="0" borderId="1" xfId="0" applyNumberFormat="1" applyFont="1" applyBorder="1" applyAlignment="1">
      <alignment horizontal="right" vertical="center"/>
    </xf>
    <xf numFmtId="178" fontId="32" fillId="0" borderId="1" xfId="0" applyNumberFormat="1" applyFont="1" applyBorder="1" applyAlignment="1">
      <alignment horizontal="right" vertical="center"/>
    </xf>
    <xf numFmtId="177" fontId="32" fillId="24" borderId="1" xfId="0" applyNumberFormat="1" applyFont="1" applyFill="1" applyBorder="1">
      <alignment vertical="center"/>
    </xf>
    <xf numFmtId="178" fontId="37" fillId="24" borderId="1" xfId="0" applyNumberFormat="1" applyFont="1" applyFill="1" applyBorder="1" applyAlignment="1">
      <alignment horizontal="center" vertical="center"/>
    </xf>
    <xf numFmtId="178" fontId="32" fillId="24" borderId="1" xfId="0" applyNumberFormat="1" applyFont="1" applyFill="1" applyBorder="1">
      <alignment vertical="center"/>
    </xf>
    <xf numFmtId="0" fontId="34" fillId="25" borderId="1" xfId="0" applyFont="1" applyFill="1" applyBorder="1" applyAlignment="1">
      <alignment horizontal="center" vertical="center"/>
    </xf>
    <xf numFmtId="0" fontId="35" fillId="25" borderId="1" xfId="0" applyFont="1" applyFill="1" applyBorder="1" applyAlignment="1">
      <alignment horizontal="center" vertical="center"/>
    </xf>
    <xf numFmtId="0" fontId="35" fillId="25" borderId="1" xfId="0" applyFont="1" applyFill="1" applyBorder="1" applyAlignment="1">
      <alignment horizontal="center" vertical="center" wrapText="1"/>
    </xf>
    <xf numFmtId="0" fontId="68" fillId="25" borderId="1" xfId="0" applyFont="1" applyFill="1" applyBorder="1" applyAlignment="1">
      <alignment horizontal="center" vertical="center"/>
    </xf>
    <xf numFmtId="178" fontId="45" fillId="0" borderId="1" xfId="0" applyNumberFormat="1" applyFont="1" applyBorder="1" applyAlignment="1">
      <alignment horizontal="right" vertical="center"/>
    </xf>
    <xf numFmtId="178" fontId="47" fillId="24" borderId="1" xfId="0" applyNumberFormat="1" applyFont="1" applyFill="1" applyBorder="1" applyAlignment="1">
      <alignment horizontal="right" vertical="center"/>
    </xf>
    <xf numFmtId="14" fontId="8" fillId="0" borderId="0" xfId="0" applyNumberFormat="1" applyFont="1">
      <alignment vertical="center"/>
    </xf>
    <xf numFmtId="190" fontId="8" fillId="0" borderId="0" xfId="0" applyNumberFormat="1" applyFont="1">
      <alignment vertical="center"/>
    </xf>
    <xf numFmtId="203" fontId="8" fillId="0" borderId="0" xfId="0" applyNumberFormat="1" applyFont="1">
      <alignment vertical="center"/>
    </xf>
    <xf numFmtId="0" fontId="8" fillId="0" borderId="0" xfId="0" quotePrefix="1" applyFont="1">
      <alignment vertical="center"/>
    </xf>
    <xf numFmtId="14" fontId="38" fillId="0" borderId="6" xfId="0" applyNumberFormat="1" applyFont="1" applyBorder="1">
      <alignment vertical="center"/>
    </xf>
    <xf numFmtId="190" fontId="34" fillId="18" borderId="1" xfId="0" applyNumberFormat="1" applyFont="1" applyFill="1" applyBorder="1" applyAlignment="1">
      <alignment horizontal="center" vertical="center"/>
    </xf>
    <xf numFmtId="190" fontId="69" fillId="18" borderId="1" xfId="0" applyNumberFormat="1" applyFont="1" applyFill="1" applyBorder="1" applyAlignment="1">
      <alignment horizontal="center" vertical="center"/>
    </xf>
    <xf numFmtId="0" fontId="35" fillId="33" borderId="0" xfId="0" applyFont="1" applyFill="1" applyAlignment="1">
      <alignment horizontal="center" vertical="center"/>
    </xf>
    <xf numFmtId="199" fontId="35" fillId="33" borderId="0" xfId="0" applyNumberFormat="1" applyFont="1" applyFill="1" applyAlignment="1" applyProtection="1">
      <alignment horizontal="center" vertical="center"/>
      <protection locked="0"/>
    </xf>
    <xf numFmtId="17" fontId="70" fillId="0" borderId="0" xfId="9" applyNumberFormat="1" applyFont="1" applyAlignment="1" applyProtection="1">
      <alignment horizontal="center" vertical="center"/>
      <protection locked="0"/>
    </xf>
    <xf numFmtId="17" fontId="28" fillId="0" borderId="0" xfId="9" applyNumberFormat="1" applyFont="1" applyAlignment="1">
      <alignment horizontal="center" vertical="center"/>
    </xf>
    <xf numFmtId="177" fontId="20" fillId="0" borderId="0" xfId="9" applyNumberFormat="1" applyFont="1" applyAlignment="1">
      <alignment horizontal="center" vertical="center"/>
    </xf>
    <xf numFmtId="0" fontId="20" fillId="34" borderId="1" xfId="9" applyFont="1" applyFill="1" applyBorder="1" applyAlignment="1">
      <alignment horizontal="center" vertical="center"/>
    </xf>
    <xf numFmtId="14" fontId="20" fillId="34" borderId="1" xfId="9" applyNumberFormat="1" applyFont="1" applyFill="1" applyBorder="1" applyAlignment="1">
      <alignment horizontal="center" vertical="center"/>
    </xf>
    <xf numFmtId="201" fontId="59" fillId="7" borderId="1" xfId="9" applyNumberFormat="1" applyFont="1" applyFill="1" applyBorder="1" applyAlignment="1">
      <alignment horizontal="center" vertical="center"/>
    </xf>
    <xf numFmtId="0" fontId="20" fillId="0" borderId="1" xfId="9" applyFont="1" applyBorder="1" applyAlignment="1">
      <alignment horizontal="center" vertical="center"/>
    </xf>
    <xf numFmtId="17" fontId="28" fillId="0" borderId="0" xfId="9" applyNumberFormat="1" applyFont="1">
      <alignment vertical="center"/>
    </xf>
    <xf numFmtId="38" fontId="20" fillId="0" borderId="0" xfId="9" applyNumberFormat="1" applyFont="1" applyAlignment="1">
      <alignment horizontal="center" vertical="center"/>
    </xf>
    <xf numFmtId="14" fontId="22" fillId="0" borderId="0" xfId="9" applyNumberFormat="1" applyFont="1">
      <alignment vertical="center"/>
    </xf>
    <xf numFmtId="195" fontId="28" fillId="0" borderId="0" xfId="9" applyNumberFormat="1" applyFont="1">
      <alignment vertical="center"/>
    </xf>
    <xf numFmtId="17" fontId="20" fillId="0" borderId="0" xfId="9" applyNumberFormat="1" applyFont="1">
      <alignment vertical="center"/>
    </xf>
    <xf numFmtId="204" fontId="28" fillId="0" borderId="0" xfId="9" applyNumberFormat="1" applyFont="1">
      <alignment vertical="center"/>
    </xf>
    <xf numFmtId="189" fontId="28" fillId="0" borderId="0" xfId="9" applyNumberFormat="1" applyFont="1">
      <alignment vertical="center"/>
    </xf>
    <xf numFmtId="205" fontId="28" fillId="0" borderId="0" xfId="9" applyNumberFormat="1" applyFont="1">
      <alignment vertical="center"/>
    </xf>
    <xf numFmtId="2" fontId="28" fillId="0" borderId="0" xfId="9" applyNumberFormat="1" applyFont="1">
      <alignment vertical="center"/>
    </xf>
    <xf numFmtId="38" fontId="28" fillId="0" borderId="0" xfId="9" applyNumberFormat="1" applyFont="1">
      <alignment vertical="center"/>
    </xf>
    <xf numFmtId="14" fontId="20" fillId="0" borderId="0" xfId="9" applyNumberFormat="1" applyFont="1">
      <alignment vertical="center"/>
    </xf>
    <xf numFmtId="17" fontId="20" fillId="0" borderId="0" xfId="9" applyNumberFormat="1" applyFont="1" applyAlignment="1">
      <alignment horizontal="center" vertical="center"/>
    </xf>
    <xf numFmtId="186" fontId="28" fillId="0" borderId="0" xfId="9" applyNumberFormat="1" applyFont="1">
      <alignment vertical="center"/>
    </xf>
    <xf numFmtId="14" fontId="58" fillId="0" borderId="0" xfId="9" applyNumberFormat="1" applyFont="1" applyAlignment="1">
      <alignment horizontal="center" vertical="center"/>
    </xf>
    <xf numFmtId="195" fontId="20" fillId="34" borderId="1" xfId="9" applyNumberFormat="1" applyFont="1" applyFill="1" applyBorder="1" applyAlignment="1">
      <alignment horizontal="center" vertical="center"/>
    </xf>
    <xf numFmtId="195" fontId="59" fillId="34" borderId="1" xfId="9" applyNumberFormat="1" applyFont="1" applyFill="1" applyBorder="1">
      <alignment vertical="center"/>
    </xf>
    <xf numFmtId="195" fontId="59" fillId="7" borderId="1" xfId="9" applyNumberFormat="1" applyFont="1" applyFill="1" applyBorder="1">
      <alignment vertical="center"/>
    </xf>
    <xf numFmtId="195" fontId="59" fillId="7" borderId="1" xfId="9" applyNumberFormat="1" applyFont="1" applyFill="1" applyBorder="1" applyAlignment="1">
      <alignment horizontal="center" vertical="center"/>
    </xf>
    <xf numFmtId="14" fontId="20" fillId="0" borderId="1" xfId="9" applyNumberFormat="1" applyFont="1" applyBorder="1" applyAlignment="1">
      <alignment horizontal="center" vertical="center"/>
    </xf>
    <xf numFmtId="204" fontId="28" fillId="0" borderId="0" xfId="9" applyNumberFormat="1" applyFont="1" applyAlignment="1">
      <alignment horizontal="center" vertical="center"/>
    </xf>
    <xf numFmtId="189" fontId="28" fillId="0" borderId="0" xfId="9" applyNumberFormat="1" applyFont="1" applyAlignment="1">
      <alignment horizontal="center" vertical="center"/>
    </xf>
    <xf numFmtId="17" fontId="20" fillId="35" borderId="1" xfId="9" applyNumberFormat="1" applyFont="1" applyFill="1" applyBorder="1" applyAlignment="1">
      <alignment horizontal="center" vertical="center"/>
    </xf>
    <xf numFmtId="2" fontId="20" fillId="35" borderId="1" xfId="9" applyNumberFormat="1" applyFont="1" applyFill="1" applyBorder="1" applyAlignment="1">
      <alignment horizontal="center" vertical="center"/>
    </xf>
    <xf numFmtId="14" fontId="20" fillId="35" borderId="1" xfId="9" applyNumberFormat="1" applyFont="1" applyFill="1" applyBorder="1" applyAlignment="1">
      <alignment horizontal="center" vertical="center"/>
    </xf>
    <xf numFmtId="186" fontId="20" fillId="35" borderId="1" xfId="9" applyNumberFormat="1" applyFont="1" applyFill="1" applyBorder="1" applyAlignment="1">
      <alignment horizontal="center" vertical="center"/>
    </xf>
    <xf numFmtId="186" fontId="20" fillId="35" borderId="0" xfId="9" applyNumberFormat="1" applyFont="1" applyFill="1" applyAlignment="1">
      <alignment horizontal="center" vertical="center"/>
    </xf>
    <xf numFmtId="10" fontId="59" fillId="36" borderId="0" xfId="9" applyNumberFormat="1" applyFont="1" applyFill="1" applyAlignment="1">
      <alignment horizontal="center" vertical="center"/>
    </xf>
    <xf numFmtId="186" fontId="20" fillId="0" borderId="0" xfId="9" applyNumberFormat="1" applyFont="1">
      <alignment vertical="center"/>
    </xf>
    <xf numFmtId="9" fontId="20" fillId="0" borderId="0" xfId="9" applyNumberFormat="1" applyFont="1" applyAlignment="1">
      <alignment horizontal="center" vertical="center"/>
    </xf>
    <xf numFmtId="176" fontId="20" fillId="0" borderId="0" xfId="12" applyFont="1" applyAlignment="1">
      <alignment horizontal="center" vertical="center"/>
    </xf>
    <xf numFmtId="40" fontId="20" fillId="0" borderId="0" xfId="9" applyNumberFormat="1" applyFont="1" applyAlignment="1">
      <alignment horizontal="center" vertical="center"/>
    </xf>
    <xf numFmtId="204" fontId="20" fillId="0" borderId="0" xfId="9" applyNumberFormat="1" applyFont="1" applyAlignment="1">
      <alignment horizontal="center" vertical="center"/>
    </xf>
    <xf numFmtId="189" fontId="20" fillId="0" borderId="0" xfId="9" applyNumberFormat="1" applyFont="1" applyAlignment="1">
      <alignment horizontal="center" vertical="center"/>
    </xf>
    <xf numFmtId="205" fontId="20" fillId="0" borderId="0" xfId="9" applyNumberFormat="1" applyFont="1" applyAlignment="1">
      <alignment horizontal="center" vertical="center"/>
    </xf>
    <xf numFmtId="2" fontId="20" fillId="0" borderId="0" xfId="9" applyNumberFormat="1" applyFont="1" applyAlignment="1">
      <alignment horizontal="center" vertical="center"/>
    </xf>
    <xf numFmtId="206" fontId="20" fillId="0" borderId="0" xfId="9" applyNumberFormat="1" applyFont="1" applyAlignment="1">
      <alignment horizontal="center" vertical="center"/>
    </xf>
    <xf numFmtId="0" fontId="58" fillId="0" borderId="0" xfId="9" applyFont="1">
      <alignment vertical="center"/>
    </xf>
    <xf numFmtId="38" fontId="71" fillId="0" borderId="0" xfId="9" applyNumberFormat="1" applyFont="1" applyAlignment="1">
      <alignment horizontal="center" vertical="center"/>
    </xf>
    <xf numFmtId="38" fontId="71" fillId="0" borderId="1" xfId="9" applyNumberFormat="1" applyFont="1" applyBorder="1" applyAlignment="1">
      <alignment horizontal="center" vertical="center"/>
    </xf>
    <xf numFmtId="0" fontId="71" fillId="0" borderId="1" xfId="9" applyFont="1" applyBorder="1" applyAlignment="1">
      <alignment horizontal="center" vertical="center"/>
    </xf>
    <xf numFmtId="0" fontId="71" fillId="0" borderId="2" xfId="9" applyFont="1" applyBorder="1" applyAlignment="1">
      <alignment horizontal="center" vertical="center"/>
    </xf>
    <xf numFmtId="0" fontId="58" fillId="0" borderId="1" xfId="9" applyFont="1" applyBorder="1" applyAlignment="1">
      <alignment horizontal="center" vertical="center"/>
    </xf>
    <xf numFmtId="0" fontId="64" fillId="0" borderId="1" xfId="8" applyFont="1" applyBorder="1" applyAlignment="1">
      <alignment horizontal="center" vertical="center"/>
    </xf>
    <xf numFmtId="0" fontId="61" fillId="37" borderId="8" xfId="9" applyFont="1" applyFill="1" applyBorder="1" applyAlignment="1">
      <alignment horizontal="center" vertical="center" wrapText="1"/>
    </xf>
    <xf numFmtId="195" fontId="58" fillId="0" borderId="0" xfId="9" applyNumberFormat="1" applyFont="1" applyAlignment="1">
      <alignment horizontal="center" vertical="center"/>
    </xf>
    <xf numFmtId="2" fontId="61" fillId="0" borderId="1" xfId="9" applyNumberFormat="1" applyFont="1" applyBorder="1" applyAlignment="1">
      <alignment horizontal="center" vertical="center" wrapText="1"/>
    </xf>
    <xf numFmtId="38" fontId="72" fillId="38" borderId="1" xfId="9" applyNumberFormat="1" applyFont="1" applyFill="1" applyBorder="1" applyAlignment="1">
      <alignment horizontal="center" vertical="center" wrapText="1"/>
    </xf>
    <xf numFmtId="38" fontId="61" fillId="35" borderId="1" xfId="9" applyNumberFormat="1" applyFont="1" applyFill="1" applyBorder="1" applyAlignment="1">
      <alignment horizontal="center" vertical="center" wrapText="1"/>
    </xf>
    <xf numFmtId="186" fontId="62" fillId="38" borderId="1" xfId="9" applyNumberFormat="1" applyFont="1" applyFill="1" applyBorder="1" applyAlignment="1">
      <alignment horizontal="center" vertical="center" wrapText="1"/>
    </xf>
    <xf numFmtId="186" fontId="61" fillId="38" borderId="1" xfId="9" applyNumberFormat="1" applyFont="1" applyFill="1" applyBorder="1" applyAlignment="1">
      <alignment horizontal="center" vertical="center" wrapText="1"/>
    </xf>
    <xf numFmtId="186" fontId="61" fillId="10" borderId="1" xfId="9" applyNumberFormat="1" applyFont="1" applyFill="1" applyBorder="1" applyAlignment="1">
      <alignment horizontal="center" vertical="center" wrapText="1"/>
    </xf>
    <xf numFmtId="186" fontId="62" fillId="10" borderId="1" xfId="9" applyNumberFormat="1" applyFont="1" applyFill="1" applyBorder="1" applyAlignment="1">
      <alignment horizontal="center" vertical="center" wrapText="1"/>
    </xf>
    <xf numFmtId="186" fontId="21" fillId="10" borderId="1" xfId="9" applyNumberFormat="1" applyFont="1" applyFill="1" applyBorder="1" applyAlignment="1">
      <alignment horizontal="center" vertical="center" wrapText="1"/>
    </xf>
    <xf numFmtId="186" fontId="21" fillId="12" borderId="1" xfId="9" applyNumberFormat="1" applyFont="1" applyFill="1" applyBorder="1" applyAlignment="1">
      <alignment horizontal="center" vertical="center" wrapText="1"/>
    </xf>
    <xf numFmtId="186" fontId="21" fillId="10" borderId="5" xfId="9" applyNumberFormat="1" applyFont="1" applyFill="1" applyBorder="1" applyAlignment="1">
      <alignment horizontal="center" vertical="center" wrapText="1"/>
    </xf>
    <xf numFmtId="186" fontId="21" fillId="12" borderId="5" xfId="9" applyNumberFormat="1" applyFont="1" applyFill="1" applyBorder="1" applyAlignment="1">
      <alignment horizontal="center" vertical="center" wrapText="1"/>
    </xf>
    <xf numFmtId="186" fontId="21" fillId="12" borderId="9" xfId="9" applyNumberFormat="1" applyFont="1" applyFill="1" applyBorder="1" applyAlignment="1">
      <alignment horizontal="center" vertical="center" wrapText="1"/>
    </xf>
    <xf numFmtId="0" fontId="61" fillId="39" borderId="1" xfId="9" applyFont="1" applyFill="1" applyBorder="1" applyAlignment="1">
      <alignment horizontal="center" vertical="center" wrapText="1"/>
    </xf>
    <xf numFmtId="0" fontId="61" fillId="40" borderId="1" xfId="9" applyFont="1" applyFill="1" applyBorder="1" applyAlignment="1">
      <alignment horizontal="center" vertical="center" wrapText="1"/>
    </xf>
    <xf numFmtId="195" fontId="61" fillId="40" borderId="1" xfId="9" applyNumberFormat="1" applyFont="1" applyFill="1" applyBorder="1" applyAlignment="1">
      <alignment horizontal="center" vertical="center" wrapText="1"/>
    </xf>
    <xf numFmtId="38" fontId="61" fillId="40" borderId="1" xfId="9" applyNumberFormat="1" applyFont="1" applyFill="1" applyBorder="1" applyAlignment="1">
      <alignment horizontal="center" vertical="center" wrapText="1"/>
    </xf>
    <xf numFmtId="0" fontId="61" fillId="14" borderId="1" xfId="9" applyFont="1" applyFill="1" applyBorder="1" applyAlignment="1">
      <alignment horizontal="center" vertical="center"/>
    </xf>
    <xf numFmtId="0" fontId="61" fillId="18" borderId="1" xfId="9" applyFont="1" applyFill="1" applyBorder="1" applyAlignment="1">
      <alignment horizontal="center" vertical="center" wrapText="1"/>
    </xf>
    <xf numFmtId="38" fontId="61" fillId="0" borderId="1" xfId="9" applyNumberFormat="1" applyFont="1" applyBorder="1" applyAlignment="1">
      <alignment horizontal="center" vertical="center" wrapText="1"/>
    </xf>
    <xf numFmtId="204" fontId="61" fillId="0" borderId="1" xfId="9" applyNumberFormat="1" applyFont="1" applyBorder="1" applyAlignment="1">
      <alignment horizontal="center" vertical="center" wrapText="1"/>
    </xf>
    <xf numFmtId="189" fontId="61" fillId="0" borderId="1" xfId="9" applyNumberFormat="1" applyFont="1" applyBorder="1" applyAlignment="1">
      <alignment horizontal="center" vertical="center" wrapText="1"/>
    </xf>
    <xf numFmtId="205" fontId="61" fillId="0" borderId="1" xfId="9" applyNumberFormat="1" applyFont="1" applyBorder="1" applyAlignment="1">
      <alignment horizontal="center" vertical="center" wrapText="1"/>
    </xf>
    <xf numFmtId="0" fontId="62" fillId="0" borderId="1" xfId="9" applyFont="1" applyBorder="1" applyAlignment="1">
      <alignment horizontal="center" vertical="center" wrapText="1"/>
    </xf>
    <xf numFmtId="0" fontId="61" fillId="0" borderId="1" xfId="9" applyFont="1" applyBorder="1" applyAlignment="1">
      <alignment horizontal="center" vertical="center" wrapText="1"/>
    </xf>
    <xf numFmtId="178" fontId="73" fillId="38" borderId="1" xfId="9" applyNumberFormat="1" applyFont="1" applyFill="1" applyBorder="1" applyAlignment="1">
      <alignment horizontal="center" vertical="center"/>
    </xf>
    <xf numFmtId="189" fontId="73" fillId="10" borderId="1" xfId="9" applyNumberFormat="1" applyFont="1" applyFill="1" applyBorder="1" applyAlignment="1">
      <alignment horizontal="center" vertical="center"/>
    </xf>
    <xf numFmtId="189" fontId="73" fillId="38" borderId="1" xfId="9" applyNumberFormat="1" applyFont="1" applyFill="1" applyBorder="1" applyAlignment="1">
      <alignment horizontal="center" vertical="center"/>
    </xf>
    <xf numFmtId="189" fontId="73" fillId="12" borderId="1" xfId="9" applyNumberFormat="1" applyFont="1" applyFill="1" applyBorder="1" applyAlignment="1">
      <alignment horizontal="center" vertical="center"/>
    </xf>
    <xf numFmtId="189" fontId="73" fillId="12" borderId="7" xfId="9" applyNumberFormat="1" applyFont="1" applyFill="1" applyBorder="1" applyAlignment="1">
      <alignment horizontal="center" vertical="center"/>
    </xf>
    <xf numFmtId="195" fontId="17" fillId="32" borderId="1" xfId="9" applyNumberFormat="1" applyFont="1" applyFill="1" applyBorder="1" applyAlignment="1">
      <alignment horizontal="center" vertical="center"/>
    </xf>
    <xf numFmtId="177" fontId="61" fillId="32" borderId="1" xfId="9" applyNumberFormat="1" applyFont="1" applyFill="1" applyBorder="1" applyAlignment="1">
      <alignment horizontal="center" vertical="center"/>
    </xf>
    <xf numFmtId="177" fontId="62" fillId="32" borderId="1" xfId="9" applyNumberFormat="1" applyFont="1" applyFill="1" applyBorder="1" applyAlignment="1">
      <alignment horizontal="center" vertical="center"/>
    </xf>
    <xf numFmtId="195" fontId="62" fillId="32" borderId="1" xfId="9" applyNumberFormat="1" applyFont="1" applyFill="1" applyBorder="1" applyAlignment="1">
      <alignment horizontal="center" vertical="center"/>
    </xf>
    <xf numFmtId="177" fontId="74" fillId="32" borderId="1" xfId="9" applyNumberFormat="1" applyFont="1" applyFill="1" applyBorder="1" applyAlignment="1">
      <alignment horizontal="center" vertical="center"/>
    </xf>
    <xf numFmtId="194" fontId="64" fillId="32" borderId="1" xfId="14" applyNumberFormat="1" applyFont="1" applyFill="1" applyBorder="1">
      <alignment vertical="center"/>
    </xf>
    <xf numFmtId="38" fontId="74" fillId="32" borderId="1" xfId="9" applyNumberFormat="1" applyFont="1" applyFill="1" applyBorder="1" applyAlignment="1">
      <alignment horizontal="center" vertical="center"/>
    </xf>
    <xf numFmtId="204" fontId="74" fillId="32" borderId="1" xfId="9" applyNumberFormat="1" applyFont="1" applyFill="1" applyBorder="1" applyAlignment="1">
      <alignment horizontal="center" vertical="center"/>
    </xf>
    <xf numFmtId="189" fontId="74" fillId="32" borderId="1" xfId="9" applyNumberFormat="1" applyFont="1" applyFill="1" applyBorder="1" applyAlignment="1">
      <alignment horizontal="center" vertical="center"/>
    </xf>
    <xf numFmtId="205" fontId="63" fillId="32" borderId="1" xfId="9" applyNumberFormat="1" applyFont="1" applyFill="1" applyBorder="1" applyAlignment="1">
      <alignment horizontal="center" vertical="center"/>
    </xf>
    <xf numFmtId="195" fontId="21" fillId="32" borderId="1" xfId="9" quotePrefix="1" applyNumberFormat="1" applyFont="1" applyFill="1" applyBorder="1" applyAlignment="1">
      <alignment horizontal="center" vertical="center"/>
    </xf>
    <xf numFmtId="38" fontId="21" fillId="32" borderId="1" xfId="9" applyNumberFormat="1" applyFont="1" applyFill="1" applyBorder="1" applyAlignment="1">
      <alignment horizontal="center" vertical="center"/>
    </xf>
    <xf numFmtId="2" fontId="21" fillId="32" borderId="1" xfId="9" applyNumberFormat="1" applyFont="1" applyFill="1" applyBorder="1" applyAlignment="1">
      <alignment horizontal="center" vertical="center"/>
    </xf>
    <xf numFmtId="38" fontId="62" fillId="32" borderId="1" xfId="9" applyNumberFormat="1" applyFont="1" applyFill="1" applyBorder="1" applyAlignment="1">
      <alignment horizontal="center" vertical="center"/>
    </xf>
    <xf numFmtId="177" fontId="21" fillId="32" borderId="1" xfId="9" applyNumberFormat="1" applyFont="1" applyFill="1" applyBorder="1" applyAlignment="1">
      <alignment horizontal="center" vertical="center"/>
    </xf>
    <xf numFmtId="195" fontId="21" fillId="0" borderId="1" xfId="9" applyNumberFormat="1" applyFont="1" applyBorder="1" applyAlignment="1">
      <alignment horizontal="center" vertical="center"/>
    </xf>
    <xf numFmtId="195" fontId="17" fillId="5" borderId="1" xfId="9" applyNumberFormat="1" applyFont="1" applyFill="1" applyBorder="1" applyAlignment="1">
      <alignment horizontal="center" vertical="center"/>
    </xf>
    <xf numFmtId="177" fontId="21" fillId="39" borderId="1" xfId="9" applyNumberFormat="1" applyFont="1" applyFill="1" applyBorder="1" applyAlignment="1">
      <alignment horizontal="center" vertical="center"/>
    </xf>
    <xf numFmtId="177" fontId="21" fillId="40" borderId="1" xfId="9" applyNumberFormat="1" applyFont="1" applyFill="1" applyBorder="1" applyAlignment="1">
      <alignment horizontal="center" vertical="center"/>
    </xf>
    <xf numFmtId="195" fontId="21" fillId="40" borderId="1" xfId="9" applyNumberFormat="1" applyFont="1" applyFill="1" applyBorder="1" applyAlignment="1">
      <alignment horizontal="center" vertical="center"/>
    </xf>
    <xf numFmtId="178" fontId="21" fillId="40" borderId="1" xfId="9" applyNumberFormat="1" applyFont="1" applyFill="1" applyBorder="1" applyAlignment="1">
      <alignment horizontal="center" vertical="center"/>
    </xf>
    <xf numFmtId="38" fontId="21" fillId="40" borderId="1" xfId="13" applyNumberFormat="1" applyFont="1" applyFill="1" applyBorder="1" applyAlignment="1">
      <alignment horizontal="center" vertical="center"/>
    </xf>
    <xf numFmtId="177" fontId="21" fillId="14" borderId="1" xfId="9" applyNumberFormat="1" applyFont="1" applyFill="1" applyBorder="1" applyAlignment="1">
      <alignment horizontal="center" vertical="center"/>
    </xf>
    <xf numFmtId="177" fontId="21" fillId="18" borderId="1" xfId="9" applyNumberFormat="1" applyFont="1" applyFill="1" applyBorder="1" applyAlignment="1">
      <alignment horizontal="center" vertical="center"/>
    </xf>
    <xf numFmtId="202" fontId="21" fillId="18" borderId="1" xfId="9" applyNumberFormat="1" applyFont="1" applyFill="1" applyBorder="1" applyAlignment="1">
      <alignment horizontal="center" vertical="center"/>
    </xf>
    <xf numFmtId="194" fontId="64" fillId="41" borderId="1" xfId="14" applyNumberFormat="1" applyFont="1" applyFill="1" applyBorder="1">
      <alignment vertical="center"/>
    </xf>
    <xf numFmtId="38" fontId="21" fillId="0" borderId="1" xfId="9" applyNumberFormat="1" applyFont="1" applyBorder="1" applyAlignment="1">
      <alignment horizontal="center" vertical="center"/>
    </xf>
    <xf numFmtId="204" fontId="21" fillId="0" borderId="1" xfId="9" applyNumberFormat="1" applyFont="1" applyBorder="1" applyAlignment="1">
      <alignment horizontal="center" vertical="center"/>
    </xf>
    <xf numFmtId="189" fontId="21" fillId="0" borderId="1" xfId="9" applyNumberFormat="1" applyFont="1" applyBorder="1" applyAlignment="1">
      <alignment horizontal="center" vertical="center"/>
    </xf>
    <xf numFmtId="205" fontId="21" fillId="0" borderId="1" xfId="9" applyNumberFormat="1" applyFont="1" applyBorder="1" applyAlignment="1">
      <alignment horizontal="center" vertical="center"/>
    </xf>
    <xf numFmtId="2" fontId="21" fillId="0" borderId="1" xfId="9" applyNumberFormat="1" applyFont="1" applyBorder="1" applyAlignment="1">
      <alignment horizontal="center" vertical="center"/>
    </xf>
    <xf numFmtId="38" fontId="21" fillId="38" borderId="1" xfId="9" applyNumberFormat="1" applyFont="1" applyFill="1" applyBorder="1" applyAlignment="1">
      <alignment horizontal="center" vertical="center"/>
    </xf>
    <xf numFmtId="38" fontId="62" fillId="10" borderId="1" xfId="9" applyNumberFormat="1" applyFont="1" applyFill="1" applyBorder="1" applyAlignment="1">
      <alignment horizontal="center" vertical="center"/>
    </xf>
    <xf numFmtId="177" fontId="21" fillId="38" borderId="1" xfId="9" applyNumberFormat="1" applyFont="1" applyFill="1" applyBorder="1" applyAlignment="1">
      <alignment horizontal="center" vertical="center"/>
    </xf>
    <xf numFmtId="177" fontId="21" fillId="10" borderId="1" xfId="9" applyNumberFormat="1" applyFont="1" applyFill="1" applyBorder="1" applyAlignment="1">
      <alignment horizontal="center" vertical="center"/>
    </xf>
    <xf numFmtId="177" fontId="21" fillId="42" borderId="1" xfId="9" applyNumberFormat="1" applyFont="1" applyFill="1" applyBorder="1" applyAlignment="1">
      <alignment horizontal="center" vertical="center"/>
    </xf>
    <xf numFmtId="177" fontId="21" fillId="28" borderId="1" xfId="9" applyNumberFormat="1" applyFont="1" applyFill="1" applyBorder="1" applyAlignment="1">
      <alignment horizontal="center" vertical="center"/>
    </xf>
    <xf numFmtId="177" fontId="21" fillId="7" borderId="1" xfId="9" applyNumberFormat="1" applyFont="1" applyFill="1" applyBorder="1" applyAlignment="1">
      <alignment horizontal="center" vertical="center"/>
    </xf>
    <xf numFmtId="177" fontId="62" fillId="7" borderId="1" xfId="9" applyNumberFormat="1" applyFont="1" applyFill="1" applyBorder="1" applyAlignment="1">
      <alignment horizontal="center" vertical="center"/>
    </xf>
    <xf numFmtId="195" fontId="62" fillId="7" borderId="1" xfId="9" applyNumberFormat="1" applyFont="1" applyFill="1" applyBorder="1" applyAlignment="1">
      <alignment horizontal="center" vertical="center"/>
    </xf>
    <xf numFmtId="177" fontId="62" fillId="14" borderId="1" xfId="9" applyNumberFormat="1" applyFont="1" applyFill="1" applyBorder="1" applyAlignment="1">
      <alignment horizontal="center" vertical="center"/>
    </xf>
    <xf numFmtId="202" fontId="21" fillId="0" borderId="1" xfId="9" applyNumberFormat="1" applyFont="1" applyBorder="1" applyAlignment="1">
      <alignment horizontal="center" vertical="center"/>
    </xf>
    <xf numFmtId="178" fontId="62" fillId="32" borderId="1" xfId="9" applyNumberFormat="1" applyFont="1" applyFill="1" applyBorder="1" applyAlignment="1">
      <alignment horizontal="center" vertical="center"/>
    </xf>
    <xf numFmtId="202" fontId="74" fillId="32" borderId="1" xfId="9" applyNumberFormat="1" applyFont="1" applyFill="1" applyBorder="1" applyAlignment="1">
      <alignment horizontal="center" vertical="center"/>
    </xf>
    <xf numFmtId="202" fontId="21" fillId="32" borderId="1" xfId="9" applyNumberFormat="1" applyFont="1" applyFill="1" applyBorder="1" applyAlignment="1">
      <alignment horizontal="center" vertical="center"/>
    </xf>
    <xf numFmtId="205" fontId="74" fillId="32" borderId="1" xfId="9" applyNumberFormat="1" applyFont="1" applyFill="1" applyBorder="1" applyAlignment="1">
      <alignment horizontal="center" vertical="center"/>
    </xf>
    <xf numFmtId="2" fontId="74" fillId="32" borderId="1" xfId="9" applyNumberFormat="1" applyFont="1" applyFill="1" applyBorder="1" applyAlignment="1">
      <alignment horizontal="center" vertical="center"/>
    </xf>
    <xf numFmtId="38" fontId="21" fillId="10" borderId="1" xfId="9" applyNumberFormat="1" applyFont="1" applyFill="1" applyBorder="1" applyAlignment="1">
      <alignment horizontal="center" vertical="center"/>
    </xf>
    <xf numFmtId="177" fontId="62" fillId="38" borderId="1" xfId="9" applyNumberFormat="1" applyFont="1" applyFill="1" applyBorder="1" applyAlignment="1">
      <alignment horizontal="center" vertical="center"/>
    </xf>
    <xf numFmtId="195" fontId="17" fillId="28" borderId="1" xfId="9" applyNumberFormat="1" applyFont="1" applyFill="1" applyBorder="1" applyAlignment="1">
      <alignment horizontal="center" vertical="center"/>
    </xf>
    <xf numFmtId="202" fontId="21" fillId="28" borderId="1" xfId="9" applyNumberFormat="1" applyFont="1" applyFill="1" applyBorder="1" applyAlignment="1">
      <alignment horizontal="center" vertical="center"/>
    </xf>
    <xf numFmtId="178" fontId="62" fillId="40" borderId="1" xfId="9" applyNumberFormat="1" applyFont="1" applyFill="1" applyBorder="1" applyAlignment="1">
      <alignment horizontal="center" vertical="center"/>
    </xf>
    <xf numFmtId="202" fontId="74" fillId="18" borderId="1" xfId="9" applyNumberFormat="1" applyFont="1" applyFill="1" applyBorder="1" applyAlignment="1">
      <alignment horizontal="center" vertical="center"/>
    </xf>
    <xf numFmtId="202" fontId="74" fillId="7" borderId="1" xfId="9" applyNumberFormat="1" applyFont="1" applyFill="1" applyBorder="1" applyAlignment="1">
      <alignment horizontal="center" vertical="center"/>
    </xf>
    <xf numFmtId="205" fontId="74" fillId="0" borderId="1" xfId="9" applyNumberFormat="1" applyFont="1" applyBorder="1" applyAlignment="1">
      <alignment horizontal="center" vertical="center"/>
    </xf>
    <xf numFmtId="38" fontId="74" fillId="0" borderId="1" xfId="9" applyNumberFormat="1" applyFont="1" applyBorder="1" applyAlignment="1">
      <alignment horizontal="center" vertical="center"/>
    </xf>
    <xf numFmtId="2" fontId="74" fillId="0" borderId="1" xfId="9" applyNumberFormat="1" applyFont="1" applyBorder="1" applyAlignment="1">
      <alignment horizontal="center" vertical="center"/>
    </xf>
    <xf numFmtId="178" fontId="21" fillId="43" borderId="1" xfId="9" applyNumberFormat="1" applyFont="1" applyFill="1" applyBorder="1" applyAlignment="1">
      <alignment horizontal="center" vertical="center"/>
    </xf>
    <xf numFmtId="189" fontId="62" fillId="7" borderId="1" xfId="9" applyNumberFormat="1" applyFont="1" applyFill="1" applyBorder="1" applyAlignment="1">
      <alignment horizontal="center" vertical="center"/>
    </xf>
    <xf numFmtId="38" fontId="21" fillId="18" borderId="1" xfId="9" applyNumberFormat="1" applyFont="1" applyFill="1" applyBorder="1" applyAlignment="1">
      <alignment horizontal="center" vertical="center"/>
    </xf>
    <xf numFmtId="204" fontId="62" fillId="7" borderId="1" xfId="9" applyNumberFormat="1" applyFont="1" applyFill="1" applyBorder="1" applyAlignment="1">
      <alignment horizontal="center" vertical="center"/>
    </xf>
    <xf numFmtId="194" fontId="75" fillId="41" borderId="1" xfId="14" applyNumberFormat="1" applyFont="1" applyFill="1" applyBorder="1">
      <alignment vertical="center"/>
    </xf>
    <xf numFmtId="195" fontId="17" fillId="13" borderId="1" xfId="9" applyNumberFormat="1" applyFont="1" applyFill="1" applyBorder="1" applyAlignment="1">
      <alignment horizontal="center" vertical="center"/>
    </xf>
    <xf numFmtId="177" fontId="61" fillId="13" borderId="1" xfId="9" applyNumberFormat="1" applyFont="1" applyFill="1" applyBorder="1" applyAlignment="1">
      <alignment horizontal="center" vertical="center"/>
    </xf>
    <xf numFmtId="177" fontId="62" fillId="13" borderId="1" xfId="9" applyNumberFormat="1" applyFont="1" applyFill="1" applyBorder="1" applyAlignment="1">
      <alignment horizontal="center" vertical="center"/>
    </xf>
    <xf numFmtId="38" fontId="62" fillId="13" borderId="1" xfId="9" applyNumberFormat="1" applyFont="1" applyFill="1" applyBorder="1" applyAlignment="1">
      <alignment horizontal="center" vertical="center"/>
    </xf>
    <xf numFmtId="178" fontId="62" fillId="13" borderId="1" xfId="9" applyNumberFormat="1" applyFont="1" applyFill="1" applyBorder="1" applyAlignment="1">
      <alignment horizontal="center" vertical="center"/>
    </xf>
    <xf numFmtId="38" fontId="21" fillId="13" borderId="1" xfId="13" applyNumberFormat="1" applyFont="1" applyFill="1" applyBorder="1" applyAlignment="1">
      <alignment horizontal="center" vertical="center"/>
    </xf>
    <xf numFmtId="177" fontId="62" fillId="28" borderId="1" xfId="9" applyNumberFormat="1" applyFont="1" applyFill="1" applyBorder="1" applyAlignment="1">
      <alignment horizontal="center" vertical="center"/>
    </xf>
    <xf numFmtId="38" fontId="74" fillId="13" borderId="1" xfId="9" applyNumberFormat="1" applyFont="1" applyFill="1" applyBorder="1" applyAlignment="1">
      <alignment horizontal="center" vertical="center"/>
    </xf>
    <xf numFmtId="202" fontId="74" fillId="13" borderId="1" xfId="9" applyNumberFormat="1" applyFont="1" applyFill="1" applyBorder="1" applyAlignment="1">
      <alignment horizontal="center" vertical="center"/>
    </xf>
    <xf numFmtId="194" fontId="64" fillId="13" borderId="1" xfId="14" applyNumberFormat="1" applyFont="1" applyFill="1" applyBorder="1">
      <alignment vertical="center"/>
    </xf>
    <xf numFmtId="204" fontId="74" fillId="13" borderId="1" xfId="9" applyNumberFormat="1" applyFont="1" applyFill="1" applyBorder="1" applyAlignment="1">
      <alignment horizontal="center" vertical="center"/>
    </xf>
    <xf numFmtId="189" fontId="74" fillId="13" borderId="1" xfId="9" applyNumberFormat="1" applyFont="1" applyFill="1" applyBorder="1" applyAlignment="1">
      <alignment horizontal="center" vertical="center"/>
    </xf>
    <xf numFmtId="205" fontId="74" fillId="13" borderId="1" xfId="9" applyNumberFormat="1" applyFont="1" applyFill="1" applyBorder="1" applyAlignment="1">
      <alignment horizontal="center" vertical="center"/>
    </xf>
    <xf numFmtId="195" fontId="74" fillId="13" borderId="1" xfId="9" applyNumberFormat="1" applyFont="1" applyFill="1" applyBorder="1" applyAlignment="1">
      <alignment horizontal="center" vertical="center"/>
    </xf>
    <xf numFmtId="2" fontId="74" fillId="13" borderId="1" xfId="9" applyNumberFormat="1" applyFont="1" applyFill="1" applyBorder="1" applyAlignment="1">
      <alignment horizontal="center" vertical="center"/>
    </xf>
    <xf numFmtId="38" fontId="21" fillId="13" borderId="1" xfId="9" applyNumberFormat="1" applyFont="1" applyFill="1" applyBorder="1" applyAlignment="1">
      <alignment horizontal="center" vertical="center"/>
    </xf>
    <xf numFmtId="177" fontId="21" fillId="13" borderId="1" xfId="9" applyNumberFormat="1" applyFont="1" applyFill="1" applyBorder="1" applyAlignment="1">
      <alignment horizontal="center" vertical="center"/>
    </xf>
    <xf numFmtId="38" fontId="21" fillId="40" borderId="1" xfId="9" applyNumberFormat="1" applyFont="1" applyFill="1" applyBorder="1" applyAlignment="1">
      <alignment horizontal="center" vertical="center"/>
    </xf>
    <xf numFmtId="38" fontId="62" fillId="7" borderId="1" xfId="9" applyNumberFormat="1" applyFont="1" applyFill="1" applyBorder="1" applyAlignment="1">
      <alignment horizontal="center" vertical="center"/>
    </xf>
    <xf numFmtId="38" fontId="74" fillId="18" borderId="1" xfId="9" applyNumberFormat="1" applyFont="1" applyFill="1" applyBorder="1" applyAlignment="1">
      <alignment horizontal="center" vertical="center"/>
    </xf>
    <xf numFmtId="195" fontId="74" fillId="0" borderId="1" xfId="9" applyNumberFormat="1" applyFont="1" applyBorder="1" applyAlignment="1">
      <alignment horizontal="center" vertical="center"/>
    </xf>
    <xf numFmtId="0" fontId="76" fillId="0" borderId="0" xfId="15" applyFont="1" applyAlignment="1">
      <alignment horizontal="center" vertical="center" wrapText="1"/>
    </xf>
    <xf numFmtId="195" fontId="62" fillId="13" borderId="1" xfId="9" applyNumberFormat="1" applyFont="1" applyFill="1" applyBorder="1" applyAlignment="1">
      <alignment horizontal="center" vertical="center"/>
    </xf>
    <xf numFmtId="2" fontId="62" fillId="13" borderId="1" xfId="9" applyNumberFormat="1" applyFont="1" applyFill="1" applyBorder="1" applyAlignment="1">
      <alignment horizontal="center" vertical="center"/>
    </xf>
    <xf numFmtId="192" fontId="62" fillId="38" borderId="1" xfId="9" applyNumberFormat="1" applyFont="1" applyFill="1" applyBorder="1" applyAlignment="1">
      <alignment horizontal="center" vertical="center"/>
    </xf>
    <xf numFmtId="38" fontId="21" fillId="7" borderId="1" xfId="9" applyNumberFormat="1" applyFont="1" applyFill="1" applyBorder="1" applyAlignment="1">
      <alignment horizontal="center" vertical="center"/>
    </xf>
    <xf numFmtId="0" fontId="75" fillId="0" borderId="0" xfId="14" applyFont="1">
      <alignment vertical="center"/>
    </xf>
    <xf numFmtId="38" fontId="21" fillId="44" borderId="1" xfId="9" applyNumberFormat="1" applyFont="1" applyFill="1" applyBorder="1" applyAlignment="1">
      <alignment horizontal="center" vertical="center"/>
    </xf>
    <xf numFmtId="177" fontId="21" fillId="45" borderId="1" xfId="9" applyNumberFormat="1" applyFont="1" applyFill="1" applyBorder="1" applyAlignment="1">
      <alignment horizontal="center" vertical="center"/>
    </xf>
    <xf numFmtId="177" fontId="21" fillId="44" borderId="1" xfId="9" applyNumberFormat="1" applyFont="1" applyFill="1" applyBorder="1" applyAlignment="1">
      <alignment horizontal="center" vertical="center"/>
    </xf>
    <xf numFmtId="177" fontId="74" fillId="7" borderId="1" xfId="9" applyNumberFormat="1" applyFont="1" applyFill="1" applyBorder="1" applyAlignment="1">
      <alignment horizontal="center" vertical="center"/>
    </xf>
    <xf numFmtId="177" fontId="62" fillId="10" borderId="1" xfId="9" applyNumberFormat="1" applyFont="1" applyFill="1" applyBorder="1" applyAlignment="1">
      <alignment horizontal="center" vertical="center"/>
    </xf>
    <xf numFmtId="195" fontId="63" fillId="13" borderId="1" xfId="9" applyNumberFormat="1" applyFont="1" applyFill="1" applyBorder="1" applyAlignment="1">
      <alignment horizontal="center" vertical="center"/>
    </xf>
    <xf numFmtId="177" fontId="21" fillId="46" borderId="1" xfId="9" applyNumberFormat="1" applyFont="1" applyFill="1" applyBorder="1" applyAlignment="1">
      <alignment horizontal="center" vertical="center"/>
    </xf>
    <xf numFmtId="38" fontId="21" fillId="7" borderId="1" xfId="13" applyNumberFormat="1" applyFont="1" applyFill="1" applyBorder="1" applyAlignment="1">
      <alignment horizontal="center" vertical="center"/>
    </xf>
    <xf numFmtId="186" fontId="21" fillId="6" borderId="1" xfId="9" applyNumberFormat="1" applyFont="1" applyFill="1" applyBorder="1" applyAlignment="1">
      <alignment horizontal="center" vertical="center"/>
    </xf>
    <xf numFmtId="186" fontId="21" fillId="0" borderId="1" xfId="9" applyNumberFormat="1" applyFont="1" applyBorder="1" applyAlignment="1">
      <alignment horizontal="center" vertical="center"/>
    </xf>
    <xf numFmtId="186" fontId="21" fillId="7" borderId="1" xfId="9" applyNumberFormat="1" applyFont="1" applyFill="1" applyBorder="1" applyAlignment="1">
      <alignment horizontal="center" vertical="center"/>
    </xf>
    <xf numFmtId="186" fontId="21" fillId="13" borderId="1" xfId="9" applyNumberFormat="1" applyFont="1" applyFill="1" applyBorder="1" applyAlignment="1">
      <alignment horizontal="center" vertical="center"/>
    </xf>
    <xf numFmtId="186" fontId="21" fillId="0" borderId="0" xfId="9" applyNumberFormat="1" applyFont="1" applyAlignment="1">
      <alignment horizontal="center" vertical="center"/>
    </xf>
    <xf numFmtId="201" fontId="62" fillId="7" borderId="1" xfId="9" applyNumberFormat="1" applyFont="1" applyFill="1" applyBorder="1" applyAlignment="1">
      <alignment horizontal="center" vertical="center"/>
    </xf>
    <xf numFmtId="198" fontId="32" fillId="7" borderId="1" xfId="0" applyNumberFormat="1" applyFont="1" applyFill="1" applyBorder="1" applyAlignment="1" applyProtection="1">
      <alignment horizontal="center" vertical="center"/>
      <protection locked="0"/>
    </xf>
    <xf numFmtId="0" fontId="32" fillId="18" borderId="1" xfId="2" applyFont="1" applyFill="1" applyBorder="1" applyAlignment="1" applyProtection="1">
      <alignment horizontal="center" vertical="center"/>
      <protection locked="0"/>
    </xf>
    <xf numFmtId="38" fontId="35" fillId="18" borderId="1" xfId="0" applyNumberFormat="1" applyFont="1" applyFill="1" applyBorder="1" applyProtection="1">
      <alignment vertical="center"/>
      <protection locked="0"/>
    </xf>
    <xf numFmtId="38" fontId="32" fillId="18" borderId="1" xfId="0" applyNumberFormat="1" applyFont="1" applyFill="1" applyBorder="1" applyProtection="1">
      <alignment vertical="center"/>
      <protection locked="0"/>
    </xf>
    <xf numFmtId="177" fontId="35" fillId="16" borderId="1" xfId="0" applyNumberFormat="1" applyFont="1" applyFill="1" applyBorder="1" applyAlignment="1" applyProtection="1">
      <alignment horizontal="center" vertical="center"/>
      <protection locked="0"/>
    </xf>
    <xf numFmtId="38" fontId="35" fillId="16" borderId="1" xfId="0" applyNumberFormat="1" applyFont="1" applyFill="1" applyBorder="1" applyProtection="1">
      <alignment vertical="center"/>
      <protection locked="0"/>
    </xf>
    <xf numFmtId="0" fontId="34" fillId="7" borderId="1" xfId="0" applyFont="1" applyFill="1" applyBorder="1" applyAlignment="1" applyProtection="1">
      <alignment horizontal="left" vertical="center"/>
      <protection locked="0"/>
    </xf>
    <xf numFmtId="0" fontId="40" fillId="25" borderId="1" xfId="0" applyFont="1" applyFill="1" applyBorder="1" applyAlignment="1">
      <alignment horizontal="center" vertical="center"/>
    </xf>
    <xf numFmtId="0" fontId="40" fillId="25" borderId="1" xfId="0" applyFont="1" applyFill="1" applyBorder="1" applyAlignment="1">
      <alignment horizontal="center" vertical="center" wrapText="1"/>
    </xf>
    <xf numFmtId="0" fontId="77" fillId="47" borderId="1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horizontal="center" vertical="center"/>
    </xf>
    <xf numFmtId="0" fontId="20" fillId="20" borderId="1" xfId="0" applyFont="1" applyFill="1" applyBorder="1" applyAlignment="1">
      <alignment horizontal="center" vertical="center"/>
    </xf>
    <xf numFmtId="190" fontId="78" fillId="18" borderId="1" xfId="0" applyNumberFormat="1" applyFont="1" applyFill="1" applyBorder="1" applyAlignment="1">
      <alignment horizontal="center" vertical="center"/>
    </xf>
    <xf numFmtId="190" fontId="79" fillId="18" borderId="1" xfId="0" applyNumberFormat="1" applyFont="1" applyFill="1" applyBorder="1" applyAlignment="1">
      <alignment horizontal="center" vertical="center"/>
    </xf>
    <xf numFmtId="0" fontId="78" fillId="18" borderId="1" xfId="0" applyFont="1" applyFill="1" applyBorder="1" applyAlignment="1">
      <alignment horizontal="center" vertical="center"/>
    </xf>
    <xf numFmtId="177" fontId="80" fillId="0" borderId="1" xfId="0" applyNumberFormat="1" applyFont="1" applyBorder="1" applyAlignment="1">
      <alignment horizontal="right" vertical="center"/>
    </xf>
    <xf numFmtId="177" fontId="79" fillId="47" borderId="1" xfId="0" applyNumberFormat="1" applyFont="1" applyFill="1" applyBorder="1">
      <alignment vertical="center"/>
    </xf>
    <xf numFmtId="177" fontId="81" fillId="24" borderId="1" xfId="0" applyNumberFormat="1" applyFont="1" applyFill="1" applyBorder="1" applyAlignment="1">
      <alignment horizontal="right" vertical="center"/>
    </xf>
    <xf numFmtId="177" fontId="79" fillId="7" borderId="1" xfId="0" applyNumberFormat="1" applyFont="1" applyFill="1" applyBorder="1">
      <alignment vertical="center"/>
    </xf>
    <xf numFmtId="0" fontId="5" fillId="7" borderId="0" xfId="0" applyFont="1" applyFill="1" applyAlignment="1">
      <alignment horizontal="center" vertical="center"/>
    </xf>
    <xf numFmtId="177" fontId="21" fillId="48" borderId="1" xfId="6" applyNumberFormat="1" applyFont="1" applyFill="1" applyBorder="1" applyAlignment="1">
      <alignment horizontal="center" vertical="center"/>
    </xf>
    <xf numFmtId="177" fontId="21" fillId="48" borderId="1" xfId="7" applyNumberFormat="1" applyFont="1" applyFill="1" applyBorder="1" applyAlignment="1">
      <alignment horizontal="center" vertical="center"/>
    </xf>
    <xf numFmtId="0" fontId="34" fillId="7" borderId="1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86" fontId="82" fillId="0" borderId="1" xfId="0" applyNumberFormat="1" applyFont="1" applyBorder="1" applyAlignment="1">
      <alignment horizontal="center" vertical="center"/>
    </xf>
    <xf numFmtId="177" fontId="34" fillId="0" borderId="1" xfId="0" applyNumberFormat="1" applyFont="1" applyBorder="1" applyAlignment="1" applyProtection="1">
      <alignment horizontal="center" vertical="center"/>
      <protection locked="0"/>
    </xf>
    <xf numFmtId="38" fontId="34" fillId="0" borderId="1" xfId="0" applyNumberFormat="1" applyFont="1" applyBorder="1" applyProtection="1">
      <alignment vertical="center"/>
      <protection locked="0"/>
    </xf>
    <xf numFmtId="0" fontId="27" fillId="7" borderId="1" xfId="0" applyFont="1" applyFill="1" applyBorder="1" applyAlignment="1">
      <alignment horizontal="center" vertical="center"/>
    </xf>
    <xf numFmtId="0" fontId="52" fillId="7" borderId="0" xfId="0" applyFont="1" applyFill="1" applyAlignment="1">
      <alignment horizontal="center" vertical="center"/>
    </xf>
    <xf numFmtId="0" fontId="52" fillId="7" borderId="0" xfId="0" applyFont="1" applyFill="1">
      <alignment vertical="center"/>
    </xf>
    <xf numFmtId="180" fontId="5" fillId="0" borderId="1" xfId="0" applyNumberFormat="1" applyFont="1" applyBorder="1" applyAlignment="1">
      <alignment horizontal="center" vertical="center"/>
    </xf>
    <xf numFmtId="0" fontId="19" fillId="7" borderId="0" xfId="0" applyFont="1" applyFill="1" applyAlignment="1">
      <alignment horizontal="center" vertical="center"/>
    </xf>
    <xf numFmtId="0" fontId="32" fillId="7" borderId="1" xfId="0" applyFont="1" applyFill="1" applyBorder="1" applyAlignment="1">
      <alignment horizontal="center" vertical="center"/>
    </xf>
    <xf numFmtId="0" fontId="22" fillId="0" borderId="1" xfId="0" applyFont="1" applyBorder="1">
      <alignment vertical="center"/>
    </xf>
    <xf numFmtId="0" fontId="32" fillId="7" borderId="1" xfId="2" applyFont="1" applyFill="1" applyBorder="1" applyAlignment="1" applyProtection="1">
      <alignment horizontal="center" vertical="center"/>
      <protection locked="0"/>
    </xf>
    <xf numFmtId="0" fontId="27" fillId="7" borderId="0" xfId="0" applyFont="1" applyFill="1" applyAlignment="1">
      <alignment horizontal="center" vertical="center"/>
    </xf>
    <xf numFmtId="0" fontId="83" fillId="7" borderId="1" xfId="0" applyFont="1" applyFill="1" applyBorder="1" applyAlignment="1">
      <alignment horizontal="center" vertical="center"/>
    </xf>
    <xf numFmtId="0" fontId="52" fillId="7" borderId="1" xfId="0" applyFont="1" applyFill="1" applyBorder="1" applyAlignment="1">
      <alignment horizontal="center" vertical="center"/>
    </xf>
    <xf numFmtId="38" fontId="32" fillId="7" borderId="1" xfId="0" applyNumberFormat="1" applyFont="1" applyFill="1" applyBorder="1" applyProtection="1">
      <alignment vertical="center"/>
      <protection locked="0"/>
    </xf>
    <xf numFmtId="38" fontId="32" fillId="7" borderId="1" xfId="0" applyNumberFormat="1" applyFont="1" applyFill="1" applyBorder="1">
      <alignment vertical="center"/>
    </xf>
    <xf numFmtId="0" fontId="15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84" fillId="7" borderId="1" xfId="0" applyFont="1" applyFill="1" applyBorder="1" applyAlignment="1">
      <alignment horizontal="center" vertical="center"/>
    </xf>
    <xf numFmtId="0" fontId="85" fillId="0" borderId="0" xfId="0" applyFont="1">
      <alignment vertical="center"/>
    </xf>
    <xf numFmtId="0" fontId="44" fillId="0" borderId="0" xfId="0" applyFont="1">
      <alignment vertical="center"/>
    </xf>
    <xf numFmtId="0" fontId="52" fillId="0" borderId="0" xfId="0" applyFont="1" applyProtection="1">
      <alignment vertical="center"/>
      <protection locked="0"/>
    </xf>
    <xf numFmtId="38" fontId="34" fillId="0" borderId="1" xfId="0" applyNumberFormat="1" applyFont="1" applyBorder="1" applyAlignment="1" applyProtection="1">
      <alignment horizontal="right" vertical="center"/>
      <protection locked="0"/>
    </xf>
    <xf numFmtId="177" fontId="34" fillId="0" borderId="1" xfId="0" applyNumberFormat="1" applyFont="1" applyBorder="1" applyAlignment="1" applyProtection="1">
      <alignment horizontal="right" vertical="center"/>
      <protection locked="0"/>
    </xf>
    <xf numFmtId="38" fontId="34" fillId="0" borderId="1" xfId="0" applyNumberFormat="1" applyFont="1" applyBorder="1">
      <alignment vertical="center"/>
    </xf>
    <xf numFmtId="0" fontId="27" fillId="0" borderId="0" xfId="0" applyFont="1" applyAlignment="1">
      <alignment horizontal="center" vertical="center"/>
    </xf>
    <xf numFmtId="0" fontId="86" fillId="7" borderId="0" xfId="0" applyFont="1" applyFill="1" applyAlignment="1" applyProtection="1">
      <alignment horizontal="center" vertical="center"/>
      <protection locked="0"/>
    </xf>
    <xf numFmtId="0" fontId="86" fillId="7" borderId="0" xfId="0" applyFont="1" applyFill="1" applyAlignment="1">
      <alignment horizontal="center" vertical="center"/>
    </xf>
    <xf numFmtId="0" fontId="86" fillId="7" borderId="1" xfId="0" applyFont="1" applyFill="1" applyBorder="1" applyAlignment="1" applyProtection="1">
      <alignment horizontal="center" vertical="center"/>
      <protection locked="0"/>
    </xf>
    <xf numFmtId="0" fontId="86" fillId="7" borderId="1" xfId="0" applyFont="1" applyFill="1" applyBorder="1" applyAlignment="1">
      <alignment horizontal="center" vertical="center"/>
    </xf>
    <xf numFmtId="190" fontId="87" fillId="7" borderId="1" xfId="0" applyNumberFormat="1" applyFont="1" applyFill="1" applyBorder="1" applyAlignment="1" applyProtection="1">
      <alignment horizontal="center" vertical="center"/>
      <protection locked="0"/>
    </xf>
    <xf numFmtId="0" fontId="87" fillId="7" borderId="1" xfId="0" applyFont="1" applyFill="1" applyBorder="1" applyAlignment="1" applyProtection="1">
      <alignment horizontal="center" vertical="center"/>
      <protection locked="0"/>
    </xf>
    <xf numFmtId="0" fontId="88" fillId="25" borderId="1" xfId="0" applyFont="1" applyFill="1" applyBorder="1" applyAlignment="1">
      <alignment horizontal="center" vertical="center"/>
    </xf>
    <xf numFmtId="177" fontId="88" fillId="0" borderId="1" xfId="0" applyNumberFormat="1" applyFont="1" applyBorder="1" applyAlignment="1">
      <alignment horizontal="right" vertical="center"/>
    </xf>
    <xf numFmtId="178" fontId="88" fillId="0" borderId="1" xfId="0" applyNumberFormat="1" applyFont="1" applyBorder="1" applyAlignment="1">
      <alignment horizontal="right" vertical="center"/>
    </xf>
    <xf numFmtId="177" fontId="68" fillId="0" borderId="1" xfId="0" applyNumberFormat="1" applyFont="1" applyBorder="1" applyAlignment="1">
      <alignment horizontal="right" vertical="center"/>
    </xf>
    <xf numFmtId="177" fontId="34" fillId="0" borderId="1" xfId="0" applyNumberFormat="1" applyFont="1" applyBorder="1" applyAlignment="1">
      <alignment horizontal="right" vertical="center"/>
    </xf>
    <xf numFmtId="178" fontId="34" fillId="0" borderId="1" xfId="0" applyNumberFormat="1" applyFont="1" applyBorder="1" applyAlignment="1">
      <alignment horizontal="right" vertical="center"/>
    </xf>
    <xf numFmtId="177" fontId="89" fillId="24" borderId="1" xfId="0" applyNumberFormat="1" applyFont="1" applyFill="1" applyBorder="1">
      <alignment vertical="center"/>
    </xf>
    <xf numFmtId="178" fontId="89" fillId="24" borderId="1" xfId="0" applyNumberFormat="1" applyFont="1" applyFill="1" applyBorder="1" applyAlignment="1">
      <alignment horizontal="right" vertical="center"/>
    </xf>
    <xf numFmtId="177" fontId="68" fillId="24" borderId="1" xfId="0" applyNumberFormat="1" applyFont="1" applyFill="1" applyBorder="1">
      <alignment vertical="center"/>
    </xf>
    <xf numFmtId="0" fontId="90" fillId="0" borderId="0" xfId="0" applyFont="1">
      <alignment vertical="center"/>
    </xf>
    <xf numFmtId="0" fontId="26" fillId="0" borderId="0" xfId="0" applyFont="1" applyProtection="1">
      <alignment vertical="center"/>
      <protection locked="0"/>
    </xf>
    <xf numFmtId="3" fontId="27" fillId="0" borderId="10" xfId="0" applyNumberFormat="1" applyFont="1" applyBorder="1" applyAlignment="1">
      <alignment horizontal="center" vertical="center" wrapText="1"/>
    </xf>
    <xf numFmtId="3" fontId="27" fillId="0" borderId="11" xfId="0" applyNumberFormat="1" applyFont="1" applyBorder="1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38" fontId="91" fillId="0" borderId="1" xfId="0" applyNumberFormat="1" applyFont="1" applyBorder="1" applyProtection="1">
      <alignment vertical="center"/>
      <protection locked="0"/>
    </xf>
    <xf numFmtId="177" fontId="91" fillId="0" borderId="1" xfId="2" applyNumberFormat="1" applyFont="1" applyBorder="1" applyAlignment="1" applyProtection="1">
      <alignment horizontal="right" vertical="center"/>
      <protection locked="0"/>
    </xf>
    <xf numFmtId="0" fontId="51" fillId="0" borderId="1" xfId="0" applyFont="1" applyBorder="1" applyAlignment="1" applyProtection="1">
      <alignment horizontal="center" vertical="center"/>
      <protection locked="0"/>
    </xf>
    <xf numFmtId="0" fontId="70" fillId="0" borderId="1" xfId="0" applyFont="1" applyBorder="1" applyAlignment="1">
      <alignment horizontal="center" vertical="center"/>
    </xf>
    <xf numFmtId="0" fontId="22" fillId="0" borderId="0" xfId="0" applyFont="1" applyAlignment="1" applyProtection="1">
      <alignment horizontal="center" vertical="center"/>
      <protection locked="0"/>
    </xf>
    <xf numFmtId="181" fontId="30" fillId="7" borderId="1" xfId="0" applyNumberFormat="1" applyFont="1" applyFill="1" applyBorder="1" applyAlignment="1">
      <alignment horizontal="center" vertical="center"/>
    </xf>
    <xf numFmtId="207" fontId="30" fillId="7" borderId="1" xfId="0" applyNumberFormat="1" applyFont="1" applyFill="1" applyBorder="1" applyAlignment="1">
      <alignment horizontal="center" vertical="center"/>
    </xf>
    <xf numFmtId="0" fontId="35" fillId="7" borderId="1" xfId="0" applyFont="1" applyFill="1" applyBorder="1" applyProtection="1">
      <alignment vertical="center"/>
      <protection locked="0"/>
    </xf>
    <xf numFmtId="0" fontId="22" fillId="7" borderId="1" xfId="0" applyFont="1" applyFill="1" applyBorder="1" applyAlignment="1">
      <alignment horizontal="left" vertical="center"/>
    </xf>
    <xf numFmtId="0" fontId="92" fillId="0" borderId="0" xfId="16" applyFont="1">
      <alignment vertical="center"/>
    </xf>
    <xf numFmtId="38" fontId="92" fillId="0" borderId="1" xfId="16" applyNumberFormat="1" applyFont="1" applyBorder="1" applyAlignment="1">
      <alignment horizontal="center" vertical="center"/>
    </xf>
    <xf numFmtId="177" fontId="92" fillId="0" borderId="1" xfId="16" applyNumberFormat="1" applyFont="1" applyBorder="1" applyAlignment="1">
      <alignment horizontal="center" vertical="center"/>
    </xf>
    <xf numFmtId="38" fontId="92" fillId="7" borderId="1" xfId="17" applyNumberFormat="1" applyFont="1" applyFill="1" applyBorder="1" applyAlignment="1">
      <alignment horizontal="center" vertical="center"/>
    </xf>
    <xf numFmtId="38" fontId="92" fillId="0" borderId="1" xfId="17" applyNumberFormat="1" applyFont="1" applyBorder="1">
      <alignment vertical="center"/>
    </xf>
    <xf numFmtId="0" fontId="92" fillId="0" borderId="1" xfId="16" applyFont="1" applyBorder="1" applyAlignment="1">
      <alignment horizontal="center" vertical="center"/>
    </xf>
    <xf numFmtId="38" fontId="92" fillId="7" borderId="1" xfId="17" applyNumberFormat="1" applyFont="1" applyFill="1" applyBorder="1">
      <alignment vertical="center"/>
    </xf>
    <xf numFmtId="38" fontId="92" fillId="0" borderId="1" xfId="16" applyNumberFormat="1" applyFont="1" applyBorder="1">
      <alignment vertical="center"/>
    </xf>
    <xf numFmtId="0" fontId="34" fillId="25" borderId="1" xfId="0" quotePrefix="1" applyFont="1" applyFill="1" applyBorder="1" applyAlignment="1">
      <alignment horizontal="center" vertical="center"/>
    </xf>
    <xf numFmtId="0" fontId="32" fillId="25" borderId="1" xfId="0" quotePrefix="1" applyFont="1" applyFill="1" applyBorder="1" applyAlignment="1">
      <alignment horizontal="center" vertical="center"/>
    </xf>
    <xf numFmtId="177" fontId="33" fillId="24" borderId="1" xfId="0" applyNumberFormat="1" applyFont="1" applyFill="1" applyBorder="1">
      <alignment vertical="center"/>
    </xf>
    <xf numFmtId="177" fontId="35" fillId="24" borderId="1" xfId="0" applyNumberFormat="1" applyFont="1" applyFill="1" applyBorder="1">
      <alignment vertical="center"/>
    </xf>
    <xf numFmtId="38" fontId="92" fillId="0" borderId="0" xfId="16" applyNumberFormat="1" applyFont="1" applyAlignment="1">
      <alignment horizontal="center" vertical="center"/>
    </xf>
    <xf numFmtId="0" fontId="92" fillId="0" borderId="0" xfId="16" applyFont="1" applyAlignment="1">
      <alignment horizontal="center" vertical="center"/>
    </xf>
    <xf numFmtId="177" fontId="93" fillId="0" borderId="1" xfId="16" applyNumberFormat="1" applyFont="1" applyBorder="1">
      <alignment vertical="center"/>
    </xf>
    <xf numFmtId="10" fontId="92" fillId="0" borderId="1" xfId="16" applyNumberFormat="1" applyFont="1" applyBorder="1" applyAlignment="1">
      <alignment horizontal="center" vertical="center"/>
    </xf>
    <xf numFmtId="208" fontId="93" fillId="0" borderId="0" xfId="16" applyNumberFormat="1" applyFont="1">
      <alignment vertical="center"/>
    </xf>
    <xf numFmtId="0" fontId="94" fillId="0" borderId="1" xfId="16" applyFont="1" applyBorder="1" applyAlignment="1">
      <alignment horizontal="center" vertical="center" wrapText="1"/>
    </xf>
    <xf numFmtId="208" fontId="94" fillId="0" borderId="1" xfId="16" applyNumberFormat="1" applyFont="1" applyBorder="1">
      <alignment vertical="center"/>
    </xf>
    <xf numFmtId="0" fontId="92" fillId="0" borderId="0" xfId="16" applyFont="1" applyAlignment="1">
      <alignment horizontal="left" vertical="center"/>
    </xf>
    <xf numFmtId="190" fontId="34" fillId="26" borderId="1" xfId="0" applyNumberFormat="1" applyFont="1" applyFill="1" applyBorder="1" applyAlignment="1">
      <alignment horizontal="center" vertical="center"/>
    </xf>
    <xf numFmtId="0" fontId="38" fillId="26" borderId="1" xfId="0" applyFont="1" applyFill="1" applyBorder="1" applyAlignment="1">
      <alignment horizontal="center" vertical="center"/>
    </xf>
    <xf numFmtId="190" fontId="92" fillId="26" borderId="1" xfId="16" applyNumberFormat="1" applyFont="1" applyFill="1" applyBorder="1" applyAlignment="1">
      <alignment horizontal="center" vertical="center"/>
    </xf>
    <xf numFmtId="190" fontId="30" fillId="0" borderId="0" xfId="0" applyNumberFormat="1" applyFont="1" applyAlignment="1">
      <alignment horizontal="center" vertical="center"/>
    </xf>
    <xf numFmtId="186" fontId="22" fillId="0" borderId="0" xfId="0" applyNumberFormat="1" applyFont="1">
      <alignment vertical="center"/>
    </xf>
    <xf numFmtId="177" fontId="22" fillId="0" borderId="1" xfId="0" applyNumberFormat="1" applyFont="1" applyBorder="1">
      <alignment vertical="center"/>
    </xf>
    <xf numFmtId="38" fontId="22" fillId="0" borderId="7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0" borderId="6" xfId="0" applyFont="1" applyBorder="1">
      <alignment vertical="center"/>
    </xf>
    <xf numFmtId="0" fontId="27" fillId="0" borderId="12" xfId="0" applyFont="1" applyBorder="1">
      <alignment vertical="center"/>
    </xf>
    <xf numFmtId="0" fontId="29" fillId="0" borderId="6" xfId="0" applyFont="1" applyBorder="1">
      <alignment vertical="center"/>
    </xf>
    <xf numFmtId="209" fontId="27" fillId="0" borderId="1" xfId="0" applyNumberFormat="1" applyFont="1" applyBorder="1" applyAlignment="1">
      <alignment horizontal="center" vertical="center"/>
    </xf>
    <xf numFmtId="0" fontId="51" fillId="48" borderId="0" xfId="0" applyFont="1" applyFill="1">
      <alignment vertical="center"/>
    </xf>
    <xf numFmtId="0" fontId="51" fillId="48" borderId="0" xfId="0" applyFont="1" applyFill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177" fontId="51" fillId="0" borderId="1" xfId="0" applyNumberFormat="1" applyFont="1" applyBorder="1" applyAlignment="1">
      <alignment horizontal="center" vertical="center"/>
    </xf>
    <xf numFmtId="38" fontId="51" fillId="0" borderId="1" xfId="0" applyNumberFormat="1" applyFont="1" applyBorder="1" applyAlignment="1">
      <alignment horizontal="center" vertical="center"/>
    </xf>
    <xf numFmtId="209" fontId="27" fillId="48" borderId="0" xfId="1" applyNumberFormat="1" applyFont="1" applyFill="1" applyAlignment="1">
      <alignment horizontal="center" vertical="center"/>
    </xf>
    <xf numFmtId="0" fontId="32" fillId="7" borderId="6" xfId="0" applyFont="1" applyFill="1" applyBorder="1" applyAlignment="1">
      <alignment horizontal="center" vertical="center"/>
    </xf>
    <xf numFmtId="190" fontId="51" fillId="0" borderId="1" xfId="16" applyNumberFormat="1" applyFont="1" applyBorder="1" applyAlignment="1">
      <alignment horizontal="center" vertical="center"/>
    </xf>
    <xf numFmtId="0" fontId="32" fillId="7" borderId="1" xfId="0" applyFont="1" applyFill="1" applyBorder="1">
      <alignment vertical="center"/>
    </xf>
    <xf numFmtId="0" fontId="95" fillId="48" borderId="0" xfId="0" applyFont="1" applyFill="1">
      <alignment vertical="center"/>
    </xf>
    <xf numFmtId="209" fontId="96" fillId="48" borderId="0" xfId="1" applyNumberFormat="1" applyFont="1" applyFill="1" applyAlignment="1">
      <alignment horizontal="center" vertical="center"/>
    </xf>
    <xf numFmtId="0" fontId="95" fillId="48" borderId="0" xfId="0" applyFont="1" applyFill="1" applyAlignment="1">
      <alignment horizontal="center" vertical="center"/>
    </xf>
    <xf numFmtId="0" fontId="32" fillId="7" borderId="6" xfId="0" applyFont="1" applyFill="1" applyBorder="1">
      <alignment vertical="center"/>
    </xf>
    <xf numFmtId="0" fontId="32" fillId="7" borderId="6" xfId="0" applyFont="1" applyFill="1" applyBorder="1" applyAlignment="1">
      <alignment horizontal="right" vertical="center"/>
    </xf>
    <xf numFmtId="210" fontId="22" fillId="0" borderId="0" xfId="0" applyNumberFormat="1" applyFont="1">
      <alignment vertical="center"/>
    </xf>
    <xf numFmtId="0" fontId="32" fillId="0" borderId="0" xfId="0" applyFont="1">
      <alignment vertical="center"/>
    </xf>
    <xf numFmtId="38" fontId="35" fillId="0" borderId="1" xfId="0" applyNumberFormat="1" applyFont="1" applyBorder="1" applyAlignment="1" applyProtection="1">
      <alignment horizontal="right" vertical="center"/>
      <protection locked="0"/>
    </xf>
    <xf numFmtId="185" fontId="32" fillId="7" borderId="6" xfId="0" applyNumberFormat="1" applyFont="1" applyFill="1" applyBorder="1" applyAlignment="1">
      <alignment horizontal="center" vertical="center"/>
    </xf>
    <xf numFmtId="177" fontId="97" fillId="0" borderId="1" xfId="0" applyNumberFormat="1" applyFont="1" applyBorder="1" applyAlignment="1" applyProtection="1">
      <alignment horizontal="center" vertical="center" wrapText="1"/>
      <protection locked="0"/>
    </xf>
    <xf numFmtId="178" fontId="5" fillId="0" borderId="1" xfId="0" applyNumberFormat="1" applyFont="1" applyBorder="1" applyAlignment="1">
      <alignment horizontal="center" vertical="center"/>
    </xf>
    <xf numFmtId="186" fontId="22" fillId="0" borderId="0" xfId="0" applyNumberFormat="1" applyFont="1" applyAlignment="1" applyProtection="1">
      <alignment horizontal="center" vertical="center"/>
      <protection locked="0"/>
    </xf>
    <xf numFmtId="177" fontId="22" fillId="0" borderId="1" xfId="0" applyNumberFormat="1" applyFont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/>
    </xf>
    <xf numFmtId="180" fontId="33" fillId="0" borderId="5" xfId="0" applyNumberFormat="1" applyFont="1" applyBorder="1" applyAlignment="1">
      <alignment horizontal="center" vertical="center"/>
    </xf>
    <xf numFmtId="0" fontId="27" fillId="7" borderId="8" xfId="0" applyFont="1" applyFill="1" applyBorder="1" applyAlignment="1">
      <alignment horizontal="center" vertical="center"/>
    </xf>
    <xf numFmtId="0" fontId="52" fillId="0" borderId="1" xfId="0" applyFont="1" applyBorder="1" applyAlignment="1">
      <alignment horizontal="center" vertical="center"/>
    </xf>
    <xf numFmtId="190" fontId="35" fillId="0" borderId="1" xfId="0" applyNumberFormat="1" applyFont="1" applyBorder="1" applyAlignment="1" applyProtection="1">
      <alignment horizontal="center" vertical="center"/>
      <protection locked="0"/>
    </xf>
    <xf numFmtId="0" fontId="32" fillId="0" borderId="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22" fillId="0" borderId="7" xfId="0" applyFont="1" applyBorder="1">
      <alignment vertical="center"/>
    </xf>
    <xf numFmtId="177" fontId="33" fillId="0" borderId="5" xfId="0" applyNumberFormat="1" applyFont="1" applyBorder="1" applyAlignment="1">
      <alignment horizontal="center" vertical="center"/>
    </xf>
    <xf numFmtId="0" fontId="32" fillId="7" borderId="7" xfId="0" applyFont="1" applyFill="1" applyBorder="1" applyAlignment="1">
      <alignment horizontal="left" vertical="center"/>
    </xf>
    <xf numFmtId="0" fontId="87" fillId="7" borderId="4" xfId="0" applyFont="1" applyFill="1" applyBorder="1" applyAlignment="1" applyProtection="1">
      <alignment horizontal="center" vertical="center"/>
      <protection locked="0"/>
    </xf>
    <xf numFmtId="0" fontId="31" fillId="0" borderId="0" xfId="0" applyFont="1">
      <alignment vertical="center"/>
    </xf>
    <xf numFmtId="177" fontId="5" fillId="0" borderId="1" xfId="12" applyNumberFormat="1" applyFont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38" fontId="28" fillId="0" borderId="0" xfId="1" applyNumberFormat="1" applyFont="1" applyAlignment="1">
      <alignment horizontal="center" vertical="center"/>
    </xf>
    <xf numFmtId="38" fontId="28" fillId="0" borderId="0" xfId="0" applyNumberFormat="1" applyFont="1" applyAlignment="1">
      <alignment horizontal="center" vertical="center"/>
    </xf>
    <xf numFmtId="38" fontId="5" fillId="0" borderId="0" xfId="0" applyNumberFormat="1" applyFont="1" applyAlignment="1">
      <alignment horizontal="center" vertical="center"/>
    </xf>
    <xf numFmtId="0" fontId="35" fillId="7" borderId="1" xfId="2" applyFont="1" applyFill="1" applyBorder="1" applyAlignment="1" applyProtection="1">
      <alignment horizontal="center" vertical="center"/>
      <protection locked="0"/>
    </xf>
    <xf numFmtId="38" fontId="35" fillId="49" borderId="1" xfId="0" applyNumberFormat="1" applyFont="1" applyFill="1" applyBorder="1" applyProtection="1">
      <alignment vertical="center"/>
      <protection locked="0"/>
    </xf>
    <xf numFmtId="177" fontId="35" fillId="0" borderId="0" xfId="0" applyNumberFormat="1" applyFont="1" applyAlignment="1">
      <alignment horizontal="right" vertical="center"/>
    </xf>
    <xf numFmtId="0" fontId="99" fillId="0" borderId="0" xfId="0" applyFont="1">
      <alignment vertical="center"/>
    </xf>
    <xf numFmtId="0" fontId="100" fillId="0" borderId="1" xfId="0" applyFont="1" applyBorder="1" applyAlignment="1">
      <alignment horizontal="center" vertical="center"/>
    </xf>
    <xf numFmtId="0" fontId="101" fillId="0" borderId="13" xfId="0" applyFont="1" applyBorder="1" applyAlignment="1">
      <alignment horizontal="center" vertical="center"/>
    </xf>
    <xf numFmtId="0" fontId="101" fillId="0" borderId="14" xfId="0" applyFont="1" applyBorder="1" applyAlignment="1">
      <alignment horizontal="center" vertical="center"/>
    </xf>
    <xf numFmtId="0" fontId="102" fillId="0" borderId="13" xfId="0" applyFont="1" applyBorder="1" applyAlignment="1">
      <alignment horizontal="center" vertical="center"/>
    </xf>
    <xf numFmtId="0" fontId="103" fillId="0" borderId="13" xfId="0" applyFont="1" applyBorder="1" applyAlignment="1">
      <alignment horizontal="center" vertical="center"/>
    </xf>
    <xf numFmtId="0" fontId="103" fillId="0" borderId="14" xfId="0" applyFont="1" applyBorder="1" applyAlignment="1">
      <alignment horizontal="center" vertical="center"/>
    </xf>
    <xf numFmtId="0" fontId="104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04" fillId="0" borderId="17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38" fontId="0" fillId="0" borderId="20" xfId="0" applyNumberFormat="1" applyBorder="1" applyAlignment="1">
      <alignment horizontal="center" vertical="center"/>
    </xf>
    <xf numFmtId="38" fontId="0" fillId="0" borderId="21" xfId="0" applyNumberFormat="1" applyBorder="1" applyAlignment="1">
      <alignment horizontal="center" vertical="center"/>
    </xf>
    <xf numFmtId="38" fontId="15" fillId="0" borderId="22" xfId="1" applyNumberFormat="1" applyFont="1" applyBorder="1" applyAlignment="1">
      <alignment horizontal="center" vertical="center"/>
    </xf>
    <xf numFmtId="38" fontId="0" fillId="0" borderId="12" xfId="0" applyNumberFormat="1" applyBorder="1" applyAlignment="1">
      <alignment horizontal="center" vertical="center"/>
    </xf>
    <xf numFmtId="38" fontId="0" fillId="0" borderId="4" xfId="0" applyNumberFormat="1" applyBorder="1" applyAlignment="1">
      <alignment horizontal="center" vertical="center"/>
    </xf>
    <xf numFmtId="38" fontId="166" fillId="0" borderId="21" xfId="1" applyNumberFormat="1" applyBorder="1" applyAlignment="1">
      <alignment horizontal="center" vertical="center"/>
    </xf>
    <xf numFmtId="0" fontId="102" fillId="0" borderId="23" xfId="0" applyFont="1" applyBorder="1" applyAlignment="1">
      <alignment horizontal="center" vertical="center"/>
    </xf>
    <xf numFmtId="0" fontId="102" fillId="0" borderId="24" xfId="0" applyFont="1" applyBorder="1" applyAlignment="1">
      <alignment horizontal="center" vertical="center"/>
    </xf>
    <xf numFmtId="0" fontId="102" fillId="0" borderId="25" xfId="0" applyFont="1" applyBorder="1" applyAlignment="1">
      <alignment horizontal="center" vertical="center"/>
    </xf>
    <xf numFmtId="0" fontId="100" fillId="0" borderId="26" xfId="0" applyFont="1" applyBorder="1" applyAlignment="1">
      <alignment horizontal="center" vertical="center"/>
    </xf>
    <xf numFmtId="0" fontId="100" fillId="0" borderId="19" xfId="0" applyFont="1" applyBorder="1" applyAlignment="1">
      <alignment horizontal="center" vertical="center"/>
    </xf>
    <xf numFmtId="38" fontId="100" fillId="0" borderId="27" xfId="0" applyNumberFormat="1" applyFont="1" applyBorder="1" applyAlignment="1">
      <alignment horizontal="center" vertical="center"/>
    </xf>
    <xf numFmtId="38" fontId="100" fillId="0" borderId="28" xfId="0" applyNumberFormat="1" applyFont="1" applyBorder="1" applyAlignment="1">
      <alignment horizontal="center" vertical="center"/>
    </xf>
    <xf numFmtId="38" fontId="100" fillId="0" borderId="29" xfId="0" applyNumberFormat="1" applyFont="1" applyBorder="1" applyAlignment="1">
      <alignment horizontal="center" vertical="center"/>
    </xf>
    <xf numFmtId="0" fontId="15" fillId="0" borderId="30" xfId="0" applyFont="1" applyBorder="1" applyAlignment="1">
      <alignment horizontal="center" vertical="center"/>
    </xf>
    <xf numFmtId="0" fontId="101" fillId="0" borderId="23" xfId="0" applyFont="1" applyBorder="1" applyAlignment="1">
      <alignment horizontal="center" vertical="center"/>
    </xf>
    <xf numFmtId="0" fontId="101" fillId="0" borderId="31" xfId="0" applyFont="1" applyBorder="1" applyAlignment="1">
      <alignment horizontal="center" vertical="center"/>
    </xf>
    <xf numFmtId="0" fontId="105" fillId="0" borderId="19" xfId="0" applyFont="1" applyBorder="1" applyAlignment="1">
      <alignment horizontal="center" vertical="center"/>
    </xf>
    <xf numFmtId="38" fontId="105" fillId="0" borderId="27" xfId="0" applyNumberFormat="1" applyFont="1" applyBorder="1" applyAlignment="1">
      <alignment horizontal="center" vertical="center"/>
    </xf>
    <xf numFmtId="0" fontId="105" fillId="0" borderId="26" xfId="0" applyFont="1" applyBorder="1" applyAlignment="1">
      <alignment horizontal="center" vertical="center"/>
    </xf>
    <xf numFmtId="0" fontId="106" fillId="0" borderId="13" xfId="0" applyFont="1" applyBorder="1" applyAlignment="1">
      <alignment horizontal="center" vertical="center"/>
    </xf>
    <xf numFmtId="0" fontId="106" fillId="0" borderId="23" xfId="0" applyFont="1" applyBorder="1" applyAlignment="1">
      <alignment horizontal="center" vertical="center"/>
    </xf>
    <xf numFmtId="38" fontId="105" fillId="0" borderId="28" xfId="0" applyNumberFormat="1" applyFont="1" applyBorder="1" applyAlignment="1">
      <alignment horizontal="center" vertical="center"/>
    </xf>
    <xf numFmtId="0" fontId="106" fillId="0" borderId="24" xfId="0" applyFont="1" applyBorder="1" applyAlignment="1">
      <alignment horizontal="center" vertical="center"/>
    </xf>
    <xf numFmtId="0" fontId="106" fillId="0" borderId="25" xfId="0" applyFont="1" applyBorder="1" applyAlignment="1">
      <alignment horizontal="center" vertical="center"/>
    </xf>
    <xf numFmtId="38" fontId="105" fillId="0" borderId="29" xfId="0" applyNumberFormat="1" applyFont="1" applyBorder="1" applyAlignment="1">
      <alignment horizontal="center" vertical="center"/>
    </xf>
    <xf numFmtId="0" fontId="103" fillId="0" borderId="23" xfId="0" applyFont="1" applyBorder="1" applyAlignment="1">
      <alignment horizontal="center" vertical="center"/>
    </xf>
    <xf numFmtId="0" fontId="103" fillId="0" borderId="31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38" fontId="16" fillId="0" borderId="27" xfId="0" applyNumberFormat="1" applyFont="1" applyBorder="1" applyAlignment="1">
      <alignment horizontal="center" vertical="center"/>
    </xf>
    <xf numFmtId="38" fontId="16" fillId="0" borderId="28" xfId="0" applyNumberFormat="1" applyFont="1" applyBorder="1" applyAlignment="1">
      <alignment horizontal="center" vertical="center"/>
    </xf>
    <xf numFmtId="38" fontId="16" fillId="0" borderId="32" xfId="0" applyNumberFormat="1" applyFont="1" applyBorder="1" applyAlignment="1">
      <alignment horizontal="center" vertical="center"/>
    </xf>
    <xf numFmtId="177" fontId="52" fillId="0" borderId="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107" fillId="10" borderId="1" xfId="0" applyNumberFormat="1" applyFont="1" applyFill="1" applyBorder="1" applyAlignment="1">
      <alignment horizontal="center" vertical="center"/>
    </xf>
    <xf numFmtId="0" fontId="53" fillId="0" borderId="0" xfId="0" applyFont="1">
      <alignment vertical="center"/>
    </xf>
    <xf numFmtId="0" fontId="15" fillId="0" borderId="0" xfId="0" applyFont="1">
      <alignment vertical="center"/>
    </xf>
    <xf numFmtId="186" fontId="53" fillId="0" borderId="0" xfId="9" applyNumberFormat="1" applyFont="1" applyAlignment="1">
      <alignment horizontal="center" vertical="center"/>
    </xf>
    <xf numFmtId="0" fontId="108" fillId="7" borderId="1" xfId="0" applyFont="1" applyFill="1" applyBorder="1" applyAlignment="1">
      <alignment horizontal="center" vertical="center"/>
    </xf>
    <xf numFmtId="177" fontId="108" fillId="0" borderId="1" xfId="0" applyNumberFormat="1" applyFont="1" applyBorder="1" applyAlignment="1">
      <alignment horizontal="center" vertical="center"/>
    </xf>
    <xf numFmtId="38" fontId="108" fillId="0" borderId="1" xfId="0" applyNumberFormat="1" applyFont="1" applyBorder="1" applyAlignment="1">
      <alignment horizontal="center" vertical="center"/>
    </xf>
    <xf numFmtId="0" fontId="108" fillId="0" borderId="1" xfId="0" applyFont="1" applyBorder="1" applyAlignment="1">
      <alignment horizontal="center" vertical="center"/>
    </xf>
    <xf numFmtId="0" fontId="108" fillId="0" borderId="0" xfId="0" applyFont="1" applyAlignment="1">
      <alignment horizontal="center" vertical="center"/>
    </xf>
    <xf numFmtId="38" fontId="109" fillId="0" borderId="1" xfId="1" applyNumberFormat="1" applyFont="1" applyBorder="1">
      <alignment vertical="center"/>
    </xf>
    <xf numFmtId="38" fontId="29" fillId="0" borderId="1" xfId="1" applyNumberFormat="1" applyFont="1" applyBorder="1">
      <alignment vertical="center"/>
    </xf>
    <xf numFmtId="38" fontId="110" fillId="0" borderId="1" xfId="1" applyNumberFormat="1" applyFont="1" applyBorder="1">
      <alignment vertical="center"/>
    </xf>
    <xf numFmtId="0" fontId="105" fillId="0" borderId="1" xfId="0" applyFont="1" applyBorder="1" applyAlignment="1">
      <alignment horizontal="center" vertical="center"/>
    </xf>
    <xf numFmtId="38" fontId="111" fillId="0" borderId="1" xfId="1" applyNumberFormat="1" applyFont="1" applyBorder="1">
      <alignment vertical="center"/>
    </xf>
    <xf numFmtId="0" fontId="112" fillId="0" borderId="1" xfId="0" applyFont="1" applyBorder="1" applyAlignment="1">
      <alignment horizontal="center" vertical="center"/>
    </xf>
    <xf numFmtId="0" fontId="113" fillId="0" borderId="0" xfId="0" applyFont="1" applyAlignment="1">
      <alignment horizontal="center" vertical="center"/>
    </xf>
    <xf numFmtId="190" fontId="114" fillId="0" borderId="1" xfId="0" applyNumberFormat="1" applyFont="1" applyBorder="1" applyAlignment="1">
      <alignment horizontal="center" vertical="center"/>
    </xf>
    <xf numFmtId="178" fontId="115" fillId="0" borderId="1" xfId="0" applyNumberFormat="1" applyFont="1" applyBorder="1">
      <alignment vertical="center"/>
    </xf>
    <xf numFmtId="38" fontId="103" fillId="0" borderId="1" xfId="1" applyNumberFormat="1" applyFont="1" applyBorder="1">
      <alignment vertical="center"/>
    </xf>
    <xf numFmtId="190" fontId="0" fillId="7" borderId="1" xfId="0" applyNumberFormat="1" applyFill="1" applyBorder="1" applyAlignment="1">
      <alignment horizontal="center" vertical="center"/>
    </xf>
    <xf numFmtId="178" fontId="0" fillId="7" borderId="1" xfId="0" applyNumberFormat="1" applyFill="1" applyBorder="1">
      <alignment vertical="center"/>
    </xf>
    <xf numFmtId="177" fontId="35" fillId="0" borderId="1" xfId="0" applyNumberFormat="1" applyFont="1" applyBorder="1" applyAlignment="1">
      <alignment horizontal="right" vertical="center"/>
    </xf>
    <xf numFmtId="177" fontId="45" fillId="24" borderId="1" xfId="0" applyNumberFormat="1" applyFont="1" applyFill="1" applyBorder="1" applyAlignment="1">
      <alignment horizontal="center" vertical="center"/>
    </xf>
    <xf numFmtId="196" fontId="44" fillId="23" borderId="0" xfId="0" applyNumberFormat="1" applyFont="1" applyFill="1" applyAlignment="1">
      <alignment horizontal="center" vertical="center"/>
    </xf>
    <xf numFmtId="0" fontId="38" fillId="16" borderId="5" xfId="0" applyFont="1" applyFill="1" applyBorder="1" applyAlignment="1">
      <alignment horizontal="center" vertical="center"/>
    </xf>
    <xf numFmtId="0" fontId="38" fillId="20" borderId="5" xfId="0" applyFont="1" applyFill="1" applyBorder="1" applyAlignment="1">
      <alignment horizontal="center" vertical="center"/>
    </xf>
    <xf numFmtId="190" fontId="34" fillId="26" borderId="5" xfId="0" applyNumberFormat="1" applyFont="1" applyFill="1" applyBorder="1" applyAlignment="1">
      <alignment horizontal="center" vertical="center"/>
    </xf>
    <xf numFmtId="190" fontId="92" fillId="26" borderId="5" xfId="16" applyNumberFormat="1" applyFont="1" applyFill="1" applyBorder="1" applyAlignment="1">
      <alignment horizontal="center" vertical="center"/>
    </xf>
    <xf numFmtId="0" fontId="38" fillId="26" borderId="5" xfId="0" applyFont="1" applyFill="1" applyBorder="1" applyAlignment="1">
      <alignment horizontal="center" vertical="center"/>
    </xf>
    <xf numFmtId="177" fontId="35" fillId="0" borderId="5" xfId="0" applyNumberFormat="1" applyFont="1" applyBorder="1" applyAlignment="1">
      <alignment horizontal="right" vertical="center"/>
    </xf>
    <xf numFmtId="177" fontId="37" fillId="0" borderId="5" xfId="0" applyNumberFormat="1" applyFont="1" applyBorder="1" applyAlignment="1">
      <alignment horizontal="right" vertical="center"/>
    </xf>
    <xf numFmtId="178" fontId="37" fillId="0" borderId="5" xfId="0" applyNumberFormat="1" applyFont="1" applyBorder="1" applyAlignment="1">
      <alignment horizontal="center" vertical="center"/>
    </xf>
    <xf numFmtId="177" fontId="45" fillId="0" borderId="5" xfId="0" applyNumberFormat="1" applyFont="1" applyBorder="1" applyAlignment="1">
      <alignment horizontal="right" vertical="center"/>
    </xf>
    <xf numFmtId="178" fontId="45" fillId="0" borderId="5" xfId="0" applyNumberFormat="1" applyFont="1" applyBorder="1" applyAlignment="1">
      <alignment horizontal="right" vertical="center"/>
    </xf>
    <xf numFmtId="177" fontId="32" fillId="0" borderId="5" xfId="0" applyNumberFormat="1" applyFont="1" applyBorder="1" applyAlignment="1">
      <alignment horizontal="right" vertical="center"/>
    </xf>
    <xf numFmtId="178" fontId="32" fillId="0" borderId="5" xfId="0" applyNumberFormat="1" applyFont="1" applyBorder="1" applyAlignment="1">
      <alignment horizontal="right" vertical="center"/>
    </xf>
    <xf numFmtId="177" fontId="32" fillId="7" borderId="5" xfId="0" applyNumberFormat="1" applyFont="1" applyFill="1" applyBorder="1" applyAlignment="1">
      <alignment horizontal="center" vertical="center"/>
    </xf>
    <xf numFmtId="0" fontId="38" fillId="16" borderId="13" xfId="0" applyFont="1" applyFill="1" applyBorder="1" applyAlignment="1">
      <alignment horizontal="center" vertical="center"/>
    </xf>
    <xf numFmtId="177" fontId="32" fillId="7" borderId="23" xfId="0" applyNumberFormat="1" applyFont="1" applyFill="1" applyBorder="1" applyAlignment="1">
      <alignment horizontal="center" vertical="center"/>
    </xf>
    <xf numFmtId="0" fontId="38" fillId="16" borderId="14" xfId="0" applyFont="1" applyFill="1" applyBorder="1" applyAlignment="1">
      <alignment horizontal="center" vertical="center"/>
    </xf>
    <xf numFmtId="0" fontId="38" fillId="20" borderId="33" xfId="0" applyFont="1" applyFill="1" applyBorder="1" applyAlignment="1">
      <alignment horizontal="center" vertical="center"/>
    </xf>
    <xf numFmtId="190" fontId="92" fillId="26" borderId="33" xfId="16" applyNumberFormat="1" applyFont="1" applyFill="1" applyBorder="1" applyAlignment="1">
      <alignment horizontal="center" vertical="center"/>
    </xf>
    <xf numFmtId="0" fontId="38" fillId="26" borderId="33" xfId="0" applyFont="1" applyFill="1" applyBorder="1" applyAlignment="1">
      <alignment horizontal="center" vertical="center"/>
    </xf>
    <xf numFmtId="177" fontId="35" fillId="0" borderId="33" xfId="0" applyNumberFormat="1" applyFont="1" applyBorder="1" applyAlignment="1">
      <alignment horizontal="right" vertical="center"/>
    </xf>
    <xf numFmtId="177" fontId="37" fillId="0" borderId="33" xfId="0" applyNumberFormat="1" applyFont="1" applyBorder="1" applyAlignment="1">
      <alignment horizontal="right" vertical="center"/>
    </xf>
    <xf numFmtId="178" fontId="37" fillId="0" borderId="33" xfId="0" applyNumberFormat="1" applyFont="1" applyBorder="1" applyAlignment="1">
      <alignment horizontal="center" vertical="center"/>
    </xf>
    <xf numFmtId="177" fontId="45" fillId="0" borderId="33" xfId="0" applyNumberFormat="1" applyFont="1" applyBorder="1" applyAlignment="1">
      <alignment horizontal="right" vertical="center"/>
    </xf>
    <xf numFmtId="178" fontId="45" fillId="0" borderId="33" xfId="0" applyNumberFormat="1" applyFont="1" applyBorder="1" applyAlignment="1">
      <alignment horizontal="right" vertical="center"/>
    </xf>
    <xf numFmtId="177" fontId="32" fillId="0" borderId="33" xfId="0" applyNumberFormat="1" applyFont="1" applyBorder="1" applyAlignment="1">
      <alignment horizontal="right" vertical="center"/>
    </xf>
    <xf numFmtId="178" fontId="32" fillId="0" borderId="33" xfId="0" applyNumberFormat="1" applyFont="1" applyBorder="1" applyAlignment="1">
      <alignment horizontal="right" vertical="center"/>
    </xf>
    <xf numFmtId="177" fontId="32" fillId="7" borderId="31" xfId="0" applyNumberFormat="1" applyFont="1" applyFill="1" applyBorder="1" applyAlignment="1">
      <alignment horizontal="center" vertical="center"/>
    </xf>
    <xf numFmtId="0" fontId="38" fillId="16" borderId="30" xfId="0" applyFont="1" applyFill="1" applyBorder="1" applyAlignment="1">
      <alignment horizontal="center" vertical="center"/>
    </xf>
    <xf numFmtId="177" fontId="37" fillId="0" borderId="5" xfId="0" applyNumberFormat="1" applyFont="1" applyBorder="1" applyAlignment="1">
      <alignment horizontal="center" vertical="center"/>
    </xf>
    <xf numFmtId="177" fontId="32" fillId="7" borderId="18" xfId="0" applyNumberFormat="1" applyFont="1" applyFill="1" applyBorder="1" applyAlignment="1">
      <alignment horizontal="center" vertical="center"/>
    </xf>
    <xf numFmtId="0" fontId="35" fillId="25" borderId="15" xfId="0" applyFont="1" applyFill="1" applyBorder="1" applyAlignment="1">
      <alignment horizontal="center" vertical="center"/>
    </xf>
    <xf numFmtId="0" fontId="35" fillId="25" borderId="34" xfId="0" applyFont="1" applyFill="1" applyBorder="1" applyAlignment="1">
      <alignment horizontal="center" vertical="center"/>
    </xf>
    <xf numFmtId="0" fontId="35" fillId="25" borderId="34" xfId="0" applyFont="1" applyFill="1" applyBorder="1" applyAlignment="1">
      <alignment horizontal="center" vertical="center" wrapText="1"/>
    </xf>
    <xf numFmtId="0" fontId="37" fillId="25" borderId="34" xfId="0" applyFont="1" applyFill="1" applyBorder="1" applyAlignment="1">
      <alignment horizontal="center" vertical="center"/>
    </xf>
    <xf numFmtId="0" fontId="34" fillId="25" borderId="34" xfId="0" applyFont="1" applyFill="1" applyBorder="1" applyAlignment="1">
      <alignment horizontal="center" vertical="center"/>
    </xf>
    <xf numFmtId="0" fontId="32" fillId="25" borderId="34" xfId="0" applyFont="1" applyFill="1" applyBorder="1" applyAlignment="1">
      <alignment horizontal="center" vertical="center"/>
    </xf>
    <xf numFmtId="0" fontId="32" fillId="7" borderId="17" xfId="0" applyFont="1" applyFill="1" applyBorder="1" applyAlignment="1">
      <alignment horizontal="center" vertical="center"/>
    </xf>
    <xf numFmtId="0" fontId="38" fillId="16" borderId="26" xfId="0" applyFont="1" applyFill="1" applyBorder="1" applyAlignment="1">
      <alignment horizontal="center" vertical="center"/>
    </xf>
    <xf numFmtId="0" fontId="38" fillId="20" borderId="21" xfId="0" applyFont="1" applyFill="1" applyBorder="1" applyAlignment="1">
      <alignment horizontal="center" vertical="center"/>
    </xf>
    <xf numFmtId="190" fontId="92" fillId="26" borderId="21" xfId="16" applyNumberFormat="1" applyFont="1" applyFill="1" applyBorder="1" applyAlignment="1">
      <alignment horizontal="center" vertical="center"/>
    </xf>
    <xf numFmtId="0" fontId="38" fillId="26" borderId="21" xfId="0" applyFont="1" applyFill="1" applyBorder="1" applyAlignment="1">
      <alignment horizontal="center" vertical="center"/>
    </xf>
    <xf numFmtId="177" fontId="35" fillId="0" borderId="21" xfId="0" applyNumberFormat="1" applyFont="1" applyBorder="1" applyAlignment="1">
      <alignment horizontal="right" vertical="center"/>
    </xf>
    <xf numFmtId="177" fontId="37" fillId="0" borderId="21" xfId="0" applyNumberFormat="1" applyFont="1" applyBorder="1" applyAlignment="1">
      <alignment horizontal="right" vertical="center"/>
    </xf>
    <xf numFmtId="178" fontId="37" fillId="0" borderId="21" xfId="0" applyNumberFormat="1" applyFont="1" applyBorder="1" applyAlignment="1">
      <alignment horizontal="center" vertical="center"/>
    </xf>
    <xf numFmtId="177" fontId="45" fillId="0" borderId="21" xfId="0" applyNumberFormat="1" applyFont="1" applyBorder="1" applyAlignment="1">
      <alignment horizontal="right" vertical="center"/>
    </xf>
    <xf numFmtId="178" fontId="45" fillId="0" borderId="21" xfId="0" applyNumberFormat="1" applyFont="1" applyBorder="1" applyAlignment="1">
      <alignment horizontal="right" vertical="center"/>
    </xf>
    <xf numFmtId="177" fontId="32" fillId="0" borderId="21" xfId="0" applyNumberFormat="1" applyFont="1" applyBorder="1" applyAlignment="1">
      <alignment horizontal="right" vertical="center"/>
    </xf>
    <xf numFmtId="178" fontId="32" fillId="0" borderId="21" xfId="0" applyNumberFormat="1" applyFont="1" applyBorder="1" applyAlignment="1">
      <alignment horizontal="right" vertical="center"/>
    </xf>
    <xf numFmtId="177" fontId="32" fillId="7" borderId="19" xfId="0" applyNumberFormat="1" applyFont="1" applyFill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190" fontId="32" fillId="7" borderId="1" xfId="0" applyNumberFormat="1" applyFont="1" applyFill="1" applyBorder="1" applyAlignment="1" applyProtection="1">
      <alignment horizontal="center" vertical="center"/>
      <protection locked="0"/>
    </xf>
    <xf numFmtId="181" fontId="33" fillId="48" borderId="1" xfId="0" applyNumberFormat="1" applyFont="1" applyFill="1" applyBorder="1" applyAlignment="1">
      <alignment horizontal="center" vertical="center"/>
    </xf>
    <xf numFmtId="181" fontId="34" fillId="7" borderId="1" xfId="0" applyNumberFormat="1" applyFont="1" applyFill="1" applyBorder="1" applyAlignment="1">
      <alignment horizontal="center" vertical="center"/>
    </xf>
    <xf numFmtId="211" fontId="31" fillId="0" borderId="0" xfId="0" applyNumberFormat="1" applyFont="1" applyProtection="1">
      <alignment vertical="center"/>
      <protection locked="0"/>
    </xf>
    <xf numFmtId="190" fontId="35" fillId="48" borderId="1" xfId="0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207" fontId="33" fillId="0" borderId="0" xfId="0" applyNumberFormat="1" applyFont="1">
      <alignment vertical="center"/>
    </xf>
    <xf numFmtId="186" fontId="22" fillId="0" borderId="0" xfId="0" applyNumberFormat="1" applyFont="1" applyProtection="1">
      <alignment vertical="center"/>
      <protection locked="0"/>
    </xf>
    <xf numFmtId="190" fontId="38" fillId="0" borderId="0" xfId="0" applyNumberFormat="1" applyFont="1">
      <alignment vertical="center"/>
    </xf>
    <xf numFmtId="38" fontId="37" fillId="0" borderId="1" xfId="0" applyNumberFormat="1" applyFont="1" applyBorder="1" applyProtection="1">
      <alignment vertical="center"/>
      <protection locked="0"/>
    </xf>
    <xf numFmtId="38" fontId="35" fillId="33" borderId="1" xfId="0" applyNumberFormat="1" applyFont="1" applyFill="1" applyBorder="1" applyProtection="1">
      <alignment vertical="center"/>
      <protection locked="0"/>
    </xf>
    <xf numFmtId="189" fontId="0" fillId="0" borderId="0" xfId="0" applyNumberFormat="1" applyAlignment="1">
      <alignment horizontal="center" vertical="center"/>
    </xf>
    <xf numFmtId="0" fontId="70" fillId="0" borderId="6" xfId="0" applyFont="1" applyBorder="1" applyAlignment="1" applyProtection="1">
      <alignment horizontal="center" vertical="center"/>
      <protection locked="0"/>
    </xf>
    <xf numFmtId="0" fontId="33" fillId="25" borderId="1" xfId="0" applyFont="1" applyFill="1" applyBorder="1" applyAlignment="1">
      <alignment horizontal="center" vertical="center"/>
    </xf>
    <xf numFmtId="177" fontId="33" fillId="0" borderId="1" xfId="0" applyNumberFormat="1" applyFont="1" applyBorder="1" applyAlignment="1">
      <alignment horizontal="right" vertical="center"/>
    </xf>
    <xf numFmtId="0" fontId="116" fillId="25" borderId="1" xfId="0" applyFont="1" applyFill="1" applyBorder="1" applyAlignment="1">
      <alignment horizontal="center" vertical="center"/>
    </xf>
    <xf numFmtId="177" fontId="116" fillId="0" borderId="1" xfId="0" applyNumberFormat="1" applyFont="1" applyBorder="1" applyAlignment="1">
      <alignment horizontal="right" vertical="center"/>
    </xf>
    <xf numFmtId="177" fontId="116" fillId="24" borderId="1" xfId="0" applyNumberFormat="1" applyFont="1" applyFill="1" applyBorder="1">
      <alignment vertical="center"/>
    </xf>
    <xf numFmtId="0" fontId="117" fillId="25" borderId="1" xfId="0" applyFont="1" applyFill="1" applyBorder="1" applyAlignment="1">
      <alignment horizontal="center" vertical="center"/>
    </xf>
    <xf numFmtId="177" fontId="117" fillId="0" borderId="1" xfId="0" applyNumberFormat="1" applyFont="1" applyBorder="1" applyAlignment="1">
      <alignment horizontal="right" vertical="center"/>
    </xf>
    <xf numFmtId="177" fontId="117" fillId="24" borderId="1" xfId="0" applyNumberFormat="1" applyFont="1" applyFill="1" applyBorder="1">
      <alignment vertical="center"/>
    </xf>
    <xf numFmtId="0" fontId="58" fillId="0" borderId="6" xfId="0" applyFont="1" applyBorder="1">
      <alignment vertical="center"/>
    </xf>
    <xf numFmtId="0" fontId="118" fillId="25" borderId="1" xfId="0" applyFont="1" applyFill="1" applyBorder="1" applyAlignment="1">
      <alignment horizontal="center" vertical="center"/>
    </xf>
    <xf numFmtId="177" fontId="118" fillId="0" borderId="1" xfId="0" applyNumberFormat="1" applyFont="1" applyBorder="1" applyAlignment="1">
      <alignment horizontal="right" vertical="center"/>
    </xf>
    <xf numFmtId="177" fontId="118" fillId="24" borderId="1" xfId="0" applyNumberFormat="1" applyFont="1" applyFill="1" applyBorder="1">
      <alignment vertical="center"/>
    </xf>
    <xf numFmtId="0" fontId="119" fillId="25" borderId="1" xfId="0" applyFont="1" applyFill="1" applyBorder="1" applyAlignment="1">
      <alignment horizontal="center" vertical="center"/>
    </xf>
    <xf numFmtId="177" fontId="119" fillId="0" borderId="1" xfId="0" applyNumberFormat="1" applyFont="1" applyBorder="1" applyAlignment="1">
      <alignment horizontal="right" vertical="center"/>
    </xf>
    <xf numFmtId="177" fontId="119" fillId="24" borderId="1" xfId="0" applyNumberFormat="1" applyFont="1" applyFill="1" applyBorder="1">
      <alignment vertical="center"/>
    </xf>
    <xf numFmtId="0" fontId="70" fillId="0" borderId="6" xfId="0" applyFont="1" applyBorder="1" applyProtection="1">
      <alignment vertical="center"/>
      <protection locked="0"/>
    </xf>
    <xf numFmtId="0" fontId="120" fillId="25" borderId="1" xfId="0" applyFont="1" applyFill="1" applyBorder="1" applyAlignment="1">
      <alignment horizontal="center" vertical="center"/>
    </xf>
    <xf numFmtId="177" fontId="120" fillId="0" borderId="1" xfId="0" applyNumberFormat="1" applyFont="1" applyBorder="1" applyAlignment="1">
      <alignment horizontal="right" vertical="center"/>
    </xf>
    <xf numFmtId="177" fontId="120" fillId="24" borderId="1" xfId="0" applyNumberFormat="1" applyFont="1" applyFill="1" applyBorder="1">
      <alignment vertical="center"/>
    </xf>
    <xf numFmtId="38" fontId="35" fillId="50" borderId="1" xfId="0" applyNumberFormat="1" applyFont="1" applyFill="1" applyBorder="1" applyProtection="1">
      <alignment vertical="center"/>
      <protection locked="0"/>
    </xf>
    <xf numFmtId="185" fontId="22" fillId="48" borderId="1" xfId="0" applyNumberFormat="1" applyFont="1" applyFill="1" applyBorder="1" applyAlignment="1" applyProtection="1">
      <alignment horizontal="center" vertical="center"/>
      <protection locked="0"/>
    </xf>
    <xf numFmtId="9" fontId="27" fillId="48" borderId="1" xfId="0" applyNumberFormat="1" applyFont="1" applyFill="1" applyBorder="1" applyAlignment="1" applyProtection="1">
      <alignment horizontal="center" vertical="center"/>
      <protection locked="0"/>
    </xf>
    <xf numFmtId="177" fontId="5" fillId="0" borderId="0" xfId="0" applyNumberFormat="1" applyFont="1" applyAlignment="1">
      <alignment horizontal="center" vertical="center"/>
    </xf>
    <xf numFmtId="9" fontId="5" fillId="0" borderId="0" xfId="0" applyNumberFormat="1" applyFont="1" applyAlignment="1">
      <alignment horizontal="center" vertical="center"/>
    </xf>
    <xf numFmtId="185" fontId="22" fillId="0" borderId="0" xfId="0" applyNumberFormat="1" applyFont="1" applyAlignment="1" applyProtection="1">
      <alignment horizontal="center" vertical="center"/>
      <protection locked="0"/>
    </xf>
    <xf numFmtId="9" fontId="27" fillId="0" borderId="0" xfId="0" applyNumberFormat="1" applyFont="1" applyAlignment="1" applyProtection="1">
      <alignment horizontal="center" vertical="center"/>
      <protection locked="0"/>
    </xf>
    <xf numFmtId="204" fontId="20" fillId="0" borderId="0" xfId="6" applyNumberFormat="1" applyFont="1" applyAlignment="1">
      <alignment horizontal="center" vertical="center"/>
    </xf>
    <xf numFmtId="177" fontId="0" fillId="51" borderId="1" xfId="0" applyNumberFormat="1" applyFill="1" applyBorder="1" applyAlignment="1">
      <alignment horizontal="center" vertical="center"/>
    </xf>
    <xf numFmtId="177" fontId="25" fillId="29" borderId="1" xfId="0" applyNumberFormat="1" applyFont="1" applyFill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177" fontId="0" fillId="29" borderId="1" xfId="0" applyNumberFormat="1" applyFill="1" applyBorder="1" applyAlignment="1">
      <alignment horizontal="center" vertical="center"/>
    </xf>
    <xf numFmtId="177" fontId="24" fillId="29" borderId="1" xfId="1" applyNumberFormat="1" applyFont="1" applyFill="1" applyBorder="1" applyAlignment="1">
      <alignment horizontal="center" vertical="center" wrapText="1"/>
    </xf>
    <xf numFmtId="10" fontId="16" fillId="7" borderId="1" xfId="0" applyNumberFormat="1" applyFont="1" applyFill="1" applyBorder="1" applyAlignment="1">
      <alignment horizontal="center" vertical="center"/>
    </xf>
    <xf numFmtId="178" fontId="15" fillId="0" borderId="1" xfId="0" applyNumberFormat="1" applyFont="1" applyBorder="1" applyAlignment="1">
      <alignment horizontal="center" vertical="center"/>
    </xf>
    <xf numFmtId="10" fontId="121" fillId="7" borderId="1" xfId="0" applyNumberFormat="1" applyFont="1" applyFill="1" applyBorder="1" applyAlignment="1">
      <alignment horizontal="center" vertical="center"/>
    </xf>
    <xf numFmtId="10" fontId="93" fillId="7" borderId="1" xfId="16" applyNumberFormat="1" applyFont="1" applyFill="1" applyBorder="1" applyAlignment="1" applyProtection="1">
      <alignment horizontal="center" vertical="center"/>
      <protection locked="0"/>
    </xf>
    <xf numFmtId="178" fontId="92" fillId="0" borderId="1" xfId="16" applyNumberFormat="1" applyFont="1" applyBorder="1" applyAlignment="1">
      <alignment horizontal="center" vertical="center"/>
    </xf>
    <xf numFmtId="38" fontId="92" fillId="0" borderId="1" xfId="16" applyNumberFormat="1" applyFont="1" applyBorder="1" applyAlignment="1">
      <alignment horizontal="center" vertical="center" wrapText="1"/>
    </xf>
    <xf numFmtId="0" fontId="92" fillId="0" borderId="1" xfId="16" applyFont="1" applyBorder="1" applyAlignment="1">
      <alignment horizontal="center" vertical="center" wrapText="1"/>
    </xf>
    <xf numFmtId="0" fontId="122" fillId="0" borderId="6" xfId="16" applyFont="1" applyBorder="1">
      <alignment vertical="center"/>
    </xf>
    <xf numFmtId="9" fontId="123" fillId="0" borderId="0" xfId="16" applyNumberFormat="1" applyFont="1" applyAlignment="1">
      <alignment horizontal="center" vertical="center"/>
    </xf>
    <xf numFmtId="189" fontId="124" fillId="0" borderId="1" xfId="9" applyNumberFormat="1" applyFont="1" applyBorder="1" applyAlignment="1" applyProtection="1">
      <alignment horizontal="center" vertical="center"/>
      <protection hidden="1"/>
    </xf>
    <xf numFmtId="177" fontId="51" fillId="0" borderId="1" xfId="0" applyNumberFormat="1" applyFont="1" applyBorder="1" applyAlignment="1" applyProtection="1">
      <alignment horizontal="center" vertical="center"/>
      <protection locked="0"/>
    </xf>
    <xf numFmtId="38" fontId="51" fillId="0" borderId="1" xfId="0" applyNumberFormat="1" applyFont="1" applyBorder="1" applyAlignment="1" applyProtection="1">
      <alignment horizontal="center" vertical="center"/>
      <protection locked="0"/>
    </xf>
    <xf numFmtId="0" fontId="125" fillId="20" borderId="1" xfId="0" applyFont="1" applyFill="1" applyBorder="1" applyAlignment="1">
      <alignment horizontal="center" vertical="center"/>
    </xf>
    <xf numFmtId="190" fontId="125" fillId="26" borderId="1" xfId="16" applyNumberFormat="1" applyFont="1" applyFill="1" applyBorder="1" applyAlignment="1">
      <alignment horizontal="center" vertical="center"/>
    </xf>
    <xf numFmtId="0" fontId="125" fillId="26" borderId="1" xfId="0" applyFont="1" applyFill="1" applyBorder="1" applyAlignment="1">
      <alignment horizontal="center" vertical="center"/>
    </xf>
    <xf numFmtId="0" fontId="125" fillId="20" borderId="2" xfId="0" applyFont="1" applyFill="1" applyBorder="1" applyAlignment="1">
      <alignment horizontal="center" vertical="center"/>
    </xf>
    <xf numFmtId="190" fontId="125" fillId="26" borderId="2" xfId="16" applyNumberFormat="1" applyFont="1" applyFill="1" applyBorder="1" applyAlignment="1">
      <alignment horizontal="center" vertical="center"/>
    </xf>
    <xf numFmtId="0" fontId="125" fillId="26" borderId="2" xfId="0" applyFont="1" applyFill="1" applyBorder="1" applyAlignment="1">
      <alignment horizontal="center" vertical="center"/>
    </xf>
    <xf numFmtId="177" fontId="37" fillId="0" borderId="0" xfId="0" applyNumberFormat="1" applyFont="1" applyAlignment="1">
      <alignment horizontal="right" vertical="center"/>
    </xf>
    <xf numFmtId="0" fontId="125" fillId="16" borderId="13" xfId="0" applyFont="1" applyFill="1" applyBorder="1" applyAlignment="1">
      <alignment horizontal="center" vertical="center"/>
    </xf>
    <xf numFmtId="0" fontId="125" fillId="16" borderId="14" xfId="0" applyFont="1" applyFill="1" applyBorder="1" applyAlignment="1">
      <alignment horizontal="center" vertical="center"/>
    </xf>
    <xf numFmtId="0" fontId="125" fillId="20" borderId="33" xfId="0" applyFont="1" applyFill="1" applyBorder="1" applyAlignment="1">
      <alignment horizontal="center" vertical="center"/>
    </xf>
    <xf numFmtId="190" fontId="125" fillId="26" borderId="33" xfId="16" applyNumberFormat="1" applyFont="1" applyFill="1" applyBorder="1" applyAlignment="1">
      <alignment horizontal="center" vertical="center"/>
    </xf>
    <xf numFmtId="0" fontId="125" fillId="26" borderId="33" xfId="0" applyFont="1" applyFill="1" applyBorder="1" applyAlignment="1">
      <alignment horizontal="center" vertical="center"/>
    </xf>
    <xf numFmtId="0" fontId="125" fillId="16" borderId="24" xfId="0" applyFont="1" applyFill="1" applyBorder="1" applyAlignment="1">
      <alignment horizontal="center" vertical="center"/>
    </xf>
    <xf numFmtId="0" fontId="125" fillId="16" borderId="26" xfId="0" applyFont="1" applyFill="1" applyBorder="1" applyAlignment="1">
      <alignment horizontal="center" vertical="center"/>
    </xf>
    <xf numFmtId="0" fontId="125" fillId="20" borderId="21" xfId="0" applyFont="1" applyFill="1" applyBorder="1" applyAlignment="1">
      <alignment horizontal="center" vertical="center"/>
    </xf>
    <xf numFmtId="190" fontId="126" fillId="26" borderId="21" xfId="0" applyNumberFormat="1" applyFont="1" applyFill="1" applyBorder="1" applyAlignment="1">
      <alignment horizontal="center" vertical="center"/>
    </xf>
    <xf numFmtId="190" fontId="125" fillId="26" borderId="21" xfId="16" applyNumberFormat="1" applyFont="1" applyFill="1" applyBorder="1" applyAlignment="1">
      <alignment horizontal="center" vertical="center"/>
    </xf>
    <xf numFmtId="0" fontId="125" fillId="26" borderId="21" xfId="0" applyFont="1" applyFill="1" applyBorder="1" applyAlignment="1">
      <alignment horizontal="center" vertical="center"/>
    </xf>
    <xf numFmtId="0" fontId="127" fillId="0" borderId="35" xfId="0" applyFont="1" applyBorder="1" applyAlignment="1">
      <alignment horizontal="center" vertical="center"/>
    </xf>
    <xf numFmtId="0" fontId="127" fillId="0" borderId="36" xfId="0" applyFont="1" applyBorder="1" applyAlignment="1">
      <alignment horizontal="center" vertical="center"/>
    </xf>
    <xf numFmtId="14" fontId="127" fillId="0" borderId="37" xfId="0" applyNumberFormat="1" applyFont="1" applyBorder="1" applyAlignment="1">
      <alignment horizontal="center" vertical="center"/>
    </xf>
    <xf numFmtId="0" fontId="127" fillId="0" borderId="38" xfId="0" applyFont="1" applyBorder="1" applyAlignment="1">
      <alignment horizontal="center" vertical="center"/>
    </xf>
    <xf numFmtId="177" fontId="111" fillId="0" borderId="15" xfId="0" applyNumberFormat="1" applyFont="1" applyBorder="1" applyAlignment="1">
      <alignment horizontal="right" vertical="center"/>
    </xf>
    <xf numFmtId="0" fontId="125" fillId="16" borderId="30" xfId="0" applyFont="1" applyFill="1" applyBorder="1" applyAlignment="1">
      <alignment horizontal="center" vertical="center"/>
    </xf>
    <xf numFmtId="0" fontId="125" fillId="20" borderId="5" xfId="0" applyFont="1" applyFill="1" applyBorder="1" applyAlignment="1">
      <alignment horizontal="center" vertical="center"/>
    </xf>
    <xf numFmtId="190" fontId="125" fillId="26" borderId="5" xfId="16" applyNumberFormat="1" applyFont="1" applyFill="1" applyBorder="1" applyAlignment="1">
      <alignment horizontal="center" vertical="center"/>
    </xf>
    <xf numFmtId="0" fontId="125" fillId="26" borderId="5" xfId="0" applyFont="1" applyFill="1" applyBorder="1" applyAlignment="1">
      <alignment horizontal="center" vertical="center"/>
    </xf>
    <xf numFmtId="0" fontId="127" fillId="0" borderId="37" xfId="0" applyFont="1" applyBorder="1" applyAlignment="1">
      <alignment horizontal="center" vertical="center"/>
    </xf>
    <xf numFmtId="0" fontId="127" fillId="0" borderId="39" xfId="0" applyFont="1" applyBorder="1" applyAlignment="1">
      <alignment horizontal="center" vertical="center"/>
    </xf>
    <xf numFmtId="0" fontId="127" fillId="0" borderId="39" xfId="0" applyFont="1" applyBorder="1" applyAlignment="1">
      <alignment horizontal="center" vertical="center" wrapText="1"/>
    </xf>
    <xf numFmtId="177" fontId="127" fillId="0" borderId="19" xfId="0" applyNumberFormat="1" applyFont="1" applyBorder="1" applyAlignment="1">
      <alignment horizontal="right" vertical="center"/>
    </xf>
    <xf numFmtId="177" fontId="127" fillId="0" borderId="23" xfId="0" applyNumberFormat="1" applyFont="1" applyBorder="1" applyAlignment="1">
      <alignment horizontal="right" vertical="center"/>
    </xf>
    <xf numFmtId="177" fontId="127" fillId="0" borderId="31" xfId="0" applyNumberFormat="1" applyFont="1" applyBorder="1" applyAlignment="1">
      <alignment horizontal="right" vertical="center"/>
    </xf>
    <xf numFmtId="177" fontId="127" fillId="0" borderId="18" xfId="0" applyNumberFormat="1" applyFont="1" applyBorder="1" applyAlignment="1">
      <alignment horizontal="right" vertical="center"/>
    </xf>
    <xf numFmtId="177" fontId="127" fillId="0" borderId="25" xfId="0" applyNumberFormat="1" applyFont="1" applyBorder="1" applyAlignment="1">
      <alignment horizontal="right" vertical="center"/>
    </xf>
    <xf numFmtId="177" fontId="53" fillId="0" borderId="17" xfId="0" applyNumberFormat="1" applyFont="1" applyBorder="1" applyAlignment="1">
      <alignment horizontal="right" vertical="center"/>
    </xf>
    <xf numFmtId="38" fontId="125" fillId="0" borderId="26" xfId="0" applyNumberFormat="1" applyFont="1" applyBorder="1" applyAlignment="1">
      <alignment horizontal="right" vertical="center"/>
    </xf>
    <xf numFmtId="38" fontId="125" fillId="0" borderId="13" xfId="0" applyNumberFormat="1" applyFont="1" applyBorder="1" applyAlignment="1">
      <alignment horizontal="right" vertical="center"/>
    </xf>
    <xf numFmtId="38" fontId="125" fillId="0" borderId="14" xfId="0" applyNumberFormat="1" applyFont="1" applyBorder="1" applyAlignment="1">
      <alignment horizontal="right" vertical="center"/>
    </xf>
    <xf numFmtId="38" fontId="125" fillId="0" borderId="30" xfId="0" applyNumberFormat="1" applyFont="1" applyBorder="1" applyAlignment="1">
      <alignment horizontal="right" vertical="center"/>
    </xf>
    <xf numFmtId="38" fontId="125" fillId="0" borderId="24" xfId="0" applyNumberFormat="1" applyFont="1" applyBorder="1" applyAlignment="1">
      <alignment horizontal="right" vertical="center"/>
    </xf>
    <xf numFmtId="38" fontId="8" fillId="0" borderId="0" xfId="0" applyNumberFormat="1" applyFont="1" applyAlignment="1">
      <alignment horizontal="right" vertical="center"/>
    </xf>
    <xf numFmtId="9" fontId="128" fillId="0" borderId="40" xfId="0" applyNumberFormat="1" applyFont="1" applyBorder="1" applyAlignment="1">
      <alignment horizontal="center" vertical="center"/>
    </xf>
    <xf numFmtId="9" fontId="128" fillId="0" borderId="7" xfId="0" applyNumberFormat="1" applyFont="1" applyBorder="1" applyAlignment="1">
      <alignment horizontal="center" vertical="center"/>
    </xf>
    <xf numFmtId="9" fontId="128" fillId="0" borderId="41" xfId="0" applyNumberFormat="1" applyFont="1" applyBorder="1" applyAlignment="1">
      <alignment horizontal="center" vertical="center"/>
    </xf>
    <xf numFmtId="9" fontId="128" fillId="0" borderId="9" xfId="0" applyNumberFormat="1" applyFont="1" applyBorder="1" applyAlignment="1">
      <alignment horizontal="center" vertical="center"/>
    </xf>
    <xf numFmtId="9" fontId="126" fillId="0" borderId="19" xfId="0" applyNumberFormat="1" applyFont="1" applyBorder="1" applyAlignment="1">
      <alignment horizontal="center" vertical="center"/>
    </xf>
    <xf numFmtId="9" fontId="126" fillId="0" borderId="23" xfId="0" applyNumberFormat="1" applyFont="1" applyBorder="1" applyAlignment="1">
      <alignment horizontal="center" vertical="center"/>
    </xf>
    <xf numFmtId="9" fontId="126" fillId="0" borderId="31" xfId="0" applyNumberFormat="1" applyFont="1" applyBorder="1" applyAlignment="1">
      <alignment horizontal="center" vertical="center"/>
    </xf>
    <xf numFmtId="9" fontId="126" fillId="0" borderId="18" xfId="0" applyNumberFormat="1" applyFont="1" applyBorder="1" applyAlignment="1">
      <alignment horizontal="center" vertical="center"/>
    </xf>
    <xf numFmtId="9" fontId="126" fillId="0" borderId="25" xfId="0" applyNumberFormat="1" applyFont="1" applyBorder="1" applyAlignment="1">
      <alignment horizontal="center" vertical="center"/>
    </xf>
    <xf numFmtId="9" fontId="111" fillId="0" borderId="15" xfId="0" applyNumberFormat="1" applyFont="1" applyBorder="1" applyAlignment="1">
      <alignment horizontal="right" vertical="center"/>
    </xf>
    <xf numFmtId="9" fontId="111" fillId="0" borderId="42" xfId="0" applyNumberFormat="1" applyFont="1" applyBorder="1" applyAlignment="1">
      <alignment horizontal="right" vertical="center"/>
    </xf>
    <xf numFmtId="3" fontId="59" fillId="48" borderId="10" xfId="0" applyNumberFormat="1" applyFont="1" applyFill="1" applyBorder="1" applyAlignment="1">
      <alignment horizontal="center" vertical="center" wrapText="1"/>
    </xf>
    <xf numFmtId="3" fontId="129" fillId="52" borderId="10" xfId="0" applyNumberFormat="1" applyFont="1" applyFill="1" applyBorder="1" applyAlignment="1">
      <alignment horizontal="center" vertical="center" wrapText="1"/>
    </xf>
    <xf numFmtId="179" fontId="0" fillId="0" borderId="7" xfId="0" applyNumberFormat="1" applyBorder="1" applyAlignment="1">
      <alignment horizontal="center" vertical="center"/>
    </xf>
    <xf numFmtId="0" fontId="5" fillId="48" borderId="1" xfId="0" applyFont="1" applyFill="1" applyBorder="1" applyAlignment="1">
      <alignment horizontal="center" vertical="center"/>
    </xf>
    <xf numFmtId="213" fontId="5" fillId="0" borderId="0" xfId="0" applyNumberFormat="1" applyFont="1" applyAlignment="1">
      <alignment horizontal="center" vertical="center"/>
    </xf>
    <xf numFmtId="189" fontId="121" fillId="7" borderId="1" xfId="0" applyNumberFormat="1" applyFont="1" applyFill="1" applyBorder="1" applyAlignment="1">
      <alignment horizontal="center" vertical="center"/>
    </xf>
    <xf numFmtId="189" fontId="15" fillId="48" borderId="1" xfId="0" applyNumberFormat="1" applyFont="1" applyFill="1" applyBorder="1" applyAlignment="1">
      <alignment horizontal="center" vertical="center"/>
    </xf>
    <xf numFmtId="0" fontId="70" fillId="48" borderId="0" xfId="0" applyFont="1" applyFill="1" applyAlignment="1">
      <alignment horizontal="center" vertical="center"/>
    </xf>
    <xf numFmtId="0" fontId="52" fillId="48" borderId="1" xfId="0" applyFont="1" applyFill="1" applyBorder="1" applyAlignment="1">
      <alignment horizontal="center" vertical="center"/>
    </xf>
    <xf numFmtId="177" fontId="70" fillId="48" borderId="1" xfId="0" applyNumberFormat="1" applyFont="1" applyFill="1" applyBorder="1" applyAlignment="1">
      <alignment horizontal="center" vertical="center"/>
    </xf>
    <xf numFmtId="189" fontId="15" fillId="48" borderId="1" xfId="0" applyNumberFormat="1" applyFont="1" applyFill="1" applyBorder="1">
      <alignment vertical="center"/>
    </xf>
    <xf numFmtId="177" fontId="5" fillId="48" borderId="0" xfId="0" applyNumberFormat="1" applyFont="1" applyFill="1">
      <alignment vertical="center"/>
    </xf>
    <xf numFmtId="0" fontId="5" fillId="48" borderId="0" xfId="0" applyFont="1" applyFill="1">
      <alignment vertical="center"/>
    </xf>
    <xf numFmtId="190" fontId="5" fillId="48" borderId="0" xfId="0" applyNumberFormat="1" applyFont="1" applyFill="1" applyAlignment="1">
      <alignment horizontal="center" vertical="center"/>
    </xf>
    <xf numFmtId="0" fontId="52" fillId="48" borderId="0" xfId="0" applyFont="1" applyFill="1" applyAlignment="1">
      <alignment horizontal="center" vertical="center"/>
    </xf>
    <xf numFmtId="0" fontId="5" fillId="48" borderId="0" xfId="0" applyFont="1" applyFill="1" applyAlignment="1">
      <alignment horizontal="center" vertical="center"/>
    </xf>
    <xf numFmtId="177" fontId="5" fillId="48" borderId="0" xfId="0" applyNumberFormat="1" applyFont="1" applyFill="1" applyAlignment="1">
      <alignment horizontal="center" vertical="center"/>
    </xf>
    <xf numFmtId="0" fontId="29" fillId="48" borderId="1" xfId="0" applyFont="1" applyFill="1" applyBorder="1">
      <alignment vertical="center"/>
    </xf>
    <xf numFmtId="189" fontId="16" fillId="48" borderId="1" xfId="0" applyNumberFormat="1" applyFont="1" applyFill="1" applyBorder="1" applyAlignment="1">
      <alignment horizontal="center" vertical="center"/>
    </xf>
    <xf numFmtId="38" fontId="53" fillId="48" borderId="1" xfId="1" applyNumberFormat="1" applyFont="1" applyFill="1" applyBorder="1">
      <alignment vertical="center"/>
    </xf>
    <xf numFmtId="0" fontId="15" fillId="48" borderId="1" xfId="0" applyFont="1" applyFill="1" applyBorder="1" applyAlignment="1">
      <alignment horizontal="center" vertical="center"/>
    </xf>
    <xf numFmtId="38" fontId="29" fillId="48" borderId="1" xfId="1" applyNumberFormat="1" applyFont="1" applyFill="1" applyBorder="1">
      <alignment vertical="center"/>
    </xf>
    <xf numFmtId="0" fontId="16" fillId="48" borderId="1" xfId="0" applyFont="1" applyFill="1" applyBorder="1" applyAlignment="1">
      <alignment horizontal="center" vertical="center"/>
    </xf>
    <xf numFmtId="38" fontId="103" fillId="48" borderId="1" xfId="1" applyNumberFormat="1" applyFont="1" applyFill="1" applyBorder="1">
      <alignment vertical="center"/>
    </xf>
    <xf numFmtId="0" fontId="130" fillId="48" borderId="1" xfId="0" applyFont="1" applyFill="1" applyBorder="1" applyAlignment="1">
      <alignment horizontal="center" vertical="center"/>
    </xf>
    <xf numFmtId="189" fontId="100" fillId="33" borderId="1" xfId="0" applyNumberFormat="1" applyFont="1" applyFill="1" applyBorder="1">
      <alignment vertical="center"/>
    </xf>
    <xf numFmtId="0" fontId="108" fillId="33" borderId="0" xfId="0" applyFont="1" applyFill="1" applyAlignment="1">
      <alignment horizontal="center" vertical="center"/>
    </xf>
    <xf numFmtId="190" fontId="5" fillId="33" borderId="0" xfId="0" applyNumberFormat="1" applyFont="1" applyFill="1" applyAlignment="1">
      <alignment horizontal="center" vertical="center"/>
    </xf>
    <xf numFmtId="0" fontId="70" fillId="33" borderId="0" xfId="0" applyFont="1" applyFill="1" applyAlignment="1">
      <alignment horizontal="center" vertical="center"/>
    </xf>
    <xf numFmtId="0" fontId="109" fillId="33" borderId="1" xfId="0" applyFont="1" applyFill="1" applyBorder="1">
      <alignment vertical="center"/>
    </xf>
    <xf numFmtId="189" fontId="100" fillId="33" borderId="1" xfId="0" applyNumberFormat="1" applyFont="1" applyFill="1" applyBorder="1" applyAlignment="1">
      <alignment horizontal="center" vertical="center"/>
    </xf>
    <xf numFmtId="38" fontId="53" fillId="33" borderId="1" xfId="1" applyNumberFormat="1" applyFont="1" applyFill="1" applyBorder="1">
      <alignment vertical="center"/>
    </xf>
    <xf numFmtId="0" fontId="15" fillId="33" borderId="1" xfId="0" applyFont="1" applyFill="1" applyBorder="1" applyAlignment="1">
      <alignment horizontal="center" vertical="center"/>
    </xf>
    <xf numFmtId="177" fontId="70" fillId="33" borderId="1" xfId="0" applyNumberFormat="1" applyFont="1" applyFill="1" applyBorder="1" applyAlignment="1">
      <alignment horizontal="center" vertical="center"/>
    </xf>
    <xf numFmtId="38" fontId="109" fillId="33" borderId="1" xfId="1" applyNumberFormat="1" applyFont="1" applyFill="1" applyBorder="1">
      <alignment vertical="center"/>
    </xf>
    <xf numFmtId="0" fontId="100" fillId="33" borderId="1" xfId="0" applyFont="1" applyFill="1" applyBorder="1" applyAlignment="1">
      <alignment horizontal="center" vertical="center"/>
    </xf>
    <xf numFmtId="38" fontId="102" fillId="33" borderId="1" xfId="1" applyNumberFormat="1" applyFont="1" applyFill="1" applyBorder="1">
      <alignment vertical="center"/>
    </xf>
    <xf numFmtId="0" fontId="131" fillId="33" borderId="1" xfId="0" applyFont="1" applyFill="1" applyBorder="1" applyAlignment="1">
      <alignment horizontal="center" vertical="center"/>
    </xf>
    <xf numFmtId="0" fontId="52" fillId="33" borderId="1" xfId="0" applyFont="1" applyFill="1" applyBorder="1" applyAlignment="1">
      <alignment horizontal="center" vertical="center"/>
    </xf>
    <xf numFmtId="189" fontId="105" fillId="29" borderId="1" xfId="0" applyNumberFormat="1" applyFont="1" applyFill="1" applyBorder="1">
      <alignment vertical="center"/>
    </xf>
    <xf numFmtId="0" fontId="132" fillId="29" borderId="0" xfId="0" applyFont="1" applyFill="1" applyAlignment="1">
      <alignment horizontal="center" vertical="center"/>
    </xf>
    <xf numFmtId="0" fontId="105" fillId="29" borderId="0" xfId="0" applyFont="1" applyFill="1" applyAlignment="1">
      <alignment horizontal="center" vertical="center"/>
    </xf>
    <xf numFmtId="0" fontId="70" fillId="29" borderId="0" xfId="0" applyFont="1" applyFill="1" applyAlignment="1">
      <alignment horizontal="center" vertical="center"/>
    </xf>
    <xf numFmtId="190" fontId="5" fillId="29" borderId="0" xfId="0" applyNumberFormat="1" applyFont="1" applyFill="1" applyAlignment="1">
      <alignment horizontal="center" vertical="center"/>
    </xf>
    <xf numFmtId="0" fontId="110" fillId="29" borderId="1" xfId="0" applyFont="1" applyFill="1" applyBorder="1">
      <alignment vertical="center"/>
    </xf>
    <xf numFmtId="189" fontId="105" fillId="29" borderId="1" xfId="0" applyNumberFormat="1" applyFont="1" applyFill="1" applyBorder="1" applyAlignment="1">
      <alignment horizontal="center" vertical="center"/>
    </xf>
    <xf numFmtId="0" fontId="132" fillId="29" borderId="1" xfId="0" applyFont="1" applyFill="1" applyBorder="1" applyAlignment="1">
      <alignment horizontal="center" vertical="center"/>
    </xf>
    <xf numFmtId="38" fontId="53" fillId="29" borderId="1" xfId="1" applyNumberFormat="1" applyFont="1" applyFill="1" applyBorder="1">
      <alignment vertical="center"/>
    </xf>
    <xf numFmtId="0" fontId="15" fillId="29" borderId="1" xfId="0" applyFont="1" applyFill="1" applyBorder="1" applyAlignment="1">
      <alignment horizontal="center" vertical="center"/>
    </xf>
    <xf numFmtId="177" fontId="70" fillId="29" borderId="1" xfId="0" applyNumberFormat="1" applyFont="1" applyFill="1" applyBorder="1" applyAlignment="1">
      <alignment horizontal="center" vertical="center"/>
    </xf>
    <xf numFmtId="38" fontId="110" fillId="29" borderId="1" xfId="1" applyNumberFormat="1" applyFont="1" applyFill="1" applyBorder="1">
      <alignment vertical="center"/>
    </xf>
    <xf numFmtId="0" fontId="105" fillId="29" borderId="1" xfId="0" applyFont="1" applyFill="1" applyBorder="1" applyAlignment="1">
      <alignment horizontal="center" vertical="center"/>
    </xf>
    <xf numFmtId="38" fontId="106" fillId="29" borderId="1" xfId="1" applyNumberFormat="1" applyFont="1" applyFill="1" applyBorder="1">
      <alignment vertical="center"/>
    </xf>
    <xf numFmtId="0" fontId="133" fillId="29" borderId="1" xfId="0" applyFont="1" applyFill="1" applyBorder="1" applyAlignment="1">
      <alignment horizontal="center" vertical="center"/>
    </xf>
    <xf numFmtId="189" fontId="112" fillId="26" borderId="1" xfId="0" applyNumberFormat="1" applyFont="1" applyFill="1" applyBorder="1">
      <alignment vertical="center"/>
    </xf>
    <xf numFmtId="0" fontId="112" fillId="26" borderId="0" xfId="0" applyFont="1" applyFill="1" applyAlignment="1">
      <alignment horizontal="center" vertical="center"/>
    </xf>
    <xf numFmtId="190" fontId="5" fillId="26" borderId="0" xfId="0" applyNumberFormat="1" applyFont="1" applyFill="1" applyAlignment="1">
      <alignment horizontal="center" vertical="center"/>
    </xf>
    <xf numFmtId="0" fontId="70" fillId="26" borderId="0" xfId="0" applyFont="1" applyFill="1" applyAlignment="1">
      <alignment horizontal="center" vertical="center"/>
    </xf>
    <xf numFmtId="0" fontId="111" fillId="26" borderId="1" xfId="0" applyFont="1" applyFill="1" applyBorder="1">
      <alignment vertical="center"/>
    </xf>
    <xf numFmtId="189" fontId="112" fillId="26" borderId="1" xfId="0" applyNumberFormat="1" applyFont="1" applyFill="1" applyBorder="1" applyAlignment="1">
      <alignment horizontal="center" vertical="center"/>
    </xf>
    <xf numFmtId="0" fontId="83" fillId="26" borderId="1" xfId="0" applyFont="1" applyFill="1" applyBorder="1" applyAlignment="1">
      <alignment horizontal="center" vertical="center"/>
    </xf>
    <xf numFmtId="38" fontId="53" fillId="26" borderId="1" xfId="1" applyNumberFormat="1" applyFont="1" applyFill="1" applyBorder="1">
      <alignment vertical="center"/>
    </xf>
    <xf numFmtId="0" fontId="15" fillId="26" borderId="1" xfId="0" applyFont="1" applyFill="1" applyBorder="1" applyAlignment="1">
      <alignment horizontal="center" vertical="center"/>
    </xf>
    <xf numFmtId="177" fontId="70" fillId="26" borderId="1" xfId="0" applyNumberFormat="1" applyFont="1" applyFill="1" applyBorder="1" applyAlignment="1">
      <alignment horizontal="center" vertical="center"/>
    </xf>
    <xf numFmtId="38" fontId="111" fillId="26" borderId="1" xfId="1" applyNumberFormat="1" applyFont="1" applyFill="1" applyBorder="1">
      <alignment vertical="center"/>
    </xf>
    <xf numFmtId="0" fontId="112" fillId="26" borderId="1" xfId="0" applyFont="1" applyFill="1" applyBorder="1" applyAlignment="1">
      <alignment horizontal="center" vertical="center"/>
    </xf>
    <xf numFmtId="38" fontId="134" fillId="26" borderId="1" xfId="1" applyNumberFormat="1" applyFont="1" applyFill="1" applyBorder="1">
      <alignment vertical="center"/>
    </xf>
    <xf numFmtId="177" fontId="121" fillId="48" borderId="1" xfId="0" applyNumberFormat="1" applyFont="1" applyFill="1" applyBorder="1" applyAlignment="1">
      <alignment horizontal="center" vertical="center"/>
    </xf>
    <xf numFmtId="177" fontId="121" fillId="33" borderId="1" xfId="0" applyNumberFormat="1" applyFont="1" applyFill="1" applyBorder="1" applyAlignment="1">
      <alignment horizontal="center" vertical="center"/>
    </xf>
    <xf numFmtId="177" fontId="121" fillId="29" borderId="1" xfId="0" applyNumberFormat="1" applyFont="1" applyFill="1" applyBorder="1" applyAlignment="1">
      <alignment horizontal="center" vertical="center"/>
    </xf>
    <xf numFmtId="177" fontId="121" fillId="26" borderId="1" xfId="0" applyNumberFormat="1" applyFont="1" applyFill="1" applyBorder="1" applyAlignment="1">
      <alignment horizontal="center" vertical="center"/>
    </xf>
    <xf numFmtId="0" fontId="134" fillId="26" borderId="1" xfId="0" applyFont="1" applyFill="1" applyBorder="1" applyAlignment="1">
      <alignment horizontal="center" vertical="center"/>
    </xf>
    <xf numFmtId="0" fontId="70" fillId="7" borderId="1" xfId="0" applyFont="1" applyFill="1" applyBorder="1" applyAlignment="1" applyProtection="1">
      <alignment vertical="center" shrinkToFit="1"/>
      <protection locked="0"/>
    </xf>
    <xf numFmtId="10" fontId="52" fillId="7" borderId="1" xfId="0" applyNumberFormat="1" applyFont="1" applyFill="1" applyBorder="1" applyAlignment="1">
      <alignment horizontal="center" vertical="center"/>
    </xf>
    <xf numFmtId="196" fontId="97" fillId="53" borderId="6" xfId="0" applyNumberFormat="1" applyFont="1" applyFill="1" applyBorder="1" applyAlignment="1">
      <alignment horizontal="center" vertical="center" shrinkToFit="1"/>
    </xf>
    <xf numFmtId="38" fontId="29" fillId="7" borderId="1" xfId="1" applyNumberFormat="1" applyFont="1" applyFill="1" applyBorder="1">
      <alignment vertical="center"/>
    </xf>
    <xf numFmtId="10" fontId="52" fillId="7" borderId="1" xfId="0" applyNumberFormat="1" applyFont="1" applyFill="1" applyBorder="1" applyAlignment="1" applyProtection="1">
      <alignment horizontal="center" vertical="center"/>
      <protection locked="0"/>
    </xf>
    <xf numFmtId="38" fontId="35" fillId="47" borderId="1" xfId="0" applyNumberFormat="1" applyFont="1" applyFill="1" applyBorder="1" applyProtection="1">
      <alignment vertical="center"/>
      <protection locked="0"/>
    </xf>
    <xf numFmtId="38" fontId="35" fillId="7" borderId="1" xfId="0" applyNumberFormat="1" applyFont="1" applyFill="1" applyBorder="1" applyProtection="1">
      <alignment vertical="center"/>
      <protection locked="0"/>
    </xf>
    <xf numFmtId="177" fontId="70" fillId="7" borderId="1" xfId="6" applyNumberFormat="1" applyFont="1" applyFill="1" applyBorder="1" applyAlignment="1">
      <alignment horizontal="center" vertical="center"/>
    </xf>
    <xf numFmtId="177" fontId="20" fillId="7" borderId="0" xfId="6" applyNumberFormat="1" applyFont="1" applyFill="1" applyAlignment="1">
      <alignment horizontal="center" vertical="center"/>
    </xf>
    <xf numFmtId="3" fontId="27" fillId="7" borderId="10" xfId="0" applyNumberFormat="1" applyFont="1" applyFill="1" applyBorder="1" applyAlignment="1">
      <alignment horizontal="center" vertical="center" wrapText="1"/>
    </xf>
    <xf numFmtId="3" fontId="27" fillId="7" borderId="11" xfId="0" applyNumberFormat="1" applyFont="1" applyFill="1" applyBorder="1" applyAlignment="1">
      <alignment horizontal="center" vertical="center" wrapText="1"/>
    </xf>
    <xf numFmtId="189" fontId="16" fillId="7" borderId="1" xfId="0" applyNumberFormat="1" applyFont="1" applyFill="1" applyBorder="1" applyAlignment="1">
      <alignment horizontal="center" vertical="center"/>
    </xf>
    <xf numFmtId="0" fontId="135" fillId="7" borderId="1" xfId="0" applyFont="1" applyFill="1" applyBorder="1" applyAlignment="1">
      <alignment horizontal="center" vertical="center"/>
    </xf>
    <xf numFmtId="177" fontId="136" fillId="7" borderId="1" xfId="0" applyNumberFormat="1" applyFont="1" applyFill="1" applyBorder="1" applyAlignment="1">
      <alignment horizontal="center" vertical="center"/>
    </xf>
    <xf numFmtId="10" fontId="52" fillId="0" borderId="1" xfId="0" applyNumberFormat="1" applyFont="1" applyBorder="1" applyAlignment="1">
      <alignment horizontal="center" vertical="center"/>
    </xf>
    <xf numFmtId="178" fontId="52" fillId="7" borderId="1" xfId="0" applyNumberFormat="1" applyFont="1" applyFill="1" applyBorder="1" applyAlignment="1">
      <alignment horizontal="center" vertical="center"/>
    </xf>
    <xf numFmtId="178" fontId="52" fillId="0" borderId="1" xfId="0" applyNumberFormat="1" applyFont="1" applyBorder="1" applyAlignment="1">
      <alignment horizontal="center" vertical="center"/>
    </xf>
    <xf numFmtId="178" fontId="137" fillId="0" borderId="1" xfId="0" applyNumberFormat="1" applyFont="1" applyBorder="1" applyAlignment="1">
      <alignment horizontal="center" vertical="center"/>
    </xf>
    <xf numFmtId="204" fontId="27" fillId="0" borderId="1" xfId="0" applyNumberFormat="1" applyFont="1" applyBorder="1" applyAlignment="1" applyProtection="1">
      <alignment horizontal="center" vertical="center"/>
      <protection locked="0"/>
    </xf>
    <xf numFmtId="0" fontId="32" fillId="7" borderId="1" xfId="2" applyFont="1" applyFill="1" applyBorder="1" applyAlignment="1" applyProtection="1">
      <alignment horizontal="left" vertical="center"/>
      <protection locked="0"/>
    </xf>
    <xf numFmtId="0" fontId="138" fillId="0" borderId="0" xfId="0" applyFont="1" applyProtection="1">
      <alignment vertical="center"/>
      <protection locked="0"/>
    </xf>
    <xf numFmtId="185" fontId="20" fillId="48" borderId="1" xfId="0" applyNumberFormat="1" applyFont="1" applyFill="1" applyBorder="1" applyAlignment="1" applyProtection="1">
      <alignment horizontal="center" vertical="center"/>
      <protection locked="0"/>
    </xf>
    <xf numFmtId="0" fontId="60" fillId="0" borderId="1" xfId="0" applyFont="1" applyBorder="1" applyAlignment="1" applyProtection="1">
      <alignment horizontal="center" vertical="center"/>
      <protection locked="0"/>
    </xf>
    <xf numFmtId="0" fontId="166" fillId="0" borderId="0" xfId="0" applyFont="1" applyAlignment="1">
      <alignment horizontal="center" vertical="center"/>
    </xf>
    <xf numFmtId="177" fontId="136" fillId="0" borderId="1" xfId="0" applyNumberFormat="1" applyFont="1" applyBorder="1" applyAlignment="1">
      <alignment horizontal="center" vertical="center"/>
    </xf>
    <xf numFmtId="38" fontId="29" fillId="39" borderId="1" xfId="1" applyNumberFormat="1" applyFont="1" applyFill="1" applyBorder="1">
      <alignment vertical="center"/>
    </xf>
    <xf numFmtId="0" fontId="31" fillId="0" borderId="0" xfId="0" applyFont="1" applyAlignment="1" applyProtection="1">
      <alignment horizontal="center" vertical="center"/>
      <protection locked="0"/>
    </xf>
    <xf numFmtId="186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 applyAlignment="1" applyProtection="1">
      <alignment horizontal="left" vertical="center"/>
      <protection locked="0"/>
    </xf>
    <xf numFmtId="203" fontId="168" fillId="39" borderId="1" xfId="0" applyNumberFormat="1" applyFont="1" applyFill="1" applyBorder="1" applyAlignment="1">
      <alignment horizontal="center" vertical="center"/>
    </xf>
    <xf numFmtId="0" fontId="70" fillId="0" borderId="1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70" fillId="55" borderId="7" xfId="12" applyFont="1" applyFill="1" applyBorder="1" applyAlignment="1">
      <alignment horizontal="center" vertical="center" wrapText="1"/>
    </xf>
    <xf numFmtId="176" fontId="70" fillId="55" borderId="8" xfId="12" applyFont="1" applyFill="1" applyBorder="1" applyAlignment="1">
      <alignment horizontal="center" vertical="center" wrapText="1"/>
    </xf>
    <xf numFmtId="176" fontId="70" fillId="55" borderId="4" xfId="12" applyFont="1" applyFill="1" applyBorder="1" applyAlignment="1">
      <alignment horizontal="center" vertical="center" wrapText="1"/>
    </xf>
    <xf numFmtId="192" fontId="0" fillId="0" borderId="7" xfId="0" applyNumberFormat="1" applyBorder="1" applyAlignment="1">
      <alignment horizontal="center" vertical="center"/>
    </xf>
    <xf numFmtId="192" fontId="0" fillId="0" borderId="4" xfId="0" applyNumberFormat="1" applyBorder="1" applyAlignment="1">
      <alignment horizontal="center" vertical="center"/>
    </xf>
    <xf numFmtId="177" fontId="70" fillId="55" borderId="7" xfId="12" applyNumberFormat="1" applyFont="1" applyFill="1" applyBorder="1" applyAlignment="1">
      <alignment horizontal="center" vertical="center"/>
    </xf>
    <xf numFmtId="177" fontId="70" fillId="55" borderId="8" xfId="12" applyNumberFormat="1" applyFont="1" applyFill="1" applyBorder="1" applyAlignment="1">
      <alignment horizontal="center" vertical="center"/>
    </xf>
    <xf numFmtId="177" fontId="70" fillId="55" borderId="4" xfId="12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 wrapText="1"/>
    </xf>
    <xf numFmtId="0" fontId="52" fillId="0" borderId="5" xfId="0" applyFont="1" applyBorder="1" applyAlignment="1">
      <alignment horizontal="center" vertical="center" wrapText="1"/>
    </xf>
    <xf numFmtId="38" fontId="52" fillId="0" borderId="43" xfId="9" applyNumberFormat="1" applyFont="1" applyBorder="1" applyAlignment="1">
      <alignment horizontal="center" vertical="center"/>
    </xf>
    <xf numFmtId="38" fontId="52" fillId="0" borderId="44" xfId="9" applyNumberFormat="1" applyFont="1" applyBorder="1" applyAlignment="1">
      <alignment horizontal="center" vertical="center"/>
    </xf>
    <xf numFmtId="38" fontId="52" fillId="0" borderId="45" xfId="9" applyNumberFormat="1" applyFont="1" applyBorder="1" applyAlignment="1">
      <alignment horizontal="center" vertical="center"/>
    </xf>
    <xf numFmtId="38" fontId="52" fillId="0" borderId="9" xfId="9" applyNumberFormat="1" applyFont="1" applyBorder="1" applyAlignment="1">
      <alignment horizontal="center" vertical="center"/>
    </xf>
    <xf numFmtId="38" fontId="52" fillId="0" borderId="6" xfId="9" applyNumberFormat="1" applyFont="1" applyBorder="1" applyAlignment="1">
      <alignment horizontal="center" vertical="center"/>
    </xf>
    <xf numFmtId="38" fontId="52" fillId="0" borderId="12" xfId="9" applyNumberFormat="1" applyFont="1" applyBorder="1" applyAlignment="1">
      <alignment horizontal="center" vertical="center"/>
    </xf>
    <xf numFmtId="0" fontId="0" fillId="54" borderId="1" xfId="0" applyFill="1" applyBorder="1" applyAlignment="1">
      <alignment horizontal="center" vertical="center"/>
    </xf>
    <xf numFmtId="177" fontId="29" fillId="7" borderId="1" xfId="12" applyNumberFormat="1" applyFont="1" applyFill="1" applyBorder="1" applyAlignment="1">
      <alignment horizontal="center" vertical="center"/>
    </xf>
    <xf numFmtId="0" fontId="140" fillId="54" borderId="1" xfId="0" applyFont="1" applyFill="1" applyBorder="1" applyAlignment="1">
      <alignment horizontal="center" vertical="center"/>
    </xf>
    <xf numFmtId="177" fontId="57" fillId="54" borderId="1" xfId="12" applyNumberFormat="1" applyFont="1" applyFill="1" applyBorder="1" applyAlignment="1">
      <alignment horizontal="center" vertical="center"/>
    </xf>
    <xf numFmtId="178" fontId="29" fillId="7" borderId="7" xfId="11" applyNumberFormat="1" applyFont="1" applyFill="1" applyBorder="1" applyAlignment="1" applyProtection="1">
      <alignment horizontal="center" vertical="center" wrapText="1"/>
      <protection locked="0"/>
    </xf>
    <xf numFmtId="178" fontId="29" fillId="7" borderId="8" xfId="11" applyNumberFormat="1" applyFont="1" applyFill="1" applyBorder="1" applyAlignment="1" applyProtection="1">
      <alignment horizontal="center" vertical="center" wrapText="1"/>
      <protection locked="0"/>
    </xf>
    <xf numFmtId="178" fontId="29" fillId="7" borderId="4" xfId="11" applyNumberFormat="1" applyFont="1" applyFill="1" applyBorder="1" applyAlignment="1" applyProtection="1">
      <alignment horizontal="center" vertical="center" wrapText="1"/>
      <protection locked="0"/>
    </xf>
    <xf numFmtId="177" fontId="28" fillId="0" borderId="7" xfId="9" applyNumberFormat="1" applyFont="1" applyBorder="1" applyAlignment="1">
      <alignment horizontal="center" vertical="center"/>
    </xf>
    <xf numFmtId="177" fontId="28" fillId="0" borderId="8" xfId="9" applyNumberFormat="1" applyFont="1" applyBorder="1" applyAlignment="1">
      <alignment horizontal="center" vertical="center"/>
    </xf>
    <xf numFmtId="177" fontId="28" fillId="0" borderId="4" xfId="9" applyNumberFormat="1" applyFont="1" applyBorder="1" applyAlignment="1">
      <alignment horizontal="center" vertical="center"/>
    </xf>
    <xf numFmtId="38" fontId="55" fillId="26" borderId="7" xfId="10" applyNumberFormat="1" applyFont="1" applyFill="1" applyBorder="1" applyAlignment="1">
      <alignment horizontal="center" vertical="center"/>
    </xf>
    <xf numFmtId="38" fontId="55" fillId="26" borderId="8" xfId="10" applyNumberFormat="1" applyFont="1" applyFill="1" applyBorder="1" applyAlignment="1">
      <alignment horizontal="center" vertical="center"/>
    </xf>
    <xf numFmtId="38" fontId="55" fillId="26" borderId="4" xfId="10" applyNumberFormat="1" applyFont="1" applyFill="1" applyBorder="1" applyAlignment="1">
      <alignment horizontal="center" vertical="center"/>
    </xf>
    <xf numFmtId="38" fontId="139" fillId="0" borderId="7" xfId="9" applyNumberFormat="1" applyFont="1" applyBorder="1" applyAlignment="1">
      <alignment horizontal="center" vertical="center"/>
    </xf>
    <xf numFmtId="38" fontId="139" fillId="0" borderId="8" xfId="9" applyNumberFormat="1" applyFont="1" applyBorder="1" applyAlignment="1">
      <alignment horizontal="center" vertical="center"/>
    </xf>
    <xf numFmtId="38" fontId="139" fillId="0" borderId="4" xfId="9" applyNumberFormat="1" applyFont="1" applyBorder="1" applyAlignment="1">
      <alignment horizontal="center" vertical="center"/>
    </xf>
    <xf numFmtId="0" fontId="55" fillId="54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177" fontId="29" fillId="7" borderId="7" xfId="11" applyNumberFormat="1" applyFont="1" applyFill="1" applyBorder="1" applyAlignment="1" applyProtection="1">
      <alignment horizontal="center" vertical="center" wrapText="1"/>
      <protection locked="0"/>
    </xf>
    <xf numFmtId="177" fontId="29" fillId="7" borderId="8" xfId="11" applyNumberFormat="1" applyFont="1" applyFill="1" applyBorder="1" applyAlignment="1" applyProtection="1">
      <alignment horizontal="center" vertical="center" wrapText="1"/>
      <protection locked="0"/>
    </xf>
    <xf numFmtId="177" fontId="29" fillId="7" borderId="4" xfId="11" applyNumberFormat="1" applyFont="1" applyFill="1" applyBorder="1" applyAlignment="1" applyProtection="1">
      <alignment horizontal="center" vertical="center" wrapText="1"/>
      <protection locked="0"/>
    </xf>
    <xf numFmtId="192" fontId="28" fillId="0" borderId="7" xfId="8" applyNumberFormat="1" applyFont="1" applyBorder="1" applyAlignment="1">
      <alignment horizontal="center" vertical="center"/>
    </xf>
    <xf numFmtId="192" fontId="28" fillId="0" borderId="8" xfId="8" applyNumberFormat="1" applyFont="1" applyBorder="1" applyAlignment="1">
      <alignment horizontal="center" vertical="center"/>
    </xf>
    <xf numFmtId="192" fontId="28" fillId="0" borderId="4" xfId="8" applyNumberFormat="1" applyFont="1" applyBorder="1" applyAlignment="1">
      <alignment horizontal="center" vertical="center"/>
    </xf>
    <xf numFmtId="0" fontId="28" fillId="0" borderId="7" xfId="9" applyFont="1" applyBorder="1" applyAlignment="1">
      <alignment horizontal="center" vertical="center"/>
    </xf>
    <xf numFmtId="0" fontId="28" fillId="0" borderId="8" xfId="9" applyFont="1" applyBorder="1" applyAlignment="1">
      <alignment horizontal="center" vertical="center"/>
    </xf>
    <xf numFmtId="0" fontId="28" fillId="0" borderId="4" xfId="9" applyFont="1" applyBorder="1" applyAlignment="1">
      <alignment horizontal="center" vertical="center"/>
    </xf>
    <xf numFmtId="186" fontId="0" fillId="0" borderId="1" xfId="0" applyNumberFormat="1" applyBorder="1" applyAlignment="1">
      <alignment horizontal="center" vertical="center"/>
    </xf>
    <xf numFmtId="0" fontId="50" fillId="26" borderId="1" xfId="0" applyFont="1" applyFill="1" applyBorder="1" applyAlignment="1">
      <alignment horizontal="center" vertical="center"/>
    </xf>
    <xf numFmtId="0" fontId="53" fillId="54" borderId="7" xfId="0" applyFont="1" applyFill="1" applyBorder="1" applyAlignment="1">
      <alignment horizontal="center" vertical="center"/>
    </xf>
    <xf numFmtId="0" fontId="53" fillId="54" borderId="8" xfId="0" applyFont="1" applyFill="1" applyBorder="1" applyAlignment="1">
      <alignment horizontal="center" vertical="center"/>
    </xf>
    <xf numFmtId="0" fontId="53" fillId="54" borderId="4" xfId="0" applyFont="1" applyFill="1" applyBorder="1" applyAlignment="1">
      <alignment horizontal="center" vertical="center"/>
    </xf>
    <xf numFmtId="14" fontId="29" fillId="7" borderId="7" xfId="8" applyNumberFormat="1" applyFont="1" applyFill="1" applyBorder="1" applyAlignment="1" applyProtection="1">
      <alignment horizontal="center" vertical="center"/>
      <protection locked="0"/>
    </xf>
    <xf numFmtId="14" fontId="29" fillId="7" borderId="8" xfId="8" applyNumberFormat="1" applyFont="1" applyFill="1" applyBorder="1" applyAlignment="1" applyProtection="1">
      <alignment horizontal="center" vertical="center"/>
      <protection locked="0"/>
    </xf>
    <xf numFmtId="14" fontId="29" fillId="7" borderId="4" xfId="8" applyNumberFormat="1" applyFont="1" applyFill="1" applyBorder="1" applyAlignment="1" applyProtection="1">
      <alignment horizontal="center" vertical="center"/>
      <protection locked="0"/>
    </xf>
    <xf numFmtId="191" fontId="28" fillId="0" borderId="7" xfId="8" applyNumberFormat="1" applyFont="1" applyBorder="1" applyAlignment="1">
      <alignment horizontal="center" vertical="center"/>
    </xf>
    <xf numFmtId="191" fontId="28" fillId="0" borderId="8" xfId="8" applyNumberFormat="1" applyFont="1" applyBorder="1" applyAlignment="1">
      <alignment horizontal="center" vertical="center"/>
    </xf>
    <xf numFmtId="191" fontId="28" fillId="0" borderId="4" xfId="8" applyNumberFormat="1" applyFont="1" applyBorder="1" applyAlignment="1">
      <alignment horizontal="center" vertical="center"/>
    </xf>
    <xf numFmtId="14" fontId="53" fillId="0" borderId="7" xfId="8" applyNumberFormat="1" applyFont="1" applyBorder="1" applyAlignment="1">
      <alignment horizontal="center" vertical="center"/>
    </xf>
    <xf numFmtId="14" fontId="53" fillId="0" borderId="8" xfId="8" applyNumberFormat="1" applyFont="1" applyBorder="1" applyAlignment="1">
      <alignment horizontal="center" vertical="center"/>
    </xf>
    <xf numFmtId="14" fontId="53" fillId="0" borderId="4" xfId="8" applyNumberFormat="1" applyFont="1" applyBorder="1" applyAlignment="1">
      <alignment horizontal="center" vertical="center"/>
    </xf>
    <xf numFmtId="177" fontId="59" fillId="7" borderId="2" xfId="9" applyNumberFormat="1" applyFont="1" applyFill="1" applyBorder="1" applyAlignment="1">
      <alignment horizontal="center" vertical="center" textRotation="255"/>
    </xf>
    <xf numFmtId="177" fontId="59" fillId="7" borderId="46" xfId="9" applyNumberFormat="1" applyFont="1" applyFill="1" applyBorder="1" applyAlignment="1">
      <alignment horizontal="center" vertical="center" textRotation="255"/>
    </xf>
    <xf numFmtId="177" fontId="59" fillId="7" borderId="5" xfId="9" applyNumberFormat="1" applyFont="1" applyFill="1" applyBorder="1" applyAlignment="1">
      <alignment horizontal="center" vertical="center" textRotation="255"/>
    </xf>
    <xf numFmtId="177" fontId="59" fillId="7" borderId="1" xfId="9" applyNumberFormat="1" applyFont="1" applyFill="1" applyBorder="1" applyAlignment="1">
      <alignment horizontal="center" vertical="center" textRotation="255"/>
    </xf>
    <xf numFmtId="177" fontId="58" fillId="10" borderId="1" xfId="9" applyNumberFormat="1" applyFont="1" applyFill="1" applyBorder="1" applyAlignment="1">
      <alignment horizontal="center" vertical="center" textRotation="255"/>
    </xf>
    <xf numFmtId="0" fontId="61" fillId="37" borderId="1" xfId="9" applyFont="1" applyFill="1" applyBorder="1" applyAlignment="1">
      <alignment horizontal="center" vertical="center" wrapText="1"/>
    </xf>
    <xf numFmtId="0" fontId="61" fillId="37" borderId="7" xfId="9" applyFont="1" applyFill="1" applyBorder="1" applyAlignment="1">
      <alignment horizontal="center" vertical="center" wrapText="1"/>
    </xf>
    <xf numFmtId="0" fontId="61" fillId="37" borderId="8" xfId="9" applyFont="1" applyFill="1" applyBorder="1" applyAlignment="1">
      <alignment horizontal="center" vertical="center" wrapText="1"/>
    </xf>
    <xf numFmtId="0" fontId="17" fillId="42" borderId="1" xfId="9" applyFont="1" applyFill="1" applyBorder="1" applyAlignment="1">
      <alignment horizontal="center" vertical="center" wrapText="1"/>
    </xf>
    <xf numFmtId="0" fontId="60" fillId="7" borderId="1" xfId="9" applyFont="1" applyFill="1" applyBorder="1" applyAlignment="1">
      <alignment horizontal="center" vertical="center" textRotation="255" wrapText="1"/>
    </xf>
    <xf numFmtId="0" fontId="21" fillId="6" borderId="1" xfId="9" applyFont="1" applyFill="1" applyBorder="1" applyAlignment="1">
      <alignment horizontal="center" vertical="center" wrapText="1"/>
    </xf>
    <xf numFmtId="0" fontId="61" fillId="31" borderId="1" xfId="13" applyNumberFormat="1" applyFont="1" applyFill="1" applyBorder="1" applyAlignment="1">
      <alignment horizontal="center" vertical="center"/>
    </xf>
    <xf numFmtId="0" fontId="59" fillId="41" borderId="1" xfId="9" applyFont="1" applyFill="1" applyBorder="1" applyAlignment="1">
      <alignment horizontal="center" vertical="center" wrapText="1"/>
    </xf>
    <xf numFmtId="38" fontId="61" fillId="0" borderId="1" xfId="9" applyNumberFormat="1" applyFont="1" applyBorder="1" applyAlignment="1">
      <alignment horizontal="center" vertical="center" wrapText="1"/>
    </xf>
    <xf numFmtId="0" fontId="61" fillId="0" borderId="1" xfId="9" applyFont="1" applyBorder="1" applyAlignment="1">
      <alignment horizontal="center" vertical="center" wrapText="1"/>
    </xf>
    <xf numFmtId="195" fontId="60" fillId="29" borderId="44" xfId="9" applyNumberFormat="1" applyFont="1" applyFill="1" applyBorder="1" applyAlignment="1">
      <alignment horizontal="center" vertical="center"/>
    </xf>
    <xf numFmtId="195" fontId="60" fillId="29" borderId="0" xfId="9" applyNumberFormat="1" applyFont="1" applyFill="1" applyAlignment="1">
      <alignment horizontal="center" vertical="center"/>
    </xf>
    <xf numFmtId="0" fontId="20" fillId="30" borderId="9" xfId="9" applyFont="1" applyFill="1" applyBorder="1" applyAlignment="1">
      <alignment horizontal="center" vertical="center"/>
    </xf>
    <xf numFmtId="0" fontId="20" fillId="30" borderId="6" xfId="9" applyFont="1" applyFill="1" applyBorder="1" applyAlignment="1">
      <alignment horizontal="center" vertical="center"/>
    </xf>
    <xf numFmtId="186" fontId="61" fillId="0" borderId="2" xfId="9" applyNumberFormat="1" applyFont="1" applyBorder="1" applyAlignment="1">
      <alignment horizontal="center" vertical="center" wrapText="1"/>
    </xf>
    <xf numFmtId="186" fontId="61" fillId="0" borderId="46" xfId="9" applyNumberFormat="1" applyFont="1" applyBorder="1" applyAlignment="1">
      <alignment horizontal="center" vertical="center" wrapText="1"/>
    </xf>
    <xf numFmtId="186" fontId="61" fillId="0" borderId="5" xfId="9" applyNumberFormat="1" applyFont="1" applyBorder="1" applyAlignment="1">
      <alignment horizontal="center" vertical="center" wrapText="1"/>
    </xf>
    <xf numFmtId="0" fontId="61" fillId="0" borderId="1" xfId="9" applyFont="1" applyBorder="1" applyAlignment="1">
      <alignment horizontal="center" vertical="center"/>
    </xf>
    <xf numFmtId="0" fontId="17" fillId="0" borderId="2" xfId="9" applyFont="1" applyBorder="1" applyAlignment="1">
      <alignment horizontal="center" vertical="center"/>
    </xf>
    <xf numFmtId="0" fontId="17" fillId="0" borderId="46" xfId="9" applyFont="1" applyBorder="1" applyAlignment="1">
      <alignment horizontal="center" vertical="center"/>
    </xf>
    <xf numFmtId="0" fontId="17" fillId="0" borderId="5" xfId="9" applyFont="1" applyBorder="1" applyAlignment="1">
      <alignment horizontal="center" vertical="center"/>
    </xf>
    <xf numFmtId="195" fontId="21" fillId="5" borderId="1" xfId="9" applyNumberFormat="1" applyFont="1" applyFill="1" applyBorder="1" applyAlignment="1">
      <alignment horizontal="center" vertical="center" wrapText="1"/>
    </xf>
    <xf numFmtId="0" fontId="21" fillId="39" borderId="1" xfId="9" applyFont="1" applyFill="1" applyBorder="1" applyAlignment="1">
      <alignment horizontal="center" vertical="center" wrapText="1"/>
    </xf>
    <xf numFmtId="0" fontId="61" fillId="40" borderId="1" xfId="9" applyFont="1" applyFill="1" applyBorder="1" applyAlignment="1">
      <alignment horizontal="center" vertical="center" wrapText="1"/>
    </xf>
    <xf numFmtId="0" fontId="61" fillId="18" borderId="1" xfId="9" applyFont="1" applyFill="1" applyBorder="1" applyAlignment="1">
      <alignment horizontal="center" vertical="center" wrapText="1"/>
    </xf>
    <xf numFmtId="0" fontId="61" fillId="40" borderId="1" xfId="13" applyNumberFormat="1" applyFont="1" applyFill="1" applyBorder="1" applyAlignment="1">
      <alignment horizontal="center" vertical="center"/>
    </xf>
    <xf numFmtId="0" fontId="61" fillId="14" borderId="1" xfId="9" applyFont="1" applyFill="1" applyBorder="1" applyAlignment="1">
      <alignment horizontal="center" vertical="center" wrapText="1"/>
    </xf>
    <xf numFmtId="17" fontId="70" fillId="0" borderId="0" xfId="9" applyNumberFormat="1" applyFont="1" applyAlignment="1" applyProtection="1">
      <alignment horizontal="center" vertical="center"/>
      <protection locked="0"/>
    </xf>
    <xf numFmtId="177" fontId="20" fillId="0" borderId="0" xfId="9" applyNumberFormat="1" applyFont="1" applyAlignment="1">
      <alignment horizontal="center" vertical="center"/>
    </xf>
    <xf numFmtId="205" fontId="20" fillId="35" borderId="1" xfId="9" applyNumberFormat="1" applyFont="1" applyFill="1" applyBorder="1" applyAlignment="1">
      <alignment horizontal="center" vertical="center"/>
    </xf>
    <xf numFmtId="14" fontId="20" fillId="35" borderId="1" xfId="9" applyNumberFormat="1" applyFont="1" applyFill="1" applyBorder="1" applyAlignment="1">
      <alignment horizontal="center" vertical="center"/>
    </xf>
    <xf numFmtId="38" fontId="58" fillId="0" borderId="0" xfId="9" applyNumberFormat="1" applyFont="1" applyAlignment="1">
      <alignment horizontal="center" vertical="center"/>
    </xf>
    <xf numFmtId="17" fontId="59" fillId="36" borderId="0" xfId="9" applyNumberFormat="1" applyFont="1" applyFill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70" fillId="0" borderId="6" xfId="0" applyFont="1" applyBorder="1" applyAlignment="1" applyProtection="1">
      <alignment horizontal="center" vertical="center"/>
      <protection locked="0"/>
    </xf>
    <xf numFmtId="0" fontId="38" fillId="24" borderId="7" xfId="0" applyFont="1" applyFill="1" applyBorder="1" applyAlignment="1">
      <alignment horizontal="center" vertical="center"/>
    </xf>
    <xf numFmtId="0" fontId="38" fillId="24" borderId="8" xfId="0" applyFont="1" applyFill="1" applyBorder="1" applyAlignment="1">
      <alignment horizontal="center" vertical="center"/>
    </xf>
    <xf numFmtId="0" fontId="38" fillId="24" borderId="4" xfId="0" applyFont="1" applyFill="1" applyBorder="1" applyAlignment="1">
      <alignment horizontal="center" vertical="center"/>
    </xf>
    <xf numFmtId="0" fontId="32" fillId="7" borderId="6" xfId="0" applyFont="1" applyFill="1" applyBorder="1" applyAlignment="1">
      <alignment horizontal="center" vertical="center"/>
    </xf>
    <xf numFmtId="0" fontId="35" fillId="24" borderId="7" xfId="0" applyFont="1" applyFill="1" applyBorder="1" applyAlignment="1">
      <alignment horizontal="center" vertical="center"/>
    </xf>
    <xf numFmtId="0" fontId="35" fillId="24" borderId="8" xfId="0" applyFont="1" applyFill="1" applyBorder="1" applyAlignment="1">
      <alignment horizontal="center" vertical="center"/>
    </xf>
    <xf numFmtId="0" fontId="35" fillId="24" borderId="4" xfId="0" applyFont="1" applyFill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96" fontId="141" fillId="23" borderId="6" xfId="0" applyNumberFormat="1" applyFont="1" applyFill="1" applyBorder="1" applyAlignment="1">
      <alignment horizontal="center" vertical="center"/>
    </xf>
    <xf numFmtId="197" fontId="41" fillId="15" borderId="7" xfId="0" applyNumberFormat="1" applyFont="1" applyFill="1" applyBorder="1" applyAlignment="1">
      <alignment horizontal="center" vertical="center"/>
    </xf>
    <xf numFmtId="197" fontId="41" fillId="15" borderId="8" xfId="0" applyNumberFormat="1" applyFont="1" applyFill="1" applyBorder="1" applyAlignment="1">
      <alignment horizontal="center" vertical="center"/>
    </xf>
    <xf numFmtId="197" fontId="41" fillId="15" borderId="4" xfId="0" applyNumberFormat="1" applyFont="1" applyFill="1" applyBorder="1" applyAlignment="1">
      <alignment horizontal="center" vertical="center"/>
    </xf>
    <xf numFmtId="0" fontId="81" fillId="7" borderId="6" xfId="0" applyFont="1" applyFill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196" fontId="142" fillId="23" borderId="6" xfId="0" applyNumberFormat="1" applyFont="1" applyFill="1" applyBorder="1" applyAlignment="1">
      <alignment horizontal="center" vertical="center"/>
    </xf>
    <xf numFmtId="0" fontId="143" fillId="24" borderId="7" xfId="0" applyFont="1" applyFill="1" applyBorder="1" applyAlignment="1">
      <alignment horizontal="center" vertical="center"/>
    </xf>
    <xf numFmtId="0" fontId="143" fillId="24" borderId="8" xfId="0" applyFont="1" applyFill="1" applyBorder="1" applyAlignment="1">
      <alignment horizontal="center" vertical="center"/>
    </xf>
    <xf numFmtId="0" fontId="143" fillId="24" borderId="4" xfId="0" applyFont="1" applyFill="1" applyBorder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0" fontId="53" fillId="0" borderId="15" xfId="0" applyFont="1" applyBorder="1" applyAlignment="1">
      <alignment horizontal="center" vertical="center"/>
    </xf>
    <xf numFmtId="0" fontId="53" fillId="0" borderId="34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144" fillId="0" borderId="6" xfId="16" applyFont="1" applyBorder="1" applyAlignment="1">
      <alignment horizontal="center" vertical="center"/>
    </xf>
    <xf numFmtId="0" fontId="58" fillId="0" borderId="47" xfId="0" applyFont="1" applyBorder="1" applyAlignment="1">
      <alignment horizontal="center" vertical="center"/>
    </xf>
    <xf numFmtId="0" fontId="108" fillId="0" borderId="47" xfId="0" applyFont="1" applyBorder="1" applyAlignment="1" applyProtection="1">
      <alignment horizontal="center" vertical="center"/>
      <protection locked="0"/>
    </xf>
    <xf numFmtId="177" fontId="20" fillId="0" borderId="6" xfId="6" applyNumberFormat="1" applyFont="1" applyBorder="1" applyAlignment="1">
      <alignment horizontal="center" vertical="center"/>
    </xf>
    <xf numFmtId="0" fontId="6" fillId="0" borderId="3" xfId="5" applyFont="1" applyBorder="1" applyAlignment="1">
      <alignment horizontal="center" vertical="center" wrapText="1"/>
    </xf>
    <xf numFmtId="0" fontId="6" fillId="0" borderId="3" xfId="5" applyFont="1" applyBorder="1" applyAlignment="1">
      <alignment horizontal="left" vertical="center" wrapText="1"/>
    </xf>
    <xf numFmtId="0" fontId="145" fillId="2" borderId="48" xfId="5" applyFont="1" applyFill="1" applyBorder="1" applyAlignment="1">
      <alignment horizontal="center" vertical="center" wrapText="1"/>
    </xf>
    <xf numFmtId="0" fontId="145" fillId="2" borderId="49" xfId="5" applyFont="1" applyFill="1" applyBorder="1" applyAlignment="1">
      <alignment horizontal="center" vertical="center" wrapText="1"/>
    </xf>
    <xf numFmtId="0" fontId="145" fillId="2" borderId="50" xfId="5" applyFont="1" applyFill="1" applyBorder="1" applyAlignment="1">
      <alignment horizontal="center" vertical="center" wrapText="1"/>
    </xf>
    <xf numFmtId="0" fontId="6" fillId="11" borderId="3" xfId="5" applyFont="1" applyFill="1" applyBorder="1" applyAlignment="1">
      <alignment horizontal="center" vertical="center" wrapText="1"/>
    </xf>
    <xf numFmtId="0" fontId="70" fillId="0" borderId="1" xfId="0" applyFont="1" applyBorder="1" applyAlignment="1">
      <alignment horizontal="center" vertical="center"/>
    </xf>
    <xf numFmtId="0" fontId="29" fillId="0" borderId="43" xfId="0" applyFont="1" applyBorder="1" applyAlignment="1">
      <alignment horizontal="center" vertical="center"/>
    </xf>
    <xf numFmtId="0" fontId="29" fillId="0" borderId="45" xfId="0" applyFont="1" applyBorder="1" applyAlignment="1">
      <alignment horizontal="center" vertical="center"/>
    </xf>
    <xf numFmtId="0" fontId="29" fillId="0" borderId="9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29" fillId="0" borderId="46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14" fontId="53" fillId="0" borderId="0" xfId="8" applyNumberFormat="1" applyFont="1" applyAlignment="1">
      <alignment horizontal="center" vertical="center"/>
    </xf>
    <xf numFmtId="192" fontId="28" fillId="0" borderId="0" xfId="8" applyNumberFormat="1" applyFont="1" applyAlignment="1">
      <alignment horizontal="center" vertical="center"/>
    </xf>
    <xf numFmtId="0" fontId="28" fillId="0" borderId="0" xfId="9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5" fillId="10" borderId="7" xfId="0" applyFont="1" applyFill="1" applyBorder="1" applyAlignment="1">
      <alignment horizontal="center" vertical="center"/>
    </xf>
    <xf numFmtId="0" fontId="5" fillId="10" borderId="8" xfId="0" applyFont="1" applyFill="1" applyBorder="1" applyAlignment="1">
      <alignment horizontal="center" vertical="center"/>
    </xf>
    <xf numFmtId="0" fontId="5" fillId="10" borderId="4" xfId="0" applyFont="1" applyFill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29" fillId="0" borderId="0" xfId="8" applyNumberFormat="1" applyFont="1" applyAlignment="1" applyProtection="1">
      <alignment horizontal="center" vertical="center"/>
      <protection locked="0"/>
    </xf>
    <xf numFmtId="191" fontId="28" fillId="0" borderId="0" xfId="8" applyNumberFormat="1" applyFont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37" borderId="7" xfId="0" applyFill="1" applyBorder="1" applyAlignment="1">
      <alignment horizontal="center" vertical="center"/>
    </xf>
    <xf numFmtId="0" fontId="0" fillId="37" borderId="8" xfId="0" applyFill="1" applyBorder="1" applyAlignment="1">
      <alignment horizontal="center" vertical="center"/>
    </xf>
    <xf numFmtId="0" fontId="0" fillId="37" borderId="4" xfId="0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146" fillId="7" borderId="7" xfId="0" applyFont="1" applyFill="1" applyBorder="1" applyAlignment="1">
      <alignment horizontal="center" vertical="center"/>
    </xf>
    <xf numFmtId="0" fontId="146" fillId="7" borderId="8" xfId="0" applyFont="1" applyFill="1" applyBorder="1" applyAlignment="1">
      <alignment horizontal="center" vertical="center"/>
    </xf>
    <xf numFmtId="0" fontId="146" fillId="7" borderId="4" xfId="0" applyFont="1" applyFill="1" applyBorder="1" applyAlignment="1">
      <alignment horizontal="center" vertical="center"/>
    </xf>
    <xf numFmtId="186" fontId="14" fillId="0" borderId="1" xfId="3" applyNumberFormat="1" applyFont="1" applyBorder="1" applyAlignment="1">
      <alignment horizontal="center" vertical="center"/>
    </xf>
    <xf numFmtId="38" fontId="12" fillId="0" borderId="1" xfId="3" applyNumberFormat="1" applyFont="1" applyBorder="1" applyAlignment="1">
      <alignment horizontal="center" vertical="center"/>
    </xf>
    <xf numFmtId="38" fontId="12" fillId="2" borderId="1" xfId="3" applyNumberFormat="1" applyFont="1" applyFill="1" applyBorder="1" applyAlignment="1">
      <alignment horizontal="center" vertical="center" wrapText="1"/>
    </xf>
    <xf numFmtId="186" fontId="3" fillId="0" borderId="7" xfId="3" applyNumberFormat="1" applyFont="1" applyBorder="1" applyAlignment="1">
      <alignment horizontal="center" vertical="center" wrapText="1"/>
    </xf>
    <xf numFmtId="186" fontId="3" fillId="0" borderId="4" xfId="3" applyNumberFormat="1" applyFont="1" applyBorder="1" applyAlignment="1">
      <alignment horizontal="center" vertical="center" wrapText="1"/>
    </xf>
    <xf numFmtId="186" fontId="10" fillId="0" borderId="7" xfId="3" applyNumberFormat="1" applyFont="1" applyBorder="1" applyAlignment="1">
      <alignment horizontal="center" vertical="center" wrapText="1"/>
    </xf>
    <xf numFmtId="186" fontId="10" fillId="0" borderId="4" xfId="3" applyNumberFormat="1" applyFont="1" applyBorder="1" applyAlignment="1">
      <alignment horizontal="center" vertical="center" wrapText="1"/>
    </xf>
    <xf numFmtId="186" fontId="29" fillId="0" borderId="6" xfId="0" applyNumberFormat="1" applyFont="1" applyBorder="1" applyAlignment="1">
      <alignment horizontal="right" vertical="center"/>
    </xf>
    <xf numFmtId="0" fontId="95" fillId="48" borderId="44" xfId="0" applyFont="1" applyFill="1" applyBorder="1" applyAlignment="1">
      <alignment horizontal="left" vertical="center"/>
    </xf>
    <xf numFmtId="207" fontId="33" fillId="48" borderId="7" xfId="0" applyNumberFormat="1" applyFont="1" applyFill="1" applyBorder="1" applyAlignment="1">
      <alignment horizontal="center" vertical="center"/>
    </xf>
    <xf numFmtId="207" fontId="33" fillId="48" borderId="4" xfId="0" applyNumberFormat="1" applyFont="1" applyFill="1" applyBorder="1" applyAlignment="1">
      <alignment horizontal="center" vertical="center"/>
    </xf>
    <xf numFmtId="0" fontId="35" fillId="7" borderId="7" xfId="0" applyFont="1" applyFill="1" applyBorder="1" applyAlignment="1">
      <alignment horizontal="center" vertical="center"/>
    </xf>
    <xf numFmtId="0" fontId="35" fillId="7" borderId="4" xfId="0" applyFont="1" applyFill="1" applyBorder="1" applyAlignment="1">
      <alignment horizontal="center" vertical="center"/>
    </xf>
    <xf numFmtId="0" fontId="34" fillId="7" borderId="7" xfId="0" applyFont="1" applyFill="1" applyBorder="1" applyAlignment="1">
      <alignment horizontal="center" vertical="center"/>
    </xf>
    <xf numFmtId="0" fontId="34" fillId="7" borderId="4" xfId="0" applyFont="1" applyFill="1" applyBorder="1" applyAlignment="1">
      <alignment horizontal="center" vertical="center"/>
    </xf>
    <xf numFmtId="212" fontId="34" fillId="7" borderId="7" xfId="0" applyNumberFormat="1" applyFont="1" applyFill="1" applyBorder="1" applyAlignment="1">
      <alignment horizontal="center" vertical="center"/>
    </xf>
    <xf numFmtId="212" fontId="34" fillId="7" borderId="4" xfId="0" applyNumberFormat="1" applyFont="1" applyFill="1" applyBorder="1" applyAlignment="1">
      <alignment horizontal="center" vertical="center"/>
    </xf>
    <xf numFmtId="0" fontId="35" fillId="48" borderId="7" xfId="0" applyFont="1" applyFill="1" applyBorder="1" applyAlignment="1">
      <alignment horizontal="center" vertical="center"/>
    </xf>
    <xf numFmtId="0" fontId="35" fillId="48" borderId="4" xfId="0" applyFont="1" applyFill="1" applyBorder="1" applyAlignment="1">
      <alignment horizontal="center" vertical="center"/>
    </xf>
    <xf numFmtId="0" fontId="34" fillId="7" borderId="1" xfId="0" applyFont="1" applyFill="1" applyBorder="1" applyAlignment="1" applyProtection="1">
      <alignment horizontal="left" vertical="center"/>
      <protection locked="0"/>
    </xf>
    <xf numFmtId="0" fontId="59" fillId="47" borderId="7" xfId="0" applyFont="1" applyFill="1" applyBorder="1" applyAlignment="1">
      <alignment horizontal="center" vertical="center"/>
    </xf>
    <xf numFmtId="0" fontId="59" fillId="47" borderId="8" xfId="0" applyFont="1" applyFill="1" applyBorder="1" applyAlignment="1">
      <alignment horizontal="center" vertical="center"/>
    </xf>
    <xf numFmtId="0" fontId="59" fillId="47" borderId="4" xfId="0" applyFont="1" applyFill="1" applyBorder="1" applyAlignment="1">
      <alignment horizontal="center" vertical="center"/>
    </xf>
    <xf numFmtId="0" fontId="35" fillId="7" borderId="43" xfId="0" applyFont="1" applyFill="1" applyBorder="1" applyAlignment="1">
      <alignment horizontal="center" vertical="center"/>
    </xf>
    <xf numFmtId="0" fontId="35" fillId="7" borderId="45" xfId="0" applyFont="1" applyFill="1" applyBorder="1" applyAlignment="1">
      <alignment horizontal="center" vertical="center"/>
    </xf>
    <xf numFmtId="0" fontId="35" fillId="7" borderId="9" xfId="0" applyFont="1" applyFill="1" applyBorder="1" applyAlignment="1">
      <alignment horizontal="center" vertical="center"/>
    </xf>
    <xf numFmtId="0" fontId="35" fillId="7" borderId="12" xfId="0" applyFont="1" applyFill="1" applyBorder="1" applyAlignment="1">
      <alignment horizontal="center" vertical="center"/>
    </xf>
    <xf numFmtId="0" fontId="32" fillId="7" borderId="7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29" fillId="0" borderId="52" xfId="0" applyFont="1" applyBorder="1" applyAlignment="1">
      <alignment horizontal="center" vertical="center"/>
    </xf>
    <xf numFmtId="0" fontId="33" fillId="48" borderId="7" xfId="0" applyFont="1" applyFill="1" applyBorder="1" applyAlignment="1">
      <alignment horizontal="center" vertical="center"/>
    </xf>
    <xf numFmtId="0" fontId="33" fillId="48" borderId="4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center" vertical="center"/>
      <protection locked="0"/>
    </xf>
    <xf numFmtId="0" fontId="11" fillId="0" borderId="0" xfId="18" applyFont="1" applyAlignment="1">
      <alignment horizontal="center" vertical="center"/>
    </xf>
    <xf numFmtId="0" fontId="35" fillId="7" borderId="1" xfId="0" applyFont="1" applyFill="1" applyBorder="1" applyAlignment="1" applyProtection="1">
      <alignment horizontal="center" vertical="center"/>
      <protection locked="0"/>
    </xf>
    <xf numFmtId="0" fontId="34" fillId="7" borderId="1" xfId="0" applyFont="1" applyFill="1" applyBorder="1" applyAlignment="1" applyProtection="1">
      <alignment horizontal="center" vertical="center"/>
      <protection locked="0"/>
    </xf>
    <xf numFmtId="0" fontId="34" fillId="7" borderId="0" xfId="0" applyFont="1" applyFill="1" applyAlignment="1">
      <alignment horizontal="center" vertical="center"/>
    </xf>
    <xf numFmtId="0" fontId="51" fillId="48" borderId="44" xfId="0" applyFont="1" applyFill="1" applyBorder="1" applyAlignment="1">
      <alignment horizontal="left" vertical="center"/>
    </xf>
  </cellXfs>
  <cellStyles count="19">
    <cellStyle name="쉼표 [0]" xfId="1" builtinId="6"/>
    <cellStyle name="쉼표 [0] 2 2" xfId="10" xr:uid="{00000000-0005-0000-0000-00000A000000}"/>
    <cellStyle name="쉼표 [0] 3" xfId="7" xr:uid="{00000000-0005-0000-0000-000007000000}"/>
    <cellStyle name="쉼표 [0] 4" xfId="4" xr:uid="{00000000-0005-0000-0000-000004000000}"/>
    <cellStyle name="쉼표 [0] 5" xfId="12" xr:uid="{00000000-0005-0000-0000-00000C000000}"/>
    <cellStyle name="쉼표 [0] 6" xfId="17" xr:uid="{00000000-0005-0000-0000-000011000000}"/>
    <cellStyle name="쉼표 [0] 7" xfId="13" xr:uid="{00000000-0005-0000-0000-00000D000000}"/>
    <cellStyle name="표준" xfId="0" builtinId="0"/>
    <cellStyle name="표준 11" xfId="3" xr:uid="{00000000-0005-0000-0000-000003000000}"/>
    <cellStyle name="표준 17" xfId="2" xr:uid="{00000000-0005-0000-0000-000002000000}"/>
    <cellStyle name="표준 2" xfId="5" xr:uid="{00000000-0005-0000-0000-000005000000}"/>
    <cellStyle name="표준 2 2" xfId="14" xr:uid="{00000000-0005-0000-0000-00000E000000}"/>
    <cellStyle name="표준 20" xfId="9" xr:uid="{00000000-0005-0000-0000-000009000000}"/>
    <cellStyle name="표준 20 7" xfId="11" xr:uid="{00000000-0005-0000-0000-00000B000000}"/>
    <cellStyle name="표준 21 2" xfId="15" xr:uid="{00000000-0005-0000-0000-00000F000000}"/>
    <cellStyle name="표준 3" xfId="6" xr:uid="{00000000-0005-0000-0000-000006000000}"/>
    <cellStyle name="표준 4" xfId="16" xr:uid="{00000000-0005-0000-0000-000010000000}"/>
    <cellStyle name="표준_정년" xfId="8" xr:uid="{00000000-0005-0000-0000-000008000000}"/>
    <cellStyle name="하이퍼링크" xfId="18" builtinId="8"/>
  </cellStyles>
  <dxfs count="601"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0000FF"/>
      </font>
      <fill>
        <patternFill>
          <bgColor rgb="FFFFFF00"/>
        </patternFill>
      </fill>
    </dxf>
    <dxf>
      <font>
        <b/>
        <i val="0"/>
        <color rgb="FF0000FF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0000FF"/>
      </font>
      <fill>
        <patternFill>
          <bgColor rgb="FFFFFF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b/>
        <i val="0"/>
        <color rgb="FF000000"/>
      </font>
    </dxf>
    <dxf>
      <font>
        <color rgb="FFFFFFFF"/>
      </font>
      <fill>
        <patternFill patternType="none">
          <bgColor auto="1"/>
        </patternFill>
      </fill>
    </dxf>
    <dxf>
      <font>
        <color rgb="FFFFFFFF"/>
      </font>
      <fill>
        <patternFill patternType="none">
          <bgColor auto="1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600"/>
      <tableStyleElement type="headerRow" dxfId="599"/>
      <tableStyleElement type="totalRow" dxfId="598"/>
      <tableStyleElement type="firstColumn" dxfId="597"/>
      <tableStyleElement type="lastColumn" dxfId="596"/>
      <tableStyleElement type="firstRowStripe" dxfId="595"/>
      <tableStyleElement type="firstColumnStripe" dxfId="594"/>
    </tableStyle>
    <tableStyle name="Light Style 1 - Accent 1" table="0" count="7" xr9:uid="{00000000-0011-0000-FFFF-FFFF01000000}">
      <tableStyleElement type="wholeTable" dxfId="593"/>
      <tableStyleElement type="headerRow" dxfId="592"/>
      <tableStyleElement type="totalRow" dxfId="591"/>
      <tableStyleElement type="firstColumn" dxfId="590"/>
      <tableStyleElement type="lastColumn" dxfId="589"/>
      <tableStyleElement type="firstRowStripe" dxfId="588"/>
      <tableStyleElement type="firstColumnStripe" dxfId="587"/>
    </tableStyle>
  </tableStyles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lstStyle/>
          <a:p>
            <a:pPr algn="l">
              <a:defRPr sz="2000" b="1" i="0" u="none">
                <a:solidFill>
                  <a:srgbClr val="FF00FF"/>
                </a:solidFill>
                <a:latin typeface="+mn-lt"/>
                <a:ea typeface="+mn-ea"/>
                <a:cs typeface="+mn-ea"/>
                <a:sym typeface="+mn-ea"/>
              </a:defRPr>
            </a:pPr>
            <a:r>
              <a:rPr lang="ko-KR" altLang="en-US" sz="2000" b="1" i="0" u="none">
                <a:solidFill>
                  <a:srgbClr val="FF00FF"/>
                </a:solidFill>
                <a:latin typeface="+mn-lt"/>
                <a:ea typeface="+mn-ea"/>
                <a:cs typeface="+mn-ea"/>
                <a:sym typeface="+mn-ea"/>
              </a:rPr>
              <a:t>교사 자신의 년도별 연봉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'퇴직때까지의 총연봉액'!$F$2</c:f>
              <c:strCache>
                <c:ptCount val="1"/>
                <c:pt idx="0">
                  <c:v>총액(연봉)</c:v>
                </c:pt>
              </c:strCache>
            </c:strRef>
          </c:tx>
          <c:spPr>
            <a:solidFill>
              <a:schemeClr val="accent2"/>
            </a:solidFill>
            <a:ln w="9525">
              <a:noFill/>
            </a:ln>
            <a:effectLst/>
          </c:spPr>
          <c:invertIfNegative val="0"/>
          <c:cat>
            <c:numRef>
              <c:f>'퇴직때까지의 총연봉액'!$D$3:$D$43</c:f>
              <c:numCache>
                <c:formatCode>0_ </c:formatCode>
                <c:ptCount val="4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  <c:pt idx="21">
                  <c:v>2046</c:v>
                </c:pt>
                <c:pt idx="22">
                  <c:v>2047</c:v>
                </c:pt>
                <c:pt idx="23">
                  <c:v>2048</c:v>
                </c:pt>
                <c:pt idx="24">
                  <c:v>2049</c:v>
                </c:pt>
                <c:pt idx="25">
                  <c:v>2050</c:v>
                </c:pt>
                <c:pt idx="26">
                  <c:v>2051</c:v>
                </c:pt>
                <c:pt idx="27">
                  <c:v>2052</c:v>
                </c:pt>
                <c:pt idx="28">
                  <c:v>2053</c:v>
                </c:pt>
                <c:pt idx="29">
                  <c:v>2054</c:v>
                </c:pt>
                <c:pt idx="30">
                  <c:v>2055</c:v>
                </c:pt>
                <c:pt idx="31">
                  <c:v>2056</c:v>
                </c:pt>
                <c:pt idx="32">
                  <c:v>2057</c:v>
                </c:pt>
                <c:pt idx="33">
                  <c:v>2058</c:v>
                </c:pt>
                <c:pt idx="34">
                  <c:v>2059</c:v>
                </c:pt>
                <c:pt idx="35">
                  <c:v>2060</c:v>
                </c:pt>
                <c:pt idx="36">
                  <c:v>2061</c:v>
                </c:pt>
                <c:pt idx="37">
                  <c:v>2062</c:v>
                </c:pt>
                <c:pt idx="38">
                  <c:v>2063</c:v>
                </c:pt>
                <c:pt idx="39">
                  <c:v>2064</c:v>
                </c:pt>
                <c:pt idx="40">
                  <c:v>2065</c:v>
                </c:pt>
              </c:numCache>
            </c:numRef>
          </c:cat>
          <c:val>
            <c:numRef>
              <c:f>'퇴직때까지의 총연봉액'!$F$3:$F$43</c:f>
              <c:numCache>
                <c:formatCode>#,##0_ </c:formatCode>
                <c:ptCount val="41"/>
                <c:pt idx="0">
                  <c:v>47760570</c:v>
                </c:pt>
                <c:pt idx="1">
                  <c:v>51713610</c:v>
                </c:pt>
                <c:pt idx="2">
                  <c:v>54691190</c:v>
                </c:pt>
                <c:pt idx="3">
                  <c:v>57830590</c:v>
                </c:pt>
                <c:pt idx="4">
                  <c:v>61094460</c:v>
                </c:pt>
                <c:pt idx="5">
                  <c:v>64578840</c:v>
                </c:pt>
                <c:pt idx="6">
                  <c:v>68241540</c:v>
                </c:pt>
                <c:pt idx="7">
                  <c:v>72347490</c:v>
                </c:pt>
                <c:pt idx="8">
                  <c:v>76176510</c:v>
                </c:pt>
                <c:pt idx="9">
                  <c:v>80109680</c:v>
                </c:pt>
                <c:pt idx="10">
                  <c:v>84231850</c:v>
                </c:pt>
                <c:pt idx="11">
                  <c:v>88518240</c:v>
                </c:pt>
                <c:pt idx="12">
                  <c:v>93170500</c:v>
                </c:pt>
                <c:pt idx="13">
                  <c:v>97839950</c:v>
                </c:pt>
                <c:pt idx="14">
                  <c:v>102742770</c:v>
                </c:pt>
                <c:pt idx="15">
                  <c:v>107855020</c:v>
                </c:pt>
                <c:pt idx="16">
                  <c:v>113258810</c:v>
                </c:pt>
                <c:pt idx="17">
                  <c:v>119369610</c:v>
                </c:pt>
                <c:pt idx="18">
                  <c:v>125299390</c:v>
                </c:pt>
                <c:pt idx="19">
                  <c:v>131390550</c:v>
                </c:pt>
                <c:pt idx="20">
                  <c:v>137752500</c:v>
                </c:pt>
                <c:pt idx="21">
                  <c:v>144358520</c:v>
                </c:pt>
                <c:pt idx="22">
                  <c:v>151414130</c:v>
                </c:pt>
                <c:pt idx="23">
                  <c:v>158556860</c:v>
                </c:pt>
                <c:pt idx="24">
                  <c:v>165555750</c:v>
                </c:pt>
                <c:pt idx="25">
                  <c:v>172707380</c:v>
                </c:pt>
                <c:pt idx="26">
                  <c:v>180132110</c:v>
                </c:pt>
                <c:pt idx="27">
                  <c:v>187799030</c:v>
                </c:pt>
                <c:pt idx="28">
                  <c:v>194765040</c:v>
                </c:pt>
                <c:pt idx="29">
                  <c:v>202140020</c:v>
                </c:pt>
                <c:pt idx="30">
                  <c:v>209443390</c:v>
                </c:pt>
                <c:pt idx="31">
                  <c:v>216834110</c:v>
                </c:pt>
                <c:pt idx="32">
                  <c:v>224467840</c:v>
                </c:pt>
                <c:pt idx="33">
                  <c:v>232361690</c:v>
                </c:pt>
                <c:pt idx="34">
                  <c:v>48568360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E-418F-BC93-189102F82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9316015"/>
        <c:axId val="1220302271"/>
      </c:barChart>
      <c:catAx>
        <c:axId val="1799316015"/>
        <c:scaling>
          <c:orientation val="minMax"/>
        </c:scaling>
        <c:delete val="0"/>
        <c:axPos val="b"/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 wrap="none" lIns="0" tIns="0" rIns="0" bIns="0" anchor="ctr" anchorCtr="1"/>
          <a:lstStyle/>
          <a:p>
            <a:pPr algn="l">
              <a:defRPr sz="900" b="0" i="0" u="none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ea"/>
                <a:sym typeface="+mn-ea"/>
              </a:defRPr>
            </a:pPr>
            <a:endParaRPr lang="ko-KR"/>
          </a:p>
        </c:txPr>
        <c:crossAx val="1220302271"/>
        <c:crosses val="autoZero"/>
        <c:auto val="1"/>
        <c:lblAlgn val="ctr"/>
        <c:lblOffset val="100"/>
        <c:tickMarkSkip val="1"/>
        <c:noMultiLvlLbl val="0"/>
      </c:catAx>
      <c:valAx>
        <c:axId val="122030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 w="9525">
            <a:noFill/>
          </a:ln>
          <a:effectLst/>
        </c:spPr>
        <c:txPr>
          <a:bodyPr rot="0" vert="horz" wrap="none" lIns="0" tIns="0" rIns="0" bIns="0" anchor="ctr" anchorCtr="1"/>
          <a:lstStyle/>
          <a:p>
            <a:pPr algn="l">
              <a:defRPr sz="900" b="0" i="0" u="none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ea"/>
                <a:sym typeface="+mn-ea"/>
              </a:defRPr>
            </a:pPr>
            <a:endParaRPr lang="ko-KR"/>
          </a:p>
        </c:txPr>
        <c:crossAx val="1799316015"/>
        <c:crosses val="autoZero"/>
        <c:crossBetween val="between"/>
        <c:majorUnit val="10000000"/>
      </c:valAx>
      <c:spPr>
        <a:noFill/>
        <a:ln>
          <a:noFill/>
        </a:ln>
        <a:effectLst/>
      </c:spPr>
    </c:plotArea>
    <c:plotVisOnly val="0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 wrap="none" lIns="0" tIns="0" rIns="0" bIns="0" anchor="ctr" anchorCtr="1"/>
    <a:lstStyle/>
    <a:p>
      <a:pPr algn="l">
        <a:defRPr b="0" i="0" u="none"/>
      </a:pPr>
      <a:endParaRPr lang="ko-KR"/>
    </a:p>
  </c:txPr>
  <c:printSettings>
    <c:headerFooter/>
    <c:pageMargins b="0.75" l="0.7" r="0.7" t="0.75" header="0.3" footer="0.3"/>
    <c:pageSetup/>
  </c:printSettings>
  <c:extLst>
    <c:ext uri="CC8EB2C9-7E31-499d-B8F2-F6CE61031016">
      <ho:hncChartStyle xmlns:ho="http://schemas.haansoft.com/office/8.0" layoutIndex="-1" colorIndex="-1" styleIndex="-1"/>
    </c:ext>
  </c:extLst>
</c:chartSpace>
</file>

<file path=xl/ctrlProps/ctrlProp1.xml><?xml version="1.0" encoding="utf-8"?>
<formControlPr xmlns="http://schemas.microsoft.com/office/spreadsheetml/2009/9/main" objectType="Drop" dropLines="4" dropStyle="combo" dx="31" fmlaLink="집계표!$AL$52" fmlaRange="집계표!$AL$55:$AL$58" noThreeD="1" sel="2" val="0"/>
</file>

<file path=xl/ctrlProps/ctrlProp2.xml><?xml version="1.0" encoding="utf-8"?>
<formControlPr xmlns="http://schemas.microsoft.com/office/spreadsheetml/2009/9/main" objectType="Drop" dropLines="13" dropStyle="combo" dx="31" fmlaLink="집계표!$M$38" fmlaRange="집계표!$M$25:$M$37" noThreeD="1" sel="1" val="0"/>
</file>

<file path=xl/ctrlProps/ctrlProp3.xml><?xml version="1.0" encoding="utf-8"?>
<formControlPr xmlns="http://schemas.microsoft.com/office/spreadsheetml/2009/9/main" objectType="Drop" dropLines="42" dropStyle="combo" dx="31" fmlaLink="집계표!$Z$146" fmlaRange="집계표!$R$2:$R$44" noThreeD="1" sel="5" val="3"/>
</file>

<file path=xl/ctrlProps/ctrlProp4.xml><?xml version="1.0" encoding="utf-8"?>
<formControlPr xmlns="http://schemas.microsoft.com/office/spreadsheetml/2009/9/main" objectType="Drop" dropLines="20" dropStyle="combo" dx="31" fmlaLink="집계표!$V$146" fmlaRange="집계표!$N$4:$N$44" noThreeD="1" sel="3"/>
</file>

<file path=xl/ctrlProps/ctrlProp5.xml><?xml version="1.0" encoding="utf-8"?>
<formControlPr xmlns="http://schemas.microsoft.com/office/spreadsheetml/2009/9/main" objectType="Drop" dropLines="15" dropStyle="combo" dx="31" fmlaLink="집계표!$I$18" fmlaRange="집계표!$I$5:$I$17" noThreeD="1" sel="9" val="0"/>
</file>

<file path=xl/ctrlProps/ctrlProp6.xml><?xml version="1.0" encoding="utf-8"?>
<formControlPr xmlns="http://schemas.microsoft.com/office/spreadsheetml/2009/9/main" objectType="Drop" dropLines="4" dropStyle="combo" dx="31" fmlaLink="집계표!$C$119" fmlaRange="집계표!$C$115:$C$118" noThreeD="1" sel="2" val="0"/>
</file>

<file path=xl/ctrlProps/ctrlProp7.xml><?xml version="1.0" encoding="utf-8"?>
<formControlPr xmlns="http://schemas.microsoft.com/office/spreadsheetml/2009/9/main" objectType="Drop" dropLines="2" dropStyle="combo" dx="31" fmlaLink="집계표!$C$122" fmlaRange="집계표!$C$120:$C$121" noThreeD="1" sel="1" val="0"/>
</file>

<file path=xl/ctrlProps/ctrlProp8.xml><?xml version="1.0" encoding="utf-8"?>
<formControlPr xmlns="http://schemas.microsoft.com/office/spreadsheetml/2009/9/main" objectType="Drop" dropLines="7" dropStyle="combo" dx="31" fmlaLink="집계표!$C$133" fmlaRange="집계표!$C$126:$C$132" noThreeD="1" sel="7" val="0"/>
</file>

<file path=xl/ctrlProps/ctrlProp9.xml><?xml version="1.0" encoding="utf-8"?>
<formControlPr xmlns="http://schemas.microsoft.com/office/spreadsheetml/2009/9/main" objectType="Drop" dropLines="11" dropStyle="combo" dx="31" fmlaLink="'2025'!$A$27" fmlaRange="집계표!$Y$28:$Y$38" noThreeD="1" sel="2" val="0"/>
</file>

<file path=xl/ctrlProps/ctrlProp10.xml><?xml version="1.0" encoding="utf-8"?>
<formControlPr xmlns="http://schemas.microsoft.com/office/spreadsheetml/2009/9/main" objectType="Drop" dropLines="12" dropStyle="combo" dx="31" fmlaLink="집계표!$AL$60" fmlaRange="집계표!$I$5:$I$16" noThreeD="1" sel="3" val="0"/>
</file>

<file path=xl/ctrlProps/ctrlProp11.xml><?xml version="1.0" encoding="utf-8"?>
<formControlPr xmlns="http://schemas.microsoft.com/office/spreadsheetml/2009/9/main" objectType="Drop" dropLines="50" dropStyle="combo" dx="31" fmlaLink="집계표!$S$50" fmlaRange="집계표!$S$21:$S$49" noThreeD="1" sel="2" val="0"/>
</file>

<file path=xl/ctrlProps/ctrlProp12.xml><?xml version="1.0" encoding="utf-8"?>
<formControlPr xmlns="http://schemas.microsoft.com/office/spreadsheetml/2009/9/main" objectType="Drop" dropLines="14" dropStyle="combo" dx="31" fmlaLink="집계표!$AB$33" fmlaRange="집계표!$AB$21:$AB$32" noThreeD="1" sel="1" val="0"/>
</file>

<file path=xl/ctrlProps/ctrlProp13.xml><?xml version="1.0" encoding="utf-8"?>
<formControlPr xmlns="http://schemas.microsoft.com/office/spreadsheetml/2009/9/main" objectType="Drop" dropLines="20" dropStyle="combo" dx="31" fmlaLink="집계표!$P$19" fmlaRange="집계표!$P$21:$P$36" noThreeD="1" sel="7" val="0"/>
</file>

<file path=xl/ctrlProps/ctrlProp14.xml><?xml version="1.0" encoding="utf-8"?>
<formControlPr xmlns="http://schemas.microsoft.com/office/spreadsheetml/2009/9/main" objectType="Drop" dropLines="32" dropStyle="combo" dx="31" fmlaLink="집계표!$P$46" fmlaRange="집계표!$P$48:$P$78" noThreeD="1" sel="1" val="0"/>
</file>

<file path=xl/ctrlProps/ctrlProp15.xml><?xml version="1.0" encoding="utf-8"?>
<formControlPr xmlns="http://schemas.microsoft.com/office/spreadsheetml/2009/9/main" objectType="Drop" dropLines="14" dropStyle="combo" dx="31" fmlaLink="집계표!$I$33" fmlaRange="집계표!$I$26:$I$32" noThreeD="1" sel="6" val="0"/>
</file>

<file path=xl/ctrlProps/ctrlProp16.xml><?xml version="1.0" encoding="utf-8"?>
<formControlPr xmlns="http://schemas.microsoft.com/office/spreadsheetml/2009/9/main" objectType="Drop" dropLines="4" dropStyle="combo" dx="31" fmlaLink="집계표!$AM$52" fmlaRange="집계표!$AM$55:$AM$58" noThreeD="1" sel="2" val="0"/>
</file>

<file path=xl/ctrlProps/ctrlProp17.xml><?xml version="1.0" encoding="utf-8"?>
<formControlPr xmlns="http://schemas.microsoft.com/office/spreadsheetml/2009/9/main" objectType="Drop" dropLines="15" dropStyle="combo" dx="31" fmlaLink="집계표!$I$3" fmlaRange="집계표!$I$5:$I$17" noThreeD="1" sel="3" val="0"/>
</file>

<file path=xl/ctrlProps/ctrlProp18.xml><?xml version="1.0" encoding="utf-8"?>
<formControlPr xmlns="http://schemas.microsoft.com/office/spreadsheetml/2009/9/main" objectType="Drop" dropLines="4" dropStyle="combo" dx="31" fmlaLink="집계표!$D$119" fmlaRange="집계표!$D$115:$D$118" noThreeD="1" sel="2" val="0"/>
</file>

<file path=xl/ctrlProps/ctrlProp19.xml><?xml version="1.0" encoding="utf-8"?>
<formControlPr xmlns="http://schemas.microsoft.com/office/spreadsheetml/2009/9/main" objectType="Drop" dropLines="2" dropStyle="combo" dx="31" fmlaLink="집계표!$D$122" fmlaRange="집계표!$D$120:$D$121" noThreeD="1" sel="1" val="0"/>
</file>

<file path=xl/ctrlProps/ctrlProp20.xml><?xml version="1.0" encoding="utf-8"?>
<formControlPr xmlns="http://schemas.microsoft.com/office/spreadsheetml/2009/9/main" objectType="Drop" dropLines="11" dropStyle="combo" dx="31" fmlaLink="'2026'!$A$27" fmlaRange="집계표!$Y$28:$Y$38" noThreeD="1" sel="1" val="0"/>
</file>

<file path=xl/ctrlProps/ctrlProp21.xml><?xml version="1.0" encoding="utf-8"?>
<formControlPr xmlns="http://schemas.microsoft.com/office/spreadsheetml/2009/9/main" objectType="Drop" dropLines="4" dropStyle="combo" dx="31" fmlaLink="집계표!$E$119" fmlaRange="집계표!$E$115:$E$118" noThreeD="1" sel="2" val="0"/>
</file>

<file path=xl/ctrlProps/ctrlProp22.xml><?xml version="1.0" encoding="utf-8"?>
<formControlPr xmlns="http://schemas.microsoft.com/office/spreadsheetml/2009/9/main" objectType="Drop" dropLines="2" dropStyle="combo" dx="31" fmlaLink="집계표!$E$122" fmlaRange="집계표!$E$120:$E$121" noThreeD="1" sel="1" val="0"/>
</file>

<file path=xl/ctrlProps/ctrlProp23.xml><?xml version="1.0" encoding="utf-8"?>
<formControlPr xmlns="http://schemas.microsoft.com/office/spreadsheetml/2009/9/main" objectType="Drop" dropLines="4" dropStyle="combo" dx="31" fmlaLink="집계표!$AN$52" fmlaRange="집계표!$AN$55:$AN$58" noThreeD="1" sel="2" val="0"/>
</file>

<file path=xl/ctrlProps/ctrlProp24.xml><?xml version="1.0" encoding="utf-8"?>
<formControlPr xmlns="http://schemas.microsoft.com/office/spreadsheetml/2009/9/main" objectType="Drop" dropLines="11" dropStyle="combo" dx="31" fmlaLink="'2027'!$A$27" fmlaRange="집계표!$Y$28:$Y$38" noThreeD="1" sel="1" val="0"/>
</file>

<file path=xl/ctrlProps/ctrlProp25.xml><?xml version="1.0" encoding="utf-8"?>
<formControlPr xmlns="http://schemas.microsoft.com/office/spreadsheetml/2009/9/main" objectType="Drop" dropLines="4" dropStyle="combo" dx="31" fmlaLink="집계표!$F$119" fmlaRange="집계표!$F$115:$F$118" noThreeD="1" sel="2" val="0"/>
</file>

<file path=xl/ctrlProps/ctrlProp26.xml><?xml version="1.0" encoding="utf-8"?>
<formControlPr xmlns="http://schemas.microsoft.com/office/spreadsheetml/2009/9/main" objectType="Drop" dropLines="2" dropStyle="combo" dx="31" fmlaLink="집계표!$F$122" fmlaRange="집계표!$F$120:$F$121" noThreeD="1" sel="1" val="0"/>
</file>

<file path=xl/ctrlProps/ctrlProp27.xml><?xml version="1.0" encoding="utf-8"?>
<formControlPr xmlns="http://schemas.microsoft.com/office/spreadsheetml/2009/9/main" objectType="Drop" dropLines="4" dropStyle="combo" dx="31" fmlaLink="집계표!$AO$52" fmlaRange="집계표!$AO$55:$AO$58" noThreeD="1" sel="2" val="0"/>
</file>

<file path=xl/ctrlProps/ctrlProp28.xml><?xml version="1.0" encoding="utf-8"?>
<formControlPr xmlns="http://schemas.microsoft.com/office/spreadsheetml/2009/9/main" objectType="Drop" dropLines="11" dropStyle="combo" dx="31" fmlaLink="'2028'!$A$27" fmlaRange="집계표!$Y$28:$Y$38" noThreeD="1" sel="1" val="0"/>
</file>

<file path=xl/ctrlProps/ctrlProp29.xml><?xml version="1.0" encoding="utf-8"?>
<formControlPr xmlns="http://schemas.microsoft.com/office/spreadsheetml/2009/9/main" objectType="Drop" dropLines="4" dropStyle="combo" dx="31" fmlaLink="집계표!$G$119" fmlaRange="집계표!$G$115:$G$118" noThreeD="1" sel="2" val="0"/>
</file>

<file path=xl/ctrlProps/ctrlProp30.xml><?xml version="1.0" encoding="utf-8"?>
<formControlPr xmlns="http://schemas.microsoft.com/office/spreadsheetml/2009/9/main" objectType="Drop" dropLines="2" dropStyle="combo" dx="31" fmlaLink="집계표!$G$122" fmlaRange="집계표!$G$120:$G$121" noThreeD="1" sel="1" val="0"/>
</file>

<file path=xl/ctrlProps/ctrlProp31.xml><?xml version="1.0" encoding="utf-8"?>
<formControlPr xmlns="http://schemas.microsoft.com/office/spreadsheetml/2009/9/main" objectType="Drop" dropLines="4" dropStyle="combo" dx="31" fmlaLink="집계표!$AP$52" fmlaRange="집계표!$AP$55:$AP$58" noThreeD="1" sel="2" val="0"/>
</file>

<file path=xl/ctrlProps/ctrlProp32.xml><?xml version="1.0" encoding="utf-8"?>
<formControlPr xmlns="http://schemas.microsoft.com/office/spreadsheetml/2009/9/main" objectType="Drop" dropLines="11" dropStyle="combo" dx="31" fmlaLink="'2029'!$A$27" fmlaRange="집계표!$Y$28:$Y$38" noThreeD="1" sel="1" val="0"/>
</file>

<file path=xl/ctrlProps/ctrlProp33.xml><?xml version="1.0" encoding="utf-8"?>
<formControlPr xmlns="http://schemas.microsoft.com/office/spreadsheetml/2009/9/main" objectType="Drop" dropLines="4" dropStyle="combo" dx="31" fmlaLink="집계표!$H$119" fmlaRange="집계표!$H$115:$H$118" noThreeD="1" sel="2" val="0"/>
</file>

<file path=xl/ctrlProps/ctrlProp34.xml><?xml version="1.0" encoding="utf-8"?>
<formControlPr xmlns="http://schemas.microsoft.com/office/spreadsheetml/2009/9/main" objectType="Drop" dropLines="2" dropStyle="combo" dx="31" fmlaLink="집계표!$H$122" fmlaRange="집계표!$H$120:$H$121" noThreeD="1" sel="1" val="0"/>
</file>

<file path=xl/ctrlProps/ctrlProp35.xml><?xml version="1.0" encoding="utf-8"?>
<formControlPr xmlns="http://schemas.microsoft.com/office/spreadsheetml/2009/9/main" objectType="Drop" dropLines="4" dropStyle="combo" dx="31" fmlaLink="집계표!$AQ$52" fmlaRange="집계표!$AM$55:$AM$58" noThreeD="1" sel="2" val="0"/>
</file>

<file path=xl/ctrlProps/ctrlProp36.xml><?xml version="1.0" encoding="utf-8"?>
<formControlPr xmlns="http://schemas.microsoft.com/office/spreadsheetml/2009/9/main" objectType="Drop" dropLines="11" dropStyle="combo" dx="31" fmlaLink="'2030'!$A$27" fmlaRange="집계표!$Y$28:$Y$38" noThreeD="1" sel="1" val="0"/>
</file>

<file path=xl/ctrlProps/ctrlProp37.xml><?xml version="1.0" encoding="utf-8"?>
<formControlPr xmlns="http://schemas.microsoft.com/office/spreadsheetml/2009/9/main" objectType="Drop" dropLines="4" dropStyle="combo" dx="31" fmlaLink="집계표!$I$119" fmlaRange="집계표!$I$115:$I$118" noThreeD="1" sel="2" val="0"/>
</file>

<file path=xl/ctrlProps/ctrlProp38.xml><?xml version="1.0" encoding="utf-8"?>
<formControlPr xmlns="http://schemas.microsoft.com/office/spreadsheetml/2009/9/main" objectType="Drop" dropLines="2" dropStyle="combo" dx="31" fmlaLink="집계표!$I$122" fmlaRange="집계표!$I$120:$I$121" noThreeD="1" sel="1" val="0"/>
</file>

<file path=xl/ctrlProps/ctrlProp39.xml><?xml version="1.0" encoding="utf-8"?>
<formControlPr xmlns="http://schemas.microsoft.com/office/spreadsheetml/2009/9/main" objectType="Drop" dropLines="4" dropStyle="combo" dx="31" fmlaLink="집계표!$AR$52" fmlaRange="집계표!$AM$55:$AM$58" noThreeD="1" sel="2" val="0"/>
</file>

<file path=xl/ctrlProps/ctrlProp40.xml><?xml version="1.0" encoding="utf-8"?>
<formControlPr xmlns="http://schemas.microsoft.com/office/spreadsheetml/2009/9/main" objectType="Drop" dropLines="11" dropStyle="combo" dx="31" fmlaLink="'2031'!$A$27" fmlaRange="집계표!$Y$28:$Y$38" noThreeD="1" sel="1" val="0"/>
</file>

<file path=xl/ctrlProps/ctrlProp41.xml><?xml version="1.0" encoding="utf-8"?>
<formControlPr xmlns="http://schemas.microsoft.com/office/spreadsheetml/2009/9/main" objectType="Drop" dropLines="4" dropStyle="combo" dx="31" fmlaLink="집계표!$J$119" fmlaRange="집계표!$J$115:$J$118" noThreeD="1" sel="2" val="0"/>
</file>

<file path=xl/ctrlProps/ctrlProp42.xml><?xml version="1.0" encoding="utf-8"?>
<formControlPr xmlns="http://schemas.microsoft.com/office/spreadsheetml/2009/9/main" objectType="Drop" dropLines="2" dropStyle="combo" dx="31" fmlaLink="집계표!$J$122" fmlaRange="집계표!$J$120:$J$121" noThreeD="1" sel="1" val="0"/>
</file>

<file path=xl/ctrlProps/ctrlProp43.xml><?xml version="1.0" encoding="utf-8"?>
<formControlPr xmlns="http://schemas.microsoft.com/office/spreadsheetml/2009/9/main" objectType="Drop" dropLines="4" dropStyle="combo" dx="31" fmlaLink="집계표!$AS$52" fmlaRange="집계표!$AM$55:$AM$58" noThreeD="1" sel="2" val="0"/>
</file>

<file path=xl/ctrlProps/ctrlProp44.xml><?xml version="1.0" encoding="utf-8"?>
<formControlPr xmlns="http://schemas.microsoft.com/office/spreadsheetml/2009/9/main" objectType="Drop" dropLines="11" dropStyle="combo" dx="31" fmlaLink="'2032'!$A$27" fmlaRange="집계표!$Y$28:$Y$38" noThreeD="1" sel="1" val="0"/>
</file>

<file path=xl/ctrlProps/ctrlProp45.xml><?xml version="1.0" encoding="utf-8"?>
<formControlPr xmlns="http://schemas.microsoft.com/office/spreadsheetml/2009/9/main" objectType="Drop" dropLines="4" dropStyle="combo" dx="31" fmlaLink="집계표!$K$119" fmlaRange="집계표!$K$115:$K$118" noThreeD="1" sel="2" val="0"/>
</file>

<file path=xl/ctrlProps/ctrlProp46.xml><?xml version="1.0" encoding="utf-8"?>
<formControlPr xmlns="http://schemas.microsoft.com/office/spreadsheetml/2009/9/main" objectType="Drop" dropLines="2" dropStyle="combo" dx="31" fmlaLink="집계표!$K$122" fmlaRange="집계표!$K$120:$K$121" noThreeD="1" sel="1" val="0"/>
</file>

<file path=xl/ctrlProps/ctrlProp47.xml><?xml version="1.0" encoding="utf-8"?>
<formControlPr xmlns="http://schemas.microsoft.com/office/spreadsheetml/2009/9/main" objectType="Drop" dropLines="4" dropStyle="combo" dx="31" fmlaLink="집계표!$AT$52" fmlaRange="집계표!$AM$55:$AM$58" noThreeD="1" sel="2" val="0"/>
</file>

<file path=xl/ctrlProps/ctrlProp48.xml><?xml version="1.0" encoding="utf-8"?>
<formControlPr xmlns="http://schemas.microsoft.com/office/spreadsheetml/2009/9/main" objectType="Drop" dropLines="11" dropStyle="combo" dx="31" fmlaLink="'2033'!$A$27" fmlaRange="집계표!$Y$28:$Y$38" noThreeD="1" sel="1" val="0"/>
</file>

<file path=xl/ctrlProps/ctrlProp49.xml><?xml version="1.0" encoding="utf-8"?>
<formControlPr xmlns="http://schemas.microsoft.com/office/spreadsheetml/2009/9/main" objectType="Drop" dropLines="4" dropStyle="combo" dx="31" fmlaLink="집계표!$L$119" fmlaRange="집계표!$L$115:$L$118" noThreeD="1" sel="2" val="0"/>
</file>

<file path=xl/ctrlProps/ctrlProp50.xml><?xml version="1.0" encoding="utf-8"?>
<formControlPr xmlns="http://schemas.microsoft.com/office/spreadsheetml/2009/9/main" objectType="Drop" dropLines="2" dropStyle="combo" dx="31" fmlaLink="집계표!$L$122" fmlaRange="집계표!$L$120:$L$121" noThreeD="1" sel="1" val="0"/>
</file>

<file path=xl/ctrlProps/ctrlProp51.xml><?xml version="1.0" encoding="utf-8"?>
<formControlPr xmlns="http://schemas.microsoft.com/office/spreadsheetml/2009/9/main" objectType="Drop" dropLines="4" dropStyle="combo" dx="31" fmlaLink="집계표!$AU$52" fmlaRange="집계표!$AM$55:$AM$58" noThreeD="1" sel="2" val="0"/>
</file>

<file path=xl/ctrlProps/ctrlProp52.xml><?xml version="1.0" encoding="utf-8"?>
<formControlPr xmlns="http://schemas.microsoft.com/office/spreadsheetml/2009/9/main" objectType="Drop" dropLines="11" dropStyle="combo" dx="31" fmlaLink="'2034'!$A$27" fmlaRange="집계표!$Y$28:$Y$38" noThreeD="1" sel="1" val="0"/>
</file>

<file path=xl/ctrlProps/ctrlProp53.xml><?xml version="1.0" encoding="utf-8"?>
<formControlPr xmlns="http://schemas.microsoft.com/office/spreadsheetml/2009/9/main" objectType="Drop" dropLines="4" dropStyle="combo" dx="31" fmlaLink="집계표!$M$119" fmlaRange="집계표!$M$115:$M$118" noThreeD="1" sel="2" val="0"/>
</file>

<file path=xl/ctrlProps/ctrlProp54.xml><?xml version="1.0" encoding="utf-8"?>
<formControlPr xmlns="http://schemas.microsoft.com/office/spreadsheetml/2009/9/main" objectType="Drop" dropLines="2" dropStyle="combo" dx="31" fmlaLink="집계표!$M$122" fmlaRange="집계표!$M$120:$M$121" noThreeD="1" sel="1" val="0"/>
</file>

<file path=xl/ctrlProps/ctrlProp55.xml><?xml version="1.0" encoding="utf-8"?>
<formControlPr xmlns="http://schemas.microsoft.com/office/spreadsheetml/2009/9/main" objectType="Drop" dropLines="4" dropStyle="combo" dx="31" fmlaLink="집계표!$AV$52" fmlaRange="집계표!$AM$55:$AM$58" noThreeD="1" sel="2" val="0"/>
</file>

<file path=xl/ctrlProps/ctrlProp56.xml><?xml version="1.0" encoding="utf-8"?>
<formControlPr xmlns="http://schemas.microsoft.com/office/spreadsheetml/2009/9/main" objectType="Drop" dropLines="11" dropStyle="combo" dx="31" fmlaLink="'2035'!$A$27" fmlaRange="집계표!$Y$28:$Y$38" noThreeD="1" sel="1" val="0"/>
</file>

<file path=xl/ctrlProps/ctrlProp57.xml><?xml version="1.0" encoding="utf-8"?>
<formControlPr xmlns="http://schemas.microsoft.com/office/spreadsheetml/2009/9/main" objectType="Drop" dropLines="4" dropStyle="combo" dx="31" fmlaLink="집계표!$N$119" fmlaRange="집계표!$N$115:$N$118" noThreeD="1" sel="2" val="0"/>
</file>

<file path=xl/ctrlProps/ctrlProp58.xml><?xml version="1.0" encoding="utf-8"?>
<formControlPr xmlns="http://schemas.microsoft.com/office/spreadsheetml/2009/9/main" objectType="Drop" dropLines="2" dropStyle="combo" dx="31" fmlaLink="집계표!$N$122" fmlaRange="집계표!$N$120:$N$121" noThreeD="1" sel="1" val="0"/>
</file>

<file path=xl/ctrlProps/ctrlProp59.xml><?xml version="1.0" encoding="utf-8"?>
<formControlPr xmlns="http://schemas.microsoft.com/office/spreadsheetml/2009/9/main" objectType="Drop" dropLines="4" dropStyle="combo" dx="31" fmlaLink="집계표!$AW$52" fmlaRange="집계표!$AM$55:$AM$58" noThreeD="1" sel="2" val="0"/>
</file>

<file path=xl/ctrlProps/ctrlProp60.xml><?xml version="1.0" encoding="utf-8"?>
<formControlPr xmlns="http://schemas.microsoft.com/office/spreadsheetml/2009/9/main" objectType="Drop" dropLines="11" dropStyle="combo" dx="31" fmlaLink="'2036'!$A$27" fmlaRange="집계표!$Y$28:$Y$38" noThreeD="1" sel="1" val="0"/>
</file>

<file path=xl/ctrlProps/ctrlProp61.xml><?xml version="1.0" encoding="utf-8"?>
<formControlPr xmlns="http://schemas.microsoft.com/office/spreadsheetml/2009/9/main" objectType="Drop" dropLines="4" dropStyle="combo" dx="31" fmlaLink="집계표!$O$119" fmlaRange="집계표!$O$115:$O$118" noThreeD="1" sel="2" val="0"/>
</file>

<file path=xl/ctrlProps/ctrlProp62.xml><?xml version="1.0" encoding="utf-8"?>
<formControlPr xmlns="http://schemas.microsoft.com/office/spreadsheetml/2009/9/main" objectType="Drop" dropLines="2" dropStyle="combo" dx="31" fmlaLink="집계표!$O$122" fmlaRange="집계표!$O$120:$O$121" noThreeD="1" sel="1" val="0"/>
</file>

<file path=xl/ctrlProps/ctrlProp63.xml><?xml version="1.0" encoding="utf-8"?>
<formControlPr xmlns="http://schemas.microsoft.com/office/spreadsheetml/2009/9/main" objectType="Drop" dropLines="4" dropStyle="combo" dx="31" fmlaLink="집계표!$AX$52" fmlaRange="집계표!$AM$55:$AM$58" noThreeD="1" sel="2" val="0"/>
</file>

<file path=xl/ctrlProps/ctrlProp64.xml><?xml version="1.0" encoding="utf-8"?>
<formControlPr xmlns="http://schemas.microsoft.com/office/spreadsheetml/2009/9/main" objectType="Drop" dropLines="11" dropStyle="combo" dx="31" fmlaLink="'2037'!$A$27" fmlaRange="집계표!$Y$28:$Y$38" noThreeD="1" sel="1" val="0"/>
</file>

<file path=xl/ctrlProps/ctrlProp65.xml><?xml version="1.0" encoding="utf-8"?>
<formControlPr xmlns="http://schemas.microsoft.com/office/spreadsheetml/2009/9/main" objectType="Drop" dropLines="4" dropStyle="combo" dx="31" fmlaLink="집계표!$P$119" fmlaRange="집계표!$P$115:$P$118" noThreeD="1" sel="2" val="0"/>
</file>

<file path=xl/ctrlProps/ctrlProp66.xml><?xml version="1.0" encoding="utf-8"?>
<formControlPr xmlns="http://schemas.microsoft.com/office/spreadsheetml/2009/9/main" objectType="Drop" dropLines="2" dropStyle="combo" dx="31" fmlaLink="집계표!$P$122" fmlaRange="집계표!$P$120:$P$121" noThreeD="1" sel="1" val="0"/>
</file>

<file path=xl/ctrlProps/ctrlProp67.xml><?xml version="1.0" encoding="utf-8"?>
<formControlPr xmlns="http://schemas.microsoft.com/office/spreadsheetml/2009/9/main" objectType="Drop" dropLines="4" dropStyle="combo" dx="31" fmlaLink="집계표!$AY$52" fmlaRange="집계표!$AM$55:$AM$58" noThreeD="1" sel="2" val="0"/>
</file>

<file path=xl/ctrlProps/ctrlProp68.xml><?xml version="1.0" encoding="utf-8"?>
<formControlPr xmlns="http://schemas.microsoft.com/office/spreadsheetml/2009/9/main" objectType="Drop" dropLines="11" dropStyle="combo" dx="31" fmlaLink="'2038'!$A$27" fmlaRange="집계표!$Y$28:$Y$38" noThreeD="1" sel="1" val="0"/>
</file>

<file path=xl/ctrlProps/ctrlProp69.xml><?xml version="1.0" encoding="utf-8"?>
<formControlPr xmlns="http://schemas.microsoft.com/office/spreadsheetml/2009/9/main" objectType="Drop" dropLines="4" dropStyle="combo" dx="31" fmlaLink="집계표!$Q$119" fmlaRange="집계표!$Q$115:$Q$118" noThreeD="1" sel="2" val="0"/>
</file>

<file path=xl/ctrlProps/ctrlProp70.xml><?xml version="1.0" encoding="utf-8"?>
<formControlPr xmlns="http://schemas.microsoft.com/office/spreadsheetml/2009/9/main" objectType="Drop" dropLines="2" dropStyle="combo" dx="31" fmlaLink="집계표!$Q$122" fmlaRange="집계표!$Q$120:$Q$121" noThreeD="1" sel="1" val="0"/>
</file>

<file path=xl/ctrlProps/ctrlProp71.xml><?xml version="1.0" encoding="utf-8"?>
<formControlPr xmlns="http://schemas.microsoft.com/office/spreadsheetml/2009/9/main" objectType="Drop" dropLines="4" dropStyle="combo" dx="31" fmlaLink="집계표!$AZ$52" fmlaRange="집계표!$AM$55:$AM$58" noThreeD="1" sel="2" val="0"/>
</file>

<file path=xl/ctrlProps/ctrlProp72.xml><?xml version="1.0" encoding="utf-8"?>
<formControlPr xmlns="http://schemas.microsoft.com/office/spreadsheetml/2009/9/main" objectType="Drop" dropLines="11" dropStyle="combo" dx="31" fmlaLink="'2039'!$A$27" fmlaRange="집계표!$Y$28:$Y$38" noThreeD="1" sel="1" val="0"/>
</file>

<file path=xl/ctrlProps/ctrlProp73.xml><?xml version="1.0" encoding="utf-8"?>
<formControlPr xmlns="http://schemas.microsoft.com/office/spreadsheetml/2009/9/main" objectType="Drop" dropLines="4" dropStyle="combo" dx="31" fmlaLink="집계표!$R$119" fmlaRange="집계표!$R$115:$R$118" noThreeD="1" sel="2" val="0"/>
</file>

<file path=xl/ctrlProps/ctrlProp74.xml><?xml version="1.0" encoding="utf-8"?>
<formControlPr xmlns="http://schemas.microsoft.com/office/spreadsheetml/2009/9/main" objectType="Drop" dropLines="2" dropStyle="combo" dx="31" fmlaLink="집계표!$R$122" fmlaRange="집계표!$R$120:$R$121" noThreeD="1" sel="1" val="0"/>
</file>

<file path=xl/ctrlProps/ctrlProp75.xml><?xml version="1.0" encoding="utf-8"?>
<formControlPr xmlns="http://schemas.microsoft.com/office/spreadsheetml/2009/9/main" objectType="Drop" dropLines="4" dropStyle="combo" dx="31" fmlaLink="집계표!$BA$52" fmlaRange="집계표!$AM$55:$AM$58" noThreeD="1" sel="2" val="0"/>
</file>

<file path=xl/ctrlProps/ctrlProp76.xml><?xml version="1.0" encoding="utf-8"?>
<formControlPr xmlns="http://schemas.microsoft.com/office/spreadsheetml/2009/9/main" objectType="Drop" dropLines="11" dropStyle="combo" dx="31" fmlaLink="'2040'!$A$27" fmlaRange="집계표!$Y$28:$Y$38" noThreeD="1" sel="1" val="0"/>
</file>

<file path=xl/ctrlProps/ctrlProp77.xml><?xml version="1.0" encoding="utf-8"?>
<formControlPr xmlns="http://schemas.microsoft.com/office/spreadsheetml/2009/9/main" objectType="Drop" dropLines="4" dropStyle="combo" dx="31" fmlaLink="집계표!$S$119" fmlaRange="집계표!$S$115:$S$118" noThreeD="1" sel="2" val="0"/>
</file>

<file path=xl/ctrlProps/ctrlProp78.xml><?xml version="1.0" encoding="utf-8"?>
<formControlPr xmlns="http://schemas.microsoft.com/office/spreadsheetml/2009/9/main" objectType="Drop" dropLines="2" dropStyle="combo" dx="31" fmlaLink="집계표!$S$122" fmlaRange="집계표!$S$120:$S$121" noThreeD="1" sel="1" val="0"/>
</file>

<file path=xl/ctrlProps/ctrlProp79.xml><?xml version="1.0" encoding="utf-8"?>
<formControlPr xmlns="http://schemas.microsoft.com/office/spreadsheetml/2009/9/main" objectType="Drop" dropLines="4" dropStyle="combo" dx="31" fmlaLink="집계표!$BB$52" fmlaRange="집계표!$AM$55:$AM$58" noThreeD="1" sel="2" val="0"/>
</file>

<file path=xl/ctrlProps/ctrlProp80.xml><?xml version="1.0" encoding="utf-8"?>
<formControlPr xmlns="http://schemas.microsoft.com/office/spreadsheetml/2009/9/main" objectType="Drop" dropLines="11" dropStyle="combo" dx="31" fmlaLink="'2041'!$A$27" fmlaRange="집계표!$Y$28:$Y$38" noThreeD="1" sel="1" val="0"/>
</file>

<file path=xl/ctrlProps/ctrlProp81.xml><?xml version="1.0" encoding="utf-8"?>
<formControlPr xmlns="http://schemas.microsoft.com/office/spreadsheetml/2009/9/main" objectType="Drop" dropLines="4" dropStyle="combo" dx="31" fmlaLink="집계표!$T$119" fmlaRange="집계표!$T$115:$T$118" noThreeD="1" sel="2" val="0"/>
</file>

<file path=xl/ctrlProps/ctrlProp82.xml><?xml version="1.0" encoding="utf-8"?>
<formControlPr xmlns="http://schemas.microsoft.com/office/spreadsheetml/2009/9/main" objectType="Drop" dropLines="2" dropStyle="combo" dx="31" fmlaLink="집계표!$T$122" fmlaRange="집계표!$T$120:$T$121" noThreeD="1" sel="1" val="0"/>
</file>

<file path=xl/ctrlProps/ctrlProp83.xml><?xml version="1.0" encoding="utf-8"?>
<formControlPr xmlns="http://schemas.microsoft.com/office/spreadsheetml/2009/9/main" objectType="Drop" dropLines="4" dropStyle="combo" dx="31" fmlaLink="집계표!$BC$52" fmlaRange="집계표!$AM$55:$AM$58" noThreeD="1" sel="2" val="0"/>
</file>

<file path=xl/ctrlProps/ctrlProp84.xml><?xml version="1.0" encoding="utf-8"?>
<formControlPr xmlns="http://schemas.microsoft.com/office/spreadsheetml/2009/9/main" objectType="Drop" dropLines="11" dropStyle="combo" dx="31" fmlaLink="'2042'!$A$27" fmlaRange="집계표!$Y$28:$Y$38" noThreeD="1" sel="1" val="0"/>
</file>

<file path=xl/ctrlProps/ctrlProp85.xml><?xml version="1.0" encoding="utf-8"?>
<formControlPr xmlns="http://schemas.microsoft.com/office/spreadsheetml/2009/9/main" objectType="Drop" dropLines="4" dropStyle="combo" dx="31" fmlaLink="집계표!$U$119" fmlaRange="집계표!$U$115:$U$118" noThreeD="1" sel="2" val="0"/>
</file>

<file path=xl/ctrlProps/ctrlProp86.xml><?xml version="1.0" encoding="utf-8"?>
<formControlPr xmlns="http://schemas.microsoft.com/office/spreadsheetml/2009/9/main" objectType="Drop" dropLines="2" dropStyle="combo" dx="31" fmlaLink="집계표!$U$122" fmlaRange="집계표!$U$120:$U$121" noThreeD="1" sel="1" val="0"/>
</file>

<file path=xl/ctrlProps/ctrlProp87.xml><?xml version="1.0" encoding="utf-8"?>
<formControlPr xmlns="http://schemas.microsoft.com/office/spreadsheetml/2009/9/main" objectType="Drop" dropLines="4" dropStyle="combo" dx="31" fmlaLink="집계표!$BD$52" fmlaRange="집계표!$AM$55:$AM$58" noThreeD="1" sel="2" val="0"/>
</file>

<file path=xl/ctrlProps/ctrlProp88.xml><?xml version="1.0" encoding="utf-8"?>
<formControlPr xmlns="http://schemas.microsoft.com/office/spreadsheetml/2009/9/main" objectType="Drop" dropLines="11" dropStyle="combo" dx="31" fmlaLink="'2043'!$A$27" fmlaRange="집계표!$Y$28:$Y$38" noThreeD="1" sel="1" val="0"/>
</file>

<file path=xl/ctrlProps/ctrlProp89.xml><?xml version="1.0" encoding="utf-8"?>
<formControlPr xmlns="http://schemas.microsoft.com/office/spreadsheetml/2009/9/main" objectType="Drop" dropLines="4" dropStyle="combo" dx="31" fmlaLink="집계표!$V$119" fmlaRange="집계표!$V$115:$V$118" noThreeD="1" sel="2" val="0"/>
</file>

<file path=xl/ctrlProps/ctrlProp90.xml><?xml version="1.0" encoding="utf-8"?>
<formControlPr xmlns="http://schemas.microsoft.com/office/spreadsheetml/2009/9/main" objectType="Drop" dropLines="2" dropStyle="combo" dx="31" fmlaLink="집계표!$V$122" fmlaRange="집계표!$V$120:$V$121" noThreeD="1" sel="1" val="0"/>
</file>

<file path=xl/ctrlProps/ctrlProp91.xml><?xml version="1.0" encoding="utf-8"?>
<formControlPr xmlns="http://schemas.microsoft.com/office/spreadsheetml/2009/9/main" objectType="Drop" dropLines="4" dropStyle="combo" dx="31" fmlaLink="집계표!$BE$52" fmlaRange="집계표!$AM$55:$AM$58" noThreeD="1" sel="2" val="0"/>
</file>

<file path=xl/ctrlProps/ctrlProp92.xml><?xml version="1.0" encoding="utf-8"?>
<formControlPr xmlns="http://schemas.microsoft.com/office/spreadsheetml/2009/9/main" objectType="Drop" dropLines="11" dropStyle="combo" dx="31" fmlaLink="'2044'!$A$27" fmlaRange="집계표!$Y$28:$Y$38" noThreeD="1" sel="1" val="0"/>
</file>

<file path=xl/ctrlProps/ctrlProp93.xml><?xml version="1.0" encoding="utf-8"?>
<formControlPr xmlns="http://schemas.microsoft.com/office/spreadsheetml/2009/9/main" objectType="Drop" dropLines="4" dropStyle="combo" dx="31" fmlaLink="집계표!$W$119" fmlaRange="집계표!$W$115:$W$118" noThreeD="1" sel="2" val="0"/>
</file>

<file path=xl/ctrlProps/ctrlProp94.xml><?xml version="1.0" encoding="utf-8"?>
<formControlPr xmlns="http://schemas.microsoft.com/office/spreadsheetml/2009/9/main" objectType="Drop" dropLines="2" dropStyle="combo" dx="31" fmlaLink="집계표!$W$122" fmlaRange="집계표!$W$120:$W$121" noThreeD="1" sel="1" val="0"/>
</file>

<file path=xl/ctrlProps/ctrlProp95.xml><?xml version="1.0" encoding="utf-8"?>
<formControlPr xmlns="http://schemas.microsoft.com/office/spreadsheetml/2009/9/main" objectType="Drop" dropLines="4" dropStyle="combo" dx="31" fmlaLink="집계표!$BF$52" fmlaRange="집계표!$AM$55:$AM$58" noThreeD="1" sel="2" val="0"/>
</file>

<file path=xl/ctrlProps/ctrlProp96.xml><?xml version="1.0" encoding="utf-8"?>
<formControlPr xmlns="http://schemas.microsoft.com/office/spreadsheetml/2009/9/main" objectType="Drop" dropLines="11" dropStyle="combo" dx="31" fmlaLink="'2045'!$A$27" fmlaRange="집계표!$Y$28:$Y$38" noThreeD="1" sel="1" val="0"/>
</file>

<file path=xl/ctrlProps/ctrlProp97.xml><?xml version="1.0" encoding="utf-8"?>
<formControlPr xmlns="http://schemas.microsoft.com/office/spreadsheetml/2009/9/main" objectType="Drop" dropLines="4" dropStyle="combo" dx="31" fmlaLink="집계표!$X$119" fmlaRange="집계표!$X$115:$X$118" noThreeD="1" sel="2" val="0"/>
</file>

<file path=xl/ctrlProps/ctrlProp98.xml><?xml version="1.0" encoding="utf-8"?>
<formControlPr xmlns="http://schemas.microsoft.com/office/spreadsheetml/2009/9/main" objectType="Drop" dropLines="2" dropStyle="combo" dx="31" fmlaLink="집계표!$X$122" fmlaRange="집계표!$X$120:$X$121" noThreeD="1" sel="1" val="0"/>
</file>

<file path=xl/ctrlProps/ctrlProp99.xml><?xml version="1.0" encoding="utf-8"?>
<formControlPr xmlns="http://schemas.microsoft.com/office/spreadsheetml/2009/9/main" objectType="Drop" dropLines="4" dropStyle="combo" dx="31" fmlaLink="집계표!$BG$52" fmlaRange="집계표!$AM$55:$AM$58" noThreeD="1" sel="2" val="0"/>
</file>

<file path=xl/ctrlProps/ctrlProp100.xml><?xml version="1.0" encoding="utf-8"?>
<formControlPr xmlns="http://schemas.microsoft.com/office/spreadsheetml/2009/9/main" objectType="Drop" dropLines="11" dropStyle="combo" dx="31" fmlaLink="'2046'!$A$27" fmlaRange="집계표!$Y$28:$Y$38" noThreeD="1" sel="1" val="0"/>
</file>

<file path=xl/ctrlProps/ctrlProp101.xml><?xml version="1.0" encoding="utf-8"?>
<formControlPr xmlns="http://schemas.microsoft.com/office/spreadsheetml/2009/9/main" objectType="Drop" dropLines="4" dropStyle="combo" dx="31" fmlaLink="집계표!$Y$119" fmlaRange="집계표!$Y$115:$Y$118" noThreeD="1" sel="2" val="0"/>
</file>

<file path=xl/ctrlProps/ctrlProp102.xml><?xml version="1.0" encoding="utf-8"?>
<formControlPr xmlns="http://schemas.microsoft.com/office/spreadsheetml/2009/9/main" objectType="Drop" dropLines="2" dropStyle="combo" dx="31" fmlaLink="집계표!$Y$122" fmlaRange="집계표!$Y$120:$Y$121" noThreeD="1" sel="1" val="0"/>
</file>

<file path=xl/ctrlProps/ctrlProp103.xml><?xml version="1.0" encoding="utf-8"?>
<formControlPr xmlns="http://schemas.microsoft.com/office/spreadsheetml/2009/9/main" objectType="Drop" dropLines="4" dropStyle="combo" dx="31" fmlaLink="집계표!$BH$52" fmlaRange="집계표!$AM$55:$AM$58" noThreeD="1" sel="2" val="0"/>
</file>

<file path=xl/ctrlProps/ctrlProp104.xml><?xml version="1.0" encoding="utf-8"?>
<formControlPr xmlns="http://schemas.microsoft.com/office/spreadsheetml/2009/9/main" objectType="Drop" dropLines="11" dropStyle="combo" dx="31" fmlaLink="'2047'!$A$27" fmlaRange="집계표!$Y$28:$Y$38" noThreeD="1" sel="1" val="0"/>
</file>

<file path=xl/ctrlProps/ctrlProp105.xml><?xml version="1.0" encoding="utf-8"?>
<formControlPr xmlns="http://schemas.microsoft.com/office/spreadsheetml/2009/9/main" objectType="Drop" dropLines="4" dropStyle="combo" dx="31" fmlaLink="집계표!$Z$119" fmlaRange="집계표!$Z$115:$Z$118" noThreeD="1" sel="2" val="0"/>
</file>

<file path=xl/ctrlProps/ctrlProp106.xml><?xml version="1.0" encoding="utf-8"?>
<formControlPr xmlns="http://schemas.microsoft.com/office/spreadsheetml/2009/9/main" objectType="Drop" dropLines="2" dropStyle="combo" dx="31" fmlaLink="집계표!$Z$122" fmlaRange="집계표!$Z$120:$Z$121" noThreeD="1" sel="1" val="0"/>
</file>

<file path=xl/ctrlProps/ctrlProp107.xml><?xml version="1.0" encoding="utf-8"?>
<formControlPr xmlns="http://schemas.microsoft.com/office/spreadsheetml/2009/9/main" objectType="Drop" dropLines="4" dropStyle="combo" dx="31" fmlaLink="집계표!$BI$52" fmlaRange="집계표!$AM$55:$AM$58" noThreeD="1" sel="2" val="0"/>
</file>

<file path=xl/ctrlProps/ctrlProp108.xml><?xml version="1.0" encoding="utf-8"?>
<formControlPr xmlns="http://schemas.microsoft.com/office/spreadsheetml/2009/9/main" objectType="Drop" dropLines="11" dropStyle="combo" dx="31" fmlaLink="'2048'!$A$27" fmlaRange="집계표!$Y$28:$Y$38" noThreeD="1" sel="1" val="0"/>
</file>

<file path=xl/ctrlProps/ctrlProp109.xml><?xml version="1.0" encoding="utf-8"?>
<formControlPr xmlns="http://schemas.microsoft.com/office/spreadsheetml/2009/9/main" objectType="Drop" dropLines="4" dropStyle="combo" dx="31" fmlaLink="집계표!$AA$119" fmlaRange="집계표!$AA$115:$AA$118" noThreeD="1" sel="2" val="0"/>
</file>

<file path=xl/ctrlProps/ctrlProp110.xml><?xml version="1.0" encoding="utf-8"?>
<formControlPr xmlns="http://schemas.microsoft.com/office/spreadsheetml/2009/9/main" objectType="Drop" dropLines="2" dropStyle="combo" dx="31" fmlaLink="집계표!$AA$122" fmlaRange="집계표!$AA$120:$AA$121" noThreeD="1" sel="1" val="0"/>
</file>

<file path=xl/ctrlProps/ctrlProp111.xml><?xml version="1.0" encoding="utf-8"?>
<formControlPr xmlns="http://schemas.microsoft.com/office/spreadsheetml/2009/9/main" objectType="Drop" dropLines="4" dropStyle="combo" dx="31" fmlaLink="집계표!$BJ$52" fmlaRange="집계표!$AM$55:$AM$58" noThreeD="1" sel="2" val="0"/>
</file>

<file path=xl/ctrlProps/ctrlProp112.xml><?xml version="1.0" encoding="utf-8"?>
<formControlPr xmlns="http://schemas.microsoft.com/office/spreadsheetml/2009/9/main" objectType="Drop" dropLines="11" dropStyle="combo" dx="31" fmlaLink="'2049'!$A$27" fmlaRange="집계표!$Y$28:$Y$38" noThreeD="1" sel="1" val="0"/>
</file>

<file path=xl/ctrlProps/ctrlProp113.xml><?xml version="1.0" encoding="utf-8"?>
<formControlPr xmlns="http://schemas.microsoft.com/office/spreadsheetml/2009/9/main" objectType="Drop" dropLines="4" dropStyle="combo" dx="31" fmlaLink="집계표!$AB$119" fmlaRange="집계표!$AB$115:$AB$118" noThreeD="1" sel="2" val="0"/>
</file>

<file path=xl/ctrlProps/ctrlProp114.xml><?xml version="1.0" encoding="utf-8"?>
<formControlPr xmlns="http://schemas.microsoft.com/office/spreadsheetml/2009/9/main" objectType="Drop" dropLines="2" dropStyle="combo" dx="31" fmlaLink="집계표!$AB$122" fmlaRange="집계표!$AB$120:$AB$121" noThreeD="1" sel="1" val="0"/>
</file>

<file path=xl/ctrlProps/ctrlProp115.xml><?xml version="1.0" encoding="utf-8"?>
<formControlPr xmlns="http://schemas.microsoft.com/office/spreadsheetml/2009/9/main" objectType="Drop" dropLines="4" dropStyle="combo" dx="31" fmlaLink="집계표!$BK$52" fmlaRange="집계표!$AM$55:$AM$58" noThreeD="1" sel="2" val="0"/>
</file>

<file path=xl/ctrlProps/ctrlProp116.xml><?xml version="1.0" encoding="utf-8"?>
<formControlPr xmlns="http://schemas.microsoft.com/office/spreadsheetml/2009/9/main" objectType="Drop" dropLines="11" dropStyle="combo" dx="31" fmlaLink="'2050'!$A$27" fmlaRange="집계표!$Y$28:$Y$38" noThreeD="1" sel="1" val="0"/>
</file>

<file path=xl/ctrlProps/ctrlProp117.xml><?xml version="1.0" encoding="utf-8"?>
<formControlPr xmlns="http://schemas.microsoft.com/office/spreadsheetml/2009/9/main" objectType="Drop" dropLines="4" dropStyle="combo" dx="31" fmlaLink="집계표!$AC$119" fmlaRange="집계표!$AC$115:$AC$118" noThreeD="1" sel="2" val="0"/>
</file>

<file path=xl/ctrlProps/ctrlProp118.xml><?xml version="1.0" encoding="utf-8"?>
<formControlPr xmlns="http://schemas.microsoft.com/office/spreadsheetml/2009/9/main" objectType="Drop" dropLines="2" dropStyle="combo" dx="31" fmlaLink="집계표!$AC$122" fmlaRange="집계표!$AC$120:$AC$121" noThreeD="1" sel="1" val="0"/>
</file>

<file path=xl/ctrlProps/ctrlProp119.xml><?xml version="1.0" encoding="utf-8"?>
<formControlPr xmlns="http://schemas.microsoft.com/office/spreadsheetml/2009/9/main" objectType="Drop" dropLines="4" dropStyle="combo" dx="31" fmlaLink="집계표!$BL$52" fmlaRange="집계표!$AM$55:$AM$58" noThreeD="1" sel="2" val="0"/>
</file>

<file path=xl/ctrlProps/ctrlProp120.xml><?xml version="1.0" encoding="utf-8"?>
<formControlPr xmlns="http://schemas.microsoft.com/office/spreadsheetml/2009/9/main" objectType="Drop" dropLines="11" dropStyle="combo" dx="31" fmlaLink="'2051'!$A$27" fmlaRange="집계표!$Y$28:$Y$38" noThreeD="1" sel="1" val="0"/>
</file>

<file path=xl/ctrlProps/ctrlProp121.xml><?xml version="1.0" encoding="utf-8"?>
<formControlPr xmlns="http://schemas.microsoft.com/office/spreadsheetml/2009/9/main" objectType="Drop" dropLines="4" dropStyle="combo" dx="31" fmlaLink="집계표!$AD$119" fmlaRange="집계표!$AD$115:$AD$118" noThreeD="1" sel="2" val="0"/>
</file>

<file path=xl/ctrlProps/ctrlProp122.xml><?xml version="1.0" encoding="utf-8"?>
<formControlPr xmlns="http://schemas.microsoft.com/office/spreadsheetml/2009/9/main" objectType="Drop" dropLines="2" dropStyle="combo" dx="31" fmlaLink="집계표!$AD$122" fmlaRange="집계표!$AD$120:$AD$121" noThreeD="1" sel="1" val="0"/>
</file>

<file path=xl/ctrlProps/ctrlProp123.xml><?xml version="1.0" encoding="utf-8"?>
<formControlPr xmlns="http://schemas.microsoft.com/office/spreadsheetml/2009/9/main" objectType="Drop" dropLines="4" dropStyle="combo" dx="31" fmlaLink="집계표!$BM$52" fmlaRange="집계표!$AM$55:$AM$58" noThreeD="1" sel="2" val="0"/>
</file>

<file path=xl/ctrlProps/ctrlProp124.xml><?xml version="1.0" encoding="utf-8"?>
<formControlPr xmlns="http://schemas.microsoft.com/office/spreadsheetml/2009/9/main" objectType="Drop" dropLines="11" dropStyle="combo" dx="31" fmlaLink="'2052'!$A$27" fmlaRange="집계표!$Y$28:$Y$38" noThreeD="1" sel="1" val="0"/>
</file>

<file path=xl/ctrlProps/ctrlProp125.xml><?xml version="1.0" encoding="utf-8"?>
<formControlPr xmlns="http://schemas.microsoft.com/office/spreadsheetml/2009/9/main" objectType="Drop" dropLines="4" dropStyle="combo" dx="31" fmlaLink="집계표!$AE$119" fmlaRange="집계표!$AE$115:$AE$118" noThreeD="1" sel="2" val="0"/>
</file>

<file path=xl/ctrlProps/ctrlProp126.xml><?xml version="1.0" encoding="utf-8"?>
<formControlPr xmlns="http://schemas.microsoft.com/office/spreadsheetml/2009/9/main" objectType="Drop" dropLines="2" dropStyle="combo" dx="31" fmlaLink="집계표!$AE$122" fmlaRange="집계표!$AE$120:$AE$121" noThreeD="1" sel="1" val="0"/>
</file>

<file path=xl/ctrlProps/ctrlProp127.xml><?xml version="1.0" encoding="utf-8"?>
<formControlPr xmlns="http://schemas.microsoft.com/office/spreadsheetml/2009/9/main" objectType="Drop" dropLines="4" dropStyle="combo" dx="31" fmlaLink="집계표!$BN$52" fmlaRange="집계표!$AM$55:$AM$58" noThreeD="1" sel="2" val="0"/>
</file>

<file path=xl/ctrlProps/ctrlProp128.xml><?xml version="1.0" encoding="utf-8"?>
<formControlPr xmlns="http://schemas.microsoft.com/office/spreadsheetml/2009/9/main" objectType="Drop" dropLines="11" dropStyle="combo" dx="31" fmlaLink="'2053'!$A$27" fmlaRange="집계표!$Y$28:$Y$38" noThreeD="1" sel="1" val="0"/>
</file>

<file path=xl/ctrlProps/ctrlProp129.xml><?xml version="1.0" encoding="utf-8"?>
<formControlPr xmlns="http://schemas.microsoft.com/office/spreadsheetml/2009/9/main" objectType="Drop" dropLines="4" dropStyle="combo" dx="31" fmlaLink="집계표!$AF$119" fmlaRange="집계표!$AF$115:$AF$118" noThreeD="1" sel="2" val="0"/>
</file>

<file path=xl/ctrlProps/ctrlProp130.xml><?xml version="1.0" encoding="utf-8"?>
<formControlPr xmlns="http://schemas.microsoft.com/office/spreadsheetml/2009/9/main" objectType="Drop" dropLines="2" dropStyle="combo" dx="31" fmlaLink="집계표!$AF$122" fmlaRange="집계표!$AF$120:$AF$121" noThreeD="1" sel="1" val="0"/>
</file>

<file path=xl/ctrlProps/ctrlProp131.xml><?xml version="1.0" encoding="utf-8"?>
<formControlPr xmlns="http://schemas.microsoft.com/office/spreadsheetml/2009/9/main" objectType="Drop" dropLines="4" dropStyle="combo" dx="31" fmlaLink="집계표!$BO$52" fmlaRange="집계표!$AM$55:$AM$58" noThreeD="1" sel="2" val="0"/>
</file>

<file path=xl/ctrlProps/ctrlProp132.xml><?xml version="1.0" encoding="utf-8"?>
<formControlPr xmlns="http://schemas.microsoft.com/office/spreadsheetml/2009/9/main" objectType="Drop" dropLines="11" dropStyle="combo" dx="31" fmlaLink="'2054'!$A$27" fmlaRange="집계표!$Y$28:$Y$38" noThreeD="1" sel="1" val="0"/>
</file>

<file path=xl/ctrlProps/ctrlProp133.xml><?xml version="1.0" encoding="utf-8"?>
<formControlPr xmlns="http://schemas.microsoft.com/office/spreadsheetml/2009/9/main" objectType="Drop" dropLines="4" dropStyle="combo" dx="31" fmlaLink="집계표!$AG$119" fmlaRange="집계표!$AG$115:$AG$118" noThreeD="1" sel="2" val="0"/>
</file>

<file path=xl/ctrlProps/ctrlProp134.xml><?xml version="1.0" encoding="utf-8"?>
<formControlPr xmlns="http://schemas.microsoft.com/office/spreadsheetml/2009/9/main" objectType="Drop" dropLines="2" dropStyle="combo" dx="31" fmlaLink="집계표!$AG$122" fmlaRange="집계표!$AG$120:$AG$121" noThreeD="1" sel="1" val="0"/>
</file>

<file path=xl/ctrlProps/ctrlProp135.xml><?xml version="1.0" encoding="utf-8"?>
<formControlPr xmlns="http://schemas.microsoft.com/office/spreadsheetml/2009/9/main" objectType="Drop" dropLines="4" dropStyle="combo" dx="31" fmlaLink="집계표!$BP$52" fmlaRange="집계표!$AM$55:$AM$58" noThreeD="1" sel="2" val="0"/>
</file>

<file path=xl/ctrlProps/ctrlProp136.xml><?xml version="1.0" encoding="utf-8"?>
<formControlPr xmlns="http://schemas.microsoft.com/office/spreadsheetml/2009/9/main" objectType="Drop" dropLines="11" dropStyle="combo" dx="31" fmlaLink="'2055'!$A$27" fmlaRange="집계표!$Y$28:$Y$38" noThreeD="1" sel="1" val="0"/>
</file>

<file path=xl/ctrlProps/ctrlProp137.xml><?xml version="1.0" encoding="utf-8"?>
<formControlPr xmlns="http://schemas.microsoft.com/office/spreadsheetml/2009/9/main" objectType="Drop" dropLines="4" dropStyle="combo" dx="31" fmlaLink="집계표!$AH$119" fmlaRange="집계표!$AH$115:$AH$118" noThreeD="1" sel="2" val="0"/>
</file>

<file path=xl/ctrlProps/ctrlProp138.xml><?xml version="1.0" encoding="utf-8"?>
<formControlPr xmlns="http://schemas.microsoft.com/office/spreadsheetml/2009/9/main" objectType="Drop" dropLines="2" dropStyle="combo" dx="31" fmlaLink="집계표!$AH$122" fmlaRange="집계표!$AH$120:$AH$121" noThreeD="1" sel="1" val="0"/>
</file>

<file path=xl/ctrlProps/ctrlProp139.xml><?xml version="1.0" encoding="utf-8"?>
<formControlPr xmlns="http://schemas.microsoft.com/office/spreadsheetml/2009/9/main" objectType="Drop" dropLines="4" dropStyle="combo" dx="31" fmlaLink="집계표!$BQ$52" fmlaRange="집계표!$AM$55:$AM$58" noThreeD="1" sel="2" val="0"/>
</file>

<file path=xl/ctrlProps/ctrlProp140.xml><?xml version="1.0" encoding="utf-8"?>
<formControlPr xmlns="http://schemas.microsoft.com/office/spreadsheetml/2009/9/main" objectType="Drop" dropLines="11" dropStyle="combo" dx="31" fmlaLink="'2056'!$A$27" fmlaRange="집계표!$Y$28:$Y$38" noThreeD="1" sel="1" val="0"/>
</file>

<file path=xl/ctrlProps/ctrlProp141.xml><?xml version="1.0" encoding="utf-8"?>
<formControlPr xmlns="http://schemas.microsoft.com/office/spreadsheetml/2009/9/main" objectType="Drop" dropLines="4" dropStyle="combo" dx="31" fmlaLink="집계표!$AI$119" fmlaRange="집계표!$AI$115:$AI$118" noThreeD="1" sel="2" val="0"/>
</file>

<file path=xl/ctrlProps/ctrlProp142.xml><?xml version="1.0" encoding="utf-8"?>
<formControlPr xmlns="http://schemas.microsoft.com/office/spreadsheetml/2009/9/main" objectType="Drop" dropLines="2" dropStyle="combo" dx="31" fmlaLink="집계표!$AI$122" fmlaRange="집계표!$AI$120:$AI$121" noThreeD="1" sel="1" val="0"/>
</file>

<file path=xl/ctrlProps/ctrlProp143.xml><?xml version="1.0" encoding="utf-8"?>
<formControlPr xmlns="http://schemas.microsoft.com/office/spreadsheetml/2009/9/main" objectType="Drop" dropLines="4" dropStyle="combo" dx="31" fmlaLink="집계표!$BR$52" fmlaRange="집계표!$AM$55:$AM$58" noThreeD="1" sel="2" val="0"/>
</file>

<file path=xl/ctrlProps/ctrlProp144.xml><?xml version="1.0" encoding="utf-8"?>
<formControlPr xmlns="http://schemas.microsoft.com/office/spreadsheetml/2009/9/main" objectType="Drop" dropLines="11" dropStyle="combo" dx="31" fmlaLink="'2057'!$A$27" fmlaRange="집계표!$Y$28:$Y$38" noThreeD="1" sel="1" val="0"/>
</file>

<file path=xl/ctrlProps/ctrlProp145.xml><?xml version="1.0" encoding="utf-8"?>
<formControlPr xmlns="http://schemas.microsoft.com/office/spreadsheetml/2009/9/main" objectType="Drop" dropLines="4" dropStyle="combo" dx="31" fmlaLink="집계표!$AJ$119" fmlaRange="집계표!$AJ$115:$AJ$118" noThreeD="1" sel="2" val="0"/>
</file>

<file path=xl/ctrlProps/ctrlProp146.xml><?xml version="1.0" encoding="utf-8"?>
<formControlPr xmlns="http://schemas.microsoft.com/office/spreadsheetml/2009/9/main" objectType="Drop" dropLines="2" dropStyle="combo" dx="31" fmlaLink="집계표!$AJ$122" fmlaRange="집계표!$AJ$120:$AJ$121" noThreeD="1" sel="1" val="0"/>
</file>

<file path=xl/ctrlProps/ctrlProp147.xml><?xml version="1.0" encoding="utf-8"?>
<formControlPr xmlns="http://schemas.microsoft.com/office/spreadsheetml/2009/9/main" objectType="Drop" dropLines="4" dropStyle="combo" dx="31" fmlaLink="집계표!$BS$52" fmlaRange="집계표!$AM$55:$AM$58" noThreeD="1" sel="2" val="0"/>
</file>

<file path=xl/ctrlProps/ctrlProp148.xml><?xml version="1.0" encoding="utf-8"?>
<formControlPr xmlns="http://schemas.microsoft.com/office/spreadsheetml/2009/9/main" objectType="Drop" dropLines="11" dropStyle="combo" dx="31" fmlaLink="'2058'!$A$27" fmlaRange="집계표!$Y$28:$Y$38" noThreeD="1" sel="1" val="0"/>
</file>

<file path=xl/ctrlProps/ctrlProp149.xml><?xml version="1.0" encoding="utf-8"?>
<formControlPr xmlns="http://schemas.microsoft.com/office/spreadsheetml/2009/9/main" objectType="Drop" dropLines="4" dropStyle="combo" dx="31" fmlaLink="집계표!$AK$119" fmlaRange="집계표!$AK$115:$AK$118" noThreeD="1" sel="2" val="0"/>
</file>

<file path=xl/ctrlProps/ctrlProp150.xml><?xml version="1.0" encoding="utf-8"?>
<formControlPr xmlns="http://schemas.microsoft.com/office/spreadsheetml/2009/9/main" objectType="Drop" dropLines="2" dropStyle="combo" dx="31" fmlaLink="집계표!$AK$122" fmlaRange="집계표!$AK$120:$AK$121" noThreeD="1" sel="1" val="0"/>
</file>

<file path=xl/ctrlProps/ctrlProp151.xml><?xml version="1.0" encoding="utf-8"?>
<formControlPr xmlns="http://schemas.microsoft.com/office/spreadsheetml/2009/9/main" objectType="Drop" dropLines="4" dropStyle="combo" dx="31" fmlaLink="집계표!$BT$52" fmlaRange="집계표!$AM$55:$AM$58" noThreeD="1" sel="2" val="0"/>
</file>

<file path=xl/ctrlProps/ctrlProp152.xml><?xml version="1.0" encoding="utf-8"?>
<formControlPr xmlns="http://schemas.microsoft.com/office/spreadsheetml/2009/9/main" objectType="Drop" dropLines="11" dropStyle="combo" dx="31" fmlaLink="'2059'!$A$27" fmlaRange="집계표!$Y$28:$Y$38" noThreeD="1" sel="1" val="0"/>
</file>

<file path=xl/ctrlProps/ctrlProp153.xml><?xml version="1.0" encoding="utf-8"?>
<formControlPr xmlns="http://schemas.microsoft.com/office/spreadsheetml/2009/9/main" objectType="Drop" dropLines="4" dropStyle="combo" dx="31" fmlaLink="집계표!$AL$119" fmlaRange="집계표!$AL$115:$AL$118" noThreeD="1" sel="2" val="0"/>
</file>

<file path=xl/ctrlProps/ctrlProp154.xml><?xml version="1.0" encoding="utf-8"?>
<formControlPr xmlns="http://schemas.microsoft.com/office/spreadsheetml/2009/9/main" objectType="Drop" dropLines="2" dropStyle="combo" dx="31" fmlaLink="집계표!$AL$122" fmlaRange="집계표!$AL$120:$AL$121" noThreeD="1" sel="1" val="0"/>
</file>

<file path=xl/ctrlProps/ctrlProp155.xml><?xml version="1.0" encoding="utf-8"?>
<formControlPr xmlns="http://schemas.microsoft.com/office/spreadsheetml/2009/9/main" objectType="Drop" dropLines="4" dropStyle="combo" dx="31" fmlaLink="집계표!$BU$52" fmlaRange="집계표!$AM$55:$AM$58" noThreeD="1" sel="2" val="0"/>
</file>

<file path=xl/ctrlProps/ctrlProp156.xml><?xml version="1.0" encoding="utf-8"?>
<formControlPr xmlns="http://schemas.microsoft.com/office/spreadsheetml/2009/9/main" objectType="Drop" dropLines="11" dropStyle="combo" dx="31" fmlaLink="'2060'!$A$27" fmlaRange="집계표!$Y$28:$Y$38" noThreeD="1" sel="1" val="0"/>
</file>

<file path=xl/ctrlProps/ctrlProp157.xml><?xml version="1.0" encoding="utf-8"?>
<formControlPr xmlns="http://schemas.microsoft.com/office/spreadsheetml/2009/9/main" objectType="Drop" dropLines="4" dropStyle="combo" dx="31" fmlaLink="집계표!$AM$119" fmlaRange="집계표!$AM$115:$AM$118" noThreeD="1" sel="2" val="0"/>
</file>

<file path=xl/ctrlProps/ctrlProp158.xml><?xml version="1.0" encoding="utf-8"?>
<formControlPr xmlns="http://schemas.microsoft.com/office/spreadsheetml/2009/9/main" objectType="Drop" dropLines="2" dropStyle="combo" dx="31" fmlaLink="집계표!$AM$122" fmlaRange="집계표!$AM$120:$AM$121" noThreeD="1" sel="1" val="0"/>
</file>

<file path=xl/ctrlProps/ctrlProp159.xml><?xml version="1.0" encoding="utf-8"?>
<formControlPr xmlns="http://schemas.microsoft.com/office/spreadsheetml/2009/9/main" objectType="Drop" dropLines="4" dropStyle="combo" dx="31" fmlaLink="집계표!$BV$52" fmlaRange="집계표!$AM$55:$AM$58" noThreeD="1" sel="2" val="0"/>
</file>

<file path=xl/ctrlProps/ctrlProp160.xml><?xml version="1.0" encoding="utf-8"?>
<formControlPr xmlns="http://schemas.microsoft.com/office/spreadsheetml/2009/9/main" objectType="Drop" dropLines="11" dropStyle="combo" dx="31" fmlaLink="'2061'!$A$27" fmlaRange="집계표!$Y$28:$Y$38" noThreeD="1" sel="1" val="0"/>
</file>

<file path=xl/ctrlProps/ctrlProp161.xml><?xml version="1.0" encoding="utf-8"?>
<formControlPr xmlns="http://schemas.microsoft.com/office/spreadsheetml/2009/9/main" objectType="Drop" dropLines="4" dropStyle="combo" dx="31" fmlaLink="집계표!$AN$119" fmlaRange="집계표!$AN$115:$AN$118" noThreeD="1" sel="2" val="0"/>
</file>

<file path=xl/ctrlProps/ctrlProp162.xml><?xml version="1.0" encoding="utf-8"?>
<formControlPr xmlns="http://schemas.microsoft.com/office/spreadsheetml/2009/9/main" objectType="Drop" dropLines="2" dropStyle="combo" dx="31" fmlaLink="집계표!$AN$122" fmlaRange="집계표!$AN$120:$AN$121" noThreeD="1" sel="1" val="0"/>
</file>

<file path=xl/ctrlProps/ctrlProp163.xml><?xml version="1.0" encoding="utf-8"?>
<formControlPr xmlns="http://schemas.microsoft.com/office/spreadsheetml/2009/9/main" objectType="Drop" dropLines="4" dropStyle="combo" dx="31" fmlaLink="집계표!$BW$52" fmlaRange="집계표!$AM$55:$AM$58" noThreeD="1" sel="2" val="0"/>
</file>

<file path=xl/ctrlProps/ctrlProp164.xml><?xml version="1.0" encoding="utf-8"?>
<formControlPr xmlns="http://schemas.microsoft.com/office/spreadsheetml/2009/9/main" objectType="Drop" dropLines="11" dropStyle="combo" dx="31" fmlaLink="'2062'!$A$27" fmlaRange="집계표!$Y$28:$Y$38" noThreeD="1" sel="1" val="0"/>
</file>

<file path=xl/ctrlProps/ctrlProp165.xml><?xml version="1.0" encoding="utf-8"?>
<formControlPr xmlns="http://schemas.microsoft.com/office/spreadsheetml/2009/9/main" objectType="Drop" dropLines="4" dropStyle="combo" dx="31" fmlaLink="집계표!$AO$119" fmlaRange="집계표!$AO$115:$AO$118" noThreeD="1" sel="2" val="0"/>
</file>

<file path=xl/ctrlProps/ctrlProp166.xml><?xml version="1.0" encoding="utf-8"?>
<formControlPr xmlns="http://schemas.microsoft.com/office/spreadsheetml/2009/9/main" objectType="Drop" dropLines="2" dropStyle="combo" dx="31" fmlaLink="집계표!$AO$122" fmlaRange="집계표!$AO$120:$AO$121" noThreeD="1" sel="1" val="0"/>
</file>

<file path=xl/ctrlProps/ctrlProp167.xml><?xml version="1.0" encoding="utf-8"?>
<formControlPr xmlns="http://schemas.microsoft.com/office/spreadsheetml/2009/9/main" objectType="Drop" dropLines="4" dropStyle="combo" dx="31" fmlaLink="집계표!$BX$52" fmlaRange="집계표!$AM$55:$AM$58" noThreeD="1" sel="2" val="0"/>
</file>

<file path=xl/ctrlProps/ctrlProp168.xml><?xml version="1.0" encoding="utf-8"?>
<formControlPr xmlns="http://schemas.microsoft.com/office/spreadsheetml/2009/9/main" objectType="Drop" dropLines="11" dropStyle="combo" dx="31" fmlaLink="'2063'!$A$27" fmlaRange="집계표!$Y$28:$Y$38" noThreeD="1" sel="1" val="0"/>
</file>

<file path=xl/ctrlProps/ctrlProp169.xml><?xml version="1.0" encoding="utf-8"?>
<formControlPr xmlns="http://schemas.microsoft.com/office/spreadsheetml/2009/9/main" objectType="Drop" dropLines="4" dropStyle="combo" dx="31" fmlaLink="집계표!$AP$119" fmlaRange="집계표!$AP$115:$AP$118" noThreeD="1" sel="2" val="0"/>
</file>

<file path=xl/ctrlProps/ctrlProp170.xml><?xml version="1.0" encoding="utf-8"?>
<formControlPr xmlns="http://schemas.microsoft.com/office/spreadsheetml/2009/9/main" objectType="Drop" dropLines="2" dropStyle="combo" dx="31" fmlaLink="집계표!$AP$122" fmlaRange="집계표!$AP$120:$AP$121" noThreeD="1" sel="1" val="0"/>
</file>

<file path=xl/ctrlProps/ctrlProp171.xml><?xml version="1.0" encoding="utf-8"?>
<formControlPr xmlns="http://schemas.microsoft.com/office/spreadsheetml/2009/9/main" objectType="Drop" dropLines="4" dropStyle="combo" dx="31" fmlaLink="집계표!$BY$52" fmlaRange="집계표!$AM$55:$AM$58" noThreeD="1" sel="2" val="0"/>
</file>

<file path=xl/ctrlProps/ctrlProp172.xml><?xml version="1.0" encoding="utf-8"?>
<formControlPr xmlns="http://schemas.microsoft.com/office/spreadsheetml/2009/9/main" objectType="Drop" dropLines="11" dropStyle="combo" dx="31" fmlaLink="'2064'!$A$27" fmlaRange="집계표!$Y$28:$Y$38" noThreeD="1" sel="1" val="0"/>
</file>

<file path=xl/ctrlProps/ctrlProp173.xml><?xml version="1.0" encoding="utf-8"?>
<formControlPr xmlns="http://schemas.microsoft.com/office/spreadsheetml/2009/9/main" objectType="Drop" dropLines="4" dropStyle="combo" dx="31" fmlaLink="집계표!$AQ$119" fmlaRange="집계표!$AQ$115:$AQ$118" noThreeD="1" sel="2" val="0"/>
</file>

<file path=xl/ctrlProps/ctrlProp174.xml><?xml version="1.0" encoding="utf-8"?>
<formControlPr xmlns="http://schemas.microsoft.com/office/spreadsheetml/2009/9/main" objectType="Drop" dropLines="2" dropStyle="combo" dx="31" fmlaLink="집계표!$AQ$122" fmlaRange="집계표!$AQ$120:$AQ$121" noThreeD="1" sel="1" val="0"/>
</file>

<file path=xl/ctrlProps/ctrlProp175.xml><?xml version="1.0" encoding="utf-8"?>
<formControlPr xmlns="http://schemas.microsoft.com/office/spreadsheetml/2009/9/main" objectType="Drop" dropLines="4" dropStyle="combo" dx="31" fmlaLink="집계표!$BZ$52" fmlaRange="집계표!$AM$55:$AM$58" noThreeD="1" sel="2" val="0"/>
</file>

<file path=xl/ctrlProps/ctrlProp176.xml><?xml version="1.0" encoding="utf-8"?>
<formControlPr xmlns="http://schemas.microsoft.com/office/spreadsheetml/2009/9/main" objectType="Drop" dropLines="11" dropStyle="combo" dx="31" fmlaLink="'2065'!$A$27" fmlaRange="집계표!$Y$28:$Y$38" noThreeD="1" sel="1" val="0"/>
</file>

<file path=xl/ctrlProps/ctrlProp177.xml><?xml version="1.0" encoding="utf-8"?>
<formControlPr xmlns="http://schemas.microsoft.com/office/spreadsheetml/2009/9/main" objectType="Drop" dropLines="4" dropStyle="combo" dx="31" fmlaLink="집계표!$AR$119" fmlaRange="집계표!$AR$115:$AR$118" noThreeD="1" sel="2" val="0"/>
</file>

<file path=xl/ctrlProps/ctrlProp178.xml><?xml version="1.0" encoding="utf-8"?>
<formControlPr xmlns="http://schemas.microsoft.com/office/spreadsheetml/2009/9/main" objectType="Drop" dropLines="2" dropStyle="combo" dx="31" fmlaLink="집계표!$AR$122" fmlaRange="집계표!$AR$120:$AR$121" noThreeD="1" sel="1" val="0"/>
</file>

<file path=xl/ctrlProps/ctrlProp179.xml><?xml version="1.0" encoding="utf-8"?>
<formControlPr xmlns="http://schemas.microsoft.com/office/spreadsheetml/2009/9/main" objectType="Drop" dropLines="4" dropStyle="combo" dx="31" fmlaLink="집계표!$CA$52" fmlaRange="집계표!$AM$55:$AM$58" noThreeD="1" sel="2" val="0"/>
</file>

<file path=xl/ctrlProps/ctrlProp180.xml><?xml version="1.0" encoding="utf-8"?>
<formControlPr xmlns="http://schemas.microsoft.com/office/spreadsheetml/2009/9/main" objectType="Drop" dropLines="11" dropStyle="combo" dx="31" fmlaLink="'2066'!$A$27" fmlaRange="집계표!$Y$28:$Y$38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228600</xdr:colOff>
      <xdr:row>38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342899</xdr:colOff>
      <xdr:row>0</xdr:row>
      <xdr:rowOff>190500</xdr:rowOff>
    </xdr:from>
    <xdr:to>
      <xdr:col>25</xdr:col>
      <xdr:colOff>603250</xdr:colOff>
      <xdr:row>5</xdr:row>
      <xdr:rowOff>95250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1082316" y="287636"/>
          <a:ext cx="4932252" cy="10515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457200</xdr:colOff>
          <xdr:row>1</xdr:row>
          <xdr:rowOff>25400</xdr:rowOff>
        </xdr:from>
        <xdr:to>
          <xdr:col>13</xdr:col>
          <xdr:colOff>165100</xdr:colOff>
          <xdr:row>1</xdr:row>
          <xdr:rowOff>165100</xdr:rowOff>
        </xdr:to>
        <xdr:sp macro="" textlink="">
          <xdr:nvSpPr>
            <xdr:cNvPr id="52227" name="Drop Down 3" hidden="1">
              <a:extLst>
                <a:ext uri="{63B3BB69-23CF-44E3-9099-C40C66FF867C}">
                  <a14:compatExt spid="_x0000_s52227"/>
                </a:ext>
                <a:ext uri="{FF2B5EF4-FFF2-40B4-BE49-F238E27FC236}">
                  <a16:creationId xmlns:a16="http://schemas.microsoft.com/office/drawing/2014/main" id="{00000000-0008-0000-1000-000003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12700</xdr:colOff>
          <xdr:row>1</xdr:row>
          <xdr:rowOff>25400</xdr:rowOff>
        </xdr:from>
        <xdr:to>
          <xdr:col>5</xdr:col>
          <xdr:colOff>647700</xdr:colOff>
          <xdr:row>1</xdr:row>
          <xdr:rowOff>165100</xdr:rowOff>
        </xdr:to>
        <xdr:sp macro="" textlink="">
          <xdr:nvSpPr>
            <xdr:cNvPr id="52228" name="Drop Down 4" hidden="1">
              <a:extLst>
                <a:ext uri="{63B3BB69-23CF-44E3-9099-C40C66FF867C}">
                  <a14:compatExt spid="_x0000_s52228"/>
                </a:ext>
                <a:ext uri="{FF2B5EF4-FFF2-40B4-BE49-F238E27FC236}">
                  <a16:creationId xmlns:a16="http://schemas.microsoft.com/office/drawing/2014/main" id="{00000000-0008-0000-1000-000004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1</xdr:row>
          <xdr:rowOff>25400</xdr:rowOff>
        </xdr:from>
        <xdr:to>
          <xdr:col>7</xdr:col>
          <xdr:colOff>609600</xdr:colOff>
          <xdr:row>1</xdr:row>
          <xdr:rowOff>165100</xdr:rowOff>
        </xdr:to>
        <xdr:sp macro="" textlink="">
          <xdr:nvSpPr>
            <xdr:cNvPr id="52230" name="Drop Down 6" hidden="1">
              <a:extLst>
                <a:ext uri="{63B3BB69-23CF-44E3-9099-C40C66FF867C}">
                  <a14:compatExt spid="_x0000_s52230"/>
                </a:ext>
                <a:ext uri="{FF2B5EF4-FFF2-40B4-BE49-F238E27FC236}">
                  <a16:creationId xmlns:a16="http://schemas.microsoft.com/office/drawing/2014/main" id="{00000000-0008-0000-1000-000006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114300</xdr:colOff>
          <xdr:row>1</xdr:row>
          <xdr:rowOff>25400</xdr:rowOff>
        </xdr:from>
        <xdr:to>
          <xdr:col>10</xdr:col>
          <xdr:colOff>584200</xdr:colOff>
          <xdr:row>1</xdr:row>
          <xdr:rowOff>165100</xdr:rowOff>
        </xdr:to>
        <xdr:sp macro="" textlink="">
          <xdr:nvSpPr>
            <xdr:cNvPr id="52231" name="Drop Down 7" hidden="1">
              <a:extLst>
                <a:ext uri="{63B3BB69-23CF-44E3-9099-C40C66FF867C}">
                  <a14:compatExt spid="_x0000_s52231"/>
                </a:ext>
                <a:ext uri="{FF2B5EF4-FFF2-40B4-BE49-F238E27FC236}">
                  <a16:creationId xmlns:a16="http://schemas.microsoft.com/office/drawing/2014/main" id="{00000000-0008-0000-1000-000007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76200</xdr:colOff>
          <xdr:row>4</xdr:row>
          <xdr:rowOff>25400</xdr:rowOff>
        </xdr:from>
        <xdr:to>
          <xdr:col>13</xdr:col>
          <xdr:colOff>584200</xdr:colOff>
          <xdr:row>4</xdr:row>
          <xdr:rowOff>127000</xdr:rowOff>
        </xdr:to>
        <xdr:sp macro="" textlink="">
          <xdr:nvSpPr>
            <xdr:cNvPr id="52232" name="Drop Down 8" hidden="1">
              <a:extLst>
                <a:ext uri="{63B3BB69-23CF-44E3-9099-C40C66FF867C}">
                  <a14:compatExt spid="_x0000_s52232"/>
                </a:ext>
                <a:ext uri="{FF2B5EF4-FFF2-40B4-BE49-F238E27FC236}">
                  <a16:creationId xmlns:a16="http://schemas.microsoft.com/office/drawing/2014/main" id="{00000000-0008-0000-1000-000008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12</xdr:col>
          <xdr:colOff>668</xdr:colOff>
          <xdr:row>0</xdr:row>
          <xdr:rowOff>203200</xdr:rowOff>
        </xdr:to>
        <xdr:sp macro="" textlink="">
          <xdr:nvSpPr>
            <xdr:cNvPr id="52235" name="Drop Down 11" hidden="1">
              <a:extLst>
                <a:ext uri="{63B3BB69-23CF-44E3-9099-C40C66FF867C}">
                  <a14:compatExt spid="_x0000_s52235"/>
                </a:ext>
                <a:ext uri="{FF2B5EF4-FFF2-40B4-BE49-F238E27FC236}">
                  <a16:creationId xmlns:a16="http://schemas.microsoft.com/office/drawing/2014/main" id="{00000000-0008-0000-1000-00000B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622300</xdr:colOff>
          <xdr:row>0</xdr:row>
          <xdr:rowOff>190500</xdr:rowOff>
        </xdr:to>
        <xdr:sp macro="" textlink="">
          <xdr:nvSpPr>
            <xdr:cNvPr id="52236" name="Drop Down 12" hidden="1">
              <a:extLst>
                <a:ext uri="{63B3BB69-23CF-44E3-9099-C40C66FF867C}">
                  <a14:compatExt spid="_x0000_s52236"/>
                </a:ext>
                <a:ext uri="{FF2B5EF4-FFF2-40B4-BE49-F238E27FC236}">
                  <a16:creationId xmlns:a16="http://schemas.microsoft.com/office/drawing/2014/main" id="{00000000-0008-0000-1000-00000C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24</xdr:row>
          <xdr:rowOff>12700</xdr:rowOff>
        </xdr:from>
        <xdr:to>
          <xdr:col>0</xdr:col>
          <xdr:colOff>749300</xdr:colOff>
          <xdr:row>24</xdr:row>
          <xdr:rowOff>127000</xdr:rowOff>
        </xdr:to>
        <xdr:sp macro="" textlink="">
          <xdr:nvSpPr>
            <xdr:cNvPr id="52239" name="Drop Down 15" hidden="1">
              <a:extLst>
                <a:ext uri="{63B3BB69-23CF-44E3-9099-C40C66FF867C}">
                  <a14:compatExt spid="_x0000_s52239"/>
                </a:ext>
                <a:ext uri="{FF2B5EF4-FFF2-40B4-BE49-F238E27FC236}">
                  <a16:creationId xmlns:a16="http://schemas.microsoft.com/office/drawing/2014/main" id="{00000000-0008-0000-1000-00000F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52304" name="Drop Down 80" hidden="1">
              <a:extLst>
                <a:ext uri="{63B3BB69-23CF-44E3-9099-C40C66FF867C}">
                  <a14:compatExt spid="_x0000_s52304"/>
                </a:ext>
                <a:ext uri="{FF2B5EF4-FFF2-40B4-BE49-F238E27FC236}">
                  <a16:creationId xmlns:a16="http://schemas.microsoft.com/office/drawing/2014/main" id="{00000000-0008-0000-1000-000050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190500</xdr:colOff>
          <xdr:row>1</xdr:row>
          <xdr:rowOff>38100</xdr:rowOff>
        </xdr:from>
        <xdr:to>
          <xdr:col>13</xdr:col>
          <xdr:colOff>622300</xdr:colOff>
          <xdr:row>1</xdr:row>
          <xdr:rowOff>152400</xdr:rowOff>
        </xdr:to>
        <xdr:sp macro="" textlink="">
          <xdr:nvSpPr>
            <xdr:cNvPr id="52306" name="Drop Down 82" hidden="1">
              <a:extLst>
                <a:ext uri="{63B3BB69-23CF-44E3-9099-C40C66FF867C}">
                  <a14:compatExt spid="_x0000_s52306"/>
                </a:ext>
                <a:ext uri="{FF2B5EF4-FFF2-40B4-BE49-F238E27FC236}">
                  <a16:creationId xmlns:a16="http://schemas.microsoft.com/office/drawing/2014/main" id="{00000000-0008-0000-1000-000052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12700</xdr:rowOff>
        </xdr:from>
        <xdr:to>
          <xdr:col>1</xdr:col>
          <xdr:colOff>648368</xdr:colOff>
          <xdr:row>19</xdr:row>
          <xdr:rowOff>668</xdr:rowOff>
        </xdr:to>
        <xdr:sp macro="" textlink="">
          <xdr:nvSpPr>
            <xdr:cNvPr id="52308" name="Drop Down 84" hidden="1">
              <a:extLst>
                <a:ext uri="{63B3BB69-23CF-44E3-9099-C40C66FF867C}">
                  <a14:compatExt spid="_x0000_s52308"/>
                </a:ext>
                <a:ext uri="{FF2B5EF4-FFF2-40B4-BE49-F238E27FC236}">
                  <a16:creationId xmlns:a16="http://schemas.microsoft.com/office/drawing/2014/main" id="{00000000-0008-0000-1000-000054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12700</xdr:rowOff>
        </xdr:from>
        <xdr:to>
          <xdr:col>1</xdr:col>
          <xdr:colOff>648368</xdr:colOff>
          <xdr:row>11</xdr:row>
          <xdr:rowOff>669</xdr:rowOff>
        </xdr:to>
        <xdr:sp macro="" textlink="">
          <xdr:nvSpPr>
            <xdr:cNvPr id="52315" name="Drop Down 91" hidden="1">
              <a:extLst>
                <a:ext uri="{63B3BB69-23CF-44E3-9099-C40C66FF867C}">
                  <a14:compatExt spid="_x0000_s52315"/>
                </a:ext>
                <a:ext uri="{FF2B5EF4-FFF2-40B4-BE49-F238E27FC236}">
                  <a16:creationId xmlns:a16="http://schemas.microsoft.com/office/drawing/2014/main" id="{00000000-0008-0000-1000-00005B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12700</xdr:rowOff>
        </xdr:from>
        <xdr:to>
          <xdr:col>1</xdr:col>
          <xdr:colOff>648368</xdr:colOff>
          <xdr:row>17</xdr:row>
          <xdr:rowOff>0</xdr:rowOff>
        </xdr:to>
        <xdr:sp macro="" textlink="">
          <xdr:nvSpPr>
            <xdr:cNvPr id="52330" name="Drop Down 106" hidden="1">
              <a:extLst>
                <a:ext uri="{63B3BB69-23CF-44E3-9099-C40C66FF867C}">
                  <a14:compatExt spid="_x0000_s52330"/>
                </a:ext>
                <a:ext uri="{FF2B5EF4-FFF2-40B4-BE49-F238E27FC236}">
                  <a16:creationId xmlns:a16="http://schemas.microsoft.com/office/drawing/2014/main" id="{00000000-0008-0000-1000-00006A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12700</xdr:rowOff>
        </xdr:from>
        <xdr:to>
          <xdr:col>1</xdr:col>
          <xdr:colOff>648368</xdr:colOff>
          <xdr:row>16</xdr:row>
          <xdr:rowOff>0</xdr:rowOff>
        </xdr:to>
        <xdr:sp macro="" textlink="">
          <xdr:nvSpPr>
            <xdr:cNvPr id="52332" name="Drop Down 108" hidden="1">
              <a:extLst>
                <a:ext uri="{63B3BB69-23CF-44E3-9099-C40C66FF867C}">
                  <a14:compatExt spid="_x0000_s52332"/>
                </a:ext>
                <a:ext uri="{FF2B5EF4-FFF2-40B4-BE49-F238E27FC236}">
                  <a16:creationId xmlns:a16="http://schemas.microsoft.com/office/drawing/2014/main" id="{00000000-0008-0000-1000-00006C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279400</xdr:colOff>
          <xdr:row>6</xdr:row>
          <xdr:rowOff>12700</xdr:rowOff>
        </xdr:from>
        <xdr:to>
          <xdr:col>0</xdr:col>
          <xdr:colOff>749300</xdr:colOff>
          <xdr:row>6</xdr:row>
          <xdr:rowOff>152400</xdr:rowOff>
        </xdr:to>
        <xdr:sp macro="" textlink="">
          <xdr:nvSpPr>
            <xdr:cNvPr id="52334" name="Drop Down 110" hidden="1">
              <a:extLst>
                <a:ext uri="{63B3BB69-23CF-44E3-9099-C40C66FF867C}">
                  <a14:compatExt spid="_x0000_s52334"/>
                </a:ext>
                <a:ext uri="{FF2B5EF4-FFF2-40B4-BE49-F238E27FC236}">
                  <a16:creationId xmlns:a16="http://schemas.microsoft.com/office/drawing/2014/main" id="{00000000-0008-0000-1000-00006E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15716" name="Drop Down 4" hidden="1">
              <a:extLst>
                <a:ext uri="{63B3BB69-23CF-44E3-9099-C40C66FF867C}">
                  <a14:compatExt spid="_x0000_s115716"/>
                </a:ext>
                <a:ext uri="{FF2B5EF4-FFF2-40B4-BE49-F238E27FC236}">
                  <a16:creationId xmlns:a16="http://schemas.microsoft.com/office/drawing/2014/main" id="{00000000-0008-0000-1100-000004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76200</xdr:colOff>
          <xdr:row>4</xdr:row>
          <xdr:rowOff>12700</xdr:rowOff>
        </xdr:from>
        <xdr:to>
          <xdr:col>13</xdr:col>
          <xdr:colOff>584200</xdr:colOff>
          <xdr:row>5</xdr:row>
          <xdr:rowOff>0</xdr:rowOff>
        </xdr:to>
        <xdr:sp macro="" textlink="">
          <xdr:nvSpPr>
            <xdr:cNvPr id="115717" name="Drop Down 5" hidden="1">
              <a:extLst>
                <a:ext uri="{63B3BB69-23CF-44E3-9099-C40C66FF867C}">
                  <a14:compatExt spid="_x0000_s115717"/>
                </a:ext>
                <a:ext uri="{FF2B5EF4-FFF2-40B4-BE49-F238E27FC236}">
                  <a16:creationId xmlns:a16="http://schemas.microsoft.com/office/drawing/2014/main" id="{00000000-0008-0000-1100-000005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15718" name="Drop Down 6" hidden="1">
              <a:extLst>
                <a:ext uri="{63B3BB69-23CF-44E3-9099-C40C66FF867C}">
                  <a14:compatExt spid="_x0000_s115718"/>
                </a:ext>
                <a:ext uri="{FF2B5EF4-FFF2-40B4-BE49-F238E27FC236}">
                  <a16:creationId xmlns:a16="http://schemas.microsoft.com/office/drawing/2014/main" id="{00000000-0008-0000-1100-000006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190500</xdr:rowOff>
        </xdr:to>
        <xdr:sp macro="" textlink="">
          <xdr:nvSpPr>
            <xdr:cNvPr id="115719" name="Drop Down 7" hidden="1">
              <a:extLst>
                <a:ext uri="{63B3BB69-23CF-44E3-9099-C40C66FF867C}">
                  <a14:compatExt spid="_x0000_s115719"/>
                </a:ext>
                <a:ext uri="{FF2B5EF4-FFF2-40B4-BE49-F238E27FC236}">
                  <a16:creationId xmlns:a16="http://schemas.microsoft.com/office/drawing/2014/main" id="{00000000-0008-0000-1100-000007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15725" name="Drop Down 13" hidden="1">
              <a:extLst>
                <a:ext uri="{63B3BB69-23CF-44E3-9099-C40C66FF867C}">
                  <a14:compatExt spid="_x0000_s115725"/>
                </a:ext>
                <a:ext uri="{FF2B5EF4-FFF2-40B4-BE49-F238E27FC236}">
                  <a16:creationId xmlns:a16="http://schemas.microsoft.com/office/drawing/2014/main" id="{00000000-0008-0000-1100-00000D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0835" name="Drop Down 3" hidden="1">
              <a:extLst>
                <a:ext uri="{63B3BB69-23CF-44E3-9099-C40C66FF867C}">
                  <a14:compatExt spid="_x0000_s120835"/>
                </a:ext>
                <a:ext uri="{FF2B5EF4-FFF2-40B4-BE49-F238E27FC236}">
                  <a16:creationId xmlns:a16="http://schemas.microsoft.com/office/drawing/2014/main" id="{00000000-0008-0000-1200-000003D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0836" name="Drop Down 4" hidden="1">
              <a:extLst>
                <a:ext uri="{63B3BB69-23CF-44E3-9099-C40C66FF867C}">
                  <a14:compatExt spid="_x0000_s120836"/>
                </a:ext>
                <a:ext uri="{FF2B5EF4-FFF2-40B4-BE49-F238E27FC236}">
                  <a16:creationId xmlns:a16="http://schemas.microsoft.com/office/drawing/2014/main" id="{00000000-0008-0000-1200-000004D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0837" name="Drop Down 5" hidden="1">
              <a:extLst>
                <a:ext uri="{63B3BB69-23CF-44E3-9099-C40C66FF867C}">
                  <a14:compatExt spid="_x0000_s120837"/>
                </a:ext>
                <a:ext uri="{FF2B5EF4-FFF2-40B4-BE49-F238E27FC236}">
                  <a16:creationId xmlns:a16="http://schemas.microsoft.com/office/drawing/2014/main" id="{00000000-0008-0000-1200-000005D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0841" name="Drop Down 9" hidden="1">
              <a:extLst>
                <a:ext uri="{63B3BB69-23CF-44E3-9099-C40C66FF867C}">
                  <a14:compatExt spid="_x0000_s120841"/>
                </a:ext>
                <a:ext uri="{FF2B5EF4-FFF2-40B4-BE49-F238E27FC236}">
                  <a16:creationId xmlns:a16="http://schemas.microsoft.com/office/drawing/2014/main" id="{00000000-0008-0000-1200-000009D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1859" name="Drop Down 3" hidden="1">
              <a:extLst>
                <a:ext uri="{63B3BB69-23CF-44E3-9099-C40C66FF867C}">
                  <a14:compatExt spid="_x0000_s121859"/>
                </a:ext>
                <a:ext uri="{FF2B5EF4-FFF2-40B4-BE49-F238E27FC236}">
                  <a16:creationId xmlns:a16="http://schemas.microsoft.com/office/drawing/2014/main" id="{00000000-0008-0000-1300-000003D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1860" name="Drop Down 4" hidden="1">
              <a:extLst>
                <a:ext uri="{63B3BB69-23CF-44E3-9099-C40C66FF867C}">
                  <a14:compatExt spid="_x0000_s121860"/>
                </a:ext>
                <a:ext uri="{FF2B5EF4-FFF2-40B4-BE49-F238E27FC236}">
                  <a16:creationId xmlns:a16="http://schemas.microsoft.com/office/drawing/2014/main" id="{00000000-0008-0000-1300-000004D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1861" name="Drop Down 5" hidden="1">
              <a:extLst>
                <a:ext uri="{63B3BB69-23CF-44E3-9099-C40C66FF867C}">
                  <a14:compatExt spid="_x0000_s121861"/>
                </a:ext>
                <a:ext uri="{FF2B5EF4-FFF2-40B4-BE49-F238E27FC236}">
                  <a16:creationId xmlns:a16="http://schemas.microsoft.com/office/drawing/2014/main" id="{00000000-0008-0000-1300-000005D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1864" name="Drop Down 8" hidden="1">
              <a:extLst>
                <a:ext uri="{63B3BB69-23CF-44E3-9099-C40C66FF867C}">
                  <a14:compatExt spid="_x0000_s121864"/>
                </a:ext>
                <a:ext uri="{FF2B5EF4-FFF2-40B4-BE49-F238E27FC236}">
                  <a16:creationId xmlns:a16="http://schemas.microsoft.com/office/drawing/2014/main" id="{00000000-0008-0000-1300-000008D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2885" name="Drop Down 5" hidden="1">
              <a:extLst>
                <a:ext uri="{63B3BB69-23CF-44E3-9099-C40C66FF867C}">
                  <a14:compatExt spid="_x0000_s122885"/>
                </a:ext>
                <a:ext uri="{FF2B5EF4-FFF2-40B4-BE49-F238E27FC236}">
                  <a16:creationId xmlns:a16="http://schemas.microsoft.com/office/drawing/2014/main" id="{00000000-0008-0000-1400-000005E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2886" name="Drop Down 6" hidden="1">
              <a:extLst>
                <a:ext uri="{63B3BB69-23CF-44E3-9099-C40C66FF867C}">
                  <a14:compatExt spid="_x0000_s122886"/>
                </a:ext>
                <a:ext uri="{FF2B5EF4-FFF2-40B4-BE49-F238E27FC236}">
                  <a16:creationId xmlns:a16="http://schemas.microsoft.com/office/drawing/2014/main" id="{00000000-0008-0000-1400-000006E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2887" name="Drop Down 7" hidden="1">
              <a:extLst>
                <a:ext uri="{63B3BB69-23CF-44E3-9099-C40C66FF867C}">
                  <a14:compatExt spid="_x0000_s122887"/>
                </a:ext>
                <a:ext uri="{FF2B5EF4-FFF2-40B4-BE49-F238E27FC236}">
                  <a16:creationId xmlns:a16="http://schemas.microsoft.com/office/drawing/2014/main" id="{00000000-0008-0000-1400-000007E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2891" name="Drop Down 11" hidden="1">
              <a:extLst>
                <a:ext uri="{63B3BB69-23CF-44E3-9099-C40C66FF867C}">
                  <a14:compatExt spid="_x0000_s122891"/>
                </a:ext>
                <a:ext uri="{FF2B5EF4-FFF2-40B4-BE49-F238E27FC236}">
                  <a16:creationId xmlns:a16="http://schemas.microsoft.com/office/drawing/2014/main" id="{00000000-0008-0000-1400-00000BE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3907" name="Drop Down 3" hidden="1">
              <a:extLst>
                <a:ext uri="{63B3BB69-23CF-44E3-9099-C40C66FF867C}">
                  <a14:compatExt spid="_x0000_s123907"/>
                </a:ext>
                <a:ext uri="{FF2B5EF4-FFF2-40B4-BE49-F238E27FC236}">
                  <a16:creationId xmlns:a16="http://schemas.microsoft.com/office/drawing/2014/main" id="{00000000-0008-0000-1500-000003E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3908" name="Drop Down 4" hidden="1">
              <a:extLst>
                <a:ext uri="{63B3BB69-23CF-44E3-9099-C40C66FF867C}">
                  <a14:compatExt spid="_x0000_s123908"/>
                </a:ext>
                <a:ext uri="{FF2B5EF4-FFF2-40B4-BE49-F238E27FC236}">
                  <a16:creationId xmlns:a16="http://schemas.microsoft.com/office/drawing/2014/main" id="{00000000-0008-0000-1500-000004E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3909" name="Drop Down 5" hidden="1">
              <a:extLst>
                <a:ext uri="{63B3BB69-23CF-44E3-9099-C40C66FF867C}">
                  <a14:compatExt spid="_x0000_s123909"/>
                </a:ext>
                <a:ext uri="{FF2B5EF4-FFF2-40B4-BE49-F238E27FC236}">
                  <a16:creationId xmlns:a16="http://schemas.microsoft.com/office/drawing/2014/main" id="{00000000-0008-0000-1500-000005E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3913" name="Drop Down 9" hidden="1">
              <a:extLst>
                <a:ext uri="{63B3BB69-23CF-44E3-9099-C40C66FF867C}">
                  <a14:compatExt spid="_x0000_s123913"/>
                </a:ext>
                <a:ext uri="{FF2B5EF4-FFF2-40B4-BE49-F238E27FC236}">
                  <a16:creationId xmlns:a16="http://schemas.microsoft.com/office/drawing/2014/main" id="{00000000-0008-0000-1500-000009E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4931" name="Drop Down 3" hidden="1">
              <a:extLst>
                <a:ext uri="{63B3BB69-23CF-44E3-9099-C40C66FF867C}">
                  <a14:compatExt spid="_x0000_s124931"/>
                </a:ext>
                <a:ext uri="{FF2B5EF4-FFF2-40B4-BE49-F238E27FC236}">
                  <a16:creationId xmlns:a16="http://schemas.microsoft.com/office/drawing/2014/main" id="{00000000-0008-0000-1600-000003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4932" name="Drop Down 4" hidden="1">
              <a:extLst>
                <a:ext uri="{63B3BB69-23CF-44E3-9099-C40C66FF867C}">
                  <a14:compatExt spid="_x0000_s124932"/>
                </a:ext>
                <a:ext uri="{FF2B5EF4-FFF2-40B4-BE49-F238E27FC236}">
                  <a16:creationId xmlns:a16="http://schemas.microsoft.com/office/drawing/2014/main" id="{00000000-0008-0000-1600-000004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4933" name="Drop Down 5" hidden="1">
              <a:extLst>
                <a:ext uri="{63B3BB69-23CF-44E3-9099-C40C66FF867C}">
                  <a14:compatExt spid="_x0000_s124933"/>
                </a:ext>
                <a:ext uri="{FF2B5EF4-FFF2-40B4-BE49-F238E27FC236}">
                  <a16:creationId xmlns:a16="http://schemas.microsoft.com/office/drawing/2014/main" id="{00000000-0008-0000-1600-000005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4937" name="Drop Down 9" hidden="1">
              <a:extLst>
                <a:ext uri="{63B3BB69-23CF-44E3-9099-C40C66FF867C}">
                  <a14:compatExt spid="_x0000_s124937"/>
                </a:ext>
                <a:ext uri="{FF2B5EF4-FFF2-40B4-BE49-F238E27FC236}">
                  <a16:creationId xmlns:a16="http://schemas.microsoft.com/office/drawing/2014/main" id="{00000000-0008-0000-1600-000009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5955" name="Drop Down 3" hidden="1">
              <a:extLst>
                <a:ext uri="{63B3BB69-23CF-44E3-9099-C40C66FF867C}">
                  <a14:compatExt spid="_x0000_s125955"/>
                </a:ext>
                <a:ext uri="{FF2B5EF4-FFF2-40B4-BE49-F238E27FC236}">
                  <a16:creationId xmlns:a16="http://schemas.microsoft.com/office/drawing/2014/main" id="{00000000-0008-0000-1700-000003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5956" name="Drop Down 4" hidden="1">
              <a:extLst>
                <a:ext uri="{63B3BB69-23CF-44E3-9099-C40C66FF867C}">
                  <a14:compatExt spid="_x0000_s125956"/>
                </a:ext>
                <a:ext uri="{FF2B5EF4-FFF2-40B4-BE49-F238E27FC236}">
                  <a16:creationId xmlns:a16="http://schemas.microsoft.com/office/drawing/2014/main" id="{00000000-0008-0000-1700-000004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5957" name="Drop Down 5" hidden="1">
              <a:extLst>
                <a:ext uri="{63B3BB69-23CF-44E3-9099-C40C66FF867C}">
                  <a14:compatExt spid="_x0000_s125957"/>
                </a:ext>
                <a:ext uri="{FF2B5EF4-FFF2-40B4-BE49-F238E27FC236}">
                  <a16:creationId xmlns:a16="http://schemas.microsoft.com/office/drawing/2014/main" id="{00000000-0008-0000-1700-000005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5961" name="Drop Down 9" hidden="1">
              <a:extLst>
                <a:ext uri="{63B3BB69-23CF-44E3-9099-C40C66FF867C}">
                  <a14:compatExt spid="_x0000_s125961"/>
                </a:ext>
                <a:ext uri="{FF2B5EF4-FFF2-40B4-BE49-F238E27FC236}">
                  <a16:creationId xmlns:a16="http://schemas.microsoft.com/office/drawing/2014/main" id="{00000000-0008-0000-1700-000009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6979" name="Drop Down 3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18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6980" name="Drop Down 4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18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6981" name="Drop Down 5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18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6984" name="Drop Down 8" hidden="1">
              <a:extLst>
                <a:ext uri="{63B3BB69-23CF-44E3-9099-C40C66FF867C}">
                  <a14:compatExt spid="_x0000_s126984"/>
                </a:ext>
                <a:ext uri="{FF2B5EF4-FFF2-40B4-BE49-F238E27FC236}">
                  <a16:creationId xmlns:a16="http://schemas.microsoft.com/office/drawing/2014/main" id="{00000000-0008-0000-1800-000008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8003" name="Drop Down 3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19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8004" name="Drop Down 4" hidden="1">
              <a:extLst>
                <a:ext uri="{63B3BB69-23CF-44E3-9099-C40C66FF867C}">
                  <a14:compatExt spid="_x0000_s128004"/>
                </a:ext>
                <a:ext uri="{FF2B5EF4-FFF2-40B4-BE49-F238E27FC236}">
                  <a16:creationId xmlns:a16="http://schemas.microsoft.com/office/drawing/2014/main" id="{00000000-0008-0000-1900-000004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8005" name="Drop Down 5" hidden="1">
              <a:extLst>
                <a:ext uri="{63B3BB69-23CF-44E3-9099-C40C66FF867C}">
                  <a14:compatExt spid="_x0000_s128005"/>
                </a:ext>
                <a:ext uri="{FF2B5EF4-FFF2-40B4-BE49-F238E27FC236}">
                  <a16:creationId xmlns:a16="http://schemas.microsoft.com/office/drawing/2014/main" id="{00000000-0008-0000-1900-000005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8008" name="Drop Down 8" hidden="1">
              <a:extLst>
                <a:ext uri="{63B3BB69-23CF-44E3-9099-C40C66FF867C}">
                  <a14:compatExt spid="_x0000_s128008"/>
                </a:ext>
                <a:ext uri="{FF2B5EF4-FFF2-40B4-BE49-F238E27FC236}">
                  <a16:creationId xmlns:a16="http://schemas.microsoft.com/office/drawing/2014/main" id="{00000000-0008-0000-1900-000008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0051" name="Drop Down 3" hidden="1">
              <a:extLst>
                <a:ext uri="{63B3BB69-23CF-44E3-9099-C40C66FF867C}">
                  <a14:compatExt spid="_x0000_s130051"/>
                </a:ext>
                <a:ext uri="{FF2B5EF4-FFF2-40B4-BE49-F238E27FC236}">
                  <a16:creationId xmlns:a16="http://schemas.microsoft.com/office/drawing/2014/main" id="{00000000-0008-0000-1A00-000003F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0052" name="Drop Down 4" hidden="1">
              <a:extLst>
                <a:ext uri="{63B3BB69-23CF-44E3-9099-C40C66FF867C}">
                  <a14:compatExt spid="_x0000_s130052"/>
                </a:ext>
                <a:ext uri="{FF2B5EF4-FFF2-40B4-BE49-F238E27FC236}">
                  <a16:creationId xmlns:a16="http://schemas.microsoft.com/office/drawing/2014/main" id="{00000000-0008-0000-1A00-000004F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0053" name="Drop Down 5" hidden="1">
              <a:extLst>
                <a:ext uri="{63B3BB69-23CF-44E3-9099-C40C66FF867C}">
                  <a14:compatExt spid="_x0000_s130053"/>
                </a:ext>
                <a:ext uri="{FF2B5EF4-FFF2-40B4-BE49-F238E27FC236}">
                  <a16:creationId xmlns:a16="http://schemas.microsoft.com/office/drawing/2014/main" id="{00000000-0008-0000-1A00-000005F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25400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0055" name="Drop Down 7" hidden="1">
              <a:extLst>
                <a:ext uri="{63B3BB69-23CF-44E3-9099-C40C66FF867C}">
                  <a14:compatExt spid="_x0000_s130055"/>
                </a:ext>
                <a:ext uri="{FF2B5EF4-FFF2-40B4-BE49-F238E27FC236}">
                  <a16:creationId xmlns:a16="http://schemas.microsoft.com/office/drawing/2014/main" id="{00000000-0008-0000-1A00-000007F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9027" name="Drop Down 3" hidden="1">
              <a:extLst>
                <a:ext uri="{63B3BB69-23CF-44E3-9099-C40C66FF867C}">
                  <a14:compatExt spid="_x0000_s129027"/>
                </a:ext>
                <a:ext uri="{FF2B5EF4-FFF2-40B4-BE49-F238E27FC236}">
                  <a16:creationId xmlns:a16="http://schemas.microsoft.com/office/drawing/2014/main" id="{00000000-0008-0000-1B00-000003F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9028" name="Drop Down 4" hidden="1">
              <a:extLst>
                <a:ext uri="{63B3BB69-23CF-44E3-9099-C40C66FF867C}">
                  <a14:compatExt spid="_x0000_s129028"/>
                </a:ext>
                <a:ext uri="{FF2B5EF4-FFF2-40B4-BE49-F238E27FC236}">
                  <a16:creationId xmlns:a16="http://schemas.microsoft.com/office/drawing/2014/main" id="{00000000-0008-0000-1B00-000004F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9029" name="Drop Down 5" hidden="1">
              <a:extLst>
                <a:ext uri="{63B3BB69-23CF-44E3-9099-C40C66FF867C}">
                  <a14:compatExt spid="_x0000_s129029"/>
                </a:ext>
                <a:ext uri="{FF2B5EF4-FFF2-40B4-BE49-F238E27FC236}">
                  <a16:creationId xmlns:a16="http://schemas.microsoft.com/office/drawing/2014/main" id="{00000000-0008-0000-1B00-000005F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25400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9032" name="Drop Down 8" hidden="1">
              <a:extLst>
                <a:ext uri="{63B3BB69-23CF-44E3-9099-C40C66FF867C}">
                  <a14:compatExt spid="_x0000_s129032"/>
                </a:ext>
                <a:ext uri="{FF2B5EF4-FFF2-40B4-BE49-F238E27FC236}">
                  <a16:creationId xmlns:a16="http://schemas.microsoft.com/office/drawing/2014/main" id="{00000000-0008-0000-1B00-000008F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1075" name="Drop Down 3" hidden="1">
              <a:extLst>
                <a:ext uri="{63B3BB69-23CF-44E3-9099-C40C66FF867C}">
                  <a14:compatExt spid="_x0000_s131075"/>
                </a:ext>
                <a:ext uri="{FF2B5EF4-FFF2-40B4-BE49-F238E27FC236}">
                  <a16:creationId xmlns:a16="http://schemas.microsoft.com/office/drawing/2014/main" id="{00000000-0008-0000-1C00-0000030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1076" name="Drop Down 4" hidden="1">
              <a:extLst>
                <a:ext uri="{63B3BB69-23CF-44E3-9099-C40C66FF867C}">
                  <a14:compatExt spid="_x0000_s131076"/>
                </a:ext>
                <a:ext uri="{FF2B5EF4-FFF2-40B4-BE49-F238E27FC236}">
                  <a16:creationId xmlns:a16="http://schemas.microsoft.com/office/drawing/2014/main" id="{00000000-0008-0000-1C00-0000040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1077" name="Drop Down 5" hidden="1">
              <a:extLst>
                <a:ext uri="{63B3BB69-23CF-44E3-9099-C40C66FF867C}">
                  <a14:compatExt spid="_x0000_s131077"/>
                </a:ext>
                <a:ext uri="{FF2B5EF4-FFF2-40B4-BE49-F238E27FC236}">
                  <a16:creationId xmlns:a16="http://schemas.microsoft.com/office/drawing/2014/main" id="{00000000-0008-0000-1C00-0000050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25400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1079" name="Drop Down 7" hidden="1">
              <a:extLst>
                <a:ext uri="{63B3BB69-23CF-44E3-9099-C40C66FF867C}">
                  <a14:compatExt spid="_x0000_s131079"/>
                </a:ext>
                <a:ext uri="{FF2B5EF4-FFF2-40B4-BE49-F238E27FC236}">
                  <a16:creationId xmlns:a16="http://schemas.microsoft.com/office/drawing/2014/main" id="{00000000-0008-0000-1C00-0000070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2099" name="Drop Down 3" hidden="1">
              <a:extLst>
                <a:ext uri="{63B3BB69-23CF-44E3-9099-C40C66FF867C}">
                  <a14:compatExt spid="_x0000_s132099"/>
                </a:ext>
                <a:ext uri="{FF2B5EF4-FFF2-40B4-BE49-F238E27FC236}">
                  <a16:creationId xmlns:a16="http://schemas.microsoft.com/office/drawing/2014/main" id="{00000000-0008-0000-1D00-0000030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2100" name="Drop Down 4" hidden="1">
              <a:extLst>
                <a:ext uri="{63B3BB69-23CF-44E3-9099-C40C66FF867C}">
                  <a14:compatExt spid="_x0000_s132100"/>
                </a:ext>
                <a:ext uri="{FF2B5EF4-FFF2-40B4-BE49-F238E27FC236}">
                  <a16:creationId xmlns:a16="http://schemas.microsoft.com/office/drawing/2014/main" id="{00000000-0008-0000-1D00-0000040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2101" name="Drop Down 5" hidden="1">
              <a:extLst>
                <a:ext uri="{63B3BB69-23CF-44E3-9099-C40C66FF867C}">
                  <a14:compatExt spid="_x0000_s132101"/>
                </a:ext>
                <a:ext uri="{FF2B5EF4-FFF2-40B4-BE49-F238E27FC236}">
                  <a16:creationId xmlns:a16="http://schemas.microsoft.com/office/drawing/2014/main" id="{00000000-0008-0000-1D00-0000050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2104" name="Drop Down 8" hidden="1">
              <a:extLst>
                <a:ext uri="{63B3BB69-23CF-44E3-9099-C40C66FF867C}">
                  <a14:compatExt spid="_x0000_s132104"/>
                </a:ext>
                <a:ext uri="{FF2B5EF4-FFF2-40B4-BE49-F238E27FC236}">
                  <a16:creationId xmlns:a16="http://schemas.microsoft.com/office/drawing/2014/main" id="{00000000-0008-0000-1D00-0000080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3123" name="Drop Down 3" hidden="1">
              <a:extLst>
                <a:ext uri="{63B3BB69-23CF-44E3-9099-C40C66FF867C}">
                  <a14:compatExt spid="_x0000_s133123"/>
                </a:ext>
                <a:ext uri="{FF2B5EF4-FFF2-40B4-BE49-F238E27FC236}">
                  <a16:creationId xmlns:a16="http://schemas.microsoft.com/office/drawing/2014/main" id="{00000000-0008-0000-1E00-0000030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3124" name="Drop Down 4" hidden="1">
              <a:extLst>
                <a:ext uri="{63B3BB69-23CF-44E3-9099-C40C66FF867C}">
                  <a14:compatExt spid="_x0000_s133124"/>
                </a:ext>
                <a:ext uri="{FF2B5EF4-FFF2-40B4-BE49-F238E27FC236}">
                  <a16:creationId xmlns:a16="http://schemas.microsoft.com/office/drawing/2014/main" id="{00000000-0008-0000-1E00-0000040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3125" name="Drop Down 5" hidden="1">
              <a:extLst>
                <a:ext uri="{63B3BB69-23CF-44E3-9099-C40C66FF867C}">
                  <a14:compatExt spid="_x0000_s133125"/>
                </a:ext>
                <a:ext uri="{FF2B5EF4-FFF2-40B4-BE49-F238E27FC236}">
                  <a16:creationId xmlns:a16="http://schemas.microsoft.com/office/drawing/2014/main" id="{00000000-0008-0000-1E00-0000050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3127" name="Drop Down 7" hidden="1">
              <a:extLst>
                <a:ext uri="{63B3BB69-23CF-44E3-9099-C40C66FF867C}">
                  <a14:compatExt spid="_x0000_s133127"/>
                </a:ext>
                <a:ext uri="{FF2B5EF4-FFF2-40B4-BE49-F238E27FC236}">
                  <a16:creationId xmlns:a16="http://schemas.microsoft.com/office/drawing/2014/main" id="{00000000-0008-0000-1E00-0000070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4147" name="Drop Down 3" hidden="1">
              <a:extLst>
                <a:ext uri="{63B3BB69-23CF-44E3-9099-C40C66FF867C}">
                  <a14:compatExt spid="_x0000_s134147"/>
                </a:ext>
                <a:ext uri="{FF2B5EF4-FFF2-40B4-BE49-F238E27FC236}">
                  <a16:creationId xmlns:a16="http://schemas.microsoft.com/office/drawing/2014/main" id="{00000000-0008-0000-1F00-0000030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4148" name="Drop Down 4" hidden="1">
              <a:extLst>
                <a:ext uri="{63B3BB69-23CF-44E3-9099-C40C66FF867C}">
                  <a14:compatExt spid="_x0000_s134148"/>
                </a:ext>
                <a:ext uri="{FF2B5EF4-FFF2-40B4-BE49-F238E27FC236}">
                  <a16:creationId xmlns:a16="http://schemas.microsoft.com/office/drawing/2014/main" id="{00000000-0008-0000-1F00-0000040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4149" name="Drop Down 5" hidden="1">
              <a:extLst>
                <a:ext uri="{63B3BB69-23CF-44E3-9099-C40C66FF867C}">
                  <a14:compatExt spid="_x0000_s134149"/>
                </a:ext>
                <a:ext uri="{FF2B5EF4-FFF2-40B4-BE49-F238E27FC236}">
                  <a16:creationId xmlns:a16="http://schemas.microsoft.com/office/drawing/2014/main" id="{00000000-0008-0000-1F00-0000050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4153" name="Drop Down 9" hidden="1">
              <a:extLst>
                <a:ext uri="{63B3BB69-23CF-44E3-9099-C40C66FF867C}">
                  <a14:compatExt spid="_x0000_s134153"/>
                </a:ext>
                <a:ext uri="{FF2B5EF4-FFF2-40B4-BE49-F238E27FC236}">
                  <a16:creationId xmlns:a16="http://schemas.microsoft.com/office/drawing/2014/main" id="{00000000-0008-0000-1F00-0000090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5171" name="Drop Down 3" hidden="1">
              <a:extLst>
                <a:ext uri="{63B3BB69-23CF-44E3-9099-C40C66FF867C}">
                  <a14:compatExt spid="_x0000_s135171"/>
                </a:ext>
                <a:ext uri="{FF2B5EF4-FFF2-40B4-BE49-F238E27FC236}">
                  <a16:creationId xmlns:a16="http://schemas.microsoft.com/office/drawing/2014/main" id="{00000000-0008-0000-2000-0000031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5172" name="Drop Down 4" hidden="1">
              <a:extLst>
                <a:ext uri="{63B3BB69-23CF-44E3-9099-C40C66FF867C}">
                  <a14:compatExt spid="_x0000_s135172"/>
                </a:ext>
                <a:ext uri="{FF2B5EF4-FFF2-40B4-BE49-F238E27FC236}">
                  <a16:creationId xmlns:a16="http://schemas.microsoft.com/office/drawing/2014/main" id="{00000000-0008-0000-2000-0000041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5173" name="Drop Down 5" hidden="1">
              <a:extLst>
                <a:ext uri="{63B3BB69-23CF-44E3-9099-C40C66FF867C}">
                  <a14:compatExt spid="_x0000_s135173"/>
                </a:ext>
                <a:ext uri="{FF2B5EF4-FFF2-40B4-BE49-F238E27FC236}">
                  <a16:creationId xmlns:a16="http://schemas.microsoft.com/office/drawing/2014/main" id="{00000000-0008-0000-2000-0000051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5175" name="Drop Down 7" hidden="1">
              <a:extLst>
                <a:ext uri="{63B3BB69-23CF-44E3-9099-C40C66FF867C}">
                  <a14:compatExt spid="_x0000_s135175"/>
                </a:ext>
                <a:ext uri="{FF2B5EF4-FFF2-40B4-BE49-F238E27FC236}">
                  <a16:creationId xmlns:a16="http://schemas.microsoft.com/office/drawing/2014/main" id="{00000000-0008-0000-2000-0000071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6195" name="Drop Down 3" hidden="1">
              <a:extLst>
                <a:ext uri="{63B3BB69-23CF-44E3-9099-C40C66FF867C}">
                  <a14:compatExt spid="_x0000_s136195"/>
                </a:ext>
                <a:ext uri="{FF2B5EF4-FFF2-40B4-BE49-F238E27FC236}">
                  <a16:creationId xmlns:a16="http://schemas.microsoft.com/office/drawing/2014/main" id="{00000000-0008-0000-2100-0000031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6196" name="Drop Down 4" hidden="1">
              <a:extLst>
                <a:ext uri="{63B3BB69-23CF-44E3-9099-C40C66FF867C}">
                  <a14:compatExt spid="_x0000_s136196"/>
                </a:ext>
                <a:ext uri="{FF2B5EF4-FFF2-40B4-BE49-F238E27FC236}">
                  <a16:creationId xmlns:a16="http://schemas.microsoft.com/office/drawing/2014/main" id="{00000000-0008-0000-2100-0000041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6197" name="Drop Down 5" hidden="1">
              <a:extLst>
                <a:ext uri="{63B3BB69-23CF-44E3-9099-C40C66FF867C}">
                  <a14:compatExt spid="_x0000_s136197"/>
                </a:ext>
                <a:ext uri="{FF2B5EF4-FFF2-40B4-BE49-F238E27FC236}">
                  <a16:creationId xmlns:a16="http://schemas.microsoft.com/office/drawing/2014/main" id="{00000000-0008-0000-2100-0000051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6199" name="Drop Down 7" hidden="1">
              <a:extLst>
                <a:ext uri="{63B3BB69-23CF-44E3-9099-C40C66FF867C}">
                  <a14:compatExt spid="_x0000_s136199"/>
                </a:ext>
                <a:ext uri="{FF2B5EF4-FFF2-40B4-BE49-F238E27FC236}">
                  <a16:creationId xmlns:a16="http://schemas.microsoft.com/office/drawing/2014/main" id="{00000000-0008-0000-2100-0000071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7219" name="Drop Down 3" hidden="1">
              <a:extLst>
                <a:ext uri="{63B3BB69-23CF-44E3-9099-C40C66FF867C}">
                  <a14:compatExt spid="_x0000_s137219"/>
                </a:ext>
                <a:ext uri="{FF2B5EF4-FFF2-40B4-BE49-F238E27FC236}">
                  <a16:creationId xmlns:a16="http://schemas.microsoft.com/office/drawing/2014/main" id="{00000000-0008-0000-2200-0000031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7220" name="Drop Down 4" hidden="1">
              <a:extLst>
                <a:ext uri="{63B3BB69-23CF-44E3-9099-C40C66FF867C}">
                  <a14:compatExt spid="_x0000_s137220"/>
                </a:ext>
                <a:ext uri="{FF2B5EF4-FFF2-40B4-BE49-F238E27FC236}">
                  <a16:creationId xmlns:a16="http://schemas.microsoft.com/office/drawing/2014/main" id="{00000000-0008-0000-2200-0000041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7221" name="Drop Down 5" hidden="1">
              <a:extLst>
                <a:ext uri="{63B3BB69-23CF-44E3-9099-C40C66FF867C}">
                  <a14:compatExt spid="_x0000_s137221"/>
                </a:ext>
                <a:ext uri="{FF2B5EF4-FFF2-40B4-BE49-F238E27FC236}">
                  <a16:creationId xmlns:a16="http://schemas.microsoft.com/office/drawing/2014/main" id="{00000000-0008-0000-2200-0000051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7223" name="Drop Down 7" hidden="1">
              <a:extLst>
                <a:ext uri="{63B3BB69-23CF-44E3-9099-C40C66FF867C}">
                  <a14:compatExt spid="_x0000_s137223"/>
                </a:ext>
                <a:ext uri="{FF2B5EF4-FFF2-40B4-BE49-F238E27FC236}">
                  <a16:creationId xmlns:a16="http://schemas.microsoft.com/office/drawing/2014/main" id="{00000000-0008-0000-2200-0000071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8243" name="Drop Down 3" hidden="1">
              <a:extLst>
                <a:ext uri="{63B3BB69-23CF-44E3-9099-C40C66FF867C}">
                  <a14:compatExt spid="_x0000_s138243"/>
                </a:ext>
                <a:ext uri="{FF2B5EF4-FFF2-40B4-BE49-F238E27FC236}">
                  <a16:creationId xmlns:a16="http://schemas.microsoft.com/office/drawing/2014/main" id="{00000000-0008-0000-2300-0000031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8244" name="Drop Down 4" hidden="1">
              <a:extLst>
                <a:ext uri="{63B3BB69-23CF-44E3-9099-C40C66FF867C}">
                  <a14:compatExt spid="_x0000_s138244"/>
                </a:ext>
                <a:ext uri="{FF2B5EF4-FFF2-40B4-BE49-F238E27FC236}">
                  <a16:creationId xmlns:a16="http://schemas.microsoft.com/office/drawing/2014/main" id="{00000000-0008-0000-2300-0000041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8245" name="Drop Down 5" hidden="1">
              <a:extLst>
                <a:ext uri="{63B3BB69-23CF-44E3-9099-C40C66FF867C}">
                  <a14:compatExt spid="_x0000_s138245"/>
                </a:ext>
                <a:ext uri="{FF2B5EF4-FFF2-40B4-BE49-F238E27FC236}">
                  <a16:creationId xmlns:a16="http://schemas.microsoft.com/office/drawing/2014/main" id="{00000000-0008-0000-2300-0000051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8247" name="Drop Down 7" hidden="1">
              <a:extLst>
                <a:ext uri="{63B3BB69-23CF-44E3-9099-C40C66FF867C}">
                  <a14:compatExt spid="_x0000_s138247"/>
                </a:ext>
                <a:ext uri="{FF2B5EF4-FFF2-40B4-BE49-F238E27FC236}">
                  <a16:creationId xmlns:a16="http://schemas.microsoft.com/office/drawing/2014/main" id="{00000000-0008-0000-2300-0000071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9267" name="Drop Down 3" hidden="1">
              <a:extLst>
                <a:ext uri="{63B3BB69-23CF-44E3-9099-C40C66FF867C}">
                  <a14:compatExt spid="_x0000_s139267"/>
                </a:ext>
                <a:ext uri="{FF2B5EF4-FFF2-40B4-BE49-F238E27FC236}">
                  <a16:creationId xmlns:a16="http://schemas.microsoft.com/office/drawing/2014/main" id="{00000000-0008-0000-2400-0000032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9268" name="Drop Down 4" hidden="1">
              <a:extLst>
                <a:ext uri="{63B3BB69-23CF-44E3-9099-C40C66FF867C}">
                  <a14:compatExt spid="_x0000_s139268"/>
                </a:ext>
                <a:ext uri="{FF2B5EF4-FFF2-40B4-BE49-F238E27FC236}">
                  <a16:creationId xmlns:a16="http://schemas.microsoft.com/office/drawing/2014/main" id="{00000000-0008-0000-2400-0000042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9269" name="Drop Down 5" hidden="1">
              <a:extLst>
                <a:ext uri="{63B3BB69-23CF-44E3-9099-C40C66FF867C}">
                  <a14:compatExt spid="_x0000_s139269"/>
                </a:ext>
                <a:ext uri="{FF2B5EF4-FFF2-40B4-BE49-F238E27FC236}">
                  <a16:creationId xmlns:a16="http://schemas.microsoft.com/office/drawing/2014/main" id="{00000000-0008-0000-2400-0000052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9271" name="Drop Down 7" hidden="1">
              <a:extLst>
                <a:ext uri="{63B3BB69-23CF-44E3-9099-C40C66FF867C}">
                  <a14:compatExt spid="_x0000_s139271"/>
                </a:ext>
                <a:ext uri="{FF2B5EF4-FFF2-40B4-BE49-F238E27FC236}">
                  <a16:creationId xmlns:a16="http://schemas.microsoft.com/office/drawing/2014/main" id="{00000000-0008-0000-2400-0000072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0293" name="Drop Down 5" hidden="1">
              <a:extLst>
                <a:ext uri="{63B3BB69-23CF-44E3-9099-C40C66FF867C}">
                  <a14:compatExt spid="_x0000_s140293"/>
                </a:ext>
                <a:ext uri="{FF2B5EF4-FFF2-40B4-BE49-F238E27FC236}">
                  <a16:creationId xmlns:a16="http://schemas.microsoft.com/office/drawing/2014/main" id="{00000000-0008-0000-2500-0000052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0294" name="Drop Down 6" hidden="1">
              <a:extLst>
                <a:ext uri="{63B3BB69-23CF-44E3-9099-C40C66FF867C}">
                  <a14:compatExt spid="_x0000_s140294"/>
                </a:ext>
                <a:ext uri="{FF2B5EF4-FFF2-40B4-BE49-F238E27FC236}">
                  <a16:creationId xmlns:a16="http://schemas.microsoft.com/office/drawing/2014/main" id="{00000000-0008-0000-2500-0000062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0295" name="Drop Down 7" hidden="1">
              <a:extLst>
                <a:ext uri="{63B3BB69-23CF-44E3-9099-C40C66FF867C}">
                  <a14:compatExt spid="_x0000_s140295"/>
                </a:ext>
                <a:ext uri="{FF2B5EF4-FFF2-40B4-BE49-F238E27FC236}">
                  <a16:creationId xmlns:a16="http://schemas.microsoft.com/office/drawing/2014/main" id="{00000000-0008-0000-2500-0000072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0297" name="Drop Down 9" hidden="1">
              <a:extLst>
                <a:ext uri="{63B3BB69-23CF-44E3-9099-C40C66FF867C}">
                  <a14:compatExt spid="_x0000_s140297"/>
                </a:ext>
                <a:ext uri="{FF2B5EF4-FFF2-40B4-BE49-F238E27FC236}">
                  <a16:creationId xmlns:a16="http://schemas.microsoft.com/office/drawing/2014/main" id="{00000000-0008-0000-2500-0000092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1315" name="Drop Down 3" hidden="1">
              <a:extLst>
                <a:ext uri="{63B3BB69-23CF-44E3-9099-C40C66FF867C}">
                  <a14:compatExt spid="_x0000_s141315"/>
                </a:ext>
                <a:ext uri="{FF2B5EF4-FFF2-40B4-BE49-F238E27FC236}">
                  <a16:creationId xmlns:a16="http://schemas.microsoft.com/office/drawing/2014/main" id="{00000000-0008-0000-2600-0000032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1316" name="Drop Down 4" hidden="1">
              <a:extLst>
                <a:ext uri="{63B3BB69-23CF-44E3-9099-C40C66FF867C}">
                  <a14:compatExt spid="_x0000_s141316"/>
                </a:ext>
                <a:ext uri="{FF2B5EF4-FFF2-40B4-BE49-F238E27FC236}">
                  <a16:creationId xmlns:a16="http://schemas.microsoft.com/office/drawing/2014/main" id="{00000000-0008-0000-2600-0000042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1317" name="Drop Down 5" hidden="1">
              <a:extLst>
                <a:ext uri="{63B3BB69-23CF-44E3-9099-C40C66FF867C}">
                  <a14:compatExt spid="_x0000_s141317"/>
                </a:ext>
                <a:ext uri="{FF2B5EF4-FFF2-40B4-BE49-F238E27FC236}">
                  <a16:creationId xmlns:a16="http://schemas.microsoft.com/office/drawing/2014/main" id="{00000000-0008-0000-2600-0000052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1319" name="Drop Down 7" hidden="1">
              <a:extLst>
                <a:ext uri="{63B3BB69-23CF-44E3-9099-C40C66FF867C}">
                  <a14:compatExt spid="_x0000_s141319"/>
                </a:ext>
                <a:ext uri="{FF2B5EF4-FFF2-40B4-BE49-F238E27FC236}">
                  <a16:creationId xmlns:a16="http://schemas.microsoft.com/office/drawing/2014/main" id="{00000000-0008-0000-2600-0000072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2337" name="Drop Down 1" hidden="1">
              <a:extLst>
                <a:ext uri="{63B3BB69-23CF-44E3-9099-C40C66FF867C}">
                  <a14:compatExt spid="_x0000_s142337"/>
                </a:ext>
                <a:ext uri="{FF2B5EF4-FFF2-40B4-BE49-F238E27FC236}">
                  <a16:creationId xmlns:a16="http://schemas.microsoft.com/office/drawing/2014/main" id="{00000000-0008-0000-2700-0000012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2338" name="Drop Down 2" hidden="1">
              <a:extLst>
                <a:ext uri="{63B3BB69-23CF-44E3-9099-C40C66FF867C}">
                  <a14:compatExt spid="_x0000_s142338"/>
                </a:ext>
                <a:ext uri="{FF2B5EF4-FFF2-40B4-BE49-F238E27FC236}">
                  <a16:creationId xmlns:a16="http://schemas.microsoft.com/office/drawing/2014/main" id="{00000000-0008-0000-2700-0000022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2339" name="Drop Down 3" hidden="1">
              <a:extLst>
                <a:ext uri="{63B3BB69-23CF-44E3-9099-C40C66FF867C}">
                  <a14:compatExt spid="_x0000_s142339"/>
                </a:ext>
                <a:ext uri="{FF2B5EF4-FFF2-40B4-BE49-F238E27FC236}">
                  <a16:creationId xmlns:a16="http://schemas.microsoft.com/office/drawing/2014/main" id="{00000000-0008-0000-2700-0000032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2341" name="Drop Down 5" hidden="1">
              <a:extLst>
                <a:ext uri="{63B3BB69-23CF-44E3-9099-C40C66FF867C}">
                  <a14:compatExt spid="_x0000_s142341"/>
                </a:ext>
                <a:ext uri="{FF2B5EF4-FFF2-40B4-BE49-F238E27FC236}">
                  <a16:creationId xmlns:a16="http://schemas.microsoft.com/office/drawing/2014/main" id="{00000000-0008-0000-2700-0000052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3361" name="Drop Down 1" hidden="1">
              <a:extLst>
                <a:ext uri="{63B3BB69-23CF-44E3-9099-C40C66FF867C}">
                  <a14:compatExt spid="_x0000_s143361"/>
                </a:ext>
                <a:ext uri="{FF2B5EF4-FFF2-40B4-BE49-F238E27FC236}">
                  <a16:creationId xmlns:a16="http://schemas.microsoft.com/office/drawing/2014/main" id="{00000000-0008-0000-2800-0000013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3362" name="Drop Down 2" hidden="1">
              <a:extLst>
                <a:ext uri="{63B3BB69-23CF-44E3-9099-C40C66FF867C}">
                  <a14:compatExt spid="_x0000_s143362"/>
                </a:ext>
                <a:ext uri="{FF2B5EF4-FFF2-40B4-BE49-F238E27FC236}">
                  <a16:creationId xmlns:a16="http://schemas.microsoft.com/office/drawing/2014/main" id="{00000000-0008-0000-2800-0000023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3363" name="Drop Down 3" hidden="1">
              <a:extLst>
                <a:ext uri="{63B3BB69-23CF-44E3-9099-C40C66FF867C}">
                  <a14:compatExt spid="_x0000_s143363"/>
                </a:ext>
                <a:ext uri="{FF2B5EF4-FFF2-40B4-BE49-F238E27FC236}">
                  <a16:creationId xmlns:a16="http://schemas.microsoft.com/office/drawing/2014/main" id="{00000000-0008-0000-2800-0000033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3365" name="Drop Down 5" hidden="1">
              <a:extLst>
                <a:ext uri="{63B3BB69-23CF-44E3-9099-C40C66FF867C}">
                  <a14:compatExt spid="_x0000_s143365"/>
                </a:ext>
                <a:ext uri="{FF2B5EF4-FFF2-40B4-BE49-F238E27FC236}">
                  <a16:creationId xmlns:a16="http://schemas.microsoft.com/office/drawing/2014/main" id="{00000000-0008-0000-2800-0000053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4385" name="Drop Down 1" hidden="1">
              <a:extLst>
                <a:ext uri="{63B3BB69-23CF-44E3-9099-C40C66FF867C}">
                  <a14:compatExt spid="_x0000_s144385"/>
                </a:ext>
                <a:ext uri="{FF2B5EF4-FFF2-40B4-BE49-F238E27FC236}">
                  <a16:creationId xmlns:a16="http://schemas.microsoft.com/office/drawing/2014/main" id="{00000000-0008-0000-2900-0000013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4386" name="Drop Down 2" hidden="1">
              <a:extLst>
                <a:ext uri="{63B3BB69-23CF-44E3-9099-C40C66FF867C}">
                  <a14:compatExt spid="_x0000_s144386"/>
                </a:ext>
                <a:ext uri="{FF2B5EF4-FFF2-40B4-BE49-F238E27FC236}">
                  <a16:creationId xmlns:a16="http://schemas.microsoft.com/office/drawing/2014/main" id="{00000000-0008-0000-2900-0000023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4387" name="Drop Down 3" hidden="1">
              <a:extLst>
                <a:ext uri="{63B3BB69-23CF-44E3-9099-C40C66FF867C}">
                  <a14:compatExt spid="_x0000_s144387"/>
                </a:ext>
                <a:ext uri="{FF2B5EF4-FFF2-40B4-BE49-F238E27FC236}">
                  <a16:creationId xmlns:a16="http://schemas.microsoft.com/office/drawing/2014/main" id="{00000000-0008-0000-2900-0000033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4389" name="Drop Down 5" hidden="1">
              <a:extLst>
                <a:ext uri="{63B3BB69-23CF-44E3-9099-C40C66FF867C}">
                  <a14:compatExt spid="_x0000_s144389"/>
                </a:ext>
                <a:ext uri="{FF2B5EF4-FFF2-40B4-BE49-F238E27FC236}">
                  <a16:creationId xmlns:a16="http://schemas.microsoft.com/office/drawing/2014/main" id="{00000000-0008-0000-2900-0000053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5409" name="Drop Down 1" hidden="1">
              <a:extLst>
                <a:ext uri="{63B3BB69-23CF-44E3-9099-C40C66FF867C}">
                  <a14:compatExt spid="_x0000_s145409"/>
                </a:ext>
                <a:ext uri="{FF2B5EF4-FFF2-40B4-BE49-F238E27FC236}">
                  <a16:creationId xmlns:a16="http://schemas.microsoft.com/office/drawing/2014/main" id="{00000000-0008-0000-2A00-0000013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5410" name="Drop Down 2" hidden="1">
              <a:extLst>
                <a:ext uri="{63B3BB69-23CF-44E3-9099-C40C66FF867C}">
                  <a14:compatExt spid="_x0000_s145410"/>
                </a:ext>
                <a:ext uri="{FF2B5EF4-FFF2-40B4-BE49-F238E27FC236}">
                  <a16:creationId xmlns:a16="http://schemas.microsoft.com/office/drawing/2014/main" id="{00000000-0008-0000-2A00-0000023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5411" name="Drop Down 3" hidden="1">
              <a:extLst>
                <a:ext uri="{63B3BB69-23CF-44E3-9099-C40C66FF867C}">
                  <a14:compatExt spid="_x0000_s145411"/>
                </a:ext>
                <a:ext uri="{FF2B5EF4-FFF2-40B4-BE49-F238E27FC236}">
                  <a16:creationId xmlns:a16="http://schemas.microsoft.com/office/drawing/2014/main" id="{00000000-0008-0000-2A00-0000033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5413" name="Drop Down 5" hidden="1">
              <a:extLst>
                <a:ext uri="{63B3BB69-23CF-44E3-9099-C40C66FF867C}">
                  <a14:compatExt spid="_x0000_s145413"/>
                </a:ext>
                <a:ext uri="{FF2B5EF4-FFF2-40B4-BE49-F238E27FC236}">
                  <a16:creationId xmlns:a16="http://schemas.microsoft.com/office/drawing/2014/main" id="{00000000-0008-0000-2A00-0000053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6433" name="Drop Down 1" hidden="1">
              <a:extLst>
                <a:ext uri="{63B3BB69-23CF-44E3-9099-C40C66FF867C}">
                  <a14:compatExt spid="_x0000_s146433"/>
                </a:ext>
                <a:ext uri="{FF2B5EF4-FFF2-40B4-BE49-F238E27FC236}">
                  <a16:creationId xmlns:a16="http://schemas.microsoft.com/office/drawing/2014/main" id="{00000000-0008-0000-2B00-0000013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6434" name="Drop Down 2" hidden="1">
              <a:extLst>
                <a:ext uri="{63B3BB69-23CF-44E3-9099-C40C66FF867C}">
                  <a14:compatExt spid="_x0000_s146434"/>
                </a:ext>
                <a:ext uri="{FF2B5EF4-FFF2-40B4-BE49-F238E27FC236}">
                  <a16:creationId xmlns:a16="http://schemas.microsoft.com/office/drawing/2014/main" id="{00000000-0008-0000-2B00-0000023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6435" name="Drop Down 3" hidden="1">
              <a:extLst>
                <a:ext uri="{63B3BB69-23CF-44E3-9099-C40C66FF867C}">
                  <a14:compatExt spid="_x0000_s146435"/>
                </a:ext>
                <a:ext uri="{FF2B5EF4-FFF2-40B4-BE49-F238E27FC236}">
                  <a16:creationId xmlns:a16="http://schemas.microsoft.com/office/drawing/2014/main" id="{00000000-0008-0000-2B00-0000033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6437" name="Drop Down 5" hidden="1">
              <a:extLst>
                <a:ext uri="{63B3BB69-23CF-44E3-9099-C40C66FF867C}">
                  <a14:compatExt spid="_x0000_s146437"/>
                </a:ext>
                <a:ext uri="{FF2B5EF4-FFF2-40B4-BE49-F238E27FC236}">
                  <a16:creationId xmlns:a16="http://schemas.microsoft.com/office/drawing/2014/main" id="{00000000-0008-0000-2B00-0000053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7457" name="Drop Down 1" hidden="1">
              <a:extLst>
                <a:ext uri="{63B3BB69-23CF-44E3-9099-C40C66FF867C}">
                  <a14:compatExt spid="_x0000_s147457"/>
                </a:ext>
                <a:ext uri="{FF2B5EF4-FFF2-40B4-BE49-F238E27FC236}">
                  <a16:creationId xmlns:a16="http://schemas.microsoft.com/office/drawing/2014/main" id="{00000000-0008-0000-2C00-0000014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7458" name="Drop Down 2" hidden="1">
              <a:extLst>
                <a:ext uri="{63B3BB69-23CF-44E3-9099-C40C66FF867C}">
                  <a14:compatExt spid="_x0000_s147458"/>
                </a:ext>
                <a:ext uri="{FF2B5EF4-FFF2-40B4-BE49-F238E27FC236}">
                  <a16:creationId xmlns:a16="http://schemas.microsoft.com/office/drawing/2014/main" id="{00000000-0008-0000-2C00-0000024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7459" name="Drop Down 3" hidden="1">
              <a:extLst>
                <a:ext uri="{63B3BB69-23CF-44E3-9099-C40C66FF867C}">
                  <a14:compatExt spid="_x0000_s147459"/>
                </a:ext>
                <a:ext uri="{FF2B5EF4-FFF2-40B4-BE49-F238E27FC236}">
                  <a16:creationId xmlns:a16="http://schemas.microsoft.com/office/drawing/2014/main" id="{00000000-0008-0000-2C00-0000034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7461" name="Drop Down 5" hidden="1">
              <a:extLst>
                <a:ext uri="{63B3BB69-23CF-44E3-9099-C40C66FF867C}">
                  <a14:compatExt spid="_x0000_s147461"/>
                </a:ext>
                <a:ext uri="{FF2B5EF4-FFF2-40B4-BE49-F238E27FC236}">
                  <a16:creationId xmlns:a16="http://schemas.microsoft.com/office/drawing/2014/main" id="{00000000-0008-0000-2C00-0000054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8481" name="Drop Down 1" hidden="1">
              <a:extLst>
                <a:ext uri="{63B3BB69-23CF-44E3-9099-C40C66FF867C}">
                  <a14:compatExt spid="_x0000_s148481"/>
                </a:ext>
                <a:ext uri="{FF2B5EF4-FFF2-40B4-BE49-F238E27FC236}">
                  <a16:creationId xmlns:a16="http://schemas.microsoft.com/office/drawing/2014/main" id="{00000000-0008-0000-2D00-0000014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8482" name="Drop Down 2" hidden="1">
              <a:extLst>
                <a:ext uri="{63B3BB69-23CF-44E3-9099-C40C66FF867C}">
                  <a14:compatExt spid="_x0000_s148482"/>
                </a:ext>
                <a:ext uri="{FF2B5EF4-FFF2-40B4-BE49-F238E27FC236}">
                  <a16:creationId xmlns:a16="http://schemas.microsoft.com/office/drawing/2014/main" id="{00000000-0008-0000-2D00-0000024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8483" name="Drop Down 3" hidden="1">
              <a:extLst>
                <a:ext uri="{63B3BB69-23CF-44E3-9099-C40C66FF867C}">
                  <a14:compatExt spid="_x0000_s148483"/>
                </a:ext>
                <a:ext uri="{FF2B5EF4-FFF2-40B4-BE49-F238E27FC236}">
                  <a16:creationId xmlns:a16="http://schemas.microsoft.com/office/drawing/2014/main" id="{00000000-0008-0000-2D00-0000034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8485" name="Drop Down 5" hidden="1">
              <a:extLst>
                <a:ext uri="{63B3BB69-23CF-44E3-9099-C40C66FF867C}">
                  <a14:compatExt spid="_x0000_s148485"/>
                </a:ext>
                <a:ext uri="{FF2B5EF4-FFF2-40B4-BE49-F238E27FC236}">
                  <a16:creationId xmlns:a16="http://schemas.microsoft.com/office/drawing/2014/main" id="{00000000-0008-0000-2D00-0000054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9505" name="Drop Down 1" hidden="1">
              <a:extLst>
                <a:ext uri="{63B3BB69-23CF-44E3-9099-C40C66FF867C}">
                  <a14:compatExt spid="_x0000_s149505"/>
                </a:ext>
                <a:ext uri="{FF2B5EF4-FFF2-40B4-BE49-F238E27FC236}">
                  <a16:creationId xmlns:a16="http://schemas.microsoft.com/office/drawing/2014/main" id="{00000000-0008-0000-2E00-0000014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9506" name="Drop Down 2" hidden="1">
              <a:extLst>
                <a:ext uri="{63B3BB69-23CF-44E3-9099-C40C66FF867C}">
                  <a14:compatExt spid="_x0000_s149506"/>
                </a:ext>
                <a:ext uri="{FF2B5EF4-FFF2-40B4-BE49-F238E27FC236}">
                  <a16:creationId xmlns:a16="http://schemas.microsoft.com/office/drawing/2014/main" id="{00000000-0008-0000-2E00-0000024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9507" name="Drop Down 3" hidden="1">
              <a:extLst>
                <a:ext uri="{63B3BB69-23CF-44E3-9099-C40C66FF867C}">
                  <a14:compatExt spid="_x0000_s149507"/>
                </a:ext>
                <a:ext uri="{FF2B5EF4-FFF2-40B4-BE49-F238E27FC236}">
                  <a16:creationId xmlns:a16="http://schemas.microsoft.com/office/drawing/2014/main" id="{00000000-0008-0000-2E00-0000034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9509" name="Drop Down 5" hidden="1">
              <a:extLst>
                <a:ext uri="{63B3BB69-23CF-44E3-9099-C40C66FF867C}">
                  <a14:compatExt spid="_x0000_s149509"/>
                </a:ext>
                <a:ext uri="{FF2B5EF4-FFF2-40B4-BE49-F238E27FC236}">
                  <a16:creationId xmlns:a16="http://schemas.microsoft.com/office/drawing/2014/main" id="{00000000-0008-0000-2E00-0000054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0529" name="Drop Down 1" hidden="1">
              <a:extLst>
                <a:ext uri="{63B3BB69-23CF-44E3-9099-C40C66FF867C}">
                  <a14:compatExt spid="_x0000_s150529"/>
                </a:ext>
                <a:ext uri="{FF2B5EF4-FFF2-40B4-BE49-F238E27FC236}">
                  <a16:creationId xmlns:a16="http://schemas.microsoft.com/office/drawing/2014/main" id="{00000000-0008-0000-2F00-0000014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0530" name="Drop Down 2" hidden="1">
              <a:extLst>
                <a:ext uri="{63B3BB69-23CF-44E3-9099-C40C66FF867C}">
                  <a14:compatExt spid="_x0000_s150530"/>
                </a:ext>
                <a:ext uri="{FF2B5EF4-FFF2-40B4-BE49-F238E27FC236}">
                  <a16:creationId xmlns:a16="http://schemas.microsoft.com/office/drawing/2014/main" id="{00000000-0008-0000-2F00-0000024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0531" name="Drop Down 3" hidden="1">
              <a:extLst>
                <a:ext uri="{63B3BB69-23CF-44E3-9099-C40C66FF867C}">
                  <a14:compatExt spid="_x0000_s150531"/>
                </a:ext>
                <a:ext uri="{FF2B5EF4-FFF2-40B4-BE49-F238E27FC236}">
                  <a16:creationId xmlns:a16="http://schemas.microsoft.com/office/drawing/2014/main" id="{00000000-0008-0000-2F00-0000034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0533" name="Drop Down 5" hidden="1">
              <a:extLst>
                <a:ext uri="{63B3BB69-23CF-44E3-9099-C40C66FF867C}">
                  <a14:compatExt spid="_x0000_s150533"/>
                </a:ext>
                <a:ext uri="{FF2B5EF4-FFF2-40B4-BE49-F238E27FC236}">
                  <a16:creationId xmlns:a16="http://schemas.microsoft.com/office/drawing/2014/main" id="{00000000-0008-0000-2F00-0000054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1553" name="Drop Down 1" hidden="1">
              <a:extLst>
                <a:ext uri="{63B3BB69-23CF-44E3-9099-C40C66FF867C}">
                  <a14:compatExt spid="_x0000_s151553"/>
                </a:ext>
                <a:ext uri="{FF2B5EF4-FFF2-40B4-BE49-F238E27FC236}">
                  <a16:creationId xmlns:a16="http://schemas.microsoft.com/office/drawing/2014/main" id="{00000000-0008-0000-3000-0000015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1554" name="Drop Down 2" hidden="1">
              <a:extLst>
                <a:ext uri="{63B3BB69-23CF-44E3-9099-C40C66FF867C}">
                  <a14:compatExt spid="_x0000_s151554"/>
                </a:ext>
                <a:ext uri="{FF2B5EF4-FFF2-40B4-BE49-F238E27FC236}">
                  <a16:creationId xmlns:a16="http://schemas.microsoft.com/office/drawing/2014/main" id="{00000000-0008-0000-3000-0000025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1555" name="Drop Down 3" hidden="1">
              <a:extLst>
                <a:ext uri="{63B3BB69-23CF-44E3-9099-C40C66FF867C}">
                  <a14:compatExt spid="_x0000_s151555"/>
                </a:ext>
                <a:ext uri="{FF2B5EF4-FFF2-40B4-BE49-F238E27FC236}">
                  <a16:creationId xmlns:a16="http://schemas.microsoft.com/office/drawing/2014/main" id="{00000000-0008-0000-3000-0000035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1557" name="Drop Down 5" hidden="1">
              <a:extLst>
                <a:ext uri="{63B3BB69-23CF-44E3-9099-C40C66FF867C}">
                  <a14:compatExt spid="_x0000_s151557"/>
                </a:ext>
                <a:ext uri="{FF2B5EF4-FFF2-40B4-BE49-F238E27FC236}">
                  <a16:creationId xmlns:a16="http://schemas.microsoft.com/office/drawing/2014/main" id="{00000000-0008-0000-3000-0000055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2577" name="Drop Down 1" hidden="1">
              <a:extLst>
                <a:ext uri="{63B3BB69-23CF-44E3-9099-C40C66FF867C}">
                  <a14:compatExt spid="_x0000_s152577"/>
                </a:ext>
                <a:ext uri="{FF2B5EF4-FFF2-40B4-BE49-F238E27FC236}">
                  <a16:creationId xmlns:a16="http://schemas.microsoft.com/office/drawing/2014/main" id="{00000000-0008-0000-3100-000001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2578" name="Drop Down 2" hidden="1">
              <a:extLst>
                <a:ext uri="{63B3BB69-23CF-44E3-9099-C40C66FF867C}">
                  <a14:compatExt spid="_x0000_s152578"/>
                </a:ext>
                <a:ext uri="{FF2B5EF4-FFF2-40B4-BE49-F238E27FC236}">
                  <a16:creationId xmlns:a16="http://schemas.microsoft.com/office/drawing/2014/main" id="{00000000-0008-0000-3100-000002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2579" name="Drop Down 3" hidden="1">
              <a:extLst>
                <a:ext uri="{63B3BB69-23CF-44E3-9099-C40C66FF867C}">
                  <a14:compatExt spid="_x0000_s152579"/>
                </a:ext>
                <a:ext uri="{FF2B5EF4-FFF2-40B4-BE49-F238E27FC236}">
                  <a16:creationId xmlns:a16="http://schemas.microsoft.com/office/drawing/2014/main" id="{00000000-0008-0000-3100-000003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2581" name="Drop Down 5" hidden="1">
              <a:extLst>
                <a:ext uri="{63B3BB69-23CF-44E3-9099-C40C66FF867C}">
                  <a14:compatExt spid="_x0000_s152581"/>
                </a:ext>
                <a:ext uri="{FF2B5EF4-FFF2-40B4-BE49-F238E27FC236}">
                  <a16:creationId xmlns:a16="http://schemas.microsoft.com/office/drawing/2014/main" id="{00000000-0008-0000-3100-000005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3601" name="Drop Down 1" hidden="1">
              <a:extLst>
                <a:ext uri="{63B3BB69-23CF-44E3-9099-C40C66FF867C}">
                  <a14:compatExt spid="_x0000_s153601"/>
                </a:ext>
                <a:ext uri="{FF2B5EF4-FFF2-40B4-BE49-F238E27FC236}">
                  <a16:creationId xmlns:a16="http://schemas.microsoft.com/office/drawing/2014/main" id="{00000000-0008-0000-3200-000001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3602" name="Drop Down 2" hidden="1">
              <a:extLst>
                <a:ext uri="{63B3BB69-23CF-44E3-9099-C40C66FF867C}">
                  <a14:compatExt spid="_x0000_s153602"/>
                </a:ext>
                <a:ext uri="{FF2B5EF4-FFF2-40B4-BE49-F238E27FC236}">
                  <a16:creationId xmlns:a16="http://schemas.microsoft.com/office/drawing/2014/main" id="{00000000-0008-0000-3200-000002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3603" name="Drop Down 3" hidden="1">
              <a:extLst>
                <a:ext uri="{63B3BB69-23CF-44E3-9099-C40C66FF867C}">
                  <a14:compatExt spid="_x0000_s153603"/>
                </a:ext>
                <a:ext uri="{FF2B5EF4-FFF2-40B4-BE49-F238E27FC236}">
                  <a16:creationId xmlns:a16="http://schemas.microsoft.com/office/drawing/2014/main" id="{00000000-0008-0000-3200-000003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3605" name="Drop Down 5" hidden="1">
              <a:extLst>
                <a:ext uri="{63B3BB69-23CF-44E3-9099-C40C66FF867C}">
                  <a14:compatExt spid="_x0000_s153605"/>
                </a:ext>
                <a:ext uri="{FF2B5EF4-FFF2-40B4-BE49-F238E27FC236}">
                  <a16:creationId xmlns:a16="http://schemas.microsoft.com/office/drawing/2014/main" id="{00000000-0008-0000-3200-000005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4625" name="Drop Down 1" hidden="1">
              <a:extLst>
                <a:ext uri="{63B3BB69-23CF-44E3-9099-C40C66FF867C}">
                  <a14:compatExt spid="_x0000_s154625"/>
                </a:ext>
                <a:ext uri="{FF2B5EF4-FFF2-40B4-BE49-F238E27FC236}">
                  <a16:creationId xmlns:a16="http://schemas.microsoft.com/office/drawing/2014/main" id="{00000000-0008-0000-3300-000001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4626" name="Drop Down 2" hidden="1">
              <a:extLst>
                <a:ext uri="{63B3BB69-23CF-44E3-9099-C40C66FF867C}">
                  <a14:compatExt spid="_x0000_s154626"/>
                </a:ext>
                <a:ext uri="{FF2B5EF4-FFF2-40B4-BE49-F238E27FC236}">
                  <a16:creationId xmlns:a16="http://schemas.microsoft.com/office/drawing/2014/main" id="{00000000-0008-0000-3300-000002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4627" name="Drop Down 3" hidden="1">
              <a:extLst>
                <a:ext uri="{63B3BB69-23CF-44E3-9099-C40C66FF867C}">
                  <a14:compatExt spid="_x0000_s154627"/>
                </a:ext>
                <a:ext uri="{FF2B5EF4-FFF2-40B4-BE49-F238E27FC236}">
                  <a16:creationId xmlns:a16="http://schemas.microsoft.com/office/drawing/2014/main" id="{00000000-0008-0000-3300-000003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4629" name="Drop Down 5" hidden="1">
              <a:extLst>
                <a:ext uri="{63B3BB69-23CF-44E3-9099-C40C66FF867C}">
                  <a14:compatExt spid="_x0000_s154629"/>
                </a:ext>
                <a:ext uri="{FF2B5EF4-FFF2-40B4-BE49-F238E27FC236}">
                  <a16:creationId xmlns:a16="http://schemas.microsoft.com/office/drawing/2014/main" id="{00000000-0008-0000-3300-000005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5649" name="Drop Down 1" hidden="1">
              <a:extLst>
                <a:ext uri="{63B3BB69-23CF-44E3-9099-C40C66FF867C}">
                  <a14:compatExt spid="_x0000_s155649"/>
                </a:ext>
                <a:ext uri="{FF2B5EF4-FFF2-40B4-BE49-F238E27FC236}">
                  <a16:creationId xmlns:a16="http://schemas.microsoft.com/office/drawing/2014/main" id="{00000000-0008-0000-3400-0000016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5650" name="Drop Down 2" hidden="1">
              <a:extLst>
                <a:ext uri="{63B3BB69-23CF-44E3-9099-C40C66FF867C}">
                  <a14:compatExt spid="_x0000_s155650"/>
                </a:ext>
                <a:ext uri="{FF2B5EF4-FFF2-40B4-BE49-F238E27FC236}">
                  <a16:creationId xmlns:a16="http://schemas.microsoft.com/office/drawing/2014/main" id="{00000000-0008-0000-3400-0000026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5651" name="Drop Down 3" hidden="1">
              <a:extLst>
                <a:ext uri="{63B3BB69-23CF-44E3-9099-C40C66FF867C}">
                  <a14:compatExt spid="_x0000_s155651"/>
                </a:ext>
                <a:ext uri="{FF2B5EF4-FFF2-40B4-BE49-F238E27FC236}">
                  <a16:creationId xmlns:a16="http://schemas.microsoft.com/office/drawing/2014/main" id="{00000000-0008-0000-3400-0000036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5653" name="Drop Down 5" hidden="1">
              <a:extLst>
                <a:ext uri="{63B3BB69-23CF-44E3-9099-C40C66FF867C}">
                  <a14:compatExt spid="_x0000_s155653"/>
                </a:ext>
                <a:ext uri="{FF2B5EF4-FFF2-40B4-BE49-F238E27FC236}">
                  <a16:creationId xmlns:a16="http://schemas.microsoft.com/office/drawing/2014/main" id="{00000000-0008-0000-3400-0000056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6673" name="Drop Down 1" hidden="1">
              <a:extLst>
                <a:ext uri="{63B3BB69-23CF-44E3-9099-C40C66FF867C}">
                  <a14:compatExt spid="_x0000_s156673"/>
                </a:ext>
                <a:ext uri="{FF2B5EF4-FFF2-40B4-BE49-F238E27FC236}">
                  <a16:creationId xmlns:a16="http://schemas.microsoft.com/office/drawing/2014/main" id="{00000000-0008-0000-3500-000001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6674" name="Drop Down 2" hidden="1">
              <a:extLst>
                <a:ext uri="{63B3BB69-23CF-44E3-9099-C40C66FF867C}">
                  <a14:compatExt spid="_x0000_s156674"/>
                </a:ext>
                <a:ext uri="{FF2B5EF4-FFF2-40B4-BE49-F238E27FC236}">
                  <a16:creationId xmlns:a16="http://schemas.microsoft.com/office/drawing/2014/main" id="{00000000-0008-0000-3500-000002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6675" name="Drop Down 3" hidden="1">
              <a:extLst>
                <a:ext uri="{63B3BB69-23CF-44E3-9099-C40C66FF867C}">
                  <a14:compatExt spid="_x0000_s156675"/>
                </a:ext>
                <a:ext uri="{FF2B5EF4-FFF2-40B4-BE49-F238E27FC236}">
                  <a16:creationId xmlns:a16="http://schemas.microsoft.com/office/drawing/2014/main" id="{00000000-0008-0000-3500-000003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6677" name="Drop Down 5" hidden="1">
              <a:extLst>
                <a:ext uri="{63B3BB69-23CF-44E3-9099-C40C66FF867C}">
                  <a14:compatExt spid="_x0000_s156677"/>
                </a:ext>
                <a:ext uri="{FF2B5EF4-FFF2-40B4-BE49-F238E27FC236}">
                  <a16:creationId xmlns:a16="http://schemas.microsoft.com/office/drawing/2014/main" id="{00000000-0008-0000-3500-000005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7697" name="Drop Down 1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36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7698" name="Drop Down 2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36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7699" name="Drop Down 3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36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7701" name="Drop Down 5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36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8721" name="Drop Down 1" hidden="1">
              <a:extLst>
                <a:ext uri="{63B3BB69-23CF-44E3-9099-C40C66FF867C}">
                  <a14:compatExt spid="_x0000_s158721"/>
                </a:ext>
                <a:ext uri="{FF2B5EF4-FFF2-40B4-BE49-F238E27FC236}">
                  <a16:creationId xmlns:a16="http://schemas.microsoft.com/office/drawing/2014/main" id="{00000000-0008-0000-3700-0000016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8722" name="Drop Down 2" hidden="1">
              <a:extLst>
                <a:ext uri="{63B3BB69-23CF-44E3-9099-C40C66FF867C}">
                  <a14:compatExt spid="_x0000_s158722"/>
                </a:ext>
                <a:ext uri="{FF2B5EF4-FFF2-40B4-BE49-F238E27FC236}">
                  <a16:creationId xmlns:a16="http://schemas.microsoft.com/office/drawing/2014/main" id="{00000000-0008-0000-3700-0000026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8723" name="Drop Down 3" hidden="1">
              <a:extLst>
                <a:ext uri="{63B3BB69-23CF-44E3-9099-C40C66FF867C}">
                  <a14:compatExt spid="_x0000_s158723"/>
                </a:ext>
                <a:ext uri="{FF2B5EF4-FFF2-40B4-BE49-F238E27FC236}">
                  <a16:creationId xmlns:a16="http://schemas.microsoft.com/office/drawing/2014/main" id="{00000000-0008-0000-3700-0000036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8725" name="Drop Down 5" hidden="1">
              <a:extLst>
                <a:ext uri="{63B3BB69-23CF-44E3-9099-C40C66FF867C}">
                  <a14:compatExt spid="_x0000_s158725"/>
                </a:ext>
                <a:ext uri="{FF2B5EF4-FFF2-40B4-BE49-F238E27FC236}">
                  <a16:creationId xmlns:a16="http://schemas.microsoft.com/office/drawing/2014/main" id="{00000000-0008-0000-3700-0000056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9745" name="Drop Down 1" hidden="1">
              <a:extLst>
                <a:ext uri="{63B3BB69-23CF-44E3-9099-C40C66FF867C}">
                  <a14:compatExt spid="_x0000_s159745"/>
                </a:ext>
                <a:ext uri="{FF2B5EF4-FFF2-40B4-BE49-F238E27FC236}">
                  <a16:creationId xmlns:a16="http://schemas.microsoft.com/office/drawing/2014/main" id="{00000000-0008-0000-3800-0000017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9746" name="Drop Down 2" hidden="1">
              <a:extLst>
                <a:ext uri="{63B3BB69-23CF-44E3-9099-C40C66FF867C}">
                  <a14:compatExt spid="_x0000_s159746"/>
                </a:ext>
                <a:ext uri="{FF2B5EF4-FFF2-40B4-BE49-F238E27FC236}">
                  <a16:creationId xmlns:a16="http://schemas.microsoft.com/office/drawing/2014/main" id="{00000000-0008-0000-3800-0000027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9747" name="Drop Down 3" hidden="1">
              <a:extLst>
                <a:ext uri="{63B3BB69-23CF-44E3-9099-C40C66FF867C}">
                  <a14:compatExt spid="_x0000_s159747"/>
                </a:ext>
                <a:ext uri="{FF2B5EF4-FFF2-40B4-BE49-F238E27FC236}">
                  <a16:creationId xmlns:a16="http://schemas.microsoft.com/office/drawing/2014/main" id="{00000000-0008-0000-3800-0000037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9749" name="Drop Down 5" hidden="1">
              <a:extLst>
                <a:ext uri="{63B3BB69-23CF-44E3-9099-C40C66FF867C}">
                  <a14:compatExt spid="_x0000_s159749"/>
                </a:ext>
                <a:ext uri="{FF2B5EF4-FFF2-40B4-BE49-F238E27FC236}">
                  <a16:creationId xmlns:a16="http://schemas.microsoft.com/office/drawing/2014/main" id="{00000000-0008-0000-3800-0000057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60769" name="Drop Down 1" hidden="1">
              <a:extLst>
                <a:ext uri="{63B3BB69-23CF-44E3-9099-C40C66FF867C}">
                  <a14:compatExt spid="_x0000_s160769"/>
                </a:ext>
                <a:ext uri="{FF2B5EF4-FFF2-40B4-BE49-F238E27FC236}">
                  <a16:creationId xmlns:a16="http://schemas.microsoft.com/office/drawing/2014/main" id="{00000000-0008-0000-3900-0000017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60770" name="Drop Down 2" hidden="1">
              <a:extLst>
                <a:ext uri="{63B3BB69-23CF-44E3-9099-C40C66FF867C}">
                  <a14:compatExt spid="_x0000_s160770"/>
                </a:ext>
                <a:ext uri="{FF2B5EF4-FFF2-40B4-BE49-F238E27FC236}">
                  <a16:creationId xmlns:a16="http://schemas.microsoft.com/office/drawing/2014/main" id="{00000000-0008-0000-3900-0000027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60771" name="Drop Down 3" hidden="1">
              <a:extLst>
                <a:ext uri="{63B3BB69-23CF-44E3-9099-C40C66FF867C}">
                  <a14:compatExt spid="_x0000_s160771"/>
                </a:ext>
                <a:ext uri="{FF2B5EF4-FFF2-40B4-BE49-F238E27FC236}">
                  <a16:creationId xmlns:a16="http://schemas.microsoft.com/office/drawing/2014/main" id="{00000000-0008-0000-3900-0000037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60773" name="Drop Down 5" hidden="1">
              <a:extLst>
                <a:ext uri="{63B3BB69-23CF-44E3-9099-C40C66FF867C}">
                  <a14:compatExt spid="_x0000_s160773"/>
                </a:ext>
                <a:ext uri="{FF2B5EF4-FFF2-40B4-BE49-F238E27FC236}">
                  <a16:creationId xmlns:a16="http://schemas.microsoft.com/office/drawing/2014/main" id="{00000000-0008-0000-3900-0000057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1" Type="http://schemas.openxmlformats.org/officeDocument/2006/relationships/hyperlink" Target="https://youtu.be/jrcAS_iMQ2g" TargetMode="External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omments" Target="../comments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.xml"/><Relationship Id="rId7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24.xml"/><Relationship Id="rId5" Type="http://schemas.openxmlformats.org/officeDocument/2006/relationships/ctrlProp" Target="../ctrlProps/ctrlProp23.xml"/><Relationship Id="rId4" Type="http://schemas.openxmlformats.org/officeDocument/2006/relationships/ctrlProp" Target="../ctrlProps/ctrlProp2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5.xml"/><Relationship Id="rId7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9.xml"/><Relationship Id="rId7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3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36.xml"/><Relationship Id="rId5" Type="http://schemas.openxmlformats.org/officeDocument/2006/relationships/ctrlProp" Target="../ctrlProps/ctrlProp35.xml"/><Relationship Id="rId4" Type="http://schemas.openxmlformats.org/officeDocument/2006/relationships/ctrlProp" Target="../ctrlProps/ctrlProp3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7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8.xml"/><Relationship Id="rId6" Type="http://schemas.openxmlformats.org/officeDocument/2006/relationships/ctrlProp" Target="../ctrlProps/ctrlProp40.xml"/><Relationship Id="rId5" Type="http://schemas.openxmlformats.org/officeDocument/2006/relationships/ctrlProp" Target="../ctrlProps/ctrlProp39.xml"/><Relationship Id="rId4" Type="http://schemas.openxmlformats.org/officeDocument/2006/relationships/ctrlProp" Target="../ctrlProps/ctrlProp38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1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Relationship Id="rId6" Type="http://schemas.openxmlformats.org/officeDocument/2006/relationships/ctrlProp" Target="../ctrlProps/ctrlProp44.xml"/><Relationship Id="rId5" Type="http://schemas.openxmlformats.org/officeDocument/2006/relationships/ctrlProp" Target="../ctrlProps/ctrlProp43.xml"/><Relationship Id="rId4" Type="http://schemas.openxmlformats.org/officeDocument/2006/relationships/ctrlProp" Target="../ctrlProps/ctrlProp4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0.xml"/><Relationship Id="rId6" Type="http://schemas.openxmlformats.org/officeDocument/2006/relationships/ctrlProp" Target="../ctrlProps/ctrlProp48.xml"/><Relationship Id="rId5" Type="http://schemas.openxmlformats.org/officeDocument/2006/relationships/ctrlProp" Target="../ctrlProps/ctrlProp47.xml"/><Relationship Id="rId4" Type="http://schemas.openxmlformats.org/officeDocument/2006/relationships/ctrlProp" Target="../ctrlProps/ctrlProp46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9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1.xml"/><Relationship Id="rId6" Type="http://schemas.openxmlformats.org/officeDocument/2006/relationships/ctrlProp" Target="../ctrlProps/ctrlProp52.xml"/><Relationship Id="rId5" Type="http://schemas.openxmlformats.org/officeDocument/2006/relationships/ctrlProp" Target="../ctrlProps/ctrlProp51.xml"/><Relationship Id="rId4" Type="http://schemas.openxmlformats.org/officeDocument/2006/relationships/ctrlProp" Target="../ctrlProps/ctrlProp50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3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2.xml"/><Relationship Id="rId6" Type="http://schemas.openxmlformats.org/officeDocument/2006/relationships/ctrlProp" Target="../ctrlProps/ctrlProp56.xml"/><Relationship Id="rId5" Type="http://schemas.openxmlformats.org/officeDocument/2006/relationships/ctrlProp" Target="../ctrlProps/ctrlProp55.xml"/><Relationship Id="rId4" Type="http://schemas.openxmlformats.org/officeDocument/2006/relationships/ctrlProp" Target="../ctrlProps/ctrlProp54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7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3.xml"/><Relationship Id="rId6" Type="http://schemas.openxmlformats.org/officeDocument/2006/relationships/ctrlProp" Target="../ctrlProps/ctrlProp60.xml"/><Relationship Id="rId5" Type="http://schemas.openxmlformats.org/officeDocument/2006/relationships/ctrlProp" Target="../ctrlProps/ctrlProp59.xml"/><Relationship Id="rId4" Type="http://schemas.openxmlformats.org/officeDocument/2006/relationships/ctrlProp" Target="../ctrlProps/ctrlProp5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1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4.xml"/><Relationship Id="rId6" Type="http://schemas.openxmlformats.org/officeDocument/2006/relationships/ctrlProp" Target="../ctrlProps/ctrlProp64.xml"/><Relationship Id="rId5" Type="http://schemas.openxmlformats.org/officeDocument/2006/relationships/ctrlProp" Target="../ctrlProps/ctrlProp63.xml"/><Relationship Id="rId4" Type="http://schemas.openxmlformats.org/officeDocument/2006/relationships/ctrlProp" Target="../ctrlProps/ctrlProp62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5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15.xml"/><Relationship Id="rId6" Type="http://schemas.openxmlformats.org/officeDocument/2006/relationships/ctrlProp" Target="../ctrlProps/ctrlProp68.xml"/><Relationship Id="rId5" Type="http://schemas.openxmlformats.org/officeDocument/2006/relationships/ctrlProp" Target="../ctrlProps/ctrlProp67.xml"/><Relationship Id="rId4" Type="http://schemas.openxmlformats.org/officeDocument/2006/relationships/ctrlProp" Target="../ctrlProps/ctrlProp66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9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16.xml"/><Relationship Id="rId6" Type="http://schemas.openxmlformats.org/officeDocument/2006/relationships/ctrlProp" Target="../ctrlProps/ctrlProp72.xml"/><Relationship Id="rId5" Type="http://schemas.openxmlformats.org/officeDocument/2006/relationships/ctrlProp" Target="../ctrlProps/ctrlProp71.xml"/><Relationship Id="rId4" Type="http://schemas.openxmlformats.org/officeDocument/2006/relationships/ctrlProp" Target="../ctrlProps/ctrlProp7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3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17.xml"/><Relationship Id="rId6" Type="http://schemas.openxmlformats.org/officeDocument/2006/relationships/ctrlProp" Target="../ctrlProps/ctrlProp76.xml"/><Relationship Id="rId5" Type="http://schemas.openxmlformats.org/officeDocument/2006/relationships/ctrlProp" Target="../ctrlProps/ctrlProp75.xml"/><Relationship Id="rId4" Type="http://schemas.openxmlformats.org/officeDocument/2006/relationships/ctrlProp" Target="../ctrlProps/ctrlProp74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7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18.xml"/><Relationship Id="rId6" Type="http://schemas.openxmlformats.org/officeDocument/2006/relationships/ctrlProp" Target="../ctrlProps/ctrlProp80.xml"/><Relationship Id="rId5" Type="http://schemas.openxmlformats.org/officeDocument/2006/relationships/ctrlProp" Target="../ctrlProps/ctrlProp79.xml"/><Relationship Id="rId4" Type="http://schemas.openxmlformats.org/officeDocument/2006/relationships/ctrlProp" Target="../ctrlProps/ctrlProp78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1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19.xml"/><Relationship Id="rId6" Type="http://schemas.openxmlformats.org/officeDocument/2006/relationships/ctrlProp" Target="../ctrlProps/ctrlProp84.xml"/><Relationship Id="rId5" Type="http://schemas.openxmlformats.org/officeDocument/2006/relationships/ctrlProp" Target="../ctrlProps/ctrlProp83.xml"/><Relationship Id="rId4" Type="http://schemas.openxmlformats.org/officeDocument/2006/relationships/ctrlProp" Target="../ctrlProps/ctrlProp82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0.xml"/><Relationship Id="rId6" Type="http://schemas.openxmlformats.org/officeDocument/2006/relationships/ctrlProp" Target="../ctrlProps/ctrlProp88.xml"/><Relationship Id="rId5" Type="http://schemas.openxmlformats.org/officeDocument/2006/relationships/ctrlProp" Target="../ctrlProps/ctrlProp87.xml"/><Relationship Id="rId4" Type="http://schemas.openxmlformats.org/officeDocument/2006/relationships/ctrlProp" Target="../ctrlProps/ctrlProp86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9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1.xml"/><Relationship Id="rId6" Type="http://schemas.openxmlformats.org/officeDocument/2006/relationships/ctrlProp" Target="../ctrlProps/ctrlProp92.xml"/><Relationship Id="rId5" Type="http://schemas.openxmlformats.org/officeDocument/2006/relationships/ctrlProp" Target="../ctrlProps/ctrlProp91.xml"/><Relationship Id="rId4" Type="http://schemas.openxmlformats.org/officeDocument/2006/relationships/ctrlProp" Target="../ctrlProps/ctrlProp90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93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2.xml"/><Relationship Id="rId6" Type="http://schemas.openxmlformats.org/officeDocument/2006/relationships/ctrlProp" Target="../ctrlProps/ctrlProp96.xml"/><Relationship Id="rId5" Type="http://schemas.openxmlformats.org/officeDocument/2006/relationships/ctrlProp" Target="../ctrlProps/ctrlProp95.xml"/><Relationship Id="rId4" Type="http://schemas.openxmlformats.org/officeDocument/2006/relationships/ctrlProp" Target="../ctrlProps/ctrlProp94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97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3.xml"/><Relationship Id="rId6" Type="http://schemas.openxmlformats.org/officeDocument/2006/relationships/ctrlProp" Target="../ctrlProps/ctrlProp100.xml"/><Relationship Id="rId5" Type="http://schemas.openxmlformats.org/officeDocument/2006/relationships/ctrlProp" Target="../ctrlProps/ctrlProp99.xml"/><Relationship Id="rId4" Type="http://schemas.openxmlformats.org/officeDocument/2006/relationships/ctrlProp" Target="../ctrlProps/ctrlProp9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1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4.xml"/><Relationship Id="rId6" Type="http://schemas.openxmlformats.org/officeDocument/2006/relationships/ctrlProp" Target="../ctrlProps/ctrlProp104.xml"/><Relationship Id="rId5" Type="http://schemas.openxmlformats.org/officeDocument/2006/relationships/ctrlProp" Target="../ctrlProps/ctrlProp103.xml"/><Relationship Id="rId4" Type="http://schemas.openxmlformats.org/officeDocument/2006/relationships/ctrlProp" Target="../ctrlProps/ctrlProp102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5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25.xml"/><Relationship Id="rId6" Type="http://schemas.openxmlformats.org/officeDocument/2006/relationships/ctrlProp" Target="../ctrlProps/ctrlProp108.xml"/><Relationship Id="rId5" Type="http://schemas.openxmlformats.org/officeDocument/2006/relationships/ctrlProp" Target="../ctrlProps/ctrlProp107.xml"/><Relationship Id="rId4" Type="http://schemas.openxmlformats.org/officeDocument/2006/relationships/ctrlProp" Target="../ctrlProps/ctrlProp106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9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26.xml"/><Relationship Id="rId6" Type="http://schemas.openxmlformats.org/officeDocument/2006/relationships/ctrlProp" Target="../ctrlProps/ctrlProp112.xml"/><Relationship Id="rId5" Type="http://schemas.openxmlformats.org/officeDocument/2006/relationships/ctrlProp" Target="../ctrlProps/ctrlProp111.xml"/><Relationship Id="rId4" Type="http://schemas.openxmlformats.org/officeDocument/2006/relationships/ctrlProp" Target="../ctrlProps/ctrlProp11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3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27.xml"/><Relationship Id="rId6" Type="http://schemas.openxmlformats.org/officeDocument/2006/relationships/ctrlProp" Target="../ctrlProps/ctrlProp116.xml"/><Relationship Id="rId5" Type="http://schemas.openxmlformats.org/officeDocument/2006/relationships/ctrlProp" Target="../ctrlProps/ctrlProp115.xml"/><Relationship Id="rId4" Type="http://schemas.openxmlformats.org/officeDocument/2006/relationships/ctrlProp" Target="../ctrlProps/ctrlProp114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7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28.xml"/><Relationship Id="rId6" Type="http://schemas.openxmlformats.org/officeDocument/2006/relationships/ctrlProp" Target="../ctrlProps/ctrlProp120.xml"/><Relationship Id="rId5" Type="http://schemas.openxmlformats.org/officeDocument/2006/relationships/ctrlProp" Target="../ctrlProps/ctrlProp119.xml"/><Relationship Id="rId4" Type="http://schemas.openxmlformats.org/officeDocument/2006/relationships/ctrlProp" Target="../ctrlProps/ctrlProp118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1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29.xml"/><Relationship Id="rId6" Type="http://schemas.openxmlformats.org/officeDocument/2006/relationships/ctrlProp" Target="../ctrlProps/ctrlProp124.xml"/><Relationship Id="rId5" Type="http://schemas.openxmlformats.org/officeDocument/2006/relationships/ctrlProp" Target="../ctrlProps/ctrlProp123.xml"/><Relationship Id="rId4" Type="http://schemas.openxmlformats.org/officeDocument/2006/relationships/ctrlProp" Target="../ctrlProps/ctrlProp122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0.xml"/><Relationship Id="rId6" Type="http://schemas.openxmlformats.org/officeDocument/2006/relationships/ctrlProp" Target="../ctrlProps/ctrlProp128.xml"/><Relationship Id="rId5" Type="http://schemas.openxmlformats.org/officeDocument/2006/relationships/ctrlProp" Target="../ctrlProps/ctrlProp127.xml"/><Relationship Id="rId4" Type="http://schemas.openxmlformats.org/officeDocument/2006/relationships/ctrlProp" Target="../ctrlProps/ctrlProp126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9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1.xml"/><Relationship Id="rId6" Type="http://schemas.openxmlformats.org/officeDocument/2006/relationships/ctrlProp" Target="../ctrlProps/ctrlProp132.xml"/><Relationship Id="rId5" Type="http://schemas.openxmlformats.org/officeDocument/2006/relationships/ctrlProp" Target="../ctrlProps/ctrlProp131.xml"/><Relationship Id="rId4" Type="http://schemas.openxmlformats.org/officeDocument/2006/relationships/ctrlProp" Target="../ctrlProps/ctrlProp130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3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2.xml"/><Relationship Id="rId6" Type="http://schemas.openxmlformats.org/officeDocument/2006/relationships/ctrlProp" Target="../ctrlProps/ctrlProp136.xml"/><Relationship Id="rId5" Type="http://schemas.openxmlformats.org/officeDocument/2006/relationships/ctrlProp" Target="../ctrlProps/ctrlProp135.xml"/><Relationship Id="rId4" Type="http://schemas.openxmlformats.org/officeDocument/2006/relationships/ctrlProp" Target="../ctrlProps/ctrlProp134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7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3.xml"/><Relationship Id="rId6" Type="http://schemas.openxmlformats.org/officeDocument/2006/relationships/ctrlProp" Target="../ctrlProps/ctrlProp140.xml"/><Relationship Id="rId5" Type="http://schemas.openxmlformats.org/officeDocument/2006/relationships/ctrlProp" Target="../ctrlProps/ctrlProp139.xml"/><Relationship Id="rId4" Type="http://schemas.openxmlformats.org/officeDocument/2006/relationships/ctrlProp" Target="../ctrlProps/ctrlProp13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1.xml"/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34.xml"/><Relationship Id="rId6" Type="http://schemas.openxmlformats.org/officeDocument/2006/relationships/ctrlProp" Target="../ctrlProps/ctrlProp144.xml"/><Relationship Id="rId5" Type="http://schemas.openxmlformats.org/officeDocument/2006/relationships/ctrlProp" Target="../ctrlProps/ctrlProp143.xml"/><Relationship Id="rId4" Type="http://schemas.openxmlformats.org/officeDocument/2006/relationships/ctrlProp" Target="../ctrlProps/ctrlProp142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5.xml"/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35.xml"/><Relationship Id="rId6" Type="http://schemas.openxmlformats.org/officeDocument/2006/relationships/ctrlProp" Target="../ctrlProps/ctrlProp148.xml"/><Relationship Id="rId5" Type="http://schemas.openxmlformats.org/officeDocument/2006/relationships/ctrlProp" Target="../ctrlProps/ctrlProp147.xml"/><Relationship Id="rId4" Type="http://schemas.openxmlformats.org/officeDocument/2006/relationships/ctrlProp" Target="../ctrlProps/ctrlProp146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9.xml"/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36.xml"/><Relationship Id="rId6" Type="http://schemas.openxmlformats.org/officeDocument/2006/relationships/ctrlProp" Target="../ctrlProps/ctrlProp152.xml"/><Relationship Id="rId5" Type="http://schemas.openxmlformats.org/officeDocument/2006/relationships/ctrlProp" Target="../ctrlProps/ctrlProp151.xml"/><Relationship Id="rId4" Type="http://schemas.openxmlformats.org/officeDocument/2006/relationships/ctrlProp" Target="../ctrlProps/ctrlProp150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3.xml"/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37.xml"/><Relationship Id="rId6" Type="http://schemas.openxmlformats.org/officeDocument/2006/relationships/ctrlProp" Target="../ctrlProps/ctrlProp156.xml"/><Relationship Id="rId5" Type="http://schemas.openxmlformats.org/officeDocument/2006/relationships/ctrlProp" Target="../ctrlProps/ctrlProp155.xml"/><Relationship Id="rId4" Type="http://schemas.openxmlformats.org/officeDocument/2006/relationships/ctrlProp" Target="../ctrlProps/ctrlProp154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7.xml"/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38.xml"/><Relationship Id="rId6" Type="http://schemas.openxmlformats.org/officeDocument/2006/relationships/ctrlProp" Target="../ctrlProps/ctrlProp160.xml"/><Relationship Id="rId5" Type="http://schemas.openxmlformats.org/officeDocument/2006/relationships/ctrlProp" Target="../ctrlProps/ctrlProp159.xml"/><Relationship Id="rId4" Type="http://schemas.openxmlformats.org/officeDocument/2006/relationships/ctrlProp" Target="../ctrlProps/ctrlProp158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1.xml"/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39.xml"/><Relationship Id="rId6" Type="http://schemas.openxmlformats.org/officeDocument/2006/relationships/ctrlProp" Target="../ctrlProps/ctrlProp164.xml"/><Relationship Id="rId5" Type="http://schemas.openxmlformats.org/officeDocument/2006/relationships/ctrlProp" Target="../ctrlProps/ctrlProp163.xml"/><Relationship Id="rId4" Type="http://schemas.openxmlformats.org/officeDocument/2006/relationships/ctrlProp" Target="../ctrlProps/ctrlProp162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5.xml"/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0.xml"/><Relationship Id="rId6" Type="http://schemas.openxmlformats.org/officeDocument/2006/relationships/ctrlProp" Target="../ctrlProps/ctrlProp168.xml"/><Relationship Id="rId5" Type="http://schemas.openxmlformats.org/officeDocument/2006/relationships/ctrlProp" Target="../ctrlProps/ctrlProp167.xml"/><Relationship Id="rId4" Type="http://schemas.openxmlformats.org/officeDocument/2006/relationships/ctrlProp" Target="../ctrlProps/ctrlProp166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9.xml"/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1.xml"/><Relationship Id="rId6" Type="http://schemas.openxmlformats.org/officeDocument/2006/relationships/ctrlProp" Target="../ctrlProps/ctrlProp172.xml"/><Relationship Id="rId5" Type="http://schemas.openxmlformats.org/officeDocument/2006/relationships/ctrlProp" Target="../ctrlProps/ctrlProp171.xml"/><Relationship Id="rId4" Type="http://schemas.openxmlformats.org/officeDocument/2006/relationships/ctrlProp" Target="../ctrlProps/ctrlProp170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3.xml"/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2.xml"/><Relationship Id="rId6" Type="http://schemas.openxmlformats.org/officeDocument/2006/relationships/ctrlProp" Target="../ctrlProps/ctrlProp176.xml"/><Relationship Id="rId5" Type="http://schemas.openxmlformats.org/officeDocument/2006/relationships/ctrlProp" Target="../ctrlProps/ctrlProp175.xml"/><Relationship Id="rId4" Type="http://schemas.openxmlformats.org/officeDocument/2006/relationships/ctrlProp" Target="../ctrlProps/ctrlProp174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7.xml"/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3.xml"/><Relationship Id="rId6" Type="http://schemas.openxmlformats.org/officeDocument/2006/relationships/ctrlProp" Target="../ctrlProps/ctrlProp180.xml"/><Relationship Id="rId5" Type="http://schemas.openxmlformats.org/officeDocument/2006/relationships/ctrlProp" Target="../ctrlProps/ctrlProp179.xml"/><Relationship Id="rId4" Type="http://schemas.openxmlformats.org/officeDocument/2006/relationships/ctrlProp" Target="../ctrlProps/ctrlProp1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U38"/>
  <sheetViews>
    <sheetView zoomScale="124" zoomScaleNormal="124" zoomScaleSheetLayoutView="124" workbookViewId="0">
      <selection activeCell="K17" sqref="K17"/>
    </sheetView>
  </sheetViews>
  <sheetFormatPr baseColWidth="10" defaultColWidth="8.6640625" defaultRowHeight="17"/>
  <cols>
    <col min="1" max="1" width="29" customWidth="1"/>
    <col min="2" max="2" width="11" bestFit="1" customWidth="1"/>
    <col min="3" max="3" width="23.83203125" bestFit="1" customWidth="1"/>
    <col min="4" max="4" width="7.5" customWidth="1"/>
    <col min="5" max="5" width="4.83203125" customWidth="1"/>
    <col min="6" max="6" width="12.6640625" style="22" bestFit="1" customWidth="1"/>
    <col min="7" max="7" width="14.83203125" customWidth="1"/>
    <col min="8" max="8" width="8.33203125" customWidth="1"/>
    <col min="9" max="10" width="14.83203125" customWidth="1"/>
    <col min="11" max="11" width="19.5" bestFit="1" customWidth="1"/>
    <col min="12" max="12" width="38" bestFit="1" customWidth="1"/>
    <col min="13" max="13" width="11" bestFit="1" customWidth="1"/>
    <col min="14" max="14" width="12.6640625" customWidth="1"/>
    <col min="15" max="15" width="12.6640625" bestFit="1" customWidth="1"/>
    <col min="16" max="16" width="13.6640625" bestFit="1" customWidth="1"/>
    <col min="17" max="17" width="11" bestFit="1" customWidth="1"/>
    <col min="18" max="18" width="11.5" bestFit="1" customWidth="1"/>
  </cols>
  <sheetData>
    <row r="1" spans="1:19" ht="27">
      <c r="A1" s="1110" t="s">
        <v>654</v>
      </c>
      <c r="B1" s="1110"/>
      <c r="C1" s="1110"/>
      <c r="D1" s="1110"/>
      <c r="E1" s="1110"/>
      <c r="F1" s="1110"/>
      <c r="G1" s="1110"/>
      <c r="H1" s="1110"/>
      <c r="I1" s="1110"/>
      <c r="J1" s="248"/>
    </row>
    <row r="2" spans="1:19" ht="11.25" customHeight="1">
      <c r="A2" s="248"/>
      <c r="H2" s="248"/>
      <c r="I2" s="248"/>
      <c r="J2" s="248"/>
      <c r="L2" s="249"/>
      <c r="M2" s="249"/>
      <c r="O2" s="249"/>
      <c r="P2" s="249"/>
      <c r="Q2" s="249"/>
      <c r="R2" s="249"/>
    </row>
    <row r="3" spans="1:19">
      <c r="A3" s="250" t="s">
        <v>424</v>
      </c>
      <c r="H3" s="251" t="s">
        <v>183</v>
      </c>
      <c r="I3" s="252" t="e">
        <f>#REF!</f>
        <v>#REF!</v>
      </c>
      <c r="J3" s="252"/>
      <c r="L3" s="253"/>
      <c r="M3" s="253"/>
      <c r="P3" s="254"/>
      <c r="Q3" s="255"/>
      <c r="R3" s="256"/>
    </row>
    <row r="4" spans="1:19" ht="17.25" customHeight="1">
      <c r="A4" s="257" t="s">
        <v>33</v>
      </c>
      <c r="B4" s="153" t="s">
        <v>195</v>
      </c>
      <c r="C4" s="153">
        <f>B9*12-(B13*12+B14*12+B15*12+C13+C14+C15)</f>
        <v>431</v>
      </c>
      <c r="D4" s="153"/>
      <c r="E4" s="153"/>
      <c r="F4" s="1111"/>
      <c r="G4" s="1112"/>
      <c r="H4" s="1112"/>
      <c r="I4" s="1113"/>
      <c r="J4" s="258"/>
      <c r="K4" s="142" t="s">
        <v>365</v>
      </c>
      <c r="L4" s="142" t="s">
        <v>35</v>
      </c>
      <c r="M4" s="253"/>
      <c r="N4" s="259"/>
      <c r="P4" s="260"/>
      <c r="Q4" s="255"/>
      <c r="R4" s="256"/>
    </row>
    <row r="5" spans="1:19" ht="18">
      <c r="A5" s="152" t="s">
        <v>135</v>
      </c>
      <c r="B5" s="1114">
        <f>'2025'!B2</f>
        <v>35431</v>
      </c>
      <c r="C5" s="1115"/>
      <c r="D5" s="1116"/>
      <c r="E5" s="153"/>
      <c r="F5" s="261"/>
      <c r="G5" s="262"/>
      <c r="H5" s="261"/>
      <c r="I5" s="262"/>
      <c r="J5" s="263"/>
      <c r="K5" s="142" t="s">
        <v>170</v>
      </c>
      <c r="L5" s="142" t="s">
        <v>484</v>
      </c>
    </row>
    <row r="6" spans="1:19" ht="18">
      <c r="A6" s="152" t="s">
        <v>29</v>
      </c>
      <c r="B6" s="1117">
        <f>DATE(YEAR(B5)+62,MONTH(B5),DAY(B5))</f>
        <v>58076</v>
      </c>
      <c r="C6" s="1118"/>
      <c r="D6" s="1119"/>
      <c r="E6" s="153"/>
      <c r="F6" s="264"/>
      <c r="G6" s="265"/>
      <c r="H6" s="264"/>
      <c r="I6" s="265"/>
      <c r="J6" s="266"/>
      <c r="K6" s="142" t="s">
        <v>357</v>
      </c>
      <c r="L6" s="142" t="s">
        <v>487</v>
      </c>
    </row>
    <row r="7" spans="1:19" ht="18">
      <c r="A7" s="152" t="s">
        <v>26</v>
      </c>
      <c r="B7" s="1120">
        <f>IF(AND(MONTH(B6)&gt;=3,MONTH(B6)&lt;=8),DATE(YEAR(B6),(8),(31)),IF(AND(MONTH(B6)&gt;=1,MONTH(B6)&lt;=2),(DATE(YEAR(B6),(2),(28))),(DATE(YEAR(B6)+1,(2),(28)))))</f>
        <v>58134</v>
      </c>
      <c r="C7" s="1121"/>
      <c r="D7" s="1122"/>
      <c r="E7" s="153"/>
      <c r="F7" s="264"/>
      <c r="G7" s="265"/>
      <c r="H7" s="264"/>
      <c r="I7" s="265"/>
      <c r="J7" s="266"/>
      <c r="K7" s="142" t="s">
        <v>358</v>
      </c>
      <c r="L7" s="142" t="s">
        <v>474</v>
      </c>
      <c r="N7" s="1061" t="s">
        <v>361</v>
      </c>
      <c r="O7" s="1061"/>
      <c r="P7" s="1061"/>
      <c r="Q7" s="1061"/>
      <c r="R7" s="1061"/>
      <c r="S7" s="1061"/>
    </row>
    <row r="8" spans="1:19" ht="18">
      <c r="A8" s="267" t="s">
        <v>180</v>
      </c>
      <c r="B8" s="1103" t="e">
        <f>VALUE(DATEDIF(I3,B7,"y")&amp;"."&amp;DATEDIF(I3,B7,"ym"))</f>
        <v>#REF!</v>
      </c>
      <c r="C8" s="1104"/>
      <c r="D8" s="1105"/>
      <c r="E8" s="153"/>
      <c r="F8" s="264"/>
      <c r="G8" s="265"/>
      <c r="H8" s="264"/>
      <c r="I8" s="265"/>
      <c r="K8" s="142" t="s">
        <v>207</v>
      </c>
      <c r="L8" s="142" t="s">
        <v>465</v>
      </c>
      <c r="N8" s="268" t="e">
        <f>B8+0.1</f>
        <v>#REF!</v>
      </c>
      <c r="O8" s="269" t="e">
        <f>INT(N8)</f>
        <v>#REF!</v>
      </c>
      <c r="P8" s="269" t="e">
        <f>ROUND((N8-O8),2)</f>
        <v>#REF!</v>
      </c>
      <c r="Q8" s="270" t="e">
        <f>IF(P8=0,0,IF(P8=0.1,1,IF(P8=0.2,2,IF(P8=0.3,3,IF(P8=0.4,4,IF(P8=0.5,5,IF(P8=0.6,6,IF(P8=0.7,7,IF(P8=0.8,8,IF(P8=0.9,9,IF(P8=0.1,10,IF(P8=0.11,11,IF(P8=0.12,0,"")))))))))))))</f>
        <v>#REF!</v>
      </c>
      <c r="R8" s="142"/>
      <c r="S8" s="271" t="e">
        <f>O8+P8/12</f>
        <v>#REF!</v>
      </c>
    </row>
    <row r="9" spans="1:19" ht="18">
      <c r="A9" s="272" t="s">
        <v>353</v>
      </c>
      <c r="B9" s="1106">
        <f>IF((D13+D14)&gt;=21,33,IF((D13+D14)&gt;=17,34,IF((D13+D14)&gt;=15,35,36)))</f>
        <v>36</v>
      </c>
      <c r="C9" s="1107"/>
      <c r="D9" s="1108"/>
      <c r="E9" s="153"/>
      <c r="F9" s="264"/>
      <c r="G9" s="265"/>
      <c r="H9" s="264"/>
      <c r="I9" s="265"/>
      <c r="J9" s="266"/>
      <c r="K9" s="1061" t="s">
        <v>356</v>
      </c>
      <c r="L9" s="1109">
        <f>VALUE(B9)</f>
        <v>36</v>
      </c>
      <c r="M9" s="22"/>
      <c r="N9" s="273"/>
      <c r="O9" s="22"/>
      <c r="Q9" s="22"/>
    </row>
    <row r="10" spans="1:19" ht="18">
      <c r="A10" s="153" t="s">
        <v>360</v>
      </c>
      <c r="B10" s="154" t="e">
        <f>IF(B8&lt;(B9-D16),B8,ROUND(B9-D16,1))</f>
        <v>#REF!</v>
      </c>
      <c r="C10" t="s">
        <v>359</v>
      </c>
      <c r="E10" s="153"/>
      <c r="F10" s="264"/>
      <c r="G10" s="265"/>
      <c r="H10" s="264"/>
      <c r="I10" s="265"/>
      <c r="J10" s="266"/>
      <c r="K10" s="1061"/>
      <c r="L10" s="1109"/>
      <c r="M10" s="274"/>
      <c r="N10" s="274"/>
      <c r="O10" s="274"/>
      <c r="P10" s="274"/>
      <c r="Q10" s="275"/>
    </row>
    <row r="11" spans="1:19" ht="18">
      <c r="A11" s="257" t="s">
        <v>188</v>
      </c>
      <c r="B11" s="155"/>
      <c r="C11" s="153" t="s">
        <v>28</v>
      </c>
      <c r="D11" s="155"/>
      <c r="E11" s="153"/>
      <c r="F11" s="264"/>
      <c r="G11" s="265"/>
      <c r="H11" s="264"/>
      <c r="I11" s="265"/>
      <c r="J11" s="266"/>
      <c r="N11" s="276" t="s">
        <v>29</v>
      </c>
      <c r="O11" s="277" t="e">
        <f>DATE(YEAR(#REF!)+62,MONTH(#REF!),DAY(#REF!))</f>
        <v>#REF!</v>
      </c>
      <c r="P11" s="278" t="s">
        <v>198</v>
      </c>
      <c r="Q11" s="279" t="e">
        <f>S8</f>
        <v>#REF!</v>
      </c>
      <c r="S11" s="280"/>
    </row>
    <row r="12" spans="1:19" ht="18">
      <c r="A12" s="152" t="s">
        <v>220</v>
      </c>
      <c r="B12" s="281" t="s">
        <v>502</v>
      </c>
      <c r="C12" s="281" t="s">
        <v>523</v>
      </c>
      <c r="D12" s="281" t="s">
        <v>544</v>
      </c>
      <c r="E12" s="153"/>
      <c r="F12" s="264"/>
      <c r="G12" s="265"/>
      <c r="H12" s="264"/>
      <c r="I12" s="265"/>
      <c r="J12" s="266"/>
      <c r="S12" s="280"/>
    </row>
    <row r="13" spans="1:19" ht="18">
      <c r="A13" s="152" t="s">
        <v>422</v>
      </c>
      <c r="B13" s="282">
        <f>'2025'!T27</f>
        <v>0</v>
      </c>
      <c r="C13" s="282">
        <f>'2025'!U27</f>
        <v>0</v>
      </c>
      <c r="D13" s="283">
        <f>B13+C13/12</f>
        <v>0</v>
      </c>
      <c r="E13" s="153"/>
      <c r="F13" s="264"/>
      <c r="G13" s="265"/>
      <c r="H13" s="264"/>
      <c r="I13" s="265"/>
      <c r="J13" s="266"/>
      <c r="K13" s="1096"/>
      <c r="M13" s="22"/>
      <c r="N13" s="42" t="s">
        <v>27</v>
      </c>
      <c r="O13" s="42" t="s">
        <v>25</v>
      </c>
      <c r="P13" s="42" t="s">
        <v>232</v>
      </c>
      <c r="Q13" s="42" t="s">
        <v>235</v>
      </c>
      <c r="S13" s="280"/>
    </row>
    <row r="14" spans="1:19" ht="18">
      <c r="A14" s="152" t="s">
        <v>659</v>
      </c>
      <c r="B14" s="282">
        <f>'2025'!T28</f>
        <v>0</v>
      </c>
      <c r="C14" s="282">
        <f>'2025'!U28</f>
        <v>0</v>
      </c>
      <c r="D14" s="283">
        <f>B14+C14/12</f>
        <v>0</v>
      </c>
      <c r="E14" s="153"/>
      <c r="F14" s="264"/>
      <c r="G14" s="265"/>
      <c r="H14" s="264"/>
      <c r="I14" s="265"/>
      <c r="J14" s="266"/>
      <c r="K14" s="1096"/>
      <c r="M14" s="274"/>
      <c r="N14" s="284" t="e">
        <f>O21</f>
        <v>#REF!</v>
      </c>
      <c r="O14" s="284" t="e">
        <f>O22</f>
        <v>#REF!</v>
      </c>
      <c r="P14" s="284">
        <f>B9*12</f>
        <v>432</v>
      </c>
      <c r="Q14" s="285" t="e">
        <f>B26*O22/O23</f>
        <v>#REF!</v>
      </c>
    </row>
    <row r="15" spans="1:19" ht="18">
      <c r="A15" s="152" t="s">
        <v>352</v>
      </c>
      <c r="B15" s="282">
        <f>'2025'!T29</f>
        <v>0</v>
      </c>
      <c r="C15" s="282">
        <f>'2025'!U29</f>
        <v>1</v>
      </c>
      <c r="D15" s="283">
        <f>B15+C15/12</f>
        <v>8.3333333333333329E-2</v>
      </c>
      <c r="E15" s="153"/>
      <c r="F15" s="264"/>
      <c r="G15" s="265"/>
      <c r="H15" s="264"/>
      <c r="I15" s="265"/>
      <c r="J15" s="266"/>
      <c r="L15" s="286"/>
      <c r="N15" s="287"/>
      <c r="O15" s="287"/>
      <c r="P15" s="142" t="s">
        <v>225</v>
      </c>
      <c r="Q15" s="288" t="e">
        <f>Q14/1000</f>
        <v>#REF!</v>
      </c>
    </row>
    <row r="16" spans="1:19" ht="18">
      <c r="A16" s="1097" t="s">
        <v>36</v>
      </c>
      <c r="B16" s="1098"/>
      <c r="C16" s="1099"/>
      <c r="D16" s="289">
        <f>SUM(D13:D15)</f>
        <v>8.3333333333333329E-2</v>
      </c>
      <c r="E16" s="153"/>
      <c r="F16" s="264"/>
      <c r="G16" s="265"/>
      <c r="H16" s="264"/>
      <c r="I16" s="265"/>
      <c r="J16" s="266"/>
      <c r="N16" s="287"/>
      <c r="P16" s="42" t="s">
        <v>498</v>
      </c>
      <c r="Q16" s="290" t="e">
        <f>IF(Q15&lt;560,0,VLOOKUP(Q15,#REF!,3,1))</f>
        <v>#REF!</v>
      </c>
    </row>
    <row r="17" spans="1:21" ht="18">
      <c r="A17" s="257"/>
      <c r="B17" s="157"/>
      <c r="C17" s="157"/>
      <c r="D17" s="291" t="e">
        <f>D16+B8</f>
        <v>#REF!</v>
      </c>
      <c r="E17" s="153"/>
      <c r="F17" s="264"/>
      <c r="G17" s="265"/>
      <c r="H17" s="264"/>
      <c r="I17" s="265"/>
      <c r="J17" s="266"/>
      <c r="P17" s="42" t="s">
        <v>527</v>
      </c>
      <c r="Q17" s="290" t="e">
        <f>Q16*0.1</f>
        <v>#REF!</v>
      </c>
      <c r="U17" s="292"/>
    </row>
    <row r="18" spans="1:21" ht="18">
      <c r="A18" s="257" t="s">
        <v>380</v>
      </c>
      <c r="B18" s="155"/>
      <c r="C18" s="155"/>
      <c r="D18" s="155"/>
      <c r="E18" s="153"/>
      <c r="F18" s="264"/>
      <c r="G18" s="265"/>
      <c r="H18" s="264"/>
      <c r="I18" s="265"/>
      <c r="J18" s="266"/>
      <c r="P18" s="42" t="s">
        <v>192</v>
      </c>
      <c r="Q18" s="290" t="e">
        <f>SUM(Q16:Q17)</f>
        <v>#REF!</v>
      </c>
    </row>
    <row r="19" spans="1:21" ht="18">
      <c r="A19" s="152" t="s">
        <v>233</v>
      </c>
      <c r="B19" s="1097" t="s">
        <v>448</v>
      </c>
      <c r="C19" s="1098"/>
      <c r="D19" s="1099"/>
      <c r="E19" s="153"/>
      <c r="F19" s="264"/>
      <c r="G19" s="265"/>
      <c r="H19" s="264"/>
      <c r="I19" s="265"/>
      <c r="J19" s="266"/>
    </row>
    <row r="20" spans="1:21" ht="16.5" customHeight="1">
      <c r="A20" s="152" t="s">
        <v>379</v>
      </c>
      <c r="B20" s="1100"/>
      <c r="C20" s="1101"/>
      <c r="D20" s="1102"/>
      <c r="E20" s="153"/>
      <c r="F20" s="264"/>
      <c r="G20" s="265"/>
      <c r="H20" s="264"/>
      <c r="I20" s="265"/>
      <c r="J20" s="266"/>
    </row>
    <row r="21" spans="1:21" ht="18">
      <c r="A21" s="152" t="s">
        <v>413</v>
      </c>
      <c r="B21" s="1100"/>
      <c r="C21" s="1101"/>
      <c r="D21" s="1102"/>
      <c r="E21" s="153"/>
      <c r="F21" s="264"/>
      <c r="G21" s="265"/>
      <c r="H21" s="264"/>
      <c r="I21" s="265"/>
      <c r="J21" s="266"/>
      <c r="L21" s="142" t="s">
        <v>411</v>
      </c>
      <c r="M21" s="293"/>
      <c r="N21" s="142"/>
      <c r="O21" s="294" t="e">
        <f>M36</f>
        <v>#REF!</v>
      </c>
    </row>
    <row r="22" spans="1:21" ht="18">
      <c r="A22" s="152" t="s">
        <v>31</v>
      </c>
      <c r="B22" s="1083"/>
      <c r="C22" s="1084"/>
      <c r="D22" s="1085"/>
      <c r="E22" s="153"/>
      <c r="F22" s="264"/>
      <c r="G22" s="265"/>
      <c r="H22" s="264"/>
      <c r="I22" s="265"/>
      <c r="J22" s="266"/>
      <c r="L22" s="142" t="s">
        <v>646</v>
      </c>
      <c r="M22" s="142"/>
      <c r="N22" s="142"/>
      <c r="O22" s="295" t="e">
        <f>O23-O21</f>
        <v>#REF!</v>
      </c>
      <c r="Q22" s="296"/>
    </row>
    <row r="23" spans="1:21" ht="18">
      <c r="A23" s="297" t="s">
        <v>362</v>
      </c>
      <c r="B23" s="1086"/>
      <c r="C23" s="1087"/>
      <c r="D23" s="1088"/>
      <c r="E23" s="153"/>
      <c r="F23" s="264"/>
      <c r="G23" s="265"/>
      <c r="H23" s="264"/>
      <c r="I23" s="265"/>
      <c r="J23" s="266"/>
      <c r="L23" s="142" t="s">
        <v>648</v>
      </c>
      <c r="M23" s="142"/>
      <c r="N23" s="142"/>
      <c r="O23" s="298" t="e">
        <f>D16*12+B10*12</f>
        <v>#REF!</v>
      </c>
    </row>
    <row r="24" spans="1:21" ht="18">
      <c r="A24" s="153"/>
      <c r="B24" s="153"/>
      <c r="C24" s="153"/>
      <c r="D24" s="153"/>
      <c r="E24" s="153"/>
      <c r="F24" s="264"/>
      <c r="G24" s="265"/>
      <c r="H24" s="264"/>
      <c r="I24" s="265"/>
      <c r="J24" s="266"/>
      <c r="L24" s="142" t="s">
        <v>415</v>
      </c>
      <c r="M24" s="142"/>
      <c r="N24" s="142"/>
      <c r="O24" s="298" t="e">
        <f>B26-Q18</f>
        <v>#REF!</v>
      </c>
    </row>
    <row r="25" spans="1:21" ht="20">
      <c r="A25" s="299" t="s">
        <v>30</v>
      </c>
      <c r="B25" s="1089"/>
      <c r="C25" s="1090"/>
      <c r="D25" s="1091"/>
      <c r="E25" s="153"/>
      <c r="F25" s="264"/>
      <c r="G25" s="265"/>
      <c r="H25" s="264"/>
      <c r="I25" s="265"/>
      <c r="J25" s="266"/>
    </row>
    <row r="26" spans="1:21" ht="20.25" customHeight="1">
      <c r="A26" s="300" t="s">
        <v>363</v>
      </c>
      <c r="B26" s="1092"/>
      <c r="C26" s="1093"/>
      <c r="D26" s="1094"/>
      <c r="E26" s="153"/>
      <c r="F26" s="1095"/>
      <c r="G26" s="1095"/>
      <c r="H26" s="1095"/>
      <c r="I26" s="1095"/>
      <c r="J26" s="301"/>
      <c r="M26" s="22"/>
      <c r="N26" s="253"/>
      <c r="O26" s="296"/>
    </row>
    <row r="27" spans="1:21" ht="16.5" customHeight="1">
      <c r="A27" s="1071" t="s">
        <v>383</v>
      </c>
      <c r="B27" s="1073"/>
      <c r="C27" s="1074"/>
      <c r="D27" s="1075"/>
      <c r="F27" s="1079"/>
      <c r="G27" s="1079"/>
      <c r="H27" s="1080"/>
      <c r="I27" s="1080"/>
      <c r="J27" s="302"/>
      <c r="O27" s="296"/>
    </row>
    <row r="28" spans="1:21" ht="23.25" customHeight="1">
      <c r="A28" s="1072"/>
      <c r="B28" s="1076"/>
      <c r="C28" s="1077"/>
      <c r="D28" s="1078"/>
      <c r="F28" s="1081"/>
      <c r="G28" s="1081"/>
      <c r="H28" s="1082"/>
      <c r="I28" s="1082"/>
      <c r="J28" s="303"/>
    </row>
    <row r="29" spans="1:21">
      <c r="F29" s="1061" t="s">
        <v>364</v>
      </c>
      <c r="G29" s="1061"/>
      <c r="H29" s="1062" t="e">
        <f>#REF!</f>
        <v>#REF!</v>
      </c>
      <c r="I29" s="1061"/>
      <c r="M29" s="1063" t="s">
        <v>32</v>
      </c>
      <c r="N29" s="1064"/>
      <c r="O29" s="1065"/>
      <c r="Q29" s="304" t="s">
        <v>498</v>
      </c>
      <c r="R29" s="305" t="e">
        <f>IF(N33&gt;=ii!B9*12,0,ii!Q16)</f>
        <v>#REF!</v>
      </c>
    </row>
    <row r="30" spans="1:21">
      <c r="F30" s="1061" t="s">
        <v>354</v>
      </c>
      <c r="G30" s="1061"/>
      <c r="H30" s="1066"/>
      <c r="I30" s="1067"/>
      <c r="L30" s="306"/>
      <c r="M30" s="1068" t="e">
        <f>#REF!*12</f>
        <v>#REF!</v>
      </c>
      <c r="N30" s="1069"/>
      <c r="O30" s="1070"/>
      <c r="Q30" s="307" t="s">
        <v>527</v>
      </c>
      <c r="R30" s="308" t="e">
        <f>R29*0.1</f>
        <v>#REF!</v>
      </c>
    </row>
    <row r="31" spans="1:21">
      <c r="C31" s="259"/>
    </row>
    <row r="32" spans="1:21">
      <c r="G32" s="253"/>
    </row>
    <row r="33" spans="11:18" ht="27" customHeight="1">
      <c r="L33" s="1059" t="s">
        <v>382</v>
      </c>
      <c r="M33" s="1059"/>
      <c r="N33" s="309" t="e">
        <f>IF(Q35&lt;0,0,ROUND(Q35,0))</f>
        <v>#REF!</v>
      </c>
      <c r="P33" s="1060" t="s">
        <v>492</v>
      </c>
      <c r="Q33" s="1060"/>
    </row>
    <row r="34" spans="11:18" ht="36">
      <c r="L34" s="142" t="s">
        <v>542</v>
      </c>
      <c r="M34" s="310" t="s">
        <v>27</v>
      </c>
      <c r="N34" s="311" t="s">
        <v>25</v>
      </c>
      <c r="O34" s="312"/>
      <c r="P34" s="313" t="s">
        <v>211</v>
      </c>
      <c r="Q34" s="314" t="s">
        <v>355</v>
      </c>
    </row>
    <row r="35" spans="11:18">
      <c r="L35" s="315" t="e">
        <f>#REF!</f>
        <v>#REF!</v>
      </c>
      <c r="M35" s="316" t="e">
        <f>IF(#REF!&lt;=0,#REF!,#REF!)</f>
        <v>#REF!</v>
      </c>
      <c r="N35" s="316">
        <v>37257</v>
      </c>
      <c r="O35" s="142" t="e">
        <f>(M35-N35)/365</f>
        <v>#REF!</v>
      </c>
      <c r="P35" s="317" t="e">
        <f>(L35-O35)</f>
        <v>#REF!</v>
      </c>
      <c r="Q35" s="318" t="e">
        <f>M36</f>
        <v>#REF!</v>
      </c>
      <c r="R35" t="e">
        <f>P35*12</f>
        <v>#REF!</v>
      </c>
    </row>
    <row r="36" spans="11:18">
      <c r="L36" s="319" t="e">
        <f>L35*12</f>
        <v>#REF!</v>
      </c>
      <c r="M36" s="320" t="e">
        <f>IF((L36-N36)&lt;0,0,(L36-N36))</f>
        <v>#REF!</v>
      </c>
      <c r="N36" s="320" t="e">
        <f>DATEDIF(N35,M35,"M")+1</f>
        <v>#REF!</v>
      </c>
    </row>
    <row r="37" spans="11:18">
      <c r="R37" s="296"/>
    </row>
    <row r="38" spans="11:18">
      <c r="K38" s="253"/>
      <c r="L38" s="253"/>
    </row>
  </sheetData>
  <mergeCells count="34">
    <mergeCell ref="A1:I1"/>
    <mergeCell ref="F4:I4"/>
    <mergeCell ref="B5:D5"/>
    <mergeCell ref="B6:D6"/>
    <mergeCell ref="B7:D7"/>
    <mergeCell ref="N7:S7"/>
    <mergeCell ref="B8:D8"/>
    <mergeCell ref="B9:D9"/>
    <mergeCell ref="K9:K10"/>
    <mergeCell ref="L9:L10"/>
    <mergeCell ref="K13:K14"/>
    <mergeCell ref="A16:C16"/>
    <mergeCell ref="B19:D19"/>
    <mergeCell ref="B20:D20"/>
    <mergeCell ref="B21:D21"/>
    <mergeCell ref="B22:D22"/>
    <mergeCell ref="B23:D23"/>
    <mergeCell ref="B25:D25"/>
    <mergeCell ref="B26:D26"/>
    <mergeCell ref="F26:I26"/>
    <mergeCell ref="A27:A28"/>
    <mergeCell ref="B27:D28"/>
    <mergeCell ref="F27:G27"/>
    <mergeCell ref="H27:I27"/>
    <mergeCell ref="F28:G28"/>
    <mergeCell ref="H28:I28"/>
    <mergeCell ref="L33:M33"/>
    <mergeCell ref="P33:Q33"/>
    <mergeCell ref="F29:G29"/>
    <mergeCell ref="H29:I29"/>
    <mergeCell ref="M29:O29"/>
    <mergeCell ref="F30:G30"/>
    <mergeCell ref="H30:I30"/>
    <mergeCell ref="M30:O30"/>
  </mergeCells>
  <phoneticPr fontId="167" type="noConversion"/>
  <printOptions horizontalCentered="1"/>
  <pageMargins left="0.51166665554046631" right="0.51166665554046631" top="0.55097222328186035" bottom="0.55097222328186035" header="0.31486111879348755" footer="0.31486111879348755"/>
  <pageSetup paperSize="9" orientation="landscape" horizontalDpi="4294967293" verticalDpi="0"/>
  <headerFooter>
    <oddFooter>&amp;R&amp;"맑은 고딕,Regular"http://cafe.daum.net/teachers119/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CCFF66"/>
  </sheetPr>
  <dimension ref="A1:FL612"/>
  <sheetViews>
    <sheetView zoomScale="180" zoomScaleNormal="180" zoomScaleSheetLayoutView="180" workbookViewId="0">
      <pane xSplit="2" ySplit="8" topLeftCell="C9" activePane="bottomRight" state="frozen"/>
      <selection pane="topRight"/>
      <selection pane="bottomLeft"/>
      <selection pane="bottomRight" activeCell="A14" sqref="A14"/>
    </sheetView>
  </sheetViews>
  <sheetFormatPr baseColWidth="10" defaultColWidth="9" defaultRowHeight="9.75" customHeight="1"/>
  <cols>
    <col min="1" max="1" width="3.6640625" style="321" bestFit="1" customWidth="1"/>
    <col min="2" max="2" width="6" style="322" bestFit="1" customWidth="1"/>
    <col min="3" max="3" width="4.5" style="323" bestFit="1" customWidth="1"/>
    <col min="4" max="4" width="5.1640625" style="324" bestFit="1" customWidth="1"/>
    <col min="5" max="5" width="6" style="324" bestFit="1" customWidth="1"/>
    <col min="6" max="6" width="5.83203125" style="324" bestFit="1" customWidth="1"/>
    <col min="7" max="7" width="5.83203125" style="321" customWidth="1"/>
    <col min="8" max="8" width="8.1640625" style="324" bestFit="1" customWidth="1"/>
    <col min="9" max="9" width="6.5" style="324" bestFit="1" customWidth="1"/>
    <col min="10" max="10" width="6" style="324" bestFit="1" customWidth="1"/>
    <col min="11" max="11" width="3.83203125" style="321" bestFit="1" customWidth="1"/>
    <col min="12" max="12" width="6" style="324" bestFit="1" customWidth="1"/>
    <col min="13" max="13" width="3.83203125" style="324" bestFit="1" customWidth="1"/>
    <col min="14" max="14" width="5.5" style="396" bestFit="1" customWidth="1"/>
    <col min="15" max="15" width="4.1640625" style="396" bestFit="1" customWidth="1"/>
    <col min="16" max="16" width="5.5" style="324" bestFit="1" customWidth="1"/>
    <col min="17" max="17" width="8.1640625" style="324" bestFit="1" customWidth="1"/>
    <col min="18" max="18" width="4.6640625" style="324" bestFit="1" customWidth="1"/>
    <col min="19" max="19" width="5.5" style="324" bestFit="1" customWidth="1"/>
    <col min="20" max="20" width="4.1640625" style="324" bestFit="1" customWidth="1"/>
    <col min="21" max="21" width="3.6640625" style="324" bestFit="1" customWidth="1"/>
    <col min="22" max="22" width="3" style="328" bestFit="1" customWidth="1"/>
    <col min="23" max="23" width="3.6640625" style="321" bestFit="1" customWidth="1"/>
    <col min="24" max="24" width="4.6640625" style="425" bestFit="1" customWidth="1"/>
    <col min="25" max="25" width="5.5" style="396" bestFit="1" customWidth="1"/>
    <col min="26" max="26" width="5.6640625" style="426" bestFit="1" customWidth="1"/>
    <col min="27" max="27" width="4.1640625" style="427" bestFit="1" customWidth="1"/>
    <col min="28" max="28" width="3.6640625" style="428" bestFit="1" customWidth="1"/>
    <col min="29" max="29" width="3.6640625" style="321" bestFit="1" customWidth="1"/>
    <col min="30" max="30" width="5.5" style="321" bestFit="1" customWidth="1"/>
    <col min="31" max="31" width="5.5" style="429" bestFit="1" customWidth="1"/>
    <col min="32" max="32" width="5" style="396" bestFit="1" customWidth="1"/>
    <col min="33" max="33" width="4.6640625" style="396" bestFit="1" customWidth="1"/>
    <col min="34" max="34" width="5.1640625" style="396" bestFit="1" customWidth="1"/>
    <col min="35" max="35" width="4.6640625" style="390" bestFit="1" customWidth="1"/>
    <col min="36" max="36" width="5.1640625" style="390" bestFit="1" customWidth="1"/>
    <col min="37" max="37" width="4.6640625" style="390" bestFit="1" customWidth="1"/>
    <col min="38" max="38" width="3.83203125" style="390" bestFit="1" customWidth="1"/>
    <col min="39" max="39" width="4.6640625" style="390" bestFit="1" customWidth="1"/>
    <col min="40" max="40" width="5.6640625" style="390" bestFit="1" customWidth="1"/>
    <col min="41" max="41" width="4.6640625" style="390" bestFit="1" customWidth="1"/>
    <col min="42" max="42" width="5.6640625" style="390" bestFit="1" customWidth="1"/>
    <col min="43" max="43" width="6.1640625" style="390" bestFit="1" customWidth="1"/>
    <col min="44" max="44" width="5.6640625" style="390" bestFit="1" customWidth="1"/>
    <col min="45" max="45" width="4.6640625" style="390" bestFit="1" customWidth="1"/>
    <col min="46" max="46" width="6" style="390" bestFit="1" customWidth="1"/>
    <col min="47" max="47" width="4.6640625" style="390" bestFit="1" customWidth="1"/>
    <col min="48" max="48" width="5.6640625" style="390" bestFit="1" customWidth="1"/>
    <col min="49" max="49" width="7.33203125" style="390" bestFit="1" customWidth="1"/>
    <col min="50" max="50" width="5.6640625" style="390" bestFit="1" customWidth="1"/>
    <col min="51" max="51" width="4.1640625" style="390" bestFit="1" customWidth="1"/>
    <col min="52" max="52" width="5.6640625" style="390" bestFit="1" customWidth="1"/>
    <col min="53" max="53" width="4.1640625" style="390" bestFit="1" customWidth="1"/>
    <col min="54" max="54" width="5.6640625" style="390" bestFit="1" customWidth="1"/>
    <col min="55" max="55" width="4.1640625" style="390" bestFit="1" customWidth="1"/>
    <col min="56" max="56" width="5.6640625" style="390" bestFit="1" customWidth="1"/>
    <col min="57" max="57" width="4.1640625" style="390" bestFit="1" customWidth="1"/>
    <col min="58" max="58" width="5.6640625" style="390" bestFit="1" customWidth="1"/>
    <col min="59" max="59" width="4.1640625" style="390" bestFit="1" customWidth="1"/>
    <col min="60" max="60" width="5.6640625" style="390" bestFit="1" customWidth="1"/>
    <col min="61" max="61" width="4.1640625" style="390" bestFit="1" customWidth="1"/>
    <col min="62" max="62" width="5.6640625" style="390" bestFit="1" customWidth="1"/>
    <col min="63" max="63" width="4.1640625" style="390" bestFit="1" customWidth="1"/>
    <col min="64" max="64" width="5.6640625" style="390" bestFit="1" customWidth="1"/>
    <col min="65" max="65" width="4.1640625" style="390" bestFit="1" customWidth="1"/>
    <col min="66" max="66" width="5.6640625" style="390" bestFit="1" customWidth="1"/>
    <col min="67" max="67" width="4.1640625" style="390" bestFit="1" customWidth="1"/>
    <col min="68" max="68" width="5.6640625" style="390" bestFit="1" customWidth="1"/>
    <col min="69" max="69" width="4.1640625" style="390" bestFit="1" customWidth="1"/>
    <col min="70" max="70" width="5.6640625" style="390" bestFit="1" customWidth="1"/>
    <col min="71" max="71" width="4.1640625" style="390" bestFit="1" customWidth="1"/>
    <col min="72" max="72" width="5.6640625" style="390" bestFit="1" customWidth="1"/>
    <col min="73" max="73" width="4.1640625" style="390" bestFit="1" customWidth="1"/>
    <col min="74" max="74" width="5.6640625" style="390" bestFit="1" customWidth="1"/>
    <col min="75" max="75" width="4.1640625" style="390" bestFit="1" customWidth="1"/>
    <col min="76" max="76" width="5.6640625" style="390" bestFit="1" customWidth="1"/>
    <col min="77" max="77" width="4.1640625" style="390" bestFit="1" customWidth="1"/>
    <col min="78" max="78" width="5.6640625" style="390" bestFit="1" customWidth="1"/>
    <col min="79" max="79" width="4.1640625" style="390" bestFit="1" customWidth="1"/>
    <col min="80" max="80" width="5.6640625" style="390" bestFit="1" customWidth="1"/>
    <col min="81" max="81" width="4.1640625" style="390" bestFit="1" customWidth="1"/>
    <col min="82" max="82" width="5.6640625" style="390" bestFit="1" customWidth="1"/>
    <col min="83" max="83" width="4.1640625" style="390" bestFit="1" customWidth="1"/>
    <col min="84" max="84" width="5.6640625" style="390" bestFit="1" customWidth="1"/>
    <col min="85" max="85" width="4.1640625" style="390" bestFit="1" customWidth="1"/>
    <col min="86" max="86" width="5.6640625" style="390" bestFit="1" customWidth="1"/>
    <col min="87" max="87" width="4.1640625" style="390" bestFit="1" customWidth="1"/>
    <col min="88" max="88" width="5.6640625" style="390" bestFit="1" customWidth="1"/>
    <col min="89" max="89" width="4.1640625" style="390" bestFit="1" customWidth="1"/>
    <col min="90" max="90" width="5.6640625" style="390" bestFit="1" customWidth="1"/>
    <col min="91" max="91" width="4.1640625" style="390" bestFit="1" customWidth="1"/>
    <col min="92" max="92" width="5.6640625" style="390" bestFit="1" customWidth="1"/>
    <col min="93" max="93" width="4.1640625" style="390" bestFit="1" customWidth="1"/>
    <col min="94" max="94" width="5.6640625" style="390" bestFit="1" customWidth="1"/>
    <col min="95" max="95" width="4.1640625" style="390" bestFit="1" customWidth="1"/>
    <col min="96" max="96" width="5.6640625" style="390" bestFit="1" customWidth="1"/>
    <col min="97" max="97" width="4.1640625" style="390" bestFit="1" customWidth="1"/>
    <col min="98" max="98" width="5.6640625" style="390" bestFit="1" customWidth="1"/>
    <col min="99" max="99" width="4.1640625" style="390" bestFit="1" customWidth="1"/>
    <col min="100" max="100" width="5.6640625" style="390" bestFit="1" customWidth="1"/>
    <col min="101" max="101" width="4.1640625" style="390" bestFit="1" customWidth="1"/>
    <col min="102" max="102" width="5.6640625" style="390" bestFit="1" customWidth="1"/>
    <col min="103" max="103" width="4.1640625" style="390" bestFit="1" customWidth="1"/>
    <col min="104" max="104" width="5.6640625" style="390" bestFit="1" customWidth="1"/>
    <col min="105" max="105" width="4.1640625" style="390" bestFit="1" customWidth="1"/>
    <col min="106" max="106" width="5.6640625" style="390" bestFit="1" customWidth="1"/>
    <col min="107" max="107" width="4.1640625" style="390" bestFit="1" customWidth="1"/>
    <col min="108" max="108" width="5.6640625" style="390" bestFit="1" customWidth="1"/>
    <col min="109" max="109" width="4.1640625" style="390" bestFit="1" customWidth="1"/>
    <col min="110" max="110" width="5.6640625" style="390" bestFit="1" customWidth="1"/>
    <col min="111" max="111" width="4.1640625" style="390" bestFit="1" customWidth="1"/>
    <col min="112" max="112" width="5.6640625" style="390" bestFit="1" customWidth="1"/>
    <col min="113" max="113" width="4.1640625" style="390" bestFit="1" customWidth="1"/>
    <col min="114" max="114" width="5.6640625" style="390" bestFit="1" customWidth="1"/>
    <col min="115" max="115" width="4.1640625" style="390" bestFit="1" customWidth="1"/>
    <col min="116" max="116" width="5.6640625" style="390" bestFit="1" customWidth="1"/>
    <col min="117" max="117" width="4.1640625" style="390" bestFit="1" customWidth="1"/>
    <col min="118" max="118" width="5.6640625" style="390" bestFit="1" customWidth="1"/>
    <col min="119" max="119" width="4.1640625" style="390" bestFit="1" customWidth="1"/>
    <col min="120" max="120" width="5.6640625" style="390" bestFit="1" customWidth="1"/>
    <col min="121" max="121" width="4.1640625" style="390" bestFit="1" customWidth="1"/>
    <col min="122" max="122" width="5.6640625" style="390" bestFit="1" customWidth="1"/>
    <col min="123" max="123" width="4.1640625" style="390" bestFit="1" customWidth="1"/>
    <col min="124" max="124" width="5.6640625" style="390" bestFit="1" customWidth="1"/>
    <col min="125" max="125" width="4.1640625" style="390" bestFit="1" customWidth="1"/>
    <col min="126" max="126" width="5.6640625" style="390" bestFit="1" customWidth="1"/>
    <col min="127" max="127" width="4.1640625" style="390" bestFit="1" customWidth="1"/>
    <col min="128" max="128" width="5.6640625" style="390" bestFit="1" customWidth="1"/>
    <col min="129" max="129" width="4.1640625" style="390" customWidth="1"/>
    <col min="130" max="130" width="5.6640625" style="390" bestFit="1" customWidth="1"/>
    <col min="131" max="131" width="4.1640625" style="390" customWidth="1"/>
    <col min="132" max="132" width="5.6640625" style="390" bestFit="1" customWidth="1"/>
    <col min="133" max="133" width="4.1640625" style="323" bestFit="1" customWidth="1"/>
    <col min="134" max="134" width="9" style="323" bestFit="1" customWidth="1"/>
    <col min="135" max="135" width="3.5" style="324" bestFit="1" customWidth="1"/>
    <col min="136" max="136" width="20.5" style="324" customWidth="1"/>
    <col min="137" max="137" width="13.1640625" style="324" customWidth="1"/>
    <col min="138" max="138" width="9" style="324" bestFit="1" customWidth="1"/>
    <col min="139" max="168" width="5.1640625" style="324" bestFit="1" customWidth="1"/>
    <col min="169" max="16384" width="9" style="324"/>
  </cols>
  <sheetData>
    <row r="1" spans="1:135" ht="18">
      <c r="C1" s="1155" t="s">
        <v>421</v>
      </c>
      <c r="D1" s="1155"/>
      <c r="E1" s="1155"/>
      <c r="F1" s="1155"/>
      <c r="G1" s="1155"/>
      <c r="H1" s="1155"/>
      <c r="I1" s="1155"/>
      <c r="J1" s="1155"/>
      <c r="K1" s="1155"/>
      <c r="L1" s="1155"/>
      <c r="M1" s="1155"/>
      <c r="N1" s="1155"/>
      <c r="O1" s="1155"/>
      <c r="P1" s="1155"/>
      <c r="Q1" s="1155"/>
      <c r="R1" s="1155"/>
      <c r="S1" s="1155"/>
      <c r="T1" s="388"/>
      <c r="U1" s="388"/>
      <c r="V1" s="388"/>
      <c r="W1" s="388"/>
      <c r="X1" s="388"/>
      <c r="Y1" s="388"/>
      <c r="Z1" s="388"/>
      <c r="AA1" s="388"/>
      <c r="AB1" s="388"/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9"/>
    </row>
    <row r="2" spans="1:135" ht="18">
      <c r="B2" s="325" t="s">
        <v>210</v>
      </c>
      <c r="D2" s="391" t="s">
        <v>209</v>
      </c>
      <c r="E2" s="392">
        <f>ii!B7</f>
        <v>58134</v>
      </c>
      <c r="F2" s="391"/>
      <c r="G2" s="326"/>
      <c r="H2" s="326" t="s">
        <v>49</v>
      </c>
      <c r="I2" s="393">
        <f>'2025'!U25</f>
        <v>45371</v>
      </c>
      <c r="J2" s="394"/>
      <c r="M2" s="395"/>
      <c r="O2" s="397"/>
      <c r="R2" s="395"/>
      <c r="S2" s="395"/>
      <c r="T2" s="395"/>
      <c r="U2" s="395"/>
      <c r="V2" s="395"/>
      <c r="W2" s="398"/>
      <c r="X2" s="399"/>
      <c r="Y2" s="395"/>
      <c r="Z2" s="400"/>
      <c r="AA2" s="401"/>
      <c r="AB2" s="402"/>
      <c r="AC2" s="395"/>
      <c r="AD2" s="395"/>
      <c r="AE2" s="403"/>
      <c r="AF2" s="404"/>
      <c r="AG2" s="404"/>
      <c r="AH2" s="404"/>
      <c r="AI2" s="395"/>
      <c r="AJ2" s="395"/>
      <c r="AK2" s="395"/>
      <c r="AL2" s="395"/>
      <c r="AM2" s="395"/>
      <c r="AN2" s="395"/>
      <c r="AO2" s="395"/>
      <c r="AP2" s="395"/>
      <c r="AQ2" s="390" t="s">
        <v>213</v>
      </c>
      <c r="AR2" s="1156" t="s">
        <v>50</v>
      </c>
      <c r="AS2" s="1156"/>
      <c r="AT2" s="405" t="e">
        <f>IF(AW2&gt;30,I2,VLOOKUP(30,A57:C470,3))</f>
        <v>#N/A</v>
      </c>
      <c r="AU2" s="395"/>
      <c r="AV2" s="406" t="s">
        <v>488</v>
      </c>
      <c r="AW2" s="398">
        <f>MIN(A1:A608)</f>
        <v>0</v>
      </c>
      <c r="AX2" s="395"/>
      <c r="AY2" s="395"/>
      <c r="AZ2" s="395"/>
      <c r="BA2" s="395"/>
      <c r="BB2" s="395"/>
      <c r="BC2" s="395"/>
      <c r="BD2" s="395"/>
      <c r="BE2" s="395"/>
      <c r="BF2" s="395"/>
      <c r="BG2" s="395"/>
      <c r="BH2" s="395"/>
      <c r="BI2" s="395"/>
      <c r="BJ2" s="395"/>
      <c r="BK2" s="395"/>
      <c r="BL2" s="395"/>
      <c r="BM2" s="395"/>
      <c r="BN2" s="395"/>
      <c r="BO2" s="395"/>
      <c r="BP2" s="395"/>
      <c r="BQ2" s="395"/>
      <c r="BR2" s="395"/>
      <c r="BS2" s="395"/>
      <c r="BT2" s="395"/>
      <c r="BU2" s="395"/>
      <c r="BV2" s="395"/>
      <c r="BW2" s="395"/>
      <c r="BX2" s="395"/>
      <c r="BY2" s="395"/>
      <c r="BZ2" s="395"/>
      <c r="CC2" s="407"/>
      <c r="CD2" s="407"/>
      <c r="CE2" s="395"/>
      <c r="CF2" s="395"/>
      <c r="CG2" s="395"/>
      <c r="CH2" s="395"/>
      <c r="CI2" s="395"/>
      <c r="CJ2" s="395"/>
      <c r="CK2" s="395"/>
      <c r="CL2" s="395"/>
      <c r="CM2" s="395"/>
      <c r="CN2" s="395"/>
      <c r="CO2" s="395"/>
      <c r="CP2" s="395"/>
      <c r="CQ2" s="395"/>
      <c r="CR2" s="395"/>
      <c r="CS2" s="395"/>
      <c r="CT2" s="395"/>
      <c r="CU2" s="395"/>
      <c r="CV2" s="395"/>
      <c r="CW2" s="395"/>
      <c r="CX2" s="395"/>
      <c r="CY2" s="395"/>
      <c r="CZ2" s="395"/>
      <c r="DA2" s="395"/>
      <c r="DB2" s="395"/>
      <c r="DC2" s="395"/>
      <c r="DD2" s="395"/>
      <c r="DE2" s="395"/>
      <c r="DF2" s="395"/>
      <c r="DG2" s="395"/>
      <c r="DH2" s="395"/>
      <c r="DI2" s="395"/>
      <c r="DJ2" s="395"/>
      <c r="DK2" s="395"/>
      <c r="DL2" s="395"/>
      <c r="DM2" s="395"/>
      <c r="DN2" s="395"/>
      <c r="DO2" s="395"/>
      <c r="DP2" s="395"/>
      <c r="DQ2" s="395"/>
      <c r="DR2" s="395"/>
      <c r="DS2" s="395"/>
      <c r="DT2" s="395"/>
      <c r="DU2" s="395"/>
      <c r="DV2" s="395"/>
      <c r="DW2" s="395"/>
      <c r="DX2" s="395"/>
      <c r="DY2" s="395"/>
      <c r="DZ2" s="395"/>
      <c r="EA2" s="395"/>
      <c r="EB2" s="395"/>
      <c r="EC2" s="395"/>
      <c r="ED2" s="395"/>
    </row>
    <row r="3" spans="1:135" ht="18">
      <c r="B3" s="325"/>
      <c r="C3" s="408"/>
      <c r="D3" s="409">
        <f>YEAR(E2)</f>
        <v>2059</v>
      </c>
      <c r="E3" s="410">
        <f>MONTH(E2)/12</f>
        <v>0.16666666666666666</v>
      </c>
      <c r="F3" s="410">
        <f>D3+E3</f>
        <v>2059.1666666666665</v>
      </c>
      <c r="G3" s="411">
        <f>YEAR(I2)</f>
        <v>2024</v>
      </c>
      <c r="H3" s="411">
        <f>MONTH(I2)/12</f>
        <v>0.25</v>
      </c>
      <c r="I3" s="412">
        <f>G3+H3</f>
        <v>2024.25</v>
      </c>
      <c r="J3" s="413"/>
      <c r="K3" s="291"/>
      <c r="L3" s="389"/>
      <c r="M3" s="389"/>
      <c r="N3" s="389"/>
      <c r="O3" s="389"/>
      <c r="P3" s="389"/>
      <c r="Q3" s="389"/>
      <c r="R3" s="389"/>
      <c r="S3" s="389"/>
      <c r="T3" s="389"/>
      <c r="U3" s="389"/>
      <c r="V3" s="389"/>
      <c r="W3" s="291"/>
      <c r="X3" s="406"/>
      <c r="Y3" s="389"/>
      <c r="Z3" s="414"/>
      <c r="AA3" s="415"/>
      <c r="AB3" s="1157" t="s">
        <v>213</v>
      </c>
      <c r="AC3" s="1157"/>
      <c r="AD3" s="416"/>
      <c r="AE3" s="417"/>
      <c r="AF3" s="1158" t="e">
        <f>#REF!</f>
        <v>#REF!</v>
      </c>
      <c r="AG3" s="1158"/>
      <c r="AH3" s="418"/>
      <c r="AI3" s="419" t="e">
        <f>YEAR(AF3)</f>
        <v>#REF!</v>
      </c>
      <c r="AJ3" s="420"/>
      <c r="AK3" s="157"/>
      <c r="AL3" s="1159" t="e">
        <f>#REF!</f>
        <v>#REF!</v>
      </c>
      <c r="AM3" s="1159"/>
      <c r="AN3" s="1160" t="s">
        <v>52</v>
      </c>
      <c r="AO3" s="1160"/>
      <c r="AP3" s="421">
        <v>1.4999999999999999E-2</v>
      </c>
      <c r="AQ3" s="389"/>
      <c r="AR3" s="389"/>
      <c r="AS3" s="395"/>
      <c r="AT3" s="422" t="e">
        <f>YEAR(AT2)</f>
        <v>#N/A</v>
      </c>
      <c r="AU3" s="395"/>
      <c r="AV3" s="395"/>
      <c r="AW3" s="395"/>
      <c r="AX3" s="395"/>
      <c r="AY3" s="395"/>
      <c r="AZ3" s="395"/>
      <c r="BA3" s="395"/>
      <c r="BB3" s="395"/>
      <c r="BC3" s="395"/>
      <c r="BD3" s="395"/>
      <c r="BE3" s="395"/>
      <c r="BF3" s="395"/>
      <c r="BG3" s="395"/>
      <c r="BH3" s="395"/>
      <c r="BI3" s="395"/>
      <c r="BJ3" s="395"/>
      <c r="BK3" s="395"/>
      <c r="BL3" s="395"/>
      <c r="BM3" s="395"/>
      <c r="BN3" s="395"/>
      <c r="BO3" s="395"/>
      <c r="BP3" s="395"/>
      <c r="BQ3" s="395"/>
      <c r="BR3" s="395"/>
      <c r="BS3" s="395"/>
      <c r="BT3" s="395"/>
      <c r="BU3" s="395"/>
      <c r="BV3" s="395"/>
      <c r="BW3" s="395"/>
      <c r="BX3" s="395"/>
      <c r="BY3" s="395"/>
      <c r="BZ3" s="395"/>
      <c r="CC3" s="407"/>
      <c r="CD3" s="395"/>
      <c r="CE3" s="395"/>
      <c r="CF3" s="395"/>
      <c r="CG3" s="395"/>
      <c r="CH3" s="395"/>
      <c r="CI3" s="395"/>
      <c r="CJ3" s="395"/>
      <c r="CK3" s="395"/>
      <c r="CL3" s="395"/>
      <c r="CM3" s="395"/>
      <c r="CN3" s="395"/>
      <c r="CO3" s="395"/>
      <c r="CP3" s="395"/>
      <c r="CQ3" s="395"/>
      <c r="CR3" s="395"/>
      <c r="CS3" s="395"/>
      <c r="CT3" s="395"/>
      <c r="CU3" s="395"/>
      <c r="CV3" s="395"/>
      <c r="CW3" s="395"/>
      <c r="CX3" s="395"/>
      <c r="CY3" s="395"/>
      <c r="CZ3" s="395"/>
      <c r="DA3" s="395"/>
      <c r="DB3" s="395"/>
      <c r="DC3" s="395"/>
      <c r="DD3" s="395"/>
      <c r="DE3" s="395"/>
      <c r="DF3" s="395"/>
      <c r="DG3" s="395"/>
      <c r="DH3" s="395"/>
      <c r="DI3" s="395"/>
      <c r="DJ3" s="395"/>
      <c r="DK3" s="395"/>
      <c r="DL3" s="395"/>
      <c r="DM3" s="395"/>
      <c r="DN3" s="395"/>
      <c r="DO3" s="395"/>
      <c r="DP3" s="395"/>
      <c r="DQ3" s="395"/>
      <c r="DR3" s="395"/>
      <c r="DS3" s="395"/>
      <c r="DT3" s="395"/>
      <c r="DU3" s="395"/>
      <c r="DV3" s="395"/>
      <c r="DW3" s="395"/>
      <c r="DX3" s="395"/>
      <c r="DY3" s="395"/>
      <c r="DZ3" s="395"/>
      <c r="EA3" s="395"/>
      <c r="EB3" s="395"/>
      <c r="EC3" s="395"/>
      <c r="ED3" s="395"/>
    </row>
    <row r="4" spans="1:135" ht="10">
      <c r="A4" s="321" t="s">
        <v>548</v>
      </c>
      <c r="B4" s="566">
        <f>ii!B9*12</f>
        <v>432</v>
      </c>
      <c r="C4" s="1138"/>
      <c r="D4" s="1138"/>
      <c r="E4" s="1138"/>
      <c r="F4" s="1139"/>
      <c r="G4" s="1139"/>
      <c r="H4" s="327"/>
      <c r="I4" s="327"/>
      <c r="J4" s="423"/>
      <c r="L4" s="423"/>
      <c r="M4" s="423"/>
      <c r="N4" s="396" t="s">
        <v>491</v>
      </c>
      <c r="P4" s="424" t="e">
        <f>VLOOKUP(#REF!,gg!G9:H476,2)</f>
        <v>#REF!</v>
      </c>
      <c r="Q4" s="424"/>
      <c r="S4" s="390"/>
      <c r="T4" s="390"/>
      <c r="U4" s="390"/>
      <c r="BK4" s="430"/>
      <c r="BL4" s="430"/>
      <c r="BQ4" s="324"/>
      <c r="BR4" s="324"/>
      <c r="BS4" s="324"/>
      <c r="BT4" s="324"/>
      <c r="BU4" s="324"/>
      <c r="BV4" s="324"/>
      <c r="BW4" s="324"/>
      <c r="BX4" s="324"/>
      <c r="BY4" s="324"/>
      <c r="BZ4" s="324"/>
      <c r="CA4" s="324"/>
      <c r="CB4" s="324"/>
      <c r="CC4" s="324"/>
      <c r="CD4" s="324"/>
      <c r="CE4" s="324"/>
      <c r="CF4" s="324"/>
      <c r="CG4" s="324"/>
      <c r="CH4" s="324"/>
      <c r="CI4" s="324"/>
      <c r="CJ4" s="324"/>
      <c r="CK4" s="324"/>
      <c r="CL4" s="324"/>
      <c r="CM4" s="324"/>
      <c r="CN4" s="324"/>
      <c r="CO4" s="324"/>
      <c r="CP4" s="324"/>
      <c r="CQ4" s="324"/>
      <c r="CR4" s="324"/>
      <c r="CS4" s="324"/>
      <c r="CT4" s="324"/>
      <c r="CU4" s="324"/>
      <c r="CV4" s="324"/>
      <c r="CW4" s="324"/>
      <c r="CX4" s="324"/>
      <c r="CY4" s="324"/>
      <c r="CZ4" s="324"/>
      <c r="DA4" s="324"/>
      <c r="DB4" s="324"/>
      <c r="DC4" s="324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324"/>
      <c r="DQ4" s="324"/>
      <c r="DR4" s="324"/>
      <c r="DS4" s="324"/>
      <c r="DT4" s="324"/>
      <c r="DU4" s="324"/>
      <c r="DV4" s="324"/>
      <c r="DW4" s="324"/>
      <c r="DX4" s="324"/>
      <c r="DY4" s="324"/>
      <c r="DZ4" s="324"/>
      <c r="EA4" s="324"/>
      <c r="EB4" s="324"/>
      <c r="EC4" s="324"/>
      <c r="ED4" s="324"/>
    </row>
    <row r="5" spans="1:135" ht="10">
      <c r="B5" s="571">
        <f>VLOOKUP($B$4,$B$20:$C$999,2)</f>
        <v>58500</v>
      </c>
      <c r="C5" s="431"/>
      <c r="D5" s="328"/>
      <c r="E5" s="328"/>
      <c r="F5" s="328"/>
      <c r="G5" s="329"/>
      <c r="H5" s="328"/>
      <c r="I5" s="328"/>
      <c r="P5" s="1140" t="s">
        <v>48</v>
      </c>
      <c r="Q5" s="1141"/>
      <c r="R5" s="1141"/>
      <c r="S5" s="330">
        <f>ii!B9</f>
        <v>36</v>
      </c>
      <c r="X5" s="324"/>
      <c r="AC5" s="324"/>
      <c r="AD5" s="324"/>
      <c r="AF5" s="432"/>
      <c r="AG5" s="433">
        <v>1</v>
      </c>
      <c r="AH5" s="433"/>
      <c r="AI5" s="434">
        <v>2</v>
      </c>
      <c r="AJ5" s="434"/>
      <c r="AK5" s="434">
        <v>3</v>
      </c>
      <c r="AL5" s="434"/>
      <c r="AM5" s="434">
        <v>4</v>
      </c>
      <c r="AN5" s="434"/>
      <c r="AO5" s="434">
        <v>5</v>
      </c>
      <c r="AP5" s="434"/>
      <c r="AQ5" s="434">
        <v>6</v>
      </c>
      <c r="AR5" s="434"/>
      <c r="AS5" s="434">
        <v>7</v>
      </c>
      <c r="AT5" s="434"/>
      <c r="AU5" s="434">
        <v>8</v>
      </c>
      <c r="AV5" s="434"/>
      <c r="AW5" s="434">
        <v>9</v>
      </c>
      <c r="AX5" s="434"/>
      <c r="AY5" s="434">
        <v>10</v>
      </c>
      <c r="AZ5" s="434"/>
      <c r="BA5" s="434">
        <v>11</v>
      </c>
      <c r="BB5" s="434"/>
      <c r="BC5" s="434">
        <v>12</v>
      </c>
      <c r="BD5" s="434"/>
      <c r="BE5" s="434">
        <v>13</v>
      </c>
      <c r="BF5" s="434"/>
      <c r="BG5" s="434">
        <v>14</v>
      </c>
      <c r="BH5" s="435"/>
      <c r="BI5" s="435">
        <v>15</v>
      </c>
      <c r="BJ5" s="435"/>
      <c r="BK5" s="435">
        <v>16</v>
      </c>
      <c r="BL5" s="435"/>
      <c r="BM5" s="435">
        <v>17</v>
      </c>
      <c r="BN5" s="435"/>
      <c r="BO5" s="435">
        <v>18</v>
      </c>
      <c r="BP5" s="435"/>
      <c r="BQ5" s="435">
        <v>19</v>
      </c>
      <c r="BR5" s="435"/>
      <c r="BS5" s="435">
        <v>20</v>
      </c>
      <c r="BT5" s="435"/>
      <c r="BU5" s="435">
        <v>21</v>
      </c>
      <c r="BV5" s="435"/>
      <c r="BW5" s="435">
        <v>22</v>
      </c>
      <c r="BX5" s="435"/>
      <c r="BY5" s="435">
        <v>23</v>
      </c>
      <c r="BZ5" s="435"/>
      <c r="CA5" s="435">
        <v>24</v>
      </c>
      <c r="CB5" s="435"/>
      <c r="CC5" s="435">
        <v>25</v>
      </c>
      <c r="CD5" s="435"/>
      <c r="CE5" s="435">
        <v>26</v>
      </c>
      <c r="CF5" s="435"/>
      <c r="CG5" s="435">
        <v>27</v>
      </c>
      <c r="CH5" s="435"/>
      <c r="CI5" s="435">
        <v>28</v>
      </c>
      <c r="CJ5" s="435"/>
      <c r="CK5" s="435">
        <v>29</v>
      </c>
      <c r="CL5" s="435"/>
      <c r="CM5" s="435">
        <v>30</v>
      </c>
      <c r="CN5" s="435"/>
      <c r="CO5" s="435">
        <v>31</v>
      </c>
      <c r="CP5" s="435"/>
      <c r="CQ5" s="435">
        <v>32</v>
      </c>
      <c r="CR5" s="435"/>
      <c r="CS5" s="435">
        <v>33</v>
      </c>
      <c r="CT5" s="435"/>
      <c r="CU5" s="435">
        <v>34</v>
      </c>
      <c r="CV5" s="435"/>
      <c r="CW5" s="435">
        <v>35</v>
      </c>
      <c r="CX5" s="435"/>
      <c r="CY5" s="435">
        <v>36</v>
      </c>
      <c r="CZ5" s="435"/>
      <c r="DA5" s="435">
        <v>37</v>
      </c>
      <c r="DB5" s="435"/>
      <c r="DC5" s="435">
        <v>38</v>
      </c>
      <c r="DD5" s="435"/>
      <c r="DE5" s="435">
        <v>39</v>
      </c>
      <c r="DF5" s="435"/>
      <c r="DG5" s="435">
        <v>40</v>
      </c>
      <c r="DH5" s="435"/>
      <c r="DI5" s="435">
        <v>41</v>
      </c>
      <c r="DJ5" s="435"/>
      <c r="DK5" s="435">
        <v>42</v>
      </c>
      <c r="DL5" s="435"/>
      <c r="DM5" s="435">
        <v>43</v>
      </c>
      <c r="DN5" s="435"/>
      <c r="DO5" s="435">
        <v>44</v>
      </c>
      <c r="DP5" s="435"/>
      <c r="DQ5" s="435">
        <v>45</v>
      </c>
      <c r="DR5" s="435"/>
      <c r="DS5" s="435"/>
      <c r="DT5" s="435"/>
      <c r="DU5" s="435"/>
      <c r="DV5" s="435"/>
      <c r="DW5" s="435"/>
      <c r="DX5" s="435"/>
      <c r="DY5" s="435"/>
      <c r="DZ5" s="435"/>
      <c r="EA5" s="435"/>
      <c r="EB5" s="435"/>
      <c r="EC5" s="436"/>
      <c r="ED5" s="437"/>
    </row>
    <row r="6" spans="1:135" ht="10">
      <c r="B6" s="1142" t="s">
        <v>42</v>
      </c>
      <c r="C6" s="1145" t="s">
        <v>500</v>
      </c>
      <c r="D6" s="1146" t="s">
        <v>502</v>
      </c>
      <c r="E6" s="1146" t="s">
        <v>523</v>
      </c>
      <c r="F6" s="1146" t="s">
        <v>510</v>
      </c>
      <c r="G6" s="1149" t="s">
        <v>542</v>
      </c>
      <c r="H6" s="1150" t="s">
        <v>51</v>
      </c>
      <c r="I6" s="1150"/>
      <c r="J6" s="1151" t="s">
        <v>426</v>
      </c>
      <c r="K6" s="1151"/>
      <c r="L6" s="1151"/>
      <c r="M6" s="1151"/>
      <c r="N6" s="1151"/>
      <c r="O6" s="1151"/>
      <c r="P6" s="1152" t="s">
        <v>418</v>
      </c>
      <c r="Q6" s="1152"/>
      <c r="R6" s="1152"/>
      <c r="S6" s="1152"/>
      <c r="T6" s="1152"/>
      <c r="U6" s="1152"/>
      <c r="V6" s="1128" t="s">
        <v>381</v>
      </c>
      <c r="W6" s="1128"/>
      <c r="X6" s="1128"/>
      <c r="Y6" s="1128"/>
      <c r="Z6" s="1128"/>
      <c r="AA6" s="1128"/>
      <c r="AB6" s="1128"/>
      <c r="AC6" s="1128"/>
      <c r="AD6" s="1128"/>
      <c r="AE6" s="1128"/>
      <c r="AF6" s="1128"/>
      <c r="AG6" s="1128"/>
      <c r="AH6" s="1128"/>
      <c r="AI6" s="1128"/>
      <c r="AJ6" s="1128"/>
      <c r="AK6" s="1128"/>
      <c r="AL6" s="1128"/>
      <c r="AM6" s="1128"/>
      <c r="AN6" s="1128"/>
      <c r="AO6" s="1128"/>
      <c r="AP6" s="1128"/>
      <c r="AQ6" s="1128"/>
      <c r="AR6" s="1128"/>
      <c r="AS6" s="1128"/>
      <c r="AT6" s="1128"/>
      <c r="AU6" s="1128"/>
      <c r="AV6" s="1128"/>
      <c r="AW6" s="1128"/>
      <c r="AX6" s="1128"/>
      <c r="AY6" s="1128"/>
      <c r="AZ6" s="1128"/>
      <c r="BA6" s="1128"/>
      <c r="BB6" s="1128"/>
      <c r="BC6" s="1128"/>
      <c r="BD6" s="1128"/>
      <c r="BE6" s="1128"/>
      <c r="BF6" s="1129"/>
      <c r="BG6" s="1129"/>
      <c r="BH6" s="438"/>
      <c r="BI6" s="1130"/>
      <c r="BJ6" s="1130"/>
      <c r="BK6" s="1130"/>
      <c r="BL6" s="1130"/>
      <c r="BM6" s="1130"/>
      <c r="BN6" s="1130"/>
      <c r="BO6" s="1130"/>
      <c r="BP6" s="1130"/>
      <c r="BQ6" s="1130"/>
      <c r="BR6" s="1130"/>
      <c r="BS6" s="1130"/>
      <c r="BT6" s="1130"/>
      <c r="BU6" s="1130"/>
      <c r="BV6" s="1130"/>
      <c r="BW6" s="1130"/>
      <c r="BX6" s="1130"/>
      <c r="BY6" s="1130"/>
      <c r="BZ6" s="1130"/>
      <c r="CA6" s="1130"/>
      <c r="CB6" s="1130"/>
      <c r="CC6" s="1130"/>
      <c r="CD6" s="1130"/>
      <c r="CE6" s="1130"/>
      <c r="CF6" s="1130"/>
      <c r="CG6" s="1130"/>
      <c r="CH6" s="1130"/>
      <c r="CI6" s="1130"/>
      <c r="CJ6" s="1130"/>
      <c r="CK6" s="1130"/>
      <c r="CL6" s="1130"/>
      <c r="CM6" s="1130"/>
      <c r="CN6" s="1130"/>
      <c r="CO6" s="1130"/>
      <c r="CP6" s="1130"/>
      <c r="CQ6" s="1130"/>
      <c r="CR6" s="1130"/>
      <c r="CS6" s="1130"/>
      <c r="CT6" s="1130"/>
      <c r="CU6" s="1130"/>
      <c r="CV6" s="1130"/>
      <c r="CW6" s="1130"/>
      <c r="CX6" s="1130"/>
      <c r="CY6" s="1130"/>
      <c r="CZ6" s="1130"/>
      <c r="DA6" s="1130"/>
      <c r="DB6" s="1130"/>
      <c r="DC6" s="1130"/>
      <c r="DD6" s="1130"/>
      <c r="DE6" s="1130"/>
      <c r="DF6" s="438"/>
      <c r="DG6" s="438"/>
      <c r="DH6" s="438"/>
      <c r="DI6" s="438"/>
      <c r="DJ6" s="438"/>
      <c r="DK6" s="438"/>
      <c r="DL6" s="438"/>
      <c r="DM6" s="438"/>
      <c r="DN6" s="438"/>
      <c r="DO6" s="438"/>
      <c r="DP6" s="438"/>
      <c r="DQ6" s="438"/>
      <c r="DR6" s="438"/>
      <c r="DS6" s="438"/>
      <c r="DT6" s="438"/>
      <c r="DU6" s="438"/>
      <c r="DV6" s="438"/>
      <c r="DW6" s="438"/>
      <c r="DX6" s="438"/>
      <c r="DY6" s="438"/>
      <c r="DZ6" s="438"/>
      <c r="EA6" s="438"/>
      <c r="EB6" s="438"/>
      <c r="EC6" s="1131" t="s">
        <v>39</v>
      </c>
      <c r="ED6" s="1132" t="s">
        <v>224</v>
      </c>
      <c r="EE6" s="1133" t="s">
        <v>489</v>
      </c>
    </row>
    <row r="7" spans="1:135" s="323" customFormat="1" ht="20">
      <c r="A7" s="439"/>
      <c r="B7" s="1143"/>
      <c r="C7" s="1145"/>
      <c r="D7" s="1147"/>
      <c r="E7" s="1147"/>
      <c r="F7" s="1147"/>
      <c r="G7" s="1149"/>
      <c r="H7" s="1150"/>
      <c r="I7" s="1150"/>
      <c r="J7" s="1153" t="s">
        <v>231</v>
      </c>
      <c r="K7" s="1153"/>
      <c r="L7" s="1153"/>
      <c r="M7" s="1153"/>
      <c r="N7" s="1153"/>
      <c r="O7" s="1153"/>
      <c r="P7" s="1154" t="s">
        <v>53</v>
      </c>
      <c r="Q7" s="1154"/>
      <c r="R7" s="1154"/>
      <c r="S7" s="1152" t="s">
        <v>236</v>
      </c>
      <c r="T7" s="1152"/>
      <c r="U7" s="1152"/>
      <c r="V7" s="1134" t="s">
        <v>43</v>
      </c>
      <c r="W7" s="1134"/>
      <c r="X7" s="1135" t="s">
        <v>221</v>
      </c>
      <c r="Y7" s="1136" t="s">
        <v>351</v>
      </c>
      <c r="Z7" s="1136"/>
      <c r="AA7" s="1136"/>
      <c r="AB7" s="1137" t="s">
        <v>658</v>
      </c>
      <c r="AC7" s="1137"/>
      <c r="AD7" s="1137"/>
      <c r="AE7" s="440">
        <v>30</v>
      </c>
      <c r="AF7" s="441" t="s">
        <v>217</v>
      </c>
      <c r="AG7" s="442">
        <v>2016</v>
      </c>
      <c r="AH7" s="443" t="s">
        <v>240</v>
      </c>
      <c r="AI7" s="444">
        <v>2017</v>
      </c>
      <c r="AJ7" s="443" t="s">
        <v>240</v>
      </c>
      <c r="AK7" s="445">
        <v>2018</v>
      </c>
      <c r="AL7" s="446" t="s">
        <v>40</v>
      </c>
      <c r="AM7" s="444">
        <v>2019</v>
      </c>
      <c r="AN7" s="443" t="s">
        <v>240</v>
      </c>
      <c r="AO7" s="444">
        <v>2020</v>
      </c>
      <c r="AP7" s="443" t="s">
        <v>240</v>
      </c>
      <c r="AQ7" s="444">
        <v>2021</v>
      </c>
      <c r="AR7" s="443" t="s">
        <v>240</v>
      </c>
      <c r="AS7" s="447">
        <v>2022</v>
      </c>
      <c r="AT7" s="446" t="s">
        <v>240</v>
      </c>
      <c r="AU7" s="444">
        <v>2023</v>
      </c>
      <c r="AV7" s="443" t="s">
        <v>240</v>
      </c>
      <c r="AW7" s="447">
        <v>2024</v>
      </c>
      <c r="AX7" s="446" t="s">
        <v>240</v>
      </c>
      <c r="AY7" s="444">
        <v>2025</v>
      </c>
      <c r="AZ7" s="443" t="s">
        <v>240</v>
      </c>
      <c r="BA7" s="447">
        <v>2026</v>
      </c>
      <c r="BB7" s="446" t="s">
        <v>240</v>
      </c>
      <c r="BC7" s="448">
        <v>2027</v>
      </c>
      <c r="BD7" s="446" t="s">
        <v>240</v>
      </c>
      <c r="BE7" s="447">
        <v>2028</v>
      </c>
      <c r="BF7" s="446" t="s">
        <v>240</v>
      </c>
      <c r="BG7" s="448">
        <v>2029</v>
      </c>
      <c r="BH7" s="446" t="s">
        <v>240</v>
      </c>
      <c r="BI7" s="449">
        <v>2030</v>
      </c>
      <c r="BJ7" s="446" t="s">
        <v>240</v>
      </c>
      <c r="BK7" s="450">
        <v>2031</v>
      </c>
      <c r="BL7" s="446" t="s">
        <v>240</v>
      </c>
      <c r="BM7" s="449">
        <v>2032</v>
      </c>
      <c r="BN7" s="446" t="s">
        <v>240</v>
      </c>
      <c r="BO7" s="450">
        <v>2033</v>
      </c>
      <c r="BP7" s="446" t="s">
        <v>240</v>
      </c>
      <c r="BQ7" s="449">
        <v>3034</v>
      </c>
      <c r="BR7" s="446" t="s">
        <v>240</v>
      </c>
      <c r="BS7" s="450">
        <v>2035</v>
      </c>
      <c r="BT7" s="446" t="s">
        <v>240</v>
      </c>
      <c r="BU7" s="450">
        <v>2036</v>
      </c>
      <c r="BV7" s="446" t="s">
        <v>240</v>
      </c>
      <c r="BW7" s="450">
        <v>2037</v>
      </c>
      <c r="BX7" s="446" t="s">
        <v>240</v>
      </c>
      <c r="BY7" s="450">
        <v>2038</v>
      </c>
      <c r="BZ7" s="446" t="s">
        <v>240</v>
      </c>
      <c r="CA7" s="450">
        <v>2039</v>
      </c>
      <c r="CB7" s="446" t="s">
        <v>240</v>
      </c>
      <c r="CC7" s="450">
        <v>2040</v>
      </c>
      <c r="CD7" s="446" t="s">
        <v>240</v>
      </c>
      <c r="CE7" s="450">
        <v>2041</v>
      </c>
      <c r="CF7" s="446" t="s">
        <v>240</v>
      </c>
      <c r="CG7" s="450">
        <v>2042</v>
      </c>
      <c r="CH7" s="446" t="s">
        <v>240</v>
      </c>
      <c r="CI7" s="450">
        <v>2043</v>
      </c>
      <c r="CJ7" s="446" t="s">
        <v>240</v>
      </c>
      <c r="CK7" s="450">
        <v>2044</v>
      </c>
      <c r="CL7" s="446" t="s">
        <v>240</v>
      </c>
      <c r="CM7" s="450">
        <v>2045</v>
      </c>
      <c r="CN7" s="446" t="s">
        <v>240</v>
      </c>
      <c r="CO7" s="450">
        <v>2046</v>
      </c>
      <c r="CP7" s="446" t="s">
        <v>240</v>
      </c>
      <c r="CQ7" s="450">
        <v>2047</v>
      </c>
      <c r="CR7" s="446" t="s">
        <v>240</v>
      </c>
      <c r="CS7" s="450">
        <v>2048</v>
      </c>
      <c r="CT7" s="446" t="s">
        <v>240</v>
      </c>
      <c r="CU7" s="450">
        <v>2049</v>
      </c>
      <c r="CV7" s="446" t="s">
        <v>240</v>
      </c>
      <c r="CW7" s="450">
        <v>2050</v>
      </c>
      <c r="CX7" s="446" t="s">
        <v>240</v>
      </c>
      <c r="CY7" s="450">
        <v>2051</v>
      </c>
      <c r="CZ7" s="446" t="s">
        <v>240</v>
      </c>
      <c r="DA7" s="450">
        <v>2052</v>
      </c>
      <c r="DB7" s="446" t="s">
        <v>240</v>
      </c>
      <c r="DC7" s="450">
        <v>2053</v>
      </c>
      <c r="DD7" s="446" t="s">
        <v>240</v>
      </c>
      <c r="DE7" s="451">
        <v>2054</v>
      </c>
      <c r="DF7" s="446" t="s">
        <v>240</v>
      </c>
      <c r="DG7" s="450">
        <v>2055</v>
      </c>
      <c r="DH7" s="446" t="s">
        <v>240</v>
      </c>
      <c r="DI7" s="451">
        <v>2056</v>
      </c>
      <c r="DJ7" s="446" t="s">
        <v>240</v>
      </c>
      <c r="DK7" s="450">
        <v>2057</v>
      </c>
      <c r="DL7" s="446" t="s">
        <v>240</v>
      </c>
      <c r="DM7" s="451">
        <v>2058</v>
      </c>
      <c r="DN7" s="446" t="s">
        <v>240</v>
      </c>
      <c r="DO7" s="450">
        <v>2059</v>
      </c>
      <c r="DP7" s="446" t="s">
        <v>240</v>
      </c>
      <c r="DQ7" s="451">
        <v>2060</v>
      </c>
      <c r="DR7" s="446" t="s">
        <v>240</v>
      </c>
      <c r="DS7" s="450">
        <v>2061</v>
      </c>
      <c r="DT7" s="446" t="s">
        <v>240</v>
      </c>
      <c r="DU7" s="451">
        <v>2062</v>
      </c>
      <c r="DV7" s="446" t="s">
        <v>240</v>
      </c>
      <c r="DW7" s="450">
        <v>2063</v>
      </c>
      <c r="DX7" s="446" t="s">
        <v>240</v>
      </c>
      <c r="DY7" s="451">
        <v>2064</v>
      </c>
      <c r="DZ7" s="446" t="s">
        <v>240</v>
      </c>
      <c r="EA7" s="450">
        <v>2065</v>
      </c>
      <c r="EB7" s="446" t="s">
        <v>240</v>
      </c>
      <c r="EC7" s="1131"/>
      <c r="ED7" s="1132"/>
      <c r="EE7" s="1133"/>
    </row>
    <row r="8" spans="1:135" s="323" customFormat="1" ht="20">
      <c r="A8" s="439"/>
      <c r="B8" s="1144"/>
      <c r="C8" s="1145"/>
      <c r="D8" s="1148"/>
      <c r="E8" s="1148"/>
      <c r="F8" s="1148"/>
      <c r="G8" s="1149"/>
      <c r="H8" s="452" t="s">
        <v>37</v>
      </c>
      <c r="I8" s="452" t="s">
        <v>540</v>
      </c>
      <c r="J8" s="453" t="s">
        <v>182</v>
      </c>
      <c r="K8" s="454" t="s">
        <v>464</v>
      </c>
      <c r="L8" s="453" t="s">
        <v>490</v>
      </c>
      <c r="M8" s="453" t="s">
        <v>212</v>
      </c>
      <c r="N8" s="455" t="s">
        <v>229</v>
      </c>
      <c r="O8" s="455" t="s">
        <v>540</v>
      </c>
      <c r="P8" s="456" t="s">
        <v>448</v>
      </c>
      <c r="Q8" s="456" t="s">
        <v>44</v>
      </c>
      <c r="R8" s="456" t="s">
        <v>540</v>
      </c>
      <c r="S8" s="457" t="s">
        <v>219</v>
      </c>
      <c r="T8" s="457" t="s">
        <v>546</v>
      </c>
      <c r="U8" s="457" t="s">
        <v>543</v>
      </c>
      <c r="V8" s="331" t="s">
        <v>514</v>
      </c>
      <c r="W8" s="332" t="s">
        <v>502</v>
      </c>
      <c r="X8" s="1135"/>
      <c r="Y8" s="458" t="s">
        <v>448</v>
      </c>
      <c r="Z8" s="459" t="s">
        <v>237</v>
      </c>
      <c r="AA8" s="460" t="s">
        <v>541</v>
      </c>
      <c r="AB8" s="461" t="s">
        <v>547</v>
      </c>
      <c r="AC8" s="462" t="s">
        <v>239</v>
      </c>
      <c r="AD8" s="463" t="s">
        <v>216</v>
      </c>
      <c r="AE8" s="440" t="s">
        <v>230</v>
      </c>
      <c r="AF8" s="464">
        <v>1.9E-2</v>
      </c>
      <c r="AG8" s="465">
        <v>1.8780000000000002E-2</v>
      </c>
      <c r="AH8" s="465"/>
      <c r="AI8" s="466">
        <v>1.856E-2</v>
      </c>
      <c r="AJ8" s="466"/>
      <c r="AK8" s="465">
        <v>1.8339999999999999E-2</v>
      </c>
      <c r="AL8" s="465"/>
      <c r="AM8" s="466">
        <v>1.8120000000000001E-2</v>
      </c>
      <c r="AN8" s="466"/>
      <c r="AO8" s="465">
        <v>1.7899999999999999E-2</v>
      </c>
      <c r="AP8" s="465"/>
      <c r="AQ8" s="466">
        <v>1.78E-2</v>
      </c>
      <c r="AR8" s="466"/>
      <c r="AS8" s="465">
        <v>1.77E-2</v>
      </c>
      <c r="AT8" s="465"/>
      <c r="AU8" s="466">
        <v>1.7600000000000001E-2</v>
      </c>
      <c r="AV8" s="466"/>
      <c r="AW8" s="465">
        <v>1.7500000000000002E-2</v>
      </c>
      <c r="AX8" s="465"/>
      <c r="AY8" s="467">
        <v>1.7399999999999999E-2</v>
      </c>
      <c r="AZ8" s="467"/>
      <c r="BA8" s="465">
        <v>1.736E-2</v>
      </c>
      <c r="BB8" s="465"/>
      <c r="BC8" s="467">
        <v>1.7319999999999999E-2</v>
      </c>
      <c r="BD8" s="467"/>
      <c r="BE8" s="465">
        <v>1.728E-2</v>
      </c>
      <c r="BF8" s="465"/>
      <c r="BG8" s="467">
        <v>1.7239999999999998E-2</v>
      </c>
      <c r="BH8" s="467"/>
      <c r="BI8" s="465">
        <v>1.72E-2</v>
      </c>
      <c r="BJ8" s="465"/>
      <c r="BK8" s="467">
        <v>1.7160000000000002E-2</v>
      </c>
      <c r="BL8" s="467"/>
      <c r="BM8" s="465">
        <v>1.712E-2</v>
      </c>
      <c r="BN8" s="465"/>
      <c r="BO8" s="467">
        <v>1.7080000000000001E-2</v>
      </c>
      <c r="BP8" s="467"/>
      <c r="BQ8" s="465">
        <v>1.704E-2</v>
      </c>
      <c r="BR8" s="465"/>
      <c r="BS8" s="467">
        <v>1.7000000000000001E-2</v>
      </c>
      <c r="BT8" s="467"/>
      <c r="BU8" s="467">
        <v>1.7000000000000001E-2</v>
      </c>
      <c r="BV8" s="467"/>
      <c r="BW8" s="467">
        <v>1.7000000000000001E-2</v>
      </c>
      <c r="BX8" s="467"/>
      <c r="BY8" s="467">
        <v>1.7000000000000001E-2</v>
      </c>
      <c r="BZ8" s="467"/>
      <c r="CA8" s="467">
        <v>1.7000000000000001E-2</v>
      </c>
      <c r="CB8" s="467"/>
      <c r="CC8" s="467">
        <v>1.7000000000000001E-2</v>
      </c>
      <c r="CD8" s="467"/>
      <c r="CE8" s="467">
        <v>1.7000000000000001E-2</v>
      </c>
      <c r="CF8" s="467"/>
      <c r="CG8" s="467">
        <v>1.7000000000000001E-2</v>
      </c>
      <c r="CH8" s="467"/>
      <c r="CI8" s="467">
        <v>1.7000000000000001E-2</v>
      </c>
      <c r="CJ8" s="467"/>
      <c r="CK8" s="467">
        <v>1.7000000000000001E-2</v>
      </c>
      <c r="CL8" s="467"/>
      <c r="CM8" s="467">
        <v>1.7000000000000001E-2</v>
      </c>
      <c r="CN8" s="467"/>
      <c r="CO8" s="467">
        <v>1.7000000000000001E-2</v>
      </c>
      <c r="CP8" s="467"/>
      <c r="CQ8" s="467">
        <v>1.7000000000000001E-2</v>
      </c>
      <c r="CR8" s="467"/>
      <c r="CS8" s="467">
        <v>1.7000000000000001E-2</v>
      </c>
      <c r="CT8" s="467"/>
      <c r="CU8" s="467">
        <v>1.7000000000000001E-2</v>
      </c>
      <c r="CV8" s="467"/>
      <c r="CW8" s="467">
        <v>1.7000000000000001E-2</v>
      </c>
      <c r="CX8" s="467"/>
      <c r="CY8" s="467">
        <v>1.7000000000000001E-2</v>
      </c>
      <c r="CZ8" s="467"/>
      <c r="DA8" s="467">
        <v>1.7000000000000001E-2</v>
      </c>
      <c r="DB8" s="467"/>
      <c r="DC8" s="467">
        <v>1.7000000000000001E-2</v>
      </c>
      <c r="DD8" s="468"/>
      <c r="DE8" s="468">
        <v>1.7000000000000001E-2</v>
      </c>
      <c r="DF8" s="468"/>
      <c r="DG8" s="468">
        <v>1.7000000000000001E-2</v>
      </c>
      <c r="DH8" s="468"/>
      <c r="DI8" s="468">
        <v>1.7000000000000001E-2</v>
      </c>
      <c r="DJ8" s="468"/>
      <c r="DK8" s="468">
        <v>1.7000000000000001E-2</v>
      </c>
      <c r="DL8" s="468"/>
      <c r="DM8" s="468">
        <v>1.7000000000000001E-2</v>
      </c>
      <c r="DN8" s="468"/>
      <c r="DO8" s="468">
        <v>1.7000000000000001E-2</v>
      </c>
      <c r="DP8" s="468"/>
      <c r="DQ8" s="468">
        <v>1.7000000000000001E-2</v>
      </c>
      <c r="DR8" s="468"/>
      <c r="DS8" s="468">
        <v>1.7000000000000001E-2</v>
      </c>
      <c r="DT8" s="468"/>
      <c r="DU8" s="468">
        <v>1.7000000000000001E-2</v>
      </c>
      <c r="DV8" s="468"/>
      <c r="DW8" s="468">
        <v>1.7000000000000001E-2</v>
      </c>
      <c r="DX8" s="468"/>
      <c r="DY8" s="468">
        <v>1.7000000000000001E-2</v>
      </c>
      <c r="DZ8" s="468"/>
      <c r="EA8" s="468">
        <v>1.7000000000000001E-2</v>
      </c>
      <c r="EB8" s="468"/>
      <c r="EC8" s="1131"/>
      <c r="ED8" s="1132"/>
      <c r="EE8" s="1133"/>
    </row>
    <row r="9" spans="1:135" ht="10">
      <c r="B9" s="567" t="e">
        <f>#REF!*12+#REF!*12+#REF!</f>
        <v>#REF!</v>
      </c>
      <c r="C9" s="333">
        <v>42400</v>
      </c>
      <c r="D9" s="334">
        <f t="shared" ref="D9:D72" si="0">YEAR(C9)</f>
        <v>2016</v>
      </c>
      <c r="E9" s="334">
        <f t="shared" ref="E9:E72" si="1">MONTH(C9)/12</f>
        <v>8.3333333333333329E-2</v>
      </c>
      <c r="F9" s="334">
        <f t="shared" ref="F9:F72" si="2">D9+E9</f>
        <v>2016.0833333333333</v>
      </c>
      <c r="G9" s="469" t="s">
        <v>621</v>
      </c>
      <c r="H9" s="470"/>
      <c r="I9" s="470" t="str">
        <f t="shared" ref="I9:I14" si="3">IF(H9="","",H9-H8)</f>
        <v/>
      </c>
      <c r="J9" s="471" t="s">
        <v>621</v>
      </c>
      <c r="K9" s="472"/>
      <c r="L9" s="471"/>
      <c r="M9" s="471" t="str">
        <f t="shared" ref="M9:M25" si="4">IF(OR(J9="",J8=""),"",(J9-J8)/J8)</f>
        <v/>
      </c>
      <c r="N9" s="335" t="s">
        <v>621</v>
      </c>
      <c r="O9" s="335" t="str">
        <f t="shared" ref="O9:O72" si="5">IF(OR(N9="",N8=""),"",N9-N8)</f>
        <v/>
      </c>
      <c r="P9" s="471" t="s">
        <v>621</v>
      </c>
      <c r="Q9" s="471"/>
      <c r="R9" s="471" t="str">
        <f t="shared" ref="R9:R72" si="6">IF(OR(P9="",P8=""),"",P9-P8)</f>
        <v/>
      </c>
      <c r="S9" s="473"/>
      <c r="T9" s="473"/>
      <c r="U9" s="473"/>
      <c r="V9" s="336" t="e">
        <v>#REF!</v>
      </c>
      <c r="W9" s="334" t="e">
        <f t="shared" ref="W9:W18" si="7">IF(V10="","",V10/12)</f>
        <v>#REF!</v>
      </c>
      <c r="X9" s="474"/>
      <c r="Y9" s="475">
        <v>4536228</v>
      </c>
      <c r="Z9" s="476"/>
      <c r="AA9" s="477"/>
      <c r="AB9" s="478"/>
      <c r="AC9" s="479"/>
      <c r="AD9" s="480"/>
      <c r="AE9" s="481"/>
      <c r="AF9" s="475"/>
      <c r="AG9" s="482"/>
      <c r="AH9" s="482"/>
      <c r="AI9" s="483"/>
      <c r="AJ9" s="483"/>
      <c r="AK9" s="483"/>
      <c r="AL9" s="483"/>
      <c r="AM9" s="483"/>
      <c r="AN9" s="483"/>
      <c r="AO9" s="483"/>
      <c r="AP9" s="483"/>
      <c r="AQ9" s="483"/>
      <c r="AR9" s="483"/>
      <c r="AS9" s="483"/>
      <c r="AT9" s="483"/>
      <c r="AU9" s="483"/>
      <c r="AV9" s="483"/>
      <c r="AW9" s="483"/>
      <c r="AX9" s="483"/>
      <c r="AY9" s="483"/>
      <c r="AZ9" s="483"/>
      <c r="BA9" s="483"/>
      <c r="BB9" s="483"/>
      <c r="BC9" s="483"/>
      <c r="BD9" s="483"/>
      <c r="BE9" s="483"/>
      <c r="BF9" s="483"/>
      <c r="BG9" s="483"/>
      <c r="BH9" s="483"/>
      <c r="BI9" s="483"/>
      <c r="BJ9" s="483"/>
      <c r="BK9" s="483"/>
      <c r="BL9" s="483"/>
      <c r="BM9" s="483"/>
      <c r="BN9" s="483"/>
      <c r="BO9" s="483"/>
      <c r="BP9" s="483"/>
      <c r="BQ9" s="483"/>
      <c r="BR9" s="483"/>
      <c r="BS9" s="483"/>
      <c r="BT9" s="483"/>
      <c r="BU9" s="483"/>
      <c r="BV9" s="483"/>
      <c r="BW9" s="483"/>
      <c r="BX9" s="483"/>
      <c r="BY9" s="483"/>
      <c r="BZ9" s="483"/>
      <c r="CA9" s="483"/>
      <c r="CB9" s="483"/>
      <c r="CC9" s="483"/>
      <c r="CD9" s="483"/>
      <c r="CE9" s="483"/>
      <c r="CF9" s="483"/>
      <c r="CG9" s="483"/>
      <c r="CH9" s="483"/>
      <c r="CI9" s="483"/>
      <c r="CJ9" s="483"/>
      <c r="CK9" s="483"/>
      <c r="CL9" s="483"/>
      <c r="CM9" s="483"/>
      <c r="CN9" s="483"/>
      <c r="CO9" s="483"/>
      <c r="CP9" s="483"/>
      <c r="CQ9" s="483"/>
      <c r="CR9" s="483"/>
      <c r="CS9" s="483"/>
      <c r="CT9" s="483"/>
      <c r="CU9" s="483"/>
      <c r="CV9" s="483"/>
      <c r="CW9" s="483"/>
      <c r="CX9" s="483"/>
      <c r="CY9" s="483"/>
      <c r="CZ9" s="483"/>
      <c r="DA9" s="483"/>
      <c r="DB9" s="483"/>
      <c r="DC9" s="483"/>
      <c r="DD9" s="483"/>
      <c r="DE9" s="483"/>
      <c r="DF9" s="483"/>
      <c r="DG9" s="483"/>
      <c r="DH9" s="483"/>
      <c r="DI9" s="483"/>
      <c r="DJ9" s="483"/>
      <c r="DK9" s="483"/>
      <c r="DL9" s="483"/>
      <c r="DM9" s="483"/>
      <c r="DN9" s="483"/>
      <c r="DO9" s="483"/>
      <c r="DP9" s="483"/>
      <c r="DQ9" s="483"/>
      <c r="DR9" s="483"/>
      <c r="DS9" s="483"/>
      <c r="DT9" s="483"/>
      <c r="DU9" s="483"/>
      <c r="DV9" s="483"/>
      <c r="DW9" s="483"/>
      <c r="DX9" s="483"/>
      <c r="DY9" s="483"/>
      <c r="DZ9" s="483"/>
      <c r="EA9" s="483"/>
      <c r="EB9" s="483"/>
      <c r="EC9" s="483"/>
      <c r="ED9" s="1127">
        <f>SUM(EC9:EC20)</f>
        <v>0</v>
      </c>
      <c r="EE9" s="325">
        <v>1</v>
      </c>
    </row>
    <row r="10" spans="1:135" ht="10">
      <c r="B10" s="567" t="e">
        <v>#REF!</v>
      </c>
      <c r="C10" s="337">
        <f>EOMONTH(C9,1)</f>
        <v>42429</v>
      </c>
      <c r="D10" s="484">
        <f t="shared" si="0"/>
        <v>2016</v>
      </c>
      <c r="E10" s="484">
        <f t="shared" si="1"/>
        <v>0.16666666666666666</v>
      </c>
      <c r="F10" s="484">
        <f t="shared" si="2"/>
        <v>2016.1666666666667</v>
      </c>
      <c r="G10" s="485" t="s">
        <v>621</v>
      </c>
      <c r="H10" s="486" t="e">
        <f>IF(OR(C10&lt;$I$2,C10&gt;#REF!),"",ROUNDDOWN((N10+AF10+SUM(AG10:DE10)),-1))</f>
        <v>#REF!</v>
      </c>
      <c r="I10" s="486" t="e">
        <f t="shared" si="3"/>
        <v>#REF!</v>
      </c>
      <c r="J10" s="487"/>
      <c r="K10" s="488"/>
      <c r="L10" s="487"/>
      <c r="M10" s="489" t="str">
        <f t="shared" si="4"/>
        <v/>
      </c>
      <c r="N10" s="490" t="s">
        <v>621</v>
      </c>
      <c r="O10" s="490" t="str">
        <f t="shared" si="5"/>
        <v/>
      </c>
      <c r="P10" s="491" t="s">
        <v>621</v>
      </c>
      <c r="Q10" s="491"/>
      <c r="R10" s="491" t="str">
        <f t="shared" si="6"/>
        <v/>
      </c>
      <c r="S10" s="492" t="s">
        <v>621</v>
      </c>
      <c r="T10" s="492"/>
      <c r="U10" s="493" t="e">
        <f>#REF!*12+#REF!+#REF!*12+#REF!</f>
        <v>#REF!</v>
      </c>
      <c r="V10" s="338" t="e">
        <v>#REF!</v>
      </c>
      <c r="W10" s="339" t="e">
        <f t="shared" si="7"/>
        <v>#REF!</v>
      </c>
      <c r="X10" s="494" t="e">
        <v>#REF!</v>
      </c>
      <c r="Y10" s="495">
        <v>4536228</v>
      </c>
      <c r="Z10" s="496"/>
      <c r="AA10" s="497"/>
      <c r="AB10" s="498" t="s">
        <v>621</v>
      </c>
      <c r="AC10" s="484" t="e">
        <v>#REF!</v>
      </c>
      <c r="AD10" s="495" t="e">
        <v>#REF!</v>
      </c>
      <c r="AE10" s="499"/>
      <c r="AF10" s="500" t="e">
        <v>#REF!</v>
      </c>
      <c r="AG10" s="501" t="e">
        <v>#REF!</v>
      </c>
      <c r="AH10" s="501"/>
      <c r="AI10" s="502"/>
      <c r="AJ10" s="502"/>
      <c r="AK10" s="503"/>
      <c r="AL10" s="503"/>
      <c r="AM10" s="502"/>
      <c r="AN10" s="502"/>
      <c r="AO10" s="503"/>
      <c r="AP10" s="503"/>
      <c r="AQ10" s="502"/>
      <c r="AR10" s="502"/>
      <c r="AS10" s="503"/>
      <c r="AT10" s="503"/>
      <c r="AU10" s="502"/>
      <c r="AV10" s="502"/>
      <c r="AW10" s="503"/>
      <c r="AX10" s="503"/>
      <c r="AY10" s="502"/>
      <c r="AZ10" s="502"/>
      <c r="BA10" s="503"/>
      <c r="BB10" s="503"/>
      <c r="BC10" s="502"/>
      <c r="BD10" s="502"/>
      <c r="BE10" s="503"/>
      <c r="BF10" s="503"/>
      <c r="BG10" s="502"/>
      <c r="BH10" s="502"/>
      <c r="BI10" s="503"/>
      <c r="BJ10" s="503"/>
      <c r="BK10" s="502"/>
      <c r="BL10" s="502"/>
      <c r="BM10" s="503"/>
      <c r="BN10" s="503"/>
      <c r="BO10" s="502"/>
      <c r="BP10" s="502"/>
      <c r="BQ10" s="503"/>
      <c r="BR10" s="503"/>
      <c r="BS10" s="502"/>
      <c r="BT10" s="502"/>
      <c r="BU10" s="503"/>
      <c r="BV10" s="503"/>
      <c r="BW10" s="502"/>
      <c r="BX10" s="502"/>
      <c r="BY10" s="503"/>
      <c r="BZ10" s="503"/>
      <c r="CA10" s="502"/>
      <c r="CB10" s="502"/>
      <c r="CC10" s="503"/>
      <c r="CD10" s="503"/>
      <c r="CE10" s="502"/>
      <c r="CF10" s="502"/>
      <c r="CG10" s="503"/>
      <c r="CH10" s="503"/>
      <c r="CI10" s="502"/>
      <c r="CJ10" s="502"/>
      <c r="CK10" s="503"/>
      <c r="CL10" s="503"/>
      <c r="CM10" s="502"/>
      <c r="CN10" s="502"/>
      <c r="CO10" s="503"/>
      <c r="CP10" s="503"/>
      <c r="CQ10" s="502"/>
      <c r="CR10" s="502"/>
      <c r="CS10" s="503"/>
      <c r="CT10" s="503"/>
      <c r="CU10" s="502"/>
      <c r="CV10" s="502"/>
      <c r="CW10" s="503"/>
      <c r="CX10" s="503"/>
      <c r="CY10" s="502"/>
      <c r="CZ10" s="502"/>
      <c r="DA10" s="503"/>
      <c r="DB10" s="503"/>
      <c r="DC10" s="502"/>
      <c r="DD10" s="502"/>
      <c r="DE10" s="503"/>
      <c r="DF10" s="503"/>
      <c r="DG10" s="503"/>
      <c r="DH10" s="503"/>
      <c r="DI10" s="503"/>
      <c r="DJ10" s="503"/>
      <c r="DK10" s="503"/>
      <c r="DL10" s="503"/>
      <c r="DM10" s="503"/>
      <c r="DN10" s="503"/>
      <c r="DO10" s="503"/>
      <c r="DP10" s="503"/>
      <c r="DQ10" s="503"/>
      <c r="DR10" s="503"/>
      <c r="DS10" s="503"/>
      <c r="DT10" s="503"/>
      <c r="DU10" s="503"/>
      <c r="DV10" s="503"/>
      <c r="DW10" s="503"/>
      <c r="DX10" s="503"/>
      <c r="DY10" s="503"/>
      <c r="DZ10" s="503"/>
      <c r="EA10" s="503"/>
      <c r="EB10" s="503"/>
      <c r="EC10" s="504" t="s">
        <v>621</v>
      </c>
      <c r="ED10" s="1127"/>
      <c r="EE10" s="325">
        <v>2</v>
      </c>
    </row>
    <row r="11" spans="1:135" ht="10">
      <c r="B11" s="567" t="e">
        <v>#REF!</v>
      </c>
      <c r="C11" s="337">
        <f t="shared" ref="C11:C74" si="8">EOMONTH(C10,1)</f>
        <v>42460</v>
      </c>
      <c r="D11" s="484">
        <f t="shared" si="0"/>
        <v>2016</v>
      </c>
      <c r="E11" s="484">
        <f t="shared" si="1"/>
        <v>0.25</v>
      </c>
      <c r="F11" s="484">
        <f t="shared" si="2"/>
        <v>2016.25</v>
      </c>
      <c r="G11" s="485" t="s">
        <v>621</v>
      </c>
      <c r="H11" s="486" t="e">
        <f>IF(OR(C11&lt;$I$2,C11&gt;#REF!),"",ROUNDDOWN((N11+AF11+SUM(AG11:DE11)),-1))</f>
        <v>#REF!</v>
      </c>
      <c r="I11" s="486" t="e">
        <f t="shared" si="3"/>
        <v>#REF!</v>
      </c>
      <c r="J11" s="487"/>
      <c r="K11" s="488"/>
      <c r="L11" s="487"/>
      <c r="M11" s="489" t="str">
        <f t="shared" si="4"/>
        <v/>
      </c>
      <c r="N11" s="490" t="s">
        <v>621</v>
      </c>
      <c r="O11" s="490" t="str">
        <f t="shared" si="5"/>
        <v/>
      </c>
      <c r="P11" s="491" t="s">
        <v>621</v>
      </c>
      <c r="Q11" s="491"/>
      <c r="R11" s="491" t="str">
        <f t="shared" si="6"/>
        <v/>
      </c>
      <c r="S11" s="492" t="s">
        <v>621</v>
      </c>
      <c r="T11" s="492"/>
      <c r="U11" s="493" t="e">
        <f>#REF!*12+#REF!+#REF!*12+#REF!</f>
        <v>#REF!</v>
      </c>
      <c r="V11" s="338" t="e">
        <v>#REF!</v>
      </c>
      <c r="W11" s="339" t="e">
        <f t="shared" si="7"/>
        <v>#REF!</v>
      </c>
      <c r="X11" s="494" t="e">
        <v>#REF!</v>
      </c>
      <c r="Y11" s="495">
        <v>4536228</v>
      </c>
      <c r="Z11" s="496"/>
      <c r="AA11" s="497"/>
      <c r="AB11" s="498" t="s">
        <v>621</v>
      </c>
      <c r="AC11" s="484" t="e">
        <v>#REF!</v>
      </c>
      <c r="AD11" s="495" t="e">
        <v>#REF!</v>
      </c>
      <c r="AE11" s="499"/>
      <c r="AF11" s="500" t="e">
        <v>#REF!</v>
      </c>
      <c r="AG11" s="501" t="e">
        <v>#REF!</v>
      </c>
      <c r="AH11" s="501"/>
      <c r="AI11" s="502"/>
      <c r="AJ11" s="502"/>
      <c r="AK11" s="503"/>
      <c r="AL11" s="503"/>
      <c r="AM11" s="502"/>
      <c r="AN11" s="502"/>
      <c r="AO11" s="503"/>
      <c r="AP11" s="503"/>
      <c r="AQ11" s="502"/>
      <c r="AR11" s="502"/>
      <c r="AS11" s="503"/>
      <c r="AT11" s="503"/>
      <c r="AU11" s="502"/>
      <c r="AV11" s="502"/>
      <c r="AW11" s="503"/>
      <c r="AX11" s="503"/>
      <c r="AY11" s="502"/>
      <c r="AZ11" s="502"/>
      <c r="BA11" s="503"/>
      <c r="BB11" s="503"/>
      <c r="BC11" s="502"/>
      <c r="BD11" s="502"/>
      <c r="BE11" s="503"/>
      <c r="BF11" s="503"/>
      <c r="BG11" s="502"/>
      <c r="BH11" s="502"/>
      <c r="BI11" s="503"/>
      <c r="BJ11" s="503"/>
      <c r="BK11" s="502"/>
      <c r="BL11" s="502"/>
      <c r="BM11" s="503"/>
      <c r="BN11" s="503"/>
      <c r="BO11" s="502"/>
      <c r="BP11" s="502"/>
      <c r="BQ11" s="503"/>
      <c r="BR11" s="503"/>
      <c r="BS11" s="502"/>
      <c r="BT11" s="502"/>
      <c r="BU11" s="503"/>
      <c r="BV11" s="503"/>
      <c r="BW11" s="502"/>
      <c r="BX11" s="502"/>
      <c r="BY11" s="503"/>
      <c r="BZ11" s="503"/>
      <c r="CA11" s="502"/>
      <c r="CB11" s="502"/>
      <c r="CC11" s="503"/>
      <c r="CD11" s="503"/>
      <c r="CE11" s="502"/>
      <c r="CF11" s="502"/>
      <c r="CG11" s="503"/>
      <c r="CH11" s="503"/>
      <c r="CI11" s="502"/>
      <c r="CJ11" s="502"/>
      <c r="CK11" s="503"/>
      <c r="CL11" s="503"/>
      <c r="CM11" s="502"/>
      <c r="CN11" s="502"/>
      <c r="CO11" s="503"/>
      <c r="CP11" s="503"/>
      <c r="CQ11" s="502"/>
      <c r="CR11" s="502"/>
      <c r="CS11" s="503"/>
      <c r="CT11" s="503"/>
      <c r="CU11" s="502"/>
      <c r="CV11" s="502"/>
      <c r="CW11" s="503"/>
      <c r="CX11" s="503"/>
      <c r="CY11" s="502"/>
      <c r="CZ11" s="502"/>
      <c r="DA11" s="503"/>
      <c r="DB11" s="503"/>
      <c r="DC11" s="502"/>
      <c r="DD11" s="502"/>
      <c r="DE11" s="503"/>
      <c r="DF11" s="503"/>
      <c r="DG11" s="503"/>
      <c r="DH11" s="503"/>
      <c r="DI11" s="503"/>
      <c r="DJ11" s="503"/>
      <c r="DK11" s="503"/>
      <c r="DL11" s="503"/>
      <c r="DM11" s="503"/>
      <c r="DN11" s="503"/>
      <c r="DO11" s="503"/>
      <c r="DP11" s="503"/>
      <c r="DQ11" s="503"/>
      <c r="DR11" s="503"/>
      <c r="DS11" s="503"/>
      <c r="DT11" s="503"/>
      <c r="DU11" s="503"/>
      <c r="DV11" s="503"/>
      <c r="DW11" s="503"/>
      <c r="DX11" s="503"/>
      <c r="DY11" s="503"/>
      <c r="DZ11" s="503"/>
      <c r="EA11" s="503"/>
      <c r="EB11" s="503"/>
      <c r="EC11" s="504" t="s">
        <v>621</v>
      </c>
      <c r="ED11" s="1127"/>
      <c r="EE11" s="325">
        <v>3</v>
      </c>
    </row>
    <row r="12" spans="1:135" ht="10">
      <c r="B12" s="567" t="e">
        <v>#REF!</v>
      </c>
      <c r="C12" s="337">
        <f t="shared" si="8"/>
        <v>42490</v>
      </c>
      <c r="D12" s="484">
        <f t="shared" si="0"/>
        <v>2016</v>
      </c>
      <c r="E12" s="484">
        <f t="shared" si="1"/>
        <v>0.33333333333333331</v>
      </c>
      <c r="F12" s="484">
        <f t="shared" si="2"/>
        <v>2016.3333333333333</v>
      </c>
      <c r="G12" s="485" t="s">
        <v>621</v>
      </c>
      <c r="H12" s="486" t="e">
        <f>IF(OR(C12&lt;$I$2,C12&gt;#REF!),"",ROUNDDOWN((N12+AF12+SUM(AG12:DE12)),-1))</f>
        <v>#REF!</v>
      </c>
      <c r="I12" s="505" t="e">
        <f t="shared" si="3"/>
        <v>#REF!</v>
      </c>
      <c r="J12" s="487"/>
      <c r="K12" s="488"/>
      <c r="L12" s="487"/>
      <c r="M12" s="489" t="str">
        <f t="shared" si="4"/>
        <v/>
      </c>
      <c r="N12" s="490" t="s">
        <v>621</v>
      </c>
      <c r="O12" s="490" t="str">
        <f t="shared" si="5"/>
        <v/>
      </c>
      <c r="P12" s="491" t="s">
        <v>621</v>
      </c>
      <c r="Q12" s="491"/>
      <c r="R12" s="491" t="str">
        <f t="shared" si="6"/>
        <v/>
      </c>
      <c r="S12" s="492" t="s">
        <v>621</v>
      </c>
      <c r="T12" s="492"/>
      <c r="U12" s="493" t="e">
        <f>#REF!*12+#REF!+#REF!*12+#REF!</f>
        <v>#REF!</v>
      </c>
      <c r="V12" s="338" t="e">
        <v>#REF!</v>
      </c>
      <c r="W12" s="339" t="e">
        <f t="shared" si="7"/>
        <v>#REF!</v>
      </c>
      <c r="X12" s="494" t="e">
        <v>#REF!</v>
      </c>
      <c r="Y12" s="495">
        <v>4536228</v>
      </c>
      <c r="Z12" s="496"/>
      <c r="AA12" s="497"/>
      <c r="AB12" s="498" t="s">
        <v>621</v>
      </c>
      <c r="AC12" s="484" t="e">
        <v>#REF!</v>
      </c>
      <c r="AD12" s="495" t="e">
        <v>#REF!</v>
      </c>
      <c r="AE12" s="499"/>
      <c r="AF12" s="500" t="e">
        <v>#REF!</v>
      </c>
      <c r="AG12" s="501" t="e">
        <v>#REF!</v>
      </c>
      <c r="AH12" s="501"/>
      <c r="AI12" s="502"/>
      <c r="AJ12" s="502"/>
      <c r="AK12" s="503"/>
      <c r="AL12" s="503"/>
      <c r="AM12" s="502"/>
      <c r="AN12" s="502"/>
      <c r="AO12" s="503"/>
      <c r="AP12" s="503"/>
      <c r="AQ12" s="502"/>
      <c r="AR12" s="502"/>
      <c r="AS12" s="503"/>
      <c r="AT12" s="503"/>
      <c r="AU12" s="502"/>
      <c r="AV12" s="502"/>
      <c r="AW12" s="503"/>
      <c r="AX12" s="503"/>
      <c r="AY12" s="502"/>
      <c r="AZ12" s="502"/>
      <c r="BA12" s="503"/>
      <c r="BB12" s="503"/>
      <c r="BC12" s="502"/>
      <c r="BD12" s="502"/>
      <c r="BE12" s="503"/>
      <c r="BF12" s="503"/>
      <c r="BG12" s="502"/>
      <c r="BH12" s="502"/>
      <c r="BI12" s="503"/>
      <c r="BJ12" s="503"/>
      <c r="BK12" s="502"/>
      <c r="BL12" s="502"/>
      <c r="BM12" s="503"/>
      <c r="BN12" s="503"/>
      <c r="BO12" s="502"/>
      <c r="BP12" s="502"/>
      <c r="BQ12" s="503"/>
      <c r="BR12" s="503"/>
      <c r="BS12" s="502"/>
      <c r="BT12" s="502"/>
      <c r="BU12" s="503"/>
      <c r="BV12" s="503"/>
      <c r="BW12" s="502"/>
      <c r="BX12" s="502"/>
      <c r="BY12" s="503"/>
      <c r="BZ12" s="503"/>
      <c r="CA12" s="502"/>
      <c r="CB12" s="502"/>
      <c r="CC12" s="503"/>
      <c r="CD12" s="503"/>
      <c r="CE12" s="502"/>
      <c r="CF12" s="502"/>
      <c r="CG12" s="503"/>
      <c r="CH12" s="503"/>
      <c r="CI12" s="502"/>
      <c r="CJ12" s="502"/>
      <c r="CK12" s="503"/>
      <c r="CL12" s="503"/>
      <c r="CM12" s="502"/>
      <c r="CN12" s="502"/>
      <c r="CO12" s="503"/>
      <c r="CP12" s="503"/>
      <c r="CQ12" s="502"/>
      <c r="CR12" s="502"/>
      <c r="CS12" s="503"/>
      <c r="CT12" s="503"/>
      <c r="CU12" s="502"/>
      <c r="CV12" s="502"/>
      <c r="CW12" s="503"/>
      <c r="CX12" s="503"/>
      <c r="CY12" s="502"/>
      <c r="CZ12" s="502"/>
      <c r="DA12" s="503"/>
      <c r="DB12" s="503"/>
      <c r="DC12" s="502"/>
      <c r="DD12" s="502"/>
      <c r="DE12" s="503"/>
      <c r="DF12" s="503"/>
      <c r="DG12" s="503"/>
      <c r="DH12" s="503"/>
      <c r="DI12" s="503"/>
      <c r="DJ12" s="503"/>
      <c r="DK12" s="503"/>
      <c r="DL12" s="503"/>
      <c r="DM12" s="503"/>
      <c r="DN12" s="503"/>
      <c r="DO12" s="503"/>
      <c r="DP12" s="503"/>
      <c r="DQ12" s="503"/>
      <c r="DR12" s="503"/>
      <c r="DS12" s="503"/>
      <c r="DT12" s="503"/>
      <c r="DU12" s="503"/>
      <c r="DV12" s="503"/>
      <c r="DW12" s="503"/>
      <c r="DX12" s="503"/>
      <c r="DY12" s="503"/>
      <c r="DZ12" s="503"/>
      <c r="EA12" s="503"/>
      <c r="EB12" s="503"/>
      <c r="EC12" s="504" t="s">
        <v>621</v>
      </c>
      <c r="ED12" s="1127"/>
      <c r="EE12" s="325">
        <v>4</v>
      </c>
    </row>
    <row r="13" spans="1:135" ht="10">
      <c r="B13" s="567" t="e">
        <v>#REF!</v>
      </c>
      <c r="C13" s="337">
        <f t="shared" si="8"/>
        <v>42521</v>
      </c>
      <c r="D13" s="484">
        <f t="shared" si="0"/>
        <v>2016</v>
      </c>
      <c r="E13" s="484">
        <f t="shared" si="1"/>
        <v>0.41666666666666669</v>
      </c>
      <c r="F13" s="484">
        <f t="shared" si="2"/>
        <v>2016.4166666666667</v>
      </c>
      <c r="G13" s="485" t="s">
        <v>621</v>
      </c>
      <c r="H13" s="486" t="e">
        <f>IF(OR(C13&lt;$I$2,C13&gt;#REF!),"",ROUNDDOWN((N13+AF13+SUM(AG13:DE13)),-1))</f>
        <v>#REF!</v>
      </c>
      <c r="I13" s="506" t="e">
        <f t="shared" si="3"/>
        <v>#REF!</v>
      </c>
      <c r="J13" s="507"/>
      <c r="K13" s="508"/>
      <c r="L13" s="507"/>
      <c r="M13" s="489" t="str">
        <f t="shared" si="4"/>
        <v/>
      </c>
      <c r="N13" s="490" t="s">
        <v>621</v>
      </c>
      <c r="O13" s="490" t="str">
        <f t="shared" si="5"/>
        <v/>
      </c>
      <c r="P13" s="509" t="s">
        <v>621</v>
      </c>
      <c r="Q13" s="509"/>
      <c r="R13" s="509" t="str">
        <f t="shared" si="6"/>
        <v/>
      </c>
      <c r="S13" s="492" t="s">
        <v>621</v>
      </c>
      <c r="T13" s="492"/>
      <c r="U13" s="493" t="e">
        <f>#REF!*12+#REF!+#REF!*12+#REF!</f>
        <v>#REF!</v>
      </c>
      <c r="V13" s="338" t="e">
        <v>#REF!</v>
      </c>
      <c r="W13" s="339" t="e">
        <f t="shared" si="7"/>
        <v>#REF!</v>
      </c>
      <c r="X13" s="494" t="e">
        <v>#REF!</v>
      </c>
      <c r="Y13" s="495">
        <v>4536228</v>
      </c>
      <c r="Z13" s="496"/>
      <c r="AA13" s="497"/>
      <c r="AB13" s="498" t="s">
        <v>621</v>
      </c>
      <c r="AC13" s="484" t="e">
        <v>#REF!</v>
      </c>
      <c r="AD13" s="495" t="e">
        <v>#REF!</v>
      </c>
      <c r="AE13" s="499"/>
      <c r="AF13" s="500" t="e">
        <v>#REF!</v>
      </c>
      <c r="AG13" s="501" t="e">
        <v>#REF!</v>
      </c>
      <c r="AH13" s="501"/>
      <c r="AI13" s="502"/>
      <c r="AJ13" s="502"/>
      <c r="AK13" s="503"/>
      <c r="AL13" s="503"/>
      <c r="AM13" s="502"/>
      <c r="AN13" s="502"/>
      <c r="AO13" s="503"/>
      <c r="AP13" s="503"/>
      <c r="AQ13" s="502"/>
      <c r="AR13" s="502"/>
      <c r="AS13" s="503"/>
      <c r="AT13" s="503"/>
      <c r="AU13" s="502"/>
      <c r="AV13" s="502"/>
      <c r="AW13" s="503"/>
      <c r="AX13" s="503"/>
      <c r="AY13" s="502"/>
      <c r="AZ13" s="502"/>
      <c r="BA13" s="503"/>
      <c r="BB13" s="503"/>
      <c r="BC13" s="502"/>
      <c r="BD13" s="502"/>
      <c r="BE13" s="503"/>
      <c r="BF13" s="503"/>
      <c r="BG13" s="502"/>
      <c r="BH13" s="502"/>
      <c r="BI13" s="503"/>
      <c r="BJ13" s="503"/>
      <c r="BK13" s="502"/>
      <c r="BL13" s="502"/>
      <c r="BM13" s="503"/>
      <c r="BN13" s="503"/>
      <c r="BO13" s="502"/>
      <c r="BP13" s="502"/>
      <c r="BQ13" s="503"/>
      <c r="BR13" s="503"/>
      <c r="BS13" s="502"/>
      <c r="BT13" s="502"/>
      <c r="BU13" s="503"/>
      <c r="BV13" s="503"/>
      <c r="BW13" s="502"/>
      <c r="BX13" s="502"/>
      <c r="BY13" s="503"/>
      <c r="BZ13" s="503"/>
      <c r="CA13" s="502"/>
      <c r="CB13" s="502"/>
      <c r="CC13" s="503"/>
      <c r="CD13" s="503"/>
      <c r="CE13" s="502"/>
      <c r="CF13" s="502"/>
      <c r="CG13" s="503"/>
      <c r="CH13" s="503"/>
      <c r="CI13" s="502"/>
      <c r="CJ13" s="502"/>
      <c r="CK13" s="503"/>
      <c r="CL13" s="503"/>
      <c r="CM13" s="502"/>
      <c r="CN13" s="502"/>
      <c r="CO13" s="503"/>
      <c r="CP13" s="503"/>
      <c r="CQ13" s="502"/>
      <c r="CR13" s="502"/>
      <c r="CS13" s="503"/>
      <c r="CT13" s="503"/>
      <c r="CU13" s="502"/>
      <c r="CV13" s="502"/>
      <c r="CW13" s="503"/>
      <c r="CX13" s="503"/>
      <c r="CY13" s="502"/>
      <c r="CZ13" s="502"/>
      <c r="DA13" s="503"/>
      <c r="DB13" s="503"/>
      <c r="DC13" s="502"/>
      <c r="DD13" s="502"/>
      <c r="DE13" s="503"/>
      <c r="DF13" s="503"/>
      <c r="DG13" s="503"/>
      <c r="DH13" s="503"/>
      <c r="DI13" s="503"/>
      <c r="DJ13" s="503"/>
      <c r="DK13" s="503"/>
      <c r="DL13" s="503"/>
      <c r="DM13" s="503"/>
      <c r="DN13" s="503"/>
      <c r="DO13" s="503"/>
      <c r="DP13" s="503"/>
      <c r="DQ13" s="503"/>
      <c r="DR13" s="503"/>
      <c r="DS13" s="503"/>
      <c r="DT13" s="503"/>
      <c r="DU13" s="503"/>
      <c r="DV13" s="503"/>
      <c r="DW13" s="503"/>
      <c r="DX13" s="503"/>
      <c r="DY13" s="503"/>
      <c r="DZ13" s="503"/>
      <c r="EA13" s="503"/>
      <c r="EB13" s="503"/>
      <c r="EC13" s="504" t="s">
        <v>621</v>
      </c>
      <c r="ED13" s="1127"/>
      <c r="EE13" s="325">
        <v>5</v>
      </c>
    </row>
    <row r="14" spans="1:135" ht="10">
      <c r="B14" s="567" t="e">
        <v>#REF!</v>
      </c>
      <c r="C14" s="337">
        <f t="shared" si="8"/>
        <v>42551</v>
      </c>
      <c r="D14" s="484">
        <f t="shared" si="0"/>
        <v>2016</v>
      </c>
      <c r="E14" s="484">
        <f t="shared" si="1"/>
        <v>0.5</v>
      </c>
      <c r="F14" s="484">
        <f t="shared" si="2"/>
        <v>2016.5</v>
      </c>
      <c r="G14" s="485" t="s">
        <v>621</v>
      </c>
      <c r="H14" s="486" t="e">
        <f>IF(OR(C14&lt;$I$2,C14&gt;#REF!),"",ROUNDDOWN((N14+AF14+SUM(AG14:DE14)),-1))</f>
        <v>#REF!</v>
      </c>
      <c r="I14" s="486" t="e">
        <f t="shared" si="3"/>
        <v>#REF!</v>
      </c>
      <c r="J14" s="487"/>
      <c r="K14" s="488"/>
      <c r="L14" s="487"/>
      <c r="M14" s="489" t="str">
        <f t="shared" si="4"/>
        <v/>
      </c>
      <c r="N14" s="490" t="s">
        <v>621</v>
      </c>
      <c r="O14" s="490" t="str">
        <f t="shared" si="5"/>
        <v/>
      </c>
      <c r="P14" s="491" t="s">
        <v>621</v>
      </c>
      <c r="Q14" s="491"/>
      <c r="R14" s="491" t="str">
        <f t="shared" si="6"/>
        <v/>
      </c>
      <c r="S14" s="492" t="s">
        <v>621</v>
      </c>
      <c r="T14" s="492"/>
      <c r="U14" s="493" t="e">
        <f>#REF!*12+#REF!+#REF!*12+#REF!</f>
        <v>#REF!</v>
      </c>
      <c r="V14" s="338" t="e">
        <v>#REF!</v>
      </c>
      <c r="W14" s="339" t="e">
        <f t="shared" si="7"/>
        <v>#REF!</v>
      </c>
      <c r="X14" s="494" t="e">
        <v>#REF!</v>
      </c>
      <c r="Y14" s="495">
        <v>4536228</v>
      </c>
      <c r="Z14" s="496"/>
      <c r="AA14" s="497"/>
      <c r="AB14" s="498" t="s">
        <v>621</v>
      </c>
      <c r="AC14" s="484" t="e">
        <v>#REF!</v>
      </c>
      <c r="AD14" s="495" t="e">
        <v>#REF!</v>
      </c>
      <c r="AE14" s="499"/>
      <c r="AF14" s="500" t="e">
        <v>#REF!</v>
      </c>
      <c r="AG14" s="501" t="e">
        <v>#REF!</v>
      </c>
      <c r="AH14" s="501"/>
      <c r="AI14" s="502"/>
      <c r="AJ14" s="502"/>
      <c r="AK14" s="503"/>
      <c r="AL14" s="503"/>
      <c r="AM14" s="502"/>
      <c r="AN14" s="502"/>
      <c r="AO14" s="503"/>
      <c r="AP14" s="503"/>
      <c r="AQ14" s="502"/>
      <c r="AR14" s="502"/>
      <c r="AS14" s="503"/>
      <c r="AT14" s="503"/>
      <c r="AU14" s="502"/>
      <c r="AV14" s="502"/>
      <c r="AW14" s="503"/>
      <c r="AX14" s="503"/>
      <c r="AY14" s="502"/>
      <c r="AZ14" s="502"/>
      <c r="BA14" s="503"/>
      <c r="BB14" s="503"/>
      <c r="BC14" s="502"/>
      <c r="BD14" s="502"/>
      <c r="BE14" s="503"/>
      <c r="BF14" s="503"/>
      <c r="BG14" s="502"/>
      <c r="BH14" s="502"/>
      <c r="BI14" s="503"/>
      <c r="BJ14" s="503"/>
      <c r="BK14" s="502"/>
      <c r="BL14" s="502"/>
      <c r="BM14" s="503"/>
      <c r="BN14" s="503"/>
      <c r="BO14" s="502"/>
      <c r="BP14" s="502"/>
      <c r="BQ14" s="503"/>
      <c r="BR14" s="503"/>
      <c r="BS14" s="502"/>
      <c r="BT14" s="502"/>
      <c r="BU14" s="503"/>
      <c r="BV14" s="503"/>
      <c r="BW14" s="502"/>
      <c r="BX14" s="502"/>
      <c r="BY14" s="503"/>
      <c r="BZ14" s="503"/>
      <c r="CA14" s="502"/>
      <c r="CB14" s="502"/>
      <c r="CC14" s="503"/>
      <c r="CD14" s="503"/>
      <c r="CE14" s="502"/>
      <c r="CF14" s="502"/>
      <c r="CG14" s="503"/>
      <c r="CH14" s="503"/>
      <c r="CI14" s="502"/>
      <c r="CJ14" s="502"/>
      <c r="CK14" s="503"/>
      <c r="CL14" s="503"/>
      <c r="CM14" s="502"/>
      <c r="CN14" s="502"/>
      <c r="CO14" s="503"/>
      <c r="CP14" s="503"/>
      <c r="CQ14" s="502"/>
      <c r="CR14" s="502"/>
      <c r="CS14" s="503"/>
      <c r="CT14" s="503"/>
      <c r="CU14" s="502"/>
      <c r="CV14" s="502"/>
      <c r="CW14" s="503"/>
      <c r="CX14" s="503"/>
      <c r="CY14" s="502"/>
      <c r="CZ14" s="502"/>
      <c r="DA14" s="503"/>
      <c r="DB14" s="503"/>
      <c r="DC14" s="502"/>
      <c r="DD14" s="502"/>
      <c r="DE14" s="503"/>
      <c r="DF14" s="503"/>
      <c r="DG14" s="503"/>
      <c r="DH14" s="503"/>
      <c r="DI14" s="503"/>
      <c r="DJ14" s="503"/>
      <c r="DK14" s="503"/>
      <c r="DL14" s="503"/>
      <c r="DM14" s="503"/>
      <c r="DN14" s="503"/>
      <c r="DO14" s="503"/>
      <c r="DP14" s="503"/>
      <c r="DQ14" s="503"/>
      <c r="DR14" s="503"/>
      <c r="DS14" s="503"/>
      <c r="DT14" s="503"/>
      <c r="DU14" s="503"/>
      <c r="DV14" s="503"/>
      <c r="DW14" s="503"/>
      <c r="DX14" s="503"/>
      <c r="DY14" s="503"/>
      <c r="DZ14" s="503"/>
      <c r="EA14" s="503"/>
      <c r="EB14" s="503"/>
      <c r="EC14" s="504" t="s">
        <v>621</v>
      </c>
      <c r="ED14" s="1127"/>
      <c r="EE14" s="325">
        <v>6</v>
      </c>
    </row>
    <row r="15" spans="1:135" ht="10">
      <c r="B15" s="567" t="e">
        <v>#REF!</v>
      </c>
      <c r="C15" s="337">
        <f t="shared" si="8"/>
        <v>42582</v>
      </c>
      <c r="D15" s="484">
        <f t="shared" si="0"/>
        <v>2016</v>
      </c>
      <c r="E15" s="484">
        <f t="shared" si="1"/>
        <v>0.58333333333333337</v>
      </c>
      <c r="F15" s="484">
        <f t="shared" si="2"/>
        <v>2016.5833333333333</v>
      </c>
      <c r="G15" s="485" t="s">
        <v>621</v>
      </c>
      <c r="H15" s="486" t="e">
        <f>IF(OR(C15&lt;$I$2,C15&gt;#REF!),"",ROUNDDOWN((N15+AF15+SUM(AG15:DE15)),-1))</f>
        <v>#REF!</v>
      </c>
      <c r="I15" s="486" t="e">
        <f>IF(H14="","",H15-H14)</f>
        <v>#REF!</v>
      </c>
      <c r="J15" s="487"/>
      <c r="K15" s="488"/>
      <c r="L15" s="487"/>
      <c r="M15" s="489" t="str">
        <f t="shared" si="4"/>
        <v/>
      </c>
      <c r="N15" s="490" t="s">
        <v>621</v>
      </c>
      <c r="O15" s="490" t="str">
        <f t="shared" si="5"/>
        <v/>
      </c>
      <c r="P15" s="491" t="s">
        <v>621</v>
      </c>
      <c r="Q15" s="491"/>
      <c r="R15" s="491" t="str">
        <f t="shared" si="6"/>
        <v/>
      </c>
      <c r="S15" s="492" t="s">
        <v>621</v>
      </c>
      <c r="T15" s="492"/>
      <c r="U15" s="493" t="e">
        <f>#REF!*12+#REF!+#REF!*12+#REF!</f>
        <v>#REF!</v>
      </c>
      <c r="V15" s="338" t="e">
        <v>#REF!</v>
      </c>
      <c r="W15" s="339" t="e">
        <f t="shared" si="7"/>
        <v>#REF!</v>
      </c>
      <c r="X15" s="494" t="e">
        <v>#REF!</v>
      </c>
      <c r="Y15" s="495">
        <v>4536228</v>
      </c>
      <c r="Z15" s="496"/>
      <c r="AA15" s="497"/>
      <c r="AB15" s="498" t="s">
        <v>621</v>
      </c>
      <c r="AC15" s="484" t="e">
        <v>#REF!</v>
      </c>
      <c r="AD15" s="495" t="e">
        <v>#REF!</v>
      </c>
      <c r="AE15" s="499"/>
      <c r="AF15" s="500" t="e">
        <v>#REF!</v>
      </c>
      <c r="AG15" s="501" t="e">
        <v>#REF!</v>
      </c>
      <c r="AH15" s="501"/>
      <c r="AI15" s="502"/>
      <c r="AJ15" s="502"/>
      <c r="AK15" s="503"/>
      <c r="AL15" s="503"/>
      <c r="AM15" s="502"/>
      <c r="AN15" s="502"/>
      <c r="AO15" s="503"/>
      <c r="AP15" s="503"/>
      <c r="AQ15" s="502"/>
      <c r="AR15" s="502"/>
      <c r="AS15" s="503"/>
      <c r="AT15" s="503"/>
      <c r="AU15" s="502"/>
      <c r="AV15" s="502"/>
      <c r="AW15" s="503"/>
      <c r="AX15" s="503"/>
      <c r="AY15" s="502"/>
      <c r="AZ15" s="502"/>
      <c r="BA15" s="503"/>
      <c r="BB15" s="503"/>
      <c r="BC15" s="502"/>
      <c r="BD15" s="502"/>
      <c r="BE15" s="503"/>
      <c r="BF15" s="503"/>
      <c r="BG15" s="502"/>
      <c r="BH15" s="502"/>
      <c r="BI15" s="503"/>
      <c r="BJ15" s="503"/>
      <c r="BK15" s="502"/>
      <c r="BL15" s="502"/>
      <c r="BM15" s="503"/>
      <c r="BN15" s="503"/>
      <c r="BO15" s="502"/>
      <c r="BP15" s="502"/>
      <c r="BQ15" s="503"/>
      <c r="BR15" s="503"/>
      <c r="BS15" s="502"/>
      <c r="BT15" s="502"/>
      <c r="BU15" s="503"/>
      <c r="BV15" s="503"/>
      <c r="BW15" s="502"/>
      <c r="BX15" s="502"/>
      <c r="BY15" s="503"/>
      <c r="BZ15" s="503"/>
      <c r="CA15" s="502"/>
      <c r="CB15" s="502"/>
      <c r="CC15" s="503"/>
      <c r="CD15" s="503"/>
      <c r="CE15" s="502"/>
      <c r="CF15" s="502"/>
      <c r="CG15" s="503"/>
      <c r="CH15" s="503"/>
      <c r="CI15" s="502"/>
      <c r="CJ15" s="502"/>
      <c r="CK15" s="503"/>
      <c r="CL15" s="503"/>
      <c r="CM15" s="502"/>
      <c r="CN15" s="502"/>
      <c r="CO15" s="503"/>
      <c r="CP15" s="503"/>
      <c r="CQ15" s="502"/>
      <c r="CR15" s="502"/>
      <c r="CS15" s="503"/>
      <c r="CT15" s="503"/>
      <c r="CU15" s="502"/>
      <c r="CV15" s="502"/>
      <c r="CW15" s="503"/>
      <c r="CX15" s="503"/>
      <c r="CY15" s="502"/>
      <c r="CZ15" s="502"/>
      <c r="DA15" s="503"/>
      <c r="DB15" s="503"/>
      <c r="DC15" s="502"/>
      <c r="DD15" s="502"/>
      <c r="DE15" s="503"/>
      <c r="DF15" s="503"/>
      <c r="DG15" s="503"/>
      <c r="DH15" s="503"/>
      <c r="DI15" s="503"/>
      <c r="DJ15" s="503"/>
      <c r="DK15" s="503"/>
      <c r="DL15" s="503"/>
      <c r="DM15" s="503"/>
      <c r="DN15" s="503"/>
      <c r="DO15" s="503"/>
      <c r="DP15" s="503"/>
      <c r="DQ15" s="503"/>
      <c r="DR15" s="503"/>
      <c r="DS15" s="503"/>
      <c r="DT15" s="503"/>
      <c r="DU15" s="503"/>
      <c r="DV15" s="503"/>
      <c r="DW15" s="503"/>
      <c r="DX15" s="503"/>
      <c r="DY15" s="503"/>
      <c r="DZ15" s="503"/>
      <c r="EA15" s="503"/>
      <c r="EB15" s="503"/>
      <c r="EC15" s="504" t="s">
        <v>621</v>
      </c>
      <c r="ED15" s="1127"/>
      <c r="EE15" s="325">
        <v>7</v>
      </c>
    </row>
    <row r="16" spans="1:135" ht="10">
      <c r="B16" s="567" t="e">
        <v>#REF!</v>
      </c>
      <c r="C16" s="337">
        <f t="shared" si="8"/>
        <v>42613</v>
      </c>
      <c r="D16" s="484">
        <f t="shared" si="0"/>
        <v>2016</v>
      </c>
      <c r="E16" s="484">
        <f t="shared" si="1"/>
        <v>0.66666666666666663</v>
      </c>
      <c r="F16" s="484">
        <f t="shared" si="2"/>
        <v>2016.6666666666667</v>
      </c>
      <c r="G16" s="485" t="s">
        <v>621</v>
      </c>
      <c r="H16" s="486" t="e">
        <f>IF(OR(C16&lt;$I$2,C16&gt;#REF!),"",ROUNDDOWN((N16+AF16+SUM(AG16:DE16)),-1))</f>
        <v>#REF!</v>
      </c>
      <c r="I16" s="486" t="e">
        <f t="shared" ref="I16:I20" si="9">IF(H15="","",H16-H15)</f>
        <v>#REF!</v>
      </c>
      <c r="J16" s="487"/>
      <c r="K16" s="488"/>
      <c r="L16" s="487"/>
      <c r="M16" s="489" t="str">
        <f t="shared" si="4"/>
        <v/>
      </c>
      <c r="N16" s="490" t="s">
        <v>621</v>
      </c>
      <c r="O16" s="490" t="str">
        <f t="shared" si="5"/>
        <v/>
      </c>
      <c r="P16" s="491" t="s">
        <v>621</v>
      </c>
      <c r="Q16" s="491"/>
      <c r="R16" s="491" t="str">
        <f t="shared" si="6"/>
        <v/>
      </c>
      <c r="S16" s="492" t="s">
        <v>621</v>
      </c>
      <c r="T16" s="492"/>
      <c r="U16" s="493" t="e">
        <f>#REF!*12+#REF!+#REF!*12+#REF!</f>
        <v>#REF!</v>
      </c>
      <c r="V16" s="338" t="e">
        <v>#REF!</v>
      </c>
      <c r="W16" s="339" t="e">
        <f t="shared" si="7"/>
        <v>#REF!</v>
      </c>
      <c r="X16" s="494" t="e">
        <v>#REF!</v>
      </c>
      <c r="Y16" s="495">
        <v>4536228</v>
      </c>
      <c r="Z16" s="496"/>
      <c r="AA16" s="497"/>
      <c r="AB16" s="498" t="s">
        <v>621</v>
      </c>
      <c r="AC16" s="484" t="e">
        <v>#REF!</v>
      </c>
      <c r="AD16" s="495" t="e">
        <v>#REF!</v>
      </c>
      <c r="AE16" s="499"/>
      <c r="AF16" s="500" t="e">
        <v>#REF!</v>
      </c>
      <c r="AG16" s="501" t="e">
        <v>#REF!</v>
      </c>
      <c r="AH16" s="501"/>
      <c r="AI16" s="502"/>
      <c r="AJ16" s="502"/>
      <c r="AK16" s="503"/>
      <c r="AL16" s="503"/>
      <c r="AM16" s="502"/>
      <c r="AN16" s="502"/>
      <c r="AO16" s="503"/>
      <c r="AP16" s="503"/>
      <c r="AQ16" s="502"/>
      <c r="AR16" s="502"/>
      <c r="AS16" s="503"/>
      <c r="AT16" s="503"/>
      <c r="AU16" s="502"/>
      <c r="AV16" s="502"/>
      <c r="AW16" s="503"/>
      <c r="AX16" s="503"/>
      <c r="AY16" s="502"/>
      <c r="AZ16" s="502"/>
      <c r="BA16" s="503"/>
      <c r="BB16" s="503"/>
      <c r="BC16" s="502"/>
      <c r="BD16" s="502"/>
      <c r="BE16" s="503"/>
      <c r="BF16" s="503"/>
      <c r="BG16" s="502"/>
      <c r="BH16" s="502"/>
      <c r="BI16" s="503"/>
      <c r="BJ16" s="503"/>
      <c r="BK16" s="502"/>
      <c r="BL16" s="502"/>
      <c r="BM16" s="503"/>
      <c r="BN16" s="503"/>
      <c r="BO16" s="502"/>
      <c r="BP16" s="502"/>
      <c r="BQ16" s="503"/>
      <c r="BR16" s="503"/>
      <c r="BS16" s="502"/>
      <c r="BT16" s="502"/>
      <c r="BU16" s="503"/>
      <c r="BV16" s="503"/>
      <c r="BW16" s="502"/>
      <c r="BX16" s="502"/>
      <c r="BY16" s="503"/>
      <c r="BZ16" s="503"/>
      <c r="CA16" s="502"/>
      <c r="CB16" s="502"/>
      <c r="CC16" s="503"/>
      <c r="CD16" s="503"/>
      <c r="CE16" s="502"/>
      <c r="CF16" s="502"/>
      <c r="CG16" s="503"/>
      <c r="CH16" s="503"/>
      <c r="CI16" s="502"/>
      <c r="CJ16" s="502"/>
      <c r="CK16" s="503"/>
      <c r="CL16" s="503"/>
      <c r="CM16" s="502"/>
      <c r="CN16" s="502"/>
      <c r="CO16" s="503"/>
      <c r="CP16" s="503"/>
      <c r="CQ16" s="502"/>
      <c r="CR16" s="502"/>
      <c r="CS16" s="503"/>
      <c r="CT16" s="503"/>
      <c r="CU16" s="502"/>
      <c r="CV16" s="502"/>
      <c r="CW16" s="503"/>
      <c r="CX16" s="503"/>
      <c r="CY16" s="502"/>
      <c r="CZ16" s="502"/>
      <c r="DA16" s="503"/>
      <c r="DB16" s="503"/>
      <c r="DC16" s="502"/>
      <c r="DD16" s="502"/>
      <c r="DE16" s="503"/>
      <c r="DF16" s="503"/>
      <c r="DG16" s="503"/>
      <c r="DH16" s="503"/>
      <c r="DI16" s="503"/>
      <c r="DJ16" s="503"/>
      <c r="DK16" s="503"/>
      <c r="DL16" s="503"/>
      <c r="DM16" s="503"/>
      <c r="DN16" s="503"/>
      <c r="DO16" s="503"/>
      <c r="DP16" s="503"/>
      <c r="DQ16" s="503"/>
      <c r="DR16" s="503"/>
      <c r="DS16" s="503"/>
      <c r="DT16" s="503"/>
      <c r="DU16" s="503"/>
      <c r="DV16" s="503"/>
      <c r="DW16" s="503"/>
      <c r="DX16" s="503"/>
      <c r="DY16" s="503"/>
      <c r="DZ16" s="503"/>
      <c r="EA16" s="503"/>
      <c r="EB16" s="503"/>
      <c r="EC16" s="504" t="s">
        <v>621</v>
      </c>
      <c r="ED16" s="1127"/>
      <c r="EE16" s="325">
        <v>8</v>
      </c>
    </row>
    <row r="17" spans="2:135" ht="10">
      <c r="B17" s="567" t="e">
        <v>#REF!</v>
      </c>
      <c r="C17" s="337">
        <f t="shared" si="8"/>
        <v>42643</v>
      </c>
      <c r="D17" s="484">
        <f t="shared" si="0"/>
        <v>2016</v>
      </c>
      <c r="E17" s="484">
        <f t="shared" si="1"/>
        <v>0.75</v>
      </c>
      <c r="F17" s="484">
        <f t="shared" si="2"/>
        <v>2016.75</v>
      </c>
      <c r="G17" s="485" t="s">
        <v>621</v>
      </c>
      <c r="H17" s="486" t="e">
        <f>IF(OR(C17&lt;$I$2,C17&gt;#REF!),"",ROUNDDOWN((N17+AF17+SUM(AG17:DE17)),-1))</f>
        <v>#REF!</v>
      </c>
      <c r="I17" s="486" t="e">
        <f t="shared" si="9"/>
        <v>#REF!</v>
      </c>
      <c r="J17" s="487"/>
      <c r="K17" s="488"/>
      <c r="L17" s="487"/>
      <c r="M17" s="489" t="str">
        <f t="shared" si="4"/>
        <v/>
      </c>
      <c r="N17" s="490" t="s">
        <v>621</v>
      </c>
      <c r="O17" s="490" t="str">
        <f t="shared" si="5"/>
        <v/>
      </c>
      <c r="P17" s="491" t="s">
        <v>621</v>
      </c>
      <c r="Q17" s="491"/>
      <c r="R17" s="491" t="str">
        <f t="shared" si="6"/>
        <v/>
      </c>
      <c r="S17" s="492" t="s">
        <v>621</v>
      </c>
      <c r="T17" s="492"/>
      <c r="U17" s="493" t="e">
        <f>#REF!*12+#REF!+#REF!*12+#REF!</f>
        <v>#REF!</v>
      </c>
      <c r="V17" s="338" t="e">
        <v>#REF!</v>
      </c>
      <c r="W17" s="339" t="e">
        <f t="shared" si="7"/>
        <v>#REF!</v>
      </c>
      <c r="X17" s="494" t="e">
        <v>#REF!</v>
      </c>
      <c r="Y17" s="495">
        <v>4536228</v>
      </c>
      <c r="Z17" s="496"/>
      <c r="AA17" s="497"/>
      <c r="AB17" s="498" t="s">
        <v>621</v>
      </c>
      <c r="AC17" s="484" t="e">
        <v>#REF!</v>
      </c>
      <c r="AD17" s="495" t="e">
        <v>#REF!</v>
      </c>
      <c r="AE17" s="499"/>
      <c r="AF17" s="500" t="e">
        <v>#REF!</v>
      </c>
      <c r="AG17" s="501" t="e">
        <v>#REF!</v>
      </c>
      <c r="AH17" s="501"/>
      <c r="AI17" s="502"/>
      <c r="AJ17" s="502"/>
      <c r="AK17" s="503"/>
      <c r="AL17" s="503"/>
      <c r="AM17" s="502"/>
      <c r="AN17" s="502"/>
      <c r="AO17" s="503"/>
      <c r="AP17" s="503"/>
      <c r="AQ17" s="502"/>
      <c r="AR17" s="502"/>
      <c r="AS17" s="503"/>
      <c r="AT17" s="503"/>
      <c r="AU17" s="502"/>
      <c r="AV17" s="502"/>
      <c r="AW17" s="503"/>
      <c r="AX17" s="503"/>
      <c r="AY17" s="502"/>
      <c r="AZ17" s="502"/>
      <c r="BA17" s="503"/>
      <c r="BB17" s="503"/>
      <c r="BC17" s="502"/>
      <c r="BD17" s="502"/>
      <c r="BE17" s="503"/>
      <c r="BF17" s="503"/>
      <c r="BG17" s="502"/>
      <c r="BH17" s="502"/>
      <c r="BI17" s="503"/>
      <c r="BJ17" s="503"/>
      <c r="BK17" s="502"/>
      <c r="BL17" s="502"/>
      <c r="BM17" s="503"/>
      <c r="BN17" s="503"/>
      <c r="BO17" s="502"/>
      <c r="BP17" s="502"/>
      <c r="BQ17" s="503"/>
      <c r="BR17" s="503"/>
      <c r="BS17" s="502"/>
      <c r="BT17" s="502"/>
      <c r="BU17" s="503"/>
      <c r="BV17" s="503"/>
      <c r="BW17" s="502"/>
      <c r="BX17" s="502"/>
      <c r="BY17" s="503"/>
      <c r="BZ17" s="503"/>
      <c r="CA17" s="502"/>
      <c r="CB17" s="502"/>
      <c r="CC17" s="503"/>
      <c r="CD17" s="503"/>
      <c r="CE17" s="502"/>
      <c r="CF17" s="502"/>
      <c r="CG17" s="503"/>
      <c r="CH17" s="503"/>
      <c r="CI17" s="502"/>
      <c r="CJ17" s="502"/>
      <c r="CK17" s="503"/>
      <c r="CL17" s="503"/>
      <c r="CM17" s="502"/>
      <c r="CN17" s="502"/>
      <c r="CO17" s="503"/>
      <c r="CP17" s="503"/>
      <c r="CQ17" s="502"/>
      <c r="CR17" s="502"/>
      <c r="CS17" s="503"/>
      <c r="CT17" s="503"/>
      <c r="CU17" s="502"/>
      <c r="CV17" s="502"/>
      <c r="CW17" s="503"/>
      <c r="CX17" s="503"/>
      <c r="CY17" s="502"/>
      <c r="CZ17" s="502"/>
      <c r="DA17" s="503"/>
      <c r="DB17" s="503"/>
      <c r="DC17" s="502"/>
      <c r="DD17" s="502"/>
      <c r="DE17" s="503"/>
      <c r="DF17" s="503"/>
      <c r="DG17" s="503"/>
      <c r="DH17" s="503"/>
      <c r="DI17" s="503"/>
      <c r="DJ17" s="503"/>
      <c r="DK17" s="503"/>
      <c r="DL17" s="503"/>
      <c r="DM17" s="503"/>
      <c r="DN17" s="503"/>
      <c r="DO17" s="503"/>
      <c r="DP17" s="503"/>
      <c r="DQ17" s="503"/>
      <c r="DR17" s="503"/>
      <c r="DS17" s="503"/>
      <c r="DT17" s="503"/>
      <c r="DU17" s="503"/>
      <c r="DV17" s="503"/>
      <c r="DW17" s="503"/>
      <c r="DX17" s="503"/>
      <c r="DY17" s="503"/>
      <c r="DZ17" s="503"/>
      <c r="EA17" s="503"/>
      <c r="EB17" s="503"/>
      <c r="EC17" s="504" t="s">
        <v>621</v>
      </c>
      <c r="ED17" s="1127"/>
      <c r="EE17" s="325">
        <v>9</v>
      </c>
    </row>
    <row r="18" spans="2:135" ht="10">
      <c r="B18" s="567" t="e">
        <v>#REF!</v>
      </c>
      <c r="C18" s="337">
        <f t="shared" si="8"/>
        <v>42674</v>
      </c>
      <c r="D18" s="484">
        <f t="shared" si="0"/>
        <v>2016</v>
      </c>
      <c r="E18" s="484">
        <f t="shared" si="1"/>
        <v>0.83333333333333337</v>
      </c>
      <c r="F18" s="484">
        <f t="shared" si="2"/>
        <v>2016.8333333333333</v>
      </c>
      <c r="G18" s="485" t="s">
        <v>621</v>
      </c>
      <c r="H18" s="486" t="e">
        <f>IF(OR(C18&lt;$I$2,C18&gt;#REF!),"",ROUNDDOWN((N18+AF18+SUM(AG18:DE18)),-1))</f>
        <v>#REF!</v>
      </c>
      <c r="I18" s="486" t="e">
        <f t="shared" si="9"/>
        <v>#REF!</v>
      </c>
      <c r="J18" s="487"/>
      <c r="K18" s="488"/>
      <c r="L18" s="487"/>
      <c r="M18" s="489" t="str">
        <f t="shared" si="4"/>
        <v/>
      </c>
      <c r="N18" s="490" t="s">
        <v>621</v>
      </c>
      <c r="O18" s="490" t="str">
        <f t="shared" si="5"/>
        <v/>
      </c>
      <c r="P18" s="491" t="s">
        <v>621</v>
      </c>
      <c r="Q18" s="491"/>
      <c r="R18" s="491" t="str">
        <f t="shared" si="6"/>
        <v/>
      </c>
      <c r="S18" s="492" t="s">
        <v>621</v>
      </c>
      <c r="T18" s="492"/>
      <c r="U18" s="493" t="e">
        <f>#REF!*12+#REF!+#REF!*12+#REF!</f>
        <v>#REF!</v>
      </c>
      <c r="V18" s="338" t="e">
        <v>#REF!</v>
      </c>
      <c r="W18" s="339" t="e">
        <f t="shared" si="7"/>
        <v>#REF!</v>
      </c>
      <c r="X18" s="494" t="e">
        <v>#REF!</v>
      </c>
      <c r="Y18" s="495">
        <v>4536228</v>
      </c>
      <c r="Z18" s="496"/>
      <c r="AA18" s="497"/>
      <c r="AB18" s="498" t="s">
        <v>621</v>
      </c>
      <c r="AC18" s="484" t="e">
        <v>#REF!</v>
      </c>
      <c r="AD18" s="495" t="e">
        <v>#REF!</v>
      </c>
      <c r="AE18" s="499"/>
      <c r="AF18" s="500" t="e">
        <v>#REF!</v>
      </c>
      <c r="AG18" s="501" t="e">
        <v>#REF!</v>
      </c>
      <c r="AH18" s="501"/>
      <c r="AI18" s="502"/>
      <c r="AJ18" s="502"/>
      <c r="AK18" s="503"/>
      <c r="AL18" s="503"/>
      <c r="AM18" s="502"/>
      <c r="AN18" s="502"/>
      <c r="AO18" s="503"/>
      <c r="AP18" s="503"/>
      <c r="AQ18" s="502"/>
      <c r="AR18" s="502"/>
      <c r="AS18" s="503"/>
      <c r="AT18" s="503"/>
      <c r="AU18" s="502"/>
      <c r="AV18" s="502"/>
      <c r="AW18" s="503"/>
      <c r="AX18" s="503"/>
      <c r="AY18" s="502"/>
      <c r="AZ18" s="502"/>
      <c r="BA18" s="503"/>
      <c r="BB18" s="503"/>
      <c r="BC18" s="502"/>
      <c r="BD18" s="502"/>
      <c r="BE18" s="503"/>
      <c r="BF18" s="503"/>
      <c r="BG18" s="502"/>
      <c r="BH18" s="502"/>
      <c r="BI18" s="503"/>
      <c r="BJ18" s="503"/>
      <c r="BK18" s="502"/>
      <c r="BL18" s="502"/>
      <c r="BM18" s="503"/>
      <c r="BN18" s="503"/>
      <c r="BO18" s="502"/>
      <c r="BP18" s="502"/>
      <c r="BQ18" s="503"/>
      <c r="BR18" s="503"/>
      <c r="BS18" s="502"/>
      <c r="BT18" s="502"/>
      <c r="BU18" s="503"/>
      <c r="BV18" s="503"/>
      <c r="BW18" s="502"/>
      <c r="BX18" s="502"/>
      <c r="BY18" s="503"/>
      <c r="BZ18" s="503"/>
      <c r="CA18" s="502"/>
      <c r="CB18" s="502"/>
      <c r="CC18" s="503"/>
      <c r="CD18" s="503"/>
      <c r="CE18" s="502"/>
      <c r="CF18" s="502"/>
      <c r="CG18" s="503"/>
      <c r="CH18" s="503"/>
      <c r="CI18" s="502"/>
      <c r="CJ18" s="502"/>
      <c r="CK18" s="503"/>
      <c r="CL18" s="503"/>
      <c r="CM18" s="502"/>
      <c r="CN18" s="502"/>
      <c r="CO18" s="503"/>
      <c r="CP18" s="503"/>
      <c r="CQ18" s="502"/>
      <c r="CR18" s="502"/>
      <c r="CS18" s="503"/>
      <c r="CT18" s="503"/>
      <c r="CU18" s="502"/>
      <c r="CV18" s="502"/>
      <c r="CW18" s="503"/>
      <c r="CX18" s="503"/>
      <c r="CY18" s="502"/>
      <c r="CZ18" s="502"/>
      <c r="DA18" s="503"/>
      <c r="DB18" s="503"/>
      <c r="DC18" s="502"/>
      <c r="DD18" s="502"/>
      <c r="DE18" s="503"/>
      <c r="DF18" s="503"/>
      <c r="DG18" s="503"/>
      <c r="DH18" s="503"/>
      <c r="DI18" s="503"/>
      <c r="DJ18" s="503"/>
      <c r="DK18" s="503"/>
      <c r="DL18" s="503"/>
      <c r="DM18" s="503"/>
      <c r="DN18" s="503"/>
      <c r="DO18" s="503"/>
      <c r="DP18" s="503"/>
      <c r="DQ18" s="503"/>
      <c r="DR18" s="503"/>
      <c r="DS18" s="503"/>
      <c r="DT18" s="503"/>
      <c r="DU18" s="503"/>
      <c r="DV18" s="503"/>
      <c r="DW18" s="503"/>
      <c r="DX18" s="503"/>
      <c r="DY18" s="503"/>
      <c r="DZ18" s="503"/>
      <c r="EA18" s="503"/>
      <c r="EB18" s="503"/>
      <c r="EC18" s="504" t="s">
        <v>621</v>
      </c>
      <c r="ED18" s="1127"/>
      <c r="EE18" s="325">
        <v>10</v>
      </c>
    </row>
    <row r="19" spans="2:135" ht="10">
      <c r="B19" s="567" t="e">
        <v>#REF!</v>
      </c>
      <c r="C19" s="337">
        <f t="shared" si="8"/>
        <v>42704</v>
      </c>
      <c r="D19" s="484">
        <f t="shared" si="0"/>
        <v>2016</v>
      </c>
      <c r="E19" s="484">
        <f t="shared" si="1"/>
        <v>0.91666666666666663</v>
      </c>
      <c r="F19" s="484">
        <f t="shared" si="2"/>
        <v>2016.9166666666667</v>
      </c>
      <c r="G19" s="485" t="s">
        <v>621</v>
      </c>
      <c r="H19" s="486" t="e">
        <f>IF(OR(C19&lt;$I$2,C19&gt;#REF!),"",ROUNDDOWN((N19+AF19+SUM(AG19:DE19)),-1))</f>
        <v>#REF!</v>
      </c>
      <c r="I19" s="486" t="e">
        <f t="shared" si="9"/>
        <v>#REF!</v>
      </c>
      <c r="J19" s="487"/>
      <c r="K19" s="488"/>
      <c r="L19" s="487"/>
      <c r="M19" s="489" t="str">
        <f t="shared" si="4"/>
        <v/>
      </c>
      <c r="N19" s="490" t="s">
        <v>621</v>
      </c>
      <c r="O19" s="490" t="str">
        <f t="shared" si="5"/>
        <v/>
      </c>
      <c r="P19" s="491" t="s">
        <v>621</v>
      </c>
      <c r="Q19" s="491"/>
      <c r="R19" s="491" t="str">
        <f t="shared" si="6"/>
        <v/>
      </c>
      <c r="S19" s="492" t="s">
        <v>621</v>
      </c>
      <c r="T19" s="492"/>
      <c r="U19" s="493" t="e">
        <f>#REF!*12+#REF!+#REF!*12+#REF!</f>
        <v>#REF!</v>
      </c>
      <c r="V19" s="338" t="e">
        <v>#REF!</v>
      </c>
      <c r="W19" s="339" t="e">
        <f t="shared" ref="W19:W82" si="10">IF(V20="","",(V20-1)/12)</f>
        <v>#REF!</v>
      </c>
      <c r="X19" s="494" t="e">
        <v>#REF!</v>
      </c>
      <c r="Y19" s="495">
        <v>4536228</v>
      </c>
      <c r="Z19" s="496"/>
      <c r="AA19" s="497"/>
      <c r="AB19" s="498" t="s">
        <v>621</v>
      </c>
      <c r="AC19" s="484" t="e">
        <v>#REF!</v>
      </c>
      <c r="AD19" s="495" t="e">
        <v>#REF!</v>
      </c>
      <c r="AE19" s="499"/>
      <c r="AF19" s="500" t="e">
        <v>#REF!</v>
      </c>
      <c r="AG19" s="501" t="e">
        <v>#REF!</v>
      </c>
      <c r="AH19" s="501"/>
      <c r="AI19" s="502"/>
      <c r="AJ19" s="502"/>
      <c r="AK19" s="503"/>
      <c r="AL19" s="503"/>
      <c r="AM19" s="502"/>
      <c r="AN19" s="502"/>
      <c r="AO19" s="503"/>
      <c r="AP19" s="503"/>
      <c r="AQ19" s="502"/>
      <c r="AR19" s="502"/>
      <c r="AS19" s="503"/>
      <c r="AT19" s="503"/>
      <c r="AU19" s="502"/>
      <c r="AV19" s="502"/>
      <c r="AW19" s="503"/>
      <c r="AX19" s="503"/>
      <c r="AY19" s="502"/>
      <c r="AZ19" s="502"/>
      <c r="BA19" s="503"/>
      <c r="BB19" s="503"/>
      <c r="BC19" s="502"/>
      <c r="BD19" s="502"/>
      <c r="BE19" s="503"/>
      <c r="BF19" s="503"/>
      <c r="BG19" s="502"/>
      <c r="BH19" s="502"/>
      <c r="BI19" s="503"/>
      <c r="BJ19" s="503"/>
      <c r="BK19" s="502"/>
      <c r="BL19" s="502"/>
      <c r="BM19" s="503"/>
      <c r="BN19" s="503"/>
      <c r="BO19" s="502"/>
      <c r="BP19" s="502"/>
      <c r="BQ19" s="503"/>
      <c r="BR19" s="503"/>
      <c r="BS19" s="502"/>
      <c r="BT19" s="502"/>
      <c r="BU19" s="503"/>
      <c r="BV19" s="503"/>
      <c r="BW19" s="502"/>
      <c r="BX19" s="502"/>
      <c r="BY19" s="503"/>
      <c r="BZ19" s="503"/>
      <c r="CA19" s="502"/>
      <c r="CB19" s="502"/>
      <c r="CC19" s="503"/>
      <c r="CD19" s="503"/>
      <c r="CE19" s="502"/>
      <c r="CF19" s="502"/>
      <c r="CG19" s="503"/>
      <c r="CH19" s="503"/>
      <c r="CI19" s="502"/>
      <c r="CJ19" s="502"/>
      <c r="CK19" s="503"/>
      <c r="CL19" s="503"/>
      <c r="CM19" s="502"/>
      <c r="CN19" s="502"/>
      <c r="CO19" s="503"/>
      <c r="CP19" s="503"/>
      <c r="CQ19" s="502"/>
      <c r="CR19" s="502"/>
      <c r="CS19" s="503"/>
      <c r="CT19" s="503"/>
      <c r="CU19" s="502"/>
      <c r="CV19" s="502"/>
      <c r="CW19" s="503"/>
      <c r="CX19" s="503"/>
      <c r="CY19" s="502"/>
      <c r="CZ19" s="502"/>
      <c r="DA19" s="503"/>
      <c r="DB19" s="503"/>
      <c r="DC19" s="502"/>
      <c r="DD19" s="502"/>
      <c r="DE19" s="503"/>
      <c r="DF19" s="503"/>
      <c r="DG19" s="503"/>
      <c r="DH19" s="503"/>
      <c r="DI19" s="503"/>
      <c r="DJ19" s="503"/>
      <c r="DK19" s="503"/>
      <c r="DL19" s="503"/>
      <c r="DM19" s="503"/>
      <c r="DN19" s="503"/>
      <c r="DO19" s="503"/>
      <c r="DP19" s="503"/>
      <c r="DQ19" s="503"/>
      <c r="DR19" s="503"/>
      <c r="DS19" s="503"/>
      <c r="DT19" s="503"/>
      <c r="DU19" s="503"/>
      <c r="DV19" s="503"/>
      <c r="DW19" s="503"/>
      <c r="DX19" s="503"/>
      <c r="DY19" s="503"/>
      <c r="DZ19" s="503"/>
      <c r="EA19" s="503"/>
      <c r="EB19" s="503"/>
      <c r="EC19" s="504" t="s">
        <v>621</v>
      </c>
      <c r="ED19" s="1127"/>
      <c r="EE19" s="325">
        <v>11</v>
      </c>
    </row>
    <row r="20" spans="2:135" ht="10">
      <c r="B20" s="567" t="e">
        <v>#REF!</v>
      </c>
      <c r="C20" s="337">
        <f t="shared" si="8"/>
        <v>42735</v>
      </c>
      <c r="D20" s="484">
        <f t="shared" si="0"/>
        <v>2016</v>
      </c>
      <c r="E20" s="484">
        <f t="shared" si="1"/>
        <v>1</v>
      </c>
      <c r="F20" s="484">
        <f t="shared" si="2"/>
        <v>2017</v>
      </c>
      <c r="G20" s="485" t="s">
        <v>621</v>
      </c>
      <c r="H20" s="486" t="e">
        <f>IF(OR(C20&lt;$I$2,C20&gt;#REF!),"",ROUNDDOWN((N20+AF20+SUM(AG20:DE20)),-1))</f>
        <v>#REF!</v>
      </c>
      <c r="I20" s="486" t="e">
        <f t="shared" si="9"/>
        <v>#REF!</v>
      </c>
      <c r="J20" s="487"/>
      <c r="K20" s="488"/>
      <c r="L20" s="487"/>
      <c r="M20" s="489" t="str">
        <f t="shared" si="4"/>
        <v/>
      </c>
      <c r="N20" s="490" t="s">
        <v>621</v>
      </c>
      <c r="O20" s="490" t="str">
        <f t="shared" si="5"/>
        <v/>
      </c>
      <c r="P20" s="491" t="s">
        <v>621</v>
      </c>
      <c r="Q20" s="491"/>
      <c r="R20" s="491" t="str">
        <f t="shared" si="6"/>
        <v/>
      </c>
      <c r="S20" s="492" t="s">
        <v>621</v>
      </c>
      <c r="T20" s="492"/>
      <c r="U20" s="493" t="e">
        <f>#REF!*12+#REF!+#REF!*12+#REF!</f>
        <v>#REF!</v>
      </c>
      <c r="V20" s="338" t="e">
        <v>#REF!</v>
      </c>
      <c r="W20" s="340" t="e">
        <f t="shared" si="10"/>
        <v>#REF!</v>
      </c>
      <c r="X20" s="494" t="s">
        <v>621</v>
      </c>
      <c r="Y20" s="495">
        <v>4536228</v>
      </c>
      <c r="Z20" s="496"/>
      <c r="AA20" s="497"/>
      <c r="AB20" s="498" t="s">
        <v>621</v>
      </c>
      <c r="AC20" s="484" t="e">
        <v>#REF!</v>
      </c>
      <c r="AD20" s="510" t="e">
        <v>#REF!</v>
      </c>
      <c r="AE20" s="499"/>
      <c r="AF20" s="500" t="e">
        <v>#REF!</v>
      </c>
      <c r="AG20" s="501" t="e">
        <f>IF(OR(C20&lt;$I$2,C20&gt;#REF!),"",((1%*($AD20)+$P20*(AG$8-1%))*$X20%))</f>
        <v>#REF!</v>
      </c>
      <c r="AH20" s="501"/>
      <c r="AI20" s="502" t="e">
        <f>IF(OR(C20&lt;$I$2,C20&gt;#REF!),"",((1%*$AD20)+$P20*(AI$8-1%))*($EE20/12)*$X20%)</f>
        <v>#REF!</v>
      </c>
      <c r="AJ20" s="502"/>
      <c r="AK20" s="503"/>
      <c r="AL20" s="503"/>
      <c r="AM20" s="502"/>
      <c r="AN20" s="502"/>
      <c r="AO20" s="503"/>
      <c r="AP20" s="503"/>
      <c r="AQ20" s="502"/>
      <c r="AR20" s="502"/>
      <c r="AS20" s="503"/>
      <c r="AT20" s="503"/>
      <c r="AU20" s="502"/>
      <c r="AV20" s="502"/>
      <c r="AW20" s="503"/>
      <c r="AX20" s="503"/>
      <c r="AY20" s="502"/>
      <c r="AZ20" s="502"/>
      <c r="BA20" s="503"/>
      <c r="BB20" s="503"/>
      <c r="BC20" s="502"/>
      <c r="BD20" s="502"/>
      <c r="BE20" s="503"/>
      <c r="BF20" s="503"/>
      <c r="BG20" s="502"/>
      <c r="BH20" s="502"/>
      <c r="BI20" s="503"/>
      <c r="BJ20" s="503"/>
      <c r="BK20" s="502"/>
      <c r="BL20" s="502"/>
      <c r="BM20" s="503"/>
      <c r="BN20" s="503"/>
      <c r="BO20" s="502"/>
      <c r="BP20" s="502"/>
      <c r="BQ20" s="503"/>
      <c r="BR20" s="503"/>
      <c r="BS20" s="502"/>
      <c r="BT20" s="502"/>
      <c r="BU20" s="503"/>
      <c r="BV20" s="503"/>
      <c r="BW20" s="502"/>
      <c r="BX20" s="502"/>
      <c r="BY20" s="503"/>
      <c r="BZ20" s="503"/>
      <c r="CA20" s="502"/>
      <c r="CB20" s="502"/>
      <c r="CC20" s="503"/>
      <c r="CD20" s="503"/>
      <c r="CE20" s="502"/>
      <c r="CF20" s="502"/>
      <c r="CG20" s="503"/>
      <c r="CH20" s="503"/>
      <c r="CI20" s="502"/>
      <c r="CJ20" s="502"/>
      <c r="CK20" s="503"/>
      <c r="CL20" s="503"/>
      <c r="CM20" s="502"/>
      <c r="CN20" s="502"/>
      <c r="CO20" s="503"/>
      <c r="CP20" s="503"/>
      <c r="CQ20" s="502"/>
      <c r="CR20" s="502"/>
      <c r="CS20" s="503"/>
      <c r="CT20" s="503"/>
      <c r="CU20" s="502"/>
      <c r="CV20" s="502"/>
      <c r="CW20" s="503"/>
      <c r="CX20" s="503"/>
      <c r="CY20" s="502"/>
      <c r="CZ20" s="502"/>
      <c r="DA20" s="503"/>
      <c r="DB20" s="503"/>
      <c r="DC20" s="502"/>
      <c r="DD20" s="502"/>
      <c r="DE20" s="503"/>
      <c r="DF20" s="503"/>
      <c r="DG20" s="503"/>
      <c r="DH20" s="503"/>
      <c r="DI20" s="503"/>
      <c r="DJ20" s="503"/>
      <c r="DK20" s="503"/>
      <c r="DL20" s="503"/>
      <c r="DM20" s="503"/>
      <c r="DN20" s="503"/>
      <c r="DO20" s="503"/>
      <c r="DP20" s="503"/>
      <c r="DQ20" s="503"/>
      <c r="DR20" s="503"/>
      <c r="DS20" s="503"/>
      <c r="DT20" s="503"/>
      <c r="DU20" s="503"/>
      <c r="DV20" s="503"/>
      <c r="DW20" s="503"/>
      <c r="DX20" s="503"/>
      <c r="DY20" s="503"/>
      <c r="DZ20" s="503"/>
      <c r="EA20" s="503"/>
      <c r="EB20" s="503"/>
      <c r="EC20" s="504" t="s">
        <v>621</v>
      </c>
      <c r="ED20" s="1127"/>
      <c r="EE20" s="325">
        <v>12</v>
      </c>
    </row>
    <row r="21" spans="2:135" ht="10">
      <c r="B21" s="567" t="e">
        <f>(ii!$D$13*12+V21)</f>
        <v>#REF!</v>
      </c>
      <c r="C21" s="333">
        <f t="shared" si="8"/>
        <v>42766</v>
      </c>
      <c r="D21" s="334">
        <f t="shared" si="0"/>
        <v>2017</v>
      </c>
      <c r="E21" s="334">
        <f t="shared" si="1"/>
        <v>8.3333333333333329E-2</v>
      </c>
      <c r="F21" s="334">
        <f t="shared" si="2"/>
        <v>2017.0833333333333</v>
      </c>
      <c r="G21" s="469" t="s">
        <v>621</v>
      </c>
      <c r="H21" s="483" t="e">
        <f>IF(OR(C21&lt;$I$2,C21&gt;#REF!),"",ROUNDDOWN((N21+AF21+SUM(AG21:DE21)),-1))</f>
        <v>#REF!</v>
      </c>
      <c r="I21" s="470" t="e">
        <f t="shared" ref="I21:I26" si="11">IF(H21="","",H21-H20)</f>
        <v>#REF!</v>
      </c>
      <c r="J21" s="471"/>
      <c r="K21" s="472"/>
      <c r="L21" s="471"/>
      <c r="M21" s="511" t="str">
        <f t="shared" si="4"/>
        <v/>
      </c>
      <c r="N21" s="335" t="s">
        <v>621</v>
      </c>
      <c r="O21" s="335" t="str">
        <f t="shared" si="5"/>
        <v/>
      </c>
      <c r="P21" s="471" t="s">
        <v>621</v>
      </c>
      <c r="Q21" s="471"/>
      <c r="R21" s="471" t="str">
        <f t="shared" si="6"/>
        <v/>
      </c>
      <c r="S21" s="512" t="s">
        <v>621</v>
      </c>
      <c r="T21" s="512"/>
      <c r="U21" s="513" t="e">
        <f>#REF!*12+#REF!+#REF!*12+#REF!</f>
        <v>#REF!</v>
      </c>
      <c r="V21" s="335" t="e">
        <v>#REF!</v>
      </c>
      <c r="W21" s="334" t="e">
        <f t="shared" si="10"/>
        <v>#REF!</v>
      </c>
      <c r="X21" s="474" t="s">
        <v>621</v>
      </c>
      <c r="Y21" s="475" t="s">
        <v>621</v>
      </c>
      <c r="Z21" s="476"/>
      <c r="AA21" s="477" t="str">
        <f>IF(Y21="","",(Y21-Y20)/Y20)</f>
        <v/>
      </c>
      <c r="AB21" s="514" t="s">
        <v>621</v>
      </c>
      <c r="AC21" s="484" t="e">
        <v>#REF!</v>
      </c>
      <c r="AD21" s="475" t="e">
        <v>#REF!</v>
      </c>
      <c r="AE21" s="515"/>
      <c r="AF21" s="475" t="e">
        <v>#REF!</v>
      </c>
      <c r="AG21" s="480" t="e">
        <f>IF(OR(C21&lt;$I$2,C21&gt;#REF!),"",((1%*($AD21)+$P21*(AG$8-1%))*$X21%))</f>
        <v>#REF!</v>
      </c>
      <c r="AH21" s="480"/>
      <c r="AI21" s="471" t="e">
        <f>IF(OR(C21&lt;$I$2,C21&gt;#REF!),"",((1%*$AD21)+$P21*(AI$8-1%))*($EE21/12)*$X21%)</f>
        <v>#REF!</v>
      </c>
      <c r="AJ21" s="471"/>
      <c r="AK21" s="483"/>
      <c r="AL21" s="483"/>
      <c r="AM21" s="483"/>
      <c r="AN21" s="483"/>
      <c r="AO21" s="483"/>
      <c r="AP21" s="483"/>
      <c r="AQ21" s="483"/>
      <c r="AR21" s="483"/>
      <c r="AS21" s="483"/>
      <c r="AT21" s="483"/>
      <c r="AU21" s="483"/>
      <c r="AV21" s="483"/>
      <c r="AW21" s="483"/>
      <c r="AX21" s="483"/>
      <c r="AY21" s="483"/>
      <c r="AZ21" s="483"/>
      <c r="BA21" s="483"/>
      <c r="BB21" s="483"/>
      <c r="BC21" s="483"/>
      <c r="BD21" s="483"/>
      <c r="BE21" s="483"/>
      <c r="BF21" s="483"/>
      <c r="BG21" s="483"/>
      <c r="BH21" s="483"/>
      <c r="BI21" s="483"/>
      <c r="BJ21" s="483"/>
      <c r="BK21" s="483"/>
      <c r="BL21" s="483"/>
      <c r="BM21" s="483"/>
      <c r="BN21" s="483"/>
      <c r="BO21" s="483"/>
      <c r="BP21" s="483"/>
      <c r="BQ21" s="483"/>
      <c r="BR21" s="483"/>
      <c r="BS21" s="483"/>
      <c r="BT21" s="483"/>
      <c r="BU21" s="483"/>
      <c r="BV21" s="483"/>
      <c r="BW21" s="483"/>
      <c r="BX21" s="483"/>
      <c r="BY21" s="483"/>
      <c r="BZ21" s="483"/>
      <c r="CA21" s="483"/>
      <c r="CB21" s="483"/>
      <c r="CC21" s="483"/>
      <c r="CD21" s="483"/>
      <c r="CE21" s="483"/>
      <c r="CF21" s="483"/>
      <c r="CG21" s="483"/>
      <c r="CH21" s="483"/>
      <c r="CI21" s="483"/>
      <c r="CJ21" s="483"/>
      <c r="CK21" s="483"/>
      <c r="CL21" s="483"/>
      <c r="CM21" s="483"/>
      <c r="CN21" s="483"/>
      <c r="CO21" s="483"/>
      <c r="CP21" s="483"/>
      <c r="CQ21" s="483"/>
      <c r="CR21" s="483"/>
      <c r="CS21" s="483"/>
      <c r="CT21" s="483"/>
      <c r="CU21" s="483"/>
      <c r="CV21" s="483"/>
      <c r="CW21" s="483"/>
      <c r="CX21" s="483"/>
      <c r="CY21" s="483"/>
      <c r="CZ21" s="483"/>
      <c r="DA21" s="483"/>
      <c r="DB21" s="483"/>
      <c r="DC21" s="483"/>
      <c r="DD21" s="483"/>
      <c r="DE21" s="483"/>
      <c r="DF21" s="483"/>
      <c r="DG21" s="483"/>
      <c r="DH21" s="483"/>
      <c r="DI21" s="483"/>
      <c r="DJ21" s="483"/>
      <c r="DK21" s="483"/>
      <c r="DL21" s="483"/>
      <c r="DM21" s="483"/>
      <c r="DN21" s="483"/>
      <c r="DO21" s="483"/>
      <c r="DP21" s="483"/>
      <c r="DQ21" s="483"/>
      <c r="DR21" s="483"/>
      <c r="DS21" s="483"/>
      <c r="DT21" s="483"/>
      <c r="DU21" s="483"/>
      <c r="DV21" s="483"/>
      <c r="DW21" s="483"/>
      <c r="DX21" s="483"/>
      <c r="DY21" s="483"/>
      <c r="DZ21" s="483"/>
      <c r="EA21" s="483"/>
      <c r="EB21" s="483"/>
      <c r="EC21" s="483" t="s">
        <v>621</v>
      </c>
      <c r="ED21" s="1126">
        <f>SUM(EC21:EC32)</f>
        <v>0</v>
      </c>
      <c r="EE21" s="325">
        <v>1</v>
      </c>
    </row>
    <row r="22" spans="2:135" ht="10">
      <c r="B22" s="567" t="e">
        <f>(ii!$D$13*12+V22)</f>
        <v>#REF!</v>
      </c>
      <c r="C22" s="337">
        <f t="shared" si="8"/>
        <v>42794</v>
      </c>
      <c r="D22" s="484">
        <f t="shared" si="0"/>
        <v>2017</v>
      </c>
      <c r="E22" s="484">
        <f t="shared" si="1"/>
        <v>0.16666666666666666</v>
      </c>
      <c r="F22" s="484">
        <f t="shared" si="2"/>
        <v>2017.1666666666667</v>
      </c>
      <c r="G22" s="485" t="s">
        <v>621</v>
      </c>
      <c r="H22" s="486" t="e">
        <f>IF(OR(C22&lt;$I$2,C22&gt;#REF!),"",ROUNDDOWN((N22+AF22+SUM(AG22:DE22)),-1))</f>
        <v>#REF!</v>
      </c>
      <c r="I22" s="486" t="e">
        <f t="shared" si="11"/>
        <v>#REF!</v>
      </c>
      <c r="J22" s="487"/>
      <c r="K22" s="488"/>
      <c r="L22" s="487"/>
      <c r="M22" s="489" t="str">
        <f t="shared" si="4"/>
        <v/>
      </c>
      <c r="N22" s="490" t="s">
        <v>621</v>
      </c>
      <c r="O22" s="490" t="str">
        <f t="shared" si="5"/>
        <v/>
      </c>
      <c r="P22" s="491" t="s">
        <v>621</v>
      </c>
      <c r="Q22" s="491"/>
      <c r="R22" s="491" t="str">
        <f t="shared" si="6"/>
        <v/>
      </c>
      <c r="S22" s="493" t="s">
        <v>621</v>
      </c>
      <c r="T22" s="493"/>
      <c r="U22" s="493" t="e">
        <f>#REF!*12+#REF!+#REF!*12+#REF!</f>
        <v>#REF!</v>
      </c>
      <c r="V22" s="338" t="e">
        <v>#REF!</v>
      </c>
      <c r="W22" s="339" t="e">
        <f t="shared" si="10"/>
        <v>#REF!</v>
      </c>
      <c r="X22" s="494" t="s">
        <v>621</v>
      </c>
      <c r="Y22" s="495" t="s">
        <v>621</v>
      </c>
      <c r="Z22" s="496"/>
      <c r="AA22" s="497"/>
      <c r="AB22" s="498" t="s">
        <v>621</v>
      </c>
      <c r="AC22" s="484" t="e">
        <v>#REF!</v>
      </c>
      <c r="AD22" s="495" t="e">
        <v>#REF!</v>
      </c>
      <c r="AE22" s="499"/>
      <c r="AF22" s="500" t="e">
        <v>#REF!</v>
      </c>
      <c r="AG22" s="516" t="e">
        <f>IF(OR(C22&lt;$I$2,C22&gt;#REF!),"",((1%*($AD22)+$P22*(AG$8-1%))*$X22%))</f>
        <v>#REF!</v>
      </c>
      <c r="AH22" s="516"/>
      <c r="AI22" s="517" t="e">
        <f>IF(OR(C22&lt;$I$2,C22&gt;#REF!),"",((1%*$AD22)+$P22*(AI$8-1%))*($EE22/12)*$X22%)</f>
        <v>#REF!</v>
      </c>
      <c r="AJ22" s="517"/>
      <c r="AK22" s="503"/>
      <c r="AL22" s="503"/>
      <c r="AM22" s="502"/>
      <c r="AN22" s="502"/>
      <c r="AO22" s="503"/>
      <c r="AP22" s="503"/>
      <c r="AQ22" s="502"/>
      <c r="AR22" s="502"/>
      <c r="AS22" s="503"/>
      <c r="AT22" s="503"/>
      <c r="AU22" s="502"/>
      <c r="AV22" s="502"/>
      <c r="AW22" s="503"/>
      <c r="AX22" s="503"/>
      <c r="AY22" s="502"/>
      <c r="AZ22" s="502"/>
      <c r="BA22" s="503"/>
      <c r="BB22" s="503"/>
      <c r="BC22" s="502"/>
      <c r="BD22" s="502"/>
      <c r="BE22" s="503"/>
      <c r="BF22" s="503"/>
      <c r="BG22" s="502"/>
      <c r="BH22" s="502"/>
      <c r="BI22" s="503"/>
      <c r="BJ22" s="503"/>
      <c r="BK22" s="502"/>
      <c r="BL22" s="502"/>
      <c r="BM22" s="503"/>
      <c r="BN22" s="503"/>
      <c r="BO22" s="502"/>
      <c r="BP22" s="502"/>
      <c r="BQ22" s="503"/>
      <c r="BR22" s="503"/>
      <c r="BS22" s="502"/>
      <c r="BT22" s="502"/>
      <c r="BU22" s="503"/>
      <c r="BV22" s="503"/>
      <c r="BW22" s="502"/>
      <c r="BX22" s="502"/>
      <c r="BY22" s="503"/>
      <c r="BZ22" s="503"/>
      <c r="CA22" s="502"/>
      <c r="CB22" s="502"/>
      <c r="CC22" s="503"/>
      <c r="CD22" s="503"/>
      <c r="CE22" s="502"/>
      <c r="CF22" s="502"/>
      <c r="CG22" s="503"/>
      <c r="CH22" s="503"/>
      <c r="CI22" s="502"/>
      <c r="CJ22" s="502"/>
      <c r="CK22" s="503"/>
      <c r="CL22" s="503"/>
      <c r="CM22" s="502"/>
      <c r="CN22" s="502"/>
      <c r="CO22" s="503"/>
      <c r="CP22" s="503"/>
      <c r="CQ22" s="502"/>
      <c r="CR22" s="502"/>
      <c r="CS22" s="503"/>
      <c r="CT22" s="503"/>
      <c r="CU22" s="502"/>
      <c r="CV22" s="502"/>
      <c r="CW22" s="503"/>
      <c r="CX22" s="503"/>
      <c r="CY22" s="502"/>
      <c r="CZ22" s="502"/>
      <c r="DA22" s="503"/>
      <c r="DB22" s="503"/>
      <c r="DC22" s="502"/>
      <c r="DD22" s="502"/>
      <c r="DE22" s="503"/>
      <c r="DF22" s="503"/>
      <c r="DG22" s="503"/>
      <c r="DH22" s="503"/>
      <c r="DI22" s="503"/>
      <c r="DJ22" s="503"/>
      <c r="DK22" s="503"/>
      <c r="DL22" s="503"/>
      <c r="DM22" s="503"/>
      <c r="DN22" s="503"/>
      <c r="DO22" s="503"/>
      <c r="DP22" s="503"/>
      <c r="DQ22" s="503"/>
      <c r="DR22" s="503"/>
      <c r="DS22" s="503"/>
      <c r="DT22" s="503"/>
      <c r="DU22" s="503"/>
      <c r="DV22" s="503"/>
      <c r="DW22" s="503"/>
      <c r="DX22" s="503"/>
      <c r="DY22" s="503"/>
      <c r="DZ22" s="503"/>
      <c r="EA22" s="503"/>
      <c r="EB22" s="503"/>
      <c r="EC22" s="504" t="s">
        <v>621</v>
      </c>
      <c r="ED22" s="1126"/>
      <c r="EE22" s="325">
        <v>2</v>
      </c>
    </row>
    <row r="23" spans="2:135" ht="10">
      <c r="B23" s="567" t="e">
        <f>(ii!$D$13*12+V23)</f>
        <v>#REF!</v>
      </c>
      <c r="C23" s="337">
        <f t="shared" si="8"/>
        <v>42825</v>
      </c>
      <c r="D23" s="484">
        <f t="shared" si="0"/>
        <v>2017</v>
      </c>
      <c r="E23" s="484">
        <f t="shared" si="1"/>
        <v>0.25</v>
      </c>
      <c r="F23" s="484">
        <f t="shared" si="2"/>
        <v>2017.25</v>
      </c>
      <c r="G23" s="485" t="s">
        <v>621</v>
      </c>
      <c r="H23" s="486" t="e">
        <f>IF(OR(C23&lt;$I$2,C23&gt;#REF!),"",ROUNDDOWN((N23+AF23+SUM(AG23:DE23)),-1))</f>
        <v>#REF!</v>
      </c>
      <c r="I23" s="486" t="e">
        <f t="shared" si="11"/>
        <v>#REF!</v>
      </c>
      <c r="J23" s="487"/>
      <c r="K23" s="488"/>
      <c r="L23" s="487"/>
      <c r="M23" s="489" t="str">
        <f t="shared" si="4"/>
        <v/>
      </c>
      <c r="N23" s="490" t="s">
        <v>621</v>
      </c>
      <c r="O23" s="490" t="str">
        <f t="shared" si="5"/>
        <v/>
      </c>
      <c r="P23" s="491" t="s">
        <v>621</v>
      </c>
      <c r="Q23" s="491"/>
      <c r="R23" s="491" t="str">
        <f t="shared" si="6"/>
        <v/>
      </c>
      <c r="S23" s="493" t="s">
        <v>621</v>
      </c>
      <c r="T23" s="493"/>
      <c r="U23" s="493" t="e">
        <f>#REF!*12+#REF!+#REF!*12+#REF!</f>
        <v>#REF!</v>
      </c>
      <c r="V23" s="338" t="e">
        <v>#REF!</v>
      </c>
      <c r="W23" s="341" t="e">
        <f t="shared" si="10"/>
        <v>#REF!</v>
      </c>
      <c r="X23" s="494" t="s">
        <v>621</v>
      </c>
      <c r="Y23" s="495" t="s">
        <v>621</v>
      </c>
      <c r="Z23" s="496"/>
      <c r="AA23" s="497"/>
      <c r="AB23" s="498" t="s">
        <v>621</v>
      </c>
      <c r="AC23" s="484" t="e">
        <v>#REF!</v>
      </c>
      <c r="AD23" s="495" t="e">
        <v>#REF!</v>
      </c>
      <c r="AE23" s="499"/>
      <c r="AF23" s="500" t="e">
        <v>#REF!</v>
      </c>
      <c r="AG23" s="516" t="e">
        <f>IF(OR(C23&lt;$I$2,C23&gt;#REF!),"",((1%*($AD23)+$P23*(AG$8-1%))*$X23%))</f>
        <v>#REF!</v>
      </c>
      <c r="AH23" s="516"/>
      <c r="AI23" s="517" t="e">
        <f>IF(OR(C23&lt;$I$2,C23&gt;#REF!),"",((1%*$AD23)+$P23*(AI$8-1%))*($EE23/12)*$X23%)</f>
        <v>#REF!</v>
      </c>
      <c r="AJ23" s="517"/>
      <c r="AK23" s="503"/>
      <c r="AL23" s="503"/>
      <c r="AM23" s="502"/>
      <c r="AN23" s="502"/>
      <c r="AO23" s="503"/>
      <c r="AP23" s="503"/>
      <c r="AQ23" s="502"/>
      <c r="AR23" s="502"/>
      <c r="AS23" s="503"/>
      <c r="AT23" s="503"/>
      <c r="AU23" s="502"/>
      <c r="AV23" s="502"/>
      <c r="AW23" s="503"/>
      <c r="AX23" s="503"/>
      <c r="AY23" s="502"/>
      <c r="AZ23" s="502"/>
      <c r="BA23" s="503"/>
      <c r="BB23" s="503"/>
      <c r="BC23" s="502"/>
      <c r="BD23" s="502"/>
      <c r="BE23" s="503"/>
      <c r="BF23" s="503"/>
      <c r="BG23" s="502"/>
      <c r="BH23" s="502"/>
      <c r="BI23" s="503"/>
      <c r="BJ23" s="503"/>
      <c r="BK23" s="502"/>
      <c r="BL23" s="502"/>
      <c r="BM23" s="503"/>
      <c r="BN23" s="503"/>
      <c r="BO23" s="502"/>
      <c r="BP23" s="502"/>
      <c r="BQ23" s="503"/>
      <c r="BR23" s="503"/>
      <c r="BS23" s="502"/>
      <c r="BT23" s="502"/>
      <c r="BU23" s="503"/>
      <c r="BV23" s="503"/>
      <c r="BW23" s="502"/>
      <c r="BX23" s="502"/>
      <c r="BY23" s="503"/>
      <c r="BZ23" s="503"/>
      <c r="CA23" s="502"/>
      <c r="CB23" s="502"/>
      <c r="CC23" s="503"/>
      <c r="CD23" s="503"/>
      <c r="CE23" s="502"/>
      <c r="CF23" s="502"/>
      <c r="CG23" s="503"/>
      <c r="CH23" s="503"/>
      <c r="CI23" s="502"/>
      <c r="CJ23" s="502"/>
      <c r="CK23" s="503"/>
      <c r="CL23" s="503"/>
      <c r="CM23" s="502"/>
      <c r="CN23" s="502"/>
      <c r="CO23" s="503"/>
      <c r="CP23" s="503"/>
      <c r="CQ23" s="502"/>
      <c r="CR23" s="502"/>
      <c r="CS23" s="503"/>
      <c r="CT23" s="503"/>
      <c r="CU23" s="502"/>
      <c r="CV23" s="502"/>
      <c r="CW23" s="503"/>
      <c r="CX23" s="503"/>
      <c r="CY23" s="502"/>
      <c r="CZ23" s="502"/>
      <c r="DA23" s="503"/>
      <c r="DB23" s="503"/>
      <c r="DC23" s="502"/>
      <c r="DD23" s="502"/>
      <c r="DE23" s="503"/>
      <c r="DF23" s="503"/>
      <c r="DG23" s="503"/>
      <c r="DH23" s="503"/>
      <c r="DI23" s="503"/>
      <c r="DJ23" s="503"/>
      <c r="DK23" s="503"/>
      <c r="DL23" s="503"/>
      <c r="DM23" s="503"/>
      <c r="DN23" s="503"/>
      <c r="DO23" s="503"/>
      <c r="DP23" s="503"/>
      <c r="DQ23" s="503"/>
      <c r="DR23" s="503"/>
      <c r="DS23" s="503"/>
      <c r="DT23" s="503"/>
      <c r="DU23" s="503"/>
      <c r="DV23" s="503"/>
      <c r="DW23" s="503"/>
      <c r="DX23" s="503"/>
      <c r="DY23" s="503"/>
      <c r="DZ23" s="503"/>
      <c r="EA23" s="503"/>
      <c r="EB23" s="503"/>
      <c r="EC23" s="504" t="s">
        <v>621</v>
      </c>
      <c r="ED23" s="1126"/>
      <c r="EE23" s="325">
        <v>3</v>
      </c>
    </row>
    <row r="24" spans="2:135" ht="10">
      <c r="B24" s="567" t="e">
        <f>(ii!$D$13*12+V24)</f>
        <v>#REF!</v>
      </c>
      <c r="C24" s="342">
        <f t="shared" si="8"/>
        <v>42855</v>
      </c>
      <c r="D24" s="341">
        <f t="shared" si="0"/>
        <v>2017</v>
      </c>
      <c r="E24" s="341">
        <f t="shared" si="1"/>
        <v>0.33333333333333331</v>
      </c>
      <c r="F24" s="341">
        <f t="shared" si="2"/>
        <v>2017.3333333333333</v>
      </c>
      <c r="G24" s="518" t="s">
        <v>621</v>
      </c>
      <c r="H24" s="505" t="e">
        <f>IF(OR(C24&lt;$I$2,C24&gt;#REF!),"",ROUNDDOWN((N24+AF24+SUM(AG24:DE24)),-1))</f>
        <v>#REF!</v>
      </c>
      <c r="I24" s="505" t="e">
        <f t="shared" si="11"/>
        <v>#REF!</v>
      </c>
      <c r="J24" s="487"/>
      <c r="K24" s="488"/>
      <c r="L24" s="487"/>
      <c r="M24" s="489" t="str">
        <f t="shared" si="4"/>
        <v/>
      </c>
      <c r="N24" s="490" t="s">
        <v>621</v>
      </c>
      <c r="O24" s="490" t="str">
        <f t="shared" si="5"/>
        <v/>
      </c>
      <c r="P24" s="491" t="s">
        <v>621</v>
      </c>
      <c r="Q24" s="491"/>
      <c r="R24" s="491" t="str">
        <f t="shared" si="6"/>
        <v/>
      </c>
      <c r="S24" s="493" t="s">
        <v>621</v>
      </c>
      <c r="T24" s="493"/>
      <c r="U24" s="519" t="e">
        <f>#REF!*12+#REF!+#REF!*12+#REF!</f>
        <v>#REF!</v>
      </c>
      <c r="V24" s="343" t="e">
        <v>#REF!</v>
      </c>
      <c r="W24" s="339" t="e">
        <f t="shared" si="10"/>
        <v>#REF!</v>
      </c>
      <c r="X24" s="494" t="s">
        <v>621</v>
      </c>
      <c r="Y24" s="495" t="s">
        <v>621</v>
      </c>
      <c r="Z24" s="496"/>
      <c r="AA24" s="497"/>
      <c r="AB24" s="498" t="s">
        <v>621</v>
      </c>
      <c r="AC24" s="484" t="e">
        <v>#REF!</v>
      </c>
      <c r="AD24" s="495" t="e">
        <v>#REF!</v>
      </c>
      <c r="AE24" s="499"/>
      <c r="AF24" s="500" t="e">
        <v>#REF!</v>
      </c>
      <c r="AG24" s="516" t="e">
        <f>IF(OR(C24&lt;$I$2,C24&gt;#REF!),"",((1%*($AD24)+$P24*(AG$8-1%))*$X24%))</f>
        <v>#REF!</v>
      </c>
      <c r="AH24" s="516"/>
      <c r="AI24" s="517" t="e">
        <f>IF(OR(C24&lt;$I$2,C24&gt;#REF!),"",((1%*$AD24)+$P24*(AI$8-1%))*($EE24/12)*$X24%)</f>
        <v>#REF!</v>
      </c>
      <c r="AJ24" s="517"/>
      <c r="AK24" s="503"/>
      <c r="AL24" s="503"/>
      <c r="AM24" s="502"/>
      <c r="AN24" s="502"/>
      <c r="AO24" s="503"/>
      <c r="AP24" s="503"/>
      <c r="AQ24" s="502"/>
      <c r="AR24" s="502"/>
      <c r="AS24" s="503"/>
      <c r="AT24" s="503"/>
      <c r="AU24" s="502"/>
      <c r="AV24" s="502"/>
      <c r="AW24" s="503"/>
      <c r="AX24" s="503"/>
      <c r="AY24" s="502"/>
      <c r="AZ24" s="502"/>
      <c r="BA24" s="503"/>
      <c r="BB24" s="503"/>
      <c r="BC24" s="502"/>
      <c r="BD24" s="502"/>
      <c r="BE24" s="503"/>
      <c r="BF24" s="503"/>
      <c r="BG24" s="502"/>
      <c r="BH24" s="502"/>
      <c r="BI24" s="503"/>
      <c r="BJ24" s="503"/>
      <c r="BK24" s="502"/>
      <c r="BL24" s="502"/>
      <c r="BM24" s="503"/>
      <c r="BN24" s="503"/>
      <c r="BO24" s="502"/>
      <c r="BP24" s="502"/>
      <c r="BQ24" s="503"/>
      <c r="BR24" s="503"/>
      <c r="BS24" s="502"/>
      <c r="BT24" s="502"/>
      <c r="BU24" s="503"/>
      <c r="BV24" s="503"/>
      <c r="BW24" s="502"/>
      <c r="BX24" s="502"/>
      <c r="BY24" s="503"/>
      <c r="BZ24" s="503"/>
      <c r="CA24" s="502"/>
      <c r="CB24" s="502"/>
      <c r="CC24" s="503"/>
      <c r="CD24" s="503"/>
      <c r="CE24" s="502"/>
      <c r="CF24" s="502"/>
      <c r="CG24" s="503"/>
      <c r="CH24" s="503"/>
      <c r="CI24" s="502"/>
      <c r="CJ24" s="502"/>
      <c r="CK24" s="503"/>
      <c r="CL24" s="503"/>
      <c r="CM24" s="502"/>
      <c r="CN24" s="502"/>
      <c r="CO24" s="503"/>
      <c r="CP24" s="503"/>
      <c r="CQ24" s="502"/>
      <c r="CR24" s="502"/>
      <c r="CS24" s="503"/>
      <c r="CT24" s="503"/>
      <c r="CU24" s="502"/>
      <c r="CV24" s="502"/>
      <c r="CW24" s="503"/>
      <c r="CX24" s="503"/>
      <c r="CY24" s="502"/>
      <c r="CZ24" s="502"/>
      <c r="DA24" s="503"/>
      <c r="DB24" s="503"/>
      <c r="DC24" s="502"/>
      <c r="DD24" s="502"/>
      <c r="DE24" s="503"/>
      <c r="DF24" s="503"/>
      <c r="DG24" s="503"/>
      <c r="DH24" s="503"/>
      <c r="DI24" s="503"/>
      <c r="DJ24" s="503"/>
      <c r="DK24" s="503"/>
      <c r="DL24" s="503"/>
      <c r="DM24" s="503"/>
      <c r="DN24" s="503"/>
      <c r="DO24" s="503"/>
      <c r="DP24" s="503"/>
      <c r="DQ24" s="503"/>
      <c r="DR24" s="503"/>
      <c r="DS24" s="503"/>
      <c r="DT24" s="503"/>
      <c r="DU24" s="503"/>
      <c r="DV24" s="503"/>
      <c r="DW24" s="503"/>
      <c r="DX24" s="503"/>
      <c r="DY24" s="503"/>
      <c r="DZ24" s="503"/>
      <c r="EA24" s="503"/>
      <c r="EB24" s="503"/>
      <c r="EC24" s="504" t="s">
        <v>621</v>
      </c>
      <c r="ED24" s="1126"/>
      <c r="EE24" s="325">
        <v>4</v>
      </c>
    </row>
    <row r="25" spans="2:135" ht="10">
      <c r="B25" s="567" t="e">
        <f>(ii!$D$13*12+V25)</f>
        <v>#REF!</v>
      </c>
      <c r="C25" s="337">
        <f t="shared" si="8"/>
        <v>42886</v>
      </c>
      <c r="D25" s="484">
        <f t="shared" si="0"/>
        <v>2017</v>
      </c>
      <c r="E25" s="484">
        <f t="shared" si="1"/>
        <v>0.41666666666666669</v>
      </c>
      <c r="F25" s="484">
        <f t="shared" si="2"/>
        <v>2017.4166666666667</v>
      </c>
      <c r="G25" s="485" t="s">
        <v>621</v>
      </c>
      <c r="H25" s="486" t="e">
        <f>IF(OR(C25&lt;$I$2,C25&gt;#REF!),"",ROUNDDOWN((N25+AF25+SUM(AG25:DE25)),-1))</f>
        <v>#REF!</v>
      </c>
      <c r="I25" s="506" t="e">
        <f t="shared" si="11"/>
        <v>#REF!</v>
      </c>
      <c r="J25" s="507"/>
      <c r="K25" s="508"/>
      <c r="L25" s="507"/>
      <c r="M25" s="520" t="str">
        <f t="shared" si="4"/>
        <v/>
      </c>
      <c r="N25" s="490" t="s">
        <v>621</v>
      </c>
      <c r="O25" s="490" t="str">
        <f t="shared" si="5"/>
        <v/>
      </c>
      <c r="P25" s="509" t="s">
        <v>621</v>
      </c>
      <c r="Q25" s="509"/>
      <c r="R25" s="509" t="str">
        <f t="shared" si="6"/>
        <v/>
      </c>
      <c r="S25" s="521" t="s">
        <v>621</v>
      </c>
      <c r="T25" s="521"/>
      <c r="U25" s="522" t="e">
        <f>#REF!*12+#REF!+#REF!*12+#REF!</f>
        <v>#REF!</v>
      </c>
      <c r="V25" s="344" t="e">
        <v>#REF!</v>
      </c>
      <c r="W25" s="339" t="e">
        <f t="shared" si="10"/>
        <v>#REF!</v>
      </c>
      <c r="X25" s="494" t="s">
        <v>621</v>
      </c>
      <c r="Y25" s="495" t="s">
        <v>621</v>
      </c>
      <c r="Z25" s="496"/>
      <c r="AA25" s="497"/>
      <c r="AB25" s="523" t="s">
        <v>621</v>
      </c>
      <c r="AC25" s="484" t="e">
        <v>#REF!</v>
      </c>
      <c r="AD25" s="524" t="e">
        <v>#REF!</v>
      </c>
      <c r="AE25" s="525"/>
      <c r="AF25" s="500" t="e">
        <v>#REF!</v>
      </c>
      <c r="AG25" s="516" t="e">
        <f>IF(OR(C25&lt;$I$2,C25&gt;#REF!),"",((1%*($AD25)+$P25*(AG$8-1%))*$X25%))</f>
        <v>#REF!</v>
      </c>
      <c r="AH25" s="516"/>
      <c r="AI25" s="517" t="e">
        <f>IF(OR(C25&lt;$I$2,C25&gt;#REF!),"",((1%*$AD25)+$P25*(AI$8-1%))*($EE25/12)*$X25%)</f>
        <v>#REF!</v>
      </c>
      <c r="AJ25" s="517"/>
      <c r="AK25" s="503"/>
      <c r="AL25" s="503"/>
      <c r="AM25" s="502"/>
      <c r="AN25" s="502"/>
      <c r="AO25" s="503"/>
      <c r="AP25" s="503"/>
      <c r="AQ25" s="502"/>
      <c r="AR25" s="502"/>
      <c r="AS25" s="503"/>
      <c r="AT25" s="503"/>
      <c r="AU25" s="502"/>
      <c r="AV25" s="502"/>
      <c r="AW25" s="503"/>
      <c r="AX25" s="503"/>
      <c r="AY25" s="502"/>
      <c r="AZ25" s="502"/>
      <c r="BA25" s="503"/>
      <c r="BB25" s="503"/>
      <c r="BC25" s="502"/>
      <c r="BD25" s="502"/>
      <c r="BE25" s="503"/>
      <c r="BF25" s="503"/>
      <c r="BG25" s="502"/>
      <c r="BH25" s="502"/>
      <c r="BI25" s="503"/>
      <c r="BJ25" s="503"/>
      <c r="BK25" s="502"/>
      <c r="BL25" s="502"/>
      <c r="BM25" s="503"/>
      <c r="BN25" s="503"/>
      <c r="BO25" s="502"/>
      <c r="BP25" s="502"/>
      <c r="BQ25" s="503"/>
      <c r="BR25" s="503"/>
      <c r="BS25" s="502"/>
      <c r="BT25" s="502"/>
      <c r="BU25" s="503"/>
      <c r="BV25" s="503"/>
      <c r="BW25" s="502"/>
      <c r="BX25" s="502"/>
      <c r="BY25" s="503"/>
      <c r="BZ25" s="503"/>
      <c r="CA25" s="502"/>
      <c r="CB25" s="502"/>
      <c r="CC25" s="503"/>
      <c r="CD25" s="503"/>
      <c r="CE25" s="502"/>
      <c r="CF25" s="502"/>
      <c r="CG25" s="503"/>
      <c r="CH25" s="503"/>
      <c r="CI25" s="502"/>
      <c r="CJ25" s="502"/>
      <c r="CK25" s="503"/>
      <c r="CL25" s="503"/>
      <c r="CM25" s="502"/>
      <c r="CN25" s="502"/>
      <c r="CO25" s="503"/>
      <c r="CP25" s="503"/>
      <c r="CQ25" s="502"/>
      <c r="CR25" s="502"/>
      <c r="CS25" s="503"/>
      <c r="CT25" s="503"/>
      <c r="CU25" s="502"/>
      <c r="CV25" s="502"/>
      <c r="CW25" s="503"/>
      <c r="CX25" s="503"/>
      <c r="CY25" s="502"/>
      <c r="CZ25" s="502"/>
      <c r="DA25" s="503"/>
      <c r="DB25" s="503"/>
      <c r="DC25" s="502"/>
      <c r="DD25" s="502"/>
      <c r="DE25" s="503"/>
      <c r="DF25" s="503"/>
      <c r="DG25" s="503"/>
      <c r="DH25" s="503"/>
      <c r="DI25" s="503"/>
      <c r="DJ25" s="503"/>
      <c r="DK25" s="503"/>
      <c r="DL25" s="503"/>
      <c r="DM25" s="503"/>
      <c r="DN25" s="503"/>
      <c r="DO25" s="503"/>
      <c r="DP25" s="503"/>
      <c r="DQ25" s="503"/>
      <c r="DR25" s="503"/>
      <c r="DS25" s="503"/>
      <c r="DT25" s="503"/>
      <c r="DU25" s="503"/>
      <c r="DV25" s="503"/>
      <c r="DW25" s="503"/>
      <c r="DX25" s="503"/>
      <c r="DY25" s="503"/>
      <c r="DZ25" s="503"/>
      <c r="EA25" s="503"/>
      <c r="EB25" s="503"/>
      <c r="EC25" s="504" t="s">
        <v>621</v>
      </c>
      <c r="ED25" s="1126"/>
      <c r="EE25" s="325">
        <v>5</v>
      </c>
    </row>
    <row r="26" spans="2:135" ht="10">
      <c r="B26" s="567" t="e">
        <f>(ii!$D$13*12+V26)</f>
        <v>#REF!</v>
      </c>
      <c r="C26" s="337">
        <f t="shared" si="8"/>
        <v>42916</v>
      </c>
      <c r="D26" s="484">
        <f t="shared" si="0"/>
        <v>2017</v>
      </c>
      <c r="E26" s="484">
        <f t="shared" si="1"/>
        <v>0.5</v>
      </c>
      <c r="F26" s="484">
        <f t="shared" si="2"/>
        <v>2017.5</v>
      </c>
      <c r="G26" s="485" t="s">
        <v>621</v>
      </c>
      <c r="H26" s="486" t="e">
        <f>IF(OR(C26&lt;$I$2,C26&gt;#REF!),"",ROUNDDOWN((N26+AF26+SUM(AG26:DE26)),-1))</f>
        <v>#REF!</v>
      </c>
      <c r="I26" s="486" t="e">
        <f t="shared" si="11"/>
        <v>#REF!</v>
      </c>
      <c r="J26" s="487"/>
      <c r="K26" s="488"/>
      <c r="L26" s="487"/>
      <c r="M26" s="526" t="str">
        <f t="shared" ref="M26:M89" si="12">IF(K26="","",IF(OR(J24=0,J23=0,J24=""),"",(J26-J25)/J25))</f>
        <v/>
      </c>
      <c r="N26" s="490" t="s">
        <v>621</v>
      </c>
      <c r="O26" s="490" t="str">
        <f t="shared" si="5"/>
        <v/>
      </c>
      <c r="P26" s="527"/>
      <c r="Q26" s="527"/>
      <c r="R26" s="491" t="str">
        <f t="shared" si="6"/>
        <v/>
      </c>
      <c r="S26" s="528" t="s">
        <v>621</v>
      </c>
      <c r="T26" s="528"/>
      <c r="U26" s="493" t="e">
        <f>#REF!*12+#REF!+#REF!*12+#REF!</f>
        <v>#REF!</v>
      </c>
      <c r="V26" s="344" t="e">
        <v>#REF!</v>
      </c>
      <c r="W26" s="339" t="e">
        <f t="shared" si="10"/>
        <v>#REF!</v>
      </c>
      <c r="X26" s="494" t="s">
        <v>621</v>
      </c>
      <c r="Y26" s="495" t="s">
        <v>621</v>
      </c>
      <c r="Z26" s="529">
        <v>0.03</v>
      </c>
      <c r="AA26" s="497"/>
      <c r="AB26" s="498" t="s">
        <v>621</v>
      </c>
      <c r="AC26" s="484" t="e">
        <v>#REF!</v>
      </c>
      <c r="AD26" s="495" t="e">
        <v>#REF!</v>
      </c>
      <c r="AE26" s="499"/>
      <c r="AF26" s="500" t="e">
        <v>#VALUE!</v>
      </c>
      <c r="AG26" s="516" t="e">
        <f>IF(OR(C26&lt;$I$2,C26&gt;#REF!),"",((1%*($AD26)+$P26*(AG$8-1%))*$X26%))</f>
        <v>#REF!</v>
      </c>
      <c r="AH26" s="516"/>
      <c r="AI26" s="517" t="e">
        <f>IF(OR(C26&lt;$I$2,C26&gt;#REF!),"",((1%*$AD26)+$P26*(AI$8-1%))*($EE26/12)*$X26%)</f>
        <v>#REF!</v>
      </c>
      <c r="AJ26" s="517"/>
      <c r="AK26" s="503"/>
      <c r="AL26" s="503"/>
      <c r="AM26" s="502"/>
      <c r="AN26" s="502">
        <f>IF($G26&gt;30,ROUND(AM26*3.15%,-1),"")</f>
        <v>0</v>
      </c>
      <c r="AO26" s="503"/>
      <c r="AP26" s="503"/>
      <c r="AQ26" s="502"/>
      <c r="AR26" s="502"/>
      <c r="AS26" s="503"/>
      <c r="AT26" s="503"/>
      <c r="AU26" s="502"/>
      <c r="AV26" s="502"/>
      <c r="AW26" s="503"/>
      <c r="AX26" s="503"/>
      <c r="AY26" s="502"/>
      <c r="AZ26" s="502"/>
      <c r="BA26" s="503"/>
      <c r="BB26" s="503"/>
      <c r="BC26" s="502"/>
      <c r="BD26" s="502"/>
      <c r="BE26" s="503"/>
      <c r="BF26" s="503"/>
      <c r="BG26" s="502"/>
      <c r="BH26" s="502"/>
      <c r="BI26" s="503"/>
      <c r="BJ26" s="503"/>
      <c r="BK26" s="502"/>
      <c r="BL26" s="502"/>
      <c r="BM26" s="503"/>
      <c r="BN26" s="503"/>
      <c r="BO26" s="502"/>
      <c r="BP26" s="502"/>
      <c r="BQ26" s="503"/>
      <c r="BR26" s="503"/>
      <c r="BS26" s="502"/>
      <c r="BT26" s="502"/>
      <c r="BU26" s="503"/>
      <c r="BV26" s="503"/>
      <c r="BW26" s="502"/>
      <c r="BX26" s="502"/>
      <c r="BY26" s="503"/>
      <c r="BZ26" s="503"/>
      <c r="CA26" s="502"/>
      <c r="CB26" s="502"/>
      <c r="CC26" s="503"/>
      <c r="CD26" s="503"/>
      <c r="CE26" s="502"/>
      <c r="CF26" s="502"/>
      <c r="CG26" s="503"/>
      <c r="CH26" s="503"/>
      <c r="CI26" s="502"/>
      <c r="CJ26" s="502"/>
      <c r="CK26" s="503"/>
      <c r="CL26" s="503"/>
      <c r="CM26" s="502"/>
      <c r="CN26" s="502"/>
      <c r="CO26" s="503"/>
      <c r="CP26" s="503"/>
      <c r="CQ26" s="502"/>
      <c r="CR26" s="502"/>
      <c r="CS26" s="503"/>
      <c r="CT26" s="503"/>
      <c r="CU26" s="502"/>
      <c r="CV26" s="502"/>
      <c r="CW26" s="503"/>
      <c r="CX26" s="503"/>
      <c r="CY26" s="502"/>
      <c r="CZ26" s="502"/>
      <c r="DA26" s="503"/>
      <c r="DB26" s="503"/>
      <c r="DC26" s="502"/>
      <c r="DD26" s="502"/>
      <c r="DE26" s="503"/>
      <c r="DF26" s="503"/>
      <c r="DG26" s="503"/>
      <c r="DH26" s="503"/>
      <c r="DI26" s="503"/>
      <c r="DJ26" s="503"/>
      <c r="DK26" s="503"/>
      <c r="DL26" s="503"/>
      <c r="DM26" s="503"/>
      <c r="DN26" s="503"/>
      <c r="DO26" s="503"/>
      <c r="DP26" s="503"/>
      <c r="DQ26" s="503"/>
      <c r="DR26" s="503"/>
      <c r="DS26" s="503"/>
      <c r="DT26" s="503"/>
      <c r="DU26" s="503"/>
      <c r="DV26" s="503"/>
      <c r="DW26" s="503"/>
      <c r="DX26" s="503"/>
      <c r="DY26" s="503"/>
      <c r="DZ26" s="503"/>
      <c r="EA26" s="503"/>
      <c r="EB26" s="503"/>
      <c r="EC26" s="504" t="s">
        <v>621</v>
      </c>
      <c r="ED26" s="1126"/>
      <c r="EE26" s="325">
        <v>6</v>
      </c>
    </row>
    <row r="27" spans="2:135" ht="10">
      <c r="B27" s="567" t="e">
        <f>(ii!$D$13*12+V27)</f>
        <v>#REF!</v>
      </c>
      <c r="C27" s="337">
        <f t="shared" si="8"/>
        <v>42947</v>
      </c>
      <c r="D27" s="484">
        <f t="shared" si="0"/>
        <v>2017</v>
      </c>
      <c r="E27" s="484">
        <f t="shared" si="1"/>
        <v>0.58333333333333337</v>
      </c>
      <c r="F27" s="484">
        <f t="shared" si="2"/>
        <v>2017.5833333333333</v>
      </c>
      <c r="G27" s="485" t="s">
        <v>621</v>
      </c>
      <c r="H27" s="486" t="str">
        <f t="shared" ref="H27:H63" si="13">IF(OR(F27&lt;$I$3,F27&gt;$F$3),"",ROUNDDOWN((N27+AF27+SUM(AG27:DE27)),-1))</f>
        <v/>
      </c>
      <c r="I27" s="486" t="e">
        <f>IF(H26="","",H27-H26)</f>
        <v>#REF!</v>
      </c>
      <c r="J27" s="487"/>
      <c r="K27" s="488"/>
      <c r="L27" s="487"/>
      <c r="M27" s="526" t="str">
        <f t="shared" si="12"/>
        <v/>
      </c>
      <c r="N27" s="490" t="s">
        <v>621</v>
      </c>
      <c r="O27" s="490" t="str">
        <f t="shared" si="5"/>
        <v/>
      </c>
      <c r="P27" s="491"/>
      <c r="Q27" s="491"/>
      <c r="R27" s="491" t="str">
        <f t="shared" si="6"/>
        <v/>
      </c>
      <c r="S27" s="528" t="str">
        <f t="shared" ref="S27:S56" si="14">IF(H27="","",SUM(AF27:EB27))</f>
        <v/>
      </c>
      <c r="T27" s="528"/>
      <c r="U27" s="493" t="str">
        <f>IF(G27="","",#REF!*12+#REF!+#REF!*12+#REF!)</f>
        <v/>
      </c>
      <c r="V27" s="344" t="e">
        <v>#REF!</v>
      </c>
      <c r="W27" s="339" t="e">
        <f t="shared" si="10"/>
        <v>#REF!</v>
      </c>
      <c r="X27" s="494" t="s">
        <v>621</v>
      </c>
      <c r="Y27" s="495" t="s">
        <v>621</v>
      </c>
      <c r="Z27" s="496"/>
      <c r="AA27" s="497"/>
      <c r="AB27" s="498" t="s">
        <v>621</v>
      </c>
      <c r="AC27" s="484" t="str">
        <f t="shared" ref="AC27:AC90" si="15">IF(OR(C27&lt;$I$2,C27&gt;$J$3),"",IF(AB27&lt;0.3,300,IF(AND(AB27&gt;=0.3,AB27&lt;0.4),216.67,IF(AND(AB27&gt;=0.4,AB27&lt;0.5),175,IF(AND(AB27&gt;=0.5,AB27&lt;0.6),150,IF(AND(AB27&gt;=0.6,AB27&lt;0.7),133.33,IF(AND(AB27&gt;=0.7,AB27&lt;0.8),121.43,IF(AND(AB27&gt;=0.8,AB27&lt;0.9),112.5,IF(AND(AB27&gt;=0.9,AB27&lt;1),105.56,IF(AND(AB27&gt;=1,AB27&lt;1.1),100,IF(AND(AB27&gt;=1.1,AB27&lt;1.2),95.45,IF(AND(AB27&gt;=1.2,AB27&lt;1.3),91.67,IF(AND(AB27&gt;=1.3,AB27&lt;1.4),88.46,IF(AND(AB27&gt;=1.4,AB27&lt;1.5),85.71,IF(AND(AB27&gt;=1.5,AB27&lt;1.6),83.33,IF(AB27&gt;=1.6,81.25,"???"))))))))))))))))</f>
        <v/>
      </c>
      <c r="AD27" s="495" t="str">
        <f t="shared" ref="AD27:AD90" si="16">IF(AC27="","",P27*AC27%)</f>
        <v/>
      </c>
      <c r="AE27" s="499" t="e">
        <v>#REF!</v>
      </c>
      <c r="AF27" s="500" t="s">
        <v>621</v>
      </c>
      <c r="AG27" s="516" t="s">
        <v>621</v>
      </c>
      <c r="AH27" s="516"/>
      <c r="AI27" s="517" t="s">
        <v>621</v>
      </c>
      <c r="AJ27" s="517"/>
      <c r="AK27" s="503" t="s">
        <v>621</v>
      </c>
      <c r="AL27" s="503"/>
      <c r="AM27" s="506" t="s">
        <v>621</v>
      </c>
      <c r="AN27" s="502" t="str">
        <f t="shared" ref="AN27:AN56" si="17">IF(G27="","",IF($G27&gt;30,ROUND(AM27*4.03%,-1),""))</f>
        <v/>
      </c>
      <c r="AO27" s="503"/>
      <c r="AP27" s="503"/>
      <c r="AQ27" s="502"/>
      <c r="AR27" s="502"/>
      <c r="AS27" s="503"/>
      <c r="AT27" s="503"/>
      <c r="AU27" s="502"/>
      <c r="AV27" s="502"/>
      <c r="AW27" s="503"/>
      <c r="AX27" s="503"/>
      <c r="AY27" s="502"/>
      <c r="AZ27" s="502"/>
      <c r="BA27" s="503"/>
      <c r="BB27" s="503"/>
      <c r="BC27" s="502"/>
      <c r="BD27" s="502"/>
      <c r="BE27" s="503"/>
      <c r="BF27" s="503"/>
      <c r="BG27" s="502"/>
      <c r="BH27" s="502"/>
      <c r="BI27" s="503"/>
      <c r="BJ27" s="503"/>
      <c r="BK27" s="502"/>
      <c r="BL27" s="502"/>
      <c r="BM27" s="503"/>
      <c r="BN27" s="503"/>
      <c r="BO27" s="502"/>
      <c r="BP27" s="502"/>
      <c r="BQ27" s="503"/>
      <c r="BR27" s="503"/>
      <c r="BS27" s="502"/>
      <c r="BT27" s="502"/>
      <c r="BU27" s="503"/>
      <c r="BV27" s="503"/>
      <c r="BW27" s="502"/>
      <c r="BX27" s="502"/>
      <c r="BY27" s="503"/>
      <c r="BZ27" s="503"/>
      <c r="CA27" s="502"/>
      <c r="CB27" s="502"/>
      <c r="CC27" s="503"/>
      <c r="CD27" s="503"/>
      <c r="CE27" s="502"/>
      <c r="CF27" s="502"/>
      <c r="CG27" s="503"/>
      <c r="CH27" s="503"/>
      <c r="CI27" s="502"/>
      <c r="CJ27" s="502"/>
      <c r="CK27" s="503"/>
      <c r="CL27" s="503"/>
      <c r="CM27" s="502"/>
      <c r="CN27" s="502"/>
      <c r="CO27" s="503"/>
      <c r="CP27" s="503"/>
      <c r="CQ27" s="502"/>
      <c r="CR27" s="502"/>
      <c r="CS27" s="503"/>
      <c r="CT27" s="503"/>
      <c r="CU27" s="502"/>
      <c r="CV27" s="502"/>
      <c r="CW27" s="503"/>
      <c r="CX27" s="503"/>
      <c r="CY27" s="502"/>
      <c r="CZ27" s="502"/>
      <c r="DA27" s="503"/>
      <c r="DB27" s="503"/>
      <c r="DC27" s="502"/>
      <c r="DD27" s="502"/>
      <c r="DE27" s="503"/>
      <c r="DF27" s="503"/>
      <c r="DG27" s="503"/>
      <c r="DH27" s="503"/>
      <c r="DI27" s="503"/>
      <c r="DJ27" s="503"/>
      <c r="DK27" s="503"/>
      <c r="DL27" s="503"/>
      <c r="DM27" s="503"/>
      <c r="DN27" s="503"/>
      <c r="DO27" s="503"/>
      <c r="DP27" s="503"/>
      <c r="DQ27" s="503"/>
      <c r="DR27" s="503"/>
      <c r="DS27" s="503"/>
      <c r="DT27" s="503"/>
      <c r="DU27" s="503"/>
      <c r="DV27" s="503"/>
      <c r="DW27" s="503"/>
      <c r="DX27" s="503"/>
      <c r="DY27" s="503"/>
      <c r="DZ27" s="503"/>
      <c r="EA27" s="503"/>
      <c r="EB27" s="503"/>
      <c r="EC27" s="504" t="s">
        <v>621</v>
      </c>
      <c r="ED27" s="1126"/>
      <c r="EE27" s="325">
        <v>7</v>
      </c>
    </row>
    <row r="28" spans="2:135" ht="10">
      <c r="B28" s="567" t="e">
        <f>(ii!$D$13*12+V28)</f>
        <v>#REF!</v>
      </c>
      <c r="C28" s="337">
        <f t="shared" si="8"/>
        <v>42978</v>
      </c>
      <c r="D28" s="484">
        <f t="shared" si="0"/>
        <v>2017</v>
      </c>
      <c r="E28" s="484">
        <f t="shared" si="1"/>
        <v>0.66666666666666663</v>
      </c>
      <c r="F28" s="484">
        <f t="shared" si="2"/>
        <v>2017.6666666666667</v>
      </c>
      <c r="G28" s="485" t="s">
        <v>621</v>
      </c>
      <c r="H28" s="486" t="str">
        <f t="shared" si="13"/>
        <v/>
      </c>
      <c r="I28" s="486" t="str">
        <f t="shared" ref="I28:I32" si="18">IF(H27="","",H28-H27)</f>
        <v/>
      </c>
      <c r="J28" s="487"/>
      <c r="K28" s="488"/>
      <c r="L28" s="487"/>
      <c r="M28" s="526" t="str">
        <f t="shared" si="12"/>
        <v/>
      </c>
      <c r="N28" s="490" t="s">
        <v>621</v>
      </c>
      <c r="O28" s="490" t="str">
        <f t="shared" si="5"/>
        <v/>
      </c>
      <c r="P28" s="491"/>
      <c r="Q28" s="491"/>
      <c r="R28" s="491" t="str">
        <f t="shared" si="6"/>
        <v/>
      </c>
      <c r="S28" s="528" t="str">
        <f t="shared" si="14"/>
        <v/>
      </c>
      <c r="T28" s="528"/>
      <c r="U28" s="493" t="str">
        <f>IF(G28="","",#REF!*12+#REF!+#REF!*12+#REF!)</f>
        <v/>
      </c>
      <c r="V28" s="344" t="e">
        <v>#REF!</v>
      </c>
      <c r="W28" s="339" t="e">
        <f t="shared" si="10"/>
        <v>#REF!</v>
      </c>
      <c r="X28" s="494" t="s">
        <v>621</v>
      </c>
      <c r="Y28" s="495" t="s">
        <v>621</v>
      </c>
      <c r="Z28" s="496"/>
      <c r="AA28" s="497"/>
      <c r="AB28" s="498" t="s">
        <v>621</v>
      </c>
      <c r="AC28" s="484" t="str">
        <f t="shared" si="15"/>
        <v/>
      </c>
      <c r="AD28" s="495" t="str">
        <f t="shared" si="16"/>
        <v/>
      </c>
      <c r="AE28" s="499" t="e">
        <v>#REF!</v>
      </c>
      <c r="AF28" s="500" t="s">
        <v>621</v>
      </c>
      <c r="AG28" s="516" t="s">
        <v>621</v>
      </c>
      <c r="AH28" s="516"/>
      <c r="AI28" s="517" t="s">
        <v>621</v>
      </c>
      <c r="AJ28" s="517"/>
      <c r="AK28" s="503" t="s">
        <v>621</v>
      </c>
      <c r="AL28" s="503"/>
      <c r="AM28" s="506" t="s">
        <v>621</v>
      </c>
      <c r="AN28" s="502" t="str">
        <f t="shared" si="17"/>
        <v/>
      </c>
      <c r="AO28" s="503"/>
      <c r="AP28" s="503"/>
      <c r="AQ28" s="502"/>
      <c r="AR28" s="502"/>
      <c r="AS28" s="503"/>
      <c r="AT28" s="503"/>
      <c r="AU28" s="502"/>
      <c r="AV28" s="502"/>
      <c r="AW28" s="503"/>
      <c r="AX28" s="503"/>
      <c r="AY28" s="502"/>
      <c r="AZ28" s="502"/>
      <c r="BA28" s="503"/>
      <c r="BB28" s="503"/>
      <c r="BC28" s="502"/>
      <c r="BD28" s="502"/>
      <c r="BE28" s="503"/>
      <c r="BF28" s="503"/>
      <c r="BG28" s="502"/>
      <c r="BH28" s="502"/>
      <c r="BI28" s="503"/>
      <c r="BJ28" s="503"/>
      <c r="BK28" s="502"/>
      <c r="BL28" s="502"/>
      <c r="BM28" s="503"/>
      <c r="BN28" s="503"/>
      <c r="BO28" s="502"/>
      <c r="BP28" s="502"/>
      <c r="BQ28" s="503"/>
      <c r="BR28" s="503"/>
      <c r="BS28" s="502"/>
      <c r="BT28" s="502"/>
      <c r="BU28" s="503"/>
      <c r="BV28" s="503"/>
      <c r="BW28" s="502"/>
      <c r="BX28" s="502"/>
      <c r="BY28" s="503"/>
      <c r="BZ28" s="503"/>
      <c r="CA28" s="502"/>
      <c r="CB28" s="502"/>
      <c r="CC28" s="503"/>
      <c r="CD28" s="503"/>
      <c r="CE28" s="502"/>
      <c r="CF28" s="502"/>
      <c r="CG28" s="503"/>
      <c r="CH28" s="503"/>
      <c r="CI28" s="502"/>
      <c r="CJ28" s="502"/>
      <c r="CK28" s="503"/>
      <c r="CL28" s="503"/>
      <c r="CM28" s="502"/>
      <c r="CN28" s="502"/>
      <c r="CO28" s="503"/>
      <c r="CP28" s="503"/>
      <c r="CQ28" s="502"/>
      <c r="CR28" s="502"/>
      <c r="CS28" s="503"/>
      <c r="CT28" s="503"/>
      <c r="CU28" s="502"/>
      <c r="CV28" s="502"/>
      <c r="CW28" s="503"/>
      <c r="CX28" s="503"/>
      <c r="CY28" s="502"/>
      <c r="CZ28" s="502"/>
      <c r="DA28" s="503"/>
      <c r="DB28" s="503"/>
      <c r="DC28" s="502"/>
      <c r="DD28" s="502"/>
      <c r="DE28" s="503"/>
      <c r="DF28" s="503"/>
      <c r="DG28" s="503"/>
      <c r="DH28" s="503"/>
      <c r="DI28" s="503"/>
      <c r="DJ28" s="503"/>
      <c r="DK28" s="503"/>
      <c r="DL28" s="503"/>
      <c r="DM28" s="503"/>
      <c r="DN28" s="503"/>
      <c r="DO28" s="503"/>
      <c r="DP28" s="503"/>
      <c r="DQ28" s="503"/>
      <c r="DR28" s="503"/>
      <c r="DS28" s="503"/>
      <c r="DT28" s="503"/>
      <c r="DU28" s="503"/>
      <c r="DV28" s="503"/>
      <c r="DW28" s="503"/>
      <c r="DX28" s="503"/>
      <c r="DY28" s="503"/>
      <c r="DZ28" s="503"/>
      <c r="EA28" s="503"/>
      <c r="EB28" s="503"/>
      <c r="EC28" s="504" t="s">
        <v>621</v>
      </c>
      <c r="ED28" s="1126"/>
      <c r="EE28" s="325">
        <v>8</v>
      </c>
    </row>
    <row r="29" spans="2:135" ht="10">
      <c r="B29" s="567" t="e">
        <f>(ii!$D$13*12+V29)</f>
        <v>#REF!</v>
      </c>
      <c r="C29" s="337">
        <f t="shared" si="8"/>
        <v>43008</v>
      </c>
      <c r="D29" s="484">
        <f t="shared" si="0"/>
        <v>2017</v>
      </c>
      <c r="E29" s="484">
        <f t="shared" si="1"/>
        <v>0.75</v>
      </c>
      <c r="F29" s="484">
        <f t="shared" si="2"/>
        <v>2017.75</v>
      </c>
      <c r="G29" s="485" t="s">
        <v>621</v>
      </c>
      <c r="H29" s="486" t="str">
        <f t="shared" si="13"/>
        <v/>
      </c>
      <c r="I29" s="486" t="str">
        <f t="shared" si="18"/>
        <v/>
      </c>
      <c r="J29" s="487"/>
      <c r="K29" s="488"/>
      <c r="L29" s="487"/>
      <c r="M29" s="526" t="str">
        <f t="shared" si="12"/>
        <v/>
      </c>
      <c r="N29" s="490" t="s">
        <v>621</v>
      </c>
      <c r="O29" s="490" t="str">
        <f t="shared" si="5"/>
        <v/>
      </c>
      <c r="P29" s="491"/>
      <c r="Q29" s="491"/>
      <c r="R29" s="491" t="str">
        <f t="shared" si="6"/>
        <v/>
      </c>
      <c r="S29" s="528" t="str">
        <f t="shared" si="14"/>
        <v/>
      </c>
      <c r="T29" s="528"/>
      <c r="U29" s="493" t="str">
        <f>IF(G29="","",#REF!*12+#REF!+#REF!*12+#REF!)</f>
        <v/>
      </c>
      <c r="V29" s="338" t="e">
        <v>#REF!</v>
      </c>
      <c r="W29" s="339" t="e">
        <f t="shared" si="10"/>
        <v>#REF!</v>
      </c>
      <c r="X29" s="494" t="s">
        <v>621</v>
      </c>
      <c r="Y29" s="495" t="s">
        <v>621</v>
      </c>
      <c r="Z29" s="496"/>
      <c r="AA29" s="497"/>
      <c r="AB29" s="498" t="s">
        <v>621</v>
      </c>
      <c r="AC29" s="484" t="str">
        <f t="shared" si="15"/>
        <v/>
      </c>
      <c r="AD29" s="495" t="str">
        <f t="shared" si="16"/>
        <v/>
      </c>
      <c r="AE29" s="499" t="e">
        <v>#REF!</v>
      </c>
      <c r="AF29" s="500" t="s">
        <v>621</v>
      </c>
      <c r="AG29" s="516" t="s">
        <v>621</v>
      </c>
      <c r="AH29" s="516"/>
      <c r="AI29" s="517" t="s">
        <v>621</v>
      </c>
      <c r="AJ29" s="517"/>
      <c r="AK29" s="503" t="s">
        <v>621</v>
      </c>
      <c r="AL29" s="503"/>
      <c r="AM29" s="506" t="s">
        <v>621</v>
      </c>
      <c r="AN29" s="502" t="str">
        <f t="shared" si="17"/>
        <v/>
      </c>
      <c r="AO29" s="503"/>
      <c r="AP29" s="503"/>
      <c r="AQ29" s="502"/>
      <c r="AR29" s="502"/>
      <c r="AS29" s="503"/>
      <c r="AT29" s="503"/>
      <c r="AU29" s="502"/>
      <c r="AV29" s="502"/>
      <c r="AW29" s="503"/>
      <c r="AX29" s="503"/>
      <c r="AY29" s="502"/>
      <c r="AZ29" s="502"/>
      <c r="BA29" s="503"/>
      <c r="BB29" s="503"/>
      <c r="BC29" s="502"/>
      <c r="BD29" s="502"/>
      <c r="BE29" s="503"/>
      <c r="BF29" s="503"/>
      <c r="BG29" s="502"/>
      <c r="BH29" s="502"/>
      <c r="BI29" s="503"/>
      <c r="BJ29" s="503"/>
      <c r="BK29" s="502"/>
      <c r="BL29" s="502"/>
      <c r="BM29" s="503"/>
      <c r="BN29" s="503"/>
      <c r="BO29" s="502"/>
      <c r="BP29" s="502"/>
      <c r="BQ29" s="503"/>
      <c r="BR29" s="503"/>
      <c r="BS29" s="502"/>
      <c r="BT29" s="502"/>
      <c r="BU29" s="503"/>
      <c r="BV29" s="503"/>
      <c r="BW29" s="502"/>
      <c r="BX29" s="502"/>
      <c r="BY29" s="503"/>
      <c r="BZ29" s="503"/>
      <c r="CA29" s="502"/>
      <c r="CB29" s="502"/>
      <c r="CC29" s="503"/>
      <c r="CD29" s="503"/>
      <c r="CE29" s="502"/>
      <c r="CF29" s="502"/>
      <c r="CG29" s="503"/>
      <c r="CH29" s="503"/>
      <c r="CI29" s="502"/>
      <c r="CJ29" s="502"/>
      <c r="CK29" s="503"/>
      <c r="CL29" s="503"/>
      <c r="CM29" s="502"/>
      <c r="CN29" s="502"/>
      <c r="CO29" s="503"/>
      <c r="CP29" s="503"/>
      <c r="CQ29" s="502"/>
      <c r="CR29" s="502"/>
      <c r="CS29" s="503"/>
      <c r="CT29" s="503"/>
      <c r="CU29" s="502"/>
      <c r="CV29" s="502"/>
      <c r="CW29" s="503"/>
      <c r="CX29" s="503"/>
      <c r="CY29" s="502"/>
      <c r="CZ29" s="502"/>
      <c r="DA29" s="503"/>
      <c r="DB29" s="503"/>
      <c r="DC29" s="502"/>
      <c r="DD29" s="502"/>
      <c r="DE29" s="503"/>
      <c r="DF29" s="503"/>
      <c r="DG29" s="503"/>
      <c r="DH29" s="503"/>
      <c r="DI29" s="503"/>
      <c r="DJ29" s="503"/>
      <c r="DK29" s="503"/>
      <c r="DL29" s="503"/>
      <c r="DM29" s="503"/>
      <c r="DN29" s="503"/>
      <c r="DO29" s="503"/>
      <c r="DP29" s="503"/>
      <c r="DQ29" s="503"/>
      <c r="DR29" s="503"/>
      <c r="DS29" s="503"/>
      <c r="DT29" s="503"/>
      <c r="DU29" s="503"/>
      <c r="DV29" s="503"/>
      <c r="DW29" s="503"/>
      <c r="DX29" s="503"/>
      <c r="DY29" s="503"/>
      <c r="DZ29" s="503"/>
      <c r="EA29" s="503"/>
      <c r="EB29" s="503"/>
      <c r="EC29" s="504" t="s">
        <v>621</v>
      </c>
      <c r="ED29" s="1126"/>
      <c r="EE29" s="325">
        <v>9</v>
      </c>
    </row>
    <row r="30" spans="2:135" ht="10">
      <c r="B30" s="567" t="e">
        <f>(ii!$D$13*12+V30)</f>
        <v>#REF!</v>
      </c>
      <c r="C30" s="337">
        <f t="shared" si="8"/>
        <v>43039</v>
      </c>
      <c r="D30" s="484">
        <f t="shared" si="0"/>
        <v>2017</v>
      </c>
      <c r="E30" s="484">
        <f t="shared" si="1"/>
        <v>0.83333333333333337</v>
      </c>
      <c r="F30" s="484">
        <f t="shared" si="2"/>
        <v>2017.8333333333333</v>
      </c>
      <c r="G30" s="485" t="s">
        <v>621</v>
      </c>
      <c r="H30" s="486" t="str">
        <f t="shared" si="13"/>
        <v/>
      </c>
      <c r="I30" s="486" t="str">
        <f t="shared" si="18"/>
        <v/>
      </c>
      <c r="J30" s="487"/>
      <c r="K30" s="488"/>
      <c r="L30" s="487"/>
      <c r="M30" s="526" t="str">
        <f t="shared" si="12"/>
        <v/>
      </c>
      <c r="N30" s="490" t="s">
        <v>621</v>
      </c>
      <c r="O30" s="490" t="str">
        <f t="shared" si="5"/>
        <v/>
      </c>
      <c r="P30" s="491"/>
      <c r="Q30" s="491"/>
      <c r="R30" s="491" t="str">
        <f t="shared" si="6"/>
        <v/>
      </c>
      <c r="S30" s="528" t="str">
        <f t="shared" si="14"/>
        <v/>
      </c>
      <c r="T30" s="528"/>
      <c r="U30" s="493" t="str">
        <f>IF(H30="","",#REF!*12+#REF!+#REF!*12+#REF!)</f>
        <v/>
      </c>
      <c r="V30" s="338" t="e">
        <v>#REF!</v>
      </c>
      <c r="W30" s="339" t="e">
        <f t="shared" si="10"/>
        <v>#REF!</v>
      </c>
      <c r="X30" s="494" t="s">
        <v>621</v>
      </c>
      <c r="Y30" s="495" t="s">
        <v>621</v>
      </c>
      <c r="Z30" s="496"/>
      <c r="AA30" s="497"/>
      <c r="AB30" s="498" t="str">
        <f t="shared" ref="AB30:AB93" si="19">IF(F30&lt;$I$3,"",IF(F30&gt;$F$3,"",(P30/Y30)))</f>
        <v/>
      </c>
      <c r="AC30" s="484" t="str">
        <f t="shared" si="15"/>
        <v/>
      </c>
      <c r="AD30" s="495" t="str">
        <f t="shared" si="16"/>
        <v/>
      </c>
      <c r="AE30" s="499" t="e">
        <v>#REF!</v>
      </c>
      <c r="AF30" s="500" t="s">
        <v>621</v>
      </c>
      <c r="AG30" s="516" t="s">
        <v>621</v>
      </c>
      <c r="AH30" s="516"/>
      <c r="AI30" s="517" t="s">
        <v>621</v>
      </c>
      <c r="AJ30" s="517"/>
      <c r="AK30" s="503" t="s">
        <v>621</v>
      </c>
      <c r="AL30" s="503"/>
      <c r="AM30" s="506" t="s">
        <v>621</v>
      </c>
      <c r="AN30" s="502" t="str">
        <f t="shared" si="17"/>
        <v/>
      </c>
      <c r="AO30" s="503"/>
      <c r="AP30" s="503"/>
      <c r="AQ30" s="502"/>
      <c r="AR30" s="502"/>
      <c r="AS30" s="503"/>
      <c r="AT30" s="503"/>
      <c r="AU30" s="502"/>
      <c r="AV30" s="502"/>
      <c r="AW30" s="503"/>
      <c r="AX30" s="503"/>
      <c r="AY30" s="502"/>
      <c r="AZ30" s="502"/>
      <c r="BA30" s="503"/>
      <c r="BB30" s="503"/>
      <c r="BC30" s="502"/>
      <c r="BD30" s="502"/>
      <c r="BE30" s="503"/>
      <c r="BF30" s="503"/>
      <c r="BG30" s="502"/>
      <c r="BH30" s="502"/>
      <c r="BI30" s="503"/>
      <c r="BJ30" s="503"/>
      <c r="BK30" s="502"/>
      <c r="BL30" s="502"/>
      <c r="BM30" s="503"/>
      <c r="BN30" s="503"/>
      <c r="BO30" s="502"/>
      <c r="BP30" s="502"/>
      <c r="BQ30" s="503"/>
      <c r="BR30" s="503"/>
      <c r="BS30" s="502"/>
      <c r="BT30" s="502"/>
      <c r="BU30" s="503"/>
      <c r="BV30" s="503"/>
      <c r="BW30" s="502"/>
      <c r="BX30" s="502"/>
      <c r="BY30" s="503"/>
      <c r="BZ30" s="503"/>
      <c r="CA30" s="502"/>
      <c r="CB30" s="502"/>
      <c r="CC30" s="503"/>
      <c r="CD30" s="503"/>
      <c r="CE30" s="502"/>
      <c r="CF30" s="502"/>
      <c r="CG30" s="503"/>
      <c r="CH30" s="503"/>
      <c r="CI30" s="502"/>
      <c r="CJ30" s="502"/>
      <c r="CK30" s="503"/>
      <c r="CL30" s="503"/>
      <c r="CM30" s="502"/>
      <c r="CN30" s="502"/>
      <c r="CO30" s="503"/>
      <c r="CP30" s="503"/>
      <c r="CQ30" s="502"/>
      <c r="CR30" s="502"/>
      <c r="CS30" s="503"/>
      <c r="CT30" s="503"/>
      <c r="CU30" s="502"/>
      <c r="CV30" s="502"/>
      <c r="CW30" s="503"/>
      <c r="CX30" s="503"/>
      <c r="CY30" s="502"/>
      <c r="CZ30" s="502"/>
      <c r="DA30" s="503"/>
      <c r="DB30" s="503"/>
      <c r="DC30" s="502"/>
      <c r="DD30" s="502"/>
      <c r="DE30" s="503"/>
      <c r="DF30" s="503"/>
      <c r="DG30" s="503"/>
      <c r="DH30" s="503"/>
      <c r="DI30" s="503"/>
      <c r="DJ30" s="503"/>
      <c r="DK30" s="503"/>
      <c r="DL30" s="503"/>
      <c r="DM30" s="503"/>
      <c r="DN30" s="503"/>
      <c r="DO30" s="503"/>
      <c r="DP30" s="503"/>
      <c r="DQ30" s="503"/>
      <c r="DR30" s="503"/>
      <c r="DS30" s="503"/>
      <c r="DT30" s="503"/>
      <c r="DU30" s="503"/>
      <c r="DV30" s="503"/>
      <c r="DW30" s="503"/>
      <c r="DX30" s="503"/>
      <c r="DY30" s="503"/>
      <c r="DZ30" s="503"/>
      <c r="EA30" s="503"/>
      <c r="EB30" s="503"/>
      <c r="EC30" s="504" t="s">
        <v>621</v>
      </c>
      <c r="ED30" s="1126"/>
      <c r="EE30" s="325">
        <v>10</v>
      </c>
    </row>
    <row r="31" spans="2:135" ht="10">
      <c r="B31" s="567" t="e">
        <f>(ii!$D$13*12+V31)</f>
        <v>#REF!</v>
      </c>
      <c r="C31" s="337">
        <f t="shared" si="8"/>
        <v>43069</v>
      </c>
      <c r="D31" s="484">
        <f t="shared" si="0"/>
        <v>2017</v>
      </c>
      <c r="E31" s="484">
        <f t="shared" si="1"/>
        <v>0.91666666666666663</v>
      </c>
      <c r="F31" s="484">
        <f t="shared" si="2"/>
        <v>2017.9166666666667</v>
      </c>
      <c r="G31" s="485" t="s">
        <v>621</v>
      </c>
      <c r="H31" s="486" t="str">
        <f t="shared" si="13"/>
        <v/>
      </c>
      <c r="I31" s="486" t="str">
        <f t="shared" si="18"/>
        <v/>
      </c>
      <c r="J31" s="487"/>
      <c r="K31" s="488"/>
      <c r="L31" s="487"/>
      <c r="M31" s="526" t="str">
        <f t="shared" si="12"/>
        <v/>
      </c>
      <c r="N31" s="490" t="s">
        <v>621</v>
      </c>
      <c r="O31" s="490" t="str">
        <f t="shared" si="5"/>
        <v/>
      </c>
      <c r="P31" s="491"/>
      <c r="Q31" s="491"/>
      <c r="R31" s="491" t="str">
        <f t="shared" si="6"/>
        <v/>
      </c>
      <c r="S31" s="528" t="str">
        <f t="shared" si="14"/>
        <v/>
      </c>
      <c r="T31" s="528"/>
      <c r="U31" s="493" t="str">
        <f>IF(H31="","",#REF!*12+#REF!+#REF!*12+#REF!)</f>
        <v/>
      </c>
      <c r="V31" s="338" t="e">
        <v>#REF!</v>
      </c>
      <c r="W31" s="339" t="e">
        <f t="shared" si="10"/>
        <v>#REF!</v>
      </c>
      <c r="X31" s="494" t="s">
        <v>621</v>
      </c>
      <c r="Y31" s="495" t="s">
        <v>621</v>
      </c>
      <c r="Z31" s="496"/>
      <c r="AA31" s="497"/>
      <c r="AB31" s="498" t="str">
        <f t="shared" si="19"/>
        <v/>
      </c>
      <c r="AC31" s="484" t="str">
        <f t="shared" si="15"/>
        <v/>
      </c>
      <c r="AD31" s="495" t="str">
        <f t="shared" si="16"/>
        <v/>
      </c>
      <c r="AE31" s="499" t="e">
        <v>#REF!</v>
      </c>
      <c r="AF31" s="500" t="s">
        <v>621</v>
      </c>
      <c r="AG31" s="516" t="s">
        <v>621</v>
      </c>
      <c r="AH31" s="516"/>
      <c r="AI31" s="517" t="s">
        <v>621</v>
      </c>
      <c r="AJ31" s="517"/>
      <c r="AK31" s="503" t="s">
        <v>621</v>
      </c>
      <c r="AL31" s="503"/>
      <c r="AM31" s="506" t="s">
        <v>621</v>
      </c>
      <c r="AN31" s="502" t="str">
        <f t="shared" si="17"/>
        <v/>
      </c>
      <c r="AO31" s="503"/>
      <c r="AP31" s="503"/>
      <c r="AQ31" s="502"/>
      <c r="AR31" s="502"/>
      <c r="AS31" s="503"/>
      <c r="AT31" s="503"/>
      <c r="AU31" s="502"/>
      <c r="AV31" s="502"/>
      <c r="AW31" s="503"/>
      <c r="AX31" s="503"/>
      <c r="AY31" s="502"/>
      <c r="AZ31" s="502"/>
      <c r="BA31" s="503"/>
      <c r="BB31" s="503"/>
      <c r="BC31" s="502"/>
      <c r="BD31" s="502"/>
      <c r="BE31" s="503"/>
      <c r="BF31" s="503"/>
      <c r="BG31" s="502"/>
      <c r="BH31" s="502"/>
      <c r="BI31" s="503"/>
      <c r="BJ31" s="503"/>
      <c r="BK31" s="502"/>
      <c r="BL31" s="502"/>
      <c r="BM31" s="503"/>
      <c r="BN31" s="503"/>
      <c r="BO31" s="502"/>
      <c r="BP31" s="502"/>
      <c r="BQ31" s="503"/>
      <c r="BR31" s="503"/>
      <c r="BS31" s="502"/>
      <c r="BT31" s="502"/>
      <c r="BU31" s="503"/>
      <c r="BV31" s="503"/>
      <c r="BW31" s="502"/>
      <c r="BX31" s="502"/>
      <c r="BY31" s="503"/>
      <c r="BZ31" s="503"/>
      <c r="CA31" s="502"/>
      <c r="CB31" s="502"/>
      <c r="CC31" s="503"/>
      <c r="CD31" s="503"/>
      <c r="CE31" s="502"/>
      <c r="CF31" s="502"/>
      <c r="CG31" s="503"/>
      <c r="CH31" s="503"/>
      <c r="CI31" s="502"/>
      <c r="CJ31" s="502"/>
      <c r="CK31" s="503"/>
      <c r="CL31" s="503"/>
      <c r="CM31" s="502"/>
      <c r="CN31" s="502"/>
      <c r="CO31" s="503"/>
      <c r="CP31" s="503"/>
      <c r="CQ31" s="502"/>
      <c r="CR31" s="502"/>
      <c r="CS31" s="503"/>
      <c r="CT31" s="503"/>
      <c r="CU31" s="502"/>
      <c r="CV31" s="502"/>
      <c r="CW31" s="503"/>
      <c r="CX31" s="503"/>
      <c r="CY31" s="502"/>
      <c r="CZ31" s="502"/>
      <c r="DA31" s="503"/>
      <c r="DB31" s="503"/>
      <c r="DC31" s="502"/>
      <c r="DD31" s="502"/>
      <c r="DE31" s="503"/>
      <c r="DF31" s="503"/>
      <c r="DG31" s="503"/>
      <c r="DH31" s="503"/>
      <c r="DI31" s="503"/>
      <c r="DJ31" s="503"/>
      <c r="DK31" s="503"/>
      <c r="DL31" s="503"/>
      <c r="DM31" s="503"/>
      <c r="DN31" s="503"/>
      <c r="DO31" s="503"/>
      <c r="DP31" s="503"/>
      <c r="DQ31" s="503"/>
      <c r="DR31" s="503"/>
      <c r="DS31" s="503"/>
      <c r="DT31" s="503"/>
      <c r="DU31" s="503"/>
      <c r="DV31" s="503"/>
      <c r="DW31" s="503"/>
      <c r="DX31" s="503"/>
      <c r="DY31" s="503"/>
      <c r="DZ31" s="503"/>
      <c r="EA31" s="503"/>
      <c r="EB31" s="503"/>
      <c r="EC31" s="504" t="s">
        <v>621</v>
      </c>
      <c r="ED31" s="1126"/>
      <c r="EE31" s="325">
        <v>11</v>
      </c>
    </row>
    <row r="32" spans="2:135" ht="10">
      <c r="B32" s="567" t="e">
        <f>(ii!$D$13*12+V32)</f>
        <v>#REF!</v>
      </c>
      <c r="C32" s="337">
        <f t="shared" si="8"/>
        <v>43100</v>
      </c>
      <c r="D32" s="484">
        <f t="shared" si="0"/>
        <v>2017</v>
      </c>
      <c r="E32" s="484">
        <f t="shared" si="1"/>
        <v>1</v>
      </c>
      <c r="F32" s="484">
        <f t="shared" si="2"/>
        <v>2018</v>
      </c>
      <c r="G32" s="485" t="s">
        <v>621</v>
      </c>
      <c r="H32" s="486" t="str">
        <f t="shared" si="13"/>
        <v/>
      </c>
      <c r="I32" s="486" t="str">
        <f t="shared" si="18"/>
        <v/>
      </c>
      <c r="J32" s="487"/>
      <c r="K32" s="488"/>
      <c r="L32" s="487"/>
      <c r="M32" s="526" t="str">
        <f t="shared" si="12"/>
        <v/>
      </c>
      <c r="N32" s="490" t="s">
        <v>621</v>
      </c>
      <c r="O32" s="490" t="str">
        <f t="shared" si="5"/>
        <v/>
      </c>
      <c r="P32" s="491"/>
      <c r="Q32" s="491"/>
      <c r="R32" s="491" t="str">
        <f t="shared" si="6"/>
        <v/>
      </c>
      <c r="S32" s="528" t="str">
        <f t="shared" si="14"/>
        <v/>
      </c>
      <c r="T32" s="528"/>
      <c r="U32" s="493" t="str">
        <f>IF(H32="","",#REF!*12+#REF!+#REF!*12+#REF!)</f>
        <v/>
      </c>
      <c r="V32" s="338" t="e">
        <v>#REF!</v>
      </c>
      <c r="W32" s="339" t="e">
        <f t="shared" si="10"/>
        <v>#REF!</v>
      </c>
      <c r="X32" s="530" t="s">
        <v>621</v>
      </c>
      <c r="Y32" s="495" t="s">
        <v>621</v>
      </c>
      <c r="Z32" s="496"/>
      <c r="AA32" s="497"/>
      <c r="AB32" s="498" t="str">
        <f t="shared" si="19"/>
        <v/>
      </c>
      <c r="AC32" s="484" t="str">
        <f t="shared" si="15"/>
        <v/>
      </c>
      <c r="AD32" s="495" t="str">
        <f t="shared" si="16"/>
        <v/>
      </c>
      <c r="AE32" s="499" t="e">
        <v>#REF!</v>
      </c>
      <c r="AF32" s="500" t="s">
        <v>621</v>
      </c>
      <c r="AG32" s="516" t="s">
        <v>621</v>
      </c>
      <c r="AH32" s="516"/>
      <c r="AI32" s="517" t="s">
        <v>621</v>
      </c>
      <c r="AJ32" s="517"/>
      <c r="AK32" s="503" t="s">
        <v>621</v>
      </c>
      <c r="AL32" s="503"/>
      <c r="AM32" s="506" t="s">
        <v>621</v>
      </c>
      <c r="AN32" s="502" t="str">
        <f t="shared" si="17"/>
        <v/>
      </c>
      <c r="AO32" s="503"/>
      <c r="AP32" s="503"/>
      <c r="AQ32" s="502"/>
      <c r="AR32" s="502"/>
      <c r="AS32" s="503"/>
      <c r="AT32" s="503"/>
      <c r="AU32" s="502"/>
      <c r="AV32" s="502"/>
      <c r="AW32" s="503"/>
      <c r="AX32" s="503"/>
      <c r="AY32" s="502"/>
      <c r="AZ32" s="502"/>
      <c r="BA32" s="503"/>
      <c r="BB32" s="503"/>
      <c r="BC32" s="502"/>
      <c r="BD32" s="502"/>
      <c r="BE32" s="503"/>
      <c r="BF32" s="503"/>
      <c r="BG32" s="502"/>
      <c r="BH32" s="502"/>
      <c r="BI32" s="503"/>
      <c r="BJ32" s="503"/>
      <c r="BK32" s="502"/>
      <c r="BL32" s="502"/>
      <c r="BM32" s="503"/>
      <c r="BN32" s="503"/>
      <c r="BO32" s="502"/>
      <c r="BP32" s="502"/>
      <c r="BQ32" s="503"/>
      <c r="BR32" s="503"/>
      <c r="BS32" s="502"/>
      <c r="BT32" s="502"/>
      <c r="BU32" s="503"/>
      <c r="BV32" s="503"/>
      <c r="BW32" s="502"/>
      <c r="BX32" s="502"/>
      <c r="BY32" s="503"/>
      <c r="BZ32" s="503"/>
      <c r="CA32" s="502"/>
      <c r="CB32" s="502"/>
      <c r="CC32" s="503"/>
      <c r="CD32" s="503"/>
      <c r="CE32" s="502"/>
      <c r="CF32" s="502"/>
      <c r="CG32" s="503"/>
      <c r="CH32" s="503"/>
      <c r="CI32" s="502"/>
      <c r="CJ32" s="502"/>
      <c r="CK32" s="503"/>
      <c r="CL32" s="503"/>
      <c r="CM32" s="502"/>
      <c r="CN32" s="502"/>
      <c r="CO32" s="503"/>
      <c r="CP32" s="503"/>
      <c r="CQ32" s="502"/>
      <c r="CR32" s="502"/>
      <c r="CS32" s="503"/>
      <c r="CT32" s="503"/>
      <c r="CU32" s="502"/>
      <c r="CV32" s="502"/>
      <c r="CW32" s="503"/>
      <c r="CX32" s="503"/>
      <c r="CY32" s="502"/>
      <c r="CZ32" s="502"/>
      <c r="DA32" s="503"/>
      <c r="DB32" s="503"/>
      <c r="DC32" s="502"/>
      <c r="DD32" s="502"/>
      <c r="DE32" s="503"/>
      <c r="DF32" s="503"/>
      <c r="DG32" s="503"/>
      <c r="DH32" s="503"/>
      <c r="DI32" s="503"/>
      <c r="DJ32" s="503"/>
      <c r="DK32" s="503"/>
      <c r="DL32" s="503"/>
      <c r="DM32" s="503"/>
      <c r="DN32" s="503"/>
      <c r="DO32" s="503"/>
      <c r="DP32" s="503"/>
      <c r="DQ32" s="503"/>
      <c r="DR32" s="503"/>
      <c r="DS32" s="503"/>
      <c r="DT32" s="503"/>
      <c r="DU32" s="503"/>
      <c r="DV32" s="503"/>
      <c r="DW32" s="503"/>
      <c r="DX32" s="503"/>
      <c r="DY32" s="503"/>
      <c r="DZ32" s="503"/>
      <c r="EA32" s="503"/>
      <c r="EB32" s="503"/>
      <c r="EC32" s="504" t="s">
        <v>621</v>
      </c>
      <c r="ED32" s="1126"/>
      <c r="EE32" s="325">
        <v>12</v>
      </c>
    </row>
    <row r="33" spans="2:168" ht="10">
      <c r="B33" s="567" t="e">
        <f>(ii!$D$13*12+V33)</f>
        <v>#REF!</v>
      </c>
      <c r="C33" s="345">
        <f t="shared" si="8"/>
        <v>43131</v>
      </c>
      <c r="D33" s="340">
        <f t="shared" si="0"/>
        <v>2018</v>
      </c>
      <c r="E33" s="340">
        <f t="shared" si="1"/>
        <v>8.3333333333333329E-2</v>
      </c>
      <c r="F33" s="340">
        <f t="shared" si="2"/>
        <v>2018.0833333333333</v>
      </c>
      <c r="G33" s="531" t="s">
        <v>621</v>
      </c>
      <c r="H33" s="532" t="str">
        <f t="shared" si="13"/>
        <v/>
      </c>
      <c r="I33" s="532" t="str">
        <f t="shared" ref="I33:I63" si="20">IF(OR(H32="",H33=""),"",H33-H32)</f>
        <v/>
      </c>
      <c r="J33" s="533"/>
      <c r="K33" s="340"/>
      <c r="L33" s="534"/>
      <c r="M33" s="535" t="str">
        <f t="shared" si="12"/>
        <v/>
      </c>
      <c r="N33" s="536" t="s">
        <v>621</v>
      </c>
      <c r="O33" s="536" t="str">
        <f t="shared" si="5"/>
        <v/>
      </c>
      <c r="P33" s="537"/>
      <c r="Q33" s="537"/>
      <c r="R33" s="533" t="str">
        <f t="shared" si="6"/>
        <v/>
      </c>
      <c r="S33" s="538" t="str">
        <f t="shared" si="14"/>
        <v/>
      </c>
      <c r="T33" s="538"/>
      <c r="U33" s="539" t="str">
        <f>IF(H33="","",#REF!*12+#REF!+#REF!*12+#REF!)</f>
        <v/>
      </c>
      <c r="V33" s="338" t="e">
        <v>#REF!</v>
      </c>
      <c r="W33" s="339" t="e">
        <f t="shared" si="10"/>
        <v>#REF!</v>
      </c>
      <c r="X33" s="540" t="s">
        <v>621</v>
      </c>
      <c r="Y33" s="538" t="s">
        <v>621</v>
      </c>
      <c r="Z33" s="541"/>
      <c r="AA33" s="542" t="str">
        <f>IF(Y33="","",(Y33-Y32)/Y32)</f>
        <v/>
      </c>
      <c r="AB33" s="543" t="str">
        <f t="shared" si="19"/>
        <v/>
      </c>
      <c r="AC33" s="544" t="str">
        <f t="shared" si="15"/>
        <v/>
      </c>
      <c r="AD33" s="538" t="str">
        <f t="shared" si="16"/>
        <v/>
      </c>
      <c r="AE33" s="545" t="e">
        <v>#REF!</v>
      </c>
      <c r="AF33" s="500" t="s">
        <v>621</v>
      </c>
      <c r="AG33" s="546" t="s">
        <v>621</v>
      </c>
      <c r="AH33" s="546"/>
      <c r="AI33" s="547" t="s">
        <v>621</v>
      </c>
      <c r="AJ33" s="547"/>
      <c r="AK33" s="533" t="s">
        <v>621</v>
      </c>
      <c r="AL33" s="533"/>
      <c r="AM33" s="506" t="s">
        <v>621</v>
      </c>
      <c r="AN33" s="547" t="str">
        <f t="shared" si="17"/>
        <v/>
      </c>
      <c r="AO33" s="547"/>
      <c r="AP33" s="547"/>
      <c r="AQ33" s="547"/>
      <c r="AR33" s="547"/>
      <c r="AS33" s="547"/>
      <c r="AT33" s="547"/>
      <c r="AU33" s="547"/>
      <c r="AV33" s="547"/>
      <c r="AW33" s="547"/>
      <c r="AX33" s="547"/>
      <c r="AY33" s="547"/>
      <c r="AZ33" s="547"/>
      <c r="BA33" s="547"/>
      <c r="BB33" s="547"/>
      <c r="BC33" s="547"/>
      <c r="BD33" s="547"/>
      <c r="BE33" s="547"/>
      <c r="BF33" s="547"/>
      <c r="BG33" s="547"/>
      <c r="BH33" s="547"/>
      <c r="BI33" s="547"/>
      <c r="BJ33" s="547"/>
      <c r="BK33" s="547"/>
      <c r="BL33" s="547"/>
      <c r="BM33" s="547"/>
      <c r="BN33" s="547"/>
      <c r="BO33" s="547"/>
      <c r="BP33" s="547"/>
      <c r="BQ33" s="547"/>
      <c r="BR33" s="547"/>
      <c r="BS33" s="547"/>
      <c r="BT33" s="547"/>
      <c r="BU33" s="547"/>
      <c r="BV33" s="547"/>
      <c r="BW33" s="547"/>
      <c r="BX33" s="547"/>
      <c r="BY33" s="547"/>
      <c r="BZ33" s="547"/>
      <c r="CA33" s="547"/>
      <c r="CB33" s="547"/>
      <c r="CC33" s="547"/>
      <c r="CD33" s="547"/>
      <c r="CE33" s="547"/>
      <c r="CF33" s="547"/>
      <c r="CG33" s="547"/>
      <c r="CH33" s="547"/>
      <c r="CI33" s="547"/>
      <c r="CJ33" s="547"/>
      <c r="CK33" s="547"/>
      <c r="CL33" s="547"/>
      <c r="CM33" s="547"/>
      <c r="CN33" s="547"/>
      <c r="CO33" s="547"/>
      <c r="CP33" s="547"/>
      <c r="CQ33" s="547"/>
      <c r="CR33" s="547"/>
      <c r="CS33" s="547"/>
      <c r="CT33" s="547"/>
      <c r="CU33" s="547"/>
      <c r="CV33" s="547"/>
      <c r="CW33" s="547"/>
      <c r="CX33" s="547"/>
      <c r="CY33" s="547"/>
      <c r="CZ33" s="547"/>
      <c r="DA33" s="547"/>
      <c r="DB33" s="547"/>
      <c r="DC33" s="547"/>
      <c r="DD33" s="547"/>
      <c r="DE33" s="547"/>
      <c r="DF33" s="547"/>
      <c r="DG33" s="547"/>
      <c r="DH33" s="547"/>
      <c r="DI33" s="547"/>
      <c r="DJ33" s="547"/>
      <c r="DK33" s="547"/>
      <c r="DL33" s="547"/>
      <c r="DM33" s="547"/>
      <c r="DN33" s="547"/>
      <c r="DO33" s="547"/>
      <c r="DP33" s="547"/>
      <c r="DQ33" s="547"/>
      <c r="DR33" s="547"/>
      <c r="DS33" s="547"/>
      <c r="DT33" s="547"/>
      <c r="DU33" s="547"/>
      <c r="DV33" s="547"/>
      <c r="DW33" s="547"/>
      <c r="DX33" s="547"/>
      <c r="DY33" s="547"/>
      <c r="DZ33" s="547"/>
      <c r="EA33" s="547"/>
      <c r="EB33" s="547"/>
      <c r="EC33" s="547" t="s">
        <v>621</v>
      </c>
      <c r="ED33" s="1126">
        <f>SUM(EC33:EC44)</f>
        <v>0</v>
      </c>
      <c r="EE33" s="325">
        <v>1</v>
      </c>
    </row>
    <row r="34" spans="2:168" ht="10">
      <c r="B34" s="567" t="e">
        <f>(ii!$D$13*12+V34)</f>
        <v>#REF!</v>
      </c>
      <c r="C34" s="337">
        <f t="shared" si="8"/>
        <v>43159</v>
      </c>
      <c r="D34" s="484">
        <f t="shared" si="0"/>
        <v>2018</v>
      </c>
      <c r="E34" s="484">
        <f t="shared" si="1"/>
        <v>0.16666666666666666</v>
      </c>
      <c r="F34" s="484">
        <f t="shared" si="2"/>
        <v>2018.1666666666667</v>
      </c>
      <c r="G34" s="485" t="s">
        <v>621</v>
      </c>
      <c r="H34" s="486" t="str">
        <f t="shared" si="13"/>
        <v/>
      </c>
      <c r="I34" s="486" t="str">
        <f t="shared" si="20"/>
        <v/>
      </c>
      <c r="J34" s="487"/>
      <c r="K34" s="488"/>
      <c r="L34" s="548"/>
      <c r="M34" s="489" t="str">
        <f t="shared" si="12"/>
        <v/>
      </c>
      <c r="N34" s="490" t="s">
        <v>621</v>
      </c>
      <c r="O34" s="490" t="str">
        <f t="shared" si="5"/>
        <v/>
      </c>
      <c r="P34" s="491"/>
      <c r="Q34" s="491"/>
      <c r="R34" s="491" t="str">
        <f t="shared" si="6"/>
        <v/>
      </c>
      <c r="S34" s="528" t="str">
        <f t="shared" si="14"/>
        <v/>
      </c>
      <c r="T34" s="528"/>
      <c r="U34" s="493" t="str">
        <f>IF(H34="","",#REF!*12+#REF!+#REF!*12+#REF!)</f>
        <v/>
      </c>
      <c r="V34" s="338" t="e">
        <v>#REF!</v>
      </c>
      <c r="W34" s="339" t="e">
        <f t="shared" si="10"/>
        <v>#REF!</v>
      </c>
      <c r="X34" s="494" t="s">
        <v>621</v>
      </c>
      <c r="Y34" s="495" t="s">
        <v>621</v>
      </c>
      <c r="Z34" s="496"/>
      <c r="AA34" s="497"/>
      <c r="AB34" s="498" t="str">
        <f t="shared" si="19"/>
        <v/>
      </c>
      <c r="AC34" s="484" t="str">
        <f t="shared" si="15"/>
        <v/>
      </c>
      <c r="AD34" s="495" t="str">
        <f t="shared" si="16"/>
        <v/>
      </c>
      <c r="AE34" s="499" t="e">
        <v>#REF!</v>
      </c>
      <c r="AF34" s="500" t="s">
        <v>621</v>
      </c>
      <c r="AG34" s="516" t="s">
        <v>621</v>
      </c>
      <c r="AH34" s="516"/>
      <c r="AI34" s="503" t="s">
        <v>621</v>
      </c>
      <c r="AJ34" s="503"/>
      <c r="AK34" s="517" t="s">
        <v>621</v>
      </c>
      <c r="AL34" s="517"/>
      <c r="AM34" s="506" t="s">
        <v>621</v>
      </c>
      <c r="AN34" s="502" t="str">
        <f t="shared" si="17"/>
        <v/>
      </c>
      <c r="AO34" s="503"/>
      <c r="AP34" s="503"/>
      <c r="AQ34" s="502"/>
      <c r="AR34" s="502"/>
      <c r="AS34" s="503"/>
      <c r="AT34" s="503"/>
      <c r="AU34" s="502"/>
      <c r="AV34" s="502"/>
      <c r="AW34" s="503"/>
      <c r="AX34" s="503"/>
      <c r="AY34" s="502"/>
      <c r="AZ34" s="502"/>
      <c r="BA34" s="503"/>
      <c r="BB34" s="503"/>
      <c r="BC34" s="502"/>
      <c r="BD34" s="502"/>
      <c r="BE34" s="503"/>
      <c r="BF34" s="503"/>
      <c r="BG34" s="502"/>
      <c r="BH34" s="502"/>
      <c r="BI34" s="503"/>
      <c r="BJ34" s="503"/>
      <c r="BK34" s="502"/>
      <c r="BL34" s="502"/>
      <c r="BM34" s="503"/>
      <c r="BN34" s="503"/>
      <c r="BO34" s="502"/>
      <c r="BP34" s="502"/>
      <c r="BQ34" s="503"/>
      <c r="BR34" s="503"/>
      <c r="BS34" s="502"/>
      <c r="BT34" s="502"/>
      <c r="BU34" s="503"/>
      <c r="BV34" s="503"/>
      <c r="BW34" s="502"/>
      <c r="BX34" s="502"/>
      <c r="BY34" s="503"/>
      <c r="BZ34" s="503"/>
      <c r="CA34" s="502"/>
      <c r="CB34" s="502"/>
      <c r="CC34" s="503"/>
      <c r="CD34" s="503"/>
      <c r="CE34" s="502"/>
      <c r="CF34" s="502"/>
      <c r="CG34" s="503"/>
      <c r="CH34" s="503"/>
      <c r="CI34" s="502"/>
      <c r="CJ34" s="502"/>
      <c r="CK34" s="503"/>
      <c r="CL34" s="503"/>
      <c r="CM34" s="502"/>
      <c r="CN34" s="502"/>
      <c r="CO34" s="503"/>
      <c r="CP34" s="503"/>
      <c r="CQ34" s="502"/>
      <c r="CR34" s="502"/>
      <c r="CS34" s="503"/>
      <c r="CT34" s="503"/>
      <c r="CU34" s="502"/>
      <c r="CV34" s="502"/>
      <c r="CW34" s="503"/>
      <c r="CX34" s="503"/>
      <c r="CY34" s="502"/>
      <c r="CZ34" s="502"/>
      <c r="DA34" s="503"/>
      <c r="DB34" s="503"/>
      <c r="DC34" s="502"/>
      <c r="DD34" s="502"/>
      <c r="DE34" s="503"/>
      <c r="DF34" s="503"/>
      <c r="DG34" s="503"/>
      <c r="DH34" s="503"/>
      <c r="DI34" s="503"/>
      <c r="DJ34" s="503"/>
      <c r="DK34" s="503"/>
      <c r="DL34" s="503"/>
      <c r="DM34" s="503"/>
      <c r="DN34" s="503"/>
      <c r="DO34" s="503"/>
      <c r="DP34" s="503"/>
      <c r="DQ34" s="503"/>
      <c r="DR34" s="503"/>
      <c r="DS34" s="503"/>
      <c r="DT34" s="503"/>
      <c r="DU34" s="503"/>
      <c r="DV34" s="503"/>
      <c r="DW34" s="503"/>
      <c r="DX34" s="503"/>
      <c r="DY34" s="503"/>
      <c r="DZ34" s="503"/>
      <c r="EA34" s="503"/>
      <c r="EB34" s="503"/>
      <c r="EC34" s="504" t="s">
        <v>621</v>
      </c>
      <c r="ED34" s="1126"/>
      <c r="EE34" s="325">
        <v>2</v>
      </c>
    </row>
    <row r="35" spans="2:168" ht="10">
      <c r="B35" s="567" t="e">
        <f>(ii!$D$13*12+V35)</f>
        <v>#REF!</v>
      </c>
      <c r="C35" s="337">
        <f t="shared" si="8"/>
        <v>43190</v>
      </c>
      <c r="D35" s="484">
        <f t="shared" si="0"/>
        <v>2018</v>
      </c>
      <c r="E35" s="484">
        <f t="shared" si="1"/>
        <v>0.25</v>
      </c>
      <c r="F35" s="484">
        <f t="shared" si="2"/>
        <v>2018.25</v>
      </c>
      <c r="G35" s="485" t="s">
        <v>621</v>
      </c>
      <c r="H35" s="486" t="str">
        <f t="shared" si="13"/>
        <v/>
      </c>
      <c r="I35" s="486" t="str">
        <f t="shared" si="20"/>
        <v/>
      </c>
      <c r="J35" s="487"/>
      <c r="K35" s="488"/>
      <c r="L35" s="548"/>
      <c r="M35" s="489" t="str">
        <f t="shared" si="12"/>
        <v/>
      </c>
      <c r="N35" s="490" t="s">
        <v>621</v>
      </c>
      <c r="O35" s="490" t="str">
        <f t="shared" si="5"/>
        <v/>
      </c>
      <c r="P35" s="491"/>
      <c r="Q35" s="491"/>
      <c r="R35" s="491" t="str">
        <f t="shared" si="6"/>
        <v/>
      </c>
      <c r="S35" s="528" t="str">
        <f t="shared" si="14"/>
        <v/>
      </c>
      <c r="T35" s="528"/>
      <c r="U35" s="493" t="str">
        <f>IF(H35="","",#REF!*12+#REF!+#REF!*12+#REF!)</f>
        <v/>
      </c>
      <c r="V35" s="338" t="e">
        <v>#REF!</v>
      </c>
      <c r="W35" s="339" t="e">
        <f t="shared" si="10"/>
        <v>#REF!</v>
      </c>
      <c r="X35" s="494" t="s">
        <v>621</v>
      </c>
      <c r="Y35" s="495" t="s">
        <v>621</v>
      </c>
      <c r="Z35" s="496"/>
      <c r="AA35" s="497"/>
      <c r="AB35" s="498" t="str">
        <f t="shared" si="19"/>
        <v/>
      </c>
      <c r="AC35" s="484" t="str">
        <f t="shared" si="15"/>
        <v/>
      </c>
      <c r="AD35" s="495" t="str">
        <f t="shared" si="16"/>
        <v/>
      </c>
      <c r="AE35" s="499" t="e">
        <v>#REF!</v>
      </c>
      <c r="AF35" s="500" t="s">
        <v>621</v>
      </c>
      <c r="AG35" s="516" t="s">
        <v>621</v>
      </c>
      <c r="AH35" s="516"/>
      <c r="AI35" s="503" t="s">
        <v>621</v>
      </c>
      <c r="AJ35" s="503"/>
      <c r="AK35" s="517" t="s">
        <v>621</v>
      </c>
      <c r="AL35" s="517"/>
      <c r="AM35" s="506" t="s">
        <v>621</v>
      </c>
      <c r="AN35" s="502" t="str">
        <f t="shared" si="17"/>
        <v/>
      </c>
      <c r="AO35" s="503"/>
      <c r="AP35" s="503"/>
      <c r="AQ35" s="502"/>
      <c r="AR35" s="502"/>
      <c r="AS35" s="503"/>
      <c r="AT35" s="503"/>
      <c r="AU35" s="502"/>
      <c r="AV35" s="502"/>
      <c r="AW35" s="503"/>
      <c r="AX35" s="503"/>
      <c r="AY35" s="502"/>
      <c r="AZ35" s="502"/>
      <c r="BA35" s="503"/>
      <c r="BB35" s="503"/>
      <c r="BC35" s="502"/>
      <c r="BD35" s="502"/>
      <c r="BE35" s="503"/>
      <c r="BF35" s="503"/>
      <c r="BG35" s="502"/>
      <c r="BH35" s="502"/>
      <c r="BI35" s="503"/>
      <c r="BJ35" s="503"/>
      <c r="BK35" s="502"/>
      <c r="BL35" s="502"/>
      <c r="BM35" s="503"/>
      <c r="BN35" s="503"/>
      <c r="BO35" s="502"/>
      <c r="BP35" s="502"/>
      <c r="BQ35" s="503"/>
      <c r="BR35" s="503"/>
      <c r="BS35" s="502"/>
      <c r="BT35" s="502"/>
      <c r="BU35" s="503"/>
      <c r="BV35" s="503"/>
      <c r="BW35" s="502"/>
      <c r="BX35" s="502"/>
      <c r="BY35" s="503"/>
      <c r="BZ35" s="503"/>
      <c r="CA35" s="502"/>
      <c r="CB35" s="502"/>
      <c r="CC35" s="503"/>
      <c r="CD35" s="503"/>
      <c r="CE35" s="502"/>
      <c r="CF35" s="502"/>
      <c r="CG35" s="503"/>
      <c r="CH35" s="503"/>
      <c r="CI35" s="502"/>
      <c r="CJ35" s="502"/>
      <c r="CK35" s="503"/>
      <c r="CL35" s="503"/>
      <c r="CM35" s="502"/>
      <c r="CN35" s="502"/>
      <c r="CO35" s="503"/>
      <c r="CP35" s="503"/>
      <c r="CQ35" s="502"/>
      <c r="CR35" s="502"/>
      <c r="CS35" s="503"/>
      <c r="CT35" s="503"/>
      <c r="CU35" s="502"/>
      <c r="CV35" s="502"/>
      <c r="CW35" s="503"/>
      <c r="CX35" s="503"/>
      <c r="CY35" s="502"/>
      <c r="CZ35" s="502"/>
      <c r="DA35" s="503"/>
      <c r="DB35" s="503"/>
      <c r="DC35" s="502"/>
      <c r="DD35" s="502"/>
      <c r="DE35" s="503"/>
      <c r="DF35" s="503"/>
      <c r="DG35" s="503"/>
      <c r="DH35" s="503"/>
      <c r="DI35" s="503"/>
      <c r="DJ35" s="503"/>
      <c r="DK35" s="503"/>
      <c r="DL35" s="503"/>
      <c r="DM35" s="503"/>
      <c r="DN35" s="503"/>
      <c r="DO35" s="503"/>
      <c r="DP35" s="503"/>
      <c r="DQ35" s="503"/>
      <c r="DR35" s="503"/>
      <c r="DS35" s="503"/>
      <c r="DT35" s="503"/>
      <c r="DU35" s="503"/>
      <c r="DV35" s="503"/>
      <c r="DW35" s="503"/>
      <c r="DX35" s="503"/>
      <c r="DY35" s="503"/>
      <c r="DZ35" s="503"/>
      <c r="EA35" s="503"/>
      <c r="EB35" s="503"/>
      <c r="EC35" s="504" t="s">
        <v>621</v>
      </c>
      <c r="ED35" s="1126"/>
      <c r="EE35" s="325">
        <v>3</v>
      </c>
    </row>
    <row r="36" spans="2:168" ht="10">
      <c r="B36" s="567" t="e">
        <f>(ii!$D$13*12+V36)</f>
        <v>#REF!</v>
      </c>
      <c r="C36" s="337">
        <f t="shared" si="8"/>
        <v>43220</v>
      </c>
      <c r="D36" s="484">
        <f t="shared" si="0"/>
        <v>2018</v>
      </c>
      <c r="E36" s="484">
        <f t="shared" si="1"/>
        <v>0.33333333333333331</v>
      </c>
      <c r="F36" s="484">
        <f t="shared" si="2"/>
        <v>2018.3333333333333</v>
      </c>
      <c r="G36" s="485" t="s">
        <v>621</v>
      </c>
      <c r="H36" s="486" t="str">
        <f t="shared" si="13"/>
        <v/>
      </c>
      <c r="I36" s="486" t="str">
        <f t="shared" si="20"/>
        <v/>
      </c>
      <c r="J36" s="487"/>
      <c r="K36" s="488"/>
      <c r="L36" s="548"/>
      <c r="M36" s="489" t="str">
        <f t="shared" si="12"/>
        <v/>
      </c>
      <c r="N36" s="490" t="s">
        <v>621</v>
      </c>
      <c r="O36" s="490" t="str">
        <f t="shared" si="5"/>
        <v/>
      </c>
      <c r="P36" s="491"/>
      <c r="Q36" s="491"/>
      <c r="R36" s="491" t="str">
        <f t="shared" si="6"/>
        <v/>
      </c>
      <c r="S36" s="528" t="str">
        <f t="shared" si="14"/>
        <v/>
      </c>
      <c r="T36" s="528"/>
      <c r="U36" s="493" t="str">
        <f>IF(H36="","",#REF!*12+#REF!+#REF!*12+#REF!)</f>
        <v/>
      </c>
      <c r="V36" s="338" t="e">
        <v>#REF!</v>
      </c>
      <c r="W36" s="339" t="e">
        <f t="shared" si="10"/>
        <v>#REF!</v>
      </c>
      <c r="X36" s="494" t="s">
        <v>621</v>
      </c>
      <c r="Y36" s="495" t="s">
        <v>621</v>
      </c>
      <c r="Z36" s="496"/>
      <c r="AA36" s="497"/>
      <c r="AB36" s="498" t="str">
        <f t="shared" si="19"/>
        <v/>
      </c>
      <c r="AC36" s="484" t="str">
        <f t="shared" si="15"/>
        <v/>
      </c>
      <c r="AD36" s="495" t="str">
        <f t="shared" si="16"/>
        <v/>
      </c>
      <c r="AE36" s="499" t="e">
        <v>#REF!</v>
      </c>
      <c r="AF36" s="500" t="s">
        <v>621</v>
      </c>
      <c r="AG36" s="516" t="s">
        <v>621</v>
      </c>
      <c r="AH36" s="516"/>
      <c r="AI36" s="503" t="s">
        <v>621</v>
      </c>
      <c r="AJ36" s="503"/>
      <c r="AK36" s="517" t="s">
        <v>621</v>
      </c>
      <c r="AL36" s="517"/>
      <c r="AM36" s="506" t="s">
        <v>621</v>
      </c>
      <c r="AN36" s="502" t="str">
        <f t="shared" si="17"/>
        <v/>
      </c>
      <c r="AO36" s="503"/>
      <c r="AP36" s="503"/>
      <c r="AQ36" s="502"/>
      <c r="AR36" s="502"/>
      <c r="AS36" s="503"/>
      <c r="AT36" s="503"/>
      <c r="AU36" s="502"/>
      <c r="AV36" s="502"/>
      <c r="AW36" s="503"/>
      <c r="AX36" s="503"/>
      <c r="AY36" s="502"/>
      <c r="AZ36" s="502"/>
      <c r="BA36" s="503"/>
      <c r="BB36" s="503"/>
      <c r="BC36" s="502"/>
      <c r="BD36" s="502"/>
      <c r="BE36" s="503"/>
      <c r="BF36" s="503"/>
      <c r="BG36" s="502"/>
      <c r="BH36" s="502"/>
      <c r="BI36" s="503"/>
      <c r="BJ36" s="503"/>
      <c r="BK36" s="502"/>
      <c r="BL36" s="502"/>
      <c r="BM36" s="503"/>
      <c r="BN36" s="503"/>
      <c r="BO36" s="502"/>
      <c r="BP36" s="502"/>
      <c r="BQ36" s="503"/>
      <c r="BR36" s="503"/>
      <c r="BS36" s="502"/>
      <c r="BT36" s="502"/>
      <c r="BU36" s="503"/>
      <c r="BV36" s="503"/>
      <c r="BW36" s="502"/>
      <c r="BX36" s="502"/>
      <c r="BY36" s="503"/>
      <c r="BZ36" s="503"/>
      <c r="CA36" s="502"/>
      <c r="CB36" s="502"/>
      <c r="CC36" s="503"/>
      <c r="CD36" s="503"/>
      <c r="CE36" s="502"/>
      <c r="CF36" s="502"/>
      <c r="CG36" s="503"/>
      <c r="CH36" s="503"/>
      <c r="CI36" s="502"/>
      <c r="CJ36" s="502"/>
      <c r="CK36" s="503"/>
      <c r="CL36" s="503"/>
      <c r="CM36" s="502"/>
      <c r="CN36" s="502"/>
      <c r="CO36" s="503"/>
      <c r="CP36" s="503"/>
      <c r="CQ36" s="502"/>
      <c r="CR36" s="502"/>
      <c r="CS36" s="503"/>
      <c r="CT36" s="503"/>
      <c r="CU36" s="502"/>
      <c r="CV36" s="502"/>
      <c r="CW36" s="503"/>
      <c r="CX36" s="503"/>
      <c r="CY36" s="502"/>
      <c r="CZ36" s="502"/>
      <c r="DA36" s="503"/>
      <c r="DB36" s="503"/>
      <c r="DC36" s="502"/>
      <c r="DD36" s="502"/>
      <c r="DE36" s="503"/>
      <c r="DF36" s="503"/>
      <c r="DG36" s="503"/>
      <c r="DH36" s="503"/>
      <c r="DI36" s="503"/>
      <c r="DJ36" s="503"/>
      <c r="DK36" s="503"/>
      <c r="DL36" s="503"/>
      <c r="DM36" s="503"/>
      <c r="DN36" s="503"/>
      <c r="DO36" s="503"/>
      <c r="DP36" s="503"/>
      <c r="DQ36" s="503"/>
      <c r="DR36" s="503"/>
      <c r="DS36" s="503"/>
      <c r="DT36" s="503"/>
      <c r="DU36" s="503"/>
      <c r="DV36" s="503"/>
      <c r="DW36" s="503"/>
      <c r="DX36" s="503"/>
      <c r="DY36" s="503"/>
      <c r="DZ36" s="503"/>
      <c r="EA36" s="503"/>
      <c r="EB36" s="503"/>
      <c r="EC36" s="504" t="s">
        <v>621</v>
      </c>
      <c r="ED36" s="1126"/>
      <c r="EE36" s="325">
        <v>4</v>
      </c>
    </row>
    <row r="37" spans="2:168" ht="10">
      <c r="B37" s="567" t="e">
        <f>(ii!$D$13*12+V37)</f>
        <v>#REF!</v>
      </c>
      <c r="C37" s="337">
        <f t="shared" si="8"/>
        <v>43251</v>
      </c>
      <c r="D37" s="484">
        <f t="shared" si="0"/>
        <v>2018</v>
      </c>
      <c r="E37" s="484">
        <f t="shared" si="1"/>
        <v>0.41666666666666669</v>
      </c>
      <c r="F37" s="484">
        <f t="shared" si="2"/>
        <v>2018.4166666666667</v>
      </c>
      <c r="G37" s="485" t="s">
        <v>621</v>
      </c>
      <c r="H37" s="486" t="str">
        <f t="shared" si="13"/>
        <v/>
      </c>
      <c r="I37" s="486" t="str">
        <f t="shared" si="20"/>
        <v/>
      </c>
      <c r="J37" s="507"/>
      <c r="K37" s="508"/>
      <c r="L37" s="549"/>
      <c r="M37" s="520" t="str">
        <f t="shared" si="12"/>
        <v/>
      </c>
      <c r="N37" s="490" t="s">
        <v>621</v>
      </c>
      <c r="O37" s="490" t="str">
        <f t="shared" si="5"/>
        <v/>
      </c>
      <c r="P37" s="509"/>
      <c r="Q37" s="509"/>
      <c r="R37" s="509" t="str">
        <f t="shared" si="6"/>
        <v/>
      </c>
      <c r="S37" s="550" t="str">
        <f t="shared" si="14"/>
        <v/>
      </c>
      <c r="T37" s="550"/>
      <c r="U37" s="521" t="str">
        <f>IF(H37="","",#REF!*12+#REF!+#REF!*12+#REF!)</f>
        <v/>
      </c>
      <c r="V37" s="338" t="e">
        <v>#REF!</v>
      </c>
      <c r="W37" s="339" t="e">
        <f t="shared" si="10"/>
        <v>#REF!</v>
      </c>
      <c r="X37" s="494" t="s">
        <v>621</v>
      </c>
      <c r="Y37" s="495" t="s">
        <v>621</v>
      </c>
      <c r="Z37" s="496"/>
      <c r="AA37" s="497"/>
      <c r="AB37" s="523" t="str">
        <f t="shared" si="19"/>
        <v/>
      </c>
      <c r="AC37" s="551" t="str">
        <f t="shared" si="15"/>
        <v/>
      </c>
      <c r="AD37" s="524" t="str">
        <f t="shared" si="16"/>
        <v/>
      </c>
      <c r="AE37" s="525" t="e">
        <v>#REF!</v>
      </c>
      <c r="AF37" s="500" t="s">
        <v>621</v>
      </c>
      <c r="AG37" s="516" t="s">
        <v>621</v>
      </c>
      <c r="AH37" s="516"/>
      <c r="AI37" s="503" t="s">
        <v>621</v>
      </c>
      <c r="AJ37" s="503"/>
      <c r="AK37" s="517" t="s">
        <v>621</v>
      </c>
      <c r="AL37" s="517"/>
      <c r="AM37" s="506" t="s">
        <v>621</v>
      </c>
      <c r="AN37" s="502" t="str">
        <f t="shared" si="17"/>
        <v/>
      </c>
      <c r="AO37" s="503"/>
      <c r="AP37" s="503"/>
      <c r="AQ37" s="502"/>
      <c r="AR37" s="502"/>
      <c r="AS37" s="503"/>
      <c r="AT37" s="503"/>
      <c r="AU37" s="502"/>
      <c r="AV37" s="502"/>
      <c r="AW37" s="503"/>
      <c r="AX37" s="503"/>
      <c r="AY37" s="502"/>
      <c r="AZ37" s="502"/>
      <c r="BA37" s="503"/>
      <c r="BB37" s="503"/>
      <c r="BC37" s="502"/>
      <c r="BD37" s="502"/>
      <c r="BE37" s="503"/>
      <c r="BF37" s="503"/>
      <c r="BG37" s="502"/>
      <c r="BH37" s="502"/>
      <c r="BI37" s="503"/>
      <c r="BJ37" s="503"/>
      <c r="BK37" s="502"/>
      <c r="BL37" s="502"/>
      <c r="BM37" s="503"/>
      <c r="BN37" s="503"/>
      <c r="BO37" s="502"/>
      <c r="BP37" s="502"/>
      <c r="BQ37" s="503"/>
      <c r="BR37" s="503"/>
      <c r="BS37" s="502"/>
      <c r="BT37" s="502"/>
      <c r="BU37" s="503"/>
      <c r="BV37" s="503"/>
      <c r="BW37" s="502"/>
      <c r="BX37" s="502"/>
      <c r="BY37" s="503"/>
      <c r="BZ37" s="503"/>
      <c r="CA37" s="502"/>
      <c r="CB37" s="502"/>
      <c r="CC37" s="503"/>
      <c r="CD37" s="503"/>
      <c r="CE37" s="502"/>
      <c r="CF37" s="502"/>
      <c r="CG37" s="503"/>
      <c r="CH37" s="503"/>
      <c r="CI37" s="502"/>
      <c r="CJ37" s="502"/>
      <c r="CK37" s="503"/>
      <c r="CL37" s="503"/>
      <c r="CM37" s="502"/>
      <c r="CN37" s="502"/>
      <c r="CO37" s="503"/>
      <c r="CP37" s="503"/>
      <c r="CQ37" s="502"/>
      <c r="CR37" s="502"/>
      <c r="CS37" s="503"/>
      <c r="CT37" s="503"/>
      <c r="CU37" s="502"/>
      <c r="CV37" s="502"/>
      <c r="CW37" s="503"/>
      <c r="CX37" s="503"/>
      <c r="CY37" s="502"/>
      <c r="CZ37" s="502"/>
      <c r="DA37" s="503"/>
      <c r="DB37" s="503"/>
      <c r="DC37" s="502"/>
      <c r="DD37" s="502"/>
      <c r="DE37" s="503"/>
      <c r="DF37" s="503"/>
      <c r="DG37" s="503"/>
      <c r="DH37" s="503"/>
      <c r="DI37" s="503"/>
      <c r="DJ37" s="503"/>
      <c r="DK37" s="503"/>
      <c r="DL37" s="503"/>
      <c r="DM37" s="503"/>
      <c r="DN37" s="503"/>
      <c r="DO37" s="503"/>
      <c r="DP37" s="503"/>
      <c r="DQ37" s="503"/>
      <c r="DR37" s="503"/>
      <c r="DS37" s="503"/>
      <c r="DT37" s="503"/>
      <c r="DU37" s="503"/>
      <c r="DV37" s="503"/>
      <c r="DW37" s="503"/>
      <c r="DX37" s="503"/>
      <c r="DY37" s="503"/>
      <c r="DZ37" s="503"/>
      <c r="EA37" s="503"/>
      <c r="EB37" s="503"/>
      <c r="EC37" s="504" t="s">
        <v>621</v>
      </c>
      <c r="ED37" s="1126"/>
      <c r="EE37" s="325">
        <v>5</v>
      </c>
    </row>
    <row r="38" spans="2:168" ht="10">
      <c r="B38" s="567" t="e">
        <f>(ii!$D$13*12+V38)</f>
        <v>#REF!</v>
      </c>
      <c r="C38" s="337">
        <f t="shared" si="8"/>
        <v>43281</v>
      </c>
      <c r="D38" s="484">
        <f t="shared" si="0"/>
        <v>2018</v>
      </c>
      <c r="E38" s="484">
        <f t="shared" si="1"/>
        <v>0.5</v>
      </c>
      <c r="F38" s="484">
        <f t="shared" si="2"/>
        <v>2018.5</v>
      </c>
      <c r="G38" s="485" t="s">
        <v>621</v>
      </c>
      <c r="H38" s="486" t="str">
        <f t="shared" si="13"/>
        <v/>
      </c>
      <c r="I38" s="486" t="str">
        <f t="shared" si="20"/>
        <v/>
      </c>
      <c r="J38" s="487"/>
      <c r="K38" s="488"/>
      <c r="L38" s="548"/>
      <c r="M38" s="489" t="str">
        <f t="shared" si="12"/>
        <v/>
      </c>
      <c r="N38" s="490" t="s">
        <v>621</v>
      </c>
      <c r="O38" s="490" t="str">
        <f t="shared" si="5"/>
        <v/>
      </c>
      <c r="P38" s="491"/>
      <c r="Q38" s="491"/>
      <c r="R38" s="491" t="str">
        <f t="shared" si="6"/>
        <v/>
      </c>
      <c r="S38" s="528" t="str">
        <f t="shared" si="14"/>
        <v/>
      </c>
      <c r="T38" s="528"/>
      <c r="U38" s="493" t="str">
        <f>IF(H38="","",#REF!*12+#REF!+#REF!*12+#REF!)</f>
        <v/>
      </c>
      <c r="V38" s="338" t="e">
        <v>#REF!</v>
      </c>
      <c r="W38" s="339" t="e">
        <f t="shared" si="10"/>
        <v>#REF!</v>
      </c>
      <c r="X38" s="494" t="s">
        <v>621</v>
      </c>
      <c r="Y38" s="495" t="s">
        <v>621</v>
      </c>
      <c r="Z38" s="496"/>
      <c r="AA38" s="497"/>
      <c r="AB38" s="498" t="str">
        <f t="shared" si="19"/>
        <v/>
      </c>
      <c r="AC38" s="484" t="str">
        <f t="shared" si="15"/>
        <v/>
      </c>
      <c r="AD38" s="495" t="str">
        <f t="shared" si="16"/>
        <v/>
      </c>
      <c r="AE38" s="499" t="e">
        <v>#REF!</v>
      </c>
      <c r="AF38" s="500" t="s">
        <v>621</v>
      </c>
      <c r="AG38" s="516" t="s">
        <v>621</v>
      </c>
      <c r="AH38" s="516"/>
      <c r="AI38" s="503" t="s">
        <v>621</v>
      </c>
      <c r="AJ38" s="503"/>
      <c r="AK38" s="517" t="s">
        <v>621</v>
      </c>
      <c r="AL38" s="517"/>
      <c r="AM38" s="506" t="s">
        <v>621</v>
      </c>
      <c r="AN38" s="502" t="str">
        <f t="shared" si="17"/>
        <v/>
      </c>
      <c r="AO38" s="503"/>
      <c r="AP38" s="503"/>
      <c r="AQ38" s="502"/>
      <c r="AR38" s="502"/>
      <c r="AS38" s="503"/>
      <c r="AT38" s="503"/>
      <c r="AU38" s="502"/>
      <c r="AV38" s="502"/>
      <c r="AW38" s="503"/>
      <c r="AX38" s="503"/>
      <c r="AY38" s="502"/>
      <c r="AZ38" s="502"/>
      <c r="BA38" s="503"/>
      <c r="BB38" s="503"/>
      <c r="BC38" s="502"/>
      <c r="BD38" s="502"/>
      <c r="BE38" s="503"/>
      <c r="BF38" s="503"/>
      <c r="BG38" s="502"/>
      <c r="BH38" s="502"/>
      <c r="BI38" s="503"/>
      <c r="BJ38" s="503"/>
      <c r="BK38" s="502"/>
      <c r="BL38" s="502"/>
      <c r="BM38" s="503"/>
      <c r="BN38" s="503"/>
      <c r="BO38" s="502"/>
      <c r="BP38" s="502"/>
      <c r="BQ38" s="503"/>
      <c r="BR38" s="503"/>
      <c r="BS38" s="502"/>
      <c r="BT38" s="502"/>
      <c r="BU38" s="503"/>
      <c r="BV38" s="503"/>
      <c r="BW38" s="502"/>
      <c r="BX38" s="502"/>
      <c r="BY38" s="503"/>
      <c r="BZ38" s="503"/>
      <c r="CA38" s="502"/>
      <c r="CB38" s="502"/>
      <c r="CC38" s="503"/>
      <c r="CD38" s="503"/>
      <c r="CE38" s="502"/>
      <c r="CF38" s="502"/>
      <c r="CG38" s="503"/>
      <c r="CH38" s="503"/>
      <c r="CI38" s="502"/>
      <c r="CJ38" s="502"/>
      <c r="CK38" s="503"/>
      <c r="CL38" s="503"/>
      <c r="CM38" s="502"/>
      <c r="CN38" s="502"/>
      <c r="CO38" s="503"/>
      <c r="CP38" s="503"/>
      <c r="CQ38" s="502"/>
      <c r="CR38" s="502"/>
      <c r="CS38" s="503"/>
      <c r="CT38" s="503"/>
      <c r="CU38" s="502"/>
      <c r="CV38" s="502"/>
      <c r="CW38" s="503"/>
      <c r="CX38" s="503"/>
      <c r="CY38" s="502"/>
      <c r="CZ38" s="502"/>
      <c r="DA38" s="503"/>
      <c r="DB38" s="503"/>
      <c r="DC38" s="502"/>
      <c r="DD38" s="502"/>
      <c r="DE38" s="503"/>
      <c r="DF38" s="503"/>
      <c r="DG38" s="503"/>
      <c r="DH38" s="503"/>
      <c r="DI38" s="503"/>
      <c r="DJ38" s="503"/>
      <c r="DK38" s="503"/>
      <c r="DL38" s="503"/>
      <c r="DM38" s="503"/>
      <c r="DN38" s="503"/>
      <c r="DO38" s="503"/>
      <c r="DP38" s="503"/>
      <c r="DQ38" s="503"/>
      <c r="DR38" s="503"/>
      <c r="DS38" s="503"/>
      <c r="DT38" s="503"/>
      <c r="DU38" s="503"/>
      <c r="DV38" s="503"/>
      <c r="DW38" s="503"/>
      <c r="DX38" s="503"/>
      <c r="DY38" s="503"/>
      <c r="DZ38" s="503"/>
      <c r="EA38" s="503"/>
      <c r="EB38" s="503"/>
      <c r="EC38" s="504" t="s">
        <v>621</v>
      </c>
      <c r="ED38" s="1126"/>
      <c r="EE38" s="325">
        <v>6</v>
      </c>
    </row>
    <row r="39" spans="2:168" ht="10">
      <c r="B39" s="567" t="e">
        <f>(ii!$D$13*12+V39)</f>
        <v>#REF!</v>
      </c>
      <c r="C39" s="337">
        <f t="shared" si="8"/>
        <v>43312</v>
      </c>
      <c r="D39" s="484">
        <f t="shared" si="0"/>
        <v>2018</v>
      </c>
      <c r="E39" s="484">
        <f t="shared" si="1"/>
        <v>0.58333333333333337</v>
      </c>
      <c r="F39" s="484">
        <f t="shared" si="2"/>
        <v>2018.5833333333333</v>
      </c>
      <c r="G39" s="485" t="s">
        <v>621</v>
      </c>
      <c r="H39" s="486" t="str">
        <f t="shared" si="13"/>
        <v/>
      </c>
      <c r="I39" s="486" t="str">
        <f t="shared" si="20"/>
        <v/>
      </c>
      <c r="J39" s="487"/>
      <c r="K39" s="488"/>
      <c r="L39" s="548"/>
      <c r="M39" s="489" t="str">
        <f t="shared" si="12"/>
        <v/>
      </c>
      <c r="N39" s="490" t="s">
        <v>621</v>
      </c>
      <c r="O39" s="490" t="str">
        <f t="shared" si="5"/>
        <v/>
      </c>
      <c r="P39" s="491"/>
      <c r="Q39" s="491"/>
      <c r="R39" s="491" t="str">
        <f t="shared" si="6"/>
        <v/>
      </c>
      <c r="S39" s="528" t="str">
        <f t="shared" si="14"/>
        <v/>
      </c>
      <c r="T39" s="528"/>
      <c r="U39" s="493" t="str">
        <f>IF(H39="","",#REF!*12+#REF!+#REF!*12+#REF!)</f>
        <v/>
      </c>
      <c r="V39" s="338" t="e">
        <v>#REF!</v>
      </c>
      <c r="W39" s="339" t="e">
        <f t="shared" si="10"/>
        <v>#REF!</v>
      </c>
      <c r="X39" s="494" t="s">
        <v>621</v>
      </c>
      <c r="Y39" s="495" t="s">
        <v>621</v>
      </c>
      <c r="Z39" s="496"/>
      <c r="AA39" s="497"/>
      <c r="AB39" s="498" t="str">
        <f t="shared" si="19"/>
        <v/>
      </c>
      <c r="AC39" s="484" t="str">
        <f t="shared" si="15"/>
        <v/>
      </c>
      <c r="AD39" s="495" t="str">
        <f t="shared" si="16"/>
        <v/>
      </c>
      <c r="AE39" s="499" t="e">
        <v>#REF!</v>
      </c>
      <c r="AF39" s="500" t="s">
        <v>621</v>
      </c>
      <c r="AG39" s="516" t="s">
        <v>621</v>
      </c>
      <c r="AH39" s="516"/>
      <c r="AI39" s="503" t="s">
        <v>621</v>
      </c>
      <c r="AJ39" s="503"/>
      <c r="AK39" s="517" t="s">
        <v>621</v>
      </c>
      <c r="AL39" s="517"/>
      <c r="AM39" s="506" t="s">
        <v>621</v>
      </c>
      <c r="AN39" s="502" t="str">
        <f t="shared" si="17"/>
        <v/>
      </c>
      <c r="AO39" s="503"/>
      <c r="AP39" s="503"/>
      <c r="AQ39" s="502"/>
      <c r="AR39" s="502"/>
      <c r="AS39" s="503"/>
      <c r="AT39" s="503"/>
      <c r="AU39" s="502"/>
      <c r="AV39" s="502"/>
      <c r="AW39" s="503"/>
      <c r="AX39" s="503"/>
      <c r="AY39" s="502"/>
      <c r="AZ39" s="502"/>
      <c r="BA39" s="503"/>
      <c r="BB39" s="503"/>
      <c r="BC39" s="502"/>
      <c r="BD39" s="502"/>
      <c r="BE39" s="503"/>
      <c r="BF39" s="503"/>
      <c r="BG39" s="502"/>
      <c r="BH39" s="502"/>
      <c r="BI39" s="503"/>
      <c r="BJ39" s="503"/>
      <c r="BK39" s="502"/>
      <c r="BL39" s="502"/>
      <c r="BM39" s="503"/>
      <c r="BN39" s="503"/>
      <c r="BO39" s="502"/>
      <c r="BP39" s="502"/>
      <c r="BQ39" s="503"/>
      <c r="BR39" s="503"/>
      <c r="BS39" s="502"/>
      <c r="BT39" s="502"/>
      <c r="BU39" s="503"/>
      <c r="BV39" s="503"/>
      <c r="BW39" s="502"/>
      <c r="BX39" s="502"/>
      <c r="BY39" s="503"/>
      <c r="BZ39" s="503"/>
      <c r="CA39" s="502"/>
      <c r="CB39" s="502"/>
      <c r="CC39" s="503"/>
      <c r="CD39" s="503"/>
      <c r="CE39" s="502"/>
      <c r="CF39" s="502"/>
      <c r="CG39" s="503"/>
      <c r="CH39" s="503"/>
      <c r="CI39" s="502"/>
      <c r="CJ39" s="502"/>
      <c r="CK39" s="503"/>
      <c r="CL39" s="503"/>
      <c r="CM39" s="502"/>
      <c r="CN39" s="502"/>
      <c r="CO39" s="503"/>
      <c r="CP39" s="503"/>
      <c r="CQ39" s="502"/>
      <c r="CR39" s="502"/>
      <c r="CS39" s="503"/>
      <c r="CT39" s="503"/>
      <c r="CU39" s="502"/>
      <c r="CV39" s="502"/>
      <c r="CW39" s="503"/>
      <c r="CX39" s="503"/>
      <c r="CY39" s="502"/>
      <c r="CZ39" s="502"/>
      <c r="DA39" s="503"/>
      <c r="DB39" s="503"/>
      <c r="DC39" s="502"/>
      <c r="DD39" s="502"/>
      <c r="DE39" s="503"/>
      <c r="DF39" s="503"/>
      <c r="DG39" s="503"/>
      <c r="DH39" s="503"/>
      <c r="DI39" s="503"/>
      <c r="DJ39" s="503"/>
      <c r="DK39" s="503"/>
      <c r="DL39" s="503"/>
      <c r="DM39" s="503"/>
      <c r="DN39" s="503"/>
      <c r="DO39" s="503"/>
      <c r="DP39" s="503"/>
      <c r="DQ39" s="503"/>
      <c r="DR39" s="503"/>
      <c r="DS39" s="503"/>
      <c r="DT39" s="503"/>
      <c r="DU39" s="503"/>
      <c r="DV39" s="503"/>
      <c r="DW39" s="503"/>
      <c r="DX39" s="503"/>
      <c r="DY39" s="503"/>
      <c r="DZ39" s="503"/>
      <c r="EA39" s="503"/>
      <c r="EB39" s="503"/>
      <c r="EC39" s="504" t="s">
        <v>621</v>
      </c>
      <c r="ED39" s="1126"/>
      <c r="EE39" s="325">
        <v>7</v>
      </c>
    </row>
    <row r="40" spans="2:168" ht="14">
      <c r="B40" s="567" t="e">
        <f>(ii!$D$13*12+V40)</f>
        <v>#REF!</v>
      </c>
      <c r="C40" s="337">
        <f t="shared" si="8"/>
        <v>43343</v>
      </c>
      <c r="D40" s="484">
        <f t="shared" si="0"/>
        <v>2018</v>
      </c>
      <c r="E40" s="484">
        <f t="shared" si="1"/>
        <v>0.66666666666666663</v>
      </c>
      <c r="F40" s="484">
        <f t="shared" si="2"/>
        <v>2018.6666666666667</v>
      </c>
      <c r="G40" s="485" t="s">
        <v>621</v>
      </c>
      <c r="H40" s="486" t="str">
        <f t="shared" si="13"/>
        <v/>
      </c>
      <c r="I40" s="486" t="str">
        <f t="shared" si="20"/>
        <v/>
      </c>
      <c r="J40" s="487"/>
      <c r="K40" s="488"/>
      <c r="L40" s="548"/>
      <c r="M40" s="489" t="str">
        <f t="shared" si="12"/>
        <v/>
      </c>
      <c r="N40" s="490" t="s">
        <v>621</v>
      </c>
      <c r="O40" s="490" t="str">
        <f t="shared" si="5"/>
        <v/>
      </c>
      <c r="P40" s="491"/>
      <c r="Q40" s="491"/>
      <c r="R40" s="491" t="str">
        <f t="shared" si="6"/>
        <v/>
      </c>
      <c r="S40" s="528" t="str">
        <f t="shared" si="14"/>
        <v/>
      </c>
      <c r="T40" s="528"/>
      <c r="U40" s="493" t="str">
        <f>IF(H40="","",#REF!*12+#REF!+#REF!*12+#REF!)</f>
        <v/>
      </c>
      <c r="V40" s="338" t="e">
        <v>#REF!</v>
      </c>
      <c r="W40" s="339" t="e">
        <f t="shared" si="10"/>
        <v>#REF!</v>
      </c>
      <c r="X40" s="494" t="s">
        <v>621</v>
      </c>
      <c r="Y40" s="495" t="s">
        <v>621</v>
      </c>
      <c r="Z40" s="496"/>
      <c r="AA40" s="497"/>
      <c r="AB40" s="498" t="str">
        <f t="shared" si="19"/>
        <v/>
      </c>
      <c r="AC40" s="484" t="str">
        <f t="shared" si="15"/>
        <v/>
      </c>
      <c r="AD40" s="495" t="str">
        <f t="shared" si="16"/>
        <v/>
      </c>
      <c r="AE40" s="499" t="e">
        <v>#REF!</v>
      </c>
      <c r="AF40" s="500" t="s">
        <v>621</v>
      </c>
      <c r="AG40" s="516" t="s">
        <v>621</v>
      </c>
      <c r="AH40" s="516"/>
      <c r="AI40" s="503" t="s">
        <v>621</v>
      </c>
      <c r="AJ40" s="503"/>
      <c r="AK40" s="517" t="s">
        <v>621</v>
      </c>
      <c r="AL40" s="517"/>
      <c r="AM40" s="506" t="s">
        <v>621</v>
      </c>
      <c r="AN40" s="502" t="str">
        <f t="shared" si="17"/>
        <v/>
      </c>
      <c r="AO40" s="503"/>
      <c r="AP40" s="503"/>
      <c r="AQ40" s="502"/>
      <c r="AR40" s="502"/>
      <c r="AS40" s="503"/>
      <c r="AT40" s="503"/>
      <c r="AU40" s="502"/>
      <c r="AV40" s="502"/>
      <c r="AW40" s="503"/>
      <c r="AX40" s="503"/>
      <c r="AY40" s="502"/>
      <c r="AZ40" s="502"/>
      <c r="BA40" s="503"/>
      <c r="BB40" s="503"/>
      <c r="BC40" s="502"/>
      <c r="BD40" s="502"/>
      <c r="BE40" s="503"/>
      <c r="BF40" s="503"/>
      <c r="BG40" s="502"/>
      <c r="BH40" s="502"/>
      <c r="BI40" s="503"/>
      <c r="BJ40" s="503"/>
      <c r="BK40" s="502"/>
      <c r="BL40" s="502"/>
      <c r="BM40" s="503"/>
      <c r="BN40" s="503"/>
      <c r="BO40" s="502"/>
      <c r="BP40" s="502"/>
      <c r="BQ40" s="503"/>
      <c r="BR40" s="503"/>
      <c r="BS40" s="502"/>
      <c r="BT40" s="502"/>
      <c r="BU40" s="503"/>
      <c r="BV40" s="503"/>
      <c r="BW40" s="502"/>
      <c r="BX40" s="502"/>
      <c r="BY40" s="503"/>
      <c r="BZ40" s="503"/>
      <c r="CA40" s="502"/>
      <c r="CB40" s="502"/>
      <c r="CC40" s="503"/>
      <c r="CD40" s="503"/>
      <c r="CE40" s="502"/>
      <c r="CF40" s="502"/>
      <c r="CG40" s="503"/>
      <c r="CH40" s="503"/>
      <c r="CI40" s="502"/>
      <c r="CJ40" s="502"/>
      <c r="CK40" s="503"/>
      <c r="CL40" s="503"/>
      <c r="CM40" s="502"/>
      <c r="CN40" s="502"/>
      <c r="CO40" s="503"/>
      <c r="CP40" s="503"/>
      <c r="CQ40" s="502"/>
      <c r="CR40" s="502"/>
      <c r="CS40" s="503"/>
      <c r="CT40" s="503"/>
      <c r="CU40" s="502"/>
      <c r="CV40" s="502"/>
      <c r="CW40" s="503"/>
      <c r="CX40" s="503"/>
      <c r="CY40" s="502"/>
      <c r="CZ40" s="502"/>
      <c r="DA40" s="503"/>
      <c r="DB40" s="503"/>
      <c r="DC40" s="502"/>
      <c r="DD40" s="502"/>
      <c r="DE40" s="503"/>
      <c r="DF40" s="503"/>
      <c r="DG40" s="503"/>
      <c r="DH40" s="503"/>
      <c r="DI40" s="503"/>
      <c r="DJ40" s="503"/>
      <c r="DK40" s="503"/>
      <c r="DL40" s="503"/>
      <c r="DM40" s="503"/>
      <c r="DN40" s="503"/>
      <c r="DO40" s="503"/>
      <c r="DP40" s="503"/>
      <c r="DQ40" s="503"/>
      <c r="DR40" s="503"/>
      <c r="DS40" s="503"/>
      <c r="DT40" s="503"/>
      <c r="DU40" s="503"/>
      <c r="DV40" s="503"/>
      <c r="DW40" s="503"/>
      <c r="DX40" s="503"/>
      <c r="DY40" s="503"/>
      <c r="DZ40" s="503"/>
      <c r="EA40" s="503"/>
      <c r="EB40" s="503"/>
      <c r="EC40" s="504" t="s">
        <v>621</v>
      </c>
      <c r="ED40" s="1126"/>
      <c r="EE40" s="325">
        <v>8</v>
      </c>
      <c r="EG40" s="346"/>
      <c r="EH40" s="346"/>
      <c r="EI40" s="346"/>
      <c r="EJ40" s="346"/>
      <c r="EK40" s="346"/>
      <c r="EL40" s="346"/>
      <c r="EM40" s="346"/>
      <c r="EN40" s="346"/>
      <c r="EO40" s="346"/>
      <c r="EP40" s="346"/>
      <c r="EQ40" s="346"/>
      <c r="ER40" s="346"/>
      <c r="ES40" s="346"/>
      <c r="ET40" s="346"/>
      <c r="EU40" s="346"/>
      <c r="EV40" s="346"/>
      <c r="EW40" s="346"/>
      <c r="EX40" s="346"/>
      <c r="EY40" s="346"/>
      <c r="EZ40" s="346"/>
      <c r="FA40" s="346"/>
      <c r="FB40" s="346"/>
      <c r="FC40" s="346"/>
      <c r="FD40" s="346"/>
      <c r="FE40" s="346"/>
      <c r="FF40" s="346"/>
      <c r="FG40" s="346"/>
      <c r="FH40" s="346"/>
      <c r="FI40" s="346"/>
      <c r="FJ40" s="346"/>
      <c r="FK40" s="346"/>
      <c r="FL40" s="346"/>
    </row>
    <row r="41" spans="2:168" ht="14">
      <c r="B41" s="567" t="e">
        <f>(ii!$D$13*12+V41)</f>
        <v>#REF!</v>
      </c>
      <c r="C41" s="337">
        <f t="shared" si="8"/>
        <v>43373</v>
      </c>
      <c r="D41" s="484">
        <f t="shared" si="0"/>
        <v>2018</v>
      </c>
      <c r="E41" s="484">
        <f t="shared" si="1"/>
        <v>0.75</v>
      </c>
      <c r="F41" s="484">
        <f t="shared" si="2"/>
        <v>2018.75</v>
      </c>
      <c r="G41" s="485" t="s">
        <v>621</v>
      </c>
      <c r="H41" s="486" t="str">
        <f t="shared" si="13"/>
        <v/>
      </c>
      <c r="I41" s="486" t="str">
        <f t="shared" si="20"/>
        <v/>
      </c>
      <c r="J41" s="487"/>
      <c r="K41" s="488"/>
      <c r="L41" s="548"/>
      <c r="M41" s="489" t="str">
        <f t="shared" si="12"/>
        <v/>
      </c>
      <c r="N41" s="490" t="s">
        <v>621</v>
      </c>
      <c r="O41" s="490" t="str">
        <f t="shared" si="5"/>
        <v/>
      </c>
      <c r="P41" s="491"/>
      <c r="Q41" s="491"/>
      <c r="R41" s="491" t="str">
        <f t="shared" si="6"/>
        <v/>
      </c>
      <c r="S41" s="528" t="str">
        <f t="shared" si="14"/>
        <v/>
      </c>
      <c r="T41" s="528"/>
      <c r="U41" s="493" t="str">
        <f>IF(H41="","",#REF!*12+#REF!+#REF!*12+#REF!)</f>
        <v/>
      </c>
      <c r="V41" s="338" t="e">
        <v>#REF!</v>
      </c>
      <c r="W41" s="339" t="e">
        <f t="shared" si="10"/>
        <v>#REF!</v>
      </c>
      <c r="X41" s="494" t="s">
        <v>621</v>
      </c>
      <c r="Y41" s="495" t="s">
        <v>621</v>
      </c>
      <c r="Z41" s="496"/>
      <c r="AA41" s="497"/>
      <c r="AB41" s="498" t="str">
        <f t="shared" si="19"/>
        <v/>
      </c>
      <c r="AC41" s="484" t="str">
        <f t="shared" si="15"/>
        <v/>
      </c>
      <c r="AD41" s="495" t="str">
        <f t="shared" si="16"/>
        <v/>
      </c>
      <c r="AE41" s="499" t="e">
        <v>#REF!</v>
      </c>
      <c r="AF41" s="500" t="s">
        <v>621</v>
      </c>
      <c r="AG41" s="516" t="s">
        <v>621</v>
      </c>
      <c r="AH41" s="516"/>
      <c r="AI41" s="503" t="s">
        <v>621</v>
      </c>
      <c r="AJ41" s="503"/>
      <c r="AK41" s="517" t="s">
        <v>621</v>
      </c>
      <c r="AL41" s="517"/>
      <c r="AM41" s="506" t="s">
        <v>621</v>
      </c>
      <c r="AN41" s="502" t="str">
        <f t="shared" si="17"/>
        <v/>
      </c>
      <c r="AO41" s="503"/>
      <c r="AP41" s="503"/>
      <c r="AQ41" s="502"/>
      <c r="AR41" s="502"/>
      <c r="AS41" s="503"/>
      <c r="AT41" s="503"/>
      <c r="AU41" s="502"/>
      <c r="AV41" s="502"/>
      <c r="AW41" s="503"/>
      <c r="AX41" s="503"/>
      <c r="AY41" s="502"/>
      <c r="AZ41" s="502"/>
      <c r="BA41" s="503"/>
      <c r="BB41" s="503"/>
      <c r="BC41" s="502"/>
      <c r="BD41" s="502"/>
      <c r="BE41" s="503"/>
      <c r="BF41" s="503"/>
      <c r="BG41" s="502"/>
      <c r="BH41" s="502"/>
      <c r="BI41" s="503"/>
      <c r="BJ41" s="503"/>
      <c r="BK41" s="502"/>
      <c r="BL41" s="502"/>
      <c r="BM41" s="503"/>
      <c r="BN41" s="503"/>
      <c r="BO41" s="502"/>
      <c r="BP41" s="502"/>
      <c r="BQ41" s="503"/>
      <c r="BR41" s="503"/>
      <c r="BS41" s="502"/>
      <c r="BT41" s="502"/>
      <c r="BU41" s="503"/>
      <c r="BV41" s="503"/>
      <c r="BW41" s="502"/>
      <c r="BX41" s="502"/>
      <c r="BY41" s="503"/>
      <c r="BZ41" s="503"/>
      <c r="CA41" s="502"/>
      <c r="CB41" s="502"/>
      <c r="CC41" s="503"/>
      <c r="CD41" s="503"/>
      <c r="CE41" s="502"/>
      <c r="CF41" s="502"/>
      <c r="CG41" s="503"/>
      <c r="CH41" s="503"/>
      <c r="CI41" s="502"/>
      <c r="CJ41" s="502"/>
      <c r="CK41" s="503"/>
      <c r="CL41" s="503"/>
      <c r="CM41" s="502"/>
      <c r="CN41" s="502"/>
      <c r="CO41" s="503"/>
      <c r="CP41" s="503"/>
      <c r="CQ41" s="502"/>
      <c r="CR41" s="502"/>
      <c r="CS41" s="503"/>
      <c r="CT41" s="503"/>
      <c r="CU41" s="502"/>
      <c r="CV41" s="502"/>
      <c r="CW41" s="503"/>
      <c r="CX41" s="503"/>
      <c r="CY41" s="502"/>
      <c r="CZ41" s="502"/>
      <c r="DA41" s="503"/>
      <c r="DB41" s="503"/>
      <c r="DC41" s="502"/>
      <c r="DD41" s="502"/>
      <c r="DE41" s="503"/>
      <c r="DF41" s="503"/>
      <c r="DG41" s="503"/>
      <c r="DH41" s="503"/>
      <c r="DI41" s="503"/>
      <c r="DJ41" s="503"/>
      <c r="DK41" s="503"/>
      <c r="DL41" s="503"/>
      <c r="DM41" s="503"/>
      <c r="DN41" s="503"/>
      <c r="DO41" s="503"/>
      <c r="DP41" s="503"/>
      <c r="DQ41" s="503"/>
      <c r="DR41" s="503"/>
      <c r="DS41" s="503"/>
      <c r="DT41" s="503"/>
      <c r="DU41" s="503"/>
      <c r="DV41" s="503"/>
      <c r="DW41" s="503"/>
      <c r="DX41" s="503"/>
      <c r="DY41" s="503"/>
      <c r="DZ41" s="503"/>
      <c r="EA41" s="503"/>
      <c r="EB41" s="503"/>
      <c r="EC41" s="504" t="s">
        <v>621</v>
      </c>
      <c r="ED41" s="1126"/>
      <c r="EE41" s="325">
        <v>9</v>
      </c>
      <c r="EG41" s="552"/>
      <c r="EH41" s="552"/>
      <c r="EI41" s="552"/>
      <c r="EJ41" s="552"/>
      <c r="EK41" s="552"/>
      <c r="EL41" s="552"/>
      <c r="EM41" s="552"/>
      <c r="EN41" s="552"/>
      <c r="EO41" s="552"/>
      <c r="EP41" s="552"/>
      <c r="EQ41" s="346"/>
      <c r="ER41" s="346"/>
      <c r="ES41" s="346"/>
      <c r="ET41" s="346"/>
      <c r="EU41" s="346"/>
      <c r="EV41" s="346"/>
      <c r="EW41" s="346"/>
      <c r="EX41" s="346"/>
      <c r="EY41" s="346"/>
      <c r="EZ41" s="346"/>
      <c r="FA41" s="346"/>
      <c r="FB41" s="346"/>
      <c r="FC41" s="346"/>
      <c r="FD41" s="346"/>
      <c r="FE41" s="346"/>
      <c r="FF41" s="346"/>
      <c r="FG41" s="346"/>
      <c r="FH41" s="346"/>
      <c r="FI41" s="346"/>
      <c r="FJ41" s="346"/>
      <c r="FK41" s="346"/>
      <c r="FL41" s="346"/>
    </row>
    <row r="42" spans="2:168" ht="14">
      <c r="B42" s="567" t="e">
        <f>(ii!$D$13*12+V42)</f>
        <v>#REF!</v>
      </c>
      <c r="C42" s="337">
        <f t="shared" si="8"/>
        <v>43404</v>
      </c>
      <c r="D42" s="484">
        <f t="shared" si="0"/>
        <v>2018</v>
      </c>
      <c r="E42" s="484">
        <f t="shared" si="1"/>
        <v>0.83333333333333337</v>
      </c>
      <c r="F42" s="484">
        <f t="shared" si="2"/>
        <v>2018.8333333333333</v>
      </c>
      <c r="G42" s="485" t="s">
        <v>621</v>
      </c>
      <c r="H42" s="486" t="str">
        <f t="shared" si="13"/>
        <v/>
      </c>
      <c r="I42" s="486" t="str">
        <f t="shared" si="20"/>
        <v/>
      </c>
      <c r="J42" s="487"/>
      <c r="K42" s="488"/>
      <c r="L42" s="548"/>
      <c r="M42" s="489" t="str">
        <f t="shared" si="12"/>
        <v/>
      </c>
      <c r="N42" s="490" t="s">
        <v>621</v>
      </c>
      <c r="O42" s="490" t="str">
        <f t="shared" si="5"/>
        <v/>
      </c>
      <c r="P42" s="491"/>
      <c r="Q42" s="491"/>
      <c r="R42" s="491" t="str">
        <f t="shared" si="6"/>
        <v/>
      </c>
      <c r="S42" s="528" t="str">
        <f t="shared" si="14"/>
        <v/>
      </c>
      <c r="T42" s="528"/>
      <c r="U42" s="493" t="str">
        <f>IF(H42="","",#REF!*12+#REF!+#REF!*12+#REF!)</f>
        <v/>
      </c>
      <c r="V42" s="338" t="e">
        <v>#REF!</v>
      </c>
      <c r="W42" s="339" t="e">
        <f t="shared" si="10"/>
        <v>#REF!</v>
      </c>
      <c r="X42" s="494" t="s">
        <v>621</v>
      </c>
      <c r="Y42" s="495" t="s">
        <v>621</v>
      </c>
      <c r="Z42" s="496"/>
      <c r="AA42" s="497"/>
      <c r="AB42" s="498" t="str">
        <f t="shared" si="19"/>
        <v/>
      </c>
      <c r="AC42" s="484" t="str">
        <f t="shared" si="15"/>
        <v/>
      </c>
      <c r="AD42" s="495" t="str">
        <f t="shared" si="16"/>
        <v/>
      </c>
      <c r="AE42" s="499" t="e">
        <v>#REF!</v>
      </c>
      <c r="AF42" s="500" t="s">
        <v>621</v>
      </c>
      <c r="AG42" s="516" t="s">
        <v>621</v>
      </c>
      <c r="AH42" s="516"/>
      <c r="AI42" s="503" t="s">
        <v>621</v>
      </c>
      <c r="AJ42" s="503"/>
      <c r="AK42" s="517" t="s">
        <v>621</v>
      </c>
      <c r="AL42" s="517"/>
      <c r="AM42" s="506" t="s">
        <v>621</v>
      </c>
      <c r="AN42" s="502" t="str">
        <f t="shared" si="17"/>
        <v/>
      </c>
      <c r="AO42" s="503"/>
      <c r="AP42" s="503"/>
      <c r="AQ42" s="502"/>
      <c r="AR42" s="502"/>
      <c r="AS42" s="503"/>
      <c r="AT42" s="503"/>
      <c r="AU42" s="502"/>
      <c r="AV42" s="502"/>
      <c r="AW42" s="503"/>
      <c r="AX42" s="503"/>
      <c r="AY42" s="502"/>
      <c r="AZ42" s="502"/>
      <c r="BA42" s="503"/>
      <c r="BB42" s="503"/>
      <c r="BC42" s="502"/>
      <c r="BD42" s="502"/>
      <c r="BE42" s="503"/>
      <c r="BF42" s="503"/>
      <c r="BG42" s="502"/>
      <c r="BH42" s="502"/>
      <c r="BI42" s="503"/>
      <c r="BJ42" s="503"/>
      <c r="BK42" s="502"/>
      <c r="BL42" s="502"/>
      <c r="BM42" s="503"/>
      <c r="BN42" s="503"/>
      <c r="BO42" s="502"/>
      <c r="BP42" s="502"/>
      <c r="BQ42" s="503"/>
      <c r="BR42" s="503"/>
      <c r="BS42" s="502"/>
      <c r="BT42" s="502"/>
      <c r="BU42" s="503"/>
      <c r="BV42" s="503"/>
      <c r="BW42" s="502"/>
      <c r="BX42" s="502"/>
      <c r="BY42" s="503"/>
      <c r="BZ42" s="503"/>
      <c r="CA42" s="502"/>
      <c r="CB42" s="502"/>
      <c r="CC42" s="503"/>
      <c r="CD42" s="503"/>
      <c r="CE42" s="502"/>
      <c r="CF42" s="502"/>
      <c r="CG42" s="503"/>
      <c r="CH42" s="503"/>
      <c r="CI42" s="502"/>
      <c r="CJ42" s="502"/>
      <c r="CK42" s="503"/>
      <c r="CL42" s="503"/>
      <c r="CM42" s="502"/>
      <c r="CN42" s="502"/>
      <c r="CO42" s="503"/>
      <c r="CP42" s="503"/>
      <c r="CQ42" s="502"/>
      <c r="CR42" s="502"/>
      <c r="CS42" s="503"/>
      <c r="CT42" s="503"/>
      <c r="CU42" s="502"/>
      <c r="CV42" s="502"/>
      <c r="CW42" s="503"/>
      <c r="CX42" s="503"/>
      <c r="CY42" s="502"/>
      <c r="CZ42" s="502"/>
      <c r="DA42" s="503"/>
      <c r="DB42" s="503"/>
      <c r="DC42" s="502"/>
      <c r="DD42" s="502"/>
      <c r="DE42" s="503"/>
      <c r="DF42" s="503"/>
      <c r="DG42" s="503"/>
      <c r="DH42" s="503"/>
      <c r="DI42" s="503"/>
      <c r="DJ42" s="503"/>
      <c r="DK42" s="503"/>
      <c r="DL42" s="503"/>
      <c r="DM42" s="503"/>
      <c r="DN42" s="503"/>
      <c r="DO42" s="503"/>
      <c r="DP42" s="503"/>
      <c r="DQ42" s="503"/>
      <c r="DR42" s="503"/>
      <c r="DS42" s="503"/>
      <c r="DT42" s="503"/>
      <c r="DU42" s="503"/>
      <c r="DV42" s="503"/>
      <c r="DW42" s="503"/>
      <c r="DX42" s="503"/>
      <c r="DY42" s="503"/>
      <c r="DZ42" s="503"/>
      <c r="EA42" s="503"/>
      <c r="EB42" s="503"/>
      <c r="EC42" s="504" t="s">
        <v>621</v>
      </c>
      <c r="ED42" s="1126"/>
      <c r="EE42" s="325">
        <v>10</v>
      </c>
      <c r="EG42" s="346"/>
      <c r="EH42" s="346"/>
      <c r="EI42" s="346"/>
      <c r="EJ42" s="346"/>
      <c r="EK42" s="346"/>
      <c r="EL42" s="346"/>
      <c r="EM42" s="346"/>
      <c r="EN42" s="346"/>
      <c r="EO42" s="346"/>
      <c r="EP42" s="346"/>
      <c r="EQ42" s="346"/>
      <c r="ER42" s="346"/>
      <c r="ES42" s="346"/>
      <c r="ET42" s="346"/>
      <c r="EU42" s="346"/>
      <c r="EV42" s="346"/>
      <c r="EW42" s="346"/>
      <c r="EX42" s="346"/>
      <c r="EY42" s="346"/>
      <c r="EZ42" s="346"/>
      <c r="FA42" s="346"/>
      <c r="FB42" s="346"/>
      <c r="FC42" s="346"/>
      <c r="FD42" s="346"/>
      <c r="FE42" s="346"/>
      <c r="FF42" s="346"/>
      <c r="FG42" s="346"/>
      <c r="FH42" s="346"/>
      <c r="FI42" s="346"/>
      <c r="FJ42" s="346"/>
      <c r="FK42" s="346"/>
      <c r="FL42" s="346"/>
    </row>
    <row r="43" spans="2:168" ht="10">
      <c r="B43" s="567" t="e">
        <f>(ii!$D$13*12+V43)</f>
        <v>#REF!</v>
      </c>
      <c r="C43" s="337">
        <f t="shared" si="8"/>
        <v>43434</v>
      </c>
      <c r="D43" s="484">
        <f t="shared" si="0"/>
        <v>2018</v>
      </c>
      <c r="E43" s="484">
        <f t="shared" si="1"/>
        <v>0.91666666666666663</v>
      </c>
      <c r="F43" s="484">
        <f t="shared" si="2"/>
        <v>2018.9166666666667</v>
      </c>
      <c r="G43" s="485" t="s">
        <v>621</v>
      </c>
      <c r="H43" s="486" t="str">
        <f t="shared" si="13"/>
        <v/>
      </c>
      <c r="I43" s="486" t="str">
        <f t="shared" si="20"/>
        <v/>
      </c>
      <c r="J43" s="487"/>
      <c r="K43" s="488"/>
      <c r="L43" s="548"/>
      <c r="M43" s="489" t="str">
        <f t="shared" si="12"/>
        <v/>
      </c>
      <c r="N43" s="490" t="s">
        <v>621</v>
      </c>
      <c r="O43" s="490" t="str">
        <f t="shared" si="5"/>
        <v/>
      </c>
      <c r="P43" s="491"/>
      <c r="Q43" s="491"/>
      <c r="R43" s="491" t="str">
        <f t="shared" si="6"/>
        <v/>
      </c>
      <c r="S43" s="528" t="str">
        <f t="shared" si="14"/>
        <v/>
      </c>
      <c r="T43" s="528"/>
      <c r="U43" s="493" t="str">
        <f>IF(H43="","",#REF!*12+#REF!+#REF!*12+#REF!)</f>
        <v/>
      </c>
      <c r="V43" s="338" t="e">
        <v>#REF!</v>
      </c>
      <c r="W43" s="339" t="e">
        <f t="shared" si="10"/>
        <v>#REF!</v>
      </c>
      <c r="X43" s="494" t="s">
        <v>621</v>
      </c>
      <c r="Y43" s="495" t="s">
        <v>621</v>
      </c>
      <c r="Z43" s="496"/>
      <c r="AA43" s="497"/>
      <c r="AB43" s="498" t="str">
        <f t="shared" si="19"/>
        <v/>
      </c>
      <c r="AC43" s="484" t="str">
        <f t="shared" si="15"/>
        <v/>
      </c>
      <c r="AD43" s="495" t="str">
        <f t="shared" si="16"/>
        <v/>
      </c>
      <c r="AE43" s="499" t="e">
        <v>#REF!</v>
      </c>
      <c r="AF43" s="500" t="s">
        <v>621</v>
      </c>
      <c r="AG43" s="516" t="s">
        <v>621</v>
      </c>
      <c r="AH43" s="516"/>
      <c r="AI43" s="503" t="s">
        <v>621</v>
      </c>
      <c r="AJ43" s="503"/>
      <c r="AK43" s="517" t="s">
        <v>621</v>
      </c>
      <c r="AL43" s="517"/>
      <c r="AM43" s="506" t="s">
        <v>621</v>
      </c>
      <c r="AN43" s="502" t="str">
        <f t="shared" si="17"/>
        <v/>
      </c>
      <c r="AO43" s="503"/>
      <c r="AP43" s="503"/>
      <c r="AQ43" s="502"/>
      <c r="AR43" s="502"/>
      <c r="AS43" s="503"/>
      <c r="AT43" s="503"/>
      <c r="AU43" s="502"/>
      <c r="AV43" s="502"/>
      <c r="AW43" s="503"/>
      <c r="AX43" s="503"/>
      <c r="AY43" s="502"/>
      <c r="AZ43" s="502"/>
      <c r="BA43" s="503"/>
      <c r="BB43" s="503"/>
      <c r="BC43" s="502"/>
      <c r="BD43" s="502"/>
      <c r="BE43" s="503"/>
      <c r="BF43" s="503"/>
      <c r="BG43" s="502"/>
      <c r="BH43" s="502"/>
      <c r="BI43" s="503"/>
      <c r="BJ43" s="503"/>
      <c r="BK43" s="502"/>
      <c r="BL43" s="502"/>
      <c r="BM43" s="503"/>
      <c r="BN43" s="503"/>
      <c r="BO43" s="502"/>
      <c r="BP43" s="502"/>
      <c r="BQ43" s="503"/>
      <c r="BR43" s="503"/>
      <c r="BS43" s="502"/>
      <c r="BT43" s="502"/>
      <c r="BU43" s="503"/>
      <c r="BV43" s="503"/>
      <c r="BW43" s="502"/>
      <c r="BX43" s="502"/>
      <c r="BY43" s="503"/>
      <c r="BZ43" s="503"/>
      <c r="CA43" s="502"/>
      <c r="CB43" s="502"/>
      <c r="CC43" s="503"/>
      <c r="CD43" s="503"/>
      <c r="CE43" s="502"/>
      <c r="CF43" s="502"/>
      <c r="CG43" s="503"/>
      <c r="CH43" s="503"/>
      <c r="CI43" s="502"/>
      <c r="CJ43" s="502"/>
      <c r="CK43" s="503"/>
      <c r="CL43" s="503"/>
      <c r="CM43" s="502"/>
      <c r="CN43" s="502"/>
      <c r="CO43" s="503"/>
      <c r="CP43" s="503"/>
      <c r="CQ43" s="502"/>
      <c r="CR43" s="502"/>
      <c r="CS43" s="503"/>
      <c r="CT43" s="503"/>
      <c r="CU43" s="502"/>
      <c r="CV43" s="502"/>
      <c r="CW43" s="503"/>
      <c r="CX43" s="503"/>
      <c r="CY43" s="502"/>
      <c r="CZ43" s="502"/>
      <c r="DA43" s="503"/>
      <c r="DB43" s="503"/>
      <c r="DC43" s="502"/>
      <c r="DD43" s="502"/>
      <c r="DE43" s="503"/>
      <c r="DF43" s="503"/>
      <c r="DG43" s="503"/>
      <c r="DH43" s="503"/>
      <c r="DI43" s="503"/>
      <c r="DJ43" s="503"/>
      <c r="DK43" s="503"/>
      <c r="DL43" s="503"/>
      <c r="DM43" s="503"/>
      <c r="DN43" s="503"/>
      <c r="DO43" s="503"/>
      <c r="DP43" s="503"/>
      <c r="DQ43" s="503"/>
      <c r="DR43" s="503"/>
      <c r="DS43" s="503"/>
      <c r="DT43" s="503"/>
      <c r="DU43" s="503"/>
      <c r="DV43" s="503"/>
      <c r="DW43" s="503"/>
      <c r="DX43" s="503"/>
      <c r="DY43" s="503"/>
      <c r="DZ43" s="503"/>
      <c r="EA43" s="503"/>
      <c r="EB43" s="503"/>
      <c r="EC43" s="504" t="s">
        <v>621</v>
      </c>
      <c r="ED43" s="1126"/>
      <c r="EE43" s="325">
        <v>11</v>
      </c>
      <c r="EG43" s="347"/>
      <c r="EH43" s="347"/>
      <c r="EI43" s="347"/>
      <c r="EJ43" s="347"/>
      <c r="EK43" s="347"/>
      <c r="EL43" s="347"/>
      <c r="EM43" s="347"/>
      <c r="EN43" s="347"/>
      <c r="EO43" s="347"/>
      <c r="EP43" s="347"/>
      <c r="EQ43" s="347"/>
      <c r="ER43" s="347"/>
      <c r="ES43" s="347"/>
      <c r="ET43" s="347"/>
      <c r="EU43" s="347"/>
      <c r="EV43" s="347"/>
      <c r="EW43" s="347"/>
      <c r="EX43" s="347"/>
      <c r="EY43" s="347"/>
      <c r="EZ43" s="347"/>
      <c r="FA43" s="347"/>
      <c r="FB43" s="347"/>
      <c r="FC43" s="347"/>
      <c r="FD43" s="347"/>
      <c r="FE43" s="347"/>
      <c r="FF43" s="347"/>
      <c r="FG43" s="347"/>
      <c r="FH43" s="347"/>
      <c r="FI43" s="347"/>
      <c r="FJ43" s="347"/>
      <c r="FK43" s="347"/>
      <c r="FL43" s="347"/>
    </row>
    <row r="44" spans="2:168" ht="10">
      <c r="B44" s="567" t="e">
        <f>(ii!$D$13*12+V44)</f>
        <v>#REF!</v>
      </c>
      <c r="C44" s="337">
        <f t="shared" si="8"/>
        <v>43465</v>
      </c>
      <c r="D44" s="484">
        <f t="shared" si="0"/>
        <v>2018</v>
      </c>
      <c r="E44" s="484">
        <f t="shared" si="1"/>
        <v>1</v>
      </c>
      <c r="F44" s="484">
        <f t="shared" si="2"/>
        <v>2019</v>
      </c>
      <c r="G44" s="485" t="s">
        <v>621</v>
      </c>
      <c r="H44" s="486" t="str">
        <f t="shared" si="13"/>
        <v/>
      </c>
      <c r="I44" s="486" t="str">
        <f t="shared" si="20"/>
        <v/>
      </c>
      <c r="J44" s="487"/>
      <c r="K44" s="488"/>
      <c r="L44" s="548"/>
      <c r="M44" s="489" t="str">
        <f t="shared" si="12"/>
        <v/>
      </c>
      <c r="N44" s="490" t="s">
        <v>621</v>
      </c>
      <c r="O44" s="490" t="str">
        <f t="shared" si="5"/>
        <v/>
      </c>
      <c r="P44" s="491"/>
      <c r="Q44" s="491"/>
      <c r="R44" s="491" t="str">
        <f t="shared" si="6"/>
        <v/>
      </c>
      <c r="S44" s="528" t="str">
        <f t="shared" si="14"/>
        <v/>
      </c>
      <c r="T44" s="528"/>
      <c r="U44" s="493" t="str">
        <f>IF(H44="","",#REF!*12+#REF!+#REF!*12+#REF!)</f>
        <v/>
      </c>
      <c r="V44" s="338" t="e">
        <v>#REF!</v>
      </c>
      <c r="W44" s="339" t="e">
        <f t="shared" si="10"/>
        <v>#REF!</v>
      </c>
      <c r="X44" s="494" t="s">
        <v>621</v>
      </c>
      <c r="Y44" s="495" t="s">
        <v>621</v>
      </c>
      <c r="Z44" s="496"/>
      <c r="AA44" s="497"/>
      <c r="AB44" s="498" t="str">
        <f t="shared" si="19"/>
        <v/>
      </c>
      <c r="AC44" s="484" t="str">
        <f t="shared" si="15"/>
        <v/>
      </c>
      <c r="AD44" s="495" t="str">
        <f t="shared" si="16"/>
        <v/>
      </c>
      <c r="AE44" s="499" t="e">
        <v>#REF!</v>
      </c>
      <c r="AF44" s="500" t="s">
        <v>621</v>
      </c>
      <c r="AG44" s="516" t="s">
        <v>621</v>
      </c>
      <c r="AH44" s="516"/>
      <c r="AI44" s="503" t="s">
        <v>621</v>
      </c>
      <c r="AJ44" s="503"/>
      <c r="AK44" s="517" t="s">
        <v>621</v>
      </c>
      <c r="AL44" s="517"/>
      <c r="AM44" s="506" t="s">
        <v>621</v>
      </c>
      <c r="AN44" s="502" t="str">
        <f t="shared" si="17"/>
        <v/>
      </c>
      <c r="AO44" s="503"/>
      <c r="AP44" s="503"/>
      <c r="AQ44" s="502"/>
      <c r="AR44" s="502"/>
      <c r="AS44" s="503"/>
      <c r="AT44" s="503"/>
      <c r="AU44" s="502"/>
      <c r="AV44" s="502"/>
      <c r="AW44" s="503"/>
      <c r="AX44" s="503"/>
      <c r="AY44" s="502"/>
      <c r="AZ44" s="502"/>
      <c r="BA44" s="503"/>
      <c r="BB44" s="503"/>
      <c r="BC44" s="502"/>
      <c r="BD44" s="502"/>
      <c r="BE44" s="503"/>
      <c r="BF44" s="503"/>
      <c r="BG44" s="502"/>
      <c r="BH44" s="502"/>
      <c r="BI44" s="503"/>
      <c r="BJ44" s="503"/>
      <c r="BK44" s="502"/>
      <c r="BL44" s="502"/>
      <c r="BM44" s="503"/>
      <c r="BN44" s="503"/>
      <c r="BO44" s="502"/>
      <c r="BP44" s="502"/>
      <c r="BQ44" s="503"/>
      <c r="BR44" s="503"/>
      <c r="BS44" s="502"/>
      <c r="BT44" s="502"/>
      <c r="BU44" s="503"/>
      <c r="BV44" s="503"/>
      <c r="BW44" s="502"/>
      <c r="BX44" s="502"/>
      <c r="BY44" s="503"/>
      <c r="BZ44" s="503"/>
      <c r="CA44" s="502"/>
      <c r="CB44" s="502"/>
      <c r="CC44" s="503"/>
      <c r="CD44" s="503"/>
      <c r="CE44" s="502"/>
      <c r="CF44" s="502"/>
      <c r="CG44" s="503"/>
      <c r="CH44" s="503"/>
      <c r="CI44" s="502"/>
      <c r="CJ44" s="502"/>
      <c r="CK44" s="503"/>
      <c r="CL44" s="503"/>
      <c r="CM44" s="502"/>
      <c r="CN44" s="502"/>
      <c r="CO44" s="503"/>
      <c r="CP44" s="503"/>
      <c r="CQ44" s="502"/>
      <c r="CR44" s="502"/>
      <c r="CS44" s="503"/>
      <c r="CT44" s="503"/>
      <c r="CU44" s="502"/>
      <c r="CV44" s="502"/>
      <c r="CW44" s="503"/>
      <c r="CX44" s="503"/>
      <c r="CY44" s="502"/>
      <c r="CZ44" s="502"/>
      <c r="DA44" s="503"/>
      <c r="DB44" s="503"/>
      <c r="DC44" s="502"/>
      <c r="DD44" s="502"/>
      <c r="DE44" s="503"/>
      <c r="DF44" s="503"/>
      <c r="DG44" s="503"/>
      <c r="DH44" s="503"/>
      <c r="DI44" s="503"/>
      <c r="DJ44" s="503"/>
      <c r="DK44" s="503"/>
      <c r="DL44" s="503"/>
      <c r="DM44" s="503"/>
      <c r="DN44" s="503"/>
      <c r="DO44" s="503"/>
      <c r="DP44" s="503"/>
      <c r="DQ44" s="503"/>
      <c r="DR44" s="503"/>
      <c r="DS44" s="503"/>
      <c r="DT44" s="503"/>
      <c r="DU44" s="503"/>
      <c r="DV44" s="503"/>
      <c r="DW44" s="503"/>
      <c r="DX44" s="503"/>
      <c r="DY44" s="503"/>
      <c r="DZ44" s="503"/>
      <c r="EA44" s="503"/>
      <c r="EB44" s="503"/>
      <c r="EC44" s="504" t="s">
        <v>621</v>
      </c>
      <c r="ED44" s="1126"/>
      <c r="EE44" s="325">
        <v>12</v>
      </c>
      <c r="EG44" s="348"/>
      <c r="EH44" s="348"/>
      <c r="EI44" s="348"/>
      <c r="EJ44" s="348"/>
      <c r="EK44" s="348"/>
      <c r="EL44" s="348"/>
      <c r="EM44" s="348"/>
      <c r="EN44" s="348"/>
      <c r="EO44" s="348"/>
      <c r="EP44" s="348"/>
      <c r="EQ44" s="348"/>
      <c r="ER44" s="348"/>
      <c r="ES44" s="348"/>
      <c r="ET44" s="348"/>
      <c r="EU44" s="348"/>
      <c r="EV44" s="348"/>
      <c r="EW44" s="348"/>
      <c r="EX44" s="348"/>
      <c r="EY44" s="348"/>
      <c r="EZ44" s="348"/>
      <c r="FA44" s="348"/>
      <c r="FB44" s="348"/>
      <c r="FC44" s="348"/>
      <c r="FD44" s="348"/>
      <c r="FE44" s="348"/>
      <c r="FF44" s="348"/>
      <c r="FG44" s="348"/>
      <c r="FH44" s="348"/>
      <c r="FI44" s="348"/>
      <c r="FJ44" s="348"/>
      <c r="FK44" s="348"/>
      <c r="FL44" s="348"/>
    </row>
    <row r="45" spans="2:168" ht="10">
      <c r="B45" s="567" t="e">
        <f>(ii!$D$13*12+V45)</f>
        <v>#REF!</v>
      </c>
      <c r="C45" s="345">
        <f t="shared" si="8"/>
        <v>43496</v>
      </c>
      <c r="D45" s="340">
        <f t="shared" si="0"/>
        <v>2019</v>
      </c>
      <c r="E45" s="340">
        <f t="shared" si="1"/>
        <v>8.3333333333333329E-2</v>
      </c>
      <c r="F45" s="340">
        <f t="shared" si="2"/>
        <v>2019.0833333333333</v>
      </c>
      <c r="G45" s="531" t="s">
        <v>621</v>
      </c>
      <c r="H45" s="532" t="str">
        <f t="shared" si="13"/>
        <v/>
      </c>
      <c r="I45" s="532" t="str">
        <f t="shared" si="20"/>
        <v/>
      </c>
      <c r="J45" s="533"/>
      <c r="K45" s="553"/>
      <c r="L45" s="534"/>
      <c r="M45" s="535" t="str">
        <f t="shared" si="12"/>
        <v/>
      </c>
      <c r="N45" s="536" t="s">
        <v>621</v>
      </c>
      <c r="O45" s="536" t="str">
        <f t="shared" si="5"/>
        <v/>
      </c>
      <c r="P45" s="537"/>
      <c r="Q45" s="537"/>
      <c r="R45" s="533" t="str">
        <f t="shared" si="6"/>
        <v/>
      </c>
      <c r="S45" s="538" t="str">
        <f t="shared" si="14"/>
        <v/>
      </c>
      <c r="T45" s="538"/>
      <c r="U45" s="539" t="str">
        <f>IF(H45="","",#REF!*12+#REF!+#REF!*12+#REF!)</f>
        <v/>
      </c>
      <c r="V45" s="338" t="e">
        <v>#REF!</v>
      </c>
      <c r="W45" s="339" t="e">
        <f t="shared" si="10"/>
        <v>#REF!</v>
      </c>
      <c r="X45" s="540" t="s">
        <v>621</v>
      </c>
      <c r="Y45" s="538" t="s">
        <v>621</v>
      </c>
      <c r="Z45" s="541">
        <f>Z26</f>
        <v>0.03</v>
      </c>
      <c r="AA45" s="542" t="str">
        <f>IF(Y45="","",(Y45-Y44)/Y44)</f>
        <v/>
      </c>
      <c r="AB45" s="543" t="str">
        <f t="shared" si="19"/>
        <v/>
      </c>
      <c r="AC45" s="544" t="str">
        <f t="shared" si="15"/>
        <v/>
      </c>
      <c r="AD45" s="534" t="str">
        <f t="shared" si="16"/>
        <v/>
      </c>
      <c r="AE45" s="554" t="s">
        <v>621</v>
      </c>
      <c r="AF45" s="500" t="s">
        <v>621</v>
      </c>
      <c r="AG45" s="546" t="s">
        <v>621</v>
      </c>
      <c r="AH45" s="546"/>
      <c r="AI45" s="547" t="s">
        <v>621</v>
      </c>
      <c r="AJ45" s="547"/>
      <c r="AK45" s="547" t="s">
        <v>621</v>
      </c>
      <c r="AL45" s="547"/>
      <c r="AM45" s="533" t="e">
        <v>#REF!</v>
      </c>
      <c r="AN45" s="533" t="str">
        <f t="shared" si="17"/>
        <v/>
      </c>
      <c r="AO45" s="547"/>
      <c r="AP45" s="547"/>
      <c r="AQ45" s="547"/>
      <c r="AR45" s="547"/>
      <c r="AS45" s="547"/>
      <c r="AT45" s="547"/>
      <c r="AU45" s="547"/>
      <c r="AV45" s="547"/>
      <c r="AW45" s="547"/>
      <c r="AX45" s="547"/>
      <c r="AY45" s="547"/>
      <c r="AZ45" s="547"/>
      <c r="BA45" s="547"/>
      <c r="BB45" s="547"/>
      <c r="BC45" s="547"/>
      <c r="BD45" s="547"/>
      <c r="BE45" s="547"/>
      <c r="BF45" s="547"/>
      <c r="BG45" s="547"/>
      <c r="BH45" s="547"/>
      <c r="BI45" s="547"/>
      <c r="BJ45" s="547"/>
      <c r="BK45" s="547"/>
      <c r="BL45" s="547"/>
      <c r="BM45" s="547"/>
      <c r="BN45" s="547"/>
      <c r="BO45" s="547"/>
      <c r="BP45" s="547"/>
      <c r="BQ45" s="547"/>
      <c r="BR45" s="547"/>
      <c r="BS45" s="547"/>
      <c r="BT45" s="547"/>
      <c r="BU45" s="547"/>
      <c r="BV45" s="547"/>
      <c r="BW45" s="547"/>
      <c r="BX45" s="547"/>
      <c r="BY45" s="547"/>
      <c r="BZ45" s="547"/>
      <c r="CA45" s="547"/>
      <c r="CB45" s="547"/>
      <c r="CC45" s="547"/>
      <c r="CD45" s="547"/>
      <c r="CE45" s="547"/>
      <c r="CF45" s="547"/>
      <c r="CG45" s="547"/>
      <c r="CH45" s="547"/>
      <c r="CI45" s="547"/>
      <c r="CJ45" s="547"/>
      <c r="CK45" s="547"/>
      <c r="CL45" s="547"/>
      <c r="CM45" s="547"/>
      <c r="CN45" s="547"/>
      <c r="CO45" s="547"/>
      <c r="CP45" s="547"/>
      <c r="CQ45" s="547"/>
      <c r="CR45" s="547"/>
      <c r="CS45" s="547"/>
      <c r="CT45" s="547"/>
      <c r="CU45" s="547"/>
      <c r="CV45" s="547"/>
      <c r="CW45" s="547"/>
      <c r="CX45" s="547"/>
      <c r="CY45" s="547"/>
      <c r="CZ45" s="547"/>
      <c r="DA45" s="547"/>
      <c r="DB45" s="547"/>
      <c r="DC45" s="547"/>
      <c r="DD45" s="547"/>
      <c r="DE45" s="547"/>
      <c r="DF45" s="547"/>
      <c r="DG45" s="547"/>
      <c r="DH45" s="547"/>
      <c r="DI45" s="547"/>
      <c r="DJ45" s="547"/>
      <c r="DK45" s="547"/>
      <c r="DL45" s="547"/>
      <c r="DM45" s="547"/>
      <c r="DN45" s="547"/>
      <c r="DO45" s="547"/>
      <c r="DP45" s="547"/>
      <c r="DQ45" s="547"/>
      <c r="DR45" s="547"/>
      <c r="DS45" s="547"/>
      <c r="DT45" s="547"/>
      <c r="DU45" s="547"/>
      <c r="DV45" s="547"/>
      <c r="DW45" s="547"/>
      <c r="DX45" s="547"/>
      <c r="DY45" s="547"/>
      <c r="DZ45" s="547"/>
      <c r="EA45" s="547"/>
      <c r="EB45" s="547"/>
      <c r="EC45" s="547" t="s">
        <v>621</v>
      </c>
      <c r="ED45" s="1126">
        <f>SUM(EC45:EC56)</f>
        <v>0</v>
      </c>
      <c r="EE45" s="325">
        <v>1</v>
      </c>
      <c r="EG45" s="347"/>
      <c r="EH45" s="347"/>
      <c r="EI45" s="347"/>
      <c r="EJ45" s="347"/>
      <c r="EK45" s="347"/>
      <c r="EL45" s="347"/>
      <c r="EM45" s="347"/>
      <c r="EN45" s="347"/>
      <c r="EO45" s="347"/>
      <c r="EP45" s="347"/>
      <c r="EQ45" s="347"/>
      <c r="ER45" s="347"/>
      <c r="ES45" s="347"/>
      <c r="ET45" s="347"/>
      <c r="EU45" s="347"/>
      <c r="EV45" s="347"/>
      <c r="EW45" s="347"/>
      <c r="EX45" s="347"/>
      <c r="EY45" s="347"/>
      <c r="EZ45" s="347"/>
      <c r="FA45" s="347"/>
      <c r="FB45" s="347"/>
      <c r="FC45" s="347"/>
      <c r="FD45" s="347"/>
      <c r="FE45" s="347"/>
      <c r="FF45" s="347"/>
      <c r="FG45" s="347"/>
      <c r="FH45" s="347"/>
      <c r="FI45" s="347"/>
      <c r="FJ45" s="347"/>
      <c r="FK45" s="347"/>
      <c r="FL45" s="347"/>
    </row>
    <row r="46" spans="2:168" ht="10">
      <c r="B46" s="567" t="e">
        <f>(ii!$D$13*12+V46)</f>
        <v>#REF!</v>
      </c>
      <c r="C46" s="337">
        <f t="shared" si="8"/>
        <v>43524</v>
      </c>
      <c r="D46" s="484">
        <f t="shared" si="0"/>
        <v>2019</v>
      </c>
      <c r="E46" s="484">
        <f t="shared" si="1"/>
        <v>0.16666666666666666</v>
      </c>
      <c r="F46" s="484">
        <f t="shared" si="2"/>
        <v>2019.1666666666667</v>
      </c>
      <c r="G46" s="485" t="s">
        <v>621</v>
      </c>
      <c r="H46" s="486" t="str">
        <f t="shared" si="13"/>
        <v/>
      </c>
      <c r="I46" s="486" t="str">
        <f t="shared" si="20"/>
        <v/>
      </c>
      <c r="J46" s="487"/>
      <c r="K46" s="488"/>
      <c r="L46" s="548"/>
      <c r="M46" s="489" t="str">
        <f t="shared" si="12"/>
        <v/>
      </c>
      <c r="N46" s="490" t="s">
        <v>621</v>
      </c>
      <c r="O46" s="490" t="str">
        <f t="shared" si="5"/>
        <v/>
      </c>
      <c r="P46" s="491"/>
      <c r="Q46" s="491"/>
      <c r="R46" s="491" t="str">
        <f t="shared" si="6"/>
        <v/>
      </c>
      <c r="S46" s="528" t="str">
        <f t="shared" si="14"/>
        <v/>
      </c>
      <c r="T46" s="528"/>
      <c r="U46" s="493" t="str">
        <f>IF(H46="","",#REF!*12+#REF!+#REF!*12+#REF!)</f>
        <v/>
      </c>
      <c r="V46" s="338" t="e">
        <v>#REF!</v>
      </c>
      <c r="W46" s="339" t="e">
        <f t="shared" si="10"/>
        <v>#REF!</v>
      </c>
      <c r="X46" s="494" t="s">
        <v>621</v>
      </c>
      <c r="Y46" s="495" t="s">
        <v>621</v>
      </c>
      <c r="Z46" s="496"/>
      <c r="AA46" s="497"/>
      <c r="AB46" s="498" t="str">
        <f t="shared" si="19"/>
        <v/>
      </c>
      <c r="AC46" s="484" t="str">
        <f t="shared" si="15"/>
        <v/>
      </c>
      <c r="AD46" s="495" t="str">
        <f t="shared" si="16"/>
        <v/>
      </c>
      <c r="AE46" s="499" t="s">
        <v>621</v>
      </c>
      <c r="AF46" s="500" t="s">
        <v>621</v>
      </c>
      <c r="AG46" s="516" t="s">
        <v>621</v>
      </c>
      <c r="AH46" s="516"/>
      <c r="AI46" s="503" t="s">
        <v>621</v>
      </c>
      <c r="AJ46" s="503"/>
      <c r="AK46" s="503" t="s">
        <v>621</v>
      </c>
      <c r="AL46" s="503"/>
      <c r="AM46" s="517" t="e">
        <v>#REF!</v>
      </c>
      <c r="AN46" s="555" t="str">
        <f t="shared" si="17"/>
        <v/>
      </c>
      <c r="AO46" s="503"/>
      <c r="AP46" s="503"/>
      <c r="AQ46" s="502"/>
      <c r="AR46" s="502"/>
      <c r="AS46" s="503"/>
      <c r="AT46" s="503"/>
      <c r="AU46" s="502"/>
      <c r="AV46" s="502"/>
      <c r="AW46" s="503"/>
      <c r="AX46" s="503"/>
      <c r="AY46" s="502"/>
      <c r="AZ46" s="502"/>
      <c r="BA46" s="503"/>
      <c r="BB46" s="503"/>
      <c r="BC46" s="502"/>
      <c r="BD46" s="502"/>
      <c r="BE46" s="503"/>
      <c r="BF46" s="503"/>
      <c r="BG46" s="502"/>
      <c r="BH46" s="502"/>
      <c r="BI46" s="503"/>
      <c r="BJ46" s="503"/>
      <c r="BK46" s="502"/>
      <c r="BL46" s="502"/>
      <c r="BM46" s="503"/>
      <c r="BN46" s="503"/>
      <c r="BO46" s="502"/>
      <c r="BP46" s="502"/>
      <c r="BQ46" s="503"/>
      <c r="BR46" s="503"/>
      <c r="BS46" s="502"/>
      <c r="BT46" s="502"/>
      <c r="BU46" s="503"/>
      <c r="BV46" s="503"/>
      <c r="BW46" s="502"/>
      <c r="BX46" s="502"/>
      <c r="BY46" s="503"/>
      <c r="BZ46" s="503"/>
      <c r="CA46" s="502"/>
      <c r="CB46" s="502"/>
      <c r="CC46" s="503"/>
      <c r="CD46" s="503"/>
      <c r="CE46" s="502"/>
      <c r="CF46" s="502"/>
      <c r="CG46" s="503"/>
      <c r="CH46" s="503"/>
      <c r="CI46" s="502"/>
      <c r="CJ46" s="502"/>
      <c r="CK46" s="503"/>
      <c r="CL46" s="503"/>
      <c r="CM46" s="502"/>
      <c r="CN46" s="502"/>
      <c r="CO46" s="503"/>
      <c r="CP46" s="503"/>
      <c r="CQ46" s="502"/>
      <c r="CR46" s="502"/>
      <c r="CS46" s="503"/>
      <c r="CT46" s="503"/>
      <c r="CU46" s="502"/>
      <c r="CV46" s="502"/>
      <c r="CW46" s="503"/>
      <c r="CX46" s="503"/>
      <c r="CY46" s="502"/>
      <c r="CZ46" s="502"/>
      <c r="DA46" s="503"/>
      <c r="DB46" s="503"/>
      <c r="DC46" s="502"/>
      <c r="DD46" s="502"/>
      <c r="DE46" s="503"/>
      <c r="DF46" s="503"/>
      <c r="DG46" s="503"/>
      <c r="DH46" s="503"/>
      <c r="DI46" s="503"/>
      <c r="DJ46" s="503"/>
      <c r="DK46" s="503"/>
      <c r="DL46" s="503"/>
      <c r="DM46" s="503"/>
      <c r="DN46" s="503"/>
      <c r="DO46" s="503"/>
      <c r="DP46" s="503"/>
      <c r="DQ46" s="503"/>
      <c r="DR46" s="503"/>
      <c r="DS46" s="503"/>
      <c r="DT46" s="503"/>
      <c r="DU46" s="503"/>
      <c r="DV46" s="503"/>
      <c r="DW46" s="503"/>
      <c r="DX46" s="503"/>
      <c r="DY46" s="503"/>
      <c r="DZ46" s="503"/>
      <c r="EA46" s="503"/>
      <c r="EB46" s="503"/>
      <c r="EC46" s="504" t="s">
        <v>621</v>
      </c>
      <c r="ED46" s="1126"/>
      <c r="EE46" s="325">
        <v>2</v>
      </c>
      <c r="EG46" s="347"/>
      <c r="EH46" s="347"/>
      <c r="EI46" s="347"/>
      <c r="EJ46" s="347"/>
      <c r="EK46" s="347"/>
      <c r="EL46" s="347"/>
      <c r="EM46" s="347"/>
      <c r="EN46" s="347"/>
      <c r="EO46" s="347"/>
      <c r="EP46" s="347"/>
      <c r="EQ46" s="347"/>
      <c r="ER46" s="347"/>
      <c r="ES46" s="347"/>
      <c r="ET46" s="347"/>
      <c r="EU46" s="347"/>
      <c r="EV46" s="347"/>
      <c r="EW46" s="347"/>
      <c r="EX46" s="347"/>
      <c r="EY46" s="347"/>
      <c r="EZ46" s="347"/>
      <c r="FA46" s="347"/>
      <c r="FB46" s="347"/>
      <c r="FC46" s="347"/>
      <c r="FD46" s="347"/>
      <c r="FE46" s="347"/>
      <c r="FF46" s="347"/>
      <c r="FG46" s="347"/>
      <c r="FH46" s="347"/>
      <c r="FI46" s="347"/>
      <c r="FJ46" s="347"/>
      <c r="FK46" s="347"/>
      <c r="FL46" s="347"/>
    </row>
    <row r="47" spans="2:168" ht="10">
      <c r="B47" s="567" t="e">
        <f>(ii!$D$13*12+V47)</f>
        <v>#REF!</v>
      </c>
      <c r="C47" s="337">
        <f t="shared" si="8"/>
        <v>43555</v>
      </c>
      <c r="D47" s="484">
        <f t="shared" si="0"/>
        <v>2019</v>
      </c>
      <c r="E47" s="484">
        <f t="shared" si="1"/>
        <v>0.25</v>
      </c>
      <c r="F47" s="484">
        <f t="shared" si="2"/>
        <v>2019.25</v>
      </c>
      <c r="G47" s="485" t="s">
        <v>621</v>
      </c>
      <c r="H47" s="486" t="str">
        <f t="shared" si="13"/>
        <v/>
      </c>
      <c r="I47" s="486" t="str">
        <f t="shared" si="20"/>
        <v/>
      </c>
      <c r="J47" s="487"/>
      <c r="K47" s="488"/>
      <c r="L47" s="548"/>
      <c r="M47" s="489" t="str">
        <f t="shared" si="12"/>
        <v/>
      </c>
      <c r="N47" s="490" t="s">
        <v>621</v>
      </c>
      <c r="O47" s="490" t="str">
        <f t="shared" si="5"/>
        <v/>
      </c>
      <c r="P47" s="491"/>
      <c r="Q47" s="491"/>
      <c r="R47" s="491" t="str">
        <f t="shared" si="6"/>
        <v/>
      </c>
      <c r="S47" s="528" t="str">
        <f t="shared" si="14"/>
        <v/>
      </c>
      <c r="T47" s="528"/>
      <c r="U47" s="493" t="str">
        <f>IF(H47="","",#REF!*12+#REF!+#REF!*12+#REF!)</f>
        <v/>
      </c>
      <c r="V47" s="338" t="e">
        <v>#REF!</v>
      </c>
      <c r="W47" s="339" t="e">
        <f t="shared" si="10"/>
        <v>#REF!</v>
      </c>
      <c r="X47" s="494" t="s">
        <v>621</v>
      </c>
      <c r="Y47" s="495" t="s">
        <v>621</v>
      </c>
      <c r="Z47" s="496"/>
      <c r="AA47" s="497"/>
      <c r="AB47" s="498" t="str">
        <f t="shared" si="19"/>
        <v/>
      </c>
      <c r="AC47" s="484" t="str">
        <f t="shared" si="15"/>
        <v/>
      </c>
      <c r="AD47" s="495" t="str">
        <f t="shared" si="16"/>
        <v/>
      </c>
      <c r="AE47" s="499" t="s">
        <v>621</v>
      </c>
      <c r="AF47" s="500" t="s">
        <v>621</v>
      </c>
      <c r="AG47" s="556" t="s">
        <v>621</v>
      </c>
      <c r="AH47" s="555"/>
      <c r="AI47" s="506" t="s">
        <v>621</v>
      </c>
      <c r="AJ47" s="555"/>
      <c r="AK47" s="506" t="s">
        <v>621</v>
      </c>
      <c r="AL47" s="555"/>
      <c r="AM47" s="517" t="e">
        <v>#REF!</v>
      </c>
      <c r="AN47" s="555" t="str">
        <f t="shared" si="17"/>
        <v/>
      </c>
      <c r="AO47" s="503"/>
      <c r="AP47" s="503"/>
      <c r="AQ47" s="502"/>
      <c r="AR47" s="502"/>
      <c r="AS47" s="503"/>
      <c r="AT47" s="503"/>
      <c r="AU47" s="502"/>
      <c r="AV47" s="502"/>
      <c r="AW47" s="503"/>
      <c r="AX47" s="503"/>
      <c r="AY47" s="502"/>
      <c r="AZ47" s="502"/>
      <c r="BA47" s="503"/>
      <c r="BB47" s="503"/>
      <c r="BC47" s="502"/>
      <c r="BD47" s="502"/>
      <c r="BE47" s="503"/>
      <c r="BF47" s="503"/>
      <c r="BG47" s="502"/>
      <c r="BH47" s="502"/>
      <c r="BI47" s="503"/>
      <c r="BJ47" s="503"/>
      <c r="BK47" s="502"/>
      <c r="BL47" s="502"/>
      <c r="BM47" s="503"/>
      <c r="BN47" s="503"/>
      <c r="BO47" s="502"/>
      <c r="BP47" s="502"/>
      <c r="BQ47" s="503"/>
      <c r="BR47" s="503"/>
      <c r="BS47" s="502"/>
      <c r="BT47" s="502"/>
      <c r="BU47" s="503"/>
      <c r="BV47" s="503"/>
      <c r="BW47" s="502"/>
      <c r="BX47" s="502"/>
      <c r="BY47" s="503"/>
      <c r="BZ47" s="503"/>
      <c r="CA47" s="502"/>
      <c r="CB47" s="502"/>
      <c r="CC47" s="503"/>
      <c r="CD47" s="503"/>
      <c r="CE47" s="502"/>
      <c r="CF47" s="502"/>
      <c r="CG47" s="503"/>
      <c r="CH47" s="503"/>
      <c r="CI47" s="502"/>
      <c r="CJ47" s="502"/>
      <c r="CK47" s="503"/>
      <c r="CL47" s="503"/>
      <c r="CM47" s="502"/>
      <c r="CN47" s="502"/>
      <c r="CO47" s="503"/>
      <c r="CP47" s="503"/>
      <c r="CQ47" s="502"/>
      <c r="CR47" s="502"/>
      <c r="CS47" s="503"/>
      <c r="CT47" s="503"/>
      <c r="CU47" s="502"/>
      <c r="CV47" s="502"/>
      <c r="CW47" s="503"/>
      <c r="CX47" s="503"/>
      <c r="CY47" s="502"/>
      <c r="CZ47" s="502"/>
      <c r="DA47" s="503"/>
      <c r="DB47" s="503"/>
      <c r="DC47" s="502"/>
      <c r="DD47" s="502"/>
      <c r="DE47" s="503"/>
      <c r="DF47" s="503"/>
      <c r="DG47" s="503"/>
      <c r="DH47" s="503"/>
      <c r="DI47" s="503"/>
      <c r="DJ47" s="503"/>
      <c r="DK47" s="503"/>
      <c r="DL47" s="503"/>
      <c r="DM47" s="503"/>
      <c r="DN47" s="503"/>
      <c r="DO47" s="503"/>
      <c r="DP47" s="503"/>
      <c r="DQ47" s="503"/>
      <c r="DR47" s="503"/>
      <c r="DS47" s="503"/>
      <c r="DT47" s="503"/>
      <c r="DU47" s="503"/>
      <c r="DV47" s="503"/>
      <c r="DW47" s="503"/>
      <c r="DX47" s="503"/>
      <c r="DY47" s="503"/>
      <c r="DZ47" s="503"/>
      <c r="EA47" s="503"/>
      <c r="EB47" s="503"/>
      <c r="EC47" s="504" t="s">
        <v>621</v>
      </c>
      <c r="ED47" s="1126"/>
      <c r="EE47" s="325">
        <v>3</v>
      </c>
      <c r="EG47" s="347"/>
      <c r="EH47" s="347"/>
      <c r="EI47" s="347"/>
      <c r="EJ47" s="347"/>
      <c r="EK47" s="347"/>
      <c r="EL47" s="347"/>
      <c r="EM47" s="347"/>
      <c r="EN47" s="347"/>
      <c r="EO47" s="347"/>
      <c r="EP47" s="347"/>
      <c r="EQ47" s="347"/>
      <c r="ER47" s="347"/>
      <c r="ES47" s="347"/>
      <c r="ET47" s="347"/>
      <c r="EU47" s="347"/>
      <c r="EV47" s="347"/>
      <c r="EW47" s="347"/>
      <c r="EX47" s="347"/>
      <c r="EY47" s="347"/>
      <c r="EZ47" s="347"/>
      <c r="FA47" s="347"/>
      <c r="FB47" s="347"/>
      <c r="FC47" s="347"/>
      <c r="FD47" s="347"/>
      <c r="FE47" s="347"/>
      <c r="FF47" s="347"/>
      <c r="FG47" s="347"/>
      <c r="FH47" s="347"/>
      <c r="FI47" s="347"/>
      <c r="FJ47" s="347"/>
      <c r="FK47" s="347"/>
      <c r="FL47" s="347"/>
    </row>
    <row r="48" spans="2:168" ht="10">
      <c r="B48" s="567" t="e">
        <f>(ii!$D$13*12+V48)</f>
        <v>#REF!</v>
      </c>
      <c r="C48" s="337">
        <f t="shared" si="8"/>
        <v>43585</v>
      </c>
      <c r="D48" s="484">
        <f t="shared" si="0"/>
        <v>2019</v>
      </c>
      <c r="E48" s="484">
        <f t="shared" si="1"/>
        <v>0.33333333333333331</v>
      </c>
      <c r="F48" s="484">
        <f t="shared" si="2"/>
        <v>2019.3333333333333</v>
      </c>
      <c r="G48" s="485" t="s">
        <v>621</v>
      </c>
      <c r="H48" s="486" t="str">
        <f t="shared" si="13"/>
        <v/>
      </c>
      <c r="I48" s="486" t="str">
        <f t="shared" si="20"/>
        <v/>
      </c>
      <c r="J48" s="487"/>
      <c r="K48" s="488"/>
      <c r="L48" s="548"/>
      <c r="M48" s="489" t="str">
        <f t="shared" si="12"/>
        <v/>
      </c>
      <c r="N48" s="490" t="s">
        <v>621</v>
      </c>
      <c r="O48" s="490" t="str">
        <f t="shared" si="5"/>
        <v/>
      </c>
      <c r="P48" s="491"/>
      <c r="Q48" s="491"/>
      <c r="R48" s="491" t="str">
        <f t="shared" si="6"/>
        <v/>
      </c>
      <c r="S48" s="528" t="str">
        <f t="shared" si="14"/>
        <v/>
      </c>
      <c r="T48" s="528"/>
      <c r="U48" s="493" t="str">
        <f>IF(H48="","",#REF!*12+#REF!+#REF!*12+#REF!)</f>
        <v/>
      </c>
      <c r="V48" s="338" t="e">
        <v>#REF!</v>
      </c>
      <c r="W48" s="339" t="e">
        <f t="shared" si="10"/>
        <v>#REF!</v>
      </c>
      <c r="X48" s="494" t="s">
        <v>621</v>
      </c>
      <c r="Y48" s="495" t="s">
        <v>621</v>
      </c>
      <c r="Z48" s="496"/>
      <c r="AA48" s="497"/>
      <c r="AB48" s="498" t="str">
        <f t="shared" si="19"/>
        <v/>
      </c>
      <c r="AC48" s="484" t="str">
        <f t="shared" si="15"/>
        <v/>
      </c>
      <c r="AD48" s="495" t="str">
        <f t="shared" si="16"/>
        <v/>
      </c>
      <c r="AE48" s="499" t="s">
        <v>621</v>
      </c>
      <c r="AF48" s="500" t="s">
        <v>621</v>
      </c>
      <c r="AG48" s="556" t="s">
        <v>621</v>
      </c>
      <c r="AH48" s="555"/>
      <c r="AI48" s="506" t="s">
        <v>621</v>
      </c>
      <c r="AJ48" s="555"/>
      <c r="AK48" s="506" t="s">
        <v>621</v>
      </c>
      <c r="AL48" s="555"/>
      <c r="AM48" s="517" t="e">
        <v>#REF!</v>
      </c>
      <c r="AN48" s="555" t="str">
        <f t="shared" si="17"/>
        <v/>
      </c>
      <c r="AO48" s="503"/>
      <c r="AP48" s="503"/>
      <c r="AQ48" s="502"/>
      <c r="AR48" s="502"/>
      <c r="AS48" s="503"/>
      <c r="AT48" s="503"/>
      <c r="AU48" s="502"/>
      <c r="AV48" s="502"/>
      <c r="AW48" s="503"/>
      <c r="AX48" s="503"/>
      <c r="AY48" s="502"/>
      <c r="AZ48" s="502"/>
      <c r="BA48" s="503"/>
      <c r="BB48" s="503"/>
      <c r="BC48" s="502"/>
      <c r="BD48" s="502"/>
      <c r="BE48" s="503"/>
      <c r="BF48" s="503"/>
      <c r="BG48" s="502"/>
      <c r="BH48" s="502"/>
      <c r="BI48" s="503"/>
      <c r="BJ48" s="503"/>
      <c r="BK48" s="502"/>
      <c r="BL48" s="502"/>
      <c r="BM48" s="503"/>
      <c r="BN48" s="503"/>
      <c r="BO48" s="502"/>
      <c r="BP48" s="502"/>
      <c r="BQ48" s="503"/>
      <c r="BR48" s="503"/>
      <c r="BS48" s="502"/>
      <c r="BT48" s="502"/>
      <c r="BU48" s="503"/>
      <c r="BV48" s="503"/>
      <c r="BW48" s="502"/>
      <c r="BX48" s="502"/>
      <c r="BY48" s="503"/>
      <c r="BZ48" s="503"/>
      <c r="CA48" s="502"/>
      <c r="CB48" s="502"/>
      <c r="CC48" s="503"/>
      <c r="CD48" s="503"/>
      <c r="CE48" s="502"/>
      <c r="CF48" s="502"/>
      <c r="CG48" s="503"/>
      <c r="CH48" s="503"/>
      <c r="CI48" s="502"/>
      <c r="CJ48" s="502"/>
      <c r="CK48" s="503"/>
      <c r="CL48" s="503"/>
      <c r="CM48" s="502"/>
      <c r="CN48" s="502"/>
      <c r="CO48" s="503"/>
      <c r="CP48" s="503"/>
      <c r="CQ48" s="502"/>
      <c r="CR48" s="502"/>
      <c r="CS48" s="503"/>
      <c r="CT48" s="503"/>
      <c r="CU48" s="502"/>
      <c r="CV48" s="502"/>
      <c r="CW48" s="503"/>
      <c r="CX48" s="503"/>
      <c r="CY48" s="502"/>
      <c r="CZ48" s="502"/>
      <c r="DA48" s="503"/>
      <c r="DB48" s="503"/>
      <c r="DC48" s="502"/>
      <c r="DD48" s="502"/>
      <c r="DE48" s="503"/>
      <c r="DF48" s="503"/>
      <c r="DG48" s="503"/>
      <c r="DH48" s="503"/>
      <c r="DI48" s="503"/>
      <c r="DJ48" s="503"/>
      <c r="DK48" s="503"/>
      <c r="DL48" s="503"/>
      <c r="DM48" s="503"/>
      <c r="DN48" s="503"/>
      <c r="DO48" s="503"/>
      <c r="DP48" s="503"/>
      <c r="DQ48" s="503"/>
      <c r="DR48" s="503"/>
      <c r="DS48" s="503"/>
      <c r="DT48" s="503"/>
      <c r="DU48" s="503"/>
      <c r="DV48" s="503"/>
      <c r="DW48" s="503"/>
      <c r="DX48" s="503"/>
      <c r="DY48" s="503"/>
      <c r="DZ48" s="503"/>
      <c r="EA48" s="503"/>
      <c r="EB48" s="503"/>
      <c r="EC48" s="504" t="s">
        <v>621</v>
      </c>
      <c r="ED48" s="1126"/>
      <c r="EE48" s="325">
        <v>4</v>
      </c>
      <c r="EG48" s="347"/>
      <c r="EH48" s="347"/>
      <c r="EI48" s="347"/>
      <c r="EJ48" s="347"/>
      <c r="EK48" s="347"/>
      <c r="EL48" s="347"/>
      <c r="EM48" s="347"/>
      <c r="EN48" s="347"/>
      <c r="EO48" s="347"/>
      <c r="EP48" s="347"/>
      <c r="EQ48" s="347"/>
      <c r="ER48" s="347"/>
      <c r="ES48" s="347"/>
      <c r="ET48" s="347"/>
      <c r="EU48" s="347"/>
      <c r="EV48" s="347"/>
      <c r="EW48" s="347"/>
      <c r="EX48" s="347"/>
      <c r="EY48" s="347"/>
      <c r="EZ48" s="347"/>
      <c r="FA48" s="347"/>
      <c r="FB48" s="347"/>
      <c r="FC48" s="347"/>
      <c r="FD48" s="347"/>
      <c r="FE48" s="347"/>
      <c r="FF48" s="347"/>
      <c r="FG48" s="347"/>
      <c r="FH48" s="347"/>
      <c r="FI48" s="347"/>
      <c r="FJ48" s="347"/>
      <c r="FK48" s="347"/>
      <c r="FL48" s="347"/>
    </row>
    <row r="49" spans="1:168" ht="10">
      <c r="B49" s="567" t="e">
        <f>(ii!$D$13*12+V49)</f>
        <v>#REF!</v>
      </c>
      <c r="C49" s="337">
        <f t="shared" si="8"/>
        <v>43616</v>
      </c>
      <c r="D49" s="484">
        <f t="shared" si="0"/>
        <v>2019</v>
      </c>
      <c r="E49" s="484">
        <f t="shared" si="1"/>
        <v>0.41666666666666669</v>
      </c>
      <c r="F49" s="484">
        <f t="shared" si="2"/>
        <v>2019.4166666666667</v>
      </c>
      <c r="G49" s="485" t="s">
        <v>621</v>
      </c>
      <c r="H49" s="486" t="str">
        <f t="shared" si="13"/>
        <v/>
      </c>
      <c r="I49" s="486" t="str">
        <f t="shared" si="20"/>
        <v/>
      </c>
      <c r="J49" s="487"/>
      <c r="K49" s="488"/>
      <c r="L49" s="548"/>
      <c r="M49" s="520" t="str">
        <f t="shared" si="12"/>
        <v/>
      </c>
      <c r="N49" s="490" t="s">
        <v>621</v>
      </c>
      <c r="O49" s="490" t="str">
        <f t="shared" si="5"/>
        <v/>
      </c>
      <c r="P49" s="509"/>
      <c r="Q49" s="509"/>
      <c r="R49" s="509" t="str">
        <f t="shared" si="6"/>
        <v/>
      </c>
      <c r="S49" s="550" t="str">
        <f t="shared" si="14"/>
        <v/>
      </c>
      <c r="T49" s="550"/>
      <c r="U49" s="521" t="str">
        <f>IF(H49="","",#REF!*12+#REF!+#REF!*12+#REF!)</f>
        <v/>
      </c>
      <c r="V49" s="338" t="e">
        <v>#REF!</v>
      </c>
      <c r="W49" s="339" t="e">
        <f t="shared" si="10"/>
        <v>#REF!</v>
      </c>
      <c r="X49" s="494" t="s">
        <v>621</v>
      </c>
      <c r="Y49" s="495" t="s">
        <v>621</v>
      </c>
      <c r="Z49" s="496"/>
      <c r="AA49" s="497"/>
      <c r="AB49" s="523" t="str">
        <f t="shared" si="19"/>
        <v/>
      </c>
      <c r="AC49" s="551" t="str">
        <f t="shared" si="15"/>
        <v/>
      </c>
      <c r="AD49" s="524" t="str">
        <f t="shared" si="16"/>
        <v/>
      </c>
      <c r="AE49" s="525" t="s">
        <v>621</v>
      </c>
      <c r="AF49" s="500" t="s">
        <v>621</v>
      </c>
      <c r="AG49" s="556" t="s">
        <v>621</v>
      </c>
      <c r="AH49" s="555"/>
      <c r="AI49" s="506" t="s">
        <v>621</v>
      </c>
      <c r="AJ49" s="555"/>
      <c r="AK49" s="506" t="s">
        <v>621</v>
      </c>
      <c r="AL49" s="555"/>
      <c r="AM49" s="517" t="e">
        <v>#REF!</v>
      </c>
      <c r="AN49" s="503" t="str">
        <f t="shared" si="17"/>
        <v/>
      </c>
      <c r="AO49" s="503"/>
      <c r="AP49" s="503"/>
      <c r="AQ49" s="502"/>
      <c r="AR49" s="502"/>
      <c r="AS49" s="503"/>
      <c r="AT49" s="503"/>
      <c r="AU49" s="502"/>
      <c r="AV49" s="502"/>
      <c r="AW49" s="503"/>
      <c r="AX49" s="503"/>
      <c r="AY49" s="502"/>
      <c r="AZ49" s="502"/>
      <c r="BA49" s="503"/>
      <c r="BB49" s="503"/>
      <c r="BC49" s="502"/>
      <c r="BD49" s="502"/>
      <c r="BE49" s="503"/>
      <c r="BF49" s="503"/>
      <c r="BG49" s="502"/>
      <c r="BH49" s="502"/>
      <c r="BI49" s="503"/>
      <c r="BJ49" s="503"/>
      <c r="BK49" s="502"/>
      <c r="BL49" s="502"/>
      <c r="BM49" s="503"/>
      <c r="BN49" s="503"/>
      <c r="BO49" s="502"/>
      <c r="BP49" s="502"/>
      <c r="BQ49" s="503"/>
      <c r="BR49" s="503"/>
      <c r="BS49" s="502"/>
      <c r="BT49" s="502"/>
      <c r="BU49" s="503"/>
      <c r="BV49" s="503"/>
      <c r="BW49" s="502"/>
      <c r="BX49" s="502"/>
      <c r="BY49" s="503"/>
      <c r="BZ49" s="503"/>
      <c r="CA49" s="502"/>
      <c r="CB49" s="502"/>
      <c r="CC49" s="503"/>
      <c r="CD49" s="503"/>
      <c r="CE49" s="502"/>
      <c r="CF49" s="502"/>
      <c r="CG49" s="503"/>
      <c r="CH49" s="503"/>
      <c r="CI49" s="502"/>
      <c r="CJ49" s="502"/>
      <c r="CK49" s="503"/>
      <c r="CL49" s="503"/>
      <c r="CM49" s="502"/>
      <c r="CN49" s="502"/>
      <c r="CO49" s="503"/>
      <c r="CP49" s="503"/>
      <c r="CQ49" s="502"/>
      <c r="CR49" s="502"/>
      <c r="CS49" s="503"/>
      <c r="CT49" s="503"/>
      <c r="CU49" s="502"/>
      <c r="CV49" s="502"/>
      <c r="CW49" s="503"/>
      <c r="CX49" s="503"/>
      <c r="CY49" s="502"/>
      <c r="CZ49" s="502"/>
      <c r="DA49" s="503"/>
      <c r="DB49" s="503"/>
      <c r="DC49" s="502"/>
      <c r="DD49" s="502"/>
      <c r="DE49" s="503"/>
      <c r="DF49" s="503"/>
      <c r="DG49" s="503"/>
      <c r="DH49" s="503"/>
      <c r="DI49" s="503"/>
      <c r="DJ49" s="503"/>
      <c r="DK49" s="503"/>
      <c r="DL49" s="503"/>
      <c r="DM49" s="503"/>
      <c r="DN49" s="503"/>
      <c r="DO49" s="503"/>
      <c r="DP49" s="503"/>
      <c r="DQ49" s="503"/>
      <c r="DR49" s="503"/>
      <c r="DS49" s="503"/>
      <c r="DT49" s="503"/>
      <c r="DU49" s="503"/>
      <c r="DV49" s="503"/>
      <c r="DW49" s="503"/>
      <c r="DX49" s="503"/>
      <c r="DY49" s="503"/>
      <c r="DZ49" s="503"/>
      <c r="EA49" s="503"/>
      <c r="EB49" s="503"/>
      <c r="EC49" s="504" t="s">
        <v>621</v>
      </c>
      <c r="ED49" s="1126"/>
      <c r="EE49" s="325">
        <v>5</v>
      </c>
      <c r="EG49" s="347"/>
      <c r="EH49" s="347"/>
      <c r="EI49" s="347"/>
      <c r="EJ49" s="347"/>
      <c r="EK49" s="347"/>
      <c r="EL49" s="347"/>
      <c r="EM49" s="347"/>
      <c r="EN49" s="347"/>
      <c r="EO49" s="347"/>
      <c r="EP49" s="347"/>
      <c r="EQ49" s="347"/>
      <c r="ER49" s="347"/>
      <c r="ES49" s="347"/>
      <c r="ET49" s="347"/>
      <c r="EU49" s="347"/>
      <c r="EV49" s="347"/>
      <c r="EW49" s="347"/>
      <c r="EX49" s="347"/>
      <c r="EY49" s="347"/>
      <c r="EZ49" s="347"/>
      <c r="FA49" s="347"/>
      <c r="FB49" s="347"/>
      <c r="FC49" s="347"/>
      <c r="FD49" s="347"/>
      <c r="FE49" s="347"/>
      <c r="FF49" s="347"/>
      <c r="FG49" s="347"/>
      <c r="FH49" s="347"/>
      <c r="FI49" s="347"/>
      <c r="FJ49" s="347"/>
      <c r="FK49" s="347"/>
      <c r="FL49" s="347"/>
    </row>
    <row r="50" spans="1:168" ht="10">
      <c r="B50" s="567" t="e">
        <f>(ii!$D$13*12+V50)</f>
        <v>#REF!</v>
      </c>
      <c r="C50" s="337">
        <f t="shared" si="8"/>
        <v>43646</v>
      </c>
      <c r="D50" s="484">
        <f t="shared" si="0"/>
        <v>2019</v>
      </c>
      <c r="E50" s="484">
        <f t="shared" si="1"/>
        <v>0.5</v>
      </c>
      <c r="F50" s="484">
        <f t="shared" si="2"/>
        <v>2019.5</v>
      </c>
      <c r="G50" s="485" t="s">
        <v>621</v>
      </c>
      <c r="H50" s="486" t="str">
        <f t="shared" si="13"/>
        <v/>
      </c>
      <c r="I50" s="486" t="str">
        <f t="shared" si="20"/>
        <v/>
      </c>
      <c r="J50" s="487"/>
      <c r="K50" s="488"/>
      <c r="L50" s="548"/>
      <c r="M50" s="489" t="str">
        <f t="shared" si="12"/>
        <v/>
      </c>
      <c r="N50" s="490" t="s">
        <v>621</v>
      </c>
      <c r="O50" s="490" t="str">
        <f t="shared" si="5"/>
        <v/>
      </c>
      <c r="P50" s="491"/>
      <c r="Q50" s="491"/>
      <c r="R50" s="491" t="str">
        <f t="shared" si="6"/>
        <v/>
      </c>
      <c r="S50" s="528" t="str">
        <f t="shared" si="14"/>
        <v/>
      </c>
      <c r="T50" s="528"/>
      <c r="U50" s="493" t="str">
        <f>IF(H50="","",#REF!*12+#REF!+#REF!*12+#REF!)</f>
        <v/>
      </c>
      <c r="V50" s="338" t="e">
        <v>#REF!</v>
      </c>
      <c r="W50" s="339" t="e">
        <f t="shared" si="10"/>
        <v>#REF!</v>
      </c>
      <c r="X50" s="494" t="s">
        <v>621</v>
      </c>
      <c r="Y50" s="495" t="s">
        <v>621</v>
      </c>
      <c r="Z50" s="496"/>
      <c r="AA50" s="497"/>
      <c r="AB50" s="498" t="str">
        <f t="shared" si="19"/>
        <v/>
      </c>
      <c r="AC50" s="484" t="str">
        <f t="shared" si="15"/>
        <v/>
      </c>
      <c r="AD50" s="495" t="str">
        <f t="shared" si="16"/>
        <v/>
      </c>
      <c r="AE50" s="499" t="s">
        <v>621</v>
      </c>
      <c r="AF50" s="500" t="s">
        <v>621</v>
      </c>
      <c r="AG50" s="556" t="s">
        <v>621</v>
      </c>
      <c r="AH50" s="555"/>
      <c r="AI50" s="506" t="s">
        <v>621</v>
      </c>
      <c r="AJ50" s="555"/>
      <c r="AK50" s="506" t="s">
        <v>621</v>
      </c>
      <c r="AL50" s="555"/>
      <c r="AM50" s="517" t="e">
        <v>#REF!</v>
      </c>
      <c r="AN50" s="503" t="str">
        <f t="shared" si="17"/>
        <v/>
      </c>
      <c r="AO50" s="503"/>
      <c r="AP50" s="503"/>
      <c r="AQ50" s="502"/>
      <c r="AR50" s="502"/>
      <c r="AS50" s="503"/>
      <c r="AT50" s="503"/>
      <c r="AU50" s="502"/>
      <c r="AV50" s="502"/>
      <c r="AW50" s="503"/>
      <c r="AX50" s="503"/>
      <c r="AY50" s="502"/>
      <c r="AZ50" s="502"/>
      <c r="BA50" s="503"/>
      <c r="BB50" s="503"/>
      <c r="BC50" s="502"/>
      <c r="BD50" s="502"/>
      <c r="BE50" s="503"/>
      <c r="BF50" s="503"/>
      <c r="BG50" s="502"/>
      <c r="BH50" s="502"/>
      <c r="BI50" s="503"/>
      <c r="BJ50" s="503"/>
      <c r="BK50" s="502"/>
      <c r="BL50" s="502"/>
      <c r="BM50" s="503"/>
      <c r="BN50" s="503"/>
      <c r="BO50" s="502"/>
      <c r="BP50" s="502"/>
      <c r="BQ50" s="503"/>
      <c r="BR50" s="503"/>
      <c r="BS50" s="502"/>
      <c r="BT50" s="502"/>
      <c r="BU50" s="503"/>
      <c r="BV50" s="503"/>
      <c r="BW50" s="502"/>
      <c r="BX50" s="502"/>
      <c r="BY50" s="503"/>
      <c r="BZ50" s="503"/>
      <c r="CA50" s="502"/>
      <c r="CB50" s="502"/>
      <c r="CC50" s="503"/>
      <c r="CD50" s="503"/>
      <c r="CE50" s="502"/>
      <c r="CF50" s="502"/>
      <c r="CG50" s="503"/>
      <c r="CH50" s="503"/>
      <c r="CI50" s="502"/>
      <c r="CJ50" s="502"/>
      <c r="CK50" s="503"/>
      <c r="CL50" s="503"/>
      <c r="CM50" s="502"/>
      <c r="CN50" s="502"/>
      <c r="CO50" s="503"/>
      <c r="CP50" s="503"/>
      <c r="CQ50" s="502"/>
      <c r="CR50" s="502"/>
      <c r="CS50" s="503"/>
      <c r="CT50" s="503"/>
      <c r="CU50" s="502"/>
      <c r="CV50" s="502"/>
      <c r="CW50" s="503"/>
      <c r="CX50" s="503"/>
      <c r="CY50" s="502"/>
      <c r="CZ50" s="502"/>
      <c r="DA50" s="503"/>
      <c r="DB50" s="503"/>
      <c r="DC50" s="502"/>
      <c r="DD50" s="502"/>
      <c r="DE50" s="503"/>
      <c r="DF50" s="503"/>
      <c r="DG50" s="503"/>
      <c r="DH50" s="503"/>
      <c r="DI50" s="503"/>
      <c r="DJ50" s="503"/>
      <c r="DK50" s="503"/>
      <c r="DL50" s="503"/>
      <c r="DM50" s="503"/>
      <c r="DN50" s="503"/>
      <c r="DO50" s="503"/>
      <c r="DP50" s="503"/>
      <c r="DQ50" s="503"/>
      <c r="DR50" s="503"/>
      <c r="DS50" s="503"/>
      <c r="DT50" s="503"/>
      <c r="DU50" s="503"/>
      <c r="DV50" s="503"/>
      <c r="DW50" s="503"/>
      <c r="DX50" s="503"/>
      <c r="DY50" s="503"/>
      <c r="DZ50" s="503"/>
      <c r="EA50" s="503"/>
      <c r="EB50" s="503"/>
      <c r="EC50" s="504" t="s">
        <v>621</v>
      </c>
      <c r="ED50" s="1126"/>
      <c r="EE50" s="325">
        <v>6</v>
      </c>
      <c r="EG50" s="347"/>
      <c r="EH50" s="347"/>
      <c r="EI50" s="347"/>
      <c r="EJ50" s="347"/>
      <c r="EK50" s="347"/>
      <c r="EL50" s="347"/>
      <c r="EM50" s="347"/>
      <c r="EN50" s="347"/>
      <c r="EO50" s="347"/>
      <c r="EP50" s="347"/>
      <c r="EQ50" s="347"/>
      <c r="ER50" s="347"/>
      <c r="ES50" s="347"/>
      <c r="ET50" s="347"/>
      <c r="EU50" s="347"/>
      <c r="EV50" s="347"/>
      <c r="EW50" s="347"/>
      <c r="EX50" s="347"/>
      <c r="EY50" s="347"/>
      <c r="EZ50" s="347"/>
      <c r="FA50" s="347"/>
      <c r="FB50" s="347"/>
      <c r="FC50" s="347"/>
      <c r="FD50" s="347"/>
      <c r="FE50" s="347"/>
      <c r="FF50" s="347"/>
      <c r="FG50" s="347"/>
      <c r="FH50" s="347"/>
      <c r="FI50" s="347"/>
      <c r="FJ50" s="347"/>
      <c r="FK50" s="347"/>
      <c r="FL50" s="347"/>
    </row>
    <row r="51" spans="1:168" ht="10">
      <c r="B51" s="567" t="e">
        <f>(ii!$D$13*12+V51)</f>
        <v>#REF!</v>
      </c>
      <c r="C51" s="337">
        <f t="shared" si="8"/>
        <v>43677</v>
      </c>
      <c r="D51" s="484">
        <f t="shared" si="0"/>
        <v>2019</v>
      </c>
      <c r="E51" s="484">
        <f t="shared" si="1"/>
        <v>0.58333333333333337</v>
      </c>
      <c r="F51" s="484">
        <f t="shared" si="2"/>
        <v>2019.5833333333333</v>
      </c>
      <c r="G51" s="485" t="s">
        <v>621</v>
      </c>
      <c r="H51" s="486" t="str">
        <f t="shared" si="13"/>
        <v/>
      </c>
      <c r="I51" s="486" t="str">
        <f t="shared" si="20"/>
        <v/>
      </c>
      <c r="J51" s="487"/>
      <c r="K51" s="488"/>
      <c r="L51" s="548"/>
      <c r="M51" s="489" t="str">
        <f t="shared" si="12"/>
        <v/>
      </c>
      <c r="N51" s="490" t="s">
        <v>621</v>
      </c>
      <c r="O51" s="490" t="str">
        <f t="shared" si="5"/>
        <v/>
      </c>
      <c r="P51" s="491"/>
      <c r="Q51" s="491"/>
      <c r="R51" s="491" t="str">
        <f t="shared" si="6"/>
        <v/>
      </c>
      <c r="S51" s="528" t="str">
        <f t="shared" si="14"/>
        <v/>
      </c>
      <c r="T51" s="528"/>
      <c r="U51" s="493" t="str">
        <f>IF(H51="","",#REF!*12+#REF!+#REF!*12+#REF!)</f>
        <v/>
      </c>
      <c r="V51" s="338" t="e">
        <v>#REF!</v>
      </c>
      <c r="W51" s="339" t="e">
        <f t="shared" si="10"/>
        <v>#REF!</v>
      </c>
      <c r="X51" s="494" t="s">
        <v>621</v>
      </c>
      <c r="Y51" s="495" t="s">
        <v>621</v>
      </c>
      <c r="Z51" s="496"/>
      <c r="AA51" s="497"/>
      <c r="AB51" s="498" t="str">
        <f t="shared" si="19"/>
        <v/>
      </c>
      <c r="AC51" s="484" t="str">
        <f t="shared" si="15"/>
        <v/>
      </c>
      <c r="AD51" s="495" t="str">
        <f t="shared" si="16"/>
        <v/>
      </c>
      <c r="AE51" s="499" t="s">
        <v>621</v>
      </c>
      <c r="AF51" s="500" t="s">
        <v>621</v>
      </c>
      <c r="AG51" s="556" t="s">
        <v>621</v>
      </c>
      <c r="AH51" s="555"/>
      <c r="AI51" s="506" t="s">
        <v>621</v>
      </c>
      <c r="AJ51" s="555"/>
      <c r="AK51" s="506" t="s">
        <v>621</v>
      </c>
      <c r="AL51" s="555"/>
      <c r="AM51" s="517" t="e">
        <v>#REF!</v>
      </c>
      <c r="AN51" s="503" t="str">
        <f t="shared" si="17"/>
        <v/>
      </c>
      <c r="AO51" s="503"/>
      <c r="AP51" s="503"/>
      <c r="AQ51" s="502"/>
      <c r="AR51" s="502"/>
      <c r="AS51" s="503"/>
      <c r="AT51" s="503"/>
      <c r="AU51" s="502"/>
      <c r="AV51" s="502"/>
      <c r="AW51" s="503"/>
      <c r="AX51" s="503"/>
      <c r="AY51" s="502"/>
      <c r="AZ51" s="502"/>
      <c r="BA51" s="503"/>
      <c r="BB51" s="503"/>
      <c r="BC51" s="502"/>
      <c r="BD51" s="502"/>
      <c r="BE51" s="503"/>
      <c r="BF51" s="503"/>
      <c r="BG51" s="502"/>
      <c r="BH51" s="502"/>
      <c r="BI51" s="503"/>
      <c r="BJ51" s="503"/>
      <c r="BK51" s="502"/>
      <c r="BL51" s="502"/>
      <c r="BM51" s="503"/>
      <c r="BN51" s="503"/>
      <c r="BO51" s="502"/>
      <c r="BP51" s="502"/>
      <c r="BQ51" s="503"/>
      <c r="BR51" s="503"/>
      <c r="BS51" s="502"/>
      <c r="BT51" s="502"/>
      <c r="BU51" s="503"/>
      <c r="BV51" s="503"/>
      <c r="BW51" s="502"/>
      <c r="BX51" s="502"/>
      <c r="BY51" s="503"/>
      <c r="BZ51" s="503"/>
      <c r="CA51" s="502"/>
      <c r="CB51" s="502"/>
      <c r="CC51" s="503"/>
      <c r="CD51" s="503"/>
      <c r="CE51" s="502"/>
      <c r="CF51" s="502"/>
      <c r="CG51" s="503"/>
      <c r="CH51" s="503"/>
      <c r="CI51" s="502"/>
      <c r="CJ51" s="502"/>
      <c r="CK51" s="503"/>
      <c r="CL51" s="503"/>
      <c r="CM51" s="502"/>
      <c r="CN51" s="502"/>
      <c r="CO51" s="503"/>
      <c r="CP51" s="503"/>
      <c r="CQ51" s="502"/>
      <c r="CR51" s="502"/>
      <c r="CS51" s="503"/>
      <c r="CT51" s="503"/>
      <c r="CU51" s="502"/>
      <c r="CV51" s="502"/>
      <c r="CW51" s="503"/>
      <c r="CX51" s="503"/>
      <c r="CY51" s="502"/>
      <c r="CZ51" s="502"/>
      <c r="DA51" s="503"/>
      <c r="DB51" s="503"/>
      <c r="DC51" s="502"/>
      <c r="DD51" s="502"/>
      <c r="DE51" s="503"/>
      <c r="DF51" s="503"/>
      <c r="DG51" s="503"/>
      <c r="DH51" s="503"/>
      <c r="DI51" s="503"/>
      <c r="DJ51" s="503"/>
      <c r="DK51" s="503"/>
      <c r="DL51" s="503"/>
      <c r="DM51" s="503"/>
      <c r="DN51" s="503"/>
      <c r="DO51" s="503"/>
      <c r="DP51" s="503"/>
      <c r="DQ51" s="503"/>
      <c r="DR51" s="503"/>
      <c r="DS51" s="503"/>
      <c r="DT51" s="503"/>
      <c r="DU51" s="503"/>
      <c r="DV51" s="503"/>
      <c r="DW51" s="503"/>
      <c r="DX51" s="503"/>
      <c r="DY51" s="503"/>
      <c r="DZ51" s="503"/>
      <c r="EA51" s="503"/>
      <c r="EB51" s="503"/>
      <c r="EC51" s="504" t="s">
        <v>621</v>
      </c>
      <c r="ED51" s="1126"/>
      <c r="EE51" s="325">
        <v>7</v>
      </c>
      <c r="EG51" s="347"/>
      <c r="EH51" s="347"/>
      <c r="EI51" s="347"/>
      <c r="EJ51" s="347"/>
      <c r="EK51" s="347"/>
      <c r="EL51" s="347"/>
      <c r="EM51" s="347"/>
      <c r="EN51" s="347"/>
      <c r="EO51" s="347"/>
      <c r="EP51" s="347"/>
      <c r="EQ51" s="347"/>
      <c r="ER51" s="347"/>
      <c r="ES51" s="347"/>
      <c r="ET51" s="347"/>
      <c r="EU51" s="347"/>
      <c r="EV51" s="347"/>
      <c r="EW51" s="347"/>
      <c r="EX51" s="347"/>
      <c r="EY51" s="347"/>
      <c r="EZ51" s="347"/>
      <c r="FA51" s="347"/>
      <c r="FB51" s="347"/>
      <c r="FC51" s="347"/>
      <c r="FD51" s="347"/>
      <c r="FE51" s="347"/>
      <c r="FF51" s="347"/>
      <c r="FG51" s="347"/>
      <c r="FH51" s="347"/>
      <c r="FI51" s="347"/>
      <c r="FJ51" s="347"/>
      <c r="FK51" s="347"/>
      <c r="FL51" s="347"/>
    </row>
    <row r="52" spans="1:168" ht="10">
      <c r="B52" s="567" t="e">
        <f>(ii!$D$13*12+V52)</f>
        <v>#REF!</v>
      </c>
      <c r="C52" s="337">
        <f t="shared" si="8"/>
        <v>43708</v>
      </c>
      <c r="D52" s="484">
        <f t="shared" si="0"/>
        <v>2019</v>
      </c>
      <c r="E52" s="484">
        <f t="shared" si="1"/>
        <v>0.66666666666666663</v>
      </c>
      <c r="F52" s="484">
        <f t="shared" si="2"/>
        <v>2019.6666666666667</v>
      </c>
      <c r="G52" s="485" t="s">
        <v>621</v>
      </c>
      <c r="H52" s="486" t="str">
        <f t="shared" si="13"/>
        <v/>
      </c>
      <c r="I52" s="486" t="str">
        <f t="shared" si="20"/>
        <v/>
      </c>
      <c r="J52" s="487"/>
      <c r="K52" s="488"/>
      <c r="L52" s="548"/>
      <c r="M52" s="489" t="str">
        <f t="shared" si="12"/>
        <v/>
      </c>
      <c r="N52" s="490" t="s">
        <v>621</v>
      </c>
      <c r="O52" s="490" t="str">
        <f t="shared" si="5"/>
        <v/>
      </c>
      <c r="P52" s="491"/>
      <c r="Q52" s="491"/>
      <c r="R52" s="491" t="str">
        <f t="shared" si="6"/>
        <v/>
      </c>
      <c r="S52" s="528" t="str">
        <f t="shared" si="14"/>
        <v/>
      </c>
      <c r="T52" s="528"/>
      <c r="U52" s="493" t="str">
        <f>IF(H52="","",#REF!*12+#REF!+#REF!*12+#REF!)</f>
        <v/>
      </c>
      <c r="V52" s="338" t="e">
        <v>#REF!</v>
      </c>
      <c r="W52" s="339" t="e">
        <f t="shared" si="10"/>
        <v>#REF!</v>
      </c>
      <c r="X52" s="494" t="s">
        <v>621</v>
      </c>
      <c r="Y52" s="495" t="s">
        <v>621</v>
      </c>
      <c r="Z52" s="496"/>
      <c r="AA52" s="497"/>
      <c r="AB52" s="498" t="str">
        <f t="shared" si="19"/>
        <v/>
      </c>
      <c r="AC52" s="484" t="str">
        <f t="shared" si="15"/>
        <v/>
      </c>
      <c r="AD52" s="495" t="str">
        <f t="shared" si="16"/>
        <v/>
      </c>
      <c r="AE52" s="499" t="s">
        <v>621</v>
      </c>
      <c r="AF52" s="500" t="s">
        <v>621</v>
      </c>
      <c r="AG52" s="556" t="s">
        <v>621</v>
      </c>
      <c r="AH52" s="555"/>
      <c r="AI52" s="506" t="s">
        <v>621</v>
      </c>
      <c r="AJ52" s="555"/>
      <c r="AK52" s="506" t="s">
        <v>621</v>
      </c>
      <c r="AL52" s="555"/>
      <c r="AM52" s="517" t="e">
        <v>#REF!</v>
      </c>
      <c r="AN52" s="503" t="str">
        <f t="shared" si="17"/>
        <v/>
      </c>
      <c r="AO52" s="503"/>
      <c r="AP52" s="503"/>
      <c r="AQ52" s="502"/>
      <c r="AR52" s="502"/>
      <c r="AS52" s="503"/>
      <c r="AT52" s="503"/>
      <c r="AU52" s="502"/>
      <c r="AV52" s="502"/>
      <c r="AW52" s="503"/>
      <c r="AX52" s="503"/>
      <c r="AY52" s="502"/>
      <c r="AZ52" s="502"/>
      <c r="BA52" s="503"/>
      <c r="BB52" s="503"/>
      <c r="BC52" s="502"/>
      <c r="BD52" s="502"/>
      <c r="BE52" s="503"/>
      <c r="BF52" s="503"/>
      <c r="BG52" s="502"/>
      <c r="BH52" s="502"/>
      <c r="BI52" s="503"/>
      <c r="BJ52" s="503"/>
      <c r="BK52" s="502"/>
      <c r="BL52" s="502"/>
      <c r="BM52" s="503"/>
      <c r="BN52" s="503"/>
      <c r="BO52" s="502"/>
      <c r="BP52" s="502"/>
      <c r="BQ52" s="503"/>
      <c r="BR52" s="503"/>
      <c r="BS52" s="502"/>
      <c r="BT52" s="502"/>
      <c r="BU52" s="503"/>
      <c r="BV52" s="503"/>
      <c r="BW52" s="502"/>
      <c r="BX52" s="502"/>
      <c r="BY52" s="503"/>
      <c r="BZ52" s="503"/>
      <c r="CA52" s="502"/>
      <c r="CB52" s="502"/>
      <c r="CC52" s="503"/>
      <c r="CD52" s="503"/>
      <c r="CE52" s="502"/>
      <c r="CF52" s="502"/>
      <c r="CG52" s="503"/>
      <c r="CH52" s="503"/>
      <c r="CI52" s="502"/>
      <c r="CJ52" s="502"/>
      <c r="CK52" s="503"/>
      <c r="CL52" s="503"/>
      <c r="CM52" s="502"/>
      <c r="CN52" s="502"/>
      <c r="CO52" s="503"/>
      <c r="CP52" s="503"/>
      <c r="CQ52" s="502"/>
      <c r="CR52" s="502"/>
      <c r="CS52" s="503"/>
      <c r="CT52" s="503"/>
      <c r="CU52" s="502"/>
      <c r="CV52" s="502"/>
      <c r="CW52" s="503"/>
      <c r="CX52" s="503"/>
      <c r="CY52" s="502"/>
      <c r="CZ52" s="502"/>
      <c r="DA52" s="503"/>
      <c r="DB52" s="503"/>
      <c r="DC52" s="502"/>
      <c r="DD52" s="502"/>
      <c r="DE52" s="503"/>
      <c r="DF52" s="503"/>
      <c r="DG52" s="503"/>
      <c r="DH52" s="503"/>
      <c r="DI52" s="503"/>
      <c r="DJ52" s="503"/>
      <c r="DK52" s="503"/>
      <c r="DL52" s="503"/>
      <c r="DM52" s="503"/>
      <c r="DN52" s="503"/>
      <c r="DO52" s="503"/>
      <c r="DP52" s="503"/>
      <c r="DQ52" s="503"/>
      <c r="DR52" s="503"/>
      <c r="DS52" s="503"/>
      <c r="DT52" s="503"/>
      <c r="DU52" s="503"/>
      <c r="DV52" s="503"/>
      <c r="DW52" s="503"/>
      <c r="DX52" s="503"/>
      <c r="DY52" s="503"/>
      <c r="DZ52" s="503"/>
      <c r="EA52" s="503"/>
      <c r="EB52" s="503"/>
      <c r="EC52" s="504" t="s">
        <v>621</v>
      </c>
      <c r="ED52" s="1126"/>
      <c r="EE52" s="325">
        <v>8</v>
      </c>
      <c r="EG52" s="347"/>
      <c r="EH52" s="347"/>
      <c r="EI52" s="347"/>
      <c r="EJ52" s="347"/>
      <c r="EK52" s="347"/>
      <c r="EL52" s="347"/>
      <c r="EM52" s="347"/>
      <c r="EN52" s="347"/>
      <c r="EO52" s="347"/>
      <c r="EP52" s="347"/>
      <c r="EQ52" s="347"/>
      <c r="ER52" s="347"/>
      <c r="ES52" s="347"/>
      <c r="ET52" s="347"/>
      <c r="EU52" s="347"/>
      <c r="EV52" s="347"/>
      <c r="EW52" s="347"/>
      <c r="EX52" s="347"/>
      <c r="EY52" s="347"/>
      <c r="EZ52" s="347"/>
      <c r="FA52" s="347"/>
      <c r="FB52" s="347"/>
      <c r="FC52" s="347"/>
      <c r="FD52" s="347"/>
      <c r="FE52" s="347"/>
      <c r="FF52" s="347"/>
      <c r="FG52" s="347"/>
      <c r="FH52" s="347"/>
      <c r="FI52" s="347"/>
      <c r="FJ52" s="347"/>
      <c r="FK52" s="347"/>
      <c r="FL52" s="347"/>
    </row>
    <row r="53" spans="1:168" ht="10">
      <c r="B53" s="567" t="e">
        <f>(ii!$D$13*12+V53)</f>
        <v>#REF!</v>
      </c>
      <c r="C53" s="337">
        <f t="shared" si="8"/>
        <v>43738</v>
      </c>
      <c r="D53" s="484">
        <f t="shared" si="0"/>
        <v>2019</v>
      </c>
      <c r="E53" s="484">
        <f t="shared" si="1"/>
        <v>0.75</v>
      </c>
      <c r="F53" s="484">
        <f t="shared" si="2"/>
        <v>2019.75</v>
      </c>
      <c r="G53" s="485" t="s">
        <v>621</v>
      </c>
      <c r="H53" s="486" t="str">
        <f t="shared" si="13"/>
        <v/>
      </c>
      <c r="I53" s="486" t="str">
        <f t="shared" si="20"/>
        <v/>
      </c>
      <c r="J53" s="487"/>
      <c r="K53" s="488"/>
      <c r="L53" s="548"/>
      <c r="M53" s="489" t="str">
        <f t="shared" si="12"/>
        <v/>
      </c>
      <c r="N53" s="490" t="s">
        <v>621</v>
      </c>
      <c r="O53" s="490" t="str">
        <f t="shared" si="5"/>
        <v/>
      </c>
      <c r="P53" s="491"/>
      <c r="Q53" s="491"/>
      <c r="R53" s="491" t="str">
        <f t="shared" si="6"/>
        <v/>
      </c>
      <c r="S53" s="528" t="str">
        <f t="shared" si="14"/>
        <v/>
      </c>
      <c r="T53" s="528"/>
      <c r="U53" s="493" t="str">
        <f>IF(H53="","",#REF!*12+#REF!+#REF!*12+#REF!)</f>
        <v/>
      </c>
      <c r="V53" s="338" t="e">
        <v>#REF!</v>
      </c>
      <c r="W53" s="339" t="e">
        <f t="shared" si="10"/>
        <v>#REF!</v>
      </c>
      <c r="X53" s="494" t="s">
        <v>621</v>
      </c>
      <c r="Y53" s="495" t="s">
        <v>621</v>
      </c>
      <c r="Z53" s="496"/>
      <c r="AA53" s="497"/>
      <c r="AB53" s="498" t="str">
        <f t="shared" si="19"/>
        <v/>
      </c>
      <c r="AC53" s="484" t="str">
        <f t="shared" si="15"/>
        <v/>
      </c>
      <c r="AD53" s="495" t="str">
        <f t="shared" si="16"/>
        <v/>
      </c>
      <c r="AE53" s="499" t="s">
        <v>621</v>
      </c>
      <c r="AF53" s="500" t="s">
        <v>621</v>
      </c>
      <c r="AG53" s="556" t="s">
        <v>621</v>
      </c>
      <c r="AH53" s="555"/>
      <c r="AI53" s="506" t="s">
        <v>621</v>
      </c>
      <c r="AJ53" s="555"/>
      <c r="AK53" s="506" t="s">
        <v>621</v>
      </c>
      <c r="AL53" s="555"/>
      <c r="AM53" s="517" t="e">
        <v>#REF!</v>
      </c>
      <c r="AN53" s="503" t="str">
        <f t="shared" si="17"/>
        <v/>
      </c>
      <c r="AO53" s="503"/>
      <c r="AP53" s="503"/>
      <c r="AQ53" s="502"/>
      <c r="AR53" s="502"/>
      <c r="AS53" s="503"/>
      <c r="AT53" s="503"/>
      <c r="AU53" s="502"/>
      <c r="AV53" s="502"/>
      <c r="AW53" s="503"/>
      <c r="AX53" s="503"/>
      <c r="AY53" s="502"/>
      <c r="AZ53" s="502"/>
      <c r="BA53" s="503"/>
      <c r="BB53" s="503"/>
      <c r="BC53" s="502"/>
      <c r="BD53" s="502"/>
      <c r="BE53" s="503"/>
      <c r="BF53" s="503"/>
      <c r="BG53" s="502"/>
      <c r="BH53" s="502"/>
      <c r="BI53" s="503"/>
      <c r="BJ53" s="503"/>
      <c r="BK53" s="502"/>
      <c r="BL53" s="502"/>
      <c r="BM53" s="503"/>
      <c r="BN53" s="503"/>
      <c r="BO53" s="502"/>
      <c r="BP53" s="502"/>
      <c r="BQ53" s="503"/>
      <c r="BR53" s="503"/>
      <c r="BS53" s="502"/>
      <c r="BT53" s="502"/>
      <c r="BU53" s="503"/>
      <c r="BV53" s="503"/>
      <c r="BW53" s="502"/>
      <c r="BX53" s="502"/>
      <c r="BY53" s="503"/>
      <c r="BZ53" s="503"/>
      <c r="CA53" s="502"/>
      <c r="CB53" s="502"/>
      <c r="CC53" s="503"/>
      <c r="CD53" s="503"/>
      <c r="CE53" s="502"/>
      <c r="CF53" s="502"/>
      <c r="CG53" s="503"/>
      <c r="CH53" s="503"/>
      <c r="CI53" s="502"/>
      <c r="CJ53" s="502"/>
      <c r="CK53" s="503"/>
      <c r="CL53" s="503"/>
      <c r="CM53" s="502"/>
      <c r="CN53" s="502"/>
      <c r="CO53" s="503"/>
      <c r="CP53" s="503"/>
      <c r="CQ53" s="502"/>
      <c r="CR53" s="502"/>
      <c r="CS53" s="503"/>
      <c r="CT53" s="503"/>
      <c r="CU53" s="502"/>
      <c r="CV53" s="502"/>
      <c r="CW53" s="503"/>
      <c r="CX53" s="503"/>
      <c r="CY53" s="502"/>
      <c r="CZ53" s="502"/>
      <c r="DA53" s="503"/>
      <c r="DB53" s="503"/>
      <c r="DC53" s="502"/>
      <c r="DD53" s="502"/>
      <c r="DE53" s="503"/>
      <c r="DF53" s="503"/>
      <c r="DG53" s="503"/>
      <c r="DH53" s="503"/>
      <c r="DI53" s="503"/>
      <c r="DJ53" s="503"/>
      <c r="DK53" s="503"/>
      <c r="DL53" s="503"/>
      <c r="DM53" s="503"/>
      <c r="DN53" s="503"/>
      <c r="DO53" s="503"/>
      <c r="DP53" s="503"/>
      <c r="DQ53" s="503"/>
      <c r="DR53" s="503"/>
      <c r="DS53" s="503"/>
      <c r="DT53" s="503"/>
      <c r="DU53" s="503"/>
      <c r="DV53" s="503"/>
      <c r="DW53" s="503"/>
      <c r="DX53" s="503"/>
      <c r="DY53" s="503"/>
      <c r="DZ53" s="503"/>
      <c r="EA53" s="503"/>
      <c r="EB53" s="503"/>
      <c r="EC53" s="504" t="s">
        <v>621</v>
      </c>
      <c r="ED53" s="1126"/>
      <c r="EE53" s="325">
        <v>9</v>
      </c>
      <c r="EG53" s="347"/>
      <c r="EH53" s="347"/>
      <c r="EI53" s="347"/>
      <c r="EJ53" s="347"/>
      <c r="EK53" s="347"/>
      <c r="EL53" s="347"/>
      <c r="EM53" s="347"/>
      <c r="EN53" s="347"/>
      <c r="EO53" s="347"/>
      <c r="EP53" s="347"/>
      <c r="EQ53" s="347"/>
      <c r="ER53" s="557"/>
      <c r="ES53" s="347"/>
      <c r="ET53" s="347"/>
      <c r="EU53" s="347"/>
      <c r="EV53" s="347"/>
      <c r="EW53" s="347"/>
      <c r="EX53" s="347"/>
      <c r="EY53" s="347"/>
      <c r="EZ53" s="347"/>
      <c r="FA53" s="347"/>
      <c r="FB53" s="347"/>
      <c r="FC53" s="347"/>
      <c r="FD53" s="347"/>
      <c r="FE53" s="347"/>
      <c r="FF53" s="347"/>
      <c r="FG53" s="347"/>
      <c r="FH53" s="347"/>
      <c r="FI53" s="347"/>
      <c r="FJ53" s="347"/>
      <c r="FK53" s="347"/>
      <c r="FL53" s="347"/>
    </row>
    <row r="54" spans="1:168" ht="10">
      <c r="B54" s="567" t="e">
        <f>(ii!$D$13*12+V54)</f>
        <v>#REF!</v>
      </c>
      <c r="C54" s="337">
        <f t="shared" si="8"/>
        <v>43769</v>
      </c>
      <c r="D54" s="484">
        <f t="shared" si="0"/>
        <v>2019</v>
      </c>
      <c r="E54" s="484">
        <f t="shared" si="1"/>
        <v>0.83333333333333337</v>
      </c>
      <c r="F54" s="484">
        <f t="shared" si="2"/>
        <v>2019.8333333333333</v>
      </c>
      <c r="G54" s="485" t="s">
        <v>621</v>
      </c>
      <c r="H54" s="486" t="str">
        <f t="shared" si="13"/>
        <v/>
      </c>
      <c r="I54" s="486" t="str">
        <f t="shared" si="20"/>
        <v/>
      </c>
      <c r="J54" s="487"/>
      <c r="K54" s="488"/>
      <c r="L54" s="548"/>
      <c r="M54" s="489" t="str">
        <f t="shared" si="12"/>
        <v/>
      </c>
      <c r="N54" s="490" t="s">
        <v>621</v>
      </c>
      <c r="O54" s="490" t="str">
        <f t="shared" si="5"/>
        <v/>
      </c>
      <c r="P54" s="491"/>
      <c r="Q54" s="491"/>
      <c r="R54" s="491" t="str">
        <f t="shared" si="6"/>
        <v/>
      </c>
      <c r="S54" s="528" t="str">
        <f t="shared" si="14"/>
        <v/>
      </c>
      <c r="T54" s="528"/>
      <c r="U54" s="493" t="str">
        <f>IF(H54="","",#REF!*12+#REF!+#REF!*12+#REF!)</f>
        <v/>
      </c>
      <c r="V54" s="338" t="e">
        <v>#REF!</v>
      </c>
      <c r="W54" s="339" t="e">
        <f t="shared" si="10"/>
        <v>#REF!</v>
      </c>
      <c r="X54" s="494" t="s">
        <v>621</v>
      </c>
      <c r="Y54" s="495" t="s">
        <v>621</v>
      </c>
      <c r="Z54" s="496"/>
      <c r="AA54" s="497"/>
      <c r="AB54" s="498" t="str">
        <f t="shared" si="19"/>
        <v/>
      </c>
      <c r="AC54" s="484" t="str">
        <f t="shared" si="15"/>
        <v/>
      </c>
      <c r="AD54" s="495" t="str">
        <f t="shared" si="16"/>
        <v/>
      </c>
      <c r="AE54" s="499" t="s">
        <v>621</v>
      </c>
      <c r="AF54" s="500" t="s">
        <v>621</v>
      </c>
      <c r="AG54" s="556" t="s">
        <v>621</v>
      </c>
      <c r="AH54" s="555"/>
      <c r="AI54" s="506" t="s">
        <v>621</v>
      </c>
      <c r="AJ54" s="555"/>
      <c r="AK54" s="506" t="s">
        <v>621</v>
      </c>
      <c r="AL54" s="555"/>
      <c r="AM54" s="517" t="e">
        <v>#REF!</v>
      </c>
      <c r="AN54" s="503" t="str">
        <f t="shared" si="17"/>
        <v/>
      </c>
      <c r="AO54" s="503"/>
      <c r="AP54" s="503"/>
      <c r="AQ54" s="502"/>
      <c r="AR54" s="502"/>
      <c r="AS54" s="503"/>
      <c r="AT54" s="503"/>
      <c r="AU54" s="502"/>
      <c r="AV54" s="502"/>
      <c r="AW54" s="503"/>
      <c r="AX54" s="503"/>
      <c r="AY54" s="502"/>
      <c r="AZ54" s="502"/>
      <c r="BA54" s="503"/>
      <c r="BB54" s="503"/>
      <c r="BC54" s="502"/>
      <c r="BD54" s="502"/>
      <c r="BE54" s="503"/>
      <c r="BF54" s="503"/>
      <c r="BG54" s="502"/>
      <c r="BH54" s="502"/>
      <c r="BI54" s="503"/>
      <c r="BJ54" s="503"/>
      <c r="BK54" s="502"/>
      <c r="BL54" s="502"/>
      <c r="BM54" s="503"/>
      <c r="BN54" s="503"/>
      <c r="BO54" s="502"/>
      <c r="BP54" s="502"/>
      <c r="BQ54" s="503"/>
      <c r="BR54" s="503"/>
      <c r="BS54" s="502"/>
      <c r="BT54" s="502"/>
      <c r="BU54" s="503"/>
      <c r="BV54" s="503"/>
      <c r="BW54" s="502"/>
      <c r="BX54" s="502"/>
      <c r="BY54" s="503"/>
      <c r="BZ54" s="503"/>
      <c r="CA54" s="502"/>
      <c r="CB54" s="502"/>
      <c r="CC54" s="503"/>
      <c r="CD54" s="503"/>
      <c r="CE54" s="502"/>
      <c r="CF54" s="502"/>
      <c r="CG54" s="503"/>
      <c r="CH54" s="503"/>
      <c r="CI54" s="502"/>
      <c r="CJ54" s="502"/>
      <c r="CK54" s="503"/>
      <c r="CL54" s="503"/>
      <c r="CM54" s="502"/>
      <c r="CN54" s="502"/>
      <c r="CO54" s="503"/>
      <c r="CP54" s="503"/>
      <c r="CQ54" s="502"/>
      <c r="CR54" s="502"/>
      <c r="CS54" s="503"/>
      <c r="CT54" s="503"/>
      <c r="CU54" s="502"/>
      <c r="CV54" s="502"/>
      <c r="CW54" s="503"/>
      <c r="CX54" s="503"/>
      <c r="CY54" s="502"/>
      <c r="CZ54" s="502"/>
      <c r="DA54" s="503"/>
      <c r="DB54" s="503"/>
      <c r="DC54" s="502"/>
      <c r="DD54" s="502"/>
      <c r="DE54" s="503"/>
      <c r="DF54" s="503"/>
      <c r="DG54" s="503"/>
      <c r="DH54" s="503"/>
      <c r="DI54" s="503"/>
      <c r="DJ54" s="503"/>
      <c r="DK54" s="503"/>
      <c r="DL54" s="503"/>
      <c r="DM54" s="503"/>
      <c r="DN54" s="503"/>
      <c r="DO54" s="503"/>
      <c r="DP54" s="503"/>
      <c r="DQ54" s="503"/>
      <c r="DR54" s="503"/>
      <c r="DS54" s="503"/>
      <c r="DT54" s="503"/>
      <c r="DU54" s="503"/>
      <c r="DV54" s="503"/>
      <c r="DW54" s="503"/>
      <c r="DX54" s="503"/>
      <c r="DY54" s="503"/>
      <c r="DZ54" s="503"/>
      <c r="EA54" s="503"/>
      <c r="EB54" s="503"/>
      <c r="EC54" s="504" t="s">
        <v>621</v>
      </c>
      <c r="ED54" s="1126"/>
      <c r="EE54" s="325">
        <v>10</v>
      </c>
      <c r="EG54" s="347"/>
      <c r="EH54" s="347"/>
      <c r="EI54" s="347"/>
      <c r="EJ54" s="347"/>
      <c r="EK54" s="347"/>
      <c r="EL54" s="347"/>
      <c r="EM54" s="347"/>
      <c r="EN54" s="347"/>
      <c r="EO54" s="347"/>
      <c r="EP54" s="347"/>
      <c r="EQ54" s="347"/>
      <c r="ER54" s="347"/>
      <c r="ES54" s="347"/>
      <c r="ET54" s="347"/>
      <c r="EU54" s="347"/>
      <c r="EV54" s="347"/>
      <c r="EW54" s="347"/>
      <c r="EX54" s="347"/>
      <c r="EY54" s="347"/>
      <c r="EZ54" s="347"/>
      <c r="FA54" s="347"/>
      <c r="FB54" s="347"/>
      <c r="FC54" s="347"/>
      <c r="FD54" s="347"/>
      <c r="FE54" s="347"/>
      <c r="FF54" s="347"/>
      <c r="FG54" s="347"/>
      <c r="FH54" s="347"/>
      <c r="FI54" s="347"/>
      <c r="FJ54" s="347"/>
      <c r="FK54" s="347"/>
      <c r="FL54" s="347"/>
    </row>
    <row r="55" spans="1:168" ht="10">
      <c r="B55" s="567" t="e">
        <f>(ii!$D$13*12+V55)</f>
        <v>#REF!</v>
      </c>
      <c r="C55" s="337">
        <f t="shared" si="8"/>
        <v>43799</v>
      </c>
      <c r="D55" s="484">
        <f t="shared" si="0"/>
        <v>2019</v>
      </c>
      <c r="E55" s="484">
        <f t="shared" si="1"/>
        <v>0.91666666666666663</v>
      </c>
      <c r="F55" s="484">
        <f t="shared" si="2"/>
        <v>2019.9166666666667</v>
      </c>
      <c r="G55" s="485" t="s">
        <v>621</v>
      </c>
      <c r="H55" s="486" t="str">
        <f t="shared" si="13"/>
        <v/>
      </c>
      <c r="I55" s="486" t="str">
        <f t="shared" si="20"/>
        <v/>
      </c>
      <c r="J55" s="487"/>
      <c r="K55" s="488"/>
      <c r="L55" s="548"/>
      <c r="M55" s="489" t="str">
        <f t="shared" si="12"/>
        <v/>
      </c>
      <c r="N55" s="490" t="s">
        <v>621</v>
      </c>
      <c r="O55" s="490" t="str">
        <f t="shared" si="5"/>
        <v/>
      </c>
      <c r="P55" s="491"/>
      <c r="Q55" s="491"/>
      <c r="R55" s="491" t="str">
        <f t="shared" si="6"/>
        <v/>
      </c>
      <c r="S55" s="528" t="str">
        <f t="shared" si="14"/>
        <v/>
      </c>
      <c r="T55" s="528"/>
      <c r="U55" s="493" t="str">
        <f>IF(H55="","",#REF!*12+#REF!+#REF!*12+#REF!)</f>
        <v/>
      </c>
      <c r="V55" s="338" t="e">
        <v>#REF!</v>
      </c>
      <c r="W55" s="339" t="e">
        <f t="shared" si="10"/>
        <v>#REF!</v>
      </c>
      <c r="X55" s="494" t="s">
        <v>621</v>
      </c>
      <c r="Y55" s="495" t="s">
        <v>621</v>
      </c>
      <c r="Z55" s="496"/>
      <c r="AA55" s="497"/>
      <c r="AB55" s="498" t="str">
        <f t="shared" si="19"/>
        <v/>
      </c>
      <c r="AC55" s="484" t="str">
        <f t="shared" si="15"/>
        <v/>
      </c>
      <c r="AD55" s="495" t="str">
        <f t="shared" si="16"/>
        <v/>
      </c>
      <c r="AE55" s="499" t="s">
        <v>621</v>
      </c>
      <c r="AF55" s="500" t="s">
        <v>621</v>
      </c>
      <c r="AG55" s="556" t="s">
        <v>621</v>
      </c>
      <c r="AH55" s="555"/>
      <c r="AI55" s="506" t="s">
        <v>621</v>
      </c>
      <c r="AJ55" s="555"/>
      <c r="AK55" s="506" t="s">
        <v>621</v>
      </c>
      <c r="AL55" s="555"/>
      <c r="AM55" s="517" t="e">
        <v>#REF!</v>
      </c>
      <c r="AN55" s="503" t="str">
        <f t="shared" si="17"/>
        <v/>
      </c>
      <c r="AO55" s="503"/>
      <c r="AP55" s="503"/>
      <c r="AQ55" s="502"/>
      <c r="AR55" s="502"/>
      <c r="AS55" s="503"/>
      <c r="AT55" s="503"/>
      <c r="AU55" s="502"/>
      <c r="AV55" s="502"/>
      <c r="AW55" s="503"/>
      <c r="AX55" s="503"/>
      <c r="AY55" s="502"/>
      <c r="AZ55" s="502"/>
      <c r="BA55" s="503"/>
      <c r="BB55" s="503"/>
      <c r="BC55" s="502"/>
      <c r="BD55" s="502"/>
      <c r="BE55" s="503"/>
      <c r="BF55" s="503"/>
      <c r="BG55" s="502"/>
      <c r="BH55" s="502"/>
      <c r="BI55" s="503"/>
      <c r="BJ55" s="503"/>
      <c r="BK55" s="502"/>
      <c r="BL55" s="502"/>
      <c r="BM55" s="503"/>
      <c r="BN55" s="503"/>
      <c r="BO55" s="502"/>
      <c r="BP55" s="502"/>
      <c r="BQ55" s="503"/>
      <c r="BR55" s="503"/>
      <c r="BS55" s="502"/>
      <c r="BT55" s="502"/>
      <c r="BU55" s="503"/>
      <c r="BV55" s="503"/>
      <c r="BW55" s="502"/>
      <c r="BX55" s="502"/>
      <c r="BY55" s="503"/>
      <c r="BZ55" s="503"/>
      <c r="CA55" s="502"/>
      <c r="CB55" s="502"/>
      <c r="CC55" s="503"/>
      <c r="CD55" s="503"/>
      <c r="CE55" s="502"/>
      <c r="CF55" s="502"/>
      <c r="CG55" s="503"/>
      <c r="CH55" s="503"/>
      <c r="CI55" s="502"/>
      <c r="CJ55" s="502"/>
      <c r="CK55" s="503"/>
      <c r="CL55" s="503"/>
      <c r="CM55" s="502"/>
      <c r="CN55" s="502"/>
      <c r="CO55" s="503"/>
      <c r="CP55" s="503"/>
      <c r="CQ55" s="502"/>
      <c r="CR55" s="502"/>
      <c r="CS55" s="503"/>
      <c r="CT55" s="503"/>
      <c r="CU55" s="502"/>
      <c r="CV55" s="502"/>
      <c r="CW55" s="503"/>
      <c r="CX55" s="503"/>
      <c r="CY55" s="502"/>
      <c r="CZ55" s="502"/>
      <c r="DA55" s="503"/>
      <c r="DB55" s="503"/>
      <c r="DC55" s="502"/>
      <c r="DD55" s="502"/>
      <c r="DE55" s="503"/>
      <c r="DF55" s="503"/>
      <c r="DG55" s="503"/>
      <c r="DH55" s="503"/>
      <c r="DI55" s="503"/>
      <c r="DJ55" s="503"/>
      <c r="DK55" s="503"/>
      <c r="DL55" s="503"/>
      <c r="DM55" s="503"/>
      <c r="DN55" s="503"/>
      <c r="DO55" s="503"/>
      <c r="DP55" s="503"/>
      <c r="DQ55" s="503"/>
      <c r="DR55" s="503"/>
      <c r="DS55" s="503"/>
      <c r="DT55" s="503"/>
      <c r="DU55" s="503"/>
      <c r="DV55" s="503"/>
      <c r="DW55" s="503"/>
      <c r="DX55" s="503"/>
      <c r="DY55" s="503"/>
      <c r="DZ55" s="503"/>
      <c r="EA55" s="503"/>
      <c r="EB55" s="503"/>
      <c r="EC55" s="504" t="s">
        <v>621</v>
      </c>
      <c r="ED55" s="1126"/>
      <c r="EE55" s="325">
        <v>11</v>
      </c>
      <c r="EG55" s="347"/>
      <c r="EH55" s="347"/>
      <c r="EI55" s="347"/>
      <c r="EJ55" s="347"/>
      <c r="EK55" s="347"/>
      <c r="EL55" s="347"/>
      <c r="EM55" s="347"/>
      <c r="EN55" s="347"/>
      <c r="EO55" s="347"/>
      <c r="EP55" s="347"/>
      <c r="EQ55" s="347"/>
      <c r="ER55" s="347"/>
      <c r="ES55" s="347"/>
      <c r="ET55" s="347"/>
      <c r="EU55" s="347"/>
      <c r="EV55" s="347"/>
      <c r="EW55" s="347"/>
      <c r="EX55" s="347"/>
      <c r="EY55" s="347"/>
      <c r="EZ55" s="347"/>
      <c r="FA55" s="347"/>
      <c r="FB55" s="347"/>
      <c r="FC55" s="347"/>
      <c r="FD55" s="347"/>
      <c r="FE55" s="347"/>
      <c r="FF55" s="347"/>
      <c r="FG55" s="347"/>
      <c r="FH55" s="347"/>
      <c r="FI55" s="347"/>
      <c r="FJ55" s="347"/>
      <c r="FK55" s="347"/>
      <c r="FL55" s="347"/>
    </row>
    <row r="56" spans="1:168" ht="10">
      <c r="B56" s="567" t="e">
        <f>(ii!$D$13*12+V56)</f>
        <v>#REF!</v>
      </c>
      <c r="C56" s="337">
        <f t="shared" si="8"/>
        <v>43830</v>
      </c>
      <c r="D56" s="484">
        <f t="shared" si="0"/>
        <v>2019</v>
      </c>
      <c r="E56" s="484">
        <f t="shared" si="1"/>
        <v>1</v>
      </c>
      <c r="F56" s="484">
        <f t="shared" si="2"/>
        <v>2020</v>
      </c>
      <c r="G56" s="485" t="s">
        <v>621</v>
      </c>
      <c r="H56" s="486" t="str">
        <f t="shared" si="13"/>
        <v/>
      </c>
      <c r="I56" s="486" t="str">
        <f t="shared" si="20"/>
        <v/>
      </c>
      <c r="J56" s="487"/>
      <c r="K56" s="488"/>
      <c r="L56" s="548"/>
      <c r="M56" s="489" t="str">
        <f t="shared" si="12"/>
        <v/>
      </c>
      <c r="N56" s="490" t="s">
        <v>621</v>
      </c>
      <c r="O56" s="490" t="str">
        <f t="shared" si="5"/>
        <v/>
      </c>
      <c r="P56" s="491"/>
      <c r="Q56" s="491"/>
      <c r="R56" s="491" t="str">
        <f t="shared" si="6"/>
        <v/>
      </c>
      <c r="S56" s="528" t="str">
        <f t="shared" si="14"/>
        <v/>
      </c>
      <c r="T56" s="528"/>
      <c r="U56" s="493" t="str">
        <f>IF(H56="","",#REF!*12+#REF!+#REF!*12+#REF!)</f>
        <v/>
      </c>
      <c r="V56" s="338" t="e">
        <v>#REF!</v>
      </c>
      <c r="W56" s="339" t="e">
        <f t="shared" si="10"/>
        <v>#REF!</v>
      </c>
      <c r="X56" s="494" t="s">
        <v>621</v>
      </c>
      <c r="Y56" s="495" t="s">
        <v>621</v>
      </c>
      <c r="Z56" s="496"/>
      <c r="AA56" s="497"/>
      <c r="AB56" s="498" t="str">
        <f t="shared" si="19"/>
        <v/>
      </c>
      <c r="AC56" s="484" t="str">
        <f t="shared" si="15"/>
        <v/>
      </c>
      <c r="AD56" s="495" t="str">
        <f t="shared" si="16"/>
        <v/>
      </c>
      <c r="AE56" s="499" t="s">
        <v>621</v>
      </c>
      <c r="AF56" s="500" t="s">
        <v>621</v>
      </c>
      <c r="AG56" s="556" t="s">
        <v>621</v>
      </c>
      <c r="AH56" s="555"/>
      <c r="AI56" s="506" t="s">
        <v>621</v>
      </c>
      <c r="AJ56" s="555"/>
      <c r="AK56" s="506" t="s">
        <v>621</v>
      </c>
      <c r="AL56" s="555"/>
      <c r="AM56" s="517" t="e">
        <v>#REF!</v>
      </c>
      <c r="AN56" s="503" t="str">
        <f t="shared" si="17"/>
        <v/>
      </c>
      <c r="AO56" s="503"/>
      <c r="AP56" s="503"/>
      <c r="AQ56" s="502"/>
      <c r="AR56" s="502"/>
      <c r="AS56" s="503"/>
      <c r="AT56" s="503"/>
      <c r="AU56" s="502"/>
      <c r="AV56" s="502"/>
      <c r="AW56" s="503"/>
      <c r="AX56" s="503"/>
      <c r="AY56" s="502"/>
      <c r="AZ56" s="502"/>
      <c r="BA56" s="503"/>
      <c r="BB56" s="503"/>
      <c r="BC56" s="502"/>
      <c r="BD56" s="502"/>
      <c r="BE56" s="503"/>
      <c r="BF56" s="503"/>
      <c r="BG56" s="502"/>
      <c r="BH56" s="502"/>
      <c r="BI56" s="503"/>
      <c r="BJ56" s="503"/>
      <c r="BK56" s="502"/>
      <c r="BL56" s="502"/>
      <c r="BM56" s="503"/>
      <c r="BN56" s="503"/>
      <c r="BO56" s="502"/>
      <c r="BP56" s="502"/>
      <c r="BQ56" s="503"/>
      <c r="BR56" s="503"/>
      <c r="BS56" s="502"/>
      <c r="BT56" s="502"/>
      <c r="BU56" s="503"/>
      <c r="BV56" s="503"/>
      <c r="BW56" s="502"/>
      <c r="BX56" s="502"/>
      <c r="BY56" s="503"/>
      <c r="BZ56" s="503"/>
      <c r="CA56" s="502"/>
      <c r="CB56" s="502"/>
      <c r="CC56" s="503"/>
      <c r="CD56" s="503"/>
      <c r="CE56" s="502"/>
      <c r="CF56" s="502"/>
      <c r="CG56" s="503"/>
      <c r="CH56" s="503"/>
      <c r="CI56" s="502"/>
      <c r="CJ56" s="502"/>
      <c r="CK56" s="503"/>
      <c r="CL56" s="503"/>
      <c r="CM56" s="502"/>
      <c r="CN56" s="502"/>
      <c r="CO56" s="503"/>
      <c r="CP56" s="503"/>
      <c r="CQ56" s="502"/>
      <c r="CR56" s="502"/>
      <c r="CS56" s="503"/>
      <c r="CT56" s="503"/>
      <c r="CU56" s="502"/>
      <c r="CV56" s="502"/>
      <c r="CW56" s="503"/>
      <c r="CX56" s="503"/>
      <c r="CY56" s="502"/>
      <c r="CZ56" s="502"/>
      <c r="DA56" s="503"/>
      <c r="DB56" s="503"/>
      <c r="DC56" s="502"/>
      <c r="DD56" s="502"/>
      <c r="DE56" s="503"/>
      <c r="DF56" s="503"/>
      <c r="DG56" s="503"/>
      <c r="DH56" s="503"/>
      <c r="DI56" s="503"/>
      <c r="DJ56" s="503"/>
      <c r="DK56" s="503"/>
      <c r="DL56" s="503"/>
      <c r="DM56" s="503"/>
      <c r="DN56" s="503"/>
      <c r="DO56" s="503"/>
      <c r="DP56" s="503"/>
      <c r="DQ56" s="503"/>
      <c r="DR56" s="503"/>
      <c r="DS56" s="503"/>
      <c r="DT56" s="503"/>
      <c r="DU56" s="503"/>
      <c r="DV56" s="503"/>
      <c r="DW56" s="503"/>
      <c r="DX56" s="503"/>
      <c r="DY56" s="503"/>
      <c r="DZ56" s="503"/>
      <c r="EA56" s="503"/>
      <c r="EB56" s="503"/>
      <c r="EC56" s="504" t="s">
        <v>621</v>
      </c>
      <c r="ED56" s="1126"/>
      <c r="EE56" s="325">
        <v>12</v>
      </c>
      <c r="EG56" s="347"/>
      <c r="EH56" s="347"/>
      <c r="EI56" s="347"/>
      <c r="EJ56" s="347"/>
      <c r="EK56" s="347"/>
      <c r="EL56" s="347"/>
      <c r="EM56" s="347"/>
      <c r="EN56" s="347"/>
      <c r="EO56" s="347"/>
      <c r="EP56" s="347"/>
      <c r="EQ56" s="347"/>
      <c r="ER56" s="347"/>
      <c r="ES56" s="347"/>
      <c r="ET56" s="347"/>
      <c r="EU56" s="347"/>
      <c r="EV56" s="347"/>
      <c r="EW56" s="347"/>
      <c r="EX56" s="347"/>
      <c r="EY56" s="347"/>
      <c r="EZ56" s="347"/>
      <c r="FA56" s="347"/>
      <c r="FB56" s="347"/>
      <c r="FC56" s="347"/>
      <c r="FD56" s="347"/>
      <c r="FE56" s="347"/>
      <c r="FF56" s="347"/>
      <c r="FG56" s="347"/>
      <c r="FH56" s="347"/>
      <c r="FI56" s="347"/>
      <c r="FJ56" s="347"/>
      <c r="FK56" s="347"/>
      <c r="FL56" s="347"/>
    </row>
    <row r="57" spans="1:168" ht="10">
      <c r="A57" s="321" t="str">
        <f t="shared" ref="A57:A121" si="21">G57</f>
        <v/>
      </c>
      <c r="B57" s="567" t="e">
        <f>(ii!$D$13*12+V57)</f>
        <v>#REF!</v>
      </c>
      <c r="C57" s="345">
        <f t="shared" si="8"/>
        <v>43861</v>
      </c>
      <c r="D57" s="340">
        <f t="shared" si="0"/>
        <v>2020</v>
      </c>
      <c r="E57" s="340">
        <f t="shared" si="1"/>
        <v>8.3333333333333329E-2</v>
      </c>
      <c r="F57" s="340">
        <f t="shared" si="2"/>
        <v>2020.0833333333333</v>
      </c>
      <c r="G57" s="531" t="s">
        <v>621</v>
      </c>
      <c r="H57" s="532" t="str">
        <f t="shared" si="13"/>
        <v/>
      </c>
      <c r="I57" s="532" t="str">
        <f t="shared" si="20"/>
        <v/>
      </c>
      <c r="J57" s="533"/>
      <c r="K57" s="553"/>
      <c r="L57" s="534"/>
      <c r="M57" s="535" t="str">
        <f t="shared" si="12"/>
        <v/>
      </c>
      <c r="N57" s="536" t="s">
        <v>621</v>
      </c>
      <c r="O57" s="536" t="str">
        <f t="shared" si="5"/>
        <v/>
      </c>
      <c r="P57" s="537"/>
      <c r="Q57" s="537"/>
      <c r="R57" s="533" t="str">
        <f t="shared" si="6"/>
        <v/>
      </c>
      <c r="S57" s="538" t="str">
        <f t="shared" ref="S57:S62" si="22">IF(G57="","",SUM(AF57:EB57))</f>
        <v/>
      </c>
      <c r="T57" s="538" t="str">
        <f t="shared" ref="T57:T120" si="23">IF(OR(S57="",S56=""),"",S57-S56)</f>
        <v/>
      </c>
      <c r="U57" s="539" t="str">
        <f>IF(H57="","",#REF!*12+#REF!+#REF!*12+#REF!)</f>
        <v/>
      </c>
      <c r="V57" s="338" t="e">
        <v>#REF!</v>
      </c>
      <c r="W57" s="339" t="e">
        <f t="shared" si="10"/>
        <v>#REF!</v>
      </c>
      <c r="X57" s="540" t="s">
        <v>621</v>
      </c>
      <c r="Y57" s="538" t="s">
        <v>621</v>
      </c>
      <c r="Z57" s="541">
        <f>Z45+$Z$26</f>
        <v>0.06</v>
      </c>
      <c r="AA57" s="542" t="str">
        <f>IF(Y57="","",(Y57-Y56)/Y56)</f>
        <v/>
      </c>
      <c r="AB57" s="543" t="str">
        <f t="shared" si="19"/>
        <v/>
      </c>
      <c r="AC57" s="544" t="str">
        <f t="shared" si="15"/>
        <v/>
      </c>
      <c r="AD57" s="534" t="str">
        <f t="shared" si="16"/>
        <v/>
      </c>
      <c r="AE57" s="554" t="s">
        <v>621</v>
      </c>
      <c r="AF57" s="554" t="s">
        <v>621</v>
      </c>
      <c r="AG57" s="558" t="s">
        <v>621</v>
      </c>
      <c r="AH57" s="559" t="str">
        <f>IF($G57="","",IF(AND($G57&gt;=30,$AT$3&lt;=AG$7),ROUND(AG57*($AP$3+#REF!),-1),""))</f>
        <v/>
      </c>
      <c r="AI57" s="558" t="s">
        <v>621</v>
      </c>
      <c r="AJ57" s="559" t="str">
        <f>IF($G57="","",IF(AND($G57&gt;=30,$AT$3&lt;=AI$7),ROUND(AI57*($AP$3+#REF!),-1),""))</f>
        <v/>
      </c>
      <c r="AK57" s="560" t="s">
        <v>621</v>
      </c>
      <c r="AL57" s="559" t="str">
        <f>IF($G57="","",IF(AND($G57&gt;=30,$AT$3&lt;=AK$7),ROUND(AK57*($AP$3+#REF!),-1),""))</f>
        <v/>
      </c>
      <c r="AM57" s="560" t="s">
        <v>621</v>
      </c>
      <c r="AN57" s="559" t="str">
        <f>IF($G57="","",IF(AND($G57&gt;=30,$AT$3&lt;=AM$7),ROUND(AM57*($AP$3+#REF!),-1),""))</f>
        <v/>
      </c>
      <c r="AO57" s="533" t="e">
        <v>#REF!</v>
      </c>
      <c r="AP57" s="559" t="str">
        <f>IF($G57="","",IF(AND($G57&gt;=30,$AT$3&lt;=AO$7),ROUND(AO57*($AP$3+#REF!),-1),""))</f>
        <v/>
      </c>
      <c r="AQ57" s="547"/>
      <c r="AR57" s="559" t="str">
        <f>IF($G57="","",IF(AND($G57&gt;=30,$AT$3&lt;=AQ$7),ROUND(AQ57*($AP$3+#REF!),-1),""))</f>
        <v/>
      </c>
      <c r="AS57" s="547"/>
      <c r="AT57" s="559" t="str">
        <f>IF($G57="","",IF(AND($G57&gt;=30,$AT$3&lt;=AS$7),ROUND(AS57*($AP$3+#REF!),-1),""))</f>
        <v/>
      </c>
      <c r="AU57" s="547"/>
      <c r="AV57" s="559" t="str">
        <f>IF($G57="","",IF(AND($G57&gt;=30,$AT$3&lt;=AU$7),ROUND(AU57*($AP$3+#REF!),-1),""))</f>
        <v/>
      </c>
      <c r="AW57" s="547"/>
      <c r="AX57" s="559" t="str">
        <f>IF($G57="","",IF(AND($G57&gt;=30,$AT$3&lt;=AW$7),ROUND(AW57*($AP$3+#REF!),-1),""))</f>
        <v/>
      </c>
      <c r="AY57" s="547"/>
      <c r="AZ57" s="559" t="str">
        <f>IF($G57="","",IF(AND($G57&gt;=30,$AT$3&lt;=AY$7),ROUND(AY57*($AP$3+#REF!),-1),""))</f>
        <v/>
      </c>
      <c r="BA57" s="547"/>
      <c r="BB57" s="559" t="str">
        <f>IF($G57="","",IF(AND($G57&gt;=30,$AT$3&lt;=BA$7),ROUND(BA57*($AP$3+#REF!),-1),""))</f>
        <v/>
      </c>
      <c r="BC57" s="547"/>
      <c r="BD57" s="559" t="str">
        <f>IF($G57="","",IF(AND($G57&gt;=30,$AT$3&lt;=BC$7),ROUND(BC57*($AP$3+#REF!),-1),""))</f>
        <v/>
      </c>
      <c r="BE57" s="547"/>
      <c r="BF57" s="559" t="str">
        <f>IF($G57="","",IF(AND($G57&gt;=30,$AT$3&lt;=BE$7),ROUND(BE57*($AP$3+#REF!),-1),""))</f>
        <v/>
      </c>
      <c r="BG57" s="547"/>
      <c r="BH57" s="559" t="str">
        <f>IF($G57="","",IF(AND($G57&gt;=30,$AT$3&lt;=BG$7),ROUND(BG57*($AP$3+#REF!),-1),""))</f>
        <v/>
      </c>
      <c r="BI57" s="547"/>
      <c r="BJ57" s="559" t="str">
        <f>IF($G57="","",IF(AND($G57&gt;=30,$AT$3&lt;=BI$7),ROUND(BI57*($AP$3+#REF!),-1),""))</f>
        <v/>
      </c>
      <c r="BK57" s="547"/>
      <c r="BL57" s="559" t="str">
        <f>IF($G57="","",IF(AND($G57&gt;=30,$AT$3&lt;=BK$7),ROUND(BK57*($AP$3+#REF!),-1),""))</f>
        <v/>
      </c>
      <c r="BM57" s="547"/>
      <c r="BN57" s="559" t="str">
        <f>IF($G57="","",IF(AND($G57&gt;=30,$AT$3&lt;=BM$7),ROUND(BM57*($AP$3+#REF!),-1),""))</f>
        <v/>
      </c>
      <c r="BO57" s="547"/>
      <c r="BP57" s="559" t="str">
        <f>IF($G57="","",IF(AND($G57&gt;=30,$AT$3&lt;=BO$7),ROUND(BO57*($AP$3+#REF!),-1),""))</f>
        <v/>
      </c>
      <c r="BQ57" s="547"/>
      <c r="BR57" s="559" t="str">
        <f>IF($G57="","",IF(AND($G57&gt;=30,$AT$3&lt;=BQ$7),ROUND(BQ57*($AP$3+#REF!),-1),""))</f>
        <v/>
      </c>
      <c r="BS57" s="547"/>
      <c r="BT57" s="559" t="str">
        <f>IF($G57="","",IF(AND($G57&gt;=30,$AT$3&lt;=BS$7),ROUND(BS57*($AP$3+#REF!),-1),""))</f>
        <v/>
      </c>
      <c r="BU57" s="547"/>
      <c r="BV57" s="559" t="str">
        <f>IF($G57="","",IF(AND($G57&gt;=30,$AT$3&lt;=BU$7),ROUND(BU57*($AP$3+#REF!),-1),""))</f>
        <v/>
      </c>
      <c r="BW57" s="547"/>
      <c r="BX57" s="559" t="str">
        <f>IF($G57="","",IF(AND($G57&gt;=30,$AT$3&lt;=BW$7),ROUND(BW57*($AP$3+#REF!),-1),""))</f>
        <v/>
      </c>
      <c r="BY57" s="547"/>
      <c r="BZ57" s="559" t="str">
        <f>IF($G57="","",IF(AND($G57&gt;=30,$AT$3&lt;=BY$7),ROUND(BY57*($AP$3+#REF!),-1),""))</f>
        <v/>
      </c>
      <c r="CA57" s="547"/>
      <c r="CB57" s="559" t="str">
        <f>IF($G57="","",IF(AND($G57&gt;=30,$AT$3&lt;=CA$7),ROUND(CA57*($AP$3+#REF!),-1),""))</f>
        <v/>
      </c>
      <c r="CC57" s="547"/>
      <c r="CD57" s="559" t="str">
        <f>IF($G57="","",IF(AND($G57&gt;=30,$AT$3&lt;=CC$7),ROUND(CC57*($AP$3+#REF!),-1),""))</f>
        <v/>
      </c>
      <c r="CE57" s="547"/>
      <c r="CF57" s="559" t="str">
        <f>IF($G57="","",IF(AND($G57&gt;=30,$AT$3&lt;=CE$7),ROUND(CE57*($AP$3+#REF!),-1),""))</f>
        <v/>
      </c>
      <c r="CG57" s="547"/>
      <c r="CH57" s="559" t="str">
        <f>IF($G57="","",IF(AND($G57&gt;=30,$AT$3&lt;=CG$7),ROUND(CG57*($AP$3+#REF!),-1),""))</f>
        <v/>
      </c>
      <c r="CI57" s="547"/>
      <c r="CJ57" s="559" t="str">
        <f>IF($G57="","",IF(AND($G57&gt;=30,$AT$3&lt;=CI$7),ROUND(CI57*($AP$3+#REF!),-1),""))</f>
        <v/>
      </c>
      <c r="CK57" s="547"/>
      <c r="CL57" s="559" t="str">
        <f>IF($G57="","",IF(AND($G57&gt;=30,$AT$3&lt;=CK$7),ROUND(CK57*($AP$3+#REF!),-1),""))</f>
        <v/>
      </c>
      <c r="CM57" s="547"/>
      <c r="CN57" s="559" t="str">
        <f>IF($G57="","",IF(AND($G57&gt;=30,$AT$3&lt;=CM$7),ROUND(CM57*($AP$3+#REF!),-1),""))</f>
        <v/>
      </c>
      <c r="CO57" s="547"/>
      <c r="CP57" s="559" t="str">
        <f>IF($G57="","",IF(AND($G57&gt;=30,$AT$3&lt;=CO$7),ROUND(CO57*($AP$3+#REF!),-1),""))</f>
        <v/>
      </c>
      <c r="CQ57" s="547"/>
      <c r="CR57" s="559" t="str">
        <f>IF($G57="","",IF(AND($G57&gt;=30,$AT$3&lt;=CQ$7),ROUND(CQ57*($AP$3+#REF!),-1),""))</f>
        <v/>
      </c>
      <c r="CS57" s="547"/>
      <c r="CT57" s="559" t="str">
        <f>IF($G57="","",IF(AND($G57&gt;=30,$AT$3&lt;=CS$7),ROUND(CS57*($AP$3+#REF!),-1),""))</f>
        <v/>
      </c>
      <c r="CU57" s="547"/>
      <c r="CV57" s="559" t="str">
        <f>IF($G57="","",IF(AND($G57&gt;=30,$AT$3&lt;=CU$7),ROUND(CU57*($AP$3+#REF!),-1),""))</f>
        <v/>
      </c>
      <c r="CW57" s="547"/>
      <c r="CX57" s="559" t="str">
        <f>IF($G57="","",IF(AND($G57&gt;=30,$AT$3&lt;=CW$7),ROUND(CW57*($AP$3+#REF!),-1),""))</f>
        <v/>
      </c>
      <c r="CY57" s="547"/>
      <c r="CZ57" s="559" t="str">
        <f>IF($G57="","",IF(AND($G57&gt;=30,$AT$3&lt;=CY$7),ROUND(CY57*($AP$3+#REF!),-1),""))</f>
        <v/>
      </c>
      <c r="DA57" s="547"/>
      <c r="DB57" s="559" t="str">
        <f>IF($G57="","",IF(AND($G57&gt;=30,$AT$3&lt;=DA$7),ROUND(DA57*($AP$3+#REF!),-1),""))</f>
        <v/>
      </c>
      <c r="DC57" s="547"/>
      <c r="DD57" s="559" t="str">
        <f>IF($G57="","",IF(AND($G57&gt;=30,$AT$3&lt;=DC$7),ROUND(DC57*($AP$3+#REF!),-1),""))</f>
        <v/>
      </c>
      <c r="DE57" s="547"/>
      <c r="DF57" s="559" t="str">
        <f>IF($G57="","",IF(AND($G57&gt;=30,$AT$3&lt;=DE$7),ROUND(DE57*($AP$3+#REF!),-1),""))</f>
        <v/>
      </c>
      <c r="DG57" s="547"/>
      <c r="DH57" s="559" t="str">
        <f>IF($G57="","",IF(AND($G57&gt;=30,$AT$3&lt;=DG$7),ROUND(DG57*($AP$3+#REF!),-1),""))</f>
        <v/>
      </c>
      <c r="DI57" s="547"/>
      <c r="DJ57" s="559" t="str">
        <f>IF($G57="","",IF(AND($G57&gt;=30,$AT$3&lt;=DI$7),ROUND(DI57*($AP$3+#REF!),-1),""))</f>
        <v/>
      </c>
      <c r="DK57" s="547"/>
      <c r="DL57" s="559" t="str">
        <f>IF($G57="","",IF(AND($G57&gt;=30,$AT$3&lt;=DK$7),ROUND(DK57*($AP$3+#REF!),-1),""))</f>
        <v/>
      </c>
      <c r="DM57" s="547"/>
      <c r="DN57" s="559" t="str">
        <f>IF($G57="","",IF(AND($G57&gt;=30,$AT$3&lt;=DM$7),ROUND(DM57*($AP$3+#REF!),-1),""))</f>
        <v/>
      </c>
      <c r="DO57" s="547"/>
      <c r="DP57" s="559" t="str">
        <f>IF($G57="","",IF(AND($G57&gt;=30,$AT$3&lt;=DO$7),ROUND(DO57*($AP$3+#REF!),-1),""))</f>
        <v/>
      </c>
      <c r="DQ57" s="547"/>
      <c r="DR57" s="559" t="str">
        <f>IF($G57="","",IF(AND($G57&gt;=30,$AT$3&lt;=DQ$7),ROUND(DQ57*($AP$3+#REF!),-1),""))</f>
        <v/>
      </c>
      <c r="DS57" s="547"/>
      <c r="DT57" s="559" t="str">
        <f>IF($G57="","",IF(AND($G57&gt;=30,$AT$3&lt;=DS$7),ROUND(DS57*($AP$3+#REF!),-1),""))</f>
        <v/>
      </c>
      <c r="DU57" s="547"/>
      <c r="DV57" s="559" t="str">
        <f>IF($G57="","",IF(AND($G57&gt;=30,$AT$3&lt;=DU$7),ROUND(DU57*($AP$3+#REF!),-1),""))</f>
        <v/>
      </c>
      <c r="DW57" s="547"/>
      <c r="DX57" s="559" t="str">
        <f>IF($G57="","",IF(AND($G57&gt;=30,$AT$3&lt;=DW$7),ROUND(DW57*($AP$3+#REF!),-1),""))</f>
        <v/>
      </c>
      <c r="DY57" s="547"/>
      <c r="DZ57" s="559" t="str">
        <f>IF($G57="","",IF(AND($G57&gt;=30,$AT$3&lt;=DY$7),ROUND(DY57*($AP$3+#REF!),-1),""))</f>
        <v/>
      </c>
      <c r="EA57" s="547"/>
      <c r="EB57" s="559" t="str">
        <f>IF($G57="","",IF(AND($G57&gt;=30,$AT$3&lt;=EA$7),ROUND(EA57*($AP$3+#REF!),-1),""))</f>
        <v/>
      </c>
      <c r="EC57" s="547" t="s">
        <v>621</v>
      </c>
      <c r="ED57" s="1126">
        <f>SUM(EC57:EC68)</f>
        <v>0</v>
      </c>
      <c r="EE57" s="325">
        <v>1</v>
      </c>
      <c r="EG57" s="347"/>
      <c r="EH57" s="347"/>
      <c r="EI57" s="347"/>
      <c r="EJ57" s="347"/>
      <c r="EK57" s="347"/>
      <c r="EL57" s="347"/>
      <c r="EM57" s="347"/>
      <c r="EN57" s="347"/>
      <c r="EO57" s="347"/>
      <c r="EP57" s="347"/>
      <c r="EQ57" s="347"/>
      <c r="ER57" s="347"/>
      <c r="ES57" s="347"/>
      <c r="ET57" s="347"/>
      <c r="EU57" s="347"/>
      <c r="EV57" s="347"/>
      <c r="EW57" s="347"/>
      <c r="EX57" s="347"/>
      <c r="EY57" s="347"/>
      <c r="EZ57" s="347"/>
      <c r="FA57" s="347"/>
      <c r="FB57" s="347"/>
      <c r="FC57" s="347"/>
      <c r="FD57" s="347"/>
      <c r="FE57" s="347"/>
      <c r="FF57" s="347"/>
      <c r="FG57" s="347"/>
      <c r="FH57" s="347"/>
      <c r="FI57" s="347"/>
      <c r="FJ57" s="347"/>
      <c r="FK57" s="347"/>
      <c r="FL57" s="347"/>
    </row>
    <row r="58" spans="1:168" ht="10">
      <c r="A58" s="321" t="str">
        <f t="shared" si="21"/>
        <v/>
      </c>
      <c r="B58" s="567" t="e">
        <f>(ii!$D$13*12+V58)</f>
        <v>#REF!</v>
      </c>
      <c r="C58" s="337">
        <f t="shared" si="8"/>
        <v>43890</v>
      </c>
      <c r="D58" s="484">
        <f t="shared" si="0"/>
        <v>2020</v>
      </c>
      <c r="E58" s="484">
        <f t="shared" si="1"/>
        <v>0.16666666666666666</v>
      </c>
      <c r="F58" s="484">
        <f t="shared" si="2"/>
        <v>2020.1666666666667</v>
      </c>
      <c r="G58" s="485" t="s">
        <v>621</v>
      </c>
      <c r="H58" s="486" t="str">
        <f t="shared" si="13"/>
        <v/>
      </c>
      <c r="I58" s="486" t="str">
        <f t="shared" si="20"/>
        <v/>
      </c>
      <c r="J58" s="487"/>
      <c r="K58" s="488"/>
      <c r="L58" s="548"/>
      <c r="M58" s="489" t="str">
        <f t="shared" si="12"/>
        <v/>
      </c>
      <c r="N58" s="490" t="s">
        <v>621</v>
      </c>
      <c r="O58" s="490" t="str">
        <f t="shared" si="5"/>
        <v/>
      </c>
      <c r="P58" s="491"/>
      <c r="Q58" s="491"/>
      <c r="R58" s="491" t="str">
        <f t="shared" si="6"/>
        <v/>
      </c>
      <c r="S58" s="528" t="str">
        <f t="shared" si="22"/>
        <v/>
      </c>
      <c r="T58" s="528" t="str">
        <f t="shared" si="23"/>
        <v/>
      </c>
      <c r="U58" s="493" t="str">
        <f>IF(H58="","",#REF!*12+#REF!+#REF!*12+#REF!)</f>
        <v/>
      </c>
      <c r="V58" s="338" t="e">
        <v>#REF!</v>
      </c>
      <c r="W58" s="339" t="e">
        <f t="shared" si="10"/>
        <v>#REF!</v>
      </c>
      <c r="X58" s="494" t="s">
        <v>621</v>
      </c>
      <c r="Y58" s="495" t="s">
        <v>621</v>
      </c>
      <c r="Z58" s="496"/>
      <c r="AA58" s="497"/>
      <c r="AB58" s="498" t="str">
        <f t="shared" si="19"/>
        <v/>
      </c>
      <c r="AC58" s="484" t="str">
        <f t="shared" si="15"/>
        <v/>
      </c>
      <c r="AD58" s="495" t="str">
        <f t="shared" si="16"/>
        <v/>
      </c>
      <c r="AE58" s="499" t="s">
        <v>621</v>
      </c>
      <c r="AF58" s="500" t="s">
        <v>621</v>
      </c>
      <c r="AG58" s="556" t="s">
        <v>621</v>
      </c>
      <c r="AH58" s="503" t="str">
        <f>IF($G58="","",IF(AND($G58&gt;=30,$AT$3&lt;=AG$7),ROUND(AG58*($AP$3+#REF!),-1),""))</f>
        <v/>
      </c>
      <c r="AI58" s="506" t="s">
        <v>621</v>
      </c>
      <c r="AJ58" s="503" t="str">
        <f>IF($G58="","",IF(AND($G58&gt;=30,$AT$3&lt;=AI$7),ROUND(AI58*($AP$3+#REF!),-1),""))</f>
        <v/>
      </c>
      <c r="AK58" s="506" t="s">
        <v>621</v>
      </c>
      <c r="AL58" s="503" t="str">
        <f>IF($G58="","",IF(AND($G58&gt;=30,$AT$3&lt;=AK$7),ROUND(AK58*($AP$3+#REF!),-1),""))</f>
        <v/>
      </c>
      <c r="AM58" s="506" t="s">
        <v>621</v>
      </c>
      <c r="AN58" s="503" t="str">
        <f>IF($G58="","",IF(AND($G58&gt;=30,$AT$3&lt;=AM$7),ROUND(AM58*($AP$3+#REF!),-1),""))</f>
        <v/>
      </c>
      <c r="AO58" s="517" t="e">
        <v>#REF!</v>
      </c>
      <c r="AP58" s="503" t="str">
        <f>IF($G58="","",IF(AND($G58&gt;=30,$AT$3&lt;=AO$7),ROUND(AO58*($AP$3+#REF!),-1),""))</f>
        <v/>
      </c>
      <c r="AQ58" s="502"/>
      <c r="AR58" s="503" t="str">
        <f>IF($G58="","",IF(AND($G58&gt;=30,$AT$3&lt;=AQ$7),ROUND(AQ58*($AP$3+#REF!),-1),""))</f>
        <v/>
      </c>
      <c r="AS58" s="503"/>
      <c r="AT58" s="503" t="str">
        <f>IF($G58="","",IF(AND($G58&gt;=30,$AT$3&lt;=AS$7),ROUND(AS58*($AP$3+#REF!),-1),""))</f>
        <v/>
      </c>
      <c r="AU58" s="502"/>
      <c r="AV58" s="503" t="str">
        <f>IF($G58="","",IF(AND($G58&gt;=30,$AT$3&lt;=AU$7),ROUND(AU58*($AP$3+#REF!),-1),""))</f>
        <v/>
      </c>
      <c r="AW58" s="503"/>
      <c r="AX58" s="503" t="str">
        <f>IF($G58="","",IF(AND($G58&gt;=30,$AT$3&lt;=AW$7),ROUND(AW58*($AP$3+#REF!),-1),""))</f>
        <v/>
      </c>
      <c r="AY58" s="502"/>
      <c r="AZ58" s="503" t="str">
        <f>IF($G58="","",IF(AND($G58&gt;=30,$AT$3&lt;=AY$7),ROUND(AY58*($AP$3+#REF!),-1),""))</f>
        <v/>
      </c>
      <c r="BA58" s="503"/>
      <c r="BB58" s="503" t="str">
        <f>IF($G58="","",IF(AND($G58&gt;=30,$AT$3&lt;=BA$7),ROUND(BA58*($AP$3+#REF!),-1),""))</f>
        <v/>
      </c>
      <c r="BC58" s="502"/>
      <c r="BD58" s="503" t="str">
        <f>IF($G58="","",IF(AND($G58&gt;=30,$AT$3&lt;=BC$7),ROUND(BC58*($AP$3+#REF!),-1),""))</f>
        <v/>
      </c>
      <c r="BE58" s="503"/>
      <c r="BF58" s="503" t="str">
        <f>IF($G58="","",IF(AND($G58&gt;=30,$AT$3&lt;=BE$7),ROUND(BE58*($AP$3+#REF!),-1),""))</f>
        <v/>
      </c>
      <c r="BG58" s="502"/>
      <c r="BH58" s="503" t="str">
        <f>IF($G58="","",IF(AND($G58&gt;=30,$AT$3&lt;=BG$7),ROUND(BG58*($AP$3+#REF!),-1),""))</f>
        <v/>
      </c>
      <c r="BI58" s="503"/>
      <c r="BJ58" s="503" t="str">
        <f>IF($G58="","",IF(AND($G58&gt;=30,$AT$3&lt;=BI$7),ROUND(BI58*($AP$3+#REF!),-1),""))</f>
        <v/>
      </c>
      <c r="BK58" s="502"/>
      <c r="BL58" s="503" t="str">
        <f>IF($G58="","",IF(AND($G58&gt;=30,$AT$3&lt;=BK$7),ROUND(BK58*($AP$3+#REF!),-1),""))</f>
        <v/>
      </c>
      <c r="BM58" s="503"/>
      <c r="BN58" s="503" t="str">
        <f>IF($G58="","",IF(AND($G58&gt;=30,$AT$3&lt;=BM$7),ROUND(BM58*($AP$3+#REF!),-1),""))</f>
        <v/>
      </c>
      <c r="BO58" s="502"/>
      <c r="BP58" s="503" t="str">
        <f>IF($G58="","",IF(AND($G58&gt;=30,$AT$3&lt;=BO$7),ROUND(BO58*($AP$3+#REF!),-1),""))</f>
        <v/>
      </c>
      <c r="BQ58" s="503"/>
      <c r="BR58" s="503" t="str">
        <f>IF($G58="","",IF(AND($G58&gt;=30,$AT$3&lt;=BQ$7),ROUND(BQ58*($AP$3+#REF!),-1),""))</f>
        <v/>
      </c>
      <c r="BS58" s="502"/>
      <c r="BT58" s="503" t="str">
        <f>IF($G58="","",IF(AND($G58&gt;=30,$AT$3&lt;=BS$7),ROUND(BS58*($AP$3+#REF!),-1),""))</f>
        <v/>
      </c>
      <c r="BU58" s="503"/>
      <c r="BV58" s="503" t="str">
        <f>IF($G58="","",IF(AND($G58&gt;=30,$AT$3&lt;=BU$7),ROUND(BU58*($AP$3+#REF!),-1),""))</f>
        <v/>
      </c>
      <c r="BW58" s="502"/>
      <c r="BX58" s="503" t="str">
        <f>IF($G58="","",IF(AND($G58&gt;=30,$AT$3&lt;=BW$7),ROUND(BW58*($AP$3+#REF!),-1),""))</f>
        <v/>
      </c>
      <c r="BY58" s="503"/>
      <c r="BZ58" s="503" t="str">
        <f>IF($G58="","",IF(AND($G58&gt;=30,$AT$3&lt;=BY$7),ROUND(BY58*($AP$3+#REF!),-1),""))</f>
        <v/>
      </c>
      <c r="CA58" s="502"/>
      <c r="CB58" s="503" t="str">
        <f>IF($G58="","",IF(AND($G58&gt;=30,$AT$3&lt;=CA$7),ROUND(CA58*($AP$3+#REF!),-1),""))</f>
        <v/>
      </c>
      <c r="CC58" s="503"/>
      <c r="CD58" s="503" t="str">
        <f>IF($G58="","",IF(AND($G58&gt;=30,$AT$3&lt;=CC$7),ROUND(CC58*($AP$3+#REF!),-1),""))</f>
        <v/>
      </c>
      <c r="CE58" s="502"/>
      <c r="CF58" s="503" t="str">
        <f>IF($G58="","",IF(AND($G58&gt;=30,$AT$3&lt;=CE$7),ROUND(CE58*($AP$3+#REF!),-1),""))</f>
        <v/>
      </c>
      <c r="CG58" s="503"/>
      <c r="CH58" s="503" t="str">
        <f>IF($G58="","",IF(AND($G58&gt;=30,$AT$3&lt;=CG$7),ROUND(CG58*($AP$3+#REF!),-1),""))</f>
        <v/>
      </c>
      <c r="CI58" s="502"/>
      <c r="CJ58" s="503" t="str">
        <f>IF($G58="","",IF(AND($G58&gt;=30,$AT$3&lt;=CI$7),ROUND(CI58*($AP$3+#REF!),-1),""))</f>
        <v/>
      </c>
      <c r="CK58" s="503"/>
      <c r="CL58" s="503" t="str">
        <f>IF($G58="","",IF(AND($G58&gt;=30,$AT$3&lt;=CK$7),ROUND(CK58*($AP$3+#REF!),-1),""))</f>
        <v/>
      </c>
      <c r="CM58" s="502"/>
      <c r="CN58" s="503" t="str">
        <f>IF($G58="","",IF(AND($G58&gt;=30,$AT$3&lt;=CM$7),ROUND(CM58*($AP$3+#REF!),-1),""))</f>
        <v/>
      </c>
      <c r="CO58" s="503"/>
      <c r="CP58" s="503" t="str">
        <f>IF($G58="","",IF(AND($G58&gt;=30,$AT$3&lt;=CO$7),ROUND(CO58*($AP$3+#REF!),-1),""))</f>
        <v/>
      </c>
      <c r="CQ58" s="502"/>
      <c r="CR58" s="503" t="str">
        <f>IF($G58="","",IF(AND($G58&gt;=30,$AT$3&lt;=CQ$7),ROUND(CQ58*($AP$3+#REF!),-1),""))</f>
        <v/>
      </c>
      <c r="CS58" s="503"/>
      <c r="CT58" s="503" t="str">
        <f>IF($G58="","",IF(AND($G58&gt;=30,$AT$3&lt;=CS$7),ROUND(CS58*($AP$3+#REF!),-1),""))</f>
        <v/>
      </c>
      <c r="CU58" s="502"/>
      <c r="CV58" s="503" t="str">
        <f>IF($G58="","",IF(AND($G58&gt;=30,$AT$3&lt;=CU$7),ROUND(CU58*($AP$3+#REF!),-1),""))</f>
        <v/>
      </c>
      <c r="CW58" s="503"/>
      <c r="CX58" s="503" t="str">
        <f>IF($G58="","",IF(AND($G58&gt;=30,$AT$3&lt;=CW$7),ROUND(CW58*($AP$3+#REF!),-1),""))</f>
        <v/>
      </c>
      <c r="CY58" s="502"/>
      <c r="CZ58" s="503" t="str">
        <f>IF($G58="","",IF(AND($G58&gt;=30,$AT$3&lt;=CY$7),ROUND(CY58*($AP$3+#REF!),-1),""))</f>
        <v/>
      </c>
      <c r="DA58" s="503"/>
      <c r="DB58" s="503" t="str">
        <f>IF($G58="","",IF(AND($G58&gt;=30,$AT$3&lt;=DA$7),ROUND(DA58*($AP$3+#REF!),-1),""))</f>
        <v/>
      </c>
      <c r="DC58" s="502"/>
      <c r="DD58" s="503" t="str">
        <f>IF($G58="","",IF(AND($G58&gt;=30,$AT$3&lt;=DC$7),ROUND(DC58*($AP$3+#REF!),-1),""))</f>
        <v/>
      </c>
      <c r="DE58" s="503"/>
      <c r="DF58" s="503" t="str">
        <f>IF($G58="","",IF(AND($G58&gt;=30,$AT$3&lt;=DE$7),ROUND(DE58*($AP$3+#REF!),-1),""))</f>
        <v/>
      </c>
      <c r="DG58" s="503"/>
      <c r="DH58" s="503" t="str">
        <f>IF($G58="","",IF(AND($G58&gt;=30,$AT$3&lt;=DG$7),ROUND(DG58*($AP$3+#REF!),-1),""))</f>
        <v/>
      </c>
      <c r="DI58" s="503"/>
      <c r="DJ58" s="503" t="str">
        <f>IF($G58="","",IF(AND($G58&gt;=30,$AT$3&lt;=DI$7),ROUND(DI58*($AP$3+#REF!),-1),""))</f>
        <v/>
      </c>
      <c r="DK58" s="503"/>
      <c r="DL58" s="503" t="str">
        <f>IF($G58="","",IF(AND($G58&gt;=30,$AT$3&lt;=DK$7),ROUND(DK58*($AP$3+#REF!),-1),""))</f>
        <v/>
      </c>
      <c r="DM58" s="503"/>
      <c r="DN58" s="503" t="str">
        <f>IF($G58="","",IF(AND($G58&gt;=30,$AT$3&lt;=DM$7),ROUND(DM58*($AP$3+#REF!),-1),""))</f>
        <v/>
      </c>
      <c r="DO58" s="503"/>
      <c r="DP58" s="503" t="str">
        <f>IF($G58="","",IF(AND($G58&gt;=30,$AT$3&lt;=DO$7),ROUND(DO58*($AP$3+#REF!),-1),""))</f>
        <v/>
      </c>
      <c r="DQ58" s="503"/>
      <c r="DR58" s="503" t="str">
        <f>IF($G58="","",IF(AND($G58&gt;=30,$AT$3&lt;=DQ$7),ROUND(DQ58*($AP$3+#REF!),-1),""))</f>
        <v/>
      </c>
      <c r="DS58" s="503"/>
      <c r="DT58" s="503" t="str">
        <f>IF($G58="","",IF(AND($G58&gt;=30,$AT$3&lt;=DS$7),ROUND(DS58*($AP$3+#REF!),-1),""))</f>
        <v/>
      </c>
      <c r="DU58" s="503"/>
      <c r="DV58" s="503" t="str">
        <f>IF($G58="","",IF(AND($G58&gt;=30,$AT$3&lt;=DU$7),ROUND(DU58*($AP$3+#REF!),-1),""))</f>
        <v/>
      </c>
      <c r="DW58" s="503"/>
      <c r="DX58" s="503" t="str">
        <f>IF($G58="","",IF(AND($G58&gt;=30,$AT$3&lt;=DW$7),ROUND(DW58*($AP$3+#REF!),-1),""))</f>
        <v/>
      </c>
      <c r="DY58" s="503"/>
      <c r="DZ58" s="503" t="str">
        <f>IF($G58="","",IF(AND($G58&gt;=30,$AT$3&lt;=DY$7),ROUND(DY58*($AP$3+#REF!),-1),""))</f>
        <v/>
      </c>
      <c r="EA58" s="503"/>
      <c r="EB58" s="503" t="str">
        <f>IF($G58="","",IF(AND($G58&gt;=30,$AT$3&lt;=EA$7),ROUND(EA58*($AP$3+#REF!),-1),""))</f>
        <v/>
      </c>
      <c r="EC58" s="504" t="s">
        <v>621</v>
      </c>
      <c r="ED58" s="1126"/>
      <c r="EE58" s="325">
        <v>2</v>
      </c>
      <c r="EG58" s="347"/>
      <c r="EH58" s="347"/>
      <c r="EI58" s="347"/>
      <c r="EJ58" s="347"/>
      <c r="EK58" s="347"/>
      <c r="EL58" s="347"/>
      <c r="EM58" s="347"/>
      <c r="EN58" s="347"/>
      <c r="EO58" s="347"/>
      <c r="EP58" s="347"/>
      <c r="EQ58" s="347"/>
      <c r="ER58" s="347"/>
      <c r="ES58" s="347"/>
      <c r="ET58" s="347"/>
      <c r="EU58" s="347"/>
      <c r="EV58" s="347"/>
      <c r="EW58" s="347"/>
      <c r="EX58" s="347"/>
      <c r="EY58" s="347"/>
      <c r="EZ58" s="347"/>
      <c r="FA58" s="347"/>
      <c r="FB58" s="347"/>
      <c r="FC58" s="347"/>
      <c r="FD58" s="347"/>
      <c r="FE58" s="347"/>
      <c r="FF58" s="347"/>
      <c r="FG58" s="347"/>
      <c r="FH58" s="347"/>
      <c r="FI58" s="347"/>
      <c r="FJ58" s="347"/>
      <c r="FK58" s="347"/>
      <c r="FL58" s="347"/>
    </row>
    <row r="59" spans="1:168" ht="10">
      <c r="A59" s="321" t="str">
        <f t="shared" si="21"/>
        <v/>
      </c>
      <c r="B59" s="567" t="e">
        <f>(ii!$D$13*12+V59)</f>
        <v>#REF!</v>
      </c>
      <c r="C59" s="337">
        <f t="shared" si="8"/>
        <v>43921</v>
      </c>
      <c r="D59" s="484">
        <f t="shared" si="0"/>
        <v>2020</v>
      </c>
      <c r="E59" s="484">
        <f t="shared" si="1"/>
        <v>0.25</v>
      </c>
      <c r="F59" s="484">
        <f t="shared" si="2"/>
        <v>2020.25</v>
      </c>
      <c r="G59" s="485" t="s">
        <v>621</v>
      </c>
      <c r="H59" s="486" t="str">
        <f t="shared" si="13"/>
        <v/>
      </c>
      <c r="I59" s="486" t="str">
        <f t="shared" si="20"/>
        <v/>
      </c>
      <c r="J59" s="487"/>
      <c r="K59" s="488"/>
      <c r="L59" s="548"/>
      <c r="M59" s="489" t="str">
        <f t="shared" si="12"/>
        <v/>
      </c>
      <c r="N59" s="490" t="s">
        <v>621</v>
      </c>
      <c r="O59" s="490" t="str">
        <f t="shared" si="5"/>
        <v/>
      </c>
      <c r="P59" s="491"/>
      <c r="Q59" s="491"/>
      <c r="R59" s="491" t="str">
        <f t="shared" si="6"/>
        <v/>
      </c>
      <c r="S59" s="528" t="str">
        <f t="shared" si="22"/>
        <v/>
      </c>
      <c r="T59" s="528" t="str">
        <f t="shared" si="23"/>
        <v/>
      </c>
      <c r="U59" s="493" t="str">
        <f>IF(H59="","",#REF!*12+#REF!+#REF!*12+#REF!)</f>
        <v/>
      </c>
      <c r="V59" s="338" t="e">
        <v>#REF!</v>
      </c>
      <c r="W59" s="339" t="e">
        <f t="shared" si="10"/>
        <v>#REF!</v>
      </c>
      <c r="X59" s="494" t="s">
        <v>621</v>
      </c>
      <c r="Y59" s="495" t="s">
        <v>621</v>
      </c>
      <c r="Z59" s="496"/>
      <c r="AA59" s="497"/>
      <c r="AB59" s="498" t="str">
        <f t="shared" si="19"/>
        <v/>
      </c>
      <c r="AC59" s="484" t="str">
        <f t="shared" si="15"/>
        <v/>
      </c>
      <c r="AD59" s="495" t="str">
        <f t="shared" si="16"/>
        <v/>
      </c>
      <c r="AE59" s="499" t="s">
        <v>621</v>
      </c>
      <c r="AF59" s="500" t="s">
        <v>621</v>
      </c>
      <c r="AG59" s="556" t="s">
        <v>621</v>
      </c>
      <c r="AH59" s="503" t="str">
        <f>IF($G59="","",IF(AND($G59&gt;=30,$AT$3&lt;=AG$7),ROUND(AG59*($AP$3+#REF!),-1),""))</f>
        <v/>
      </c>
      <c r="AI59" s="506" t="s">
        <v>621</v>
      </c>
      <c r="AJ59" s="503" t="str">
        <f>IF($G59="","",IF(AND($G59&gt;=30,$AT$3&lt;=AI$7),ROUND(AI59*($AP$3+#REF!),-1),""))</f>
        <v/>
      </c>
      <c r="AK59" s="506" t="s">
        <v>621</v>
      </c>
      <c r="AL59" s="503" t="str">
        <f>IF($G59="","",IF(AND($G59&gt;=30,$AT$3&lt;=AK$7),ROUND(AK59*($AP$3+#REF!),-1),""))</f>
        <v/>
      </c>
      <c r="AM59" s="506" t="s">
        <v>621</v>
      </c>
      <c r="AN59" s="503" t="str">
        <f>IF($G59="","",IF(AND($G59&gt;=30,$AT$3&lt;=AM$7),ROUND(AM59*($AP$3+#REF!),-1),""))</f>
        <v/>
      </c>
      <c r="AO59" s="517" t="e">
        <v>#REF!</v>
      </c>
      <c r="AP59" s="503" t="str">
        <f>IF($G59="","",IF(AND($G59&gt;=30,$AT$3&lt;=AO$7),ROUND(AO59*($AP$3+#REF!),-1),""))</f>
        <v/>
      </c>
      <c r="AQ59" s="502"/>
      <c r="AR59" s="503" t="str">
        <f>IF($G59="","",IF(AND($G59&gt;=30,$AT$3&lt;=AQ$7),ROUND(AQ59*($AP$3+#REF!),-1),""))</f>
        <v/>
      </c>
      <c r="AS59" s="503"/>
      <c r="AT59" s="503" t="str">
        <f>IF($G59="","",IF(AND($G59&gt;=30,$AT$3&lt;=AS$7),ROUND(AS59*($AP$3+#REF!),-1),""))</f>
        <v/>
      </c>
      <c r="AU59" s="502"/>
      <c r="AV59" s="503" t="str">
        <f>IF($G59="","",IF(AND($G59&gt;=30,$AT$3&lt;=AU$7),ROUND(AU59*($AP$3+#REF!),-1),""))</f>
        <v/>
      </c>
      <c r="AW59" s="503"/>
      <c r="AX59" s="503" t="str">
        <f>IF($G59="","",IF(AND($G59&gt;=30,$AT$3&lt;=AW$7),ROUND(AW59*($AP$3+#REF!),-1),""))</f>
        <v/>
      </c>
      <c r="AY59" s="502"/>
      <c r="AZ59" s="503" t="str">
        <f>IF($G59="","",IF(AND($G59&gt;=30,$AT$3&lt;=AY$7),ROUND(AY59*($AP$3+#REF!),-1),""))</f>
        <v/>
      </c>
      <c r="BA59" s="503"/>
      <c r="BB59" s="503" t="str">
        <f>IF($G59="","",IF(AND($G59&gt;=30,$AT$3&lt;=BA$7),ROUND(BA59*($AP$3+#REF!),-1),""))</f>
        <v/>
      </c>
      <c r="BC59" s="502"/>
      <c r="BD59" s="503" t="str">
        <f>IF($G59="","",IF(AND($G59&gt;=30,$AT$3&lt;=BC$7),ROUND(BC59*($AP$3+#REF!),-1),""))</f>
        <v/>
      </c>
      <c r="BE59" s="503"/>
      <c r="BF59" s="503" t="str">
        <f>IF($G59="","",IF(AND($G59&gt;=30,$AT$3&lt;=BE$7),ROUND(BE59*($AP$3+#REF!),-1),""))</f>
        <v/>
      </c>
      <c r="BG59" s="502"/>
      <c r="BH59" s="503" t="str">
        <f>IF($G59="","",IF(AND($G59&gt;=30,$AT$3&lt;=BG$7),ROUND(BG59*($AP$3+#REF!),-1),""))</f>
        <v/>
      </c>
      <c r="BI59" s="503"/>
      <c r="BJ59" s="503" t="str">
        <f>IF($G59="","",IF(AND($G59&gt;=30,$AT$3&lt;=BI$7),ROUND(BI59*($AP$3+#REF!),-1),""))</f>
        <v/>
      </c>
      <c r="BK59" s="502"/>
      <c r="BL59" s="503" t="str">
        <f>IF($G59="","",IF(AND($G59&gt;=30,$AT$3&lt;=BK$7),ROUND(BK59*($AP$3+#REF!),-1),""))</f>
        <v/>
      </c>
      <c r="BM59" s="503"/>
      <c r="BN59" s="503" t="str">
        <f>IF($G59="","",IF(AND($G59&gt;=30,$AT$3&lt;=BM$7),ROUND(BM59*($AP$3+#REF!),-1),""))</f>
        <v/>
      </c>
      <c r="BO59" s="502"/>
      <c r="BP59" s="503" t="str">
        <f>IF($G59="","",IF(AND($G59&gt;=30,$AT$3&lt;=BO$7),ROUND(BO59*($AP$3+#REF!),-1),""))</f>
        <v/>
      </c>
      <c r="BQ59" s="503"/>
      <c r="BR59" s="503" t="str">
        <f>IF($G59="","",IF(AND($G59&gt;=30,$AT$3&lt;=BQ$7),ROUND(BQ59*($AP$3+#REF!),-1),""))</f>
        <v/>
      </c>
      <c r="BS59" s="502"/>
      <c r="BT59" s="503" t="str">
        <f>IF($G59="","",IF(AND($G59&gt;=30,$AT$3&lt;=BS$7),ROUND(BS59*($AP$3+#REF!),-1),""))</f>
        <v/>
      </c>
      <c r="BU59" s="503"/>
      <c r="BV59" s="503" t="str">
        <f>IF($G59="","",IF(AND($G59&gt;=30,$AT$3&lt;=BU$7),ROUND(BU59*($AP$3+#REF!),-1),""))</f>
        <v/>
      </c>
      <c r="BW59" s="502"/>
      <c r="BX59" s="503" t="str">
        <f>IF($G59="","",IF(AND($G59&gt;=30,$AT$3&lt;=BW$7),ROUND(BW59*($AP$3+#REF!),-1),""))</f>
        <v/>
      </c>
      <c r="BY59" s="503"/>
      <c r="BZ59" s="503" t="str">
        <f>IF($G59="","",IF(AND($G59&gt;=30,$AT$3&lt;=BY$7),ROUND(BY59*($AP$3+#REF!),-1),""))</f>
        <v/>
      </c>
      <c r="CA59" s="502"/>
      <c r="CB59" s="503" t="str">
        <f>IF($G59="","",IF(AND($G59&gt;=30,$AT$3&lt;=CA$7),ROUND(CA59*($AP$3+#REF!),-1),""))</f>
        <v/>
      </c>
      <c r="CC59" s="503"/>
      <c r="CD59" s="503" t="str">
        <f>IF($G59="","",IF(AND($G59&gt;=30,$AT$3&lt;=CC$7),ROUND(CC59*($AP$3+#REF!),-1),""))</f>
        <v/>
      </c>
      <c r="CE59" s="502"/>
      <c r="CF59" s="503" t="str">
        <f>IF($G59="","",IF(AND($G59&gt;=30,$AT$3&lt;=CE$7),ROUND(CE59*($AP$3+#REF!),-1),""))</f>
        <v/>
      </c>
      <c r="CG59" s="503"/>
      <c r="CH59" s="503" t="str">
        <f>IF($G59="","",IF(AND($G59&gt;=30,$AT$3&lt;=CG$7),ROUND(CG59*($AP$3+#REF!),-1),""))</f>
        <v/>
      </c>
      <c r="CI59" s="502"/>
      <c r="CJ59" s="503" t="str">
        <f>IF($G59="","",IF(AND($G59&gt;=30,$AT$3&lt;=CI$7),ROUND(CI59*($AP$3+#REF!),-1),""))</f>
        <v/>
      </c>
      <c r="CK59" s="503"/>
      <c r="CL59" s="503" t="str">
        <f>IF($G59="","",IF(AND($G59&gt;=30,$AT$3&lt;=CK$7),ROUND(CK59*($AP$3+#REF!),-1),""))</f>
        <v/>
      </c>
      <c r="CM59" s="502"/>
      <c r="CN59" s="503" t="str">
        <f>IF($G59="","",IF(AND($G59&gt;=30,$AT$3&lt;=CM$7),ROUND(CM59*($AP$3+#REF!),-1),""))</f>
        <v/>
      </c>
      <c r="CO59" s="503"/>
      <c r="CP59" s="503" t="str">
        <f>IF($G59="","",IF(AND($G59&gt;=30,$AT$3&lt;=CO$7),ROUND(CO59*($AP$3+#REF!),-1),""))</f>
        <v/>
      </c>
      <c r="CQ59" s="502"/>
      <c r="CR59" s="503" t="str">
        <f>IF($G59="","",IF(AND($G59&gt;=30,$AT$3&lt;=CQ$7),ROUND(CQ59*($AP$3+#REF!),-1),""))</f>
        <v/>
      </c>
      <c r="CS59" s="503"/>
      <c r="CT59" s="503" t="str">
        <f>IF($G59="","",IF(AND($G59&gt;=30,$AT$3&lt;=CS$7),ROUND(CS59*($AP$3+#REF!),-1),""))</f>
        <v/>
      </c>
      <c r="CU59" s="502"/>
      <c r="CV59" s="503" t="str">
        <f>IF($G59="","",IF(AND($G59&gt;=30,$AT$3&lt;=CU$7),ROUND(CU59*($AP$3+#REF!),-1),""))</f>
        <v/>
      </c>
      <c r="CW59" s="503"/>
      <c r="CX59" s="503" t="str">
        <f>IF($G59="","",IF(AND($G59&gt;=30,$AT$3&lt;=CW$7),ROUND(CW59*($AP$3+#REF!),-1),""))</f>
        <v/>
      </c>
      <c r="CY59" s="502"/>
      <c r="CZ59" s="503" t="str">
        <f>IF($G59="","",IF(AND($G59&gt;=30,$AT$3&lt;=CY$7),ROUND(CY59*($AP$3+#REF!),-1),""))</f>
        <v/>
      </c>
      <c r="DA59" s="503"/>
      <c r="DB59" s="503" t="str">
        <f>IF($G59="","",IF(AND($G59&gt;=30,$AT$3&lt;=DA$7),ROUND(DA59*($AP$3+#REF!),-1),""))</f>
        <v/>
      </c>
      <c r="DC59" s="502"/>
      <c r="DD59" s="503" t="str">
        <f>IF($G59="","",IF(AND($G59&gt;=30,$AT$3&lt;=DC$7),ROUND(DC59*($AP$3+#REF!),-1),""))</f>
        <v/>
      </c>
      <c r="DE59" s="503"/>
      <c r="DF59" s="503" t="str">
        <f>IF($G59="","",IF(AND($G59&gt;=30,$AT$3&lt;=DE$7),ROUND(DE59*($AP$3+#REF!),-1),""))</f>
        <v/>
      </c>
      <c r="DG59" s="503"/>
      <c r="DH59" s="503" t="str">
        <f>IF($G59="","",IF(AND($G59&gt;=30,$AT$3&lt;=DG$7),ROUND(DG59*($AP$3+#REF!),-1),""))</f>
        <v/>
      </c>
      <c r="DI59" s="503"/>
      <c r="DJ59" s="503" t="str">
        <f>IF($G59="","",IF(AND($G59&gt;=30,$AT$3&lt;=DI$7),ROUND(DI59*($AP$3+#REF!),-1),""))</f>
        <v/>
      </c>
      <c r="DK59" s="503"/>
      <c r="DL59" s="503" t="str">
        <f>IF($G59="","",IF(AND($G59&gt;=30,$AT$3&lt;=DK$7),ROUND(DK59*($AP$3+#REF!),-1),""))</f>
        <v/>
      </c>
      <c r="DM59" s="503"/>
      <c r="DN59" s="503" t="str">
        <f>IF($G59="","",IF(AND($G59&gt;=30,$AT$3&lt;=DM$7),ROUND(DM59*($AP$3+#REF!),-1),""))</f>
        <v/>
      </c>
      <c r="DO59" s="503"/>
      <c r="DP59" s="503" t="str">
        <f>IF($G59="","",IF(AND($G59&gt;=30,$AT$3&lt;=DO$7),ROUND(DO59*($AP$3+#REF!),-1),""))</f>
        <v/>
      </c>
      <c r="DQ59" s="503"/>
      <c r="DR59" s="503" t="str">
        <f>IF($G59="","",IF(AND($G59&gt;=30,$AT$3&lt;=DQ$7),ROUND(DQ59*($AP$3+#REF!),-1),""))</f>
        <v/>
      </c>
      <c r="DS59" s="503"/>
      <c r="DT59" s="503" t="str">
        <f>IF($G59="","",IF(AND($G59&gt;=30,$AT$3&lt;=DS$7),ROUND(DS59*($AP$3+#REF!),-1),""))</f>
        <v/>
      </c>
      <c r="DU59" s="503"/>
      <c r="DV59" s="503" t="str">
        <f>IF($G59="","",IF(AND($G59&gt;=30,$AT$3&lt;=DU$7),ROUND(DU59*($AP$3+#REF!),-1),""))</f>
        <v/>
      </c>
      <c r="DW59" s="503"/>
      <c r="DX59" s="503" t="str">
        <f>IF($G59="","",IF(AND($G59&gt;=30,$AT$3&lt;=DW$7),ROUND(DW59*($AP$3+#REF!),-1),""))</f>
        <v/>
      </c>
      <c r="DY59" s="503"/>
      <c r="DZ59" s="503" t="str">
        <f>IF($G59="","",IF(AND($G59&gt;=30,$AT$3&lt;=DY$7),ROUND(DY59*($AP$3+#REF!),-1),""))</f>
        <v/>
      </c>
      <c r="EA59" s="503"/>
      <c r="EB59" s="503" t="str">
        <f>IF($G59="","",IF(AND($G59&gt;=30,$AT$3&lt;=EA$7),ROUND(EA59*($AP$3+#REF!),-1),""))</f>
        <v/>
      </c>
      <c r="EC59" s="504" t="s">
        <v>621</v>
      </c>
      <c r="ED59" s="1126"/>
      <c r="EE59" s="325">
        <v>3</v>
      </c>
      <c r="EG59" s="347"/>
      <c r="EH59" s="347"/>
      <c r="EI59" s="347"/>
      <c r="EJ59" s="347"/>
      <c r="EK59" s="347"/>
      <c r="EL59" s="347"/>
      <c r="EM59" s="347"/>
      <c r="EN59" s="347"/>
      <c r="EO59" s="347"/>
      <c r="EP59" s="347"/>
      <c r="EQ59" s="347"/>
      <c r="ER59" s="347"/>
      <c r="ES59" s="347"/>
      <c r="ET59" s="347"/>
      <c r="EU59" s="347"/>
      <c r="EV59" s="347"/>
      <c r="EW59" s="347"/>
      <c r="EX59" s="347"/>
      <c r="EY59" s="347"/>
      <c r="EZ59" s="347"/>
      <c r="FA59" s="347"/>
      <c r="FB59" s="347"/>
      <c r="FC59" s="347"/>
      <c r="FD59" s="347"/>
      <c r="FE59" s="347"/>
      <c r="FF59" s="347"/>
      <c r="FG59" s="347"/>
      <c r="FH59" s="347"/>
      <c r="FI59" s="347"/>
      <c r="FJ59" s="347"/>
      <c r="FK59" s="347"/>
      <c r="FL59" s="347"/>
    </row>
    <row r="60" spans="1:168" ht="10">
      <c r="A60" s="321" t="str">
        <f t="shared" si="21"/>
        <v/>
      </c>
      <c r="B60" s="567" t="e">
        <f>(ii!$D$13*12+V60)</f>
        <v>#REF!</v>
      </c>
      <c r="C60" s="337">
        <f t="shared" si="8"/>
        <v>43951</v>
      </c>
      <c r="D60" s="484">
        <f t="shared" si="0"/>
        <v>2020</v>
      </c>
      <c r="E60" s="484">
        <f t="shared" si="1"/>
        <v>0.33333333333333331</v>
      </c>
      <c r="F60" s="484">
        <f t="shared" si="2"/>
        <v>2020.3333333333333</v>
      </c>
      <c r="G60" s="485" t="s">
        <v>621</v>
      </c>
      <c r="H60" s="486" t="str">
        <f t="shared" si="13"/>
        <v/>
      </c>
      <c r="I60" s="486" t="str">
        <f t="shared" si="20"/>
        <v/>
      </c>
      <c r="J60" s="487"/>
      <c r="K60" s="488"/>
      <c r="L60" s="548"/>
      <c r="M60" s="489" t="str">
        <f t="shared" si="12"/>
        <v/>
      </c>
      <c r="N60" s="490" t="s">
        <v>621</v>
      </c>
      <c r="O60" s="490" t="str">
        <f t="shared" si="5"/>
        <v/>
      </c>
      <c r="P60" s="491"/>
      <c r="Q60" s="491"/>
      <c r="R60" s="491" t="str">
        <f t="shared" si="6"/>
        <v/>
      </c>
      <c r="S60" s="528" t="str">
        <f t="shared" si="22"/>
        <v/>
      </c>
      <c r="T60" s="528" t="str">
        <f t="shared" si="23"/>
        <v/>
      </c>
      <c r="U60" s="493" t="str">
        <f>IF(H60="","",#REF!*12+#REF!+#REF!*12+#REF!)</f>
        <v/>
      </c>
      <c r="V60" s="338" t="e">
        <v>#REF!</v>
      </c>
      <c r="W60" s="339" t="e">
        <f t="shared" si="10"/>
        <v>#REF!</v>
      </c>
      <c r="X60" s="494" t="s">
        <v>621</v>
      </c>
      <c r="Y60" s="495" t="s">
        <v>621</v>
      </c>
      <c r="Z60" s="496"/>
      <c r="AA60" s="497"/>
      <c r="AB60" s="498" t="str">
        <f t="shared" si="19"/>
        <v/>
      </c>
      <c r="AC60" s="484" t="str">
        <f t="shared" si="15"/>
        <v/>
      </c>
      <c r="AD60" s="495" t="str">
        <f t="shared" si="16"/>
        <v/>
      </c>
      <c r="AE60" s="499" t="s">
        <v>621</v>
      </c>
      <c r="AF60" s="500" t="s">
        <v>621</v>
      </c>
      <c r="AG60" s="556" t="s">
        <v>621</v>
      </c>
      <c r="AH60" s="503" t="str">
        <f>IF($G60="","",IF(AND($G60&gt;=30,$AT$3&lt;=AG$7),ROUND(AG60*($AP$3+#REF!),-1),""))</f>
        <v/>
      </c>
      <c r="AI60" s="506" t="s">
        <v>621</v>
      </c>
      <c r="AJ60" s="503" t="str">
        <f>IF($G60="","",IF(AND($G60&gt;=30,$AT$3&lt;=AI$7),ROUND(AI60*($AP$3+#REF!),-1),""))</f>
        <v/>
      </c>
      <c r="AK60" s="506" t="s">
        <v>621</v>
      </c>
      <c r="AL60" s="503" t="str">
        <f>IF($G60="","",IF(AND($G60&gt;=30,$AT$3&lt;=AK$7),ROUND(AK60*($AP$3+#REF!),-1),""))</f>
        <v/>
      </c>
      <c r="AM60" s="506" t="s">
        <v>621</v>
      </c>
      <c r="AN60" s="503" t="str">
        <f>IF($G60="","",IF(AND($G60&gt;=30,$AT$3&lt;=AM$7),ROUND(AM60*($AP$3+#REF!),-1),""))</f>
        <v/>
      </c>
      <c r="AO60" s="517" t="e">
        <v>#REF!</v>
      </c>
      <c r="AP60" s="503" t="str">
        <f>IF($G60="","",IF(AND($G60&gt;=30,$AT$3&lt;=AO$7),ROUND(AO60*($AP$3+#REF!),-1),""))</f>
        <v/>
      </c>
      <c r="AQ60" s="502"/>
      <c r="AR60" s="503" t="str">
        <f>IF($G60="","",IF(AND($G60&gt;=30,$AT$3&lt;=AQ$7),ROUND(AQ60*($AP$3+#REF!),-1),""))</f>
        <v/>
      </c>
      <c r="AS60" s="503"/>
      <c r="AT60" s="503" t="str">
        <f>IF($G60="","",IF(AND($G60&gt;=30,$AT$3&lt;=AS$7),ROUND(AS60*($AP$3+#REF!),-1),""))</f>
        <v/>
      </c>
      <c r="AU60" s="502"/>
      <c r="AV60" s="503" t="str">
        <f>IF($G60="","",IF(AND($G60&gt;=30,$AT$3&lt;=AU$7),ROUND(AU60*($AP$3+#REF!),-1),""))</f>
        <v/>
      </c>
      <c r="AW60" s="503"/>
      <c r="AX60" s="503" t="str">
        <f>IF($G60="","",IF(AND($G60&gt;=30,$AT$3&lt;=AW$7),ROUND(AW60*($AP$3+#REF!),-1),""))</f>
        <v/>
      </c>
      <c r="AY60" s="502"/>
      <c r="AZ60" s="503" t="str">
        <f>IF($G60="","",IF(AND($G60&gt;=30,$AT$3&lt;=AY$7),ROUND(AY60*($AP$3+#REF!),-1),""))</f>
        <v/>
      </c>
      <c r="BA60" s="503"/>
      <c r="BB60" s="503" t="str">
        <f>IF($G60="","",IF(AND($G60&gt;=30,$AT$3&lt;=BA$7),ROUND(BA60*($AP$3+#REF!),-1),""))</f>
        <v/>
      </c>
      <c r="BC60" s="502"/>
      <c r="BD60" s="503" t="str">
        <f>IF($G60="","",IF(AND($G60&gt;=30,$AT$3&lt;=BC$7),ROUND(BC60*($AP$3+#REF!),-1),""))</f>
        <v/>
      </c>
      <c r="BE60" s="503"/>
      <c r="BF60" s="503" t="str">
        <f>IF($G60="","",IF(AND($G60&gt;=30,$AT$3&lt;=BE$7),ROUND(BE60*($AP$3+#REF!),-1),""))</f>
        <v/>
      </c>
      <c r="BG60" s="502"/>
      <c r="BH60" s="503" t="str">
        <f>IF($G60="","",IF(AND($G60&gt;=30,$AT$3&lt;=BG$7),ROUND(BG60*($AP$3+#REF!),-1),""))</f>
        <v/>
      </c>
      <c r="BI60" s="503"/>
      <c r="BJ60" s="503" t="str">
        <f>IF($G60="","",IF(AND($G60&gt;=30,$AT$3&lt;=BI$7),ROUND(BI60*($AP$3+#REF!),-1),""))</f>
        <v/>
      </c>
      <c r="BK60" s="502"/>
      <c r="BL60" s="503" t="str">
        <f>IF($G60="","",IF(AND($G60&gt;=30,$AT$3&lt;=BK$7),ROUND(BK60*($AP$3+#REF!),-1),""))</f>
        <v/>
      </c>
      <c r="BM60" s="503"/>
      <c r="BN60" s="503" t="str">
        <f>IF($G60="","",IF(AND($G60&gt;=30,$AT$3&lt;=BM$7),ROUND(BM60*($AP$3+#REF!),-1),""))</f>
        <v/>
      </c>
      <c r="BO60" s="502"/>
      <c r="BP60" s="503" t="str">
        <f>IF($G60="","",IF(AND($G60&gt;=30,$AT$3&lt;=BO$7),ROUND(BO60*($AP$3+#REF!),-1),""))</f>
        <v/>
      </c>
      <c r="BQ60" s="503"/>
      <c r="BR60" s="503" t="str">
        <f>IF($G60="","",IF(AND($G60&gt;=30,$AT$3&lt;=BQ$7),ROUND(BQ60*($AP$3+#REF!),-1),""))</f>
        <v/>
      </c>
      <c r="BS60" s="502"/>
      <c r="BT60" s="503" t="str">
        <f>IF($G60="","",IF(AND($G60&gt;=30,$AT$3&lt;=BS$7),ROUND(BS60*($AP$3+#REF!),-1),""))</f>
        <v/>
      </c>
      <c r="BU60" s="503"/>
      <c r="BV60" s="503" t="str">
        <f>IF($G60="","",IF(AND($G60&gt;=30,$AT$3&lt;=BU$7),ROUND(BU60*($AP$3+#REF!),-1),""))</f>
        <v/>
      </c>
      <c r="BW60" s="502"/>
      <c r="BX60" s="503" t="str">
        <f>IF($G60="","",IF(AND($G60&gt;=30,$AT$3&lt;=BW$7),ROUND(BW60*($AP$3+#REF!),-1),""))</f>
        <v/>
      </c>
      <c r="BY60" s="503"/>
      <c r="BZ60" s="503" t="str">
        <f>IF($G60="","",IF(AND($G60&gt;=30,$AT$3&lt;=BY$7),ROUND(BY60*($AP$3+#REF!),-1),""))</f>
        <v/>
      </c>
      <c r="CA60" s="502"/>
      <c r="CB60" s="503" t="str">
        <f>IF($G60="","",IF(AND($G60&gt;=30,$AT$3&lt;=CA$7),ROUND(CA60*($AP$3+#REF!),-1),""))</f>
        <v/>
      </c>
      <c r="CC60" s="503"/>
      <c r="CD60" s="503" t="str">
        <f>IF($G60="","",IF(AND($G60&gt;=30,$AT$3&lt;=CC$7),ROUND(CC60*($AP$3+#REF!),-1),""))</f>
        <v/>
      </c>
      <c r="CE60" s="502"/>
      <c r="CF60" s="503" t="str">
        <f>IF($G60="","",IF(AND($G60&gt;=30,$AT$3&lt;=CE$7),ROUND(CE60*($AP$3+#REF!),-1),""))</f>
        <v/>
      </c>
      <c r="CG60" s="503"/>
      <c r="CH60" s="503" t="str">
        <f>IF($G60="","",IF(AND($G60&gt;=30,$AT$3&lt;=CG$7),ROUND(CG60*($AP$3+#REF!),-1),""))</f>
        <v/>
      </c>
      <c r="CI60" s="502"/>
      <c r="CJ60" s="503" t="str">
        <f>IF($G60="","",IF(AND($G60&gt;=30,$AT$3&lt;=CI$7),ROUND(CI60*($AP$3+#REF!),-1),""))</f>
        <v/>
      </c>
      <c r="CK60" s="503"/>
      <c r="CL60" s="503" t="str">
        <f>IF($G60="","",IF(AND($G60&gt;=30,$AT$3&lt;=CK$7),ROUND(CK60*($AP$3+#REF!),-1),""))</f>
        <v/>
      </c>
      <c r="CM60" s="502"/>
      <c r="CN60" s="503" t="str">
        <f>IF($G60="","",IF(AND($G60&gt;=30,$AT$3&lt;=CM$7),ROUND(CM60*($AP$3+#REF!),-1),""))</f>
        <v/>
      </c>
      <c r="CO60" s="503"/>
      <c r="CP60" s="503" t="str">
        <f>IF($G60="","",IF(AND($G60&gt;=30,$AT$3&lt;=CO$7),ROUND(CO60*($AP$3+#REF!),-1),""))</f>
        <v/>
      </c>
      <c r="CQ60" s="502"/>
      <c r="CR60" s="503" t="str">
        <f>IF($G60="","",IF(AND($G60&gt;=30,$AT$3&lt;=CQ$7),ROUND(CQ60*($AP$3+#REF!),-1),""))</f>
        <v/>
      </c>
      <c r="CS60" s="503"/>
      <c r="CT60" s="503" t="str">
        <f>IF($G60="","",IF(AND($G60&gt;=30,$AT$3&lt;=CS$7),ROUND(CS60*($AP$3+#REF!),-1),""))</f>
        <v/>
      </c>
      <c r="CU60" s="502"/>
      <c r="CV60" s="503" t="str">
        <f>IF($G60="","",IF(AND($G60&gt;=30,$AT$3&lt;=CU$7),ROUND(CU60*($AP$3+#REF!),-1),""))</f>
        <v/>
      </c>
      <c r="CW60" s="503"/>
      <c r="CX60" s="503" t="str">
        <f>IF($G60="","",IF(AND($G60&gt;=30,$AT$3&lt;=CW$7),ROUND(CW60*($AP$3+#REF!),-1),""))</f>
        <v/>
      </c>
      <c r="CY60" s="502"/>
      <c r="CZ60" s="503" t="str">
        <f>IF($G60="","",IF(AND($G60&gt;=30,$AT$3&lt;=CY$7),ROUND(CY60*($AP$3+#REF!),-1),""))</f>
        <v/>
      </c>
      <c r="DA60" s="503"/>
      <c r="DB60" s="503" t="str">
        <f>IF($G60="","",IF(AND($G60&gt;=30,$AT$3&lt;=DA$7),ROUND(DA60*($AP$3+#REF!),-1),""))</f>
        <v/>
      </c>
      <c r="DC60" s="502"/>
      <c r="DD60" s="503" t="str">
        <f>IF($G60="","",IF(AND($G60&gt;=30,$AT$3&lt;=DC$7),ROUND(DC60*($AP$3+#REF!),-1),""))</f>
        <v/>
      </c>
      <c r="DE60" s="503"/>
      <c r="DF60" s="503" t="str">
        <f>IF($G60="","",IF(AND($G60&gt;=30,$AT$3&lt;=DE$7),ROUND(DE60*($AP$3+#REF!),-1),""))</f>
        <v/>
      </c>
      <c r="DG60" s="503"/>
      <c r="DH60" s="503" t="str">
        <f>IF($G60="","",IF(AND($G60&gt;=30,$AT$3&lt;=DG$7),ROUND(DG60*($AP$3+#REF!),-1),""))</f>
        <v/>
      </c>
      <c r="DI60" s="503"/>
      <c r="DJ60" s="503" t="str">
        <f>IF($G60="","",IF(AND($G60&gt;=30,$AT$3&lt;=DI$7),ROUND(DI60*($AP$3+#REF!),-1),""))</f>
        <v/>
      </c>
      <c r="DK60" s="503"/>
      <c r="DL60" s="503" t="str">
        <f>IF($G60="","",IF(AND($G60&gt;=30,$AT$3&lt;=DK$7),ROUND(DK60*($AP$3+#REF!),-1),""))</f>
        <v/>
      </c>
      <c r="DM60" s="503"/>
      <c r="DN60" s="503" t="str">
        <f>IF($G60="","",IF(AND($G60&gt;=30,$AT$3&lt;=DM$7),ROUND(DM60*($AP$3+#REF!),-1),""))</f>
        <v/>
      </c>
      <c r="DO60" s="503"/>
      <c r="DP60" s="503" t="str">
        <f>IF($G60="","",IF(AND($G60&gt;=30,$AT$3&lt;=DO$7),ROUND(DO60*($AP$3+#REF!),-1),""))</f>
        <v/>
      </c>
      <c r="DQ60" s="503"/>
      <c r="DR60" s="503" t="str">
        <f>IF($G60="","",IF(AND($G60&gt;=30,$AT$3&lt;=DQ$7),ROUND(DQ60*($AP$3+#REF!),-1),""))</f>
        <v/>
      </c>
      <c r="DS60" s="503"/>
      <c r="DT60" s="503" t="str">
        <f>IF($G60="","",IF(AND($G60&gt;=30,$AT$3&lt;=DS$7),ROUND(DS60*($AP$3+#REF!),-1),""))</f>
        <v/>
      </c>
      <c r="DU60" s="503"/>
      <c r="DV60" s="503" t="str">
        <f>IF($G60="","",IF(AND($G60&gt;=30,$AT$3&lt;=DU$7),ROUND(DU60*($AP$3+#REF!),-1),""))</f>
        <v/>
      </c>
      <c r="DW60" s="503"/>
      <c r="DX60" s="503" t="str">
        <f>IF($G60="","",IF(AND($G60&gt;=30,$AT$3&lt;=DW$7),ROUND(DW60*($AP$3+#REF!),-1),""))</f>
        <v/>
      </c>
      <c r="DY60" s="503"/>
      <c r="DZ60" s="503" t="str">
        <f>IF($G60="","",IF(AND($G60&gt;=30,$AT$3&lt;=DY$7),ROUND(DY60*($AP$3+#REF!),-1),""))</f>
        <v/>
      </c>
      <c r="EA60" s="503"/>
      <c r="EB60" s="503" t="str">
        <f>IF($G60="","",IF(AND($G60&gt;=30,$AT$3&lt;=EA$7),ROUND(EA60*($AP$3+#REF!),-1),""))</f>
        <v/>
      </c>
      <c r="EC60" s="504" t="s">
        <v>621</v>
      </c>
      <c r="ED60" s="1126"/>
      <c r="EE60" s="325">
        <v>4</v>
      </c>
      <c r="EG60" s="347"/>
      <c r="EH60" s="347"/>
      <c r="EI60" s="347"/>
      <c r="EJ60" s="347"/>
      <c r="EK60" s="347"/>
      <c r="EL60" s="347"/>
      <c r="EM60" s="347"/>
      <c r="EN60" s="347"/>
      <c r="EO60" s="347"/>
      <c r="EP60" s="347"/>
      <c r="EQ60" s="347"/>
      <c r="ER60" s="347"/>
      <c r="ES60" s="347"/>
      <c r="ET60" s="347"/>
      <c r="EU60" s="347"/>
      <c r="EV60" s="347"/>
      <c r="EW60" s="347"/>
      <c r="EX60" s="347"/>
      <c r="EY60" s="347"/>
      <c r="EZ60" s="347"/>
      <c r="FA60" s="347"/>
      <c r="FB60" s="347"/>
      <c r="FC60" s="347"/>
      <c r="FD60" s="347"/>
      <c r="FE60" s="347"/>
      <c r="FF60" s="347"/>
      <c r="FG60" s="347"/>
      <c r="FH60" s="347"/>
      <c r="FI60" s="347"/>
      <c r="FJ60" s="347"/>
      <c r="FK60" s="347"/>
      <c r="FL60" s="347"/>
    </row>
    <row r="61" spans="1:168" ht="10">
      <c r="A61" s="321" t="str">
        <f t="shared" si="21"/>
        <v/>
      </c>
      <c r="B61" s="567" t="e">
        <f>(ii!$D$13*12+V61)</f>
        <v>#REF!</v>
      </c>
      <c r="C61" s="337">
        <f t="shared" si="8"/>
        <v>43982</v>
      </c>
      <c r="D61" s="484">
        <f t="shared" si="0"/>
        <v>2020</v>
      </c>
      <c r="E61" s="484">
        <f t="shared" si="1"/>
        <v>0.41666666666666669</v>
      </c>
      <c r="F61" s="484">
        <f t="shared" si="2"/>
        <v>2020.4166666666667</v>
      </c>
      <c r="G61" s="485" t="s">
        <v>621</v>
      </c>
      <c r="H61" s="486" t="str">
        <f t="shared" si="13"/>
        <v/>
      </c>
      <c r="I61" s="486" t="str">
        <f t="shared" si="20"/>
        <v/>
      </c>
      <c r="J61" s="507"/>
      <c r="K61" s="508"/>
      <c r="L61" s="548"/>
      <c r="M61" s="520" t="str">
        <f t="shared" si="12"/>
        <v/>
      </c>
      <c r="N61" s="490" t="s">
        <v>621</v>
      </c>
      <c r="O61" s="490" t="str">
        <f t="shared" si="5"/>
        <v/>
      </c>
      <c r="P61" s="507"/>
      <c r="Q61" s="561"/>
      <c r="R61" s="509" t="str">
        <f t="shared" si="6"/>
        <v/>
      </c>
      <c r="S61" s="550" t="str">
        <f t="shared" si="22"/>
        <v/>
      </c>
      <c r="T61" s="550" t="str">
        <f t="shared" si="23"/>
        <v/>
      </c>
      <c r="U61" s="521" t="str">
        <f>IF(H61="","",#REF!*12+#REF!+#REF!*12+#REF!)</f>
        <v/>
      </c>
      <c r="V61" s="338" t="e">
        <v>#REF!</v>
      </c>
      <c r="W61" s="339" t="e">
        <f t="shared" si="10"/>
        <v>#REF!</v>
      </c>
      <c r="X61" s="494" t="s">
        <v>621</v>
      </c>
      <c r="Y61" s="495" t="s">
        <v>621</v>
      </c>
      <c r="Z61" s="496"/>
      <c r="AA61" s="497"/>
      <c r="AB61" s="523" t="str">
        <f t="shared" si="19"/>
        <v/>
      </c>
      <c r="AC61" s="551" t="str">
        <f t="shared" si="15"/>
        <v/>
      </c>
      <c r="AD61" s="524" t="str">
        <f t="shared" si="16"/>
        <v/>
      </c>
      <c r="AE61" s="525" t="s">
        <v>621</v>
      </c>
      <c r="AF61" s="500" t="s">
        <v>621</v>
      </c>
      <c r="AG61" s="556" t="s">
        <v>621</v>
      </c>
      <c r="AH61" s="503" t="str">
        <f>IF($G61="","",IF(AND($G61&gt;=30,$AT$3&lt;=AG$7),ROUND(AG61*($AP$3+#REF!),-1),""))</f>
        <v/>
      </c>
      <c r="AI61" s="506" t="s">
        <v>621</v>
      </c>
      <c r="AJ61" s="503" t="str">
        <f>IF($G61="","",IF(AND($G61&gt;=30,$AT$3&lt;=AI$7),ROUND(AI61*($AP$3+#REF!),-1),""))</f>
        <v/>
      </c>
      <c r="AK61" s="506" t="s">
        <v>621</v>
      </c>
      <c r="AL61" s="503" t="str">
        <f>IF($G61="","",IF(AND($G61&gt;=30,$AT$3&lt;=AK$7),ROUND(AK61*($AP$3+#REF!),-1),""))</f>
        <v/>
      </c>
      <c r="AM61" s="506" t="s">
        <v>621</v>
      </c>
      <c r="AN61" s="503" t="str">
        <f>IF($G61="","",IF(AND($G61&gt;=30,$AT$3&lt;=AM$7),ROUND(AM61*($AP$3+#REF!),-1),""))</f>
        <v/>
      </c>
      <c r="AO61" s="517" t="e">
        <v>#REF!</v>
      </c>
      <c r="AP61" s="503" t="str">
        <f>IF($G61="","",IF(AND($G61&gt;=30,$AT$3&lt;=AO$7),ROUND(AO61*($AP$3+#REF!),-1),""))</f>
        <v/>
      </c>
      <c r="AQ61" s="502"/>
      <c r="AR61" s="503" t="str">
        <f>IF($G61="","",IF(AND($G61&gt;=30,$AT$3&lt;=AQ$7),ROUND(AQ61*($AP$3+#REF!),-1),""))</f>
        <v/>
      </c>
      <c r="AS61" s="503"/>
      <c r="AT61" s="503" t="str">
        <f>IF($G61="","",IF(AND($G61&gt;=30,$AT$3&lt;=AS$7),ROUND(AS61*($AP$3+#REF!),-1),""))</f>
        <v/>
      </c>
      <c r="AU61" s="502"/>
      <c r="AV61" s="503" t="str">
        <f>IF($G61="","",IF(AND($G61&gt;=30,$AT$3&lt;=AU$7),ROUND(AU61*($AP$3+#REF!),-1),""))</f>
        <v/>
      </c>
      <c r="AW61" s="503"/>
      <c r="AX61" s="503" t="str">
        <f>IF($G61="","",IF(AND($G61&gt;=30,$AT$3&lt;=AW$7),ROUND(AW61*($AP$3+#REF!),-1),""))</f>
        <v/>
      </c>
      <c r="AY61" s="502"/>
      <c r="AZ61" s="503" t="str">
        <f>IF($G61="","",IF(AND($G61&gt;=30,$AT$3&lt;=AY$7),ROUND(AY61*($AP$3+#REF!),-1),""))</f>
        <v/>
      </c>
      <c r="BA61" s="503"/>
      <c r="BB61" s="503" t="str">
        <f>IF($G61="","",IF(AND($G61&gt;=30,$AT$3&lt;=BA$7),ROUND(BA61*($AP$3+#REF!),-1),""))</f>
        <v/>
      </c>
      <c r="BC61" s="502"/>
      <c r="BD61" s="503" t="str">
        <f>IF($G61="","",IF(AND($G61&gt;=30,$AT$3&lt;=BC$7),ROUND(BC61*($AP$3+#REF!),-1),""))</f>
        <v/>
      </c>
      <c r="BE61" s="503"/>
      <c r="BF61" s="503" t="str">
        <f>IF($G61="","",IF(AND($G61&gt;=30,$AT$3&lt;=BE$7),ROUND(BE61*($AP$3+#REF!),-1),""))</f>
        <v/>
      </c>
      <c r="BG61" s="502"/>
      <c r="BH61" s="503" t="str">
        <f>IF($G61="","",IF(AND($G61&gt;=30,$AT$3&lt;=BG$7),ROUND(BG61*($AP$3+#REF!),-1),""))</f>
        <v/>
      </c>
      <c r="BI61" s="503"/>
      <c r="BJ61" s="503" t="str">
        <f>IF($G61="","",IF(AND($G61&gt;=30,$AT$3&lt;=BI$7),ROUND(BI61*($AP$3+#REF!),-1),""))</f>
        <v/>
      </c>
      <c r="BK61" s="502"/>
      <c r="BL61" s="503" t="str">
        <f>IF($G61="","",IF(AND($G61&gt;=30,$AT$3&lt;=BK$7),ROUND(BK61*($AP$3+#REF!),-1),""))</f>
        <v/>
      </c>
      <c r="BM61" s="503"/>
      <c r="BN61" s="503" t="str">
        <f>IF($G61="","",IF(AND($G61&gt;=30,$AT$3&lt;=BM$7),ROUND(BM61*($AP$3+#REF!),-1),""))</f>
        <v/>
      </c>
      <c r="BO61" s="502"/>
      <c r="BP61" s="503" t="str">
        <f>IF($G61="","",IF(AND($G61&gt;=30,$AT$3&lt;=BO$7),ROUND(BO61*($AP$3+#REF!),-1),""))</f>
        <v/>
      </c>
      <c r="BQ61" s="503"/>
      <c r="BR61" s="503" t="str">
        <f>IF($G61="","",IF(AND($G61&gt;=30,$AT$3&lt;=BQ$7),ROUND(BQ61*($AP$3+#REF!),-1),""))</f>
        <v/>
      </c>
      <c r="BS61" s="502"/>
      <c r="BT61" s="503" t="str">
        <f>IF($G61="","",IF(AND($G61&gt;=30,$AT$3&lt;=BS$7),ROUND(BS61*($AP$3+#REF!),-1),""))</f>
        <v/>
      </c>
      <c r="BU61" s="503"/>
      <c r="BV61" s="503" t="str">
        <f>IF($G61="","",IF(AND($G61&gt;=30,$AT$3&lt;=BU$7),ROUND(BU61*($AP$3+#REF!),-1),""))</f>
        <v/>
      </c>
      <c r="BW61" s="502"/>
      <c r="BX61" s="503" t="str">
        <f>IF($G61="","",IF(AND($G61&gt;=30,$AT$3&lt;=BW$7),ROUND(BW61*($AP$3+#REF!),-1),""))</f>
        <v/>
      </c>
      <c r="BY61" s="503"/>
      <c r="BZ61" s="503" t="str">
        <f>IF($G61="","",IF(AND($G61&gt;=30,$AT$3&lt;=BY$7),ROUND(BY61*($AP$3+#REF!),-1),""))</f>
        <v/>
      </c>
      <c r="CA61" s="502"/>
      <c r="CB61" s="503" t="str">
        <f>IF($G61="","",IF(AND($G61&gt;=30,$AT$3&lt;=CA$7),ROUND(CA61*($AP$3+#REF!),-1),""))</f>
        <v/>
      </c>
      <c r="CC61" s="503"/>
      <c r="CD61" s="503" t="str">
        <f>IF($G61="","",IF(AND($G61&gt;=30,$AT$3&lt;=CC$7),ROUND(CC61*($AP$3+#REF!),-1),""))</f>
        <v/>
      </c>
      <c r="CE61" s="502"/>
      <c r="CF61" s="503" t="str">
        <f>IF($G61="","",IF(AND($G61&gt;=30,$AT$3&lt;=CE$7),ROUND(CE61*($AP$3+#REF!),-1),""))</f>
        <v/>
      </c>
      <c r="CG61" s="503"/>
      <c r="CH61" s="503" t="str">
        <f>IF($G61="","",IF(AND($G61&gt;=30,$AT$3&lt;=CG$7),ROUND(CG61*($AP$3+#REF!),-1),""))</f>
        <v/>
      </c>
      <c r="CI61" s="502"/>
      <c r="CJ61" s="503" t="str">
        <f>IF($G61="","",IF(AND($G61&gt;=30,$AT$3&lt;=CI$7),ROUND(CI61*($AP$3+#REF!),-1),""))</f>
        <v/>
      </c>
      <c r="CK61" s="503"/>
      <c r="CL61" s="503" t="str">
        <f>IF($G61="","",IF(AND($G61&gt;=30,$AT$3&lt;=CK$7),ROUND(CK61*($AP$3+#REF!),-1),""))</f>
        <v/>
      </c>
      <c r="CM61" s="502"/>
      <c r="CN61" s="503" t="str">
        <f>IF($G61="","",IF(AND($G61&gt;=30,$AT$3&lt;=CM$7),ROUND(CM61*($AP$3+#REF!),-1),""))</f>
        <v/>
      </c>
      <c r="CO61" s="503"/>
      <c r="CP61" s="503" t="str">
        <f>IF($G61="","",IF(AND($G61&gt;=30,$AT$3&lt;=CO$7),ROUND(CO61*($AP$3+#REF!),-1),""))</f>
        <v/>
      </c>
      <c r="CQ61" s="502"/>
      <c r="CR61" s="503" t="str">
        <f>IF($G61="","",IF(AND($G61&gt;=30,$AT$3&lt;=CQ$7),ROUND(CQ61*($AP$3+#REF!),-1),""))</f>
        <v/>
      </c>
      <c r="CS61" s="503"/>
      <c r="CT61" s="503" t="str">
        <f>IF($G61="","",IF(AND($G61&gt;=30,$AT$3&lt;=CS$7),ROUND(CS61*($AP$3+#REF!),-1),""))</f>
        <v/>
      </c>
      <c r="CU61" s="502"/>
      <c r="CV61" s="503" t="str">
        <f>IF($G61="","",IF(AND($G61&gt;=30,$AT$3&lt;=CU$7),ROUND(CU61*($AP$3+#REF!),-1),""))</f>
        <v/>
      </c>
      <c r="CW61" s="503"/>
      <c r="CX61" s="503" t="str">
        <f>IF($G61="","",IF(AND($G61&gt;=30,$AT$3&lt;=CW$7),ROUND(CW61*($AP$3+#REF!),-1),""))</f>
        <v/>
      </c>
      <c r="CY61" s="502"/>
      <c r="CZ61" s="503" t="str">
        <f>IF($G61="","",IF(AND($G61&gt;=30,$AT$3&lt;=CY$7),ROUND(CY61*($AP$3+#REF!),-1),""))</f>
        <v/>
      </c>
      <c r="DA61" s="503"/>
      <c r="DB61" s="503" t="str">
        <f>IF($G61="","",IF(AND($G61&gt;=30,$AT$3&lt;=DA$7),ROUND(DA61*($AP$3+#REF!),-1),""))</f>
        <v/>
      </c>
      <c r="DC61" s="502"/>
      <c r="DD61" s="503" t="str">
        <f>IF($G61="","",IF(AND($G61&gt;=30,$AT$3&lt;=DC$7),ROUND(DC61*($AP$3+#REF!),-1),""))</f>
        <v/>
      </c>
      <c r="DE61" s="503"/>
      <c r="DF61" s="503" t="str">
        <f>IF($G61="","",IF(AND($G61&gt;=30,$AT$3&lt;=DE$7),ROUND(DE61*($AP$3+#REF!),-1),""))</f>
        <v/>
      </c>
      <c r="DG61" s="503"/>
      <c r="DH61" s="503" t="str">
        <f>IF($G61="","",IF(AND($G61&gt;=30,$AT$3&lt;=DG$7),ROUND(DG61*($AP$3+#REF!),-1),""))</f>
        <v/>
      </c>
      <c r="DI61" s="503"/>
      <c r="DJ61" s="503" t="str">
        <f>IF($G61="","",IF(AND($G61&gt;=30,$AT$3&lt;=DI$7),ROUND(DI61*($AP$3+#REF!),-1),""))</f>
        <v/>
      </c>
      <c r="DK61" s="503"/>
      <c r="DL61" s="503" t="str">
        <f>IF($G61="","",IF(AND($G61&gt;=30,$AT$3&lt;=DK$7),ROUND(DK61*($AP$3+#REF!),-1),""))</f>
        <v/>
      </c>
      <c r="DM61" s="503"/>
      <c r="DN61" s="503" t="str">
        <f>IF($G61="","",IF(AND($G61&gt;=30,$AT$3&lt;=DM$7),ROUND(DM61*($AP$3+#REF!),-1),""))</f>
        <v/>
      </c>
      <c r="DO61" s="503"/>
      <c r="DP61" s="503" t="str">
        <f>IF($G61="","",IF(AND($G61&gt;=30,$AT$3&lt;=DO$7),ROUND(DO61*($AP$3+#REF!),-1),""))</f>
        <v/>
      </c>
      <c r="DQ61" s="503"/>
      <c r="DR61" s="503" t="str">
        <f>IF($G61="","",IF(AND($G61&gt;=30,$AT$3&lt;=DQ$7),ROUND(DQ61*($AP$3+#REF!),-1),""))</f>
        <v/>
      </c>
      <c r="DS61" s="503"/>
      <c r="DT61" s="503" t="str">
        <f>IF($G61="","",IF(AND($G61&gt;=30,$AT$3&lt;=DS$7),ROUND(DS61*($AP$3+#REF!),-1),""))</f>
        <v/>
      </c>
      <c r="DU61" s="503"/>
      <c r="DV61" s="503" t="str">
        <f>IF($G61="","",IF(AND($G61&gt;=30,$AT$3&lt;=DU$7),ROUND(DU61*($AP$3+#REF!),-1),""))</f>
        <v/>
      </c>
      <c r="DW61" s="503"/>
      <c r="DX61" s="503" t="str">
        <f>IF($G61="","",IF(AND($G61&gt;=30,$AT$3&lt;=DW$7),ROUND(DW61*($AP$3+#REF!),-1),""))</f>
        <v/>
      </c>
      <c r="DY61" s="503"/>
      <c r="DZ61" s="503" t="str">
        <f>IF($G61="","",IF(AND($G61&gt;=30,$AT$3&lt;=DY$7),ROUND(DY61*($AP$3+#REF!),-1),""))</f>
        <v/>
      </c>
      <c r="EA61" s="503"/>
      <c r="EB61" s="503" t="str">
        <f>IF($G61="","",IF(AND($G61&gt;=30,$AT$3&lt;=EA$7),ROUND(EA61*($AP$3+#REF!),-1),""))</f>
        <v/>
      </c>
      <c r="EC61" s="504" t="s">
        <v>621</v>
      </c>
      <c r="ED61" s="1126"/>
      <c r="EE61" s="325">
        <v>5</v>
      </c>
      <c r="EG61" s="347"/>
      <c r="EH61" s="347"/>
      <c r="EI61" s="347"/>
      <c r="EJ61" s="347"/>
      <c r="EK61" s="347"/>
      <c r="EL61" s="347"/>
      <c r="EM61" s="347"/>
      <c r="EN61" s="347"/>
      <c r="EO61" s="347"/>
      <c r="EP61" s="347"/>
      <c r="EQ61" s="347"/>
      <c r="ER61" s="347"/>
      <c r="ES61" s="347"/>
      <c r="ET61" s="347"/>
      <c r="EU61" s="347"/>
      <c r="EV61" s="347"/>
      <c r="EW61" s="347"/>
      <c r="EX61" s="347"/>
      <c r="EY61" s="347"/>
      <c r="EZ61" s="347"/>
      <c r="FA61" s="347"/>
      <c r="FB61" s="347"/>
      <c r="FC61" s="347"/>
      <c r="FD61" s="347"/>
      <c r="FE61" s="347"/>
      <c r="FF61" s="347"/>
      <c r="FG61" s="347"/>
      <c r="FH61" s="347"/>
      <c r="FI61" s="347"/>
      <c r="FJ61" s="347"/>
      <c r="FK61" s="347"/>
      <c r="FL61" s="347"/>
    </row>
    <row r="62" spans="1:168" ht="10">
      <c r="A62" s="321" t="str">
        <f t="shared" si="21"/>
        <v/>
      </c>
      <c r="B62" s="567" t="e">
        <f>(ii!$D$13*12+V62)</f>
        <v>#REF!</v>
      </c>
      <c r="C62" s="337">
        <f t="shared" si="8"/>
        <v>44012</v>
      </c>
      <c r="D62" s="484">
        <f t="shared" si="0"/>
        <v>2020</v>
      </c>
      <c r="E62" s="484">
        <f t="shared" si="1"/>
        <v>0.5</v>
      </c>
      <c r="F62" s="484">
        <f t="shared" si="2"/>
        <v>2020.5</v>
      </c>
      <c r="G62" s="485" t="s">
        <v>621</v>
      </c>
      <c r="H62" s="486" t="str">
        <f t="shared" si="13"/>
        <v/>
      </c>
      <c r="I62" s="486" t="str">
        <f t="shared" si="20"/>
        <v/>
      </c>
      <c r="J62" s="487"/>
      <c r="K62" s="488"/>
      <c r="L62" s="548"/>
      <c r="M62" s="489" t="str">
        <f t="shared" si="12"/>
        <v/>
      </c>
      <c r="N62" s="490" t="s">
        <v>621</v>
      </c>
      <c r="O62" s="490" t="str">
        <f t="shared" si="5"/>
        <v/>
      </c>
      <c r="P62" s="491"/>
      <c r="Q62" s="491"/>
      <c r="R62" s="491" t="str">
        <f t="shared" si="6"/>
        <v/>
      </c>
      <c r="S62" s="528" t="str">
        <f t="shared" si="22"/>
        <v/>
      </c>
      <c r="T62" s="528" t="str">
        <f t="shared" si="23"/>
        <v/>
      </c>
      <c r="U62" s="493" t="str">
        <f>IF(H62="","",#REF!*12+#REF!+#REF!*12+#REF!)</f>
        <v/>
      </c>
      <c r="V62" s="338" t="e">
        <v>#REF!</v>
      </c>
      <c r="W62" s="339" t="e">
        <f t="shared" si="10"/>
        <v>#REF!</v>
      </c>
      <c r="X62" s="494" t="s">
        <v>621</v>
      </c>
      <c r="Y62" s="495" t="s">
        <v>621</v>
      </c>
      <c r="Z62" s="496"/>
      <c r="AA62" s="497"/>
      <c r="AB62" s="498" t="str">
        <f t="shared" si="19"/>
        <v/>
      </c>
      <c r="AC62" s="484" t="str">
        <f t="shared" si="15"/>
        <v/>
      </c>
      <c r="AD62" s="495" t="str">
        <f t="shared" si="16"/>
        <v/>
      </c>
      <c r="AE62" s="499" t="s">
        <v>621</v>
      </c>
      <c r="AF62" s="500" t="s">
        <v>621</v>
      </c>
      <c r="AG62" s="556" t="s">
        <v>621</v>
      </c>
      <c r="AH62" s="503" t="str">
        <f>IF($G62="","",IF(AND($G62&gt;=30,$AT$3&lt;=AG$7),ROUND(AG62*($AP$3+#REF!),-1),""))</f>
        <v/>
      </c>
      <c r="AI62" s="506" t="s">
        <v>621</v>
      </c>
      <c r="AJ62" s="503" t="str">
        <f>IF($G62="","",IF(AND($G62&gt;=30,$AT$3&lt;=AI$7),ROUND(AI62*($AP$3+#REF!),-1),""))</f>
        <v/>
      </c>
      <c r="AK62" s="506" t="s">
        <v>621</v>
      </c>
      <c r="AL62" s="503" t="str">
        <f>IF($G62="","",IF(AND($G62&gt;=30,$AT$3&lt;=AK$7),ROUND(AK62*($AP$3+#REF!),-1),""))</f>
        <v/>
      </c>
      <c r="AM62" s="506" t="s">
        <v>621</v>
      </c>
      <c r="AN62" s="503" t="str">
        <f>IF($G62="","",IF(AND($G62&gt;=30,$AT$3&lt;=AM$7),ROUND(AM62*($AP$3+#REF!),-1),""))</f>
        <v/>
      </c>
      <c r="AO62" s="517" t="e">
        <v>#REF!</v>
      </c>
      <c r="AP62" s="503" t="str">
        <f>IF($G62="","",IF(AND($G62&gt;=30,$AT$3&lt;=AO$7),ROUND(AO62*($AP$3+#REF!),-1),""))</f>
        <v/>
      </c>
      <c r="AQ62" s="502"/>
      <c r="AR62" s="503" t="str">
        <f>IF($G62="","",IF(AND($G62&gt;=30,$AT$3&lt;=AQ$7),ROUND(AQ62*($AP$3+#REF!),-1),""))</f>
        <v/>
      </c>
      <c r="AS62" s="503"/>
      <c r="AT62" s="503" t="str">
        <f>IF($G62="","",IF(AND($G62&gt;=30,$AT$3&lt;=AS$7),ROUND(AS62*($AP$3+#REF!),-1),""))</f>
        <v/>
      </c>
      <c r="AU62" s="502"/>
      <c r="AV62" s="503" t="str">
        <f>IF($G62="","",IF(AND($G62&gt;=30,$AT$3&lt;=AU$7),ROUND(AU62*($AP$3+#REF!),-1),""))</f>
        <v/>
      </c>
      <c r="AW62" s="503"/>
      <c r="AX62" s="503" t="str">
        <f>IF($G62="","",IF(AND($G62&gt;=30,$AT$3&lt;=AW$7),ROUND(AW62*($AP$3+#REF!),-1),""))</f>
        <v/>
      </c>
      <c r="AY62" s="502"/>
      <c r="AZ62" s="503" t="str">
        <f>IF($G62="","",IF(AND($G62&gt;=30,$AT$3&lt;=AY$7),ROUND(AY62*($AP$3+#REF!),-1),""))</f>
        <v/>
      </c>
      <c r="BA62" s="503"/>
      <c r="BB62" s="503" t="str">
        <f>IF($G62="","",IF(AND($G62&gt;=30,$AT$3&lt;=BA$7),ROUND(BA62*($AP$3+#REF!),-1),""))</f>
        <v/>
      </c>
      <c r="BC62" s="502"/>
      <c r="BD62" s="503" t="str">
        <f>IF($G62="","",IF(AND($G62&gt;=30,$AT$3&lt;=BC$7),ROUND(BC62*($AP$3+#REF!),-1),""))</f>
        <v/>
      </c>
      <c r="BE62" s="503"/>
      <c r="BF62" s="503" t="str">
        <f>IF($G62="","",IF(AND($G62&gt;=30,$AT$3&lt;=BE$7),ROUND(BE62*($AP$3+#REF!),-1),""))</f>
        <v/>
      </c>
      <c r="BG62" s="502"/>
      <c r="BH62" s="503" t="str">
        <f>IF($G62="","",IF(AND($G62&gt;=30,$AT$3&lt;=BG$7),ROUND(BG62*($AP$3+#REF!),-1),""))</f>
        <v/>
      </c>
      <c r="BI62" s="503"/>
      <c r="BJ62" s="503" t="str">
        <f>IF($G62="","",IF(AND($G62&gt;=30,$AT$3&lt;=BI$7),ROUND(BI62*($AP$3+#REF!),-1),""))</f>
        <v/>
      </c>
      <c r="BK62" s="502"/>
      <c r="BL62" s="503" t="str">
        <f>IF($G62="","",IF(AND($G62&gt;=30,$AT$3&lt;=BK$7),ROUND(BK62*($AP$3+#REF!),-1),""))</f>
        <v/>
      </c>
      <c r="BM62" s="503"/>
      <c r="BN62" s="503" t="str">
        <f>IF($G62="","",IF(AND($G62&gt;=30,$AT$3&lt;=BM$7),ROUND(BM62*($AP$3+#REF!),-1),""))</f>
        <v/>
      </c>
      <c r="BO62" s="502"/>
      <c r="BP62" s="503" t="str">
        <f>IF($G62="","",IF(AND($G62&gt;=30,$AT$3&lt;=BO$7),ROUND(BO62*($AP$3+#REF!),-1),""))</f>
        <v/>
      </c>
      <c r="BQ62" s="503"/>
      <c r="BR62" s="503" t="str">
        <f>IF($G62="","",IF(AND($G62&gt;=30,$AT$3&lt;=BQ$7),ROUND(BQ62*($AP$3+#REF!),-1),""))</f>
        <v/>
      </c>
      <c r="BS62" s="502"/>
      <c r="BT62" s="503" t="str">
        <f>IF($G62="","",IF(AND($G62&gt;=30,$AT$3&lt;=BS$7),ROUND(BS62*($AP$3+#REF!),-1),""))</f>
        <v/>
      </c>
      <c r="BU62" s="503"/>
      <c r="BV62" s="503" t="str">
        <f>IF($G62="","",IF(AND($G62&gt;=30,$AT$3&lt;=BU$7),ROUND(BU62*($AP$3+#REF!),-1),""))</f>
        <v/>
      </c>
      <c r="BW62" s="502"/>
      <c r="BX62" s="503" t="str">
        <f>IF($G62="","",IF(AND($G62&gt;=30,$AT$3&lt;=BW$7),ROUND(BW62*($AP$3+#REF!),-1),""))</f>
        <v/>
      </c>
      <c r="BY62" s="503"/>
      <c r="BZ62" s="503" t="str">
        <f>IF($G62="","",IF(AND($G62&gt;=30,$AT$3&lt;=BY$7),ROUND(BY62*($AP$3+#REF!),-1),""))</f>
        <v/>
      </c>
      <c r="CA62" s="502"/>
      <c r="CB62" s="503" t="str">
        <f>IF($G62="","",IF(AND($G62&gt;=30,$AT$3&lt;=CA$7),ROUND(CA62*($AP$3+#REF!),-1),""))</f>
        <v/>
      </c>
      <c r="CC62" s="503"/>
      <c r="CD62" s="503" t="str">
        <f>IF($G62="","",IF(AND($G62&gt;=30,$AT$3&lt;=CC$7),ROUND(CC62*($AP$3+#REF!),-1),""))</f>
        <v/>
      </c>
      <c r="CE62" s="502"/>
      <c r="CF62" s="503" t="str">
        <f>IF($G62="","",IF(AND($G62&gt;=30,$AT$3&lt;=CE$7),ROUND(CE62*($AP$3+#REF!),-1),""))</f>
        <v/>
      </c>
      <c r="CG62" s="503"/>
      <c r="CH62" s="503" t="str">
        <f>IF($G62="","",IF(AND($G62&gt;=30,$AT$3&lt;=CG$7),ROUND(CG62*($AP$3+#REF!),-1),""))</f>
        <v/>
      </c>
      <c r="CI62" s="502"/>
      <c r="CJ62" s="503" t="str">
        <f>IF($G62="","",IF(AND($G62&gt;=30,$AT$3&lt;=CI$7),ROUND(CI62*($AP$3+#REF!),-1),""))</f>
        <v/>
      </c>
      <c r="CK62" s="503"/>
      <c r="CL62" s="503" t="str">
        <f>IF($G62="","",IF(AND($G62&gt;=30,$AT$3&lt;=CK$7),ROUND(CK62*($AP$3+#REF!),-1),""))</f>
        <v/>
      </c>
      <c r="CM62" s="502"/>
      <c r="CN62" s="503" t="str">
        <f>IF($G62="","",IF(AND($G62&gt;=30,$AT$3&lt;=CM$7),ROUND(CM62*($AP$3+#REF!),-1),""))</f>
        <v/>
      </c>
      <c r="CO62" s="503"/>
      <c r="CP62" s="503" t="str">
        <f>IF($G62="","",IF(AND($G62&gt;=30,$AT$3&lt;=CO$7),ROUND(CO62*($AP$3+#REF!),-1),""))</f>
        <v/>
      </c>
      <c r="CQ62" s="502"/>
      <c r="CR62" s="503" t="str">
        <f>IF($G62="","",IF(AND($G62&gt;=30,$AT$3&lt;=CQ$7),ROUND(CQ62*($AP$3+#REF!),-1),""))</f>
        <v/>
      </c>
      <c r="CS62" s="503"/>
      <c r="CT62" s="503" t="str">
        <f>IF($G62="","",IF(AND($G62&gt;=30,$AT$3&lt;=CS$7),ROUND(CS62*($AP$3+#REF!),-1),""))</f>
        <v/>
      </c>
      <c r="CU62" s="502"/>
      <c r="CV62" s="503" t="str">
        <f>IF($G62="","",IF(AND($G62&gt;=30,$AT$3&lt;=CU$7),ROUND(CU62*($AP$3+#REF!),-1),""))</f>
        <v/>
      </c>
      <c r="CW62" s="503"/>
      <c r="CX62" s="503" t="str">
        <f>IF($G62="","",IF(AND($G62&gt;=30,$AT$3&lt;=CW$7),ROUND(CW62*($AP$3+#REF!),-1),""))</f>
        <v/>
      </c>
      <c r="CY62" s="502"/>
      <c r="CZ62" s="503" t="str">
        <f>IF($G62="","",IF(AND($G62&gt;=30,$AT$3&lt;=CY$7),ROUND(CY62*($AP$3+#REF!),-1),""))</f>
        <v/>
      </c>
      <c r="DA62" s="503"/>
      <c r="DB62" s="503" t="str">
        <f>IF($G62="","",IF(AND($G62&gt;=30,$AT$3&lt;=DA$7),ROUND(DA62*($AP$3+#REF!),-1),""))</f>
        <v/>
      </c>
      <c r="DC62" s="502"/>
      <c r="DD62" s="503" t="str">
        <f>IF($G62="","",IF(AND($G62&gt;=30,$AT$3&lt;=DC$7),ROUND(DC62*($AP$3+#REF!),-1),""))</f>
        <v/>
      </c>
      <c r="DE62" s="503"/>
      <c r="DF62" s="503" t="str">
        <f>IF($G62="","",IF(AND($G62&gt;=30,$AT$3&lt;=DE$7),ROUND(DE62*($AP$3+#REF!),-1),""))</f>
        <v/>
      </c>
      <c r="DG62" s="503"/>
      <c r="DH62" s="503" t="str">
        <f>IF($G62="","",IF(AND($G62&gt;=30,$AT$3&lt;=DG$7),ROUND(DG62*($AP$3+#REF!),-1),""))</f>
        <v/>
      </c>
      <c r="DI62" s="503"/>
      <c r="DJ62" s="503" t="str">
        <f>IF($G62="","",IF(AND($G62&gt;=30,$AT$3&lt;=DI$7),ROUND(DI62*($AP$3+#REF!),-1),""))</f>
        <v/>
      </c>
      <c r="DK62" s="503"/>
      <c r="DL62" s="503" t="str">
        <f>IF($G62="","",IF(AND($G62&gt;=30,$AT$3&lt;=DK$7),ROUND(DK62*($AP$3+#REF!),-1),""))</f>
        <v/>
      </c>
      <c r="DM62" s="503"/>
      <c r="DN62" s="503" t="str">
        <f>IF($G62="","",IF(AND($G62&gt;=30,$AT$3&lt;=DM$7),ROUND(DM62*($AP$3+#REF!),-1),""))</f>
        <v/>
      </c>
      <c r="DO62" s="503"/>
      <c r="DP62" s="503" t="str">
        <f>IF($G62="","",IF(AND($G62&gt;=30,$AT$3&lt;=DO$7),ROUND(DO62*($AP$3+#REF!),-1),""))</f>
        <v/>
      </c>
      <c r="DQ62" s="503"/>
      <c r="DR62" s="503" t="str">
        <f>IF($G62="","",IF(AND($G62&gt;=30,$AT$3&lt;=DQ$7),ROUND(DQ62*($AP$3+#REF!),-1),""))</f>
        <v/>
      </c>
      <c r="DS62" s="503"/>
      <c r="DT62" s="503" t="str">
        <f>IF($G62="","",IF(AND($G62&gt;=30,$AT$3&lt;=DS$7),ROUND(DS62*($AP$3+#REF!),-1),""))</f>
        <v/>
      </c>
      <c r="DU62" s="503"/>
      <c r="DV62" s="503" t="str">
        <f>IF($G62="","",IF(AND($G62&gt;=30,$AT$3&lt;=DU$7),ROUND(DU62*($AP$3+#REF!),-1),""))</f>
        <v/>
      </c>
      <c r="DW62" s="503"/>
      <c r="DX62" s="503" t="str">
        <f>IF($G62="","",IF(AND($G62&gt;=30,$AT$3&lt;=DW$7),ROUND(DW62*($AP$3+#REF!),-1),""))</f>
        <v/>
      </c>
      <c r="DY62" s="503"/>
      <c r="DZ62" s="503" t="str">
        <f>IF($G62="","",IF(AND($G62&gt;=30,$AT$3&lt;=DY$7),ROUND(DY62*($AP$3+#REF!),-1),""))</f>
        <v/>
      </c>
      <c r="EA62" s="503"/>
      <c r="EB62" s="503" t="str">
        <f>IF($G62="","",IF(AND($G62&gt;=30,$AT$3&lt;=EA$7),ROUND(EA62*($AP$3+#REF!),-1),""))</f>
        <v/>
      </c>
      <c r="EC62" s="504" t="s">
        <v>621</v>
      </c>
      <c r="ED62" s="1126"/>
      <c r="EE62" s="325">
        <v>6</v>
      </c>
      <c r="EG62" s="347"/>
      <c r="EH62" s="347"/>
      <c r="EI62" s="347"/>
      <c r="EJ62" s="347"/>
      <c r="EK62" s="347"/>
      <c r="EL62" s="347"/>
      <c r="EM62" s="347"/>
      <c r="EN62" s="347"/>
      <c r="EO62" s="347"/>
      <c r="EP62" s="347"/>
      <c r="EQ62" s="347"/>
      <c r="ER62" s="347"/>
      <c r="ES62" s="347"/>
      <c r="ET62" s="347"/>
      <c r="EU62" s="347"/>
      <c r="EV62" s="347"/>
      <c r="EW62" s="347"/>
      <c r="EX62" s="347"/>
      <c r="EY62" s="347"/>
      <c r="EZ62" s="347"/>
      <c r="FA62" s="347"/>
      <c r="FB62" s="347"/>
      <c r="FC62" s="347"/>
      <c r="FD62" s="347"/>
      <c r="FE62" s="347"/>
      <c r="FF62" s="347"/>
      <c r="FG62" s="347"/>
      <c r="FH62" s="347"/>
      <c r="FI62" s="347"/>
      <c r="FJ62" s="347"/>
      <c r="FK62" s="347"/>
      <c r="FL62" s="347"/>
    </row>
    <row r="63" spans="1:168" ht="9.75" customHeight="1">
      <c r="A63" s="321" t="str">
        <f t="shared" si="21"/>
        <v/>
      </c>
      <c r="B63" s="568" t="e">
        <f>(ii!$D$13*12+V63)+1</f>
        <v>#REF!</v>
      </c>
      <c r="C63" s="337">
        <f t="shared" si="8"/>
        <v>44043</v>
      </c>
      <c r="D63" s="484">
        <f t="shared" si="0"/>
        <v>2020</v>
      </c>
      <c r="E63" s="484">
        <f t="shared" si="1"/>
        <v>0.58333333333333337</v>
      </c>
      <c r="F63" s="484">
        <f t="shared" si="2"/>
        <v>2020.5833333333333</v>
      </c>
      <c r="G63" s="485" t="str">
        <f>IF(OR(C63&lt;$I$2,C63&gt;$J$3),"",(ii!$D$13*12+V63+1)/12)</f>
        <v/>
      </c>
      <c r="H63" s="486" t="str">
        <f t="shared" si="13"/>
        <v/>
      </c>
      <c r="I63" s="486" t="str">
        <f t="shared" si="20"/>
        <v/>
      </c>
      <c r="J63" s="487"/>
      <c r="K63" s="488"/>
      <c r="L63" s="548"/>
      <c r="M63" s="489" t="str">
        <f t="shared" si="12"/>
        <v/>
      </c>
      <c r="N63" s="490" t="s">
        <v>621</v>
      </c>
      <c r="O63" s="490" t="str">
        <f t="shared" si="5"/>
        <v/>
      </c>
      <c r="P63" s="491"/>
      <c r="Q63" s="491"/>
      <c r="R63" s="491" t="str">
        <f t="shared" si="6"/>
        <v/>
      </c>
      <c r="S63" s="528" t="str">
        <f>IF(G63="","",SUM(AF63:EB63))</f>
        <v/>
      </c>
      <c r="T63" s="528" t="str">
        <f t="shared" si="23"/>
        <v/>
      </c>
      <c r="U63" s="493" t="str">
        <f>IF(H63="","",#REF!*12+#REF!+#REF!*12+#REF!)</f>
        <v/>
      </c>
      <c r="V63" s="565" t="e">
        <f>IF(ii!$J$3&gt;gg!C63,"",IF(AND((YEAR(C63)=YEAR($I$2)),MONTH(C63)=MONTH($I$2)),ii!$B$14*12+ii!$C$14+ii!$B$15*12+ii!$C$15-1,V62+1))</f>
        <v>#REF!</v>
      </c>
      <c r="W63" s="339" t="e">
        <f t="shared" si="10"/>
        <v>#REF!</v>
      </c>
      <c r="X63" s="494" t="s">
        <v>621</v>
      </c>
      <c r="Y63" s="495" t="s">
        <v>621</v>
      </c>
      <c r="Z63" s="496"/>
      <c r="AA63" s="497"/>
      <c r="AB63" s="498" t="str">
        <f t="shared" si="19"/>
        <v/>
      </c>
      <c r="AC63" s="484" t="str">
        <f t="shared" si="15"/>
        <v/>
      </c>
      <c r="AD63" s="495" t="str">
        <f t="shared" si="16"/>
        <v/>
      </c>
      <c r="AE63" s="499" t="s">
        <v>621</v>
      </c>
      <c r="AF63" s="500" t="s">
        <v>621</v>
      </c>
      <c r="AG63" s="556" t="s">
        <v>621</v>
      </c>
      <c r="AH63" s="503" t="str">
        <f>IF($G63="","",IF(AND($G63&gt;=30,$AT$3&lt;=AG$7),ROUND(AG63*($AP$3+#REF!),-1),""))</f>
        <v/>
      </c>
      <c r="AI63" s="506" t="s">
        <v>621</v>
      </c>
      <c r="AJ63" s="503" t="str">
        <f>IF($G63="","",IF(AND($G63&gt;=30,$AT$3&lt;=AI$7),ROUND(AI63*($AP$3+#REF!),-1),""))</f>
        <v/>
      </c>
      <c r="AK63" s="506" t="s">
        <v>621</v>
      </c>
      <c r="AL63" s="503" t="str">
        <f>IF($G63="","",IF(AND($G63&gt;=30,$AT$3&lt;=AK$7),ROUND(AK63*($AP$3+#REF!),-1),""))</f>
        <v/>
      </c>
      <c r="AM63" s="506" t="s">
        <v>621</v>
      </c>
      <c r="AN63" s="503" t="str">
        <f>IF($G63="","",IF(AND($G63&gt;=30,$AT$3&lt;=AM$7),ROUND(AM63*($AP$3+#REF!),-1),""))</f>
        <v/>
      </c>
      <c r="AO63" s="517" t="e">
        <v>#REF!</v>
      </c>
      <c r="AP63" s="503" t="str">
        <f>IF($G63="","",IF(AND($G63&gt;=30,$AT$3&lt;=AO$7),ROUND(AO63*($AP$3+#REF!),-1),""))</f>
        <v/>
      </c>
      <c r="AQ63" s="502"/>
      <c r="AR63" s="503" t="str">
        <f>IF($G63="","",IF(AND($G63&gt;=30,$AT$3&lt;=AQ$7),ROUND(AQ63*($AP$3+#REF!),-1),""))</f>
        <v/>
      </c>
      <c r="AS63" s="503"/>
      <c r="AT63" s="503" t="str">
        <f>IF($G63="","",IF(AND($G63&gt;=30,$AT$3&lt;=AS$7),ROUND(AS63*($AP$3+#REF!),-1),""))</f>
        <v/>
      </c>
      <c r="AU63" s="502"/>
      <c r="AV63" s="503" t="str">
        <f>IF($G63="","",IF(AND($G63&gt;=30,$AT$3&lt;=AU$7),ROUND(AU63*($AP$3+#REF!),-1),""))</f>
        <v/>
      </c>
      <c r="AW63" s="503"/>
      <c r="AX63" s="503" t="str">
        <f>IF($G63="","",IF(AND($G63&gt;=30,$AT$3&lt;=AW$7),ROUND(AW63*($AP$3+#REF!),-1),""))</f>
        <v/>
      </c>
      <c r="AY63" s="502"/>
      <c r="AZ63" s="503" t="str">
        <f>IF($G63="","",IF(AND($G63&gt;=30,$AT$3&lt;=AY$7),ROUND(AY63*($AP$3+#REF!),-1),""))</f>
        <v/>
      </c>
      <c r="BA63" s="503"/>
      <c r="BB63" s="503" t="str">
        <f>IF($G63="","",IF(AND($G63&gt;=30,$AT$3&lt;=BA$7),ROUND(BA63*($AP$3+#REF!),-1),""))</f>
        <v/>
      </c>
      <c r="BC63" s="502"/>
      <c r="BD63" s="503" t="str">
        <f>IF($G63="","",IF(AND($G63&gt;=30,$AT$3&lt;=BC$7),ROUND(BC63*($AP$3+#REF!),-1),""))</f>
        <v/>
      </c>
      <c r="BE63" s="503"/>
      <c r="BF63" s="503" t="str">
        <f>IF($G63="","",IF(AND($G63&gt;=30,$AT$3&lt;=BE$7),ROUND(BE63*($AP$3+#REF!),-1),""))</f>
        <v/>
      </c>
      <c r="BG63" s="502"/>
      <c r="BH63" s="503" t="str">
        <f>IF($G63="","",IF(AND($G63&gt;=30,$AT$3&lt;=BG$7),ROUND(BG63*($AP$3+#REF!),-1),""))</f>
        <v/>
      </c>
      <c r="BI63" s="503"/>
      <c r="BJ63" s="503" t="str">
        <f>IF($G63="","",IF(AND($G63&gt;=30,$AT$3&lt;=BI$7),ROUND(BI63*($AP$3+#REF!),-1),""))</f>
        <v/>
      </c>
      <c r="BK63" s="502"/>
      <c r="BL63" s="503" t="str">
        <f>IF($G63="","",IF(AND($G63&gt;=30,$AT$3&lt;=BK$7),ROUND(BK63*($AP$3+#REF!),-1),""))</f>
        <v/>
      </c>
      <c r="BM63" s="503"/>
      <c r="BN63" s="503" t="str">
        <f>IF($G63="","",IF(AND($G63&gt;=30,$AT$3&lt;=BM$7),ROUND(BM63*($AP$3+#REF!),-1),""))</f>
        <v/>
      </c>
      <c r="BO63" s="502"/>
      <c r="BP63" s="503" t="str">
        <f>IF($G63="","",IF(AND($G63&gt;=30,$AT$3&lt;=BO$7),ROUND(BO63*($AP$3+#REF!),-1),""))</f>
        <v/>
      </c>
      <c r="BQ63" s="503"/>
      <c r="BR63" s="503" t="str">
        <f>IF($G63="","",IF(AND($G63&gt;=30,$AT$3&lt;=BQ$7),ROUND(BQ63*($AP$3+#REF!),-1),""))</f>
        <v/>
      </c>
      <c r="BS63" s="502"/>
      <c r="BT63" s="503" t="str">
        <f>IF($G63="","",IF(AND($G63&gt;=30,$AT$3&lt;=BS$7),ROUND(BS63*($AP$3+#REF!),-1),""))</f>
        <v/>
      </c>
      <c r="BU63" s="503"/>
      <c r="BV63" s="503" t="str">
        <f>IF($G63="","",IF(AND($G63&gt;=30,$AT$3&lt;=BU$7),ROUND(BU63*($AP$3+#REF!),-1),""))</f>
        <v/>
      </c>
      <c r="BW63" s="502"/>
      <c r="BX63" s="503" t="str">
        <f>IF($G63="","",IF(AND($G63&gt;=30,$AT$3&lt;=BW$7),ROUND(BW63*($AP$3+#REF!),-1),""))</f>
        <v/>
      </c>
      <c r="BY63" s="503"/>
      <c r="BZ63" s="503" t="str">
        <f>IF($G63="","",IF(AND($G63&gt;=30,$AT$3&lt;=BY$7),ROUND(BY63*($AP$3+#REF!),-1),""))</f>
        <v/>
      </c>
      <c r="CA63" s="502"/>
      <c r="CB63" s="503" t="str">
        <f>IF($G63="","",IF(AND($G63&gt;=30,$AT$3&lt;=CA$7),ROUND(CA63*($AP$3+#REF!),-1),""))</f>
        <v/>
      </c>
      <c r="CC63" s="503"/>
      <c r="CD63" s="503" t="str">
        <f>IF($G63="","",IF(AND($G63&gt;=30,$AT$3&lt;=CC$7),ROUND(CC63*($AP$3+#REF!),-1),""))</f>
        <v/>
      </c>
      <c r="CE63" s="502"/>
      <c r="CF63" s="503" t="str">
        <f>IF($G63="","",IF(AND($G63&gt;=30,$AT$3&lt;=CE$7),ROUND(CE63*($AP$3+#REF!),-1),""))</f>
        <v/>
      </c>
      <c r="CG63" s="503"/>
      <c r="CH63" s="503" t="str">
        <f>IF($G63="","",IF(AND($G63&gt;=30,$AT$3&lt;=CG$7),ROUND(CG63*($AP$3+#REF!),-1),""))</f>
        <v/>
      </c>
      <c r="CI63" s="502"/>
      <c r="CJ63" s="503" t="str">
        <f>IF($G63="","",IF(AND($G63&gt;=30,$AT$3&lt;=CI$7),ROUND(CI63*($AP$3+#REF!),-1),""))</f>
        <v/>
      </c>
      <c r="CK63" s="503"/>
      <c r="CL63" s="503" t="str">
        <f>IF($G63="","",IF(AND($G63&gt;=30,$AT$3&lt;=CK$7),ROUND(CK63*($AP$3+#REF!),-1),""))</f>
        <v/>
      </c>
      <c r="CM63" s="502"/>
      <c r="CN63" s="503" t="str">
        <f>IF($G63="","",IF(AND($G63&gt;=30,$AT$3&lt;=CM$7),ROUND(CM63*($AP$3+#REF!),-1),""))</f>
        <v/>
      </c>
      <c r="CO63" s="503"/>
      <c r="CP63" s="503" t="str">
        <f>IF($G63="","",IF(AND($G63&gt;=30,$AT$3&lt;=CO$7),ROUND(CO63*($AP$3+#REF!),-1),""))</f>
        <v/>
      </c>
      <c r="CQ63" s="502"/>
      <c r="CR63" s="503" t="str">
        <f>IF($G63="","",IF(AND($G63&gt;=30,$AT$3&lt;=CQ$7),ROUND(CQ63*($AP$3+#REF!),-1),""))</f>
        <v/>
      </c>
      <c r="CS63" s="503"/>
      <c r="CT63" s="503" t="str">
        <f>IF($G63="","",IF(AND($G63&gt;=30,$AT$3&lt;=CS$7),ROUND(CS63*($AP$3+#REF!),-1),""))</f>
        <v/>
      </c>
      <c r="CU63" s="502"/>
      <c r="CV63" s="503" t="str">
        <f>IF($G63="","",IF(AND($G63&gt;=30,$AT$3&lt;=CU$7),ROUND(CU63*($AP$3+#REF!),-1),""))</f>
        <v/>
      </c>
      <c r="CW63" s="503"/>
      <c r="CX63" s="503" t="str">
        <f>IF($G63="","",IF(AND($G63&gt;=30,$AT$3&lt;=CW$7),ROUND(CW63*($AP$3+#REF!),-1),""))</f>
        <v/>
      </c>
      <c r="CY63" s="502"/>
      <c r="CZ63" s="503" t="str">
        <f>IF($G63="","",IF(AND($G63&gt;=30,$AT$3&lt;=CY$7),ROUND(CY63*($AP$3+#REF!),-1),""))</f>
        <v/>
      </c>
      <c r="DA63" s="503"/>
      <c r="DB63" s="503" t="str">
        <f>IF($G63="","",IF(AND($G63&gt;=30,$AT$3&lt;=DA$7),ROUND(DA63*($AP$3+#REF!),-1),""))</f>
        <v/>
      </c>
      <c r="DC63" s="502"/>
      <c r="DD63" s="503" t="str">
        <f>IF($G63="","",IF(AND($G63&gt;=30,$AT$3&lt;=DC$7),ROUND(DC63*($AP$3+#REF!),-1),""))</f>
        <v/>
      </c>
      <c r="DE63" s="503"/>
      <c r="DF63" s="503" t="str">
        <f>IF($G63="","",IF(AND($G63&gt;=30,$AT$3&lt;=DE$7),ROUND(DE63*($AP$3+#REF!),-1),""))</f>
        <v/>
      </c>
      <c r="DG63" s="503"/>
      <c r="DH63" s="503" t="str">
        <f>IF($G63="","",IF(AND($G63&gt;=30,$AT$3&lt;=DG$7),ROUND(DG63*($AP$3+#REF!),-1),""))</f>
        <v/>
      </c>
      <c r="DI63" s="503"/>
      <c r="DJ63" s="503" t="str">
        <f>IF($G63="","",IF(AND($G63&gt;=30,$AT$3&lt;=DI$7),ROUND(DI63*($AP$3+#REF!),-1),""))</f>
        <v/>
      </c>
      <c r="DK63" s="503"/>
      <c r="DL63" s="503" t="str">
        <f>IF($G63="","",IF(AND($G63&gt;=30,$AT$3&lt;=DK$7),ROUND(DK63*($AP$3+#REF!),-1),""))</f>
        <v/>
      </c>
      <c r="DM63" s="503"/>
      <c r="DN63" s="503" t="str">
        <f>IF($G63="","",IF(AND($G63&gt;=30,$AT$3&lt;=DM$7),ROUND(DM63*($AP$3+#REF!),-1),""))</f>
        <v/>
      </c>
      <c r="DO63" s="503"/>
      <c r="DP63" s="503" t="str">
        <f>IF($G63="","",IF(AND($G63&gt;=30,$AT$3&lt;=DO$7),ROUND(DO63*($AP$3+#REF!),-1),""))</f>
        <v/>
      </c>
      <c r="DQ63" s="503"/>
      <c r="DR63" s="503" t="str">
        <f>IF($G63="","",IF(AND($G63&gt;=30,$AT$3&lt;=DQ$7),ROUND(DQ63*($AP$3+#REF!),-1),""))</f>
        <v/>
      </c>
      <c r="DS63" s="503"/>
      <c r="DT63" s="503" t="str">
        <f>IF($G63="","",IF(AND($G63&gt;=30,$AT$3&lt;=DS$7),ROUND(DS63*($AP$3+#REF!),-1),""))</f>
        <v/>
      </c>
      <c r="DU63" s="503"/>
      <c r="DV63" s="503" t="str">
        <f>IF($G63="","",IF(AND($G63&gt;=30,$AT$3&lt;=DU$7),ROUND(DU63*($AP$3+#REF!),-1),""))</f>
        <v/>
      </c>
      <c r="DW63" s="503"/>
      <c r="DX63" s="503" t="str">
        <f>IF($G63="","",IF(AND($G63&gt;=30,$AT$3&lt;=DW$7),ROUND(DW63*($AP$3+#REF!),-1),""))</f>
        <v/>
      </c>
      <c r="DY63" s="503"/>
      <c r="DZ63" s="503" t="str">
        <f>IF($G63="","",IF(AND($G63&gt;=30,$AT$3&lt;=DY$7),ROUND(DY63*($AP$3+#REF!),-1),""))</f>
        <v/>
      </c>
      <c r="EA63" s="503"/>
      <c r="EB63" s="503" t="str">
        <f>IF($G63="","",IF(AND($G63&gt;=30,$AT$3&lt;=EA$7),ROUND(EA63*($AP$3+#REF!),-1),""))</f>
        <v/>
      </c>
      <c r="EC63" s="504" t="s">
        <v>621</v>
      </c>
      <c r="ED63" s="1126"/>
      <c r="EE63" s="325">
        <v>7</v>
      </c>
      <c r="EG63" s="347"/>
      <c r="EH63" s="347"/>
      <c r="EI63" s="347"/>
      <c r="EJ63" s="347"/>
      <c r="EK63" s="347"/>
      <c r="EL63" s="347"/>
      <c r="EM63" s="347"/>
      <c r="EN63" s="347"/>
      <c r="EO63" s="347"/>
      <c r="EP63" s="347"/>
      <c r="EQ63" s="347"/>
      <c r="ER63" s="347"/>
      <c r="ES63" s="347"/>
      <c r="ET63" s="347"/>
      <c r="EU63" s="347"/>
      <c r="EV63" s="347"/>
      <c r="EW63" s="347"/>
      <c r="EX63" s="347"/>
      <c r="EY63" s="347"/>
      <c r="EZ63" s="347"/>
      <c r="FA63" s="347"/>
      <c r="FB63" s="347"/>
      <c r="FC63" s="347"/>
      <c r="FD63" s="347"/>
      <c r="FE63" s="347"/>
      <c r="FF63" s="347"/>
      <c r="FG63" s="347"/>
      <c r="FH63" s="347"/>
      <c r="FI63" s="347"/>
      <c r="FJ63" s="347"/>
      <c r="FK63" s="347"/>
      <c r="FL63" s="347"/>
    </row>
    <row r="64" spans="1:168" ht="9.75" customHeight="1">
      <c r="A64" s="321" t="str">
        <f t="shared" si="21"/>
        <v/>
      </c>
      <c r="B64" s="568" t="e">
        <f>(ii!$D$13*12+V64)+1</f>
        <v>#REF!</v>
      </c>
      <c r="C64" s="337">
        <f t="shared" si="8"/>
        <v>44074</v>
      </c>
      <c r="D64" s="484">
        <f t="shared" si="0"/>
        <v>2020</v>
      </c>
      <c r="E64" s="484">
        <f t="shared" si="1"/>
        <v>0.66666666666666663</v>
      </c>
      <c r="F64" s="484">
        <f t="shared" si="2"/>
        <v>2020.6666666666667</v>
      </c>
      <c r="G64" s="485" t="str">
        <f>IF(OR(C64&lt;$I$2,C64&gt;$J$3),"",(ii!$D$13*12+V64+1)/12)</f>
        <v/>
      </c>
      <c r="H64" s="486"/>
      <c r="I64" s="486"/>
      <c r="J64" s="487"/>
      <c r="K64" s="488"/>
      <c r="L64" s="548"/>
      <c r="M64" s="489" t="str">
        <f t="shared" si="12"/>
        <v/>
      </c>
      <c r="N64" s="490" t="s">
        <v>621</v>
      </c>
      <c r="O64" s="490" t="str">
        <f t="shared" si="5"/>
        <v/>
      </c>
      <c r="P64" s="491"/>
      <c r="Q64" s="491"/>
      <c r="R64" s="491" t="str">
        <f t="shared" si="6"/>
        <v/>
      </c>
      <c r="S64" s="528" t="str">
        <f t="shared" ref="S64:S127" si="24">IF(G64="","",SUM(AF64:EB64))</f>
        <v/>
      </c>
      <c r="T64" s="528" t="str">
        <f t="shared" si="23"/>
        <v/>
      </c>
      <c r="U64" s="493" t="str">
        <f>IF(H64="","",#REF!*12+#REF!+#REF!*12+#REF!)</f>
        <v/>
      </c>
      <c r="V64" s="338" t="e">
        <f>IF(ii!$J$3&gt;gg!C64,"",IF(AND((YEAR(C64)=YEAR($I$2)),MONTH(C64)=MONTH($I$2)),ii!$B$14*12+ii!$C$14+ii!$B$15*12+ii!$C$15-1,V63+1))</f>
        <v>#REF!</v>
      </c>
      <c r="W64" s="339" t="e">
        <f t="shared" si="10"/>
        <v>#REF!</v>
      </c>
      <c r="X64" s="494" t="s">
        <v>621</v>
      </c>
      <c r="Y64" s="495" t="s">
        <v>621</v>
      </c>
      <c r="Z64" s="496"/>
      <c r="AA64" s="497"/>
      <c r="AB64" s="498" t="str">
        <f t="shared" si="19"/>
        <v/>
      </c>
      <c r="AC64" s="484" t="str">
        <f t="shared" si="15"/>
        <v/>
      </c>
      <c r="AD64" s="495" t="str">
        <f t="shared" si="16"/>
        <v/>
      </c>
      <c r="AE64" s="499" t="s">
        <v>621</v>
      </c>
      <c r="AF64" s="500" t="s">
        <v>621</v>
      </c>
      <c r="AG64" s="556" t="s">
        <v>621</v>
      </c>
      <c r="AH64" s="503" t="str">
        <f>IF($G64="","",IF(AND($G64&gt;=30,$AT$3&lt;=AG$7),ROUND(AG64*($AP$3+#REF!),-1),""))</f>
        <v/>
      </c>
      <c r="AI64" s="506" t="s">
        <v>621</v>
      </c>
      <c r="AJ64" s="503" t="str">
        <f>IF($G64="","",IF(AND($G64&gt;=30,$AT$3&lt;=AI$7),ROUND(AI64*($AP$3+#REF!),-1),""))</f>
        <v/>
      </c>
      <c r="AK64" s="506" t="s">
        <v>621</v>
      </c>
      <c r="AL64" s="503" t="str">
        <f>IF($G64="","",IF(AND($G64&gt;=30,$AT$3&lt;=AK$7),ROUND(AK64*($AP$3+#REF!),-1),""))</f>
        <v/>
      </c>
      <c r="AM64" s="506" t="s">
        <v>621</v>
      </c>
      <c r="AN64" s="503" t="str">
        <f>IF($G64="","",IF(AND($G64&gt;=30,$AT$3&lt;=AM$7),ROUND(AM64*($AP$3+#REF!),-1),""))</f>
        <v/>
      </c>
      <c r="AO64" s="517" t="e">
        <v>#REF!</v>
      </c>
      <c r="AP64" s="503" t="str">
        <f>IF($G64="","",IF(AND($G64&gt;=30,$AT$3&lt;=AO$7),ROUND(AO64*($AP$3+#REF!),-1),""))</f>
        <v/>
      </c>
      <c r="AQ64" s="502"/>
      <c r="AR64" s="503" t="str">
        <f>IF($G64="","",IF(AND($G64&gt;=30,$AT$3&lt;=AQ$7),ROUND(AQ64*($AP$3+#REF!),-1),""))</f>
        <v/>
      </c>
      <c r="AS64" s="503"/>
      <c r="AT64" s="503" t="str">
        <f>IF($G64="","",IF(AND($G64&gt;=30,$AT$3&lt;=AS$7),ROUND(AS64*($AP$3+#REF!),-1),""))</f>
        <v/>
      </c>
      <c r="AU64" s="502"/>
      <c r="AV64" s="503" t="str">
        <f>IF($G64="","",IF(AND($G64&gt;=30,$AT$3&lt;=AU$7),ROUND(AU64*($AP$3+#REF!),-1),""))</f>
        <v/>
      </c>
      <c r="AW64" s="503"/>
      <c r="AX64" s="503" t="str">
        <f>IF($G64="","",IF(AND($G64&gt;=30,$AT$3&lt;=AW$7),ROUND(AW64*($AP$3+#REF!),-1),""))</f>
        <v/>
      </c>
      <c r="AY64" s="502"/>
      <c r="AZ64" s="503" t="str">
        <f>IF($G64="","",IF(AND($G64&gt;=30,$AT$3&lt;=AY$7),ROUND(AY64*($AP$3+#REF!),-1),""))</f>
        <v/>
      </c>
      <c r="BA64" s="503"/>
      <c r="BB64" s="503" t="str">
        <f>IF($G64="","",IF(AND($G64&gt;=30,$AT$3&lt;=BA$7),ROUND(BA64*($AP$3+#REF!),-1),""))</f>
        <v/>
      </c>
      <c r="BC64" s="502"/>
      <c r="BD64" s="503" t="str">
        <f>IF($G64="","",IF(AND($G64&gt;=30,$AT$3&lt;=BC$7),ROUND(BC64*($AP$3+#REF!),-1),""))</f>
        <v/>
      </c>
      <c r="BE64" s="503"/>
      <c r="BF64" s="503" t="str">
        <f>IF($G64="","",IF(AND($G64&gt;=30,$AT$3&lt;=BE$7),ROUND(BE64*($AP$3+#REF!),-1),""))</f>
        <v/>
      </c>
      <c r="BG64" s="502"/>
      <c r="BH64" s="503" t="str">
        <f>IF($G64="","",IF(AND($G64&gt;=30,$AT$3&lt;=BG$7),ROUND(BG64*($AP$3+#REF!),-1),""))</f>
        <v/>
      </c>
      <c r="BI64" s="503"/>
      <c r="BJ64" s="503" t="str">
        <f>IF($G64="","",IF(AND($G64&gt;=30,$AT$3&lt;=BI$7),ROUND(BI64*($AP$3+#REF!),-1),""))</f>
        <v/>
      </c>
      <c r="BK64" s="502"/>
      <c r="BL64" s="503" t="str">
        <f>IF($G64="","",IF(AND($G64&gt;=30,$AT$3&lt;=BK$7),ROUND(BK64*($AP$3+#REF!),-1),""))</f>
        <v/>
      </c>
      <c r="BM64" s="503"/>
      <c r="BN64" s="503" t="str">
        <f>IF($G64="","",IF(AND($G64&gt;=30,$AT$3&lt;=BM$7),ROUND(BM64*($AP$3+#REF!),-1),""))</f>
        <v/>
      </c>
      <c r="BO64" s="502"/>
      <c r="BP64" s="503" t="str">
        <f>IF($G64="","",IF(AND($G64&gt;=30,$AT$3&lt;=BO$7),ROUND(BO64*($AP$3+#REF!),-1),""))</f>
        <v/>
      </c>
      <c r="BQ64" s="503"/>
      <c r="BR64" s="503" t="str">
        <f>IF($G64="","",IF(AND($G64&gt;=30,$AT$3&lt;=BQ$7),ROUND(BQ64*($AP$3+#REF!),-1),""))</f>
        <v/>
      </c>
      <c r="BS64" s="502"/>
      <c r="BT64" s="503" t="str">
        <f>IF($G64="","",IF(AND($G64&gt;=30,$AT$3&lt;=BS$7),ROUND(BS64*($AP$3+#REF!),-1),""))</f>
        <v/>
      </c>
      <c r="BU64" s="503"/>
      <c r="BV64" s="503" t="str">
        <f>IF($G64="","",IF(AND($G64&gt;=30,$AT$3&lt;=BU$7),ROUND(BU64*($AP$3+#REF!),-1),""))</f>
        <v/>
      </c>
      <c r="BW64" s="502"/>
      <c r="BX64" s="503" t="str">
        <f>IF($G64="","",IF(AND($G64&gt;=30,$AT$3&lt;=BW$7),ROUND(BW64*($AP$3+#REF!),-1),""))</f>
        <v/>
      </c>
      <c r="BY64" s="503"/>
      <c r="BZ64" s="503" t="str">
        <f>IF($G64="","",IF(AND($G64&gt;=30,$AT$3&lt;=BY$7),ROUND(BY64*($AP$3+#REF!),-1),""))</f>
        <v/>
      </c>
      <c r="CA64" s="502"/>
      <c r="CB64" s="503" t="str">
        <f>IF($G64="","",IF(AND($G64&gt;=30,$AT$3&lt;=CA$7),ROUND(CA64*($AP$3+#REF!),-1),""))</f>
        <v/>
      </c>
      <c r="CC64" s="503"/>
      <c r="CD64" s="503" t="str">
        <f>IF($G64="","",IF(AND($G64&gt;=30,$AT$3&lt;=CC$7),ROUND(CC64*($AP$3+#REF!),-1),""))</f>
        <v/>
      </c>
      <c r="CE64" s="502"/>
      <c r="CF64" s="503" t="str">
        <f>IF($G64="","",IF(AND($G64&gt;=30,$AT$3&lt;=CE$7),ROUND(CE64*($AP$3+#REF!),-1),""))</f>
        <v/>
      </c>
      <c r="CG64" s="503"/>
      <c r="CH64" s="503" t="str">
        <f>IF($G64="","",IF(AND($G64&gt;=30,$AT$3&lt;=CG$7),ROUND(CG64*($AP$3+#REF!),-1),""))</f>
        <v/>
      </c>
      <c r="CI64" s="502"/>
      <c r="CJ64" s="503" t="str">
        <f>IF($G64="","",IF(AND($G64&gt;=30,$AT$3&lt;=CI$7),ROUND(CI64*($AP$3+#REF!),-1),""))</f>
        <v/>
      </c>
      <c r="CK64" s="503"/>
      <c r="CL64" s="503" t="str">
        <f>IF($G64="","",IF(AND($G64&gt;=30,$AT$3&lt;=CK$7),ROUND(CK64*($AP$3+#REF!),-1),""))</f>
        <v/>
      </c>
      <c r="CM64" s="502"/>
      <c r="CN64" s="503" t="str">
        <f>IF($G64="","",IF(AND($G64&gt;=30,$AT$3&lt;=CM$7),ROUND(CM64*($AP$3+#REF!),-1),""))</f>
        <v/>
      </c>
      <c r="CO64" s="503"/>
      <c r="CP64" s="503" t="str">
        <f>IF($G64="","",IF(AND($G64&gt;=30,$AT$3&lt;=CO$7),ROUND(CO64*($AP$3+#REF!),-1),""))</f>
        <v/>
      </c>
      <c r="CQ64" s="502"/>
      <c r="CR64" s="503" t="str">
        <f>IF($G64="","",IF(AND($G64&gt;=30,$AT$3&lt;=CQ$7),ROUND(CQ64*($AP$3+#REF!),-1),""))</f>
        <v/>
      </c>
      <c r="CS64" s="503"/>
      <c r="CT64" s="503" t="str">
        <f>IF($G64="","",IF(AND($G64&gt;=30,$AT$3&lt;=CS$7),ROUND(CS64*($AP$3+#REF!),-1),""))</f>
        <v/>
      </c>
      <c r="CU64" s="502"/>
      <c r="CV64" s="503" t="str">
        <f>IF($G64="","",IF(AND($G64&gt;=30,$AT$3&lt;=CU$7),ROUND(CU64*($AP$3+#REF!),-1),""))</f>
        <v/>
      </c>
      <c r="CW64" s="503"/>
      <c r="CX64" s="503" t="str">
        <f>IF($G64="","",IF(AND($G64&gt;=30,$AT$3&lt;=CW$7),ROUND(CW64*($AP$3+#REF!),-1),""))</f>
        <v/>
      </c>
      <c r="CY64" s="502"/>
      <c r="CZ64" s="503" t="str">
        <f>IF($G64="","",IF(AND($G64&gt;=30,$AT$3&lt;=CY$7),ROUND(CY64*($AP$3+#REF!),-1),""))</f>
        <v/>
      </c>
      <c r="DA64" s="503"/>
      <c r="DB64" s="503" t="str">
        <f>IF($G64="","",IF(AND($G64&gt;=30,$AT$3&lt;=DA$7),ROUND(DA64*($AP$3+#REF!),-1),""))</f>
        <v/>
      </c>
      <c r="DC64" s="502"/>
      <c r="DD64" s="503" t="str">
        <f>IF($G64="","",IF(AND($G64&gt;=30,$AT$3&lt;=DC$7),ROUND(DC64*($AP$3+#REF!),-1),""))</f>
        <v/>
      </c>
      <c r="DE64" s="503"/>
      <c r="DF64" s="503" t="str">
        <f>IF($G64="","",IF(AND($G64&gt;=30,$AT$3&lt;=DE$7),ROUND(DE64*($AP$3+#REF!),-1),""))</f>
        <v/>
      </c>
      <c r="DG64" s="503"/>
      <c r="DH64" s="503" t="str">
        <f>IF($G64="","",IF(AND($G64&gt;=30,$AT$3&lt;=DG$7),ROUND(DG64*($AP$3+#REF!),-1),""))</f>
        <v/>
      </c>
      <c r="DI64" s="503"/>
      <c r="DJ64" s="503" t="str">
        <f>IF($G64="","",IF(AND($G64&gt;=30,$AT$3&lt;=DI$7),ROUND(DI64*($AP$3+#REF!),-1),""))</f>
        <v/>
      </c>
      <c r="DK64" s="503"/>
      <c r="DL64" s="503" t="str">
        <f>IF($G64="","",IF(AND($G64&gt;=30,$AT$3&lt;=DK$7),ROUND(DK64*($AP$3+#REF!),-1),""))</f>
        <v/>
      </c>
      <c r="DM64" s="503"/>
      <c r="DN64" s="503" t="str">
        <f>IF($G64="","",IF(AND($G64&gt;=30,$AT$3&lt;=DM$7),ROUND(DM64*($AP$3+#REF!),-1),""))</f>
        <v/>
      </c>
      <c r="DO64" s="503"/>
      <c r="DP64" s="503" t="str">
        <f>IF($G64="","",IF(AND($G64&gt;=30,$AT$3&lt;=DO$7),ROUND(DO64*($AP$3+#REF!),-1),""))</f>
        <v/>
      </c>
      <c r="DQ64" s="503"/>
      <c r="DR64" s="503" t="str">
        <f>IF($G64="","",IF(AND($G64&gt;=30,$AT$3&lt;=DQ$7),ROUND(DQ64*($AP$3+#REF!),-1),""))</f>
        <v/>
      </c>
      <c r="DS64" s="503"/>
      <c r="DT64" s="503" t="str">
        <f>IF($G64="","",IF(AND($G64&gt;=30,$AT$3&lt;=DS$7),ROUND(DS64*($AP$3+#REF!),-1),""))</f>
        <v/>
      </c>
      <c r="DU64" s="503"/>
      <c r="DV64" s="503" t="str">
        <f>IF($G64="","",IF(AND($G64&gt;=30,$AT$3&lt;=DU$7),ROUND(DU64*($AP$3+#REF!),-1),""))</f>
        <v/>
      </c>
      <c r="DW64" s="503"/>
      <c r="DX64" s="503" t="str">
        <f>IF($G64="","",IF(AND($G64&gt;=30,$AT$3&lt;=DW$7),ROUND(DW64*($AP$3+#REF!),-1),""))</f>
        <v/>
      </c>
      <c r="DY64" s="503"/>
      <c r="DZ64" s="503" t="str">
        <f>IF($G64="","",IF(AND($G64&gt;=30,$AT$3&lt;=DY$7),ROUND(DY64*($AP$3+#REF!),-1),""))</f>
        <v/>
      </c>
      <c r="EA64" s="503"/>
      <c r="EB64" s="503" t="str">
        <f>IF($G64="","",IF(AND($G64&gt;=30,$AT$3&lt;=EA$7),ROUND(EA64*($AP$3+#REF!),-1),""))</f>
        <v/>
      </c>
      <c r="EC64" s="504" t="s">
        <v>621</v>
      </c>
      <c r="ED64" s="1126"/>
      <c r="EE64" s="325">
        <v>8</v>
      </c>
      <c r="EG64" s="347"/>
      <c r="EH64" s="347"/>
      <c r="EI64" s="347"/>
      <c r="EJ64" s="347"/>
      <c r="EK64" s="347"/>
      <c r="EL64" s="347"/>
      <c r="EM64" s="347"/>
      <c r="EN64" s="347"/>
      <c r="EO64" s="347"/>
      <c r="EP64" s="347"/>
      <c r="EQ64" s="347"/>
      <c r="ER64" s="347"/>
      <c r="ES64" s="347"/>
      <c r="ET64" s="347"/>
      <c r="EU64" s="347"/>
      <c r="EV64" s="347"/>
      <c r="EW64" s="347"/>
      <c r="EX64" s="347"/>
      <c r="EY64" s="347"/>
      <c r="EZ64" s="347"/>
      <c r="FA64" s="347"/>
      <c r="FB64" s="347"/>
      <c r="FC64" s="347"/>
      <c r="FD64" s="347"/>
      <c r="FE64" s="347"/>
      <c r="FF64" s="347"/>
      <c r="FG64" s="347"/>
      <c r="FH64" s="347"/>
      <c r="FI64" s="347"/>
      <c r="FJ64" s="347"/>
      <c r="FK64" s="347"/>
      <c r="FL64" s="347"/>
    </row>
    <row r="65" spans="1:168" ht="9.75" customHeight="1">
      <c r="A65" s="321" t="str">
        <f t="shared" si="21"/>
        <v/>
      </c>
      <c r="B65" s="568" t="e">
        <f>(ii!$D$13*12+V65)+1</f>
        <v>#REF!</v>
      </c>
      <c r="C65" s="337">
        <f t="shared" si="8"/>
        <v>44104</v>
      </c>
      <c r="D65" s="484">
        <f t="shared" si="0"/>
        <v>2020</v>
      </c>
      <c r="E65" s="484">
        <f t="shared" si="1"/>
        <v>0.75</v>
      </c>
      <c r="F65" s="484">
        <f t="shared" si="2"/>
        <v>2020.75</v>
      </c>
      <c r="G65" s="485" t="str">
        <f>IF(OR(C65&lt;$I$2,C65&gt;$J$3),"",(ii!$D$13*12+V65+1)/12)</f>
        <v/>
      </c>
      <c r="H65" s="486"/>
      <c r="I65" s="486"/>
      <c r="J65" s="487"/>
      <c r="K65" s="488"/>
      <c r="L65" s="548"/>
      <c r="M65" s="489" t="str">
        <f t="shared" si="12"/>
        <v/>
      </c>
      <c r="N65" s="490" t="s">
        <v>621</v>
      </c>
      <c r="O65" s="490" t="str">
        <f t="shared" si="5"/>
        <v/>
      </c>
      <c r="P65" s="491"/>
      <c r="Q65" s="491"/>
      <c r="R65" s="491" t="str">
        <f t="shared" si="6"/>
        <v/>
      </c>
      <c r="S65" s="528" t="str">
        <f t="shared" si="24"/>
        <v/>
      </c>
      <c r="T65" s="528" t="str">
        <f t="shared" si="23"/>
        <v/>
      </c>
      <c r="U65" s="493" t="str">
        <f>IF(H65="","",#REF!*12+#REF!+#REF!*12+#REF!)</f>
        <v/>
      </c>
      <c r="V65" s="338" t="e">
        <f>IF(ii!$J$3&gt;gg!C65,"",IF(AND((YEAR(C65)=YEAR($I$2)),MONTH(C65)=MONTH($I$2)),ii!$B$14*12+ii!$C$14+ii!$B$15*12+ii!$C$15-1,V64+1))</f>
        <v>#REF!</v>
      </c>
      <c r="W65" s="339" t="e">
        <f t="shared" si="10"/>
        <v>#REF!</v>
      </c>
      <c r="X65" s="494" t="s">
        <v>621</v>
      </c>
      <c r="Y65" s="495" t="s">
        <v>621</v>
      </c>
      <c r="Z65" s="496"/>
      <c r="AA65" s="497"/>
      <c r="AB65" s="498" t="str">
        <f t="shared" si="19"/>
        <v/>
      </c>
      <c r="AC65" s="484" t="str">
        <f t="shared" si="15"/>
        <v/>
      </c>
      <c r="AD65" s="495" t="str">
        <f t="shared" si="16"/>
        <v/>
      </c>
      <c r="AE65" s="499" t="s">
        <v>621</v>
      </c>
      <c r="AF65" s="500" t="s">
        <v>621</v>
      </c>
      <c r="AG65" s="556" t="s">
        <v>621</v>
      </c>
      <c r="AH65" s="503" t="str">
        <f>IF($G65="","",IF(AND($G65&gt;=30,$AT$3&lt;=AG$7),ROUND(AG65*($AP$3+#REF!),-1),""))</f>
        <v/>
      </c>
      <c r="AI65" s="506" t="s">
        <v>621</v>
      </c>
      <c r="AJ65" s="503" t="str">
        <f>IF($G65="","",IF(AND($G65&gt;=30,$AT$3&lt;=AI$7),ROUND(AI65*($AP$3+#REF!),-1),""))</f>
        <v/>
      </c>
      <c r="AK65" s="506" t="s">
        <v>621</v>
      </c>
      <c r="AL65" s="503" t="str">
        <f>IF($G65="","",IF(AND($G65&gt;=30,$AT$3&lt;=AK$7),ROUND(AK65*($AP$3+#REF!),-1),""))</f>
        <v/>
      </c>
      <c r="AM65" s="506" t="s">
        <v>621</v>
      </c>
      <c r="AN65" s="503" t="str">
        <f>IF($G65="","",IF(AND($G65&gt;=30,$AT$3&lt;=AM$7),ROUND(AM65*($AP$3+#REF!),-1),""))</f>
        <v/>
      </c>
      <c r="AO65" s="517" t="e">
        <v>#REF!</v>
      </c>
      <c r="AP65" s="503" t="str">
        <f>IF($G65="","",IF(AND($G65&gt;=30,$AT$3&lt;=AO$7),ROUND(AO65*($AP$3+#REF!),-1),""))</f>
        <v/>
      </c>
      <c r="AQ65" s="502"/>
      <c r="AR65" s="503" t="str">
        <f>IF($G65="","",IF(AND($G65&gt;=30,$AT$3&lt;=AQ$7),ROUND(AQ65*($AP$3+#REF!),-1),""))</f>
        <v/>
      </c>
      <c r="AS65" s="503"/>
      <c r="AT65" s="503" t="str">
        <f>IF($G65="","",IF(AND($G65&gt;=30,$AT$3&lt;=AS$7),ROUND(AS65*($AP$3+#REF!),-1),""))</f>
        <v/>
      </c>
      <c r="AU65" s="502"/>
      <c r="AV65" s="503" t="str">
        <f>IF($G65="","",IF(AND($G65&gt;=30,$AT$3&lt;=AU$7),ROUND(AU65*($AP$3+#REF!),-1),""))</f>
        <v/>
      </c>
      <c r="AW65" s="503"/>
      <c r="AX65" s="503" t="str">
        <f>IF($G65="","",IF(AND($G65&gt;=30,$AT$3&lt;=AW$7),ROUND(AW65*($AP$3+#REF!),-1),""))</f>
        <v/>
      </c>
      <c r="AY65" s="502"/>
      <c r="AZ65" s="503" t="str">
        <f>IF($G65="","",IF(AND($G65&gt;=30,$AT$3&lt;=AY$7),ROUND(AY65*($AP$3+#REF!),-1),""))</f>
        <v/>
      </c>
      <c r="BA65" s="503"/>
      <c r="BB65" s="503" t="str">
        <f>IF($G65="","",IF(AND($G65&gt;=30,$AT$3&lt;=BA$7),ROUND(BA65*($AP$3+#REF!),-1),""))</f>
        <v/>
      </c>
      <c r="BC65" s="502"/>
      <c r="BD65" s="503" t="str">
        <f>IF($G65="","",IF(AND($G65&gt;=30,$AT$3&lt;=BC$7),ROUND(BC65*($AP$3+#REF!),-1),""))</f>
        <v/>
      </c>
      <c r="BE65" s="503"/>
      <c r="BF65" s="503" t="str">
        <f>IF($G65="","",IF(AND($G65&gt;=30,$AT$3&lt;=BE$7),ROUND(BE65*($AP$3+#REF!),-1),""))</f>
        <v/>
      </c>
      <c r="BG65" s="502"/>
      <c r="BH65" s="503" t="str">
        <f>IF($G65="","",IF(AND($G65&gt;=30,$AT$3&lt;=BG$7),ROUND(BG65*($AP$3+#REF!),-1),""))</f>
        <v/>
      </c>
      <c r="BI65" s="503"/>
      <c r="BJ65" s="503" t="str">
        <f>IF($G65="","",IF(AND($G65&gt;=30,$AT$3&lt;=BI$7),ROUND(BI65*($AP$3+#REF!),-1),""))</f>
        <v/>
      </c>
      <c r="BK65" s="502"/>
      <c r="BL65" s="503" t="str">
        <f>IF($G65="","",IF(AND($G65&gt;=30,$AT$3&lt;=BK$7),ROUND(BK65*($AP$3+#REF!),-1),""))</f>
        <v/>
      </c>
      <c r="BM65" s="503"/>
      <c r="BN65" s="503" t="str">
        <f>IF($G65="","",IF(AND($G65&gt;=30,$AT$3&lt;=BM$7),ROUND(BM65*($AP$3+#REF!),-1),""))</f>
        <v/>
      </c>
      <c r="BO65" s="502"/>
      <c r="BP65" s="503" t="str">
        <f>IF($G65="","",IF(AND($G65&gt;=30,$AT$3&lt;=BO$7),ROUND(BO65*($AP$3+#REF!),-1),""))</f>
        <v/>
      </c>
      <c r="BQ65" s="503"/>
      <c r="BR65" s="503" t="str">
        <f>IF($G65="","",IF(AND($G65&gt;=30,$AT$3&lt;=BQ$7),ROUND(BQ65*($AP$3+#REF!),-1),""))</f>
        <v/>
      </c>
      <c r="BS65" s="502"/>
      <c r="BT65" s="503" t="str">
        <f>IF($G65="","",IF(AND($G65&gt;=30,$AT$3&lt;=BS$7),ROUND(BS65*($AP$3+#REF!),-1),""))</f>
        <v/>
      </c>
      <c r="BU65" s="503"/>
      <c r="BV65" s="503" t="str">
        <f>IF($G65="","",IF(AND($G65&gt;=30,$AT$3&lt;=BU$7),ROUND(BU65*($AP$3+#REF!),-1),""))</f>
        <v/>
      </c>
      <c r="BW65" s="502"/>
      <c r="BX65" s="503" t="str">
        <f>IF($G65="","",IF(AND($G65&gt;=30,$AT$3&lt;=BW$7),ROUND(BW65*($AP$3+#REF!),-1),""))</f>
        <v/>
      </c>
      <c r="BY65" s="503"/>
      <c r="BZ65" s="503" t="str">
        <f>IF($G65="","",IF(AND($G65&gt;=30,$AT$3&lt;=BY$7),ROUND(BY65*($AP$3+#REF!),-1),""))</f>
        <v/>
      </c>
      <c r="CA65" s="502"/>
      <c r="CB65" s="503" t="str">
        <f>IF($G65="","",IF(AND($G65&gt;=30,$AT$3&lt;=CA$7),ROUND(CA65*($AP$3+#REF!),-1),""))</f>
        <v/>
      </c>
      <c r="CC65" s="503"/>
      <c r="CD65" s="503" t="str">
        <f>IF($G65="","",IF(AND($G65&gt;=30,$AT$3&lt;=CC$7),ROUND(CC65*($AP$3+#REF!),-1),""))</f>
        <v/>
      </c>
      <c r="CE65" s="502"/>
      <c r="CF65" s="503" t="str">
        <f>IF($G65="","",IF(AND($G65&gt;=30,$AT$3&lt;=CE$7),ROUND(CE65*($AP$3+#REF!),-1),""))</f>
        <v/>
      </c>
      <c r="CG65" s="503"/>
      <c r="CH65" s="503" t="str">
        <f>IF($G65="","",IF(AND($G65&gt;=30,$AT$3&lt;=CG$7),ROUND(CG65*($AP$3+#REF!),-1),""))</f>
        <v/>
      </c>
      <c r="CI65" s="502"/>
      <c r="CJ65" s="503" t="str">
        <f>IF($G65="","",IF(AND($G65&gt;=30,$AT$3&lt;=CI$7),ROUND(CI65*($AP$3+#REF!),-1),""))</f>
        <v/>
      </c>
      <c r="CK65" s="503"/>
      <c r="CL65" s="503" t="str">
        <f>IF($G65="","",IF(AND($G65&gt;=30,$AT$3&lt;=CK$7),ROUND(CK65*($AP$3+#REF!),-1),""))</f>
        <v/>
      </c>
      <c r="CM65" s="502"/>
      <c r="CN65" s="503" t="str">
        <f>IF($G65="","",IF(AND($G65&gt;=30,$AT$3&lt;=CM$7),ROUND(CM65*($AP$3+#REF!),-1),""))</f>
        <v/>
      </c>
      <c r="CO65" s="503"/>
      <c r="CP65" s="503" t="str">
        <f>IF($G65="","",IF(AND($G65&gt;=30,$AT$3&lt;=CO$7),ROUND(CO65*($AP$3+#REF!),-1),""))</f>
        <v/>
      </c>
      <c r="CQ65" s="502"/>
      <c r="CR65" s="503" t="str">
        <f>IF($G65="","",IF(AND($G65&gt;=30,$AT$3&lt;=CQ$7),ROUND(CQ65*($AP$3+#REF!),-1),""))</f>
        <v/>
      </c>
      <c r="CS65" s="503"/>
      <c r="CT65" s="503" t="str">
        <f>IF($G65="","",IF(AND($G65&gt;=30,$AT$3&lt;=CS$7),ROUND(CS65*($AP$3+#REF!),-1),""))</f>
        <v/>
      </c>
      <c r="CU65" s="502"/>
      <c r="CV65" s="503" t="str">
        <f>IF($G65="","",IF(AND($G65&gt;=30,$AT$3&lt;=CU$7),ROUND(CU65*($AP$3+#REF!),-1),""))</f>
        <v/>
      </c>
      <c r="CW65" s="503"/>
      <c r="CX65" s="503" t="str">
        <f>IF($G65="","",IF(AND($G65&gt;=30,$AT$3&lt;=CW$7),ROUND(CW65*($AP$3+#REF!),-1),""))</f>
        <v/>
      </c>
      <c r="CY65" s="502"/>
      <c r="CZ65" s="503" t="str">
        <f>IF($G65="","",IF(AND($G65&gt;=30,$AT$3&lt;=CY$7),ROUND(CY65*($AP$3+#REF!),-1),""))</f>
        <v/>
      </c>
      <c r="DA65" s="503"/>
      <c r="DB65" s="503" t="str">
        <f>IF($G65="","",IF(AND($G65&gt;=30,$AT$3&lt;=DA$7),ROUND(DA65*($AP$3+#REF!),-1),""))</f>
        <v/>
      </c>
      <c r="DC65" s="502"/>
      <c r="DD65" s="503" t="str">
        <f>IF($G65="","",IF(AND($G65&gt;=30,$AT$3&lt;=DC$7),ROUND(DC65*($AP$3+#REF!),-1),""))</f>
        <v/>
      </c>
      <c r="DE65" s="503"/>
      <c r="DF65" s="503" t="str">
        <f>IF($G65="","",IF(AND($G65&gt;=30,$AT$3&lt;=DE$7),ROUND(DE65*($AP$3+#REF!),-1),""))</f>
        <v/>
      </c>
      <c r="DG65" s="503"/>
      <c r="DH65" s="503" t="str">
        <f>IF($G65="","",IF(AND($G65&gt;=30,$AT$3&lt;=DG$7),ROUND(DG65*($AP$3+#REF!),-1),""))</f>
        <v/>
      </c>
      <c r="DI65" s="503"/>
      <c r="DJ65" s="503" t="str">
        <f>IF($G65="","",IF(AND($G65&gt;=30,$AT$3&lt;=DI$7),ROUND(DI65*($AP$3+#REF!),-1),""))</f>
        <v/>
      </c>
      <c r="DK65" s="503"/>
      <c r="DL65" s="503" t="str">
        <f>IF($G65="","",IF(AND($G65&gt;=30,$AT$3&lt;=DK$7),ROUND(DK65*($AP$3+#REF!),-1),""))</f>
        <v/>
      </c>
      <c r="DM65" s="503"/>
      <c r="DN65" s="503" t="str">
        <f>IF($G65="","",IF(AND($G65&gt;=30,$AT$3&lt;=DM$7),ROUND(DM65*($AP$3+#REF!),-1),""))</f>
        <v/>
      </c>
      <c r="DO65" s="503"/>
      <c r="DP65" s="503" t="str">
        <f>IF($G65="","",IF(AND($G65&gt;=30,$AT$3&lt;=DO$7),ROUND(DO65*($AP$3+#REF!),-1),""))</f>
        <v/>
      </c>
      <c r="DQ65" s="503"/>
      <c r="DR65" s="503" t="str">
        <f>IF($G65="","",IF(AND($G65&gt;=30,$AT$3&lt;=DQ$7),ROUND(DQ65*($AP$3+#REF!),-1),""))</f>
        <v/>
      </c>
      <c r="DS65" s="503"/>
      <c r="DT65" s="503" t="str">
        <f>IF($G65="","",IF(AND($G65&gt;=30,$AT$3&lt;=DS$7),ROUND(DS65*($AP$3+#REF!),-1),""))</f>
        <v/>
      </c>
      <c r="DU65" s="503"/>
      <c r="DV65" s="503" t="str">
        <f>IF($G65="","",IF(AND($G65&gt;=30,$AT$3&lt;=DU$7),ROUND(DU65*($AP$3+#REF!),-1),""))</f>
        <v/>
      </c>
      <c r="DW65" s="503"/>
      <c r="DX65" s="503" t="str">
        <f>IF($G65="","",IF(AND($G65&gt;=30,$AT$3&lt;=DW$7),ROUND(DW65*($AP$3+#REF!),-1),""))</f>
        <v/>
      </c>
      <c r="DY65" s="503"/>
      <c r="DZ65" s="503" t="str">
        <f>IF($G65="","",IF(AND($G65&gt;=30,$AT$3&lt;=DY$7),ROUND(DY65*($AP$3+#REF!),-1),""))</f>
        <v/>
      </c>
      <c r="EA65" s="503"/>
      <c r="EB65" s="503" t="str">
        <f>IF($G65="","",IF(AND($G65&gt;=30,$AT$3&lt;=EA$7),ROUND(EA65*($AP$3+#REF!),-1),""))</f>
        <v/>
      </c>
      <c r="EC65" s="504" t="s">
        <v>621</v>
      </c>
      <c r="ED65" s="1126"/>
      <c r="EE65" s="325">
        <v>9</v>
      </c>
      <c r="EG65" s="347"/>
      <c r="EH65" s="347"/>
      <c r="EI65" s="347"/>
      <c r="EJ65" s="347"/>
      <c r="EK65" s="347"/>
      <c r="EL65" s="347"/>
      <c r="EM65" s="347"/>
      <c r="EN65" s="347"/>
      <c r="EO65" s="347"/>
      <c r="EP65" s="347"/>
      <c r="EQ65" s="347"/>
      <c r="ER65" s="347"/>
      <c r="ES65" s="347"/>
      <c r="ET65" s="347"/>
      <c r="EU65" s="347"/>
      <c r="EV65" s="347"/>
      <c r="EW65" s="347"/>
      <c r="EX65" s="347"/>
      <c r="EY65" s="347"/>
      <c r="EZ65" s="347"/>
      <c r="FA65" s="347"/>
      <c r="FB65" s="347"/>
      <c r="FC65" s="347"/>
      <c r="FD65" s="347"/>
      <c r="FE65" s="347"/>
      <c r="FF65" s="347"/>
      <c r="FG65" s="347"/>
      <c r="FH65" s="347"/>
      <c r="FI65" s="347"/>
      <c r="FJ65" s="347"/>
      <c r="FK65" s="347"/>
      <c r="FL65" s="347"/>
    </row>
    <row r="66" spans="1:168" ht="9.75" customHeight="1">
      <c r="A66" s="321" t="str">
        <f t="shared" si="21"/>
        <v/>
      </c>
      <c r="B66" s="568" t="e">
        <f>(ii!$D$13*12+V66)+1</f>
        <v>#REF!</v>
      </c>
      <c r="C66" s="337">
        <f t="shared" si="8"/>
        <v>44135</v>
      </c>
      <c r="D66" s="484">
        <f t="shared" si="0"/>
        <v>2020</v>
      </c>
      <c r="E66" s="484">
        <f t="shared" si="1"/>
        <v>0.83333333333333337</v>
      </c>
      <c r="F66" s="484">
        <f t="shared" si="2"/>
        <v>2020.8333333333333</v>
      </c>
      <c r="G66" s="485" t="str">
        <f>IF(OR(C66&lt;$I$2,C66&gt;$J$3),"",(ii!$D$13*12+V66+1)/12)</f>
        <v/>
      </c>
      <c r="H66" s="486"/>
      <c r="I66" s="486"/>
      <c r="J66" s="487"/>
      <c r="K66" s="488"/>
      <c r="L66" s="548"/>
      <c r="M66" s="489" t="str">
        <f t="shared" si="12"/>
        <v/>
      </c>
      <c r="N66" s="490" t="s">
        <v>621</v>
      </c>
      <c r="O66" s="490" t="str">
        <f t="shared" si="5"/>
        <v/>
      </c>
      <c r="P66" s="491"/>
      <c r="Q66" s="491"/>
      <c r="R66" s="491" t="str">
        <f t="shared" si="6"/>
        <v/>
      </c>
      <c r="S66" s="528" t="str">
        <f t="shared" si="24"/>
        <v/>
      </c>
      <c r="T66" s="528" t="str">
        <f t="shared" si="23"/>
        <v/>
      </c>
      <c r="U66" s="493" t="str">
        <f>IF(H66="","",#REF!*12+#REF!+#REF!*12+#REF!)</f>
        <v/>
      </c>
      <c r="V66" s="338" t="e">
        <f>IF(ii!$J$3&gt;gg!C66,"",IF(AND((YEAR(C66)=YEAR($I$2)),MONTH(C66)=MONTH($I$2)),ii!$B$14*12+ii!$C$14+ii!$B$15*12+ii!$C$15-1,V65+1))</f>
        <v>#REF!</v>
      </c>
      <c r="W66" s="339" t="e">
        <f t="shared" si="10"/>
        <v>#REF!</v>
      </c>
      <c r="X66" s="494" t="s">
        <v>621</v>
      </c>
      <c r="Y66" s="495" t="s">
        <v>621</v>
      </c>
      <c r="Z66" s="496"/>
      <c r="AA66" s="497"/>
      <c r="AB66" s="498" t="str">
        <f t="shared" si="19"/>
        <v/>
      </c>
      <c r="AC66" s="484" t="str">
        <f t="shared" si="15"/>
        <v/>
      </c>
      <c r="AD66" s="495" t="str">
        <f t="shared" si="16"/>
        <v/>
      </c>
      <c r="AE66" s="499" t="s">
        <v>621</v>
      </c>
      <c r="AF66" s="500" t="s">
        <v>621</v>
      </c>
      <c r="AG66" s="556" t="s">
        <v>621</v>
      </c>
      <c r="AH66" s="503" t="str">
        <f>IF($G66="","",IF(AND($G66&gt;=30,$AT$3&lt;=AG$7),ROUND(AG66*($AP$3+#REF!),-1),""))</f>
        <v/>
      </c>
      <c r="AI66" s="506" t="s">
        <v>621</v>
      </c>
      <c r="AJ66" s="503" t="str">
        <f>IF($G66="","",IF(AND($G66&gt;=30,$AT$3&lt;=AI$7),ROUND(AI66*($AP$3+#REF!),-1),""))</f>
        <v/>
      </c>
      <c r="AK66" s="506" t="s">
        <v>621</v>
      </c>
      <c r="AL66" s="503" t="str">
        <f>IF($G66="","",IF(AND($G66&gt;=30,$AT$3&lt;=AK$7),ROUND(AK66*($AP$3+#REF!),-1),""))</f>
        <v/>
      </c>
      <c r="AM66" s="506" t="s">
        <v>621</v>
      </c>
      <c r="AN66" s="503" t="str">
        <f>IF($G66="","",IF(AND($G66&gt;=30,$AT$3&lt;=AM$7),ROUND(AM66*($AP$3+#REF!),-1),""))</f>
        <v/>
      </c>
      <c r="AO66" s="517" t="e">
        <v>#REF!</v>
      </c>
      <c r="AP66" s="503" t="str">
        <f>IF($G66="","",IF(AND($G66&gt;=30,$AT$3&lt;=AO$7),ROUND(AO66*($AP$3+#REF!),-1),""))</f>
        <v/>
      </c>
      <c r="AQ66" s="502"/>
      <c r="AR66" s="503" t="str">
        <f>IF($G66="","",IF(AND($G66&gt;=30,$AT$3&lt;=AQ$7),ROUND(AQ66*($AP$3+#REF!),-1),""))</f>
        <v/>
      </c>
      <c r="AS66" s="503"/>
      <c r="AT66" s="503" t="str">
        <f>IF($G66="","",IF(AND($G66&gt;=30,$AT$3&lt;=AS$7),ROUND(AS66*($AP$3+#REF!),-1),""))</f>
        <v/>
      </c>
      <c r="AU66" s="502"/>
      <c r="AV66" s="503" t="str">
        <f>IF($G66="","",IF(AND($G66&gt;=30,$AT$3&lt;=AU$7),ROUND(AU66*($AP$3+#REF!),-1),""))</f>
        <v/>
      </c>
      <c r="AW66" s="503"/>
      <c r="AX66" s="503" t="str">
        <f>IF($G66="","",IF(AND($G66&gt;=30,$AT$3&lt;=AW$7),ROUND(AW66*($AP$3+#REF!),-1),""))</f>
        <v/>
      </c>
      <c r="AY66" s="502"/>
      <c r="AZ66" s="503" t="str">
        <f>IF($G66="","",IF(AND($G66&gt;=30,$AT$3&lt;=AY$7),ROUND(AY66*($AP$3+#REF!),-1),""))</f>
        <v/>
      </c>
      <c r="BA66" s="503"/>
      <c r="BB66" s="503" t="str">
        <f>IF($G66="","",IF(AND($G66&gt;=30,$AT$3&lt;=BA$7),ROUND(BA66*($AP$3+#REF!),-1),""))</f>
        <v/>
      </c>
      <c r="BC66" s="502"/>
      <c r="BD66" s="503" t="str">
        <f>IF($G66="","",IF(AND($G66&gt;=30,$AT$3&lt;=BC$7),ROUND(BC66*($AP$3+#REF!),-1),""))</f>
        <v/>
      </c>
      <c r="BE66" s="503"/>
      <c r="BF66" s="503" t="str">
        <f>IF($G66="","",IF(AND($G66&gt;=30,$AT$3&lt;=BE$7),ROUND(BE66*($AP$3+#REF!),-1),""))</f>
        <v/>
      </c>
      <c r="BG66" s="502"/>
      <c r="BH66" s="503" t="str">
        <f>IF($G66="","",IF(AND($G66&gt;=30,$AT$3&lt;=BG$7),ROUND(BG66*($AP$3+#REF!),-1),""))</f>
        <v/>
      </c>
      <c r="BI66" s="503"/>
      <c r="BJ66" s="503" t="str">
        <f>IF($G66="","",IF(AND($G66&gt;=30,$AT$3&lt;=BI$7),ROUND(BI66*($AP$3+#REF!),-1),""))</f>
        <v/>
      </c>
      <c r="BK66" s="502"/>
      <c r="BL66" s="503" t="str">
        <f>IF($G66="","",IF(AND($G66&gt;=30,$AT$3&lt;=BK$7),ROUND(BK66*($AP$3+#REF!),-1),""))</f>
        <v/>
      </c>
      <c r="BM66" s="503"/>
      <c r="BN66" s="503" t="str">
        <f>IF($G66="","",IF(AND($G66&gt;=30,$AT$3&lt;=BM$7),ROUND(BM66*($AP$3+#REF!),-1),""))</f>
        <v/>
      </c>
      <c r="BO66" s="502"/>
      <c r="BP66" s="503" t="str">
        <f>IF($G66="","",IF(AND($G66&gt;=30,$AT$3&lt;=BO$7),ROUND(BO66*($AP$3+#REF!),-1),""))</f>
        <v/>
      </c>
      <c r="BQ66" s="503"/>
      <c r="BR66" s="503" t="str">
        <f>IF($G66="","",IF(AND($G66&gt;=30,$AT$3&lt;=BQ$7),ROUND(BQ66*($AP$3+#REF!),-1),""))</f>
        <v/>
      </c>
      <c r="BS66" s="502"/>
      <c r="BT66" s="503" t="str">
        <f>IF($G66="","",IF(AND($G66&gt;=30,$AT$3&lt;=BS$7),ROUND(BS66*($AP$3+#REF!),-1),""))</f>
        <v/>
      </c>
      <c r="BU66" s="503"/>
      <c r="BV66" s="503" t="str">
        <f>IF($G66="","",IF(AND($G66&gt;=30,$AT$3&lt;=BU$7),ROUND(BU66*($AP$3+#REF!),-1),""))</f>
        <v/>
      </c>
      <c r="BW66" s="502"/>
      <c r="BX66" s="503" t="str">
        <f>IF($G66="","",IF(AND($G66&gt;=30,$AT$3&lt;=BW$7),ROUND(BW66*($AP$3+#REF!),-1),""))</f>
        <v/>
      </c>
      <c r="BY66" s="503"/>
      <c r="BZ66" s="503" t="str">
        <f>IF($G66="","",IF(AND($G66&gt;=30,$AT$3&lt;=BY$7),ROUND(BY66*($AP$3+#REF!),-1),""))</f>
        <v/>
      </c>
      <c r="CA66" s="502"/>
      <c r="CB66" s="503" t="str">
        <f>IF($G66="","",IF(AND($G66&gt;=30,$AT$3&lt;=CA$7),ROUND(CA66*($AP$3+#REF!),-1),""))</f>
        <v/>
      </c>
      <c r="CC66" s="503"/>
      <c r="CD66" s="503" t="str">
        <f>IF($G66="","",IF(AND($G66&gt;=30,$AT$3&lt;=CC$7),ROUND(CC66*($AP$3+#REF!),-1),""))</f>
        <v/>
      </c>
      <c r="CE66" s="502"/>
      <c r="CF66" s="503" t="str">
        <f>IF($G66="","",IF(AND($G66&gt;=30,$AT$3&lt;=CE$7),ROUND(CE66*($AP$3+#REF!),-1),""))</f>
        <v/>
      </c>
      <c r="CG66" s="503"/>
      <c r="CH66" s="503" t="str">
        <f>IF($G66="","",IF(AND($G66&gt;=30,$AT$3&lt;=CG$7),ROUND(CG66*($AP$3+#REF!),-1),""))</f>
        <v/>
      </c>
      <c r="CI66" s="502"/>
      <c r="CJ66" s="503" t="str">
        <f>IF($G66="","",IF(AND($G66&gt;=30,$AT$3&lt;=CI$7),ROUND(CI66*($AP$3+#REF!),-1),""))</f>
        <v/>
      </c>
      <c r="CK66" s="503"/>
      <c r="CL66" s="503" t="str">
        <f>IF($G66="","",IF(AND($G66&gt;=30,$AT$3&lt;=CK$7),ROUND(CK66*($AP$3+#REF!),-1),""))</f>
        <v/>
      </c>
      <c r="CM66" s="502"/>
      <c r="CN66" s="503" t="str">
        <f>IF($G66="","",IF(AND($G66&gt;=30,$AT$3&lt;=CM$7),ROUND(CM66*($AP$3+#REF!),-1),""))</f>
        <v/>
      </c>
      <c r="CO66" s="503"/>
      <c r="CP66" s="503" t="str">
        <f>IF($G66="","",IF(AND($G66&gt;=30,$AT$3&lt;=CO$7),ROUND(CO66*($AP$3+#REF!),-1),""))</f>
        <v/>
      </c>
      <c r="CQ66" s="502"/>
      <c r="CR66" s="503" t="str">
        <f>IF($G66="","",IF(AND($G66&gt;=30,$AT$3&lt;=CQ$7),ROUND(CQ66*($AP$3+#REF!),-1),""))</f>
        <v/>
      </c>
      <c r="CS66" s="503"/>
      <c r="CT66" s="503" t="str">
        <f>IF($G66="","",IF(AND($G66&gt;=30,$AT$3&lt;=CS$7),ROUND(CS66*($AP$3+#REF!),-1),""))</f>
        <v/>
      </c>
      <c r="CU66" s="502"/>
      <c r="CV66" s="503" t="str">
        <f>IF($G66="","",IF(AND($G66&gt;=30,$AT$3&lt;=CU$7),ROUND(CU66*($AP$3+#REF!),-1),""))</f>
        <v/>
      </c>
      <c r="CW66" s="503"/>
      <c r="CX66" s="503" t="str">
        <f>IF($G66="","",IF(AND($G66&gt;=30,$AT$3&lt;=CW$7),ROUND(CW66*($AP$3+#REF!),-1),""))</f>
        <v/>
      </c>
      <c r="CY66" s="502"/>
      <c r="CZ66" s="503" t="str">
        <f>IF($G66="","",IF(AND($G66&gt;=30,$AT$3&lt;=CY$7),ROUND(CY66*($AP$3+#REF!),-1),""))</f>
        <v/>
      </c>
      <c r="DA66" s="503"/>
      <c r="DB66" s="503" t="str">
        <f>IF($G66="","",IF(AND($G66&gt;=30,$AT$3&lt;=DA$7),ROUND(DA66*($AP$3+#REF!),-1),""))</f>
        <v/>
      </c>
      <c r="DC66" s="502"/>
      <c r="DD66" s="503" t="str">
        <f>IF($G66="","",IF(AND($G66&gt;=30,$AT$3&lt;=DC$7),ROUND(DC66*($AP$3+#REF!),-1),""))</f>
        <v/>
      </c>
      <c r="DE66" s="503"/>
      <c r="DF66" s="503" t="str">
        <f>IF($G66="","",IF(AND($G66&gt;=30,$AT$3&lt;=DE$7),ROUND(DE66*($AP$3+#REF!),-1),""))</f>
        <v/>
      </c>
      <c r="DG66" s="503"/>
      <c r="DH66" s="503" t="str">
        <f>IF($G66="","",IF(AND($G66&gt;=30,$AT$3&lt;=DG$7),ROUND(DG66*($AP$3+#REF!),-1),""))</f>
        <v/>
      </c>
      <c r="DI66" s="503"/>
      <c r="DJ66" s="503" t="str">
        <f>IF($G66="","",IF(AND($G66&gt;=30,$AT$3&lt;=DI$7),ROUND(DI66*($AP$3+#REF!),-1),""))</f>
        <v/>
      </c>
      <c r="DK66" s="503"/>
      <c r="DL66" s="503" t="str">
        <f>IF($G66="","",IF(AND($G66&gt;=30,$AT$3&lt;=DK$7),ROUND(DK66*($AP$3+#REF!),-1),""))</f>
        <v/>
      </c>
      <c r="DM66" s="503"/>
      <c r="DN66" s="503" t="str">
        <f>IF($G66="","",IF(AND($G66&gt;=30,$AT$3&lt;=DM$7),ROUND(DM66*($AP$3+#REF!),-1),""))</f>
        <v/>
      </c>
      <c r="DO66" s="503"/>
      <c r="DP66" s="503" t="str">
        <f>IF($G66="","",IF(AND($G66&gt;=30,$AT$3&lt;=DO$7),ROUND(DO66*($AP$3+#REF!),-1),""))</f>
        <v/>
      </c>
      <c r="DQ66" s="503"/>
      <c r="DR66" s="503" t="str">
        <f>IF($G66="","",IF(AND($G66&gt;=30,$AT$3&lt;=DQ$7),ROUND(DQ66*($AP$3+#REF!),-1),""))</f>
        <v/>
      </c>
      <c r="DS66" s="503"/>
      <c r="DT66" s="503" t="str">
        <f>IF($G66="","",IF(AND($G66&gt;=30,$AT$3&lt;=DS$7),ROUND(DS66*($AP$3+#REF!),-1),""))</f>
        <v/>
      </c>
      <c r="DU66" s="503"/>
      <c r="DV66" s="503" t="str">
        <f>IF($G66="","",IF(AND($G66&gt;=30,$AT$3&lt;=DU$7),ROUND(DU66*($AP$3+#REF!),-1),""))</f>
        <v/>
      </c>
      <c r="DW66" s="503"/>
      <c r="DX66" s="503" t="str">
        <f>IF($G66="","",IF(AND($G66&gt;=30,$AT$3&lt;=DW$7),ROUND(DW66*($AP$3+#REF!),-1),""))</f>
        <v/>
      </c>
      <c r="DY66" s="503"/>
      <c r="DZ66" s="503" t="str">
        <f>IF($G66="","",IF(AND($G66&gt;=30,$AT$3&lt;=DY$7),ROUND(DY66*($AP$3+#REF!),-1),""))</f>
        <v/>
      </c>
      <c r="EA66" s="503"/>
      <c r="EB66" s="503" t="str">
        <f>IF($G66="","",IF(AND($G66&gt;=30,$AT$3&lt;=EA$7),ROUND(EA66*($AP$3+#REF!),-1),""))</f>
        <v/>
      </c>
      <c r="EC66" s="504" t="s">
        <v>621</v>
      </c>
      <c r="ED66" s="1126"/>
      <c r="EE66" s="325">
        <v>10</v>
      </c>
      <c r="EG66" s="347"/>
      <c r="EH66" s="347"/>
      <c r="EI66" s="347"/>
      <c r="EJ66" s="347"/>
      <c r="EK66" s="347"/>
      <c r="EL66" s="347"/>
      <c r="EM66" s="347"/>
      <c r="EN66" s="347"/>
      <c r="EO66" s="347"/>
      <c r="EP66" s="347"/>
      <c r="EQ66" s="347"/>
      <c r="ER66" s="347"/>
      <c r="ES66" s="347"/>
      <c r="ET66" s="347"/>
      <c r="EU66" s="347"/>
      <c r="EV66" s="347"/>
      <c r="EW66" s="347"/>
      <c r="EX66" s="347"/>
      <c r="EY66" s="347"/>
      <c r="EZ66" s="347"/>
      <c r="FA66" s="347"/>
      <c r="FB66" s="347"/>
      <c r="FC66" s="347"/>
      <c r="FD66" s="347"/>
      <c r="FE66" s="347"/>
      <c r="FF66" s="347"/>
      <c r="FG66" s="347"/>
      <c r="FH66" s="347"/>
      <c r="FI66" s="347"/>
      <c r="FJ66" s="347"/>
      <c r="FK66" s="347"/>
      <c r="FL66" s="347"/>
    </row>
    <row r="67" spans="1:168" ht="9.75" customHeight="1">
      <c r="A67" s="321" t="str">
        <f t="shared" si="21"/>
        <v/>
      </c>
      <c r="B67" s="568" t="e">
        <f>(ii!$D$13*12+V67)+1</f>
        <v>#REF!</v>
      </c>
      <c r="C67" s="337">
        <f t="shared" si="8"/>
        <v>44165</v>
      </c>
      <c r="D67" s="484">
        <f t="shared" si="0"/>
        <v>2020</v>
      </c>
      <c r="E67" s="484">
        <f t="shared" si="1"/>
        <v>0.91666666666666663</v>
      </c>
      <c r="F67" s="484">
        <f t="shared" si="2"/>
        <v>2020.9166666666667</v>
      </c>
      <c r="G67" s="485" t="str">
        <f>IF(OR(C67&lt;$I$2,C67&gt;$J$3),"",(ii!$D$13*12+V67+1)/12)</f>
        <v/>
      </c>
      <c r="H67" s="486"/>
      <c r="I67" s="486"/>
      <c r="J67" s="487"/>
      <c r="K67" s="488"/>
      <c r="L67" s="548"/>
      <c r="M67" s="489" t="str">
        <f t="shared" si="12"/>
        <v/>
      </c>
      <c r="N67" s="490" t="s">
        <v>621</v>
      </c>
      <c r="O67" s="490" t="str">
        <f t="shared" si="5"/>
        <v/>
      </c>
      <c r="P67" s="491"/>
      <c r="Q67" s="491"/>
      <c r="R67" s="491" t="str">
        <f t="shared" si="6"/>
        <v/>
      </c>
      <c r="S67" s="528" t="str">
        <f t="shared" si="24"/>
        <v/>
      </c>
      <c r="T67" s="528" t="str">
        <f t="shared" si="23"/>
        <v/>
      </c>
      <c r="U67" s="493" t="str">
        <f>IF(H67="","",#REF!*12+#REF!+#REF!*12+#REF!)</f>
        <v/>
      </c>
      <c r="V67" s="338" t="e">
        <f>IF(ii!$J$3&gt;gg!C67,"",IF(AND((YEAR(C67)=YEAR($I$2)),MONTH(C67)=MONTH($I$2)),ii!$B$14*12+ii!$C$14+ii!$B$15*12+ii!$C$15-1,V66+1))</f>
        <v>#REF!</v>
      </c>
      <c r="W67" s="339" t="e">
        <f t="shared" si="10"/>
        <v>#REF!</v>
      </c>
      <c r="X67" s="494" t="s">
        <v>621</v>
      </c>
      <c r="Y67" s="495" t="s">
        <v>621</v>
      </c>
      <c r="Z67" s="496"/>
      <c r="AA67" s="497"/>
      <c r="AB67" s="498" t="str">
        <f t="shared" si="19"/>
        <v/>
      </c>
      <c r="AC67" s="484" t="str">
        <f t="shared" si="15"/>
        <v/>
      </c>
      <c r="AD67" s="495" t="str">
        <f t="shared" si="16"/>
        <v/>
      </c>
      <c r="AE67" s="499" t="s">
        <v>621</v>
      </c>
      <c r="AF67" s="500" t="s">
        <v>621</v>
      </c>
      <c r="AG67" s="556" t="s">
        <v>621</v>
      </c>
      <c r="AH67" s="503" t="str">
        <f>IF($G67="","",IF(AND($G67&gt;=30,$AT$3&lt;=AG$7),ROUND(AG67*($AP$3+#REF!),-1),""))</f>
        <v/>
      </c>
      <c r="AI67" s="506" t="s">
        <v>621</v>
      </c>
      <c r="AJ67" s="503" t="str">
        <f>IF($G67="","",IF(AND($G67&gt;=30,$AT$3&lt;=AI$7),ROUND(AI67*($AP$3+#REF!),-1),""))</f>
        <v/>
      </c>
      <c r="AK67" s="506" t="s">
        <v>621</v>
      </c>
      <c r="AL67" s="503" t="str">
        <f>IF($G67="","",IF(AND($G67&gt;=30,$AT$3&lt;=AK$7),ROUND(AK67*($AP$3+#REF!),-1),""))</f>
        <v/>
      </c>
      <c r="AM67" s="506" t="s">
        <v>621</v>
      </c>
      <c r="AN67" s="503" t="str">
        <f>IF($G67="","",IF(AND($G67&gt;=30,$AT$3&lt;=AM$7),ROUND(AM67*($AP$3+#REF!),-1),""))</f>
        <v/>
      </c>
      <c r="AO67" s="517" t="e">
        <v>#REF!</v>
      </c>
      <c r="AP67" s="503" t="str">
        <f>IF($G67="","",IF(AND($G67&gt;=30,$AT$3&lt;=AO$7),ROUND(AO67*($AP$3+#REF!),-1),""))</f>
        <v/>
      </c>
      <c r="AQ67" s="502"/>
      <c r="AR67" s="503" t="str">
        <f>IF($G67="","",IF(AND($G67&gt;=30,$AT$3&lt;=AQ$7),ROUND(AQ67*($AP$3+#REF!),-1),""))</f>
        <v/>
      </c>
      <c r="AS67" s="503"/>
      <c r="AT67" s="503" t="str">
        <f>IF($G67="","",IF(AND($G67&gt;=30,$AT$3&lt;=AS$7),ROUND(AS67*($AP$3+#REF!),-1),""))</f>
        <v/>
      </c>
      <c r="AU67" s="502"/>
      <c r="AV67" s="503" t="str">
        <f>IF($G67="","",IF(AND($G67&gt;=30,$AT$3&lt;=AU$7),ROUND(AU67*($AP$3+#REF!),-1),""))</f>
        <v/>
      </c>
      <c r="AW67" s="503"/>
      <c r="AX67" s="503" t="str">
        <f>IF($G67="","",IF(AND($G67&gt;=30,$AT$3&lt;=AW$7),ROUND(AW67*($AP$3+#REF!),-1),""))</f>
        <v/>
      </c>
      <c r="AY67" s="502"/>
      <c r="AZ67" s="503" t="str">
        <f>IF($G67="","",IF(AND($G67&gt;=30,$AT$3&lt;=AY$7),ROUND(AY67*($AP$3+#REF!),-1),""))</f>
        <v/>
      </c>
      <c r="BA67" s="503"/>
      <c r="BB67" s="503" t="str">
        <f>IF($G67="","",IF(AND($G67&gt;=30,$AT$3&lt;=BA$7),ROUND(BA67*($AP$3+#REF!),-1),""))</f>
        <v/>
      </c>
      <c r="BC67" s="502"/>
      <c r="BD67" s="503" t="str">
        <f>IF($G67="","",IF(AND($G67&gt;=30,$AT$3&lt;=BC$7),ROUND(BC67*($AP$3+#REF!),-1),""))</f>
        <v/>
      </c>
      <c r="BE67" s="503"/>
      <c r="BF67" s="503" t="str">
        <f>IF($G67="","",IF(AND($G67&gt;=30,$AT$3&lt;=BE$7),ROUND(BE67*($AP$3+#REF!),-1),""))</f>
        <v/>
      </c>
      <c r="BG67" s="502"/>
      <c r="BH67" s="503" t="str">
        <f>IF($G67="","",IF(AND($G67&gt;=30,$AT$3&lt;=BG$7),ROUND(BG67*($AP$3+#REF!),-1),""))</f>
        <v/>
      </c>
      <c r="BI67" s="503"/>
      <c r="BJ67" s="503" t="str">
        <f>IF($G67="","",IF(AND($G67&gt;=30,$AT$3&lt;=BI$7),ROUND(BI67*($AP$3+#REF!),-1),""))</f>
        <v/>
      </c>
      <c r="BK67" s="502"/>
      <c r="BL67" s="503" t="str">
        <f>IF($G67="","",IF(AND($G67&gt;=30,$AT$3&lt;=BK$7),ROUND(BK67*($AP$3+#REF!),-1),""))</f>
        <v/>
      </c>
      <c r="BM67" s="503"/>
      <c r="BN67" s="503" t="str">
        <f>IF($G67="","",IF(AND($G67&gt;=30,$AT$3&lt;=BM$7),ROUND(BM67*($AP$3+#REF!),-1),""))</f>
        <v/>
      </c>
      <c r="BO67" s="502"/>
      <c r="BP67" s="503" t="str">
        <f>IF($G67="","",IF(AND($G67&gt;=30,$AT$3&lt;=BO$7),ROUND(BO67*($AP$3+#REF!),-1),""))</f>
        <v/>
      </c>
      <c r="BQ67" s="503"/>
      <c r="BR67" s="503" t="str">
        <f>IF($G67="","",IF(AND($G67&gt;=30,$AT$3&lt;=BQ$7),ROUND(BQ67*($AP$3+#REF!),-1),""))</f>
        <v/>
      </c>
      <c r="BS67" s="502"/>
      <c r="BT67" s="503" t="str">
        <f>IF($G67="","",IF(AND($G67&gt;=30,$AT$3&lt;=BS$7),ROUND(BS67*($AP$3+#REF!),-1),""))</f>
        <v/>
      </c>
      <c r="BU67" s="503"/>
      <c r="BV67" s="503" t="str">
        <f>IF($G67="","",IF(AND($G67&gt;=30,$AT$3&lt;=BU$7),ROUND(BU67*($AP$3+#REF!),-1),""))</f>
        <v/>
      </c>
      <c r="BW67" s="502"/>
      <c r="BX67" s="503" t="str">
        <f>IF($G67="","",IF(AND($G67&gt;=30,$AT$3&lt;=BW$7),ROUND(BW67*($AP$3+#REF!),-1),""))</f>
        <v/>
      </c>
      <c r="BY67" s="503"/>
      <c r="BZ67" s="503" t="str">
        <f>IF($G67="","",IF(AND($G67&gt;=30,$AT$3&lt;=BY$7),ROUND(BY67*($AP$3+#REF!),-1),""))</f>
        <v/>
      </c>
      <c r="CA67" s="502"/>
      <c r="CB67" s="503" t="str">
        <f>IF($G67="","",IF(AND($G67&gt;=30,$AT$3&lt;=CA$7),ROUND(CA67*($AP$3+#REF!),-1),""))</f>
        <v/>
      </c>
      <c r="CC67" s="503"/>
      <c r="CD67" s="503" t="str">
        <f>IF($G67="","",IF(AND($G67&gt;=30,$AT$3&lt;=CC$7),ROUND(CC67*($AP$3+#REF!),-1),""))</f>
        <v/>
      </c>
      <c r="CE67" s="502"/>
      <c r="CF67" s="503" t="str">
        <f>IF($G67="","",IF(AND($G67&gt;=30,$AT$3&lt;=CE$7),ROUND(CE67*($AP$3+#REF!),-1),""))</f>
        <v/>
      </c>
      <c r="CG67" s="503"/>
      <c r="CH67" s="503" t="str">
        <f>IF($G67="","",IF(AND($G67&gt;=30,$AT$3&lt;=CG$7),ROUND(CG67*($AP$3+#REF!),-1),""))</f>
        <v/>
      </c>
      <c r="CI67" s="502"/>
      <c r="CJ67" s="503" t="str">
        <f>IF($G67="","",IF(AND($G67&gt;=30,$AT$3&lt;=CI$7),ROUND(CI67*($AP$3+#REF!),-1),""))</f>
        <v/>
      </c>
      <c r="CK67" s="503"/>
      <c r="CL67" s="503" t="str">
        <f>IF($G67="","",IF(AND($G67&gt;=30,$AT$3&lt;=CK$7),ROUND(CK67*($AP$3+#REF!),-1),""))</f>
        <v/>
      </c>
      <c r="CM67" s="502"/>
      <c r="CN67" s="503" t="str">
        <f>IF($G67="","",IF(AND($G67&gt;=30,$AT$3&lt;=CM$7),ROUND(CM67*($AP$3+#REF!),-1),""))</f>
        <v/>
      </c>
      <c r="CO67" s="503"/>
      <c r="CP67" s="503" t="str">
        <f>IF($G67="","",IF(AND($G67&gt;=30,$AT$3&lt;=CO$7),ROUND(CO67*($AP$3+#REF!),-1),""))</f>
        <v/>
      </c>
      <c r="CQ67" s="502"/>
      <c r="CR67" s="503" t="str">
        <f>IF($G67="","",IF(AND($G67&gt;=30,$AT$3&lt;=CQ$7),ROUND(CQ67*($AP$3+#REF!),-1),""))</f>
        <v/>
      </c>
      <c r="CS67" s="503"/>
      <c r="CT67" s="503" t="str">
        <f>IF($G67="","",IF(AND($G67&gt;=30,$AT$3&lt;=CS$7),ROUND(CS67*($AP$3+#REF!),-1),""))</f>
        <v/>
      </c>
      <c r="CU67" s="502"/>
      <c r="CV67" s="503" t="str">
        <f>IF($G67="","",IF(AND($G67&gt;=30,$AT$3&lt;=CU$7),ROUND(CU67*($AP$3+#REF!),-1),""))</f>
        <v/>
      </c>
      <c r="CW67" s="503"/>
      <c r="CX67" s="503" t="str">
        <f>IF($G67="","",IF(AND($G67&gt;=30,$AT$3&lt;=CW$7),ROUND(CW67*($AP$3+#REF!),-1),""))</f>
        <v/>
      </c>
      <c r="CY67" s="502"/>
      <c r="CZ67" s="503" t="str">
        <f>IF($G67="","",IF(AND($G67&gt;=30,$AT$3&lt;=CY$7),ROUND(CY67*($AP$3+#REF!),-1),""))</f>
        <v/>
      </c>
      <c r="DA67" s="503"/>
      <c r="DB67" s="503" t="str">
        <f>IF($G67="","",IF(AND($G67&gt;=30,$AT$3&lt;=DA$7),ROUND(DA67*($AP$3+#REF!),-1),""))</f>
        <v/>
      </c>
      <c r="DC67" s="502"/>
      <c r="DD67" s="503" t="str">
        <f>IF($G67="","",IF(AND($G67&gt;=30,$AT$3&lt;=DC$7),ROUND(DC67*($AP$3+#REF!),-1),""))</f>
        <v/>
      </c>
      <c r="DE67" s="503"/>
      <c r="DF67" s="503" t="str">
        <f>IF($G67="","",IF(AND($G67&gt;=30,$AT$3&lt;=DE$7),ROUND(DE67*($AP$3+#REF!),-1),""))</f>
        <v/>
      </c>
      <c r="DG67" s="503"/>
      <c r="DH67" s="503" t="str">
        <f>IF($G67="","",IF(AND($G67&gt;=30,$AT$3&lt;=DG$7),ROUND(DG67*($AP$3+#REF!),-1),""))</f>
        <v/>
      </c>
      <c r="DI67" s="503"/>
      <c r="DJ67" s="503" t="str">
        <f>IF($G67="","",IF(AND($G67&gt;=30,$AT$3&lt;=DI$7),ROUND(DI67*($AP$3+#REF!),-1),""))</f>
        <v/>
      </c>
      <c r="DK67" s="503"/>
      <c r="DL67" s="503" t="str">
        <f>IF($G67="","",IF(AND($G67&gt;=30,$AT$3&lt;=DK$7),ROUND(DK67*($AP$3+#REF!),-1),""))</f>
        <v/>
      </c>
      <c r="DM67" s="503"/>
      <c r="DN67" s="503" t="str">
        <f>IF($G67="","",IF(AND($G67&gt;=30,$AT$3&lt;=DM$7),ROUND(DM67*($AP$3+#REF!),-1),""))</f>
        <v/>
      </c>
      <c r="DO67" s="503"/>
      <c r="DP67" s="503" t="str">
        <f>IF($G67="","",IF(AND($G67&gt;=30,$AT$3&lt;=DO$7),ROUND(DO67*($AP$3+#REF!),-1),""))</f>
        <v/>
      </c>
      <c r="DQ67" s="503"/>
      <c r="DR67" s="503" t="str">
        <f>IF($G67="","",IF(AND($G67&gt;=30,$AT$3&lt;=DQ$7),ROUND(DQ67*($AP$3+#REF!),-1),""))</f>
        <v/>
      </c>
      <c r="DS67" s="503"/>
      <c r="DT67" s="503" t="str">
        <f>IF($G67="","",IF(AND($G67&gt;=30,$AT$3&lt;=DS$7),ROUND(DS67*($AP$3+#REF!),-1),""))</f>
        <v/>
      </c>
      <c r="DU67" s="503"/>
      <c r="DV67" s="503" t="str">
        <f>IF($G67="","",IF(AND($G67&gt;=30,$AT$3&lt;=DU$7),ROUND(DU67*($AP$3+#REF!),-1),""))</f>
        <v/>
      </c>
      <c r="DW67" s="503"/>
      <c r="DX67" s="503" t="str">
        <f>IF($G67="","",IF(AND($G67&gt;=30,$AT$3&lt;=DW$7),ROUND(DW67*($AP$3+#REF!),-1),""))</f>
        <v/>
      </c>
      <c r="DY67" s="503"/>
      <c r="DZ67" s="503" t="str">
        <f>IF($G67="","",IF(AND($G67&gt;=30,$AT$3&lt;=DY$7),ROUND(DY67*($AP$3+#REF!),-1),""))</f>
        <v/>
      </c>
      <c r="EA67" s="503"/>
      <c r="EB67" s="503" t="str">
        <f>IF($G67="","",IF(AND($G67&gt;=30,$AT$3&lt;=EA$7),ROUND(EA67*($AP$3+#REF!),-1),""))</f>
        <v/>
      </c>
      <c r="EC67" s="504" t="s">
        <v>621</v>
      </c>
      <c r="ED67" s="1126"/>
      <c r="EE67" s="325">
        <v>11</v>
      </c>
      <c r="EG67" s="347"/>
      <c r="EH67" s="347"/>
      <c r="EI67" s="347"/>
      <c r="EJ67" s="347"/>
      <c r="EK67" s="347"/>
      <c r="EL67" s="347"/>
      <c r="EM67" s="347"/>
      <c r="EN67" s="347"/>
      <c r="EO67" s="347"/>
      <c r="EP67" s="347"/>
      <c r="EQ67" s="347"/>
      <c r="ER67" s="347"/>
      <c r="ES67" s="347"/>
      <c r="ET67" s="347"/>
      <c r="EU67" s="347"/>
      <c r="EV67" s="347"/>
      <c r="EW67" s="347"/>
      <c r="EX67" s="347"/>
      <c r="EY67" s="347"/>
      <c r="EZ67" s="347"/>
      <c r="FA67" s="347"/>
      <c r="FB67" s="347"/>
      <c r="FC67" s="347"/>
      <c r="FD67" s="347"/>
      <c r="FE67" s="347"/>
      <c r="FF67" s="347"/>
      <c r="FG67" s="347"/>
      <c r="FH67" s="347"/>
      <c r="FI67" s="347"/>
      <c r="FJ67" s="347"/>
      <c r="FK67" s="347"/>
      <c r="FL67" s="347"/>
    </row>
    <row r="68" spans="1:168" ht="9.75" customHeight="1">
      <c r="A68" s="321" t="str">
        <f t="shared" si="21"/>
        <v/>
      </c>
      <c r="B68" s="568" t="e">
        <f>(ii!$D$13*12+V68)+1</f>
        <v>#REF!</v>
      </c>
      <c r="C68" s="337">
        <f t="shared" si="8"/>
        <v>44196</v>
      </c>
      <c r="D68" s="484">
        <f t="shared" si="0"/>
        <v>2020</v>
      </c>
      <c r="E68" s="484">
        <f t="shared" si="1"/>
        <v>1</v>
      </c>
      <c r="F68" s="484">
        <f t="shared" si="2"/>
        <v>2021</v>
      </c>
      <c r="G68" s="485" t="str">
        <f>IF(OR(C68&lt;$I$2,C68&gt;$J$3),"",(ii!$D$13*12+V68+1)/12)</f>
        <v/>
      </c>
      <c r="H68" s="486"/>
      <c r="I68" s="486"/>
      <c r="J68" s="487"/>
      <c r="K68" s="488"/>
      <c r="L68" s="548"/>
      <c r="M68" s="489" t="str">
        <f t="shared" si="12"/>
        <v/>
      </c>
      <c r="N68" s="490" t="s">
        <v>621</v>
      </c>
      <c r="O68" s="490" t="str">
        <f t="shared" si="5"/>
        <v/>
      </c>
      <c r="P68" s="491"/>
      <c r="Q68" s="491"/>
      <c r="R68" s="491" t="str">
        <f t="shared" si="6"/>
        <v/>
      </c>
      <c r="S68" s="528" t="str">
        <f t="shared" si="24"/>
        <v/>
      </c>
      <c r="T68" s="528" t="str">
        <f t="shared" si="23"/>
        <v/>
      </c>
      <c r="U68" s="493" t="str">
        <f>IF(H68="","",#REF!*12+#REF!+#REF!*12+#REF!)</f>
        <v/>
      </c>
      <c r="V68" s="338" t="e">
        <f>IF(ii!$J$3&gt;gg!C68,"",IF(AND((YEAR(C68)=YEAR($I$2)),MONTH(C68)=MONTH($I$2)),ii!$B$14*12+ii!$C$14+ii!$B$15*12+ii!$C$15-1,V67+1))</f>
        <v>#REF!</v>
      </c>
      <c r="W68" s="339" t="e">
        <f t="shared" si="10"/>
        <v>#REF!</v>
      </c>
      <c r="X68" s="494" t="s">
        <v>621</v>
      </c>
      <c r="Y68" s="495" t="s">
        <v>621</v>
      </c>
      <c r="Z68" s="496"/>
      <c r="AA68" s="497"/>
      <c r="AB68" s="498" t="str">
        <f t="shared" si="19"/>
        <v/>
      </c>
      <c r="AC68" s="484" t="str">
        <f t="shared" si="15"/>
        <v/>
      </c>
      <c r="AD68" s="495" t="str">
        <f t="shared" si="16"/>
        <v/>
      </c>
      <c r="AE68" s="499" t="s">
        <v>621</v>
      </c>
      <c r="AF68" s="500" t="s">
        <v>621</v>
      </c>
      <c r="AG68" s="556" t="s">
        <v>621</v>
      </c>
      <c r="AH68" s="503" t="str">
        <f>IF($G68="","",IF(AND($G68&gt;=30,$AT$3&lt;=AG$7),ROUND(AG68*($AP$3+#REF!),-1),""))</f>
        <v/>
      </c>
      <c r="AI68" s="506" t="s">
        <v>621</v>
      </c>
      <c r="AJ68" s="503" t="str">
        <f>IF($G68="","",IF(AND($G68&gt;=30,$AT$3&lt;=AI$7),ROUND(AI68*($AP$3+#REF!),-1),""))</f>
        <v/>
      </c>
      <c r="AK68" s="506" t="s">
        <v>621</v>
      </c>
      <c r="AL68" s="503" t="str">
        <f>IF($G68="","",IF(AND($G68&gt;=30,$AT$3&lt;=AK$7),ROUND(AK68*($AP$3+#REF!),-1),""))</f>
        <v/>
      </c>
      <c r="AM68" s="506" t="s">
        <v>621</v>
      </c>
      <c r="AN68" s="503" t="str">
        <f>IF($G68="","",IF(AND($G68&gt;=30,$AT$3&lt;=AM$7),ROUND(AM68*($AP$3+#REF!),-1),""))</f>
        <v/>
      </c>
      <c r="AO68" s="517" t="e">
        <v>#REF!</v>
      </c>
      <c r="AP68" s="503" t="str">
        <f>IF($G68="","",IF(AND($G68&gt;=30,$AT$3&lt;=AO$7),ROUND(AO68*($AP$3+#REF!),-1),""))</f>
        <v/>
      </c>
      <c r="AQ68" s="502"/>
      <c r="AR68" s="503" t="str">
        <f>IF($G68="","",IF(AND($G68&gt;=30,$AT$3&lt;=AQ$7),ROUND(AQ68*($AP$3+#REF!),-1),""))</f>
        <v/>
      </c>
      <c r="AS68" s="503"/>
      <c r="AT68" s="503" t="str">
        <f>IF($G68="","",IF(AND($G68&gt;=30,$AT$3&lt;=AS$7),ROUND(AS68*($AP$3+#REF!),-1),""))</f>
        <v/>
      </c>
      <c r="AU68" s="502"/>
      <c r="AV68" s="503" t="str">
        <f>IF($G68="","",IF(AND($G68&gt;=30,$AT$3&lt;=AU$7),ROUND(AU68*($AP$3+#REF!),-1),""))</f>
        <v/>
      </c>
      <c r="AW68" s="503"/>
      <c r="AX68" s="503" t="str">
        <f>IF($G68="","",IF(AND($G68&gt;=30,$AT$3&lt;=AW$7),ROUND(AW68*($AP$3+#REF!),-1),""))</f>
        <v/>
      </c>
      <c r="AY68" s="502"/>
      <c r="AZ68" s="503" t="str">
        <f>IF($G68="","",IF(AND($G68&gt;=30,$AT$3&lt;=AY$7),ROUND(AY68*($AP$3+#REF!),-1),""))</f>
        <v/>
      </c>
      <c r="BA68" s="503"/>
      <c r="BB68" s="503" t="str">
        <f>IF($G68="","",IF(AND($G68&gt;=30,$AT$3&lt;=BA$7),ROUND(BA68*($AP$3+#REF!),-1),""))</f>
        <v/>
      </c>
      <c r="BC68" s="502"/>
      <c r="BD68" s="503" t="str">
        <f>IF($G68="","",IF(AND($G68&gt;=30,$AT$3&lt;=BC$7),ROUND(BC68*($AP$3+#REF!),-1),""))</f>
        <v/>
      </c>
      <c r="BE68" s="503"/>
      <c r="BF68" s="503" t="str">
        <f>IF($G68="","",IF(AND($G68&gt;=30,$AT$3&lt;=BE$7),ROUND(BE68*($AP$3+#REF!),-1),""))</f>
        <v/>
      </c>
      <c r="BG68" s="502"/>
      <c r="BH68" s="503" t="str">
        <f>IF($G68="","",IF(AND($G68&gt;=30,$AT$3&lt;=BG$7),ROUND(BG68*($AP$3+#REF!),-1),""))</f>
        <v/>
      </c>
      <c r="BI68" s="503"/>
      <c r="BJ68" s="503" t="str">
        <f>IF($G68="","",IF(AND($G68&gt;=30,$AT$3&lt;=BI$7),ROUND(BI68*($AP$3+#REF!),-1),""))</f>
        <v/>
      </c>
      <c r="BK68" s="502"/>
      <c r="BL68" s="503" t="str">
        <f>IF($G68="","",IF(AND($G68&gt;=30,$AT$3&lt;=BK$7),ROUND(BK68*($AP$3+#REF!),-1),""))</f>
        <v/>
      </c>
      <c r="BM68" s="503"/>
      <c r="BN68" s="503" t="str">
        <f>IF($G68="","",IF(AND($G68&gt;=30,$AT$3&lt;=BM$7),ROUND(BM68*($AP$3+#REF!),-1),""))</f>
        <v/>
      </c>
      <c r="BO68" s="502"/>
      <c r="BP68" s="503" t="str">
        <f>IF($G68="","",IF(AND($G68&gt;=30,$AT$3&lt;=BO$7),ROUND(BO68*($AP$3+#REF!),-1),""))</f>
        <v/>
      </c>
      <c r="BQ68" s="503"/>
      <c r="BR68" s="503" t="str">
        <f>IF($G68="","",IF(AND($G68&gt;=30,$AT$3&lt;=BQ$7),ROUND(BQ68*($AP$3+#REF!),-1),""))</f>
        <v/>
      </c>
      <c r="BS68" s="502"/>
      <c r="BT68" s="503" t="str">
        <f>IF($G68="","",IF(AND($G68&gt;=30,$AT$3&lt;=BS$7),ROUND(BS68*($AP$3+#REF!),-1),""))</f>
        <v/>
      </c>
      <c r="BU68" s="503"/>
      <c r="BV68" s="503" t="str">
        <f>IF($G68="","",IF(AND($G68&gt;=30,$AT$3&lt;=BU$7),ROUND(BU68*($AP$3+#REF!),-1),""))</f>
        <v/>
      </c>
      <c r="BW68" s="502"/>
      <c r="BX68" s="503" t="str">
        <f>IF($G68="","",IF(AND($G68&gt;=30,$AT$3&lt;=BW$7),ROUND(BW68*($AP$3+#REF!),-1),""))</f>
        <v/>
      </c>
      <c r="BY68" s="503"/>
      <c r="BZ68" s="503" t="str">
        <f>IF($G68="","",IF(AND($G68&gt;=30,$AT$3&lt;=BY$7),ROUND(BY68*($AP$3+#REF!),-1),""))</f>
        <v/>
      </c>
      <c r="CA68" s="502"/>
      <c r="CB68" s="503" t="str">
        <f>IF($G68="","",IF(AND($G68&gt;=30,$AT$3&lt;=CA$7),ROUND(CA68*($AP$3+#REF!),-1),""))</f>
        <v/>
      </c>
      <c r="CC68" s="503"/>
      <c r="CD68" s="503" t="str">
        <f>IF($G68="","",IF(AND($G68&gt;=30,$AT$3&lt;=CC$7),ROUND(CC68*($AP$3+#REF!),-1),""))</f>
        <v/>
      </c>
      <c r="CE68" s="502"/>
      <c r="CF68" s="503" t="str">
        <f>IF($G68="","",IF(AND($G68&gt;=30,$AT$3&lt;=CE$7),ROUND(CE68*($AP$3+#REF!),-1),""))</f>
        <v/>
      </c>
      <c r="CG68" s="503"/>
      <c r="CH68" s="503" t="str">
        <f>IF($G68="","",IF(AND($G68&gt;=30,$AT$3&lt;=CG$7),ROUND(CG68*($AP$3+#REF!),-1),""))</f>
        <v/>
      </c>
      <c r="CI68" s="502"/>
      <c r="CJ68" s="503" t="str">
        <f>IF($G68="","",IF(AND($G68&gt;=30,$AT$3&lt;=CI$7),ROUND(CI68*($AP$3+#REF!),-1),""))</f>
        <v/>
      </c>
      <c r="CK68" s="503"/>
      <c r="CL68" s="503" t="str">
        <f>IF($G68="","",IF(AND($G68&gt;=30,$AT$3&lt;=CK$7),ROUND(CK68*($AP$3+#REF!),-1),""))</f>
        <v/>
      </c>
      <c r="CM68" s="502"/>
      <c r="CN68" s="503" t="str">
        <f>IF($G68="","",IF(AND($G68&gt;=30,$AT$3&lt;=CM$7),ROUND(CM68*($AP$3+#REF!),-1),""))</f>
        <v/>
      </c>
      <c r="CO68" s="503"/>
      <c r="CP68" s="503" t="str">
        <f>IF($G68="","",IF(AND($G68&gt;=30,$AT$3&lt;=CO$7),ROUND(CO68*($AP$3+#REF!),-1),""))</f>
        <v/>
      </c>
      <c r="CQ68" s="502"/>
      <c r="CR68" s="503" t="str">
        <f>IF($G68="","",IF(AND($G68&gt;=30,$AT$3&lt;=CQ$7),ROUND(CQ68*($AP$3+#REF!),-1),""))</f>
        <v/>
      </c>
      <c r="CS68" s="503"/>
      <c r="CT68" s="503" t="str">
        <f>IF($G68="","",IF(AND($G68&gt;=30,$AT$3&lt;=CS$7),ROUND(CS68*($AP$3+#REF!),-1),""))</f>
        <v/>
      </c>
      <c r="CU68" s="502"/>
      <c r="CV68" s="503" t="str">
        <f>IF($G68="","",IF(AND($G68&gt;=30,$AT$3&lt;=CU$7),ROUND(CU68*($AP$3+#REF!),-1),""))</f>
        <v/>
      </c>
      <c r="CW68" s="503"/>
      <c r="CX68" s="503" t="str">
        <f>IF($G68="","",IF(AND($G68&gt;=30,$AT$3&lt;=CW$7),ROUND(CW68*($AP$3+#REF!),-1),""))</f>
        <v/>
      </c>
      <c r="CY68" s="502"/>
      <c r="CZ68" s="503" t="str">
        <f>IF($G68="","",IF(AND($G68&gt;=30,$AT$3&lt;=CY$7),ROUND(CY68*($AP$3+#REF!),-1),""))</f>
        <v/>
      </c>
      <c r="DA68" s="503"/>
      <c r="DB68" s="503" t="str">
        <f>IF($G68="","",IF(AND($G68&gt;=30,$AT$3&lt;=DA$7),ROUND(DA68*($AP$3+#REF!),-1),""))</f>
        <v/>
      </c>
      <c r="DC68" s="502"/>
      <c r="DD68" s="503" t="str">
        <f>IF($G68="","",IF(AND($G68&gt;=30,$AT$3&lt;=DC$7),ROUND(DC68*($AP$3+#REF!),-1),""))</f>
        <v/>
      </c>
      <c r="DE68" s="503"/>
      <c r="DF68" s="503" t="str">
        <f>IF($G68="","",IF(AND($G68&gt;=30,$AT$3&lt;=DE$7),ROUND(DE68*($AP$3+#REF!),-1),""))</f>
        <v/>
      </c>
      <c r="DG68" s="503"/>
      <c r="DH68" s="503" t="str">
        <f>IF($G68="","",IF(AND($G68&gt;=30,$AT$3&lt;=DG$7),ROUND(DG68*($AP$3+#REF!),-1),""))</f>
        <v/>
      </c>
      <c r="DI68" s="503"/>
      <c r="DJ68" s="503" t="str">
        <f>IF($G68="","",IF(AND($G68&gt;=30,$AT$3&lt;=DI$7),ROUND(DI68*($AP$3+#REF!),-1),""))</f>
        <v/>
      </c>
      <c r="DK68" s="503"/>
      <c r="DL68" s="503" t="str">
        <f>IF($G68="","",IF(AND($G68&gt;=30,$AT$3&lt;=DK$7),ROUND(DK68*($AP$3+#REF!),-1),""))</f>
        <v/>
      </c>
      <c r="DM68" s="503"/>
      <c r="DN68" s="503" t="str">
        <f>IF($G68="","",IF(AND($G68&gt;=30,$AT$3&lt;=DM$7),ROUND(DM68*($AP$3+#REF!),-1),""))</f>
        <v/>
      </c>
      <c r="DO68" s="503"/>
      <c r="DP68" s="503" t="str">
        <f>IF($G68="","",IF(AND($G68&gt;=30,$AT$3&lt;=DO$7),ROUND(DO68*($AP$3+#REF!),-1),""))</f>
        <v/>
      </c>
      <c r="DQ68" s="503"/>
      <c r="DR68" s="503" t="str">
        <f>IF($G68="","",IF(AND($G68&gt;=30,$AT$3&lt;=DQ$7),ROUND(DQ68*($AP$3+#REF!),-1),""))</f>
        <v/>
      </c>
      <c r="DS68" s="503"/>
      <c r="DT68" s="503" t="str">
        <f>IF($G68="","",IF(AND($G68&gt;=30,$AT$3&lt;=DS$7),ROUND(DS68*($AP$3+#REF!),-1),""))</f>
        <v/>
      </c>
      <c r="DU68" s="503"/>
      <c r="DV68" s="503" t="str">
        <f>IF($G68="","",IF(AND($G68&gt;=30,$AT$3&lt;=DU$7),ROUND(DU68*($AP$3+#REF!),-1),""))</f>
        <v/>
      </c>
      <c r="DW68" s="503"/>
      <c r="DX68" s="503" t="str">
        <f>IF($G68="","",IF(AND($G68&gt;=30,$AT$3&lt;=DW$7),ROUND(DW68*($AP$3+#REF!),-1),""))</f>
        <v/>
      </c>
      <c r="DY68" s="503"/>
      <c r="DZ68" s="503" t="str">
        <f>IF($G68="","",IF(AND($G68&gt;=30,$AT$3&lt;=DY$7),ROUND(DY68*($AP$3+#REF!),-1),""))</f>
        <v/>
      </c>
      <c r="EA68" s="503"/>
      <c r="EB68" s="503" t="str">
        <f>IF($G68="","",IF(AND($G68&gt;=30,$AT$3&lt;=EA$7),ROUND(EA68*($AP$3+#REF!),-1),""))</f>
        <v/>
      </c>
      <c r="EC68" s="504" t="s">
        <v>621</v>
      </c>
      <c r="ED68" s="1126"/>
      <c r="EE68" s="325">
        <v>12</v>
      </c>
      <c r="EG68" s="347"/>
      <c r="EH68" s="347"/>
      <c r="EI68" s="347"/>
      <c r="EJ68" s="347"/>
      <c r="EK68" s="347"/>
      <c r="EL68" s="347"/>
      <c r="EM68" s="347"/>
      <c r="EN68" s="347"/>
      <c r="EO68" s="347"/>
      <c r="EP68" s="347"/>
      <c r="EQ68" s="347"/>
      <c r="ER68" s="347"/>
      <c r="ES68" s="347"/>
      <c r="ET68" s="347"/>
      <c r="EU68" s="347"/>
      <c r="EV68" s="347"/>
      <c r="EW68" s="347"/>
      <c r="EX68" s="347"/>
      <c r="EY68" s="347"/>
      <c r="EZ68" s="347"/>
      <c r="FA68" s="347"/>
      <c r="FB68" s="347"/>
      <c r="FC68" s="347"/>
      <c r="FD68" s="347"/>
      <c r="FE68" s="347"/>
      <c r="FF68" s="347"/>
      <c r="FG68" s="347"/>
      <c r="FH68" s="347"/>
      <c r="FI68" s="347"/>
      <c r="FJ68" s="347"/>
      <c r="FK68" s="347"/>
      <c r="FL68" s="347"/>
    </row>
    <row r="69" spans="1:168" ht="9.75" customHeight="1">
      <c r="A69" s="321" t="str">
        <f t="shared" si="21"/>
        <v/>
      </c>
      <c r="B69" s="568" t="e">
        <f>(ii!$D$13*12+V69)+1</f>
        <v>#REF!</v>
      </c>
      <c r="C69" s="345">
        <f t="shared" si="8"/>
        <v>44227</v>
      </c>
      <c r="D69" s="340">
        <f t="shared" si="0"/>
        <v>2021</v>
      </c>
      <c r="E69" s="340">
        <f t="shared" si="1"/>
        <v>8.3333333333333329E-2</v>
      </c>
      <c r="F69" s="340">
        <f t="shared" si="2"/>
        <v>2021.0833333333333</v>
      </c>
      <c r="G69" s="531" t="str">
        <f>IF(OR(C69&lt;$I$2,C69&gt;$J$3),"",(ii!$D$13*12+V69+1)/12)</f>
        <v/>
      </c>
      <c r="H69" s="532"/>
      <c r="I69" s="532"/>
      <c r="J69" s="533"/>
      <c r="K69" s="553"/>
      <c r="L69" s="534"/>
      <c r="M69" s="535" t="str">
        <f t="shared" si="12"/>
        <v/>
      </c>
      <c r="N69" s="536" t="s">
        <v>621</v>
      </c>
      <c r="O69" s="536" t="str">
        <f t="shared" si="5"/>
        <v/>
      </c>
      <c r="P69" s="537"/>
      <c r="Q69" s="537"/>
      <c r="R69" s="533" t="str">
        <f t="shared" si="6"/>
        <v/>
      </c>
      <c r="S69" s="538" t="str">
        <f t="shared" si="24"/>
        <v/>
      </c>
      <c r="T69" s="538" t="str">
        <f t="shared" si="23"/>
        <v/>
      </c>
      <c r="U69" s="539" t="str">
        <f>IF(H69="","",#REF!*12+#REF!+#REF!*12+#REF!)</f>
        <v/>
      </c>
      <c r="V69" s="338" t="e">
        <f>IF(ii!$J$3&gt;gg!C69,"",IF(AND((YEAR(C69)=YEAR($I$2)),MONTH(C69)=MONTH($I$2)),ii!$B$14*12+ii!$C$14+ii!$B$15*12+ii!$C$15-1,V68+1))</f>
        <v>#REF!</v>
      </c>
      <c r="W69" s="339" t="e">
        <f t="shared" si="10"/>
        <v>#REF!</v>
      </c>
      <c r="X69" s="540" t="s">
        <v>621</v>
      </c>
      <c r="Y69" s="538" t="s">
        <v>621</v>
      </c>
      <c r="Z69" s="541">
        <f>Z57+$Z$26</f>
        <v>0.09</v>
      </c>
      <c r="AA69" s="542" t="str">
        <f>IF(Y69="","",(Y69-Y68)/Y68)</f>
        <v/>
      </c>
      <c r="AB69" s="543" t="str">
        <f t="shared" si="19"/>
        <v/>
      </c>
      <c r="AC69" s="544" t="str">
        <f t="shared" si="15"/>
        <v/>
      </c>
      <c r="AD69" s="534" t="str">
        <f t="shared" si="16"/>
        <v/>
      </c>
      <c r="AE69" s="554" t="s">
        <v>621</v>
      </c>
      <c r="AF69" s="546" t="s">
        <v>621</v>
      </c>
      <c r="AG69" s="558" t="s">
        <v>621</v>
      </c>
      <c r="AH69" s="547" t="str">
        <f>IF($G69="","",IF(AND($G69&gt;=30,$AT$3&lt;=AG$7),ROUND(AG69*($AP$3+#REF!),-1),""))</f>
        <v/>
      </c>
      <c r="AI69" s="558" t="s">
        <v>621</v>
      </c>
      <c r="AJ69" s="547" t="str">
        <f>IF($G69="","",IF(AND($G69&gt;=30,$AT$3&lt;=AI$7),ROUND(AI69*($AP$3+#REF!),-1),""))</f>
        <v/>
      </c>
      <c r="AK69" s="558" t="s">
        <v>621</v>
      </c>
      <c r="AL69" s="547" t="str">
        <f>IF($G69="","",IF(AND($G69&gt;=30,$AT$3&lt;=AK$7),ROUND(AK69*($AP$3+#REF!),-1),""))</f>
        <v/>
      </c>
      <c r="AM69" s="560" t="s">
        <v>621</v>
      </c>
      <c r="AN69" s="547" t="str">
        <f>IF($G69="","",IF(AND($G69&gt;=30,$AT$3&lt;=AM$7),ROUND(AM69*($AP$3+#REF!),-1),""))</f>
        <v/>
      </c>
      <c r="AO69" s="547" t="e">
        <v>#REF!</v>
      </c>
      <c r="AP69" s="547" t="str">
        <f>IF($G69="","",IF(AND($G69&gt;=30,$AT$3&lt;=AO$7),ROUND(AO69*($AP$3+#REF!),-1),""))</f>
        <v/>
      </c>
      <c r="AQ69" s="533" t="e">
        <v>#REF!</v>
      </c>
      <c r="AR69" s="547" t="str">
        <f>IF($G69="","",IF(AND($G69&gt;=30,$AT$3&lt;=AQ$7),ROUND(AQ69*($AP$3+#REF!),-1),""))</f>
        <v/>
      </c>
      <c r="AS69" s="547"/>
      <c r="AT69" s="547" t="str">
        <f>IF($G69="","",IF(AND($G69&gt;=30,$AT$3&lt;=AS$7),ROUND(AS69*($AP$3+#REF!),-1),""))</f>
        <v/>
      </c>
      <c r="AU69" s="547"/>
      <c r="AV69" s="547" t="str">
        <f>IF($G69="","",IF(AND($G69&gt;=30,$AT$3&lt;=AU$7),ROUND(AU69*($AP$3+#REF!),-1),""))</f>
        <v/>
      </c>
      <c r="AW69" s="547"/>
      <c r="AX69" s="547" t="str">
        <f>IF($G69="","",IF(AND($G69&gt;=30,$AT$3&lt;=AW$7),ROUND(AW69*($AP$3+#REF!),-1),""))</f>
        <v/>
      </c>
      <c r="AY69" s="547"/>
      <c r="AZ69" s="547" t="str">
        <f>IF($G69="","",IF(AND($G69&gt;=30,$AT$3&lt;=AY$7),ROUND(AY69*($AP$3+#REF!),-1),""))</f>
        <v/>
      </c>
      <c r="BA69" s="547"/>
      <c r="BB69" s="547" t="str">
        <f>IF($G69="","",IF(AND($G69&gt;=30,$AT$3&lt;=BA$7),ROUND(BA69*($AP$3+#REF!),-1),""))</f>
        <v/>
      </c>
      <c r="BC69" s="547"/>
      <c r="BD69" s="547" t="str">
        <f>IF($G69="","",IF(AND($G69&gt;=30,$AT$3&lt;=BC$7),ROUND(BC69*($AP$3+#REF!),-1),""))</f>
        <v/>
      </c>
      <c r="BE69" s="547"/>
      <c r="BF69" s="547" t="str">
        <f>IF($G69="","",IF(AND($G69&gt;=30,$AT$3&lt;=BE$7),ROUND(BE69*($AP$3+#REF!),-1),""))</f>
        <v/>
      </c>
      <c r="BG69" s="547"/>
      <c r="BH69" s="547" t="str">
        <f>IF($G69="","",IF(AND($G69&gt;=30,$AT$3&lt;=BG$7),ROUND(BG69*($AP$3+#REF!),-1),""))</f>
        <v/>
      </c>
      <c r="BI69" s="547"/>
      <c r="BJ69" s="547" t="str">
        <f>IF($G69="","",IF(AND($G69&gt;=30,$AT$3&lt;=BI$7),ROUND(BI69*($AP$3+#REF!),-1),""))</f>
        <v/>
      </c>
      <c r="BK69" s="547"/>
      <c r="BL69" s="547" t="str">
        <f>IF($G69="","",IF(AND($G69&gt;=30,$AT$3&lt;=BK$7),ROUND(BK69*($AP$3+#REF!),-1),""))</f>
        <v/>
      </c>
      <c r="BM69" s="547"/>
      <c r="BN69" s="547" t="str">
        <f>IF($G69="","",IF(AND($G69&gt;=30,$AT$3&lt;=BM$7),ROUND(BM69*($AP$3+#REF!),-1),""))</f>
        <v/>
      </c>
      <c r="BO69" s="547"/>
      <c r="BP69" s="547" t="str">
        <f>IF($G69="","",IF(AND($G69&gt;=30,$AT$3&lt;=BO$7),ROUND(BO69*($AP$3+#REF!),-1),""))</f>
        <v/>
      </c>
      <c r="BQ69" s="547"/>
      <c r="BR69" s="547" t="str">
        <f>IF($G69="","",IF(AND($G69&gt;=30,$AT$3&lt;=BQ$7),ROUND(BQ69*($AP$3+#REF!),-1),""))</f>
        <v/>
      </c>
      <c r="BS69" s="547"/>
      <c r="BT69" s="547" t="str">
        <f>IF($G69="","",IF(AND($G69&gt;=30,$AT$3&lt;=BS$7),ROUND(BS69*($AP$3+#REF!),-1),""))</f>
        <v/>
      </c>
      <c r="BU69" s="547"/>
      <c r="BV69" s="547" t="str">
        <f>IF($G69="","",IF(AND($G69&gt;=30,$AT$3&lt;=BU$7),ROUND(BU69*($AP$3+#REF!),-1),""))</f>
        <v/>
      </c>
      <c r="BW69" s="547"/>
      <c r="BX69" s="547" t="str">
        <f>IF($G69="","",IF(AND($G69&gt;=30,$AT$3&lt;=BW$7),ROUND(BW69*($AP$3+#REF!),-1),""))</f>
        <v/>
      </c>
      <c r="BY69" s="547"/>
      <c r="BZ69" s="547" t="str">
        <f>IF($G69="","",IF(AND($G69&gt;=30,$AT$3&lt;=BY$7),ROUND(BY69*($AP$3+#REF!),-1),""))</f>
        <v/>
      </c>
      <c r="CA69" s="547"/>
      <c r="CB69" s="547" t="str">
        <f>IF($G69="","",IF(AND($G69&gt;=30,$AT$3&lt;=CA$7),ROUND(CA69*($AP$3+#REF!),-1),""))</f>
        <v/>
      </c>
      <c r="CC69" s="547"/>
      <c r="CD69" s="547" t="str">
        <f>IF($G69="","",IF(AND($G69&gt;=30,$AT$3&lt;=CC$7),ROUND(CC69*($AP$3+#REF!),-1),""))</f>
        <v/>
      </c>
      <c r="CE69" s="547"/>
      <c r="CF69" s="547" t="str">
        <f>IF($G69="","",IF(AND($G69&gt;=30,$AT$3&lt;=CE$7),ROUND(CE69*($AP$3+#REF!),-1),""))</f>
        <v/>
      </c>
      <c r="CG69" s="547"/>
      <c r="CH69" s="547" t="str">
        <f>IF($G69="","",IF(AND($G69&gt;=30,$AT$3&lt;=CG$7),ROUND(CG69*($AP$3+#REF!),-1),""))</f>
        <v/>
      </c>
      <c r="CI69" s="547"/>
      <c r="CJ69" s="547" t="str">
        <f>IF($G69="","",IF(AND($G69&gt;=30,$AT$3&lt;=CI$7),ROUND(CI69*($AP$3+#REF!),-1),""))</f>
        <v/>
      </c>
      <c r="CK69" s="547"/>
      <c r="CL69" s="547" t="str">
        <f>IF($G69="","",IF(AND($G69&gt;=30,$AT$3&lt;=CK$7),ROUND(CK69*($AP$3+#REF!),-1),""))</f>
        <v/>
      </c>
      <c r="CM69" s="547"/>
      <c r="CN69" s="547" t="str">
        <f>IF($G69="","",IF(AND($G69&gt;=30,$AT$3&lt;=CM$7),ROUND(CM69*($AP$3+#REF!),-1),""))</f>
        <v/>
      </c>
      <c r="CO69" s="547"/>
      <c r="CP69" s="547" t="str">
        <f>IF($G69="","",IF(AND($G69&gt;=30,$AT$3&lt;=CO$7),ROUND(CO69*($AP$3+#REF!),-1),""))</f>
        <v/>
      </c>
      <c r="CQ69" s="547"/>
      <c r="CR69" s="547" t="str">
        <f>IF($G69="","",IF(AND($G69&gt;=30,$AT$3&lt;=CQ$7),ROUND(CQ69*($AP$3+#REF!),-1),""))</f>
        <v/>
      </c>
      <c r="CS69" s="547"/>
      <c r="CT69" s="547" t="str">
        <f>IF($G69="","",IF(AND($G69&gt;=30,$AT$3&lt;=CS$7),ROUND(CS69*($AP$3+#REF!),-1),""))</f>
        <v/>
      </c>
      <c r="CU69" s="547"/>
      <c r="CV69" s="547" t="str">
        <f>IF($G69="","",IF(AND($G69&gt;=30,$AT$3&lt;=CU$7),ROUND(CU69*($AP$3+#REF!),-1),""))</f>
        <v/>
      </c>
      <c r="CW69" s="547"/>
      <c r="CX69" s="547" t="str">
        <f>IF($G69="","",IF(AND($G69&gt;=30,$AT$3&lt;=CW$7),ROUND(CW69*($AP$3+#REF!),-1),""))</f>
        <v/>
      </c>
      <c r="CY69" s="547"/>
      <c r="CZ69" s="547" t="str">
        <f>IF($G69="","",IF(AND($G69&gt;=30,$AT$3&lt;=CY$7),ROUND(CY69*($AP$3+#REF!),-1),""))</f>
        <v/>
      </c>
      <c r="DA69" s="547"/>
      <c r="DB69" s="547" t="str">
        <f>IF($G69="","",IF(AND($G69&gt;=30,$AT$3&lt;=DA$7),ROUND(DA69*($AP$3+#REF!),-1),""))</f>
        <v/>
      </c>
      <c r="DC69" s="547"/>
      <c r="DD69" s="547" t="str">
        <f>IF($G69="","",IF(AND($G69&gt;=30,$AT$3&lt;=DC$7),ROUND(DC69*($AP$3+#REF!),-1),""))</f>
        <v/>
      </c>
      <c r="DE69" s="547"/>
      <c r="DF69" s="547" t="str">
        <f>IF($G69="","",IF(AND($G69&gt;=30,$AT$3&lt;=DE$7),ROUND(DE69*($AP$3+#REF!),-1),""))</f>
        <v/>
      </c>
      <c r="DG69" s="547"/>
      <c r="DH69" s="547" t="str">
        <f>IF($G69="","",IF(AND($G69&gt;=30,$AT$3&lt;=DG$7),ROUND(DG69*($AP$3+#REF!),-1),""))</f>
        <v/>
      </c>
      <c r="DI69" s="547"/>
      <c r="DJ69" s="547" t="str">
        <f>IF($G69="","",IF(AND($G69&gt;=30,$AT$3&lt;=DI$7),ROUND(DI69*($AP$3+#REF!),-1),""))</f>
        <v/>
      </c>
      <c r="DK69" s="547"/>
      <c r="DL69" s="547" t="str">
        <f>IF($G69="","",IF(AND($G69&gt;=30,$AT$3&lt;=DK$7),ROUND(DK69*($AP$3+#REF!),-1),""))</f>
        <v/>
      </c>
      <c r="DM69" s="547"/>
      <c r="DN69" s="547" t="str">
        <f>IF($G69="","",IF(AND($G69&gt;=30,$AT$3&lt;=DM$7),ROUND(DM69*($AP$3+#REF!),-1),""))</f>
        <v/>
      </c>
      <c r="DO69" s="547"/>
      <c r="DP69" s="547" t="str">
        <f>IF($G69="","",IF(AND($G69&gt;=30,$AT$3&lt;=DO$7),ROUND(DO69*($AP$3+#REF!),-1),""))</f>
        <v/>
      </c>
      <c r="DQ69" s="547"/>
      <c r="DR69" s="547" t="str">
        <f>IF($G69="","",IF(AND($G69&gt;=30,$AT$3&lt;=DQ$7),ROUND(DQ69*($AP$3+#REF!),-1),""))</f>
        <v/>
      </c>
      <c r="DS69" s="547"/>
      <c r="DT69" s="547" t="str">
        <f>IF($G69="","",IF(AND($G69&gt;=30,$AT$3&lt;=DS$7),ROUND(DS69*($AP$3+#REF!),-1),""))</f>
        <v/>
      </c>
      <c r="DU69" s="547"/>
      <c r="DV69" s="547" t="str">
        <f>IF($G69="","",IF(AND($G69&gt;=30,$AT$3&lt;=DU$7),ROUND(DU69*($AP$3+#REF!),-1),""))</f>
        <v/>
      </c>
      <c r="DW69" s="547"/>
      <c r="DX69" s="547" t="str">
        <f>IF($G69="","",IF(AND($G69&gt;=30,$AT$3&lt;=DW$7),ROUND(DW69*($AP$3+#REF!),-1),""))</f>
        <v/>
      </c>
      <c r="DY69" s="547"/>
      <c r="DZ69" s="547" t="str">
        <f>IF($G69="","",IF(AND($G69&gt;=30,$AT$3&lt;=DY$7),ROUND(DY69*($AP$3+#REF!),-1),""))</f>
        <v/>
      </c>
      <c r="EA69" s="547"/>
      <c r="EB69" s="547" t="str">
        <f>IF($G69="","",IF(AND($G69&gt;=30,$AT$3&lt;=EA$7),ROUND(EA69*($AP$3+#REF!),-1),""))</f>
        <v/>
      </c>
      <c r="EC69" s="547" t="s">
        <v>621</v>
      </c>
      <c r="ED69" s="1126">
        <f>SUM(EC69:EC80)</f>
        <v>0</v>
      </c>
      <c r="EE69" s="325">
        <v>1</v>
      </c>
      <c r="EG69" s="347"/>
      <c r="EH69" s="347"/>
      <c r="EI69" s="347"/>
      <c r="EJ69" s="347"/>
      <c r="EK69" s="347"/>
      <c r="EL69" s="347"/>
      <c r="EM69" s="347"/>
      <c r="EN69" s="347"/>
      <c r="EO69" s="347"/>
      <c r="EP69" s="347"/>
      <c r="EQ69" s="347"/>
      <c r="ER69" s="347"/>
      <c r="ES69" s="347"/>
      <c r="ET69" s="347"/>
      <c r="EU69" s="347"/>
      <c r="EV69" s="347"/>
      <c r="EW69" s="347"/>
      <c r="EX69" s="347"/>
      <c r="EY69" s="347"/>
      <c r="EZ69" s="347"/>
      <c r="FA69" s="347"/>
      <c r="FB69" s="347"/>
      <c r="FC69" s="347"/>
      <c r="FD69" s="347"/>
      <c r="FE69" s="347"/>
      <c r="FF69" s="347"/>
      <c r="FG69" s="347"/>
      <c r="FH69" s="347"/>
      <c r="FI69" s="347"/>
      <c r="FJ69" s="347"/>
      <c r="FK69" s="347"/>
      <c r="FL69" s="347"/>
    </row>
    <row r="70" spans="1:168" ht="9.75" customHeight="1">
      <c r="A70" s="321" t="str">
        <f t="shared" si="21"/>
        <v/>
      </c>
      <c r="B70" s="567" t="e">
        <f>(ii!$D$13*12+V70)+1</f>
        <v>#REF!</v>
      </c>
      <c r="C70" s="337">
        <f t="shared" si="8"/>
        <v>44255</v>
      </c>
      <c r="D70" s="484">
        <f t="shared" si="0"/>
        <v>2021</v>
      </c>
      <c r="E70" s="484">
        <f t="shared" si="1"/>
        <v>0.16666666666666666</v>
      </c>
      <c r="F70" s="484">
        <f t="shared" si="2"/>
        <v>2021.1666666666667</v>
      </c>
      <c r="G70" s="485" t="str">
        <f>IF(OR(C70&lt;$I$2,C70&gt;$J$3),"",(ii!$D$13*12+V70+1)/12)</f>
        <v/>
      </c>
      <c r="H70" s="486"/>
      <c r="I70" s="486"/>
      <c r="J70" s="487"/>
      <c r="K70" s="488"/>
      <c r="L70" s="548"/>
      <c r="M70" s="489" t="str">
        <f t="shared" si="12"/>
        <v/>
      </c>
      <c r="N70" s="490" t="s">
        <v>621</v>
      </c>
      <c r="O70" s="490" t="str">
        <f t="shared" si="5"/>
        <v/>
      </c>
      <c r="P70" s="491"/>
      <c r="Q70" s="491"/>
      <c r="R70" s="491" t="str">
        <f t="shared" si="6"/>
        <v/>
      </c>
      <c r="S70" s="528" t="str">
        <f t="shared" si="24"/>
        <v/>
      </c>
      <c r="T70" s="528" t="str">
        <f t="shared" si="23"/>
        <v/>
      </c>
      <c r="U70" s="493" t="str">
        <f>IF(H70="","",#REF!*12+#REF!+#REF!*12+#REF!)</f>
        <v/>
      </c>
      <c r="V70" s="338" t="e">
        <f>IF(ii!$J$3&gt;gg!C70,"",IF(AND((YEAR(C70)=YEAR($I$2)),MONTH(C70)=MONTH($I$2)),ii!$B$14*12+ii!$C$14+ii!$B$15*12+ii!$C$15-1,V69+1))</f>
        <v>#REF!</v>
      </c>
      <c r="W70" s="339" t="e">
        <f t="shared" si="10"/>
        <v>#REF!</v>
      </c>
      <c r="X70" s="494" t="s">
        <v>621</v>
      </c>
      <c r="Y70" s="495" t="s">
        <v>621</v>
      </c>
      <c r="Z70" s="496"/>
      <c r="AA70" s="497"/>
      <c r="AB70" s="498" t="str">
        <f t="shared" si="19"/>
        <v/>
      </c>
      <c r="AC70" s="484" t="str">
        <f t="shared" si="15"/>
        <v/>
      </c>
      <c r="AD70" s="495" t="str">
        <f t="shared" si="16"/>
        <v/>
      </c>
      <c r="AE70" s="499" t="s">
        <v>621</v>
      </c>
      <c r="AF70" s="500" t="s">
        <v>621</v>
      </c>
      <c r="AG70" s="556" t="s">
        <v>621</v>
      </c>
      <c r="AH70" s="503" t="str">
        <f>IF($G70="","",IF(AND($G70&gt;=30,$AT$3&lt;=AG$7),ROUND(AG70*($AP$3+#REF!),-1),""))</f>
        <v/>
      </c>
      <c r="AI70" s="506" t="s">
        <v>621</v>
      </c>
      <c r="AJ70" s="503" t="str">
        <f>IF($G70="","",IF(AND($G70&gt;=30,$AT$3&lt;=AI$7),ROUND(AI70*($AP$3+#REF!),-1),""))</f>
        <v/>
      </c>
      <c r="AK70" s="506" t="s">
        <v>621</v>
      </c>
      <c r="AL70" s="503" t="str">
        <f>IF($G70="","",IF(AND($G70&gt;=30,$AT$3&lt;=AK$7),ROUND(AK70*($AP$3+#REF!),-1),""))</f>
        <v/>
      </c>
      <c r="AM70" s="506" t="s">
        <v>621</v>
      </c>
      <c r="AN70" s="503" t="str">
        <f>IF($G70="","",IF(AND($G70&gt;=30,$AT$3&lt;=AM$7),ROUND(AM70*($AP$3+#REF!),-1),""))</f>
        <v/>
      </c>
      <c r="AO70" s="503" t="e">
        <f>IF(AO69="","",AO69*1.001)</f>
        <v>#REF!</v>
      </c>
      <c r="AP70" s="503" t="str">
        <f>IF($G70="","",IF(AND($G70&gt;=30,$AT$3&lt;=AO$7),ROUND(AO70*($AP$3+#REF!),-1),""))</f>
        <v/>
      </c>
      <c r="AQ70" s="517" t="e">
        <v>#REF!</v>
      </c>
      <c r="AR70" s="503" t="str">
        <f>IF($G70="","",IF(AND($G70&gt;=30,$AT$3&lt;=AQ$7),ROUND(AQ70*($AP$3+#REF!),-1),""))</f>
        <v/>
      </c>
      <c r="AS70" s="503"/>
      <c r="AT70" s="503" t="str">
        <f>IF($G70="","",IF(AND($G70&gt;=30,$AT$3&lt;=AS$7),ROUND(AS70*($AP$3+#REF!),-1),""))</f>
        <v/>
      </c>
      <c r="AU70" s="502"/>
      <c r="AV70" s="503" t="str">
        <f>IF($G70="","",IF(AND($G70&gt;=30,$AT$3&lt;=AU$7),ROUND(AU70*($AP$3+#REF!),-1),""))</f>
        <v/>
      </c>
      <c r="AW70" s="503"/>
      <c r="AX70" s="503" t="str">
        <f>IF($G70="","",IF(AND($G70&gt;=30,$AT$3&lt;=AW$7),ROUND(AW70*($AP$3+#REF!),-1),""))</f>
        <v/>
      </c>
      <c r="AY70" s="502"/>
      <c r="AZ70" s="503" t="str">
        <f>IF($G70="","",IF(AND($G70&gt;=30,$AT$3&lt;=AY$7),ROUND(AY70*($AP$3+#REF!),-1),""))</f>
        <v/>
      </c>
      <c r="BA70" s="503"/>
      <c r="BB70" s="503" t="str">
        <f>IF($G70="","",IF(AND($G70&gt;=30,$AT$3&lt;=BA$7),ROUND(BA70*($AP$3+#REF!),-1),""))</f>
        <v/>
      </c>
      <c r="BC70" s="502"/>
      <c r="BD70" s="503" t="str">
        <f>IF($G70="","",IF(AND($G70&gt;=30,$AT$3&lt;=BC$7),ROUND(BC70*($AP$3+#REF!),-1),""))</f>
        <v/>
      </c>
      <c r="BE70" s="503"/>
      <c r="BF70" s="503" t="str">
        <f>IF($G70="","",IF(AND($G70&gt;=30,$AT$3&lt;=BE$7),ROUND(BE70*($AP$3+#REF!),-1),""))</f>
        <v/>
      </c>
      <c r="BG70" s="502"/>
      <c r="BH70" s="503" t="str">
        <f>IF($G70="","",IF(AND($G70&gt;=30,$AT$3&lt;=BG$7),ROUND(BG70*($AP$3+#REF!),-1),""))</f>
        <v/>
      </c>
      <c r="BI70" s="503"/>
      <c r="BJ70" s="503" t="str">
        <f>IF($G70="","",IF(AND($G70&gt;=30,$AT$3&lt;=BI$7),ROUND(BI70*($AP$3+#REF!),-1),""))</f>
        <v/>
      </c>
      <c r="BK70" s="502"/>
      <c r="BL70" s="503" t="str">
        <f>IF($G70="","",IF(AND($G70&gt;=30,$AT$3&lt;=BK$7),ROUND(BK70*($AP$3+#REF!),-1),""))</f>
        <v/>
      </c>
      <c r="BM70" s="503"/>
      <c r="BN70" s="503" t="str">
        <f>IF($G70="","",IF(AND($G70&gt;=30,$AT$3&lt;=BM$7),ROUND(BM70*($AP$3+#REF!),-1),""))</f>
        <v/>
      </c>
      <c r="BO70" s="502"/>
      <c r="BP70" s="503" t="str">
        <f>IF($G70="","",IF(AND($G70&gt;=30,$AT$3&lt;=BO$7),ROUND(BO70*($AP$3+#REF!),-1),""))</f>
        <v/>
      </c>
      <c r="BQ70" s="503"/>
      <c r="BR70" s="503" t="str">
        <f>IF($G70="","",IF(AND($G70&gt;=30,$AT$3&lt;=BQ$7),ROUND(BQ70*($AP$3+#REF!),-1),""))</f>
        <v/>
      </c>
      <c r="BS70" s="502"/>
      <c r="BT70" s="503" t="str">
        <f>IF($G70="","",IF(AND($G70&gt;=30,$AT$3&lt;=BS$7),ROUND(BS70*($AP$3+#REF!),-1),""))</f>
        <v/>
      </c>
      <c r="BU70" s="503"/>
      <c r="BV70" s="503" t="str">
        <f>IF($G70="","",IF(AND($G70&gt;=30,$AT$3&lt;=BU$7),ROUND(BU70*($AP$3+#REF!),-1),""))</f>
        <v/>
      </c>
      <c r="BW70" s="502"/>
      <c r="BX70" s="503" t="str">
        <f>IF($G70="","",IF(AND($G70&gt;=30,$AT$3&lt;=BW$7),ROUND(BW70*($AP$3+#REF!),-1),""))</f>
        <v/>
      </c>
      <c r="BY70" s="503"/>
      <c r="BZ70" s="503" t="str">
        <f>IF($G70="","",IF(AND($G70&gt;=30,$AT$3&lt;=BY$7),ROUND(BY70*($AP$3+#REF!),-1),""))</f>
        <v/>
      </c>
      <c r="CA70" s="502"/>
      <c r="CB70" s="503" t="str">
        <f>IF($G70="","",IF(AND($G70&gt;=30,$AT$3&lt;=CA$7),ROUND(CA70*($AP$3+#REF!),-1),""))</f>
        <v/>
      </c>
      <c r="CC70" s="503"/>
      <c r="CD70" s="503" t="str">
        <f>IF($G70="","",IF(AND($G70&gt;=30,$AT$3&lt;=CC$7),ROUND(CC70*($AP$3+#REF!),-1),""))</f>
        <v/>
      </c>
      <c r="CE70" s="502"/>
      <c r="CF70" s="503" t="str">
        <f>IF($G70="","",IF(AND($G70&gt;=30,$AT$3&lt;=CE$7),ROUND(CE70*($AP$3+#REF!),-1),""))</f>
        <v/>
      </c>
      <c r="CG70" s="503"/>
      <c r="CH70" s="503" t="str">
        <f>IF($G70="","",IF(AND($G70&gt;=30,$AT$3&lt;=CG$7),ROUND(CG70*($AP$3+#REF!),-1),""))</f>
        <v/>
      </c>
      <c r="CI70" s="502"/>
      <c r="CJ70" s="503" t="str">
        <f>IF($G70="","",IF(AND($G70&gt;=30,$AT$3&lt;=CI$7),ROUND(CI70*($AP$3+#REF!),-1),""))</f>
        <v/>
      </c>
      <c r="CK70" s="503"/>
      <c r="CL70" s="503" t="str">
        <f>IF($G70="","",IF(AND($G70&gt;=30,$AT$3&lt;=CK$7),ROUND(CK70*($AP$3+#REF!),-1),""))</f>
        <v/>
      </c>
      <c r="CM70" s="502"/>
      <c r="CN70" s="503" t="str">
        <f>IF($G70="","",IF(AND($G70&gt;=30,$AT$3&lt;=CM$7),ROUND(CM70*($AP$3+#REF!),-1),""))</f>
        <v/>
      </c>
      <c r="CO70" s="503"/>
      <c r="CP70" s="503" t="str">
        <f>IF($G70="","",IF(AND($G70&gt;=30,$AT$3&lt;=CO$7),ROUND(CO70*($AP$3+#REF!),-1),""))</f>
        <v/>
      </c>
      <c r="CQ70" s="502"/>
      <c r="CR70" s="503" t="str">
        <f>IF($G70="","",IF(AND($G70&gt;=30,$AT$3&lt;=CQ$7),ROUND(CQ70*($AP$3+#REF!),-1),""))</f>
        <v/>
      </c>
      <c r="CS70" s="503"/>
      <c r="CT70" s="503" t="str">
        <f>IF($G70="","",IF(AND($G70&gt;=30,$AT$3&lt;=CS$7),ROUND(CS70*($AP$3+#REF!),-1),""))</f>
        <v/>
      </c>
      <c r="CU70" s="502"/>
      <c r="CV70" s="503" t="str">
        <f>IF($G70="","",IF(AND($G70&gt;=30,$AT$3&lt;=CU$7),ROUND(CU70*($AP$3+#REF!),-1),""))</f>
        <v/>
      </c>
      <c r="CW70" s="503"/>
      <c r="CX70" s="503" t="str">
        <f>IF($G70="","",IF(AND($G70&gt;=30,$AT$3&lt;=CW$7),ROUND(CW70*($AP$3+#REF!),-1),""))</f>
        <v/>
      </c>
      <c r="CY70" s="502"/>
      <c r="CZ70" s="503" t="str">
        <f>IF($G70="","",IF(AND($G70&gt;=30,$AT$3&lt;=CY$7),ROUND(CY70*($AP$3+#REF!),-1),""))</f>
        <v/>
      </c>
      <c r="DA70" s="503"/>
      <c r="DB70" s="503" t="str">
        <f>IF($G70="","",IF(AND($G70&gt;=30,$AT$3&lt;=DA$7),ROUND(DA70*($AP$3+#REF!),-1),""))</f>
        <v/>
      </c>
      <c r="DC70" s="502"/>
      <c r="DD70" s="503" t="str">
        <f>IF($G70="","",IF(AND($G70&gt;=30,$AT$3&lt;=DC$7),ROUND(DC70*($AP$3+#REF!),-1),""))</f>
        <v/>
      </c>
      <c r="DE70" s="503"/>
      <c r="DF70" s="503" t="str">
        <f>IF($G70="","",IF(AND($G70&gt;=30,$AT$3&lt;=DE$7),ROUND(DE70*($AP$3+#REF!),-1),""))</f>
        <v/>
      </c>
      <c r="DG70" s="503"/>
      <c r="DH70" s="503" t="str">
        <f>IF($G70="","",IF(AND($G70&gt;=30,$AT$3&lt;=DG$7),ROUND(DG70*($AP$3+#REF!),-1),""))</f>
        <v/>
      </c>
      <c r="DI70" s="503"/>
      <c r="DJ70" s="503" t="str">
        <f>IF($G70="","",IF(AND($G70&gt;=30,$AT$3&lt;=DI$7),ROUND(DI70*($AP$3+#REF!),-1),""))</f>
        <v/>
      </c>
      <c r="DK70" s="503"/>
      <c r="DL70" s="503" t="str">
        <f>IF($G70="","",IF(AND($G70&gt;=30,$AT$3&lt;=DK$7),ROUND(DK70*($AP$3+#REF!),-1),""))</f>
        <v/>
      </c>
      <c r="DM70" s="503"/>
      <c r="DN70" s="503" t="str">
        <f>IF($G70="","",IF(AND($G70&gt;=30,$AT$3&lt;=DM$7),ROUND(DM70*($AP$3+#REF!),-1),""))</f>
        <v/>
      </c>
      <c r="DO70" s="503"/>
      <c r="DP70" s="503" t="str">
        <f>IF($G70="","",IF(AND($G70&gt;=30,$AT$3&lt;=DO$7),ROUND(DO70*($AP$3+#REF!),-1),""))</f>
        <v/>
      </c>
      <c r="DQ70" s="503"/>
      <c r="DR70" s="503" t="str">
        <f>IF($G70="","",IF(AND($G70&gt;=30,$AT$3&lt;=DQ$7),ROUND(DQ70*($AP$3+#REF!),-1),""))</f>
        <v/>
      </c>
      <c r="DS70" s="503"/>
      <c r="DT70" s="503" t="str">
        <f>IF($G70="","",IF(AND($G70&gt;=30,$AT$3&lt;=DS$7),ROUND(DS70*($AP$3+#REF!),-1),""))</f>
        <v/>
      </c>
      <c r="DU70" s="503"/>
      <c r="DV70" s="503" t="str">
        <f>IF($G70="","",IF(AND($G70&gt;=30,$AT$3&lt;=DU$7),ROUND(DU70*($AP$3+#REF!),-1),""))</f>
        <v/>
      </c>
      <c r="DW70" s="503"/>
      <c r="DX70" s="503" t="str">
        <f>IF($G70="","",IF(AND($G70&gt;=30,$AT$3&lt;=DW$7),ROUND(DW70*($AP$3+#REF!),-1),""))</f>
        <v/>
      </c>
      <c r="DY70" s="503"/>
      <c r="DZ70" s="503" t="str">
        <f>IF($G70="","",IF(AND($G70&gt;=30,$AT$3&lt;=DY$7),ROUND(DY70*($AP$3+#REF!),-1),""))</f>
        <v/>
      </c>
      <c r="EA70" s="503"/>
      <c r="EB70" s="503" t="str">
        <f>IF($G70="","",IF(AND($G70&gt;=30,$AT$3&lt;=EA$7),ROUND(EA70*($AP$3+#REF!),-1),""))</f>
        <v/>
      </c>
      <c r="EC70" s="504" t="s">
        <v>621</v>
      </c>
      <c r="ED70" s="1126"/>
      <c r="EE70" s="325">
        <v>2</v>
      </c>
      <c r="EG70" s="347"/>
      <c r="EH70" s="347"/>
      <c r="EI70" s="347"/>
      <c r="EJ70" s="347"/>
      <c r="EK70" s="347"/>
      <c r="EL70" s="347"/>
      <c r="EM70" s="347"/>
      <c r="EN70" s="347"/>
      <c r="EO70" s="347"/>
      <c r="EP70" s="347"/>
      <c r="EQ70" s="347"/>
      <c r="ER70" s="347"/>
      <c r="ES70" s="347"/>
      <c r="ET70" s="347"/>
      <c r="EU70" s="347"/>
      <c r="EV70" s="347"/>
      <c r="EW70" s="347"/>
      <c r="EX70" s="347"/>
      <c r="EY70" s="347"/>
      <c r="EZ70" s="347"/>
      <c r="FA70" s="347"/>
      <c r="FB70" s="347"/>
      <c r="FC70" s="347"/>
      <c r="FD70" s="347"/>
      <c r="FE70" s="347"/>
      <c r="FF70" s="347"/>
      <c r="FG70" s="347"/>
      <c r="FH70" s="347"/>
      <c r="FI70" s="347"/>
      <c r="FJ70" s="347"/>
      <c r="FK70" s="347"/>
      <c r="FL70" s="347"/>
    </row>
    <row r="71" spans="1:168" ht="9.75" customHeight="1">
      <c r="A71" s="321" t="str">
        <f t="shared" si="21"/>
        <v/>
      </c>
      <c r="B71" s="567" t="e">
        <f>(ii!$D$13*12+V71)+1</f>
        <v>#REF!</v>
      </c>
      <c r="C71" s="337">
        <f t="shared" si="8"/>
        <v>44286</v>
      </c>
      <c r="D71" s="484">
        <f t="shared" si="0"/>
        <v>2021</v>
      </c>
      <c r="E71" s="484">
        <f t="shared" si="1"/>
        <v>0.25</v>
      </c>
      <c r="F71" s="484">
        <f t="shared" si="2"/>
        <v>2021.25</v>
      </c>
      <c r="G71" s="485" t="str">
        <f>IF(OR(C71&lt;$I$2,C71&gt;$J$3),"",(ii!$D$13*12+V71+1)/12)</f>
        <v/>
      </c>
      <c r="H71" s="486"/>
      <c r="I71" s="486"/>
      <c r="J71" s="487"/>
      <c r="K71" s="488"/>
      <c r="L71" s="548"/>
      <c r="M71" s="489" t="str">
        <f t="shared" si="12"/>
        <v/>
      </c>
      <c r="N71" s="490" t="s">
        <v>621</v>
      </c>
      <c r="O71" s="490" t="str">
        <f t="shared" si="5"/>
        <v/>
      </c>
      <c r="P71" s="491"/>
      <c r="Q71" s="491"/>
      <c r="R71" s="491" t="str">
        <f t="shared" si="6"/>
        <v/>
      </c>
      <c r="S71" s="528" t="str">
        <f t="shared" si="24"/>
        <v/>
      </c>
      <c r="T71" s="528" t="str">
        <f t="shared" si="23"/>
        <v/>
      </c>
      <c r="U71" s="493" t="str">
        <f>IF(H71="","",#REF!*12+#REF!+#REF!*12+#REF!)</f>
        <v/>
      </c>
      <c r="V71" s="338" t="e">
        <f>IF(ii!$J$3&gt;gg!C71,"",IF(AND((YEAR(C71)=YEAR($I$2)),MONTH(C71)=MONTH($I$2)),ii!$B$14*12+ii!$C$14+ii!$B$15*12+ii!$C$15-1,V70+1))</f>
        <v>#REF!</v>
      </c>
      <c r="W71" s="339" t="e">
        <f t="shared" si="10"/>
        <v>#REF!</v>
      </c>
      <c r="X71" s="494" t="s">
        <v>621</v>
      </c>
      <c r="Y71" s="495" t="s">
        <v>621</v>
      </c>
      <c r="Z71" s="496"/>
      <c r="AA71" s="497"/>
      <c r="AB71" s="498" t="str">
        <f t="shared" si="19"/>
        <v/>
      </c>
      <c r="AC71" s="484" t="str">
        <f t="shared" si="15"/>
        <v/>
      </c>
      <c r="AD71" s="495" t="str">
        <f t="shared" si="16"/>
        <v/>
      </c>
      <c r="AE71" s="499" t="s">
        <v>621</v>
      </c>
      <c r="AF71" s="500" t="s">
        <v>621</v>
      </c>
      <c r="AG71" s="556" t="s">
        <v>621</v>
      </c>
      <c r="AH71" s="503" t="str">
        <f>IF($G71="","",IF(AND($G71&gt;=30,$AT$3&lt;=AG$7),ROUND(AG71*($AP$3+#REF!),-1),""))</f>
        <v/>
      </c>
      <c r="AI71" s="506" t="s">
        <v>621</v>
      </c>
      <c r="AJ71" s="503" t="str">
        <f>IF($G71="","",IF(AND($G71&gt;=30,$AT$3&lt;=AI$7),ROUND(AI71*($AP$3+#REF!),-1),""))</f>
        <v/>
      </c>
      <c r="AK71" s="506" t="s">
        <v>621</v>
      </c>
      <c r="AL71" s="503" t="str">
        <f>IF($G71="","",IF(AND($G71&gt;=30,$AT$3&lt;=AK$7),ROUND(AK71*($AP$3+#REF!),-1),""))</f>
        <v/>
      </c>
      <c r="AM71" s="506" t="s">
        <v>621</v>
      </c>
      <c r="AN71" s="503" t="str">
        <f>IF($G71="","",IF(AND($G71&gt;=30,$AT$3&lt;=AM$7),ROUND(AM71*($AP$3+#REF!),-1),""))</f>
        <v/>
      </c>
      <c r="AO71" s="503" t="e">
        <v>#REF!</v>
      </c>
      <c r="AP71" s="503" t="str">
        <f>IF($G71="","",IF(AND($G71&gt;=30,$AT$3&lt;=AO$7),ROUND(AO71*($AP$3+#REF!),-1),""))</f>
        <v/>
      </c>
      <c r="AQ71" s="517" t="e">
        <v>#REF!</v>
      </c>
      <c r="AR71" s="503" t="str">
        <f>IF($G71="","",IF(AND($G71&gt;=30,$AT$3&lt;=AQ$7),ROUND(AQ71*($AP$3+#REF!),-1),""))</f>
        <v/>
      </c>
      <c r="AS71" s="503"/>
      <c r="AT71" s="503" t="str">
        <f>IF($G71="","",IF(AND($G71&gt;=30,$AT$3&lt;=AS$7),ROUND(AS71*($AP$3+#REF!),-1),""))</f>
        <v/>
      </c>
      <c r="AU71" s="502"/>
      <c r="AV71" s="503" t="str">
        <f>IF($G71="","",IF(AND($G71&gt;=30,$AT$3&lt;=AU$7),ROUND(AU71*($AP$3+#REF!),-1),""))</f>
        <v/>
      </c>
      <c r="AW71" s="503"/>
      <c r="AX71" s="503" t="str">
        <f>IF($G71="","",IF(AND($G71&gt;=30,$AT$3&lt;=AW$7),ROUND(AW71*($AP$3+#REF!),-1),""))</f>
        <v/>
      </c>
      <c r="AY71" s="502"/>
      <c r="AZ71" s="503" t="str">
        <f>IF($G71="","",IF(AND($G71&gt;=30,$AT$3&lt;=AY$7),ROUND(AY71*($AP$3+#REF!),-1),""))</f>
        <v/>
      </c>
      <c r="BA71" s="503"/>
      <c r="BB71" s="503" t="str">
        <f>IF($G71="","",IF(AND($G71&gt;=30,$AT$3&lt;=BA$7),ROUND(BA71*($AP$3+#REF!),-1),""))</f>
        <v/>
      </c>
      <c r="BC71" s="502"/>
      <c r="BD71" s="503" t="str">
        <f>IF($G71="","",IF(AND($G71&gt;=30,$AT$3&lt;=BC$7),ROUND(BC71*($AP$3+#REF!),-1),""))</f>
        <v/>
      </c>
      <c r="BE71" s="503"/>
      <c r="BF71" s="503" t="str">
        <f>IF($G71="","",IF(AND($G71&gt;=30,$AT$3&lt;=BE$7),ROUND(BE71*($AP$3+#REF!),-1),""))</f>
        <v/>
      </c>
      <c r="BG71" s="502"/>
      <c r="BH71" s="503" t="str">
        <f>IF($G71="","",IF(AND($G71&gt;=30,$AT$3&lt;=BG$7),ROUND(BG71*($AP$3+#REF!),-1),""))</f>
        <v/>
      </c>
      <c r="BI71" s="503"/>
      <c r="BJ71" s="503" t="str">
        <f>IF($G71="","",IF(AND($G71&gt;=30,$AT$3&lt;=BI$7),ROUND(BI71*($AP$3+#REF!),-1),""))</f>
        <v/>
      </c>
      <c r="BK71" s="502"/>
      <c r="BL71" s="503" t="str">
        <f>IF($G71="","",IF(AND($G71&gt;=30,$AT$3&lt;=BK$7),ROUND(BK71*($AP$3+#REF!),-1),""))</f>
        <v/>
      </c>
      <c r="BM71" s="503"/>
      <c r="BN71" s="503" t="str">
        <f>IF($G71="","",IF(AND($G71&gt;=30,$AT$3&lt;=BM$7),ROUND(BM71*($AP$3+#REF!),-1),""))</f>
        <v/>
      </c>
      <c r="BO71" s="502"/>
      <c r="BP71" s="503" t="str">
        <f>IF($G71="","",IF(AND($G71&gt;=30,$AT$3&lt;=BO$7),ROUND(BO71*($AP$3+#REF!),-1),""))</f>
        <v/>
      </c>
      <c r="BQ71" s="503"/>
      <c r="BR71" s="503" t="str">
        <f>IF($G71="","",IF(AND($G71&gt;=30,$AT$3&lt;=BQ$7),ROUND(BQ71*($AP$3+#REF!),-1),""))</f>
        <v/>
      </c>
      <c r="BS71" s="502"/>
      <c r="BT71" s="503" t="str">
        <f>IF($G71="","",IF(AND($G71&gt;=30,$AT$3&lt;=BS$7),ROUND(BS71*($AP$3+#REF!),-1),""))</f>
        <v/>
      </c>
      <c r="BU71" s="503"/>
      <c r="BV71" s="503" t="str">
        <f>IF($G71="","",IF(AND($G71&gt;=30,$AT$3&lt;=BU$7),ROUND(BU71*($AP$3+#REF!),-1),""))</f>
        <v/>
      </c>
      <c r="BW71" s="502"/>
      <c r="BX71" s="503" t="str">
        <f>IF($G71="","",IF(AND($G71&gt;=30,$AT$3&lt;=BW$7),ROUND(BW71*($AP$3+#REF!),-1),""))</f>
        <v/>
      </c>
      <c r="BY71" s="503"/>
      <c r="BZ71" s="503" t="str">
        <f>IF($G71="","",IF(AND($G71&gt;=30,$AT$3&lt;=BY$7),ROUND(BY71*($AP$3+#REF!),-1),""))</f>
        <v/>
      </c>
      <c r="CA71" s="502"/>
      <c r="CB71" s="503" t="str">
        <f>IF($G71="","",IF(AND($G71&gt;=30,$AT$3&lt;=CA$7),ROUND(CA71*($AP$3+#REF!),-1),""))</f>
        <v/>
      </c>
      <c r="CC71" s="503"/>
      <c r="CD71" s="503" t="str">
        <f>IF($G71="","",IF(AND($G71&gt;=30,$AT$3&lt;=CC$7),ROUND(CC71*($AP$3+#REF!),-1),""))</f>
        <v/>
      </c>
      <c r="CE71" s="502"/>
      <c r="CF71" s="503" t="str">
        <f>IF($G71="","",IF(AND($G71&gt;=30,$AT$3&lt;=CE$7),ROUND(CE71*($AP$3+#REF!),-1),""))</f>
        <v/>
      </c>
      <c r="CG71" s="503"/>
      <c r="CH71" s="503" t="str">
        <f>IF($G71="","",IF(AND($G71&gt;=30,$AT$3&lt;=CG$7),ROUND(CG71*($AP$3+#REF!),-1),""))</f>
        <v/>
      </c>
      <c r="CI71" s="502"/>
      <c r="CJ71" s="503" t="str">
        <f>IF($G71="","",IF(AND($G71&gt;=30,$AT$3&lt;=CI$7),ROUND(CI71*($AP$3+#REF!),-1),""))</f>
        <v/>
      </c>
      <c r="CK71" s="503"/>
      <c r="CL71" s="503" t="str">
        <f>IF($G71="","",IF(AND($G71&gt;=30,$AT$3&lt;=CK$7),ROUND(CK71*($AP$3+#REF!),-1),""))</f>
        <v/>
      </c>
      <c r="CM71" s="502"/>
      <c r="CN71" s="503" t="str">
        <f>IF($G71="","",IF(AND($G71&gt;=30,$AT$3&lt;=CM$7),ROUND(CM71*($AP$3+#REF!),-1),""))</f>
        <v/>
      </c>
      <c r="CO71" s="503"/>
      <c r="CP71" s="503" t="str">
        <f>IF($G71="","",IF(AND($G71&gt;=30,$AT$3&lt;=CO$7),ROUND(CO71*($AP$3+#REF!),-1),""))</f>
        <v/>
      </c>
      <c r="CQ71" s="502"/>
      <c r="CR71" s="503" t="str">
        <f>IF($G71="","",IF(AND($G71&gt;=30,$AT$3&lt;=CQ$7),ROUND(CQ71*($AP$3+#REF!),-1),""))</f>
        <v/>
      </c>
      <c r="CS71" s="503"/>
      <c r="CT71" s="503" t="str">
        <f>IF($G71="","",IF(AND($G71&gt;=30,$AT$3&lt;=CS$7),ROUND(CS71*($AP$3+#REF!),-1),""))</f>
        <v/>
      </c>
      <c r="CU71" s="502"/>
      <c r="CV71" s="503" t="str">
        <f>IF($G71="","",IF(AND($G71&gt;=30,$AT$3&lt;=CU$7),ROUND(CU71*($AP$3+#REF!),-1),""))</f>
        <v/>
      </c>
      <c r="CW71" s="503"/>
      <c r="CX71" s="503" t="str">
        <f>IF($G71="","",IF(AND($G71&gt;=30,$AT$3&lt;=CW$7),ROUND(CW71*($AP$3+#REF!),-1),""))</f>
        <v/>
      </c>
      <c r="CY71" s="502"/>
      <c r="CZ71" s="503" t="str">
        <f>IF($G71="","",IF(AND($G71&gt;=30,$AT$3&lt;=CY$7),ROUND(CY71*($AP$3+#REF!),-1),""))</f>
        <v/>
      </c>
      <c r="DA71" s="503"/>
      <c r="DB71" s="503" t="str">
        <f>IF($G71="","",IF(AND($G71&gt;=30,$AT$3&lt;=DA$7),ROUND(DA71*($AP$3+#REF!),-1),""))</f>
        <v/>
      </c>
      <c r="DC71" s="502"/>
      <c r="DD71" s="503" t="str">
        <f>IF($G71="","",IF(AND($G71&gt;=30,$AT$3&lt;=DC$7),ROUND(DC71*($AP$3+#REF!),-1),""))</f>
        <v/>
      </c>
      <c r="DE71" s="503"/>
      <c r="DF71" s="503" t="str">
        <f>IF($G71="","",IF(AND($G71&gt;=30,$AT$3&lt;=DE$7),ROUND(DE71*($AP$3+#REF!),-1),""))</f>
        <v/>
      </c>
      <c r="DG71" s="503"/>
      <c r="DH71" s="503" t="str">
        <f>IF($G71="","",IF(AND($G71&gt;=30,$AT$3&lt;=DG$7),ROUND(DG71*($AP$3+#REF!),-1),""))</f>
        <v/>
      </c>
      <c r="DI71" s="503"/>
      <c r="DJ71" s="503" t="str">
        <f>IF($G71="","",IF(AND($G71&gt;=30,$AT$3&lt;=DI$7),ROUND(DI71*($AP$3+#REF!),-1),""))</f>
        <v/>
      </c>
      <c r="DK71" s="503"/>
      <c r="DL71" s="503" t="str">
        <f>IF($G71="","",IF(AND($G71&gt;=30,$AT$3&lt;=DK$7),ROUND(DK71*($AP$3+#REF!),-1),""))</f>
        <v/>
      </c>
      <c r="DM71" s="503"/>
      <c r="DN71" s="503" t="str">
        <f>IF($G71="","",IF(AND($G71&gt;=30,$AT$3&lt;=DM$7),ROUND(DM71*($AP$3+#REF!),-1),""))</f>
        <v/>
      </c>
      <c r="DO71" s="503"/>
      <c r="DP71" s="503" t="str">
        <f>IF($G71="","",IF(AND($G71&gt;=30,$AT$3&lt;=DO$7),ROUND(DO71*($AP$3+#REF!),-1),""))</f>
        <v/>
      </c>
      <c r="DQ71" s="503"/>
      <c r="DR71" s="503" t="str">
        <f>IF($G71="","",IF(AND($G71&gt;=30,$AT$3&lt;=DQ$7),ROUND(DQ71*($AP$3+#REF!),-1),""))</f>
        <v/>
      </c>
      <c r="DS71" s="503"/>
      <c r="DT71" s="503" t="str">
        <f>IF($G71="","",IF(AND($G71&gt;=30,$AT$3&lt;=DS$7),ROUND(DS71*($AP$3+#REF!),-1),""))</f>
        <v/>
      </c>
      <c r="DU71" s="503"/>
      <c r="DV71" s="503" t="str">
        <f>IF($G71="","",IF(AND($G71&gt;=30,$AT$3&lt;=DU$7),ROUND(DU71*($AP$3+#REF!),-1),""))</f>
        <v/>
      </c>
      <c r="DW71" s="503"/>
      <c r="DX71" s="503" t="str">
        <f>IF($G71="","",IF(AND($G71&gt;=30,$AT$3&lt;=DW$7),ROUND(DW71*($AP$3+#REF!),-1),""))</f>
        <v/>
      </c>
      <c r="DY71" s="503"/>
      <c r="DZ71" s="503" t="str">
        <f>IF($G71="","",IF(AND($G71&gt;=30,$AT$3&lt;=DY$7),ROUND(DY71*($AP$3+#REF!),-1),""))</f>
        <v/>
      </c>
      <c r="EA71" s="503"/>
      <c r="EB71" s="503" t="str">
        <f>IF($G71="","",IF(AND($G71&gt;=30,$AT$3&lt;=EA$7),ROUND(EA71*($AP$3+#REF!),-1),""))</f>
        <v/>
      </c>
      <c r="EC71" s="504" t="s">
        <v>621</v>
      </c>
      <c r="ED71" s="1126"/>
      <c r="EE71" s="325">
        <v>3</v>
      </c>
      <c r="EG71" s="347"/>
      <c r="EH71" s="347"/>
      <c r="EI71" s="347"/>
      <c r="EJ71" s="347"/>
      <c r="EK71" s="347"/>
      <c r="EL71" s="347"/>
      <c r="EM71" s="347"/>
      <c r="EN71" s="347"/>
      <c r="EO71" s="347"/>
      <c r="EP71" s="347"/>
      <c r="EQ71" s="347"/>
      <c r="ER71" s="347"/>
      <c r="ES71" s="347"/>
      <c r="ET71" s="347"/>
      <c r="EU71" s="347"/>
      <c r="EV71" s="347"/>
      <c r="EW71" s="347"/>
      <c r="EX71" s="347"/>
      <c r="EY71" s="347"/>
      <c r="EZ71" s="347"/>
      <c r="FA71" s="347"/>
      <c r="FB71" s="347"/>
      <c r="FC71" s="347"/>
      <c r="FD71" s="347"/>
      <c r="FE71" s="347"/>
      <c r="FF71" s="347"/>
      <c r="FG71" s="347"/>
      <c r="FH71" s="347"/>
      <c r="FI71" s="347"/>
      <c r="FJ71" s="347"/>
      <c r="FK71" s="347"/>
      <c r="FL71" s="347"/>
    </row>
    <row r="72" spans="1:168" ht="9.75" customHeight="1">
      <c r="A72" s="321" t="str">
        <f t="shared" si="21"/>
        <v/>
      </c>
      <c r="B72" s="567" t="e">
        <f>(ii!$D$13*12+V72)+1</f>
        <v>#REF!</v>
      </c>
      <c r="C72" s="337">
        <f t="shared" si="8"/>
        <v>44316</v>
      </c>
      <c r="D72" s="484">
        <f t="shared" si="0"/>
        <v>2021</v>
      </c>
      <c r="E72" s="484">
        <f t="shared" si="1"/>
        <v>0.33333333333333331</v>
      </c>
      <c r="F72" s="484">
        <f t="shared" si="2"/>
        <v>2021.3333333333333</v>
      </c>
      <c r="G72" s="485" t="str">
        <f>IF(OR(C72&lt;$I$2,C72&gt;$J$3),"",(ii!$D$13*12+V72+1)/12)</f>
        <v/>
      </c>
      <c r="H72" s="486"/>
      <c r="I72" s="486"/>
      <c r="J72" s="487"/>
      <c r="K72" s="488"/>
      <c r="L72" s="548"/>
      <c r="M72" s="489" t="str">
        <f t="shared" si="12"/>
        <v/>
      </c>
      <c r="N72" s="490" t="s">
        <v>621</v>
      </c>
      <c r="O72" s="490" t="str">
        <f t="shared" si="5"/>
        <v/>
      </c>
      <c r="P72" s="491"/>
      <c r="Q72" s="491"/>
      <c r="R72" s="491" t="str">
        <f t="shared" si="6"/>
        <v/>
      </c>
      <c r="S72" s="528" t="str">
        <f t="shared" si="24"/>
        <v/>
      </c>
      <c r="T72" s="528" t="str">
        <f t="shared" si="23"/>
        <v/>
      </c>
      <c r="U72" s="493" t="str">
        <f>IF(H72="","",#REF!*12+#REF!+#REF!*12+#REF!)</f>
        <v/>
      </c>
      <c r="V72" s="338" t="e">
        <f>IF(ii!$J$3&gt;gg!C72,"",IF(AND((YEAR(C72)=YEAR($I$2)),MONTH(C72)=MONTH($I$2)),ii!$B$14*12+ii!$C$14+ii!$B$15*12+ii!$C$15-1,V71+1))</f>
        <v>#REF!</v>
      </c>
      <c r="W72" s="339" t="e">
        <f t="shared" si="10"/>
        <v>#REF!</v>
      </c>
      <c r="X72" s="494" t="s">
        <v>621</v>
      </c>
      <c r="Y72" s="495" t="s">
        <v>621</v>
      </c>
      <c r="Z72" s="496"/>
      <c r="AA72" s="497"/>
      <c r="AB72" s="498" t="str">
        <f t="shared" si="19"/>
        <v/>
      </c>
      <c r="AC72" s="484" t="str">
        <f t="shared" si="15"/>
        <v/>
      </c>
      <c r="AD72" s="495" t="str">
        <f t="shared" si="16"/>
        <v/>
      </c>
      <c r="AE72" s="499" t="s">
        <v>621</v>
      </c>
      <c r="AF72" s="500" t="s">
        <v>621</v>
      </c>
      <c r="AG72" s="556" t="s">
        <v>621</v>
      </c>
      <c r="AH72" s="503" t="str">
        <f>IF($G72="","",IF(AND($G72&gt;=30,$AT$3&lt;=AG$7),ROUND(AG72*($AP$3+#REF!),-1),""))</f>
        <v/>
      </c>
      <c r="AI72" s="506" t="s">
        <v>621</v>
      </c>
      <c r="AJ72" s="503" t="str">
        <f>IF($G72="","",IF(AND($G72&gt;=30,$AT$3&lt;=AI$7),ROUND(AI72*($AP$3+#REF!),-1),""))</f>
        <v/>
      </c>
      <c r="AK72" s="506" t="s">
        <v>621</v>
      </c>
      <c r="AL72" s="503" t="str">
        <f>IF($G72="","",IF(AND($G72&gt;=30,$AT$3&lt;=AK$7),ROUND(AK72*($AP$3+#REF!),-1),""))</f>
        <v/>
      </c>
      <c r="AM72" s="506" t="s">
        <v>621</v>
      </c>
      <c r="AN72" s="503" t="str">
        <f>IF($G72="","",IF(AND($G72&gt;=30,$AT$3&lt;=AM$7),ROUND(AM72*($AP$3+#REF!),-1),""))</f>
        <v/>
      </c>
      <c r="AO72" s="503" t="e">
        <v>#REF!</v>
      </c>
      <c r="AP72" s="503" t="str">
        <f>IF($G72="","",IF(AND($G72&gt;=30,$AT$3&lt;=AO$7),ROUND(AO72*($AP$3+#REF!),-1),""))</f>
        <v/>
      </c>
      <c r="AQ72" s="517" t="e">
        <v>#REF!</v>
      </c>
      <c r="AR72" s="503" t="str">
        <f>IF($G72="","",IF(AND($G72&gt;=30,$AT$3&lt;=AQ$7),ROUND(AQ72*($AP$3+#REF!),-1),""))</f>
        <v/>
      </c>
      <c r="AS72" s="503"/>
      <c r="AT72" s="503" t="str">
        <f>IF($G72="","",IF(AND($G72&gt;=30,$AT$3&lt;=AS$7),ROUND(AS72*($AP$3+#REF!),-1),""))</f>
        <v/>
      </c>
      <c r="AU72" s="502"/>
      <c r="AV72" s="503" t="str">
        <f>IF($G72="","",IF(AND($G72&gt;=30,$AT$3&lt;=AU$7),ROUND(AU72*($AP$3+#REF!),-1),""))</f>
        <v/>
      </c>
      <c r="AW72" s="503"/>
      <c r="AX72" s="503" t="str">
        <f>IF($G72="","",IF(AND($G72&gt;=30,$AT$3&lt;=AW$7),ROUND(AW72*($AP$3+#REF!),-1),""))</f>
        <v/>
      </c>
      <c r="AY72" s="502"/>
      <c r="AZ72" s="503" t="str">
        <f>IF($G72="","",IF(AND($G72&gt;=30,$AT$3&lt;=AY$7),ROUND(AY72*($AP$3+#REF!),-1),""))</f>
        <v/>
      </c>
      <c r="BA72" s="503"/>
      <c r="BB72" s="503" t="str">
        <f>IF($G72="","",IF(AND($G72&gt;=30,$AT$3&lt;=BA$7),ROUND(BA72*($AP$3+#REF!),-1),""))</f>
        <v/>
      </c>
      <c r="BC72" s="502"/>
      <c r="BD72" s="503" t="str">
        <f>IF($G72="","",IF(AND($G72&gt;=30,$AT$3&lt;=BC$7),ROUND(BC72*($AP$3+#REF!),-1),""))</f>
        <v/>
      </c>
      <c r="BE72" s="503"/>
      <c r="BF72" s="503" t="str">
        <f>IF($G72="","",IF(AND($G72&gt;=30,$AT$3&lt;=BE$7),ROUND(BE72*($AP$3+#REF!),-1),""))</f>
        <v/>
      </c>
      <c r="BG72" s="502"/>
      <c r="BH72" s="503" t="str">
        <f>IF($G72="","",IF(AND($G72&gt;=30,$AT$3&lt;=BG$7),ROUND(BG72*($AP$3+#REF!),-1),""))</f>
        <v/>
      </c>
      <c r="BI72" s="503"/>
      <c r="BJ72" s="503" t="str">
        <f>IF($G72="","",IF(AND($G72&gt;=30,$AT$3&lt;=BI$7),ROUND(BI72*($AP$3+#REF!),-1),""))</f>
        <v/>
      </c>
      <c r="BK72" s="502"/>
      <c r="BL72" s="503" t="str">
        <f>IF($G72="","",IF(AND($G72&gt;=30,$AT$3&lt;=BK$7),ROUND(BK72*($AP$3+#REF!),-1),""))</f>
        <v/>
      </c>
      <c r="BM72" s="503"/>
      <c r="BN72" s="503" t="str">
        <f>IF($G72="","",IF(AND($G72&gt;=30,$AT$3&lt;=BM$7),ROUND(BM72*($AP$3+#REF!),-1),""))</f>
        <v/>
      </c>
      <c r="BO72" s="502"/>
      <c r="BP72" s="503" t="str">
        <f>IF($G72="","",IF(AND($G72&gt;=30,$AT$3&lt;=BO$7),ROUND(BO72*($AP$3+#REF!),-1),""))</f>
        <v/>
      </c>
      <c r="BQ72" s="503"/>
      <c r="BR72" s="503" t="str">
        <f>IF($G72="","",IF(AND($G72&gt;=30,$AT$3&lt;=BQ$7),ROUND(BQ72*($AP$3+#REF!),-1),""))</f>
        <v/>
      </c>
      <c r="BS72" s="502"/>
      <c r="BT72" s="503" t="str">
        <f>IF($G72="","",IF(AND($G72&gt;=30,$AT$3&lt;=BS$7),ROUND(BS72*($AP$3+#REF!),-1),""))</f>
        <v/>
      </c>
      <c r="BU72" s="503"/>
      <c r="BV72" s="503" t="str">
        <f>IF($G72="","",IF(AND($G72&gt;=30,$AT$3&lt;=BU$7),ROUND(BU72*($AP$3+#REF!),-1),""))</f>
        <v/>
      </c>
      <c r="BW72" s="502"/>
      <c r="BX72" s="503" t="str">
        <f>IF($G72="","",IF(AND($G72&gt;=30,$AT$3&lt;=BW$7),ROUND(BW72*($AP$3+#REF!),-1),""))</f>
        <v/>
      </c>
      <c r="BY72" s="503"/>
      <c r="BZ72" s="503" t="str">
        <f>IF($G72="","",IF(AND($G72&gt;=30,$AT$3&lt;=BY$7),ROUND(BY72*($AP$3+#REF!),-1),""))</f>
        <v/>
      </c>
      <c r="CA72" s="502"/>
      <c r="CB72" s="503" t="str">
        <f>IF($G72="","",IF(AND($G72&gt;=30,$AT$3&lt;=CA$7),ROUND(CA72*($AP$3+#REF!),-1),""))</f>
        <v/>
      </c>
      <c r="CC72" s="503"/>
      <c r="CD72" s="503" t="str">
        <f>IF($G72="","",IF(AND($G72&gt;=30,$AT$3&lt;=CC$7),ROUND(CC72*($AP$3+#REF!),-1),""))</f>
        <v/>
      </c>
      <c r="CE72" s="502"/>
      <c r="CF72" s="503" t="str">
        <f>IF($G72="","",IF(AND($G72&gt;=30,$AT$3&lt;=CE$7),ROUND(CE72*($AP$3+#REF!),-1),""))</f>
        <v/>
      </c>
      <c r="CG72" s="503"/>
      <c r="CH72" s="503" t="str">
        <f>IF($G72="","",IF(AND($G72&gt;=30,$AT$3&lt;=CG$7),ROUND(CG72*($AP$3+#REF!),-1),""))</f>
        <v/>
      </c>
      <c r="CI72" s="502"/>
      <c r="CJ72" s="503" t="str">
        <f>IF($G72="","",IF(AND($G72&gt;=30,$AT$3&lt;=CI$7),ROUND(CI72*($AP$3+#REF!),-1),""))</f>
        <v/>
      </c>
      <c r="CK72" s="503"/>
      <c r="CL72" s="503" t="str">
        <f>IF($G72="","",IF(AND($G72&gt;=30,$AT$3&lt;=CK$7),ROUND(CK72*($AP$3+#REF!),-1),""))</f>
        <v/>
      </c>
      <c r="CM72" s="502"/>
      <c r="CN72" s="503" t="str">
        <f>IF($G72="","",IF(AND($G72&gt;=30,$AT$3&lt;=CM$7),ROUND(CM72*($AP$3+#REF!),-1),""))</f>
        <v/>
      </c>
      <c r="CO72" s="503"/>
      <c r="CP72" s="503" t="str">
        <f>IF($G72="","",IF(AND($G72&gt;=30,$AT$3&lt;=CO$7),ROUND(CO72*($AP$3+#REF!),-1),""))</f>
        <v/>
      </c>
      <c r="CQ72" s="502"/>
      <c r="CR72" s="503" t="str">
        <f>IF($G72="","",IF(AND($G72&gt;=30,$AT$3&lt;=CQ$7),ROUND(CQ72*($AP$3+#REF!),-1),""))</f>
        <v/>
      </c>
      <c r="CS72" s="503"/>
      <c r="CT72" s="503" t="str">
        <f>IF($G72="","",IF(AND($G72&gt;=30,$AT$3&lt;=CS$7),ROUND(CS72*($AP$3+#REF!),-1),""))</f>
        <v/>
      </c>
      <c r="CU72" s="502"/>
      <c r="CV72" s="503" t="str">
        <f>IF($G72="","",IF(AND($G72&gt;=30,$AT$3&lt;=CU$7),ROUND(CU72*($AP$3+#REF!),-1),""))</f>
        <v/>
      </c>
      <c r="CW72" s="503"/>
      <c r="CX72" s="503" t="str">
        <f>IF($G72="","",IF(AND($G72&gt;=30,$AT$3&lt;=CW$7),ROUND(CW72*($AP$3+#REF!),-1),""))</f>
        <v/>
      </c>
      <c r="CY72" s="502"/>
      <c r="CZ72" s="503" t="str">
        <f>IF($G72="","",IF(AND($G72&gt;=30,$AT$3&lt;=CY$7),ROUND(CY72*($AP$3+#REF!),-1),""))</f>
        <v/>
      </c>
      <c r="DA72" s="503"/>
      <c r="DB72" s="503" t="str">
        <f>IF($G72="","",IF(AND($G72&gt;=30,$AT$3&lt;=DA$7),ROUND(DA72*($AP$3+#REF!),-1),""))</f>
        <v/>
      </c>
      <c r="DC72" s="502"/>
      <c r="DD72" s="503" t="str">
        <f>IF($G72="","",IF(AND($G72&gt;=30,$AT$3&lt;=DC$7),ROUND(DC72*($AP$3+#REF!),-1),""))</f>
        <v/>
      </c>
      <c r="DE72" s="503"/>
      <c r="DF72" s="503" t="str">
        <f>IF($G72="","",IF(AND($G72&gt;=30,$AT$3&lt;=DE$7),ROUND(DE72*($AP$3+#REF!),-1),""))</f>
        <v/>
      </c>
      <c r="DG72" s="503"/>
      <c r="DH72" s="503" t="str">
        <f>IF($G72="","",IF(AND($G72&gt;=30,$AT$3&lt;=DG$7),ROUND(DG72*($AP$3+#REF!),-1),""))</f>
        <v/>
      </c>
      <c r="DI72" s="503"/>
      <c r="DJ72" s="503" t="str">
        <f>IF($G72="","",IF(AND($G72&gt;=30,$AT$3&lt;=DI$7),ROUND(DI72*($AP$3+#REF!),-1),""))</f>
        <v/>
      </c>
      <c r="DK72" s="503"/>
      <c r="DL72" s="503" t="str">
        <f>IF($G72="","",IF(AND($G72&gt;=30,$AT$3&lt;=DK$7),ROUND(DK72*($AP$3+#REF!),-1),""))</f>
        <v/>
      </c>
      <c r="DM72" s="503"/>
      <c r="DN72" s="503" t="str">
        <f>IF($G72="","",IF(AND($G72&gt;=30,$AT$3&lt;=DM$7),ROUND(DM72*($AP$3+#REF!),-1),""))</f>
        <v/>
      </c>
      <c r="DO72" s="503"/>
      <c r="DP72" s="503" t="str">
        <f>IF($G72="","",IF(AND($G72&gt;=30,$AT$3&lt;=DO$7),ROUND(DO72*($AP$3+#REF!),-1),""))</f>
        <v/>
      </c>
      <c r="DQ72" s="503"/>
      <c r="DR72" s="503" t="str">
        <f>IF($G72="","",IF(AND($G72&gt;=30,$AT$3&lt;=DQ$7),ROUND(DQ72*($AP$3+#REF!),-1),""))</f>
        <v/>
      </c>
      <c r="DS72" s="503"/>
      <c r="DT72" s="503" t="str">
        <f>IF($G72="","",IF(AND($G72&gt;=30,$AT$3&lt;=DS$7),ROUND(DS72*($AP$3+#REF!),-1),""))</f>
        <v/>
      </c>
      <c r="DU72" s="503"/>
      <c r="DV72" s="503" t="str">
        <f>IF($G72="","",IF(AND($G72&gt;=30,$AT$3&lt;=DU$7),ROUND(DU72*($AP$3+#REF!),-1),""))</f>
        <v/>
      </c>
      <c r="DW72" s="503"/>
      <c r="DX72" s="503" t="str">
        <f>IF($G72="","",IF(AND($G72&gt;=30,$AT$3&lt;=DW$7),ROUND(DW72*($AP$3+#REF!),-1),""))</f>
        <v/>
      </c>
      <c r="DY72" s="503"/>
      <c r="DZ72" s="503" t="str">
        <f>IF($G72="","",IF(AND($G72&gt;=30,$AT$3&lt;=DY$7),ROUND(DY72*($AP$3+#REF!),-1),""))</f>
        <v/>
      </c>
      <c r="EA72" s="503"/>
      <c r="EB72" s="503" t="str">
        <f>IF($G72="","",IF(AND($G72&gt;=30,$AT$3&lt;=EA$7),ROUND(EA72*($AP$3+#REF!),-1),""))</f>
        <v/>
      </c>
      <c r="EC72" s="504" t="s">
        <v>621</v>
      </c>
      <c r="ED72" s="1126"/>
      <c r="EE72" s="325">
        <v>4</v>
      </c>
      <c r="EG72" s="347"/>
      <c r="EH72" s="347"/>
      <c r="EI72" s="347"/>
      <c r="EJ72" s="347"/>
      <c r="EK72" s="347"/>
      <c r="EL72" s="347"/>
      <c r="EM72" s="347"/>
      <c r="EN72" s="347"/>
      <c r="EO72" s="347"/>
      <c r="EP72" s="347"/>
      <c r="EQ72" s="347"/>
      <c r="ER72" s="347"/>
      <c r="ES72" s="347"/>
      <c r="ET72" s="347"/>
      <c r="EU72" s="347"/>
      <c r="EV72" s="347"/>
      <c r="EW72" s="347"/>
      <c r="EX72" s="347"/>
      <c r="EY72" s="347"/>
      <c r="EZ72" s="347"/>
      <c r="FA72" s="347"/>
      <c r="FB72" s="347"/>
      <c r="FC72" s="347"/>
      <c r="FD72" s="347"/>
      <c r="FE72" s="347"/>
      <c r="FF72" s="347"/>
      <c r="FG72" s="347"/>
      <c r="FH72" s="347"/>
      <c r="FI72" s="347"/>
      <c r="FJ72" s="347"/>
      <c r="FK72" s="347"/>
      <c r="FL72" s="347"/>
    </row>
    <row r="73" spans="1:168" ht="9.75" customHeight="1">
      <c r="A73" s="321" t="str">
        <f t="shared" si="21"/>
        <v/>
      </c>
      <c r="B73" s="567" t="e">
        <f>(ii!$D$13*12+V73)+1</f>
        <v>#REF!</v>
      </c>
      <c r="C73" s="337">
        <f t="shared" si="8"/>
        <v>44347</v>
      </c>
      <c r="D73" s="484">
        <f t="shared" ref="D73:D136" si="25">YEAR(C73)</f>
        <v>2021</v>
      </c>
      <c r="E73" s="484">
        <f t="shared" ref="E73:E136" si="26">MONTH(C73)/12</f>
        <v>0.41666666666666669</v>
      </c>
      <c r="F73" s="484">
        <f t="shared" ref="F73:F136" si="27">D73+E73</f>
        <v>2021.4166666666667</v>
      </c>
      <c r="G73" s="485" t="str">
        <f>IF(OR(C73&lt;$I$2,C73&gt;$J$3),"",(ii!$D$13*12+V73+1)/12)</f>
        <v/>
      </c>
      <c r="H73" s="486"/>
      <c r="I73" s="486"/>
      <c r="J73" s="507"/>
      <c r="K73" s="508"/>
      <c r="L73" s="548"/>
      <c r="M73" s="520" t="str">
        <f t="shared" si="12"/>
        <v/>
      </c>
      <c r="N73" s="490" t="s">
        <v>621</v>
      </c>
      <c r="O73" s="490" t="str">
        <f t="shared" ref="O73:O136" si="28">IF(OR(N73="",N72=""),"",N73-N72)</f>
        <v/>
      </c>
      <c r="P73" s="507"/>
      <c r="Q73" s="507"/>
      <c r="R73" s="509" t="str">
        <f t="shared" ref="R73:R136" si="29">IF(OR(P73="",P72=""),"",P73-P72)</f>
        <v/>
      </c>
      <c r="S73" s="550" t="str">
        <f t="shared" si="24"/>
        <v/>
      </c>
      <c r="T73" s="550" t="str">
        <f t="shared" si="23"/>
        <v/>
      </c>
      <c r="U73" s="521" t="str">
        <f>IF(H73="","",#REF!*12+#REF!+#REF!*12+#REF!)</f>
        <v/>
      </c>
      <c r="V73" s="338" t="e">
        <f>IF(ii!$J$3&gt;gg!C73,"",IF(AND((YEAR(C73)=YEAR($I$2)),MONTH(C73)=MONTH($I$2)),ii!$B$14*12+ii!$C$14+ii!$B$15*12+ii!$C$15-1,V72+1))</f>
        <v>#REF!</v>
      </c>
      <c r="W73" s="339" t="e">
        <f t="shared" si="10"/>
        <v>#REF!</v>
      </c>
      <c r="X73" s="494" t="s">
        <v>621</v>
      </c>
      <c r="Y73" s="495" t="s">
        <v>621</v>
      </c>
      <c r="Z73" s="496"/>
      <c r="AA73" s="497"/>
      <c r="AB73" s="523" t="str">
        <f t="shared" si="19"/>
        <v/>
      </c>
      <c r="AC73" s="551" t="str">
        <f t="shared" si="15"/>
        <v/>
      </c>
      <c r="AD73" s="524" t="str">
        <f t="shared" si="16"/>
        <v/>
      </c>
      <c r="AE73" s="525" t="s">
        <v>621</v>
      </c>
      <c r="AF73" s="500" t="s">
        <v>621</v>
      </c>
      <c r="AG73" s="556" t="s">
        <v>621</v>
      </c>
      <c r="AH73" s="503" t="str">
        <f>IF($G73="","",IF(AND($G73&gt;=30,$AT$3&lt;=AG$7),ROUND(AG73*($AP$3+#REF!),-1),""))</f>
        <v/>
      </c>
      <c r="AI73" s="506" t="s">
        <v>621</v>
      </c>
      <c r="AJ73" s="503" t="str">
        <f>IF($G73="","",IF(AND($G73&gt;=30,$AT$3&lt;=AI$7),ROUND(AI73*($AP$3+#REF!),-1),""))</f>
        <v/>
      </c>
      <c r="AK73" s="506" t="s">
        <v>621</v>
      </c>
      <c r="AL73" s="503" t="str">
        <f>IF($G73="","",IF(AND($G73&gt;=30,$AT$3&lt;=AK$7),ROUND(AK73*($AP$3+#REF!),-1),""))</f>
        <v/>
      </c>
      <c r="AM73" s="506" t="s">
        <v>621</v>
      </c>
      <c r="AN73" s="503" t="str">
        <f>IF($G73="","",IF(AND($G73&gt;=30,$AT$3&lt;=AM$7),ROUND(AM73*($AP$3+#REF!),-1),""))</f>
        <v/>
      </c>
      <c r="AO73" s="503" t="e">
        <v>#REF!</v>
      </c>
      <c r="AP73" s="503" t="str">
        <f>IF($G73="","",IF(AND($G73&gt;=30,$AT$3&lt;=AO$7),ROUND(AO73*($AP$3+#REF!),-1),""))</f>
        <v/>
      </c>
      <c r="AQ73" s="517" t="e">
        <v>#REF!</v>
      </c>
      <c r="AR73" s="503" t="str">
        <f>IF($G73="","",IF(AND($G73&gt;=30,$AT$3&lt;=AQ$7),ROUND(AQ73*($AP$3+#REF!),-1),""))</f>
        <v/>
      </c>
      <c r="AS73" s="503"/>
      <c r="AT73" s="503" t="str">
        <f>IF($G73="","",IF(AND($G73&gt;=30,$AT$3&lt;=AS$7),ROUND(AS73*($AP$3+#REF!),-1),""))</f>
        <v/>
      </c>
      <c r="AU73" s="502"/>
      <c r="AV73" s="503" t="str">
        <f>IF($G73="","",IF(AND($G73&gt;=30,$AT$3&lt;=AU$7),ROUND(AU73*($AP$3+#REF!),-1),""))</f>
        <v/>
      </c>
      <c r="AW73" s="503"/>
      <c r="AX73" s="503" t="str">
        <f>IF($G73="","",IF(AND($G73&gt;=30,$AT$3&lt;=AW$7),ROUND(AW73*($AP$3+#REF!),-1),""))</f>
        <v/>
      </c>
      <c r="AY73" s="502"/>
      <c r="AZ73" s="503" t="str">
        <f>IF($G73="","",IF(AND($G73&gt;=30,$AT$3&lt;=AY$7),ROUND(AY73*($AP$3+#REF!),-1),""))</f>
        <v/>
      </c>
      <c r="BA73" s="503"/>
      <c r="BB73" s="503" t="str">
        <f>IF($G73="","",IF(AND($G73&gt;=30,$AT$3&lt;=BA$7),ROUND(BA73*($AP$3+#REF!),-1),""))</f>
        <v/>
      </c>
      <c r="BC73" s="502"/>
      <c r="BD73" s="503" t="str">
        <f>IF($G73="","",IF(AND($G73&gt;=30,$AT$3&lt;=BC$7),ROUND(BC73*($AP$3+#REF!),-1),""))</f>
        <v/>
      </c>
      <c r="BE73" s="503"/>
      <c r="BF73" s="503" t="str">
        <f>IF($G73="","",IF(AND($G73&gt;=30,$AT$3&lt;=BE$7),ROUND(BE73*($AP$3+#REF!),-1),""))</f>
        <v/>
      </c>
      <c r="BG73" s="502"/>
      <c r="BH73" s="503" t="str">
        <f>IF($G73="","",IF(AND($G73&gt;=30,$AT$3&lt;=BG$7),ROUND(BG73*($AP$3+#REF!),-1),""))</f>
        <v/>
      </c>
      <c r="BI73" s="503"/>
      <c r="BJ73" s="503" t="str">
        <f>IF($G73="","",IF(AND($G73&gt;=30,$AT$3&lt;=BI$7),ROUND(BI73*($AP$3+#REF!),-1),""))</f>
        <v/>
      </c>
      <c r="BK73" s="502"/>
      <c r="BL73" s="503" t="str">
        <f>IF($G73="","",IF(AND($G73&gt;=30,$AT$3&lt;=BK$7),ROUND(BK73*($AP$3+#REF!),-1),""))</f>
        <v/>
      </c>
      <c r="BM73" s="503"/>
      <c r="BN73" s="503" t="str">
        <f>IF($G73="","",IF(AND($G73&gt;=30,$AT$3&lt;=BM$7),ROUND(BM73*($AP$3+#REF!),-1),""))</f>
        <v/>
      </c>
      <c r="BO73" s="502"/>
      <c r="BP73" s="503" t="str">
        <f>IF($G73="","",IF(AND($G73&gt;=30,$AT$3&lt;=BO$7),ROUND(BO73*($AP$3+#REF!),-1),""))</f>
        <v/>
      </c>
      <c r="BQ73" s="503"/>
      <c r="BR73" s="503" t="str">
        <f>IF($G73="","",IF(AND($G73&gt;=30,$AT$3&lt;=BQ$7),ROUND(BQ73*($AP$3+#REF!),-1),""))</f>
        <v/>
      </c>
      <c r="BS73" s="502"/>
      <c r="BT73" s="503" t="str">
        <f>IF($G73="","",IF(AND($G73&gt;=30,$AT$3&lt;=BS$7),ROUND(BS73*($AP$3+#REF!),-1),""))</f>
        <v/>
      </c>
      <c r="BU73" s="503"/>
      <c r="BV73" s="503" t="str">
        <f>IF($G73="","",IF(AND($G73&gt;=30,$AT$3&lt;=BU$7),ROUND(BU73*($AP$3+#REF!),-1),""))</f>
        <v/>
      </c>
      <c r="BW73" s="502"/>
      <c r="BX73" s="503" t="str">
        <f>IF($G73="","",IF(AND($G73&gt;=30,$AT$3&lt;=BW$7),ROUND(BW73*($AP$3+#REF!),-1),""))</f>
        <v/>
      </c>
      <c r="BY73" s="503"/>
      <c r="BZ73" s="503" t="str">
        <f>IF($G73="","",IF(AND($G73&gt;=30,$AT$3&lt;=BY$7),ROUND(BY73*($AP$3+#REF!),-1),""))</f>
        <v/>
      </c>
      <c r="CA73" s="502"/>
      <c r="CB73" s="503" t="str">
        <f>IF($G73="","",IF(AND($G73&gt;=30,$AT$3&lt;=CA$7),ROUND(CA73*($AP$3+#REF!),-1),""))</f>
        <v/>
      </c>
      <c r="CC73" s="503"/>
      <c r="CD73" s="503" t="str">
        <f>IF($G73="","",IF(AND($G73&gt;=30,$AT$3&lt;=CC$7),ROUND(CC73*($AP$3+#REF!),-1),""))</f>
        <v/>
      </c>
      <c r="CE73" s="502"/>
      <c r="CF73" s="503" t="str">
        <f>IF($G73="","",IF(AND($G73&gt;=30,$AT$3&lt;=CE$7),ROUND(CE73*($AP$3+#REF!),-1),""))</f>
        <v/>
      </c>
      <c r="CG73" s="503"/>
      <c r="CH73" s="503" t="str">
        <f>IF($G73="","",IF(AND($G73&gt;=30,$AT$3&lt;=CG$7),ROUND(CG73*($AP$3+#REF!),-1),""))</f>
        <v/>
      </c>
      <c r="CI73" s="502"/>
      <c r="CJ73" s="503" t="str">
        <f>IF($G73="","",IF(AND($G73&gt;=30,$AT$3&lt;=CI$7),ROUND(CI73*($AP$3+#REF!),-1),""))</f>
        <v/>
      </c>
      <c r="CK73" s="503"/>
      <c r="CL73" s="503" t="str">
        <f>IF($G73="","",IF(AND($G73&gt;=30,$AT$3&lt;=CK$7),ROUND(CK73*($AP$3+#REF!),-1),""))</f>
        <v/>
      </c>
      <c r="CM73" s="502"/>
      <c r="CN73" s="503" t="str">
        <f>IF($G73="","",IF(AND($G73&gt;=30,$AT$3&lt;=CM$7),ROUND(CM73*($AP$3+#REF!),-1),""))</f>
        <v/>
      </c>
      <c r="CO73" s="503"/>
      <c r="CP73" s="503" t="str">
        <f>IF($G73="","",IF(AND($G73&gt;=30,$AT$3&lt;=CO$7),ROUND(CO73*($AP$3+#REF!),-1),""))</f>
        <v/>
      </c>
      <c r="CQ73" s="502"/>
      <c r="CR73" s="503" t="str">
        <f>IF($G73="","",IF(AND($G73&gt;=30,$AT$3&lt;=CQ$7),ROUND(CQ73*($AP$3+#REF!),-1),""))</f>
        <v/>
      </c>
      <c r="CS73" s="503"/>
      <c r="CT73" s="503" t="str">
        <f>IF($G73="","",IF(AND($G73&gt;=30,$AT$3&lt;=CS$7),ROUND(CS73*($AP$3+#REF!),-1),""))</f>
        <v/>
      </c>
      <c r="CU73" s="502"/>
      <c r="CV73" s="503" t="str">
        <f>IF($G73="","",IF(AND($G73&gt;=30,$AT$3&lt;=CU$7),ROUND(CU73*($AP$3+#REF!),-1),""))</f>
        <v/>
      </c>
      <c r="CW73" s="503"/>
      <c r="CX73" s="503" t="str">
        <f>IF($G73="","",IF(AND($G73&gt;=30,$AT$3&lt;=CW$7),ROUND(CW73*($AP$3+#REF!),-1),""))</f>
        <v/>
      </c>
      <c r="CY73" s="502"/>
      <c r="CZ73" s="503" t="str">
        <f>IF($G73="","",IF(AND($G73&gt;=30,$AT$3&lt;=CY$7),ROUND(CY73*($AP$3+#REF!),-1),""))</f>
        <v/>
      </c>
      <c r="DA73" s="503"/>
      <c r="DB73" s="503" t="str">
        <f>IF($G73="","",IF(AND($G73&gt;=30,$AT$3&lt;=DA$7),ROUND(DA73*($AP$3+#REF!),-1),""))</f>
        <v/>
      </c>
      <c r="DC73" s="502"/>
      <c r="DD73" s="503" t="str">
        <f>IF($G73="","",IF(AND($G73&gt;=30,$AT$3&lt;=DC$7),ROUND(DC73*($AP$3+#REF!),-1),""))</f>
        <v/>
      </c>
      <c r="DE73" s="503"/>
      <c r="DF73" s="503" t="str">
        <f>IF($G73="","",IF(AND($G73&gt;=30,$AT$3&lt;=DE$7),ROUND(DE73*($AP$3+#REF!),-1),""))</f>
        <v/>
      </c>
      <c r="DG73" s="503"/>
      <c r="DH73" s="503" t="str">
        <f>IF($G73="","",IF(AND($G73&gt;=30,$AT$3&lt;=DG$7),ROUND(DG73*($AP$3+#REF!),-1),""))</f>
        <v/>
      </c>
      <c r="DI73" s="503"/>
      <c r="DJ73" s="503" t="str">
        <f>IF($G73="","",IF(AND($G73&gt;=30,$AT$3&lt;=DI$7),ROUND(DI73*($AP$3+#REF!),-1),""))</f>
        <v/>
      </c>
      <c r="DK73" s="503"/>
      <c r="DL73" s="503" t="str">
        <f>IF($G73="","",IF(AND($G73&gt;=30,$AT$3&lt;=DK$7),ROUND(DK73*($AP$3+#REF!),-1),""))</f>
        <v/>
      </c>
      <c r="DM73" s="503"/>
      <c r="DN73" s="503" t="str">
        <f>IF($G73="","",IF(AND($G73&gt;=30,$AT$3&lt;=DM$7),ROUND(DM73*($AP$3+#REF!),-1),""))</f>
        <v/>
      </c>
      <c r="DO73" s="503"/>
      <c r="DP73" s="503" t="str">
        <f>IF($G73="","",IF(AND($G73&gt;=30,$AT$3&lt;=DO$7),ROUND(DO73*($AP$3+#REF!),-1),""))</f>
        <v/>
      </c>
      <c r="DQ73" s="503"/>
      <c r="DR73" s="503" t="str">
        <f>IF($G73="","",IF(AND($G73&gt;=30,$AT$3&lt;=DQ$7),ROUND(DQ73*($AP$3+#REF!),-1),""))</f>
        <v/>
      </c>
      <c r="DS73" s="503"/>
      <c r="DT73" s="503" t="str">
        <f>IF($G73="","",IF(AND($G73&gt;=30,$AT$3&lt;=DS$7),ROUND(DS73*($AP$3+#REF!),-1),""))</f>
        <v/>
      </c>
      <c r="DU73" s="503"/>
      <c r="DV73" s="503" t="str">
        <f>IF($G73="","",IF(AND($G73&gt;=30,$AT$3&lt;=DU$7),ROUND(DU73*($AP$3+#REF!),-1),""))</f>
        <v/>
      </c>
      <c r="DW73" s="503"/>
      <c r="DX73" s="503" t="str">
        <f>IF($G73="","",IF(AND($G73&gt;=30,$AT$3&lt;=DW$7),ROUND(DW73*($AP$3+#REF!),-1),""))</f>
        <v/>
      </c>
      <c r="DY73" s="503"/>
      <c r="DZ73" s="503" t="str">
        <f>IF($G73="","",IF(AND($G73&gt;=30,$AT$3&lt;=DY$7),ROUND(DY73*($AP$3+#REF!),-1),""))</f>
        <v/>
      </c>
      <c r="EA73" s="503"/>
      <c r="EB73" s="503" t="str">
        <f>IF($G73="","",IF(AND($G73&gt;=30,$AT$3&lt;=EA$7),ROUND(EA73*($AP$3+#REF!),-1),""))</f>
        <v/>
      </c>
      <c r="EC73" s="504" t="s">
        <v>621</v>
      </c>
      <c r="ED73" s="1126"/>
      <c r="EE73" s="325">
        <v>5</v>
      </c>
      <c r="EG73" s="347"/>
      <c r="EH73" s="347"/>
      <c r="EI73" s="347"/>
      <c r="EJ73" s="347"/>
      <c r="EK73" s="347"/>
      <c r="EL73" s="347"/>
      <c r="EM73" s="347"/>
      <c r="EN73" s="347"/>
      <c r="EO73" s="347"/>
      <c r="EP73" s="347"/>
      <c r="EQ73" s="347"/>
      <c r="ER73" s="347"/>
      <c r="ES73" s="347"/>
      <c r="ET73" s="347"/>
      <c r="EU73" s="347"/>
      <c r="EV73" s="347"/>
      <c r="EW73" s="347"/>
      <c r="EX73" s="347"/>
      <c r="EY73" s="347"/>
      <c r="EZ73" s="347"/>
      <c r="FA73" s="347"/>
      <c r="FB73" s="347"/>
      <c r="FC73" s="347"/>
      <c r="FD73" s="347"/>
      <c r="FE73" s="347"/>
      <c r="FF73" s="347"/>
      <c r="FG73" s="347"/>
      <c r="FH73" s="347"/>
      <c r="FI73" s="347"/>
      <c r="FJ73" s="347"/>
      <c r="FK73" s="347"/>
      <c r="FL73" s="347"/>
    </row>
    <row r="74" spans="1:168" ht="9.75" customHeight="1">
      <c r="A74" s="321" t="str">
        <f t="shared" si="21"/>
        <v/>
      </c>
      <c r="B74" s="567" t="e">
        <f>(ii!$D$13*12+V74)+1</f>
        <v>#REF!</v>
      </c>
      <c r="C74" s="337">
        <f t="shared" si="8"/>
        <v>44377</v>
      </c>
      <c r="D74" s="484">
        <f t="shared" si="25"/>
        <v>2021</v>
      </c>
      <c r="E74" s="484">
        <f t="shared" si="26"/>
        <v>0.5</v>
      </c>
      <c r="F74" s="484">
        <f t="shared" si="27"/>
        <v>2021.5</v>
      </c>
      <c r="G74" s="485" t="str">
        <f>IF(OR(C74&lt;$I$2,C74&gt;$J$3),"",(ii!$D$13*12+V74+1)/12)</f>
        <v/>
      </c>
      <c r="H74" s="486"/>
      <c r="I74" s="486"/>
      <c r="J74" s="487"/>
      <c r="K74" s="488"/>
      <c r="L74" s="548"/>
      <c r="M74" s="489" t="str">
        <f t="shared" si="12"/>
        <v/>
      </c>
      <c r="N74" s="490" t="s">
        <v>621</v>
      </c>
      <c r="O74" s="490" t="str">
        <f t="shared" si="28"/>
        <v/>
      </c>
      <c r="P74" s="491"/>
      <c r="Q74" s="491"/>
      <c r="R74" s="491" t="str">
        <f t="shared" si="29"/>
        <v/>
      </c>
      <c r="S74" s="528" t="str">
        <f t="shared" si="24"/>
        <v/>
      </c>
      <c r="T74" s="528" t="str">
        <f t="shared" si="23"/>
        <v/>
      </c>
      <c r="U74" s="493" t="str">
        <f>IF(H74="","",#REF!*12+#REF!+#REF!*12+#REF!)</f>
        <v/>
      </c>
      <c r="V74" s="338" t="e">
        <f>IF(ii!$J$3&gt;gg!C74,"",IF(AND((YEAR(C74)=YEAR($I$2)),MONTH(C74)=MONTH($I$2)),ii!$B$14*12+ii!$C$14+ii!$B$15*12+ii!$C$15-1,V73+1))</f>
        <v>#REF!</v>
      </c>
      <c r="W74" s="339" t="e">
        <f t="shared" si="10"/>
        <v>#REF!</v>
      </c>
      <c r="X74" s="494" t="s">
        <v>621</v>
      </c>
      <c r="Y74" s="495" t="s">
        <v>621</v>
      </c>
      <c r="Z74" s="496"/>
      <c r="AA74" s="497"/>
      <c r="AB74" s="498" t="str">
        <f t="shared" si="19"/>
        <v/>
      </c>
      <c r="AC74" s="484" t="str">
        <f t="shared" si="15"/>
        <v/>
      </c>
      <c r="AD74" s="495" t="str">
        <f t="shared" si="16"/>
        <v/>
      </c>
      <c r="AE74" s="499" t="s">
        <v>621</v>
      </c>
      <c r="AF74" s="500" t="s">
        <v>621</v>
      </c>
      <c r="AG74" s="556" t="s">
        <v>621</v>
      </c>
      <c r="AH74" s="503" t="str">
        <f>IF($G74="","",IF(AND($G74&gt;=30,$AT$3&lt;=AG$7),ROUND(AG74*($AP$3+#REF!),-1),""))</f>
        <v/>
      </c>
      <c r="AI74" s="506" t="s">
        <v>621</v>
      </c>
      <c r="AJ74" s="503" t="str">
        <f>IF($G74="","",IF(AND($G74&gt;=30,$AT$3&lt;=AI$7),ROUND(AI74*($AP$3+#REF!),-1),""))</f>
        <v/>
      </c>
      <c r="AK74" s="506" t="s">
        <v>621</v>
      </c>
      <c r="AL74" s="503" t="str">
        <f>IF($G74="","",IF(AND($G74&gt;=30,$AT$3&lt;=AK$7),ROUND(AK74*($AP$3+#REF!),-1),""))</f>
        <v/>
      </c>
      <c r="AM74" s="506" t="s">
        <v>621</v>
      </c>
      <c r="AN74" s="503" t="str">
        <f>IF($G74="","",IF(AND($G74&gt;=30,$AT$3&lt;=AM$7),ROUND(AM74*($AP$3+#REF!),-1),""))</f>
        <v/>
      </c>
      <c r="AO74" s="503" t="e">
        <v>#REF!</v>
      </c>
      <c r="AP74" s="503" t="str">
        <f>IF($G74="","",IF(AND($G74&gt;=30,$AT$3&lt;=AO$7),ROUND(AO74*($AP$3+#REF!),-1),""))</f>
        <v/>
      </c>
      <c r="AQ74" s="517" t="e">
        <v>#REF!</v>
      </c>
      <c r="AR74" s="503" t="str">
        <f>IF($G74="","",IF(AND($G74&gt;=30,$AT$3&lt;=AQ$7),ROUND(AQ74*($AP$3+#REF!),-1),""))</f>
        <v/>
      </c>
      <c r="AS74" s="503"/>
      <c r="AT74" s="503" t="str">
        <f>IF($G74="","",IF(AND($G74&gt;=30,$AT$3&lt;=AS$7),ROUND(AS74*($AP$3+#REF!),-1),""))</f>
        <v/>
      </c>
      <c r="AU74" s="502"/>
      <c r="AV74" s="503" t="str">
        <f>IF($G74="","",IF(AND($G74&gt;=30,$AT$3&lt;=AU$7),ROUND(AU74*($AP$3+#REF!),-1),""))</f>
        <v/>
      </c>
      <c r="AW74" s="503"/>
      <c r="AX74" s="503" t="str">
        <f>IF($G74="","",IF(AND($G74&gt;=30,$AT$3&lt;=AW$7),ROUND(AW74*($AP$3+#REF!),-1),""))</f>
        <v/>
      </c>
      <c r="AY74" s="502"/>
      <c r="AZ74" s="503" t="str">
        <f>IF($G74="","",IF(AND($G74&gt;=30,$AT$3&lt;=AY$7),ROUND(AY74*($AP$3+#REF!),-1),""))</f>
        <v/>
      </c>
      <c r="BA74" s="503"/>
      <c r="BB74" s="503" t="str">
        <f>IF($G74="","",IF(AND($G74&gt;=30,$AT$3&lt;=BA$7),ROUND(BA74*($AP$3+#REF!),-1),""))</f>
        <v/>
      </c>
      <c r="BC74" s="502"/>
      <c r="BD74" s="503" t="str">
        <f>IF($G74="","",IF(AND($G74&gt;=30,$AT$3&lt;=BC$7),ROUND(BC74*($AP$3+#REF!),-1),""))</f>
        <v/>
      </c>
      <c r="BE74" s="503"/>
      <c r="BF74" s="503" t="str">
        <f>IF($G74="","",IF(AND($G74&gt;=30,$AT$3&lt;=BE$7),ROUND(BE74*($AP$3+#REF!),-1),""))</f>
        <v/>
      </c>
      <c r="BG74" s="502"/>
      <c r="BH74" s="503" t="str">
        <f>IF($G74="","",IF(AND($G74&gt;=30,$AT$3&lt;=BG$7),ROUND(BG74*($AP$3+#REF!),-1),""))</f>
        <v/>
      </c>
      <c r="BI74" s="503"/>
      <c r="BJ74" s="503" t="str">
        <f>IF($G74="","",IF(AND($G74&gt;=30,$AT$3&lt;=BI$7),ROUND(BI74*($AP$3+#REF!),-1),""))</f>
        <v/>
      </c>
      <c r="BK74" s="502"/>
      <c r="BL74" s="503" t="str">
        <f>IF($G74="","",IF(AND($G74&gt;=30,$AT$3&lt;=BK$7),ROUND(BK74*($AP$3+#REF!),-1),""))</f>
        <v/>
      </c>
      <c r="BM74" s="503"/>
      <c r="BN74" s="503" t="str">
        <f>IF($G74="","",IF(AND($G74&gt;=30,$AT$3&lt;=BM$7),ROUND(BM74*($AP$3+#REF!),-1),""))</f>
        <v/>
      </c>
      <c r="BO74" s="502"/>
      <c r="BP74" s="503" t="str">
        <f>IF($G74="","",IF(AND($G74&gt;=30,$AT$3&lt;=BO$7),ROUND(BO74*($AP$3+#REF!),-1),""))</f>
        <v/>
      </c>
      <c r="BQ74" s="503"/>
      <c r="BR74" s="503" t="str">
        <f>IF($G74="","",IF(AND($G74&gt;=30,$AT$3&lt;=BQ$7),ROUND(BQ74*($AP$3+#REF!),-1),""))</f>
        <v/>
      </c>
      <c r="BS74" s="502"/>
      <c r="BT74" s="503" t="str">
        <f>IF($G74="","",IF(AND($G74&gt;=30,$AT$3&lt;=BS$7),ROUND(BS74*($AP$3+#REF!),-1),""))</f>
        <v/>
      </c>
      <c r="BU74" s="503"/>
      <c r="BV74" s="503" t="str">
        <f>IF($G74="","",IF(AND($G74&gt;=30,$AT$3&lt;=BU$7),ROUND(BU74*($AP$3+#REF!),-1),""))</f>
        <v/>
      </c>
      <c r="BW74" s="502"/>
      <c r="BX74" s="503" t="str">
        <f>IF($G74="","",IF(AND($G74&gt;=30,$AT$3&lt;=BW$7),ROUND(BW74*($AP$3+#REF!),-1),""))</f>
        <v/>
      </c>
      <c r="BY74" s="503"/>
      <c r="BZ74" s="503" t="str">
        <f>IF($G74="","",IF(AND($G74&gt;=30,$AT$3&lt;=BY$7),ROUND(BY74*($AP$3+#REF!),-1),""))</f>
        <v/>
      </c>
      <c r="CA74" s="502"/>
      <c r="CB74" s="503" t="str">
        <f>IF($G74="","",IF(AND($G74&gt;=30,$AT$3&lt;=CA$7),ROUND(CA74*($AP$3+#REF!),-1),""))</f>
        <v/>
      </c>
      <c r="CC74" s="503"/>
      <c r="CD74" s="503" t="str">
        <f>IF($G74="","",IF(AND($G74&gt;=30,$AT$3&lt;=CC$7),ROUND(CC74*($AP$3+#REF!),-1),""))</f>
        <v/>
      </c>
      <c r="CE74" s="502"/>
      <c r="CF74" s="503" t="str">
        <f>IF($G74="","",IF(AND($G74&gt;=30,$AT$3&lt;=CE$7),ROUND(CE74*($AP$3+#REF!),-1),""))</f>
        <v/>
      </c>
      <c r="CG74" s="503"/>
      <c r="CH74" s="503" t="str">
        <f>IF($G74="","",IF(AND($G74&gt;=30,$AT$3&lt;=CG$7),ROUND(CG74*($AP$3+#REF!),-1),""))</f>
        <v/>
      </c>
      <c r="CI74" s="502"/>
      <c r="CJ74" s="503" t="str">
        <f>IF($G74="","",IF(AND($G74&gt;=30,$AT$3&lt;=CI$7),ROUND(CI74*($AP$3+#REF!),-1),""))</f>
        <v/>
      </c>
      <c r="CK74" s="503"/>
      <c r="CL74" s="503" t="str">
        <f>IF($G74="","",IF(AND($G74&gt;=30,$AT$3&lt;=CK$7),ROUND(CK74*($AP$3+#REF!),-1),""))</f>
        <v/>
      </c>
      <c r="CM74" s="502"/>
      <c r="CN74" s="503" t="str">
        <f>IF($G74="","",IF(AND($G74&gt;=30,$AT$3&lt;=CM$7),ROUND(CM74*($AP$3+#REF!),-1),""))</f>
        <v/>
      </c>
      <c r="CO74" s="503"/>
      <c r="CP74" s="503" t="str">
        <f>IF($G74="","",IF(AND($G74&gt;=30,$AT$3&lt;=CO$7),ROUND(CO74*($AP$3+#REF!),-1),""))</f>
        <v/>
      </c>
      <c r="CQ74" s="502"/>
      <c r="CR74" s="503" t="str">
        <f>IF($G74="","",IF(AND($G74&gt;=30,$AT$3&lt;=CQ$7),ROUND(CQ74*($AP$3+#REF!),-1),""))</f>
        <v/>
      </c>
      <c r="CS74" s="503"/>
      <c r="CT74" s="503" t="str">
        <f>IF($G74="","",IF(AND($G74&gt;=30,$AT$3&lt;=CS$7),ROUND(CS74*($AP$3+#REF!),-1),""))</f>
        <v/>
      </c>
      <c r="CU74" s="502"/>
      <c r="CV74" s="503" t="str">
        <f>IF($G74="","",IF(AND($G74&gt;=30,$AT$3&lt;=CU$7),ROUND(CU74*($AP$3+#REF!),-1),""))</f>
        <v/>
      </c>
      <c r="CW74" s="503"/>
      <c r="CX74" s="503" t="str">
        <f>IF($G74="","",IF(AND($G74&gt;=30,$AT$3&lt;=CW$7),ROUND(CW74*($AP$3+#REF!),-1),""))</f>
        <v/>
      </c>
      <c r="CY74" s="502"/>
      <c r="CZ74" s="503" t="str">
        <f>IF($G74="","",IF(AND($G74&gt;=30,$AT$3&lt;=CY$7),ROUND(CY74*($AP$3+#REF!),-1),""))</f>
        <v/>
      </c>
      <c r="DA74" s="503"/>
      <c r="DB74" s="503" t="str">
        <f>IF($G74="","",IF(AND($G74&gt;=30,$AT$3&lt;=DA$7),ROUND(DA74*($AP$3+#REF!),-1),""))</f>
        <v/>
      </c>
      <c r="DC74" s="502"/>
      <c r="DD74" s="503" t="str">
        <f>IF($G74="","",IF(AND($G74&gt;=30,$AT$3&lt;=DC$7),ROUND(DC74*($AP$3+#REF!),-1),""))</f>
        <v/>
      </c>
      <c r="DE74" s="503"/>
      <c r="DF74" s="503" t="str">
        <f>IF($G74="","",IF(AND($G74&gt;=30,$AT$3&lt;=DE$7),ROUND(DE74*($AP$3+#REF!),-1),""))</f>
        <v/>
      </c>
      <c r="DG74" s="503"/>
      <c r="DH74" s="503" t="str">
        <f>IF($G74="","",IF(AND($G74&gt;=30,$AT$3&lt;=DG$7),ROUND(DG74*($AP$3+#REF!),-1),""))</f>
        <v/>
      </c>
      <c r="DI74" s="503"/>
      <c r="DJ74" s="503" t="str">
        <f>IF($G74="","",IF(AND($G74&gt;=30,$AT$3&lt;=DI$7),ROUND(DI74*($AP$3+#REF!),-1),""))</f>
        <v/>
      </c>
      <c r="DK74" s="503"/>
      <c r="DL74" s="503" t="str">
        <f>IF($G74="","",IF(AND($G74&gt;=30,$AT$3&lt;=DK$7),ROUND(DK74*($AP$3+#REF!),-1),""))</f>
        <v/>
      </c>
      <c r="DM74" s="503"/>
      <c r="DN74" s="503" t="str">
        <f>IF($G74="","",IF(AND($G74&gt;=30,$AT$3&lt;=DM$7),ROUND(DM74*($AP$3+#REF!),-1),""))</f>
        <v/>
      </c>
      <c r="DO74" s="503"/>
      <c r="DP74" s="503" t="str">
        <f>IF($G74="","",IF(AND($G74&gt;=30,$AT$3&lt;=DO$7),ROUND(DO74*($AP$3+#REF!),-1),""))</f>
        <v/>
      </c>
      <c r="DQ74" s="503"/>
      <c r="DR74" s="503" t="str">
        <f>IF($G74="","",IF(AND($G74&gt;=30,$AT$3&lt;=DQ$7),ROUND(DQ74*($AP$3+#REF!),-1),""))</f>
        <v/>
      </c>
      <c r="DS74" s="503"/>
      <c r="DT74" s="503" t="str">
        <f>IF($G74="","",IF(AND($G74&gt;=30,$AT$3&lt;=DS$7),ROUND(DS74*($AP$3+#REF!),-1),""))</f>
        <v/>
      </c>
      <c r="DU74" s="503"/>
      <c r="DV74" s="503" t="str">
        <f>IF($G74="","",IF(AND($G74&gt;=30,$AT$3&lt;=DU$7),ROUND(DU74*($AP$3+#REF!),-1),""))</f>
        <v/>
      </c>
      <c r="DW74" s="503"/>
      <c r="DX74" s="503" t="str">
        <f>IF($G74="","",IF(AND($G74&gt;=30,$AT$3&lt;=DW$7),ROUND(DW74*($AP$3+#REF!),-1),""))</f>
        <v/>
      </c>
      <c r="DY74" s="503"/>
      <c r="DZ74" s="503" t="str">
        <f>IF($G74="","",IF(AND($G74&gt;=30,$AT$3&lt;=DY$7),ROUND(DY74*($AP$3+#REF!),-1),""))</f>
        <v/>
      </c>
      <c r="EA74" s="503"/>
      <c r="EB74" s="503" t="str">
        <f>IF($G74="","",IF(AND($G74&gt;=30,$AT$3&lt;=EA$7),ROUND(EA74*($AP$3+#REF!),-1),""))</f>
        <v/>
      </c>
      <c r="EC74" s="504" t="s">
        <v>621</v>
      </c>
      <c r="ED74" s="1126"/>
      <c r="EE74" s="325">
        <v>6</v>
      </c>
      <c r="EG74" s="347"/>
      <c r="EH74" s="347"/>
      <c r="EI74" s="347"/>
      <c r="EJ74" s="347"/>
      <c r="EK74" s="347"/>
      <c r="EL74" s="347"/>
      <c r="EM74" s="347"/>
      <c r="EN74" s="347"/>
      <c r="EO74" s="347"/>
      <c r="EP74" s="347"/>
      <c r="EQ74" s="347"/>
      <c r="ER74" s="347"/>
      <c r="ES74" s="347"/>
      <c r="ET74" s="347"/>
      <c r="EU74" s="347"/>
      <c r="EV74" s="347"/>
      <c r="EW74" s="347"/>
      <c r="EX74" s="347"/>
      <c r="EY74" s="347"/>
      <c r="EZ74" s="347"/>
      <c r="FA74" s="347"/>
      <c r="FB74" s="347"/>
      <c r="FC74" s="347"/>
      <c r="FD74" s="347"/>
      <c r="FE74" s="347"/>
      <c r="FF74" s="347"/>
      <c r="FG74" s="347"/>
      <c r="FH74" s="347"/>
      <c r="FI74" s="347"/>
      <c r="FJ74" s="347"/>
      <c r="FK74" s="347"/>
      <c r="FL74" s="347"/>
    </row>
    <row r="75" spans="1:168" ht="9.75" customHeight="1">
      <c r="A75" s="321" t="str">
        <f t="shared" si="21"/>
        <v/>
      </c>
      <c r="B75" s="567" t="e">
        <f>(ii!$D$13*12+V75)+1</f>
        <v>#REF!</v>
      </c>
      <c r="C75" s="337">
        <f t="shared" ref="C75:C138" si="30">EOMONTH(C74,1)</f>
        <v>44408</v>
      </c>
      <c r="D75" s="484">
        <f t="shared" si="25"/>
        <v>2021</v>
      </c>
      <c r="E75" s="484">
        <f t="shared" si="26"/>
        <v>0.58333333333333337</v>
      </c>
      <c r="F75" s="484">
        <f t="shared" si="27"/>
        <v>2021.5833333333333</v>
      </c>
      <c r="G75" s="485" t="str">
        <f>IF(OR(C75&lt;$I$2,C75&gt;$J$3),"",(ii!$D$13*12+V75+1)/12)</f>
        <v/>
      </c>
      <c r="H75" s="486"/>
      <c r="I75" s="486"/>
      <c r="J75" s="487"/>
      <c r="K75" s="488"/>
      <c r="L75" s="548"/>
      <c r="M75" s="489" t="str">
        <f t="shared" si="12"/>
        <v/>
      </c>
      <c r="N75" s="490" t="s">
        <v>621</v>
      </c>
      <c r="O75" s="490" t="str">
        <f t="shared" si="28"/>
        <v/>
      </c>
      <c r="P75" s="491"/>
      <c r="Q75" s="491"/>
      <c r="R75" s="491" t="str">
        <f t="shared" si="29"/>
        <v/>
      </c>
      <c r="S75" s="528" t="str">
        <f t="shared" si="24"/>
        <v/>
      </c>
      <c r="T75" s="528" t="str">
        <f t="shared" si="23"/>
        <v/>
      </c>
      <c r="U75" s="493" t="str">
        <f>IF(H75="","",#REF!*12+#REF!+#REF!*12+#REF!)</f>
        <v/>
      </c>
      <c r="V75" s="338" t="e">
        <f>IF(ii!$J$3&gt;gg!C75,"",IF(AND((YEAR(C75)=YEAR($I$2)),MONTH(C75)=MONTH($I$2)),ii!$B$14*12+ii!$C$14+ii!$B$15*12+ii!$C$15-1,V74+1))</f>
        <v>#REF!</v>
      </c>
      <c r="W75" s="339" t="e">
        <f t="shared" si="10"/>
        <v>#REF!</v>
      </c>
      <c r="X75" s="494" t="s">
        <v>621</v>
      </c>
      <c r="Y75" s="495" t="s">
        <v>621</v>
      </c>
      <c r="Z75" s="496"/>
      <c r="AA75" s="497"/>
      <c r="AB75" s="498" t="str">
        <f t="shared" si="19"/>
        <v/>
      </c>
      <c r="AC75" s="484" t="str">
        <f t="shared" si="15"/>
        <v/>
      </c>
      <c r="AD75" s="495" t="str">
        <f t="shared" si="16"/>
        <v/>
      </c>
      <c r="AE75" s="499" t="s">
        <v>621</v>
      </c>
      <c r="AF75" s="500" t="s">
        <v>621</v>
      </c>
      <c r="AG75" s="556" t="s">
        <v>621</v>
      </c>
      <c r="AH75" s="503" t="str">
        <f>IF($G75="","",IF(AND($G75&gt;=30,$AT$3&lt;=AG$7),ROUND(AG75*($AP$3+#REF!),-1),""))</f>
        <v/>
      </c>
      <c r="AI75" s="506" t="s">
        <v>621</v>
      </c>
      <c r="AJ75" s="503" t="str">
        <f>IF($G75="","",IF(AND($G75&gt;=30,$AT$3&lt;=AI$7),ROUND(AI75*($AP$3+#REF!),-1),""))</f>
        <v/>
      </c>
      <c r="AK75" s="506" t="s">
        <v>621</v>
      </c>
      <c r="AL75" s="503" t="str">
        <f>IF($G75="","",IF(AND($G75&gt;=30,$AT$3&lt;=AK$7),ROUND(AK75*($AP$3+#REF!),-1),""))</f>
        <v/>
      </c>
      <c r="AM75" s="506" t="s">
        <v>621</v>
      </c>
      <c r="AN75" s="503" t="str">
        <f>IF($G75="","",IF(AND($G75&gt;=30,$AT$3&lt;=AM$7),ROUND(AM75*($AP$3+#REF!),-1),""))</f>
        <v/>
      </c>
      <c r="AO75" s="503" t="e">
        <v>#REF!</v>
      </c>
      <c r="AP75" s="503" t="str">
        <f>IF($G75="","",IF(AND($G75&gt;=30,$AT$3&lt;=AO$7),ROUND(AO75*($AP$3+#REF!),-1),""))</f>
        <v/>
      </c>
      <c r="AQ75" s="517" t="e">
        <v>#REF!</v>
      </c>
      <c r="AR75" s="503" t="str">
        <f>IF($G75="","",IF(AND($G75&gt;=30,$AT$3&lt;=AQ$7),ROUND(AQ75*($AP$3+#REF!),-1),""))</f>
        <v/>
      </c>
      <c r="AS75" s="503"/>
      <c r="AT75" s="503" t="str">
        <f>IF($G75="","",IF(AND($G75&gt;=30,$AT$3&lt;=AS$7),ROUND(AS75*($AP$3+#REF!),-1),""))</f>
        <v/>
      </c>
      <c r="AU75" s="502"/>
      <c r="AV75" s="503" t="str">
        <f>IF($G75="","",IF(AND($G75&gt;=30,$AT$3&lt;=AU$7),ROUND(AU75*($AP$3+#REF!),-1),""))</f>
        <v/>
      </c>
      <c r="AW75" s="503"/>
      <c r="AX75" s="503" t="str">
        <f>IF($G75="","",IF(AND($G75&gt;=30,$AT$3&lt;=AW$7),ROUND(AW75*($AP$3+#REF!),-1),""))</f>
        <v/>
      </c>
      <c r="AY75" s="502"/>
      <c r="AZ75" s="503" t="str">
        <f>IF($G75="","",IF(AND($G75&gt;=30,$AT$3&lt;=AY$7),ROUND(AY75*($AP$3+#REF!),-1),""))</f>
        <v/>
      </c>
      <c r="BA75" s="503"/>
      <c r="BB75" s="503" t="str">
        <f>IF($G75="","",IF(AND($G75&gt;=30,$AT$3&lt;=BA$7),ROUND(BA75*($AP$3+#REF!),-1),""))</f>
        <v/>
      </c>
      <c r="BC75" s="502"/>
      <c r="BD75" s="503" t="str">
        <f>IF($G75="","",IF(AND($G75&gt;=30,$AT$3&lt;=BC$7),ROUND(BC75*($AP$3+#REF!),-1),""))</f>
        <v/>
      </c>
      <c r="BE75" s="503"/>
      <c r="BF75" s="503" t="str">
        <f>IF($G75="","",IF(AND($G75&gt;=30,$AT$3&lt;=BE$7),ROUND(BE75*($AP$3+#REF!),-1),""))</f>
        <v/>
      </c>
      <c r="BG75" s="502"/>
      <c r="BH75" s="503" t="str">
        <f>IF($G75="","",IF(AND($G75&gt;=30,$AT$3&lt;=BG$7),ROUND(BG75*($AP$3+#REF!),-1),""))</f>
        <v/>
      </c>
      <c r="BI75" s="503"/>
      <c r="BJ75" s="503" t="str">
        <f>IF($G75="","",IF(AND($G75&gt;=30,$AT$3&lt;=BI$7),ROUND(BI75*($AP$3+#REF!),-1),""))</f>
        <v/>
      </c>
      <c r="BK75" s="502"/>
      <c r="BL75" s="503" t="str">
        <f>IF($G75="","",IF(AND($G75&gt;=30,$AT$3&lt;=BK$7),ROUND(BK75*($AP$3+#REF!),-1),""))</f>
        <v/>
      </c>
      <c r="BM75" s="503"/>
      <c r="BN75" s="503" t="str">
        <f>IF($G75="","",IF(AND($G75&gt;=30,$AT$3&lt;=BM$7),ROUND(BM75*($AP$3+#REF!),-1),""))</f>
        <v/>
      </c>
      <c r="BO75" s="502"/>
      <c r="BP75" s="503" t="str">
        <f>IF($G75="","",IF(AND($G75&gt;=30,$AT$3&lt;=BO$7),ROUND(BO75*($AP$3+#REF!),-1),""))</f>
        <v/>
      </c>
      <c r="BQ75" s="503"/>
      <c r="BR75" s="503" t="str">
        <f>IF($G75="","",IF(AND($G75&gt;=30,$AT$3&lt;=BQ$7),ROUND(BQ75*($AP$3+#REF!),-1),""))</f>
        <v/>
      </c>
      <c r="BS75" s="502"/>
      <c r="BT75" s="503" t="str">
        <f>IF($G75="","",IF(AND($G75&gt;=30,$AT$3&lt;=BS$7),ROUND(BS75*($AP$3+#REF!),-1),""))</f>
        <v/>
      </c>
      <c r="BU75" s="503"/>
      <c r="BV75" s="503" t="str">
        <f>IF($G75="","",IF(AND($G75&gt;=30,$AT$3&lt;=BU$7),ROUND(BU75*($AP$3+#REF!),-1),""))</f>
        <v/>
      </c>
      <c r="BW75" s="502"/>
      <c r="BX75" s="503" t="str">
        <f>IF($G75="","",IF(AND($G75&gt;=30,$AT$3&lt;=BW$7),ROUND(BW75*($AP$3+#REF!),-1),""))</f>
        <v/>
      </c>
      <c r="BY75" s="503"/>
      <c r="BZ75" s="503" t="str">
        <f>IF($G75="","",IF(AND($G75&gt;=30,$AT$3&lt;=BY$7),ROUND(BY75*($AP$3+#REF!),-1),""))</f>
        <v/>
      </c>
      <c r="CA75" s="502"/>
      <c r="CB75" s="503" t="str">
        <f>IF($G75="","",IF(AND($G75&gt;=30,$AT$3&lt;=CA$7),ROUND(CA75*($AP$3+#REF!),-1),""))</f>
        <v/>
      </c>
      <c r="CC75" s="503"/>
      <c r="CD75" s="503" t="str">
        <f>IF($G75="","",IF(AND($G75&gt;=30,$AT$3&lt;=CC$7),ROUND(CC75*($AP$3+#REF!),-1),""))</f>
        <v/>
      </c>
      <c r="CE75" s="502"/>
      <c r="CF75" s="503" t="str">
        <f>IF($G75="","",IF(AND($G75&gt;=30,$AT$3&lt;=CE$7),ROUND(CE75*($AP$3+#REF!),-1),""))</f>
        <v/>
      </c>
      <c r="CG75" s="503"/>
      <c r="CH75" s="503" t="str">
        <f>IF($G75="","",IF(AND($G75&gt;=30,$AT$3&lt;=CG$7),ROUND(CG75*($AP$3+#REF!),-1),""))</f>
        <v/>
      </c>
      <c r="CI75" s="502"/>
      <c r="CJ75" s="503" t="str">
        <f>IF($G75="","",IF(AND($G75&gt;=30,$AT$3&lt;=CI$7),ROUND(CI75*($AP$3+#REF!),-1),""))</f>
        <v/>
      </c>
      <c r="CK75" s="503"/>
      <c r="CL75" s="503" t="str">
        <f>IF($G75="","",IF(AND($G75&gt;=30,$AT$3&lt;=CK$7),ROUND(CK75*($AP$3+#REF!),-1),""))</f>
        <v/>
      </c>
      <c r="CM75" s="502"/>
      <c r="CN75" s="503" t="str">
        <f>IF($G75="","",IF(AND($G75&gt;=30,$AT$3&lt;=CM$7),ROUND(CM75*($AP$3+#REF!),-1),""))</f>
        <v/>
      </c>
      <c r="CO75" s="503"/>
      <c r="CP75" s="503" t="str">
        <f>IF($G75="","",IF(AND($G75&gt;=30,$AT$3&lt;=CO$7),ROUND(CO75*($AP$3+#REF!),-1),""))</f>
        <v/>
      </c>
      <c r="CQ75" s="502"/>
      <c r="CR75" s="503" t="str">
        <f>IF($G75="","",IF(AND($G75&gt;=30,$AT$3&lt;=CQ$7),ROUND(CQ75*($AP$3+#REF!),-1),""))</f>
        <v/>
      </c>
      <c r="CS75" s="503"/>
      <c r="CT75" s="503" t="str">
        <f>IF($G75="","",IF(AND($G75&gt;=30,$AT$3&lt;=CS$7),ROUND(CS75*($AP$3+#REF!),-1),""))</f>
        <v/>
      </c>
      <c r="CU75" s="502"/>
      <c r="CV75" s="503" t="str">
        <f>IF($G75="","",IF(AND($G75&gt;=30,$AT$3&lt;=CU$7),ROUND(CU75*($AP$3+#REF!),-1),""))</f>
        <v/>
      </c>
      <c r="CW75" s="503"/>
      <c r="CX75" s="503" t="str">
        <f>IF($G75="","",IF(AND($G75&gt;=30,$AT$3&lt;=CW$7),ROUND(CW75*($AP$3+#REF!),-1),""))</f>
        <v/>
      </c>
      <c r="CY75" s="502"/>
      <c r="CZ75" s="503" t="str">
        <f>IF($G75="","",IF(AND($G75&gt;=30,$AT$3&lt;=CY$7),ROUND(CY75*($AP$3+#REF!),-1),""))</f>
        <v/>
      </c>
      <c r="DA75" s="503"/>
      <c r="DB75" s="503" t="str">
        <f>IF($G75="","",IF(AND($G75&gt;=30,$AT$3&lt;=DA$7),ROUND(DA75*($AP$3+#REF!),-1),""))</f>
        <v/>
      </c>
      <c r="DC75" s="502"/>
      <c r="DD75" s="503" t="str">
        <f>IF($G75="","",IF(AND($G75&gt;=30,$AT$3&lt;=DC$7),ROUND(DC75*($AP$3+#REF!),-1),""))</f>
        <v/>
      </c>
      <c r="DE75" s="503"/>
      <c r="DF75" s="503" t="str">
        <f>IF($G75="","",IF(AND($G75&gt;=30,$AT$3&lt;=DE$7),ROUND(DE75*($AP$3+#REF!),-1),""))</f>
        <v/>
      </c>
      <c r="DG75" s="503"/>
      <c r="DH75" s="503" t="str">
        <f>IF($G75="","",IF(AND($G75&gt;=30,$AT$3&lt;=DG$7),ROUND(DG75*($AP$3+#REF!),-1),""))</f>
        <v/>
      </c>
      <c r="DI75" s="503"/>
      <c r="DJ75" s="503" t="str">
        <f>IF($G75="","",IF(AND($G75&gt;=30,$AT$3&lt;=DI$7),ROUND(DI75*($AP$3+#REF!),-1),""))</f>
        <v/>
      </c>
      <c r="DK75" s="503"/>
      <c r="DL75" s="503" t="str">
        <f>IF($G75="","",IF(AND($G75&gt;=30,$AT$3&lt;=DK$7),ROUND(DK75*($AP$3+#REF!),-1),""))</f>
        <v/>
      </c>
      <c r="DM75" s="503"/>
      <c r="DN75" s="503" t="str">
        <f>IF($G75="","",IF(AND($G75&gt;=30,$AT$3&lt;=DM$7),ROUND(DM75*($AP$3+#REF!),-1),""))</f>
        <v/>
      </c>
      <c r="DO75" s="503"/>
      <c r="DP75" s="503" t="str">
        <f>IF($G75="","",IF(AND($G75&gt;=30,$AT$3&lt;=DO$7),ROUND(DO75*($AP$3+#REF!),-1),""))</f>
        <v/>
      </c>
      <c r="DQ75" s="503"/>
      <c r="DR75" s="503" t="str">
        <f>IF($G75="","",IF(AND($G75&gt;=30,$AT$3&lt;=DQ$7),ROUND(DQ75*($AP$3+#REF!),-1),""))</f>
        <v/>
      </c>
      <c r="DS75" s="503"/>
      <c r="DT75" s="503" t="str">
        <f>IF($G75="","",IF(AND($G75&gt;=30,$AT$3&lt;=DS$7),ROUND(DS75*($AP$3+#REF!),-1),""))</f>
        <v/>
      </c>
      <c r="DU75" s="503"/>
      <c r="DV75" s="503" t="str">
        <f>IF($G75="","",IF(AND($G75&gt;=30,$AT$3&lt;=DU$7),ROUND(DU75*($AP$3+#REF!),-1),""))</f>
        <v/>
      </c>
      <c r="DW75" s="503"/>
      <c r="DX75" s="503" t="str">
        <f>IF($G75="","",IF(AND($G75&gt;=30,$AT$3&lt;=DW$7),ROUND(DW75*($AP$3+#REF!),-1),""))</f>
        <v/>
      </c>
      <c r="DY75" s="503"/>
      <c r="DZ75" s="503" t="str">
        <f>IF($G75="","",IF(AND($G75&gt;=30,$AT$3&lt;=DY$7),ROUND(DY75*($AP$3+#REF!),-1),""))</f>
        <v/>
      </c>
      <c r="EA75" s="503"/>
      <c r="EB75" s="503" t="str">
        <f>IF($G75="","",IF(AND($G75&gt;=30,$AT$3&lt;=EA$7),ROUND(EA75*($AP$3+#REF!),-1),""))</f>
        <v/>
      </c>
      <c r="EC75" s="504" t="s">
        <v>621</v>
      </c>
      <c r="ED75" s="1126"/>
      <c r="EE75" s="325">
        <v>7</v>
      </c>
      <c r="EG75" s="347"/>
      <c r="EH75" s="347"/>
      <c r="EI75" s="347"/>
      <c r="EJ75" s="347"/>
      <c r="EK75" s="347"/>
      <c r="EL75" s="347"/>
      <c r="EM75" s="347"/>
      <c r="EN75" s="347"/>
      <c r="EO75" s="347"/>
      <c r="EP75" s="347"/>
      <c r="EQ75" s="347"/>
      <c r="ER75" s="347"/>
      <c r="ES75" s="347"/>
      <c r="ET75" s="347"/>
      <c r="EU75" s="347"/>
      <c r="EV75" s="347"/>
      <c r="EW75" s="347"/>
      <c r="EX75" s="347"/>
      <c r="EY75" s="347"/>
      <c r="EZ75" s="347"/>
      <c r="FA75" s="347"/>
      <c r="FB75" s="347"/>
      <c r="FC75" s="347"/>
      <c r="FD75" s="347"/>
      <c r="FE75" s="347"/>
      <c r="FF75" s="347"/>
      <c r="FG75" s="347"/>
      <c r="FH75" s="347"/>
      <c r="FI75" s="347"/>
      <c r="FJ75" s="347"/>
      <c r="FK75" s="347"/>
      <c r="FL75" s="347"/>
    </row>
    <row r="76" spans="1:168" ht="9.75" customHeight="1">
      <c r="A76" s="321" t="str">
        <f t="shared" si="21"/>
        <v/>
      </c>
      <c r="B76" s="567" t="e">
        <f>(ii!$D$13*12+V76)+1</f>
        <v>#REF!</v>
      </c>
      <c r="C76" s="337">
        <f t="shared" si="30"/>
        <v>44439</v>
      </c>
      <c r="D76" s="484">
        <f t="shared" si="25"/>
        <v>2021</v>
      </c>
      <c r="E76" s="484">
        <f t="shared" si="26"/>
        <v>0.66666666666666663</v>
      </c>
      <c r="F76" s="484">
        <f t="shared" si="27"/>
        <v>2021.6666666666667</v>
      </c>
      <c r="G76" s="485" t="str">
        <f>IF(OR(C76&lt;$I$2,C76&gt;$J$3),"",(ii!$D$13*12+V76+1)/12)</f>
        <v/>
      </c>
      <c r="H76" s="486"/>
      <c r="I76" s="486"/>
      <c r="J76" s="487"/>
      <c r="K76" s="488"/>
      <c r="L76" s="548"/>
      <c r="M76" s="489" t="str">
        <f t="shared" si="12"/>
        <v/>
      </c>
      <c r="N76" s="490" t="s">
        <v>621</v>
      </c>
      <c r="O76" s="490" t="str">
        <f t="shared" si="28"/>
        <v/>
      </c>
      <c r="P76" s="491"/>
      <c r="Q76" s="491"/>
      <c r="R76" s="491" t="str">
        <f t="shared" si="29"/>
        <v/>
      </c>
      <c r="S76" s="528" t="str">
        <f t="shared" si="24"/>
        <v/>
      </c>
      <c r="T76" s="528" t="str">
        <f t="shared" si="23"/>
        <v/>
      </c>
      <c r="U76" s="493" t="str">
        <f>IF(H76="","",#REF!*12+#REF!+#REF!*12+#REF!)</f>
        <v/>
      </c>
      <c r="V76" s="338" t="e">
        <f>IF(ii!$J$3&gt;gg!C76,"",IF(AND((YEAR(C76)=YEAR($I$2)),MONTH(C76)=MONTH($I$2)),ii!$B$14*12+ii!$C$14+ii!$B$15*12+ii!$C$15-1,V75+1))</f>
        <v>#REF!</v>
      </c>
      <c r="W76" s="339" t="e">
        <f t="shared" si="10"/>
        <v>#REF!</v>
      </c>
      <c r="X76" s="494" t="s">
        <v>621</v>
      </c>
      <c r="Y76" s="495" t="s">
        <v>621</v>
      </c>
      <c r="Z76" s="496"/>
      <c r="AA76" s="497"/>
      <c r="AB76" s="498" t="str">
        <f t="shared" si="19"/>
        <v/>
      </c>
      <c r="AC76" s="484" t="str">
        <f t="shared" si="15"/>
        <v/>
      </c>
      <c r="AD76" s="495" t="str">
        <f t="shared" si="16"/>
        <v/>
      </c>
      <c r="AE76" s="499" t="s">
        <v>621</v>
      </c>
      <c r="AF76" s="500" t="s">
        <v>621</v>
      </c>
      <c r="AG76" s="556" t="s">
        <v>621</v>
      </c>
      <c r="AH76" s="503" t="str">
        <f>IF($G76="","",IF(AND($G76&gt;=30,$AT$3&lt;=AG$7),ROUND(AG76*($AP$3+#REF!),-1),""))</f>
        <v/>
      </c>
      <c r="AI76" s="506" t="s">
        <v>621</v>
      </c>
      <c r="AJ76" s="503" t="str">
        <f>IF($G76="","",IF(AND($G76&gt;=30,$AT$3&lt;=AI$7),ROUND(AI76*($AP$3+#REF!),-1),""))</f>
        <v/>
      </c>
      <c r="AK76" s="506" t="s">
        <v>621</v>
      </c>
      <c r="AL76" s="503" t="str">
        <f>IF($G76="","",IF(AND($G76&gt;=30,$AT$3&lt;=AK$7),ROUND(AK76*($AP$3+#REF!),-1),""))</f>
        <v/>
      </c>
      <c r="AM76" s="506" t="s">
        <v>621</v>
      </c>
      <c r="AN76" s="503" t="str">
        <f>IF($G76="","",IF(AND($G76&gt;=30,$AT$3&lt;=AM$7),ROUND(AM76*($AP$3+#REF!),-1),""))</f>
        <v/>
      </c>
      <c r="AO76" s="503" t="e">
        <v>#REF!</v>
      </c>
      <c r="AP76" s="503" t="str">
        <f>IF($G76="","",IF(AND($G76&gt;=30,$AT$3&lt;=AO$7),ROUND(AO76*($AP$3+#REF!),-1),""))</f>
        <v/>
      </c>
      <c r="AQ76" s="517" t="e">
        <v>#REF!</v>
      </c>
      <c r="AR76" s="503" t="str">
        <f>IF($G76="","",IF(AND($G76&gt;=30,$AT$3&lt;=AQ$7),ROUND(AQ76*($AP$3+#REF!),-1),""))</f>
        <v/>
      </c>
      <c r="AS76" s="503"/>
      <c r="AT76" s="503" t="str">
        <f>IF($G76="","",IF(AND($G76&gt;=30,$AT$3&lt;=AS$7),ROUND(AS76*($AP$3+#REF!),-1),""))</f>
        <v/>
      </c>
      <c r="AU76" s="502"/>
      <c r="AV76" s="503" t="str">
        <f>IF($G76="","",IF(AND($G76&gt;=30,$AT$3&lt;=AU$7),ROUND(AU76*($AP$3+#REF!),-1),""))</f>
        <v/>
      </c>
      <c r="AW76" s="503"/>
      <c r="AX76" s="503" t="str">
        <f>IF($G76="","",IF(AND($G76&gt;=30,$AT$3&lt;=AW$7),ROUND(AW76*($AP$3+#REF!),-1),""))</f>
        <v/>
      </c>
      <c r="AY76" s="502"/>
      <c r="AZ76" s="503" t="str">
        <f>IF($G76="","",IF(AND($G76&gt;=30,$AT$3&lt;=AY$7),ROUND(AY76*($AP$3+#REF!),-1),""))</f>
        <v/>
      </c>
      <c r="BA76" s="503"/>
      <c r="BB76" s="503" t="str">
        <f>IF($G76="","",IF(AND($G76&gt;=30,$AT$3&lt;=BA$7),ROUND(BA76*($AP$3+#REF!),-1),""))</f>
        <v/>
      </c>
      <c r="BC76" s="502"/>
      <c r="BD76" s="503" t="str">
        <f>IF($G76="","",IF(AND($G76&gt;=30,$AT$3&lt;=BC$7),ROUND(BC76*($AP$3+#REF!),-1),""))</f>
        <v/>
      </c>
      <c r="BE76" s="503"/>
      <c r="BF76" s="503" t="str">
        <f>IF($G76="","",IF(AND($G76&gt;=30,$AT$3&lt;=BE$7),ROUND(BE76*($AP$3+#REF!),-1),""))</f>
        <v/>
      </c>
      <c r="BG76" s="502"/>
      <c r="BH76" s="503" t="str">
        <f>IF($G76="","",IF(AND($G76&gt;=30,$AT$3&lt;=BG$7),ROUND(BG76*($AP$3+#REF!),-1),""))</f>
        <v/>
      </c>
      <c r="BI76" s="503"/>
      <c r="BJ76" s="503" t="str">
        <f>IF($G76="","",IF(AND($G76&gt;=30,$AT$3&lt;=BI$7),ROUND(BI76*($AP$3+#REF!),-1),""))</f>
        <v/>
      </c>
      <c r="BK76" s="502"/>
      <c r="BL76" s="503" t="str">
        <f>IF($G76="","",IF(AND($G76&gt;=30,$AT$3&lt;=BK$7),ROUND(BK76*($AP$3+#REF!),-1),""))</f>
        <v/>
      </c>
      <c r="BM76" s="503"/>
      <c r="BN76" s="503" t="str">
        <f>IF($G76="","",IF(AND($G76&gt;=30,$AT$3&lt;=BM$7),ROUND(BM76*($AP$3+#REF!),-1),""))</f>
        <v/>
      </c>
      <c r="BO76" s="502"/>
      <c r="BP76" s="503" t="str">
        <f>IF($G76="","",IF(AND($G76&gt;=30,$AT$3&lt;=BO$7),ROUND(BO76*($AP$3+#REF!),-1),""))</f>
        <v/>
      </c>
      <c r="BQ76" s="503"/>
      <c r="BR76" s="503" t="str">
        <f>IF($G76="","",IF(AND($G76&gt;=30,$AT$3&lt;=BQ$7),ROUND(BQ76*($AP$3+#REF!),-1),""))</f>
        <v/>
      </c>
      <c r="BS76" s="502"/>
      <c r="BT76" s="503" t="str">
        <f>IF($G76="","",IF(AND($G76&gt;=30,$AT$3&lt;=BS$7),ROUND(BS76*($AP$3+#REF!),-1),""))</f>
        <v/>
      </c>
      <c r="BU76" s="503"/>
      <c r="BV76" s="503" t="str">
        <f>IF($G76="","",IF(AND($G76&gt;=30,$AT$3&lt;=BU$7),ROUND(BU76*($AP$3+#REF!),-1),""))</f>
        <v/>
      </c>
      <c r="BW76" s="502"/>
      <c r="BX76" s="503" t="str">
        <f>IF($G76="","",IF(AND($G76&gt;=30,$AT$3&lt;=BW$7),ROUND(BW76*($AP$3+#REF!),-1),""))</f>
        <v/>
      </c>
      <c r="BY76" s="503"/>
      <c r="BZ76" s="503" t="str">
        <f>IF($G76="","",IF(AND($G76&gt;=30,$AT$3&lt;=BY$7),ROUND(BY76*($AP$3+#REF!),-1),""))</f>
        <v/>
      </c>
      <c r="CA76" s="502"/>
      <c r="CB76" s="503" t="str">
        <f>IF($G76="","",IF(AND($G76&gt;=30,$AT$3&lt;=CA$7),ROUND(CA76*($AP$3+#REF!),-1),""))</f>
        <v/>
      </c>
      <c r="CC76" s="503"/>
      <c r="CD76" s="503" t="str">
        <f>IF($G76="","",IF(AND($G76&gt;=30,$AT$3&lt;=CC$7),ROUND(CC76*($AP$3+#REF!),-1),""))</f>
        <v/>
      </c>
      <c r="CE76" s="502"/>
      <c r="CF76" s="503" t="str">
        <f>IF($G76="","",IF(AND($G76&gt;=30,$AT$3&lt;=CE$7),ROUND(CE76*($AP$3+#REF!),-1),""))</f>
        <v/>
      </c>
      <c r="CG76" s="503"/>
      <c r="CH76" s="503" t="str">
        <f>IF($G76="","",IF(AND($G76&gt;=30,$AT$3&lt;=CG$7),ROUND(CG76*($AP$3+#REF!),-1),""))</f>
        <v/>
      </c>
      <c r="CI76" s="502"/>
      <c r="CJ76" s="503" t="str">
        <f>IF($G76="","",IF(AND($G76&gt;=30,$AT$3&lt;=CI$7),ROUND(CI76*($AP$3+#REF!),-1),""))</f>
        <v/>
      </c>
      <c r="CK76" s="503"/>
      <c r="CL76" s="503" t="str">
        <f>IF($G76="","",IF(AND($G76&gt;=30,$AT$3&lt;=CK$7),ROUND(CK76*($AP$3+#REF!),-1),""))</f>
        <v/>
      </c>
      <c r="CM76" s="502"/>
      <c r="CN76" s="503" t="str">
        <f>IF($G76="","",IF(AND($G76&gt;=30,$AT$3&lt;=CM$7),ROUND(CM76*($AP$3+#REF!),-1),""))</f>
        <v/>
      </c>
      <c r="CO76" s="503"/>
      <c r="CP76" s="503" t="str">
        <f>IF($G76="","",IF(AND($G76&gt;=30,$AT$3&lt;=CO$7),ROUND(CO76*($AP$3+#REF!),-1),""))</f>
        <v/>
      </c>
      <c r="CQ76" s="502"/>
      <c r="CR76" s="503" t="str">
        <f>IF($G76="","",IF(AND($G76&gt;=30,$AT$3&lt;=CQ$7),ROUND(CQ76*($AP$3+#REF!),-1),""))</f>
        <v/>
      </c>
      <c r="CS76" s="503"/>
      <c r="CT76" s="503" t="str">
        <f>IF($G76="","",IF(AND($G76&gt;=30,$AT$3&lt;=CS$7),ROUND(CS76*($AP$3+#REF!),-1),""))</f>
        <v/>
      </c>
      <c r="CU76" s="502"/>
      <c r="CV76" s="503" t="str">
        <f>IF($G76="","",IF(AND($G76&gt;=30,$AT$3&lt;=CU$7),ROUND(CU76*($AP$3+#REF!),-1),""))</f>
        <v/>
      </c>
      <c r="CW76" s="503"/>
      <c r="CX76" s="503" t="str">
        <f>IF($G76="","",IF(AND($G76&gt;=30,$AT$3&lt;=CW$7),ROUND(CW76*($AP$3+#REF!),-1),""))</f>
        <v/>
      </c>
      <c r="CY76" s="502"/>
      <c r="CZ76" s="503" t="str">
        <f>IF($G76="","",IF(AND($G76&gt;=30,$AT$3&lt;=CY$7),ROUND(CY76*($AP$3+#REF!),-1),""))</f>
        <v/>
      </c>
      <c r="DA76" s="503"/>
      <c r="DB76" s="503" t="str">
        <f>IF($G76="","",IF(AND($G76&gt;=30,$AT$3&lt;=DA$7),ROUND(DA76*($AP$3+#REF!),-1),""))</f>
        <v/>
      </c>
      <c r="DC76" s="502"/>
      <c r="DD76" s="503" t="str">
        <f>IF($G76="","",IF(AND($G76&gt;=30,$AT$3&lt;=DC$7),ROUND(DC76*($AP$3+#REF!),-1),""))</f>
        <v/>
      </c>
      <c r="DE76" s="503"/>
      <c r="DF76" s="503" t="str">
        <f>IF($G76="","",IF(AND($G76&gt;=30,$AT$3&lt;=DE$7),ROUND(DE76*($AP$3+#REF!),-1),""))</f>
        <v/>
      </c>
      <c r="DG76" s="503"/>
      <c r="DH76" s="503" t="str">
        <f>IF($G76="","",IF(AND($G76&gt;=30,$AT$3&lt;=DG$7),ROUND(DG76*($AP$3+#REF!),-1),""))</f>
        <v/>
      </c>
      <c r="DI76" s="503"/>
      <c r="DJ76" s="503" t="str">
        <f>IF($G76="","",IF(AND($G76&gt;=30,$AT$3&lt;=DI$7),ROUND(DI76*($AP$3+#REF!),-1),""))</f>
        <v/>
      </c>
      <c r="DK76" s="503"/>
      <c r="DL76" s="503" t="str">
        <f>IF($G76="","",IF(AND($G76&gt;=30,$AT$3&lt;=DK$7),ROUND(DK76*($AP$3+#REF!),-1),""))</f>
        <v/>
      </c>
      <c r="DM76" s="503"/>
      <c r="DN76" s="503" t="str">
        <f>IF($G76="","",IF(AND($G76&gt;=30,$AT$3&lt;=DM$7),ROUND(DM76*($AP$3+#REF!),-1),""))</f>
        <v/>
      </c>
      <c r="DO76" s="503"/>
      <c r="DP76" s="503" t="str">
        <f>IF($G76="","",IF(AND($G76&gt;=30,$AT$3&lt;=DO$7),ROUND(DO76*($AP$3+#REF!),-1),""))</f>
        <v/>
      </c>
      <c r="DQ76" s="503"/>
      <c r="DR76" s="503" t="str">
        <f>IF($G76="","",IF(AND($G76&gt;=30,$AT$3&lt;=DQ$7),ROUND(DQ76*($AP$3+#REF!),-1),""))</f>
        <v/>
      </c>
      <c r="DS76" s="503"/>
      <c r="DT76" s="503" t="str">
        <f>IF($G76="","",IF(AND($G76&gt;=30,$AT$3&lt;=DS$7),ROUND(DS76*($AP$3+#REF!),-1),""))</f>
        <v/>
      </c>
      <c r="DU76" s="503"/>
      <c r="DV76" s="503" t="str">
        <f>IF($G76="","",IF(AND($G76&gt;=30,$AT$3&lt;=DU$7),ROUND(DU76*($AP$3+#REF!),-1),""))</f>
        <v/>
      </c>
      <c r="DW76" s="503"/>
      <c r="DX76" s="503" t="str">
        <f>IF($G76="","",IF(AND($G76&gt;=30,$AT$3&lt;=DW$7),ROUND(DW76*($AP$3+#REF!),-1),""))</f>
        <v/>
      </c>
      <c r="DY76" s="503"/>
      <c r="DZ76" s="503" t="str">
        <f>IF($G76="","",IF(AND($G76&gt;=30,$AT$3&lt;=DY$7),ROUND(DY76*($AP$3+#REF!),-1),""))</f>
        <v/>
      </c>
      <c r="EA76" s="503"/>
      <c r="EB76" s="503" t="str">
        <f>IF($G76="","",IF(AND($G76&gt;=30,$AT$3&lt;=EA$7),ROUND(EA76*($AP$3+#REF!),-1),""))</f>
        <v/>
      </c>
      <c r="EC76" s="504" t="s">
        <v>621</v>
      </c>
      <c r="ED76" s="1126"/>
      <c r="EE76" s="325">
        <v>8</v>
      </c>
      <c r="EG76" s="347"/>
      <c r="EH76" s="347"/>
      <c r="EI76" s="347"/>
      <c r="EJ76" s="347"/>
      <c r="EK76" s="347"/>
      <c r="EL76" s="347"/>
      <c r="EM76" s="347"/>
      <c r="EN76" s="347"/>
      <c r="EO76" s="347"/>
      <c r="EP76" s="347"/>
      <c r="EQ76" s="347"/>
      <c r="ER76" s="347"/>
      <c r="ES76" s="347"/>
      <c r="ET76" s="347"/>
      <c r="EU76" s="347"/>
      <c r="EV76" s="347"/>
      <c r="EW76" s="347"/>
      <c r="EX76" s="347"/>
      <c r="EY76" s="347"/>
      <c r="EZ76" s="347"/>
      <c r="FA76" s="347"/>
      <c r="FB76" s="347"/>
      <c r="FC76" s="347"/>
      <c r="FD76" s="347"/>
      <c r="FE76" s="347"/>
      <c r="FF76" s="347"/>
      <c r="FG76" s="347"/>
      <c r="FH76" s="347"/>
      <c r="FI76" s="347"/>
      <c r="FJ76" s="347"/>
      <c r="FK76" s="347"/>
      <c r="FL76" s="347"/>
    </row>
    <row r="77" spans="1:168" ht="9.75" customHeight="1">
      <c r="A77" s="321" t="str">
        <f t="shared" si="21"/>
        <v/>
      </c>
      <c r="B77" s="567" t="e">
        <f>(ii!$D$13*12+V77)+1</f>
        <v>#REF!</v>
      </c>
      <c r="C77" s="337">
        <f t="shared" si="30"/>
        <v>44469</v>
      </c>
      <c r="D77" s="484">
        <f t="shared" si="25"/>
        <v>2021</v>
      </c>
      <c r="E77" s="484">
        <f t="shared" si="26"/>
        <v>0.75</v>
      </c>
      <c r="F77" s="484">
        <f t="shared" si="27"/>
        <v>2021.75</v>
      </c>
      <c r="G77" s="485" t="str">
        <f>IF(OR(C77&lt;$I$2,C77&gt;$J$3),"",(ii!$D$13*12+V77+1)/12)</f>
        <v/>
      </c>
      <c r="H77" s="486"/>
      <c r="I77" s="486"/>
      <c r="J77" s="487"/>
      <c r="K77" s="488"/>
      <c r="L77" s="548"/>
      <c r="M77" s="489" t="str">
        <f t="shared" si="12"/>
        <v/>
      </c>
      <c r="N77" s="490" t="s">
        <v>621</v>
      </c>
      <c r="O77" s="490" t="str">
        <f t="shared" si="28"/>
        <v/>
      </c>
      <c r="P77" s="491"/>
      <c r="Q77" s="491"/>
      <c r="R77" s="491" t="str">
        <f t="shared" si="29"/>
        <v/>
      </c>
      <c r="S77" s="528" t="str">
        <f t="shared" si="24"/>
        <v/>
      </c>
      <c r="T77" s="528" t="str">
        <f t="shared" si="23"/>
        <v/>
      </c>
      <c r="U77" s="493" t="str">
        <f>IF(H77="","",#REF!*12+#REF!+#REF!*12+#REF!)</f>
        <v/>
      </c>
      <c r="V77" s="338" t="e">
        <f>IF(ii!$J$3&gt;gg!C77,"",IF(AND((YEAR(C77)=YEAR($I$2)),MONTH(C77)=MONTH($I$2)),ii!$B$14*12+ii!$C$14+ii!$B$15*12+ii!$C$15-1,V76+1))</f>
        <v>#REF!</v>
      </c>
      <c r="W77" s="339" t="e">
        <f t="shared" si="10"/>
        <v>#REF!</v>
      </c>
      <c r="X77" s="494" t="s">
        <v>621</v>
      </c>
      <c r="Y77" s="495" t="s">
        <v>621</v>
      </c>
      <c r="Z77" s="496"/>
      <c r="AA77" s="497"/>
      <c r="AB77" s="498" t="str">
        <f t="shared" si="19"/>
        <v/>
      </c>
      <c r="AC77" s="484" t="str">
        <f t="shared" si="15"/>
        <v/>
      </c>
      <c r="AD77" s="495" t="str">
        <f t="shared" si="16"/>
        <v/>
      </c>
      <c r="AE77" s="499" t="s">
        <v>621</v>
      </c>
      <c r="AF77" s="500" t="s">
        <v>621</v>
      </c>
      <c r="AG77" s="556" t="s">
        <v>621</v>
      </c>
      <c r="AH77" s="503" t="str">
        <f>IF($G77="","",IF(AND($G77&gt;=30,$AT$3&lt;=AG$7),ROUND(AG77*($AP$3+#REF!),-1),""))</f>
        <v/>
      </c>
      <c r="AI77" s="506" t="s">
        <v>621</v>
      </c>
      <c r="AJ77" s="503" t="str">
        <f>IF($G77="","",IF(AND($G77&gt;=30,$AT$3&lt;=AI$7),ROUND(AI77*($AP$3+#REF!),-1),""))</f>
        <v/>
      </c>
      <c r="AK77" s="506" t="s">
        <v>621</v>
      </c>
      <c r="AL77" s="503" t="str">
        <f>IF($G77="","",IF(AND($G77&gt;=30,$AT$3&lt;=AK$7),ROUND(AK77*($AP$3+#REF!),-1),""))</f>
        <v/>
      </c>
      <c r="AM77" s="506" t="s">
        <v>621</v>
      </c>
      <c r="AN77" s="503" t="str">
        <f>IF($G77="","",IF(AND($G77&gt;=30,$AT$3&lt;=AM$7),ROUND(AM77*($AP$3+#REF!),-1),""))</f>
        <v/>
      </c>
      <c r="AO77" s="503" t="e">
        <v>#REF!</v>
      </c>
      <c r="AP77" s="503" t="str">
        <f>IF($G77="","",IF(AND($G77&gt;=30,$AT$3&lt;=AO$7),ROUND(AO77*($AP$3+#REF!),-1),""))</f>
        <v/>
      </c>
      <c r="AQ77" s="517" t="e">
        <v>#REF!</v>
      </c>
      <c r="AR77" s="503" t="str">
        <f>IF($G77="","",IF(AND($G77&gt;=30,$AT$3&lt;=AQ$7),ROUND(AQ77*($AP$3+#REF!),-1),""))</f>
        <v/>
      </c>
      <c r="AS77" s="503"/>
      <c r="AT77" s="503" t="str">
        <f>IF($G77="","",IF(AND($G77&gt;=30,$AT$3&lt;=AS$7),ROUND(AS77*($AP$3+#REF!),-1),""))</f>
        <v/>
      </c>
      <c r="AU77" s="502"/>
      <c r="AV77" s="503" t="str">
        <f>IF($G77="","",IF(AND($G77&gt;=30,$AT$3&lt;=AU$7),ROUND(AU77*($AP$3+#REF!),-1),""))</f>
        <v/>
      </c>
      <c r="AW77" s="503"/>
      <c r="AX77" s="503" t="str">
        <f>IF($G77="","",IF(AND($G77&gt;=30,$AT$3&lt;=AW$7),ROUND(AW77*($AP$3+#REF!),-1),""))</f>
        <v/>
      </c>
      <c r="AY77" s="502"/>
      <c r="AZ77" s="503" t="str">
        <f>IF($G77="","",IF(AND($G77&gt;=30,$AT$3&lt;=AY$7),ROUND(AY77*($AP$3+#REF!),-1),""))</f>
        <v/>
      </c>
      <c r="BA77" s="503"/>
      <c r="BB77" s="503" t="str">
        <f>IF($G77="","",IF(AND($G77&gt;=30,$AT$3&lt;=BA$7),ROUND(BA77*($AP$3+#REF!),-1),""))</f>
        <v/>
      </c>
      <c r="BC77" s="502"/>
      <c r="BD77" s="503" t="str">
        <f>IF($G77="","",IF(AND($G77&gt;=30,$AT$3&lt;=BC$7),ROUND(BC77*($AP$3+#REF!),-1),""))</f>
        <v/>
      </c>
      <c r="BE77" s="503"/>
      <c r="BF77" s="503" t="str">
        <f>IF($G77="","",IF(AND($G77&gt;=30,$AT$3&lt;=BE$7),ROUND(BE77*($AP$3+#REF!),-1),""))</f>
        <v/>
      </c>
      <c r="BG77" s="502"/>
      <c r="BH77" s="503" t="str">
        <f>IF($G77="","",IF(AND($G77&gt;=30,$AT$3&lt;=BG$7),ROUND(BG77*($AP$3+#REF!),-1),""))</f>
        <v/>
      </c>
      <c r="BI77" s="503"/>
      <c r="BJ77" s="503" t="str">
        <f>IF($G77="","",IF(AND($G77&gt;=30,$AT$3&lt;=BI$7),ROUND(BI77*($AP$3+#REF!),-1),""))</f>
        <v/>
      </c>
      <c r="BK77" s="502"/>
      <c r="BL77" s="503" t="str">
        <f>IF($G77="","",IF(AND($G77&gt;=30,$AT$3&lt;=BK$7),ROUND(BK77*($AP$3+#REF!),-1),""))</f>
        <v/>
      </c>
      <c r="BM77" s="503"/>
      <c r="BN77" s="503" t="str">
        <f>IF($G77="","",IF(AND($G77&gt;=30,$AT$3&lt;=BM$7),ROUND(BM77*($AP$3+#REF!),-1),""))</f>
        <v/>
      </c>
      <c r="BO77" s="502"/>
      <c r="BP77" s="503" t="str">
        <f>IF($G77="","",IF(AND($G77&gt;=30,$AT$3&lt;=BO$7),ROUND(BO77*($AP$3+#REF!),-1),""))</f>
        <v/>
      </c>
      <c r="BQ77" s="503"/>
      <c r="BR77" s="503" t="str">
        <f>IF($G77="","",IF(AND($G77&gt;=30,$AT$3&lt;=BQ$7),ROUND(BQ77*($AP$3+#REF!),-1),""))</f>
        <v/>
      </c>
      <c r="BS77" s="502"/>
      <c r="BT77" s="503" t="str">
        <f>IF($G77="","",IF(AND($G77&gt;=30,$AT$3&lt;=BS$7),ROUND(BS77*($AP$3+#REF!),-1),""))</f>
        <v/>
      </c>
      <c r="BU77" s="503"/>
      <c r="BV77" s="503" t="str">
        <f>IF($G77="","",IF(AND($G77&gt;=30,$AT$3&lt;=BU$7),ROUND(BU77*($AP$3+#REF!),-1),""))</f>
        <v/>
      </c>
      <c r="BW77" s="502"/>
      <c r="BX77" s="503" t="str">
        <f>IF($G77="","",IF(AND($G77&gt;=30,$AT$3&lt;=BW$7),ROUND(BW77*($AP$3+#REF!),-1),""))</f>
        <v/>
      </c>
      <c r="BY77" s="503"/>
      <c r="BZ77" s="503" t="str">
        <f>IF($G77="","",IF(AND($G77&gt;=30,$AT$3&lt;=BY$7),ROUND(BY77*($AP$3+#REF!),-1),""))</f>
        <v/>
      </c>
      <c r="CA77" s="502"/>
      <c r="CB77" s="503" t="str">
        <f>IF($G77="","",IF(AND($G77&gt;=30,$AT$3&lt;=CA$7),ROUND(CA77*($AP$3+#REF!),-1),""))</f>
        <v/>
      </c>
      <c r="CC77" s="503"/>
      <c r="CD77" s="503" t="str">
        <f>IF($G77="","",IF(AND($G77&gt;=30,$AT$3&lt;=CC$7),ROUND(CC77*($AP$3+#REF!),-1),""))</f>
        <v/>
      </c>
      <c r="CE77" s="502"/>
      <c r="CF77" s="503" t="str">
        <f>IF($G77="","",IF(AND($G77&gt;=30,$AT$3&lt;=CE$7),ROUND(CE77*($AP$3+#REF!),-1),""))</f>
        <v/>
      </c>
      <c r="CG77" s="503"/>
      <c r="CH77" s="503" t="str">
        <f>IF($G77="","",IF(AND($G77&gt;=30,$AT$3&lt;=CG$7),ROUND(CG77*($AP$3+#REF!),-1),""))</f>
        <v/>
      </c>
      <c r="CI77" s="502"/>
      <c r="CJ77" s="503" t="str">
        <f>IF($G77="","",IF(AND($G77&gt;=30,$AT$3&lt;=CI$7),ROUND(CI77*($AP$3+#REF!),-1),""))</f>
        <v/>
      </c>
      <c r="CK77" s="503"/>
      <c r="CL77" s="503" t="str">
        <f>IF($G77="","",IF(AND($G77&gt;=30,$AT$3&lt;=CK$7),ROUND(CK77*($AP$3+#REF!),-1),""))</f>
        <v/>
      </c>
      <c r="CM77" s="502"/>
      <c r="CN77" s="503" t="str">
        <f>IF($G77="","",IF(AND($G77&gt;=30,$AT$3&lt;=CM$7),ROUND(CM77*($AP$3+#REF!),-1),""))</f>
        <v/>
      </c>
      <c r="CO77" s="503"/>
      <c r="CP77" s="503" t="str">
        <f>IF($G77="","",IF(AND($G77&gt;=30,$AT$3&lt;=CO$7),ROUND(CO77*($AP$3+#REF!),-1),""))</f>
        <v/>
      </c>
      <c r="CQ77" s="502"/>
      <c r="CR77" s="503" t="str">
        <f>IF($G77="","",IF(AND($G77&gt;=30,$AT$3&lt;=CQ$7),ROUND(CQ77*($AP$3+#REF!),-1),""))</f>
        <v/>
      </c>
      <c r="CS77" s="503"/>
      <c r="CT77" s="503" t="str">
        <f>IF($G77="","",IF(AND($G77&gt;=30,$AT$3&lt;=CS$7),ROUND(CS77*($AP$3+#REF!),-1),""))</f>
        <v/>
      </c>
      <c r="CU77" s="502"/>
      <c r="CV77" s="503" t="str">
        <f>IF($G77="","",IF(AND($G77&gt;=30,$AT$3&lt;=CU$7),ROUND(CU77*($AP$3+#REF!),-1),""))</f>
        <v/>
      </c>
      <c r="CW77" s="503"/>
      <c r="CX77" s="503" t="str">
        <f>IF($G77="","",IF(AND($G77&gt;=30,$AT$3&lt;=CW$7),ROUND(CW77*($AP$3+#REF!),-1),""))</f>
        <v/>
      </c>
      <c r="CY77" s="502"/>
      <c r="CZ77" s="503" t="str">
        <f>IF($G77="","",IF(AND($G77&gt;=30,$AT$3&lt;=CY$7),ROUND(CY77*($AP$3+#REF!),-1),""))</f>
        <v/>
      </c>
      <c r="DA77" s="503"/>
      <c r="DB77" s="503" t="str">
        <f>IF($G77="","",IF(AND($G77&gt;=30,$AT$3&lt;=DA$7),ROUND(DA77*($AP$3+#REF!),-1),""))</f>
        <v/>
      </c>
      <c r="DC77" s="502"/>
      <c r="DD77" s="503" t="str">
        <f>IF($G77="","",IF(AND($G77&gt;=30,$AT$3&lt;=DC$7),ROUND(DC77*($AP$3+#REF!),-1),""))</f>
        <v/>
      </c>
      <c r="DE77" s="503"/>
      <c r="DF77" s="503" t="str">
        <f>IF($G77="","",IF(AND($G77&gt;=30,$AT$3&lt;=DE$7),ROUND(DE77*($AP$3+#REF!),-1),""))</f>
        <v/>
      </c>
      <c r="DG77" s="503"/>
      <c r="DH77" s="503" t="str">
        <f>IF($G77="","",IF(AND($G77&gt;=30,$AT$3&lt;=DG$7),ROUND(DG77*($AP$3+#REF!),-1),""))</f>
        <v/>
      </c>
      <c r="DI77" s="503"/>
      <c r="DJ77" s="503" t="str">
        <f>IF($G77="","",IF(AND($G77&gt;=30,$AT$3&lt;=DI$7),ROUND(DI77*($AP$3+#REF!),-1),""))</f>
        <v/>
      </c>
      <c r="DK77" s="503"/>
      <c r="DL77" s="503" t="str">
        <f>IF($G77="","",IF(AND($G77&gt;=30,$AT$3&lt;=DK$7),ROUND(DK77*($AP$3+#REF!),-1),""))</f>
        <v/>
      </c>
      <c r="DM77" s="503"/>
      <c r="DN77" s="503" t="str">
        <f>IF($G77="","",IF(AND($G77&gt;=30,$AT$3&lt;=DM$7),ROUND(DM77*($AP$3+#REF!),-1),""))</f>
        <v/>
      </c>
      <c r="DO77" s="503"/>
      <c r="DP77" s="503" t="str">
        <f>IF($G77="","",IF(AND($G77&gt;=30,$AT$3&lt;=DO$7),ROUND(DO77*($AP$3+#REF!),-1),""))</f>
        <v/>
      </c>
      <c r="DQ77" s="503"/>
      <c r="DR77" s="503" t="str">
        <f>IF($G77="","",IF(AND($G77&gt;=30,$AT$3&lt;=DQ$7),ROUND(DQ77*($AP$3+#REF!),-1),""))</f>
        <v/>
      </c>
      <c r="DS77" s="503"/>
      <c r="DT77" s="503" t="str">
        <f>IF($G77="","",IF(AND($G77&gt;=30,$AT$3&lt;=DS$7),ROUND(DS77*($AP$3+#REF!),-1),""))</f>
        <v/>
      </c>
      <c r="DU77" s="503"/>
      <c r="DV77" s="503" t="str">
        <f>IF($G77="","",IF(AND($G77&gt;=30,$AT$3&lt;=DU$7),ROUND(DU77*($AP$3+#REF!),-1),""))</f>
        <v/>
      </c>
      <c r="DW77" s="503"/>
      <c r="DX77" s="503" t="str">
        <f>IF($G77="","",IF(AND($G77&gt;=30,$AT$3&lt;=DW$7),ROUND(DW77*($AP$3+#REF!),-1),""))</f>
        <v/>
      </c>
      <c r="DY77" s="503"/>
      <c r="DZ77" s="503" t="str">
        <f>IF($G77="","",IF(AND($G77&gt;=30,$AT$3&lt;=DY$7),ROUND(DY77*($AP$3+#REF!),-1),""))</f>
        <v/>
      </c>
      <c r="EA77" s="503"/>
      <c r="EB77" s="503" t="str">
        <f>IF($G77="","",IF(AND($G77&gt;=30,$AT$3&lt;=EA$7),ROUND(EA77*($AP$3+#REF!),-1),""))</f>
        <v/>
      </c>
      <c r="EC77" s="504" t="s">
        <v>621</v>
      </c>
      <c r="ED77" s="1126"/>
      <c r="EE77" s="325">
        <v>9</v>
      </c>
      <c r="EG77" s="347"/>
      <c r="EH77" s="347"/>
      <c r="EI77" s="347"/>
      <c r="EJ77" s="347"/>
      <c r="EK77" s="347"/>
      <c r="EL77" s="347"/>
      <c r="EM77" s="347"/>
      <c r="EN77" s="347"/>
      <c r="EO77" s="347"/>
      <c r="EP77" s="347"/>
      <c r="EQ77" s="347"/>
      <c r="ER77" s="347"/>
      <c r="ES77" s="347"/>
      <c r="ET77" s="347"/>
      <c r="EU77" s="347"/>
      <c r="EV77" s="347"/>
      <c r="EW77" s="347"/>
      <c r="EX77" s="347"/>
      <c r="EY77" s="347"/>
      <c r="EZ77" s="347"/>
      <c r="FA77" s="347"/>
      <c r="FB77" s="347"/>
      <c r="FC77" s="347"/>
      <c r="FD77" s="347"/>
      <c r="FE77" s="347"/>
      <c r="FF77" s="347"/>
      <c r="FG77" s="347"/>
      <c r="FH77" s="347"/>
      <c r="FI77" s="347"/>
      <c r="FJ77" s="347"/>
      <c r="FK77" s="347"/>
      <c r="FL77" s="347"/>
    </row>
    <row r="78" spans="1:168" ht="9.75" customHeight="1">
      <c r="A78" s="321" t="str">
        <f t="shared" si="21"/>
        <v/>
      </c>
      <c r="B78" s="567" t="e">
        <f>(ii!$D$13*12+V78)+1</f>
        <v>#REF!</v>
      </c>
      <c r="C78" s="337">
        <f t="shared" si="30"/>
        <v>44500</v>
      </c>
      <c r="D78" s="484">
        <f t="shared" si="25"/>
        <v>2021</v>
      </c>
      <c r="E78" s="484">
        <f t="shared" si="26"/>
        <v>0.83333333333333337</v>
      </c>
      <c r="F78" s="484">
        <f t="shared" si="27"/>
        <v>2021.8333333333333</v>
      </c>
      <c r="G78" s="485" t="str">
        <f>IF(OR(C78&lt;$I$2,C78&gt;$J$3),"",(ii!$D$13*12+V78+1)/12)</f>
        <v/>
      </c>
      <c r="H78" s="486"/>
      <c r="I78" s="486"/>
      <c r="J78" s="487"/>
      <c r="K78" s="488"/>
      <c r="L78" s="548"/>
      <c r="M78" s="489" t="str">
        <f t="shared" si="12"/>
        <v/>
      </c>
      <c r="N78" s="490" t="s">
        <v>621</v>
      </c>
      <c r="O78" s="490" t="str">
        <f t="shared" si="28"/>
        <v/>
      </c>
      <c r="P78" s="491"/>
      <c r="Q78" s="491"/>
      <c r="R78" s="491" t="str">
        <f t="shared" si="29"/>
        <v/>
      </c>
      <c r="S78" s="528" t="str">
        <f t="shared" si="24"/>
        <v/>
      </c>
      <c r="T78" s="528" t="str">
        <f t="shared" si="23"/>
        <v/>
      </c>
      <c r="U78" s="493" t="str">
        <f>IF(H78="","",#REF!*12+#REF!+#REF!*12+#REF!)</f>
        <v/>
      </c>
      <c r="V78" s="338" t="e">
        <f>IF(ii!$J$3&gt;gg!C78,"",IF(AND((YEAR(C78)=YEAR($I$2)),MONTH(C78)=MONTH($I$2)),ii!$B$14*12+ii!$C$14+ii!$B$15*12+ii!$C$15-1,V77+1))</f>
        <v>#REF!</v>
      </c>
      <c r="W78" s="339" t="e">
        <f t="shared" si="10"/>
        <v>#REF!</v>
      </c>
      <c r="X78" s="494" t="s">
        <v>621</v>
      </c>
      <c r="Y78" s="495" t="s">
        <v>621</v>
      </c>
      <c r="Z78" s="496"/>
      <c r="AA78" s="497"/>
      <c r="AB78" s="498" t="str">
        <f t="shared" si="19"/>
        <v/>
      </c>
      <c r="AC78" s="484" t="str">
        <f t="shared" si="15"/>
        <v/>
      </c>
      <c r="AD78" s="495" t="str">
        <f t="shared" si="16"/>
        <v/>
      </c>
      <c r="AE78" s="499" t="s">
        <v>621</v>
      </c>
      <c r="AF78" s="500" t="s">
        <v>621</v>
      </c>
      <c r="AG78" s="556" t="s">
        <v>621</v>
      </c>
      <c r="AH78" s="503" t="str">
        <f>IF($G78="","",IF(AND($G78&gt;=30,$AT$3&lt;=AG$7),ROUND(AG78*($AP$3+#REF!),-1),""))</f>
        <v/>
      </c>
      <c r="AI78" s="506" t="s">
        <v>621</v>
      </c>
      <c r="AJ78" s="503" t="str">
        <f>IF($G78="","",IF(AND($G78&gt;=30,$AT$3&lt;=AI$7),ROUND(AI78*($AP$3+#REF!),-1),""))</f>
        <v/>
      </c>
      <c r="AK78" s="506" t="s">
        <v>621</v>
      </c>
      <c r="AL78" s="503" t="str">
        <f>IF($G78="","",IF(AND($G78&gt;=30,$AT$3&lt;=AK$7),ROUND(AK78*($AP$3+#REF!),-1),""))</f>
        <v/>
      </c>
      <c r="AM78" s="506" t="s">
        <v>621</v>
      </c>
      <c r="AN78" s="503" t="str">
        <f>IF($G78="","",IF(AND($G78&gt;=30,$AT$3&lt;=AM$7),ROUND(AM78*($AP$3+#REF!),-1),""))</f>
        <v/>
      </c>
      <c r="AO78" s="503" t="e">
        <v>#REF!</v>
      </c>
      <c r="AP78" s="503" t="str">
        <f>IF($G78="","",IF(AND($G78&gt;=30,$AT$3&lt;=AO$7),ROUND(AO78*($AP$3+#REF!),-1),""))</f>
        <v/>
      </c>
      <c r="AQ78" s="517" t="e">
        <v>#REF!</v>
      </c>
      <c r="AR78" s="503" t="str">
        <f>IF($G78="","",IF(AND($G78&gt;=30,$AT$3&lt;=AQ$7),ROUND(AQ78*($AP$3+#REF!),-1),""))</f>
        <v/>
      </c>
      <c r="AS78" s="503"/>
      <c r="AT78" s="503" t="str">
        <f>IF($G78="","",IF(AND($G78&gt;=30,$AT$3&lt;=AS$7),ROUND(AS78*($AP$3+#REF!),-1),""))</f>
        <v/>
      </c>
      <c r="AU78" s="502"/>
      <c r="AV78" s="503" t="str">
        <f>IF($G78="","",IF(AND($G78&gt;=30,$AT$3&lt;=AU$7),ROUND(AU78*($AP$3+#REF!),-1),""))</f>
        <v/>
      </c>
      <c r="AW78" s="503"/>
      <c r="AX78" s="503" t="str">
        <f>IF($G78="","",IF(AND($G78&gt;=30,$AT$3&lt;=AW$7),ROUND(AW78*($AP$3+#REF!),-1),""))</f>
        <v/>
      </c>
      <c r="AY78" s="502"/>
      <c r="AZ78" s="503" t="str">
        <f>IF($G78="","",IF(AND($G78&gt;=30,$AT$3&lt;=AY$7),ROUND(AY78*($AP$3+#REF!),-1),""))</f>
        <v/>
      </c>
      <c r="BA78" s="503"/>
      <c r="BB78" s="503" t="str">
        <f>IF($G78="","",IF(AND($G78&gt;=30,$AT$3&lt;=BA$7),ROUND(BA78*($AP$3+#REF!),-1),""))</f>
        <v/>
      </c>
      <c r="BC78" s="502"/>
      <c r="BD78" s="503" t="str">
        <f>IF($G78="","",IF(AND($G78&gt;=30,$AT$3&lt;=BC$7),ROUND(BC78*($AP$3+#REF!),-1),""))</f>
        <v/>
      </c>
      <c r="BE78" s="503"/>
      <c r="BF78" s="503" t="str">
        <f>IF($G78="","",IF(AND($G78&gt;=30,$AT$3&lt;=BE$7),ROUND(BE78*($AP$3+#REF!),-1),""))</f>
        <v/>
      </c>
      <c r="BG78" s="502"/>
      <c r="BH78" s="503" t="str">
        <f>IF($G78="","",IF(AND($G78&gt;=30,$AT$3&lt;=BG$7),ROUND(BG78*($AP$3+#REF!),-1),""))</f>
        <v/>
      </c>
      <c r="BI78" s="503"/>
      <c r="BJ78" s="503" t="str">
        <f>IF($G78="","",IF(AND($G78&gt;=30,$AT$3&lt;=BI$7),ROUND(BI78*($AP$3+#REF!),-1),""))</f>
        <v/>
      </c>
      <c r="BK78" s="502"/>
      <c r="BL78" s="503" t="str">
        <f>IF($G78="","",IF(AND($G78&gt;=30,$AT$3&lt;=BK$7),ROUND(BK78*($AP$3+#REF!),-1),""))</f>
        <v/>
      </c>
      <c r="BM78" s="503"/>
      <c r="BN78" s="503" t="str">
        <f>IF($G78="","",IF(AND($G78&gt;=30,$AT$3&lt;=BM$7),ROUND(BM78*($AP$3+#REF!),-1),""))</f>
        <v/>
      </c>
      <c r="BO78" s="502"/>
      <c r="BP78" s="503" t="str">
        <f>IF($G78="","",IF(AND($G78&gt;=30,$AT$3&lt;=BO$7),ROUND(BO78*($AP$3+#REF!),-1),""))</f>
        <v/>
      </c>
      <c r="BQ78" s="503"/>
      <c r="BR78" s="503" t="str">
        <f>IF($G78="","",IF(AND($G78&gt;=30,$AT$3&lt;=BQ$7),ROUND(BQ78*($AP$3+#REF!),-1),""))</f>
        <v/>
      </c>
      <c r="BS78" s="502"/>
      <c r="BT78" s="503" t="str">
        <f>IF($G78="","",IF(AND($G78&gt;=30,$AT$3&lt;=BS$7),ROUND(BS78*($AP$3+#REF!),-1),""))</f>
        <v/>
      </c>
      <c r="BU78" s="503"/>
      <c r="BV78" s="503" t="str">
        <f>IF($G78="","",IF(AND($G78&gt;=30,$AT$3&lt;=BU$7),ROUND(BU78*($AP$3+#REF!),-1),""))</f>
        <v/>
      </c>
      <c r="BW78" s="502"/>
      <c r="BX78" s="503" t="str">
        <f>IF($G78="","",IF(AND($G78&gt;=30,$AT$3&lt;=BW$7),ROUND(BW78*($AP$3+#REF!),-1),""))</f>
        <v/>
      </c>
      <c r="BY78" s="503"/>
      <c r="BZ78" s="503" t="str">
        <f>IF($G78="","",IF(AND($G78&gt;=30,$AT$3&lt;=BY$7),ROUND(BY78*($AP$3+#REF!),-1),""))</f>
        <v/>
      </c>
      <c r="CA78" s="502"/>
      <c r="CB78" s="503" t="str">
        <f>IF($G78="","",IF(AND($G78&gt;=30,$AT$3&lt;=CA$7),ROUND(CA78*($AP$3+#REF!),-1),""))</f>
        <v/>
      </c>
      <c r="CC78" s="503"/>
      <c r="CD78" s="503" t="str">
        <f>IF($G78="","",IF(AND($G78&gt;=30,$AT$3&lt;=CC$7),ROUND(CC78*($AP$3+#REF!),-1),""))</f>
        <v/>
      </c>
      <c r="CE78" s="502"/>
      <c r="CF78" s="503" t="str">
        <f>IF($G78="","",IF(AND($G78&gt;=30,$AT$3&lt;=CE$7),ROUND(CE78*($AP$3+#REF!),-1),""))</f>
        <v/>
      </c>
      <c r="CG78" s="503"/>
      <c r="CH78" s="503" t="str">
        <f>IF($G78="","",IF(AND($G78&gt;=30,$AT$3&lt;=CG$7),ROUND(CG78*($AP$3+#REF!),-1),""))</f>
        <v/>
      </c>
      <c r="CI78" s="502"/>
      <c r="CJ78" s="503" t="str">
        <f>IF($G78="","",IF(AND($G78&gt;=30,$AT$3&lt;=CI$7),ROUND(CI78*($AP$3+#REF!),-1),""))</f>
        <v/>
      </c>
      <c r="CK78" s="503"/>
      <c r="CL78" s="503" t="str">
        <f>IF($G78="","",IF(AND($G78&gt;=30,$AT$3&lt;=CK$7),ROUND(CK78*($AP$3+#REF!),-1),""))</f>
        <v/>
      </c>
      <c r="CM78" s="502"/>
      <c r="CN78" s="503" t="str">
        <f>IF($G78="","",IF(AND($G78&gt;=30,$AT$3&lt;=CM$7),ROUND(CM78*($AP$3+#REF!),-1),""))</f>
        <v/>
      </c>
      <c r="CO78" s="503"/>
      <c r="CP78" s="503" t="str">
        <f>IF($G78="","",IF(AND($G78&gt;=30,$AT$3&lt;=CO$7),ROUND(CO78*($AP$3+#REF!),-1),""))</f>
        <v/>
      </c>
      <c r="CQ78" s="502"/>
      <c r="CR78" s="503" t="str">
        <f>IF($G78="","",IF(AND($G78&gt;=30,$AT$3&lt;=CQ$7),ROUND(CQ78*($AP$3+#REF!),-1),""))</f>
        <v/>
      </c>
      <c r="CS78" s="503"/>
      <c r="CT78" s="503" t="str">
        <f>IF($G78="","",IF(AND($G78&gt;=30,$AT$3&lt;=CS$7),ROUND(CS78*($AP$3+#REF!),-1),""))</f>
        <v/>
      </c>
      <c r="CU78" s="502"/>
      <c r="CV78" s="503" t="str">
        <f>IF($G78="","",IF(AND($G78&gt;=30,$AT$3&lt;=CU$7),ROUND(CU78*($AP$3+#REF!),-1),""))</f>
        <v/>
      </c>
      <c r="CW78" s="503"/>
      <c r="CX78" s="503" t="str">
        <f>IF($G78="","",IF(AND($G78&gt;=30,$AT$3&lt;=CW$7),ROUND(CW78*($AP$3+#REF!),-1),""))</f>
        <v/>
      </c>
      <c r="CY78" s="502"/>
      <c r="CZ78" s="503" t="str">
        <f>IF($G78="","",IF(AND($G78&gt;=30,$AT$3&lt;=CY$7),ROUND(CY78*($AP$3+#REF!),-1),""))</f>
        <v/>
      </c>
      <c r="DA78" s="503"/>
      <c r="DB78" s="503" t="str">
        <f>IF($G78="","",IF(AND($G78&gt;=30,$AT$3&lt;=DA$7),ROUND(DA78*($AP$3+#REF!),-1),""))</f>
        <v/>
      </c>
      <c r="DC78" s="502"/>
      <c r="DD78" s="503" t="str">
        <f>IF($G78="","",IF(AND($G78&gt;=30,$AT$3&lt;=DC$7),ROUND(DC78*($AP$3+#REF!),-1),""))</f>
        <v/>
      </c>
      <c r="DE78" s="503"/>
      <c r="DF78" s="503" t="str">
        <f>IF($G78="","",IF(AND($G78&gt;=30,$AT$3&lt;=DE$7),ROUND(DE78*($AP$3+#REF!),-1),""))</f>
        <v/>
      </c>
      <c r="DG78" s="503"/>
      <c r="DH78" s="503" t="str">
        <f>IF($G78="","",IF(AND($G78&gt;=30,$AT$3&lt;=DG$7),ROUND(DG78*($AP$3+#REF!),-1),""))</f>
        <v/>
      </c>
      <c r="DI78" s="503"/>
      <c r="DJ78" s="503" t="str">
        <f>IF($G78="","",IF(AND($G78&gt;=30,$AT$3&lt;=DI$7),ROUND(DI78*($AP$3+#REF!),-1),""))</f>
        <v/>
      </c>
      <c r="DK78" s="503"/>
      <c r="DL78" s="503" t="str">
        <f>IF($G78="","",IF(AND($G78&gt;=30,$AT$3&lt;=DK$7),ROUND(DK78*($AP$3+#REF!),-1),""))</f>
        <v/>
      </c>
      <c r="DM78" s="503"/>
      <c r="DN78" s="503" t="str">
        <f>IF($G78="","",IF(AND($G78&gt;=30,$AT$3&lt;=DM$7),ROUND(DM78*($AP$3+#REF!),-1),""))</f>
        <v/>
      </c>
      <c r="DO78" s="503"/>
      <c r="DP78" s="503" t="str">
        <f>IF($G78="","",IF(AND($G78&gt;=30,$AT$3&lt;=DO$7),ROUND(DO78*($AP$3+#REF!),-1),""))</f>
        <v/>
      </c>
      <c r="DQ78" s="503"/>
      <c r="DR78" s="503" t="str">
        <f>IF($G78="","",IF(AND($G78&gt;=30,$AT$3&lt;=DQ$7),ROUND(DQ78*($AP$3+#REF!),-1),""))</f>
        <v/>
      </c>
      <c r="DS78" s="503"/>
      <c r="DT78" s="503" t="str">
        <f>IF($G78="","",IF(AND($G78&gt;=30,$AT$3&lt;=DS$7),ROUND(DS78*($AP$3+#REF!),-1),""))</f>
        <v/>
      </c>
      <c r="DU78" s="503"/>
      <c r="DV78" s="503" t="str">
        <f>IF($G78="","",IF(AND($G78&gt;=30,$AT$3&lt;=DU$7),ROUND(DU78*($AP$3+#REF!),-1),""))</f>
        <v/>
      </c>
      <c r="DW78" s="503"/>
      <c r="DX78" s="503" t="str">
        <f>IF($G78="","",IF(AND($G78&gt;=30,$AT$3&lt;=DW$7),ROUND(DW78*($AP$3+#REF!),-1),""))</f>
        <v/>
      </c>
      <c r="DY78" s="503"/>
      <c r="DZ78" s="503" t="str">
        <f>IF($G78="","",IF(AND($G78&gt;=30,$AT$3&lt;=DY$7),ROUND(DY78*($AP$3+#REF!),-1),""))</f>
        <v/>
      </c>
      <c r="EA78" s="503"/>
      <c r="EB78" s="503" t="str">
        <f>IF($G78="","",IF(AND($G78&gt;=30,$AT$3&lt;=EA$7),ROUND(EA78*($AP$3+#REF!),-1),""))</f>
        <v/>
      </c>
      <c r="EC78" s="504" t="s">
        <v>621</v>
      </c>
      <c r="ED78" s="1126"/>
      <c r="EE78" s="325">
        <v>10</v>
      </c>
    </row>
    <row r="79" spans="1:168" ht="9.75" customHeight="1">
      <c r="A79" s="321" t="str">
        <f t="shared" si="21"/>
        <v/>
      </c>
      <c r="B79" s="567" t="e">
        <f>(ii!$D$13*12+V79)+1</f>
        <v>#REF!</v>
      </c>
      <c r="C79" s="337">
        <f t="shared" si="30"/>
        <v>44530</v>
      </c>
      <c r="D79" s="484">
        <f t="shared" si="25"/>
        <v>2021</v>
      </c>
      <c r="E79" s="484">
        <f t="shared" si="26"/>
        <v>0.91666666666666663</v>
      </c>
      <c r="F79" s="484">
        <f t="shared" si="27"/>
        <v>2021.9166666666667</v>
      </c>
      <c r="G79" s="485" t="str">
        <f>IF(OR(C79&lt;$I$2,C79&gt;$J$3),"",(ii!$D$13*12+V79+1)/12)</f>
        <v/>
      </c>
      <c r="H79" s="486"/>
      <c r="I79" s="486"/>
      <c r="J79" s="487"/>
      <c r="K79" s="488"/>
      <c r="L79" s="548"/>
      <c r="M79" s="489" t="str">
        <f t="shared" si="12"/>
        <v/>
      </c>
      <c r="N79" s="490" t="s">
        <v>621</v>
      </c>
      <c r="O79" s="490" t="str">
        <f t="shared" si="28"/>
        <v/>
      </c>
      <c r="P79" s="491"/>
      <c r="Q79" s="491"/>
      <c r="R79" s="491" t="str">
        <f t="shared" si="29"/>
        <v/>
      </c>
      <c r="S79" s="528" t="str">
        <f t="shared" si="24"/>
        <v/>
      </c>
      <c r="T79" s="528" t="str">
        <f t="shared" si="23"/>
        <v/>
      </c>
      <c r="U79" s="493" t="str">
        <f>IF(H79="","",#REF!*12+#REF!+#REF!*12+#REF!)</f>
        <v/>
      </c>
      <c r="V79" s="338" t="e">
        <f>IF(ii!$J$3&gt;gg!C79,"",IF(AND((YEAR(C79)=YEAR($I$2)),MONTH(C79)=MONTH($I$2)),ii!$B$14*12+ii!$C$14+ii!$B$15*12+ii!$C$15-1,V78+1))</f>
        <v>#REF!</v>
      </c>
      <c r="W79" s="339" t="e">
        <f t="shared" si="10"/>
        <v>#REF!</v>
      </c>
      <c r="X79" s="494" t="s">
        <v>621</v>
      </c>
      <c r="Y79" s="495" t="s">
        <v>621</v>
      </c>
      <c r="Z79" s="496"/>
      <c r="AA79" s="497"/>
      <c r="AB79" s="498" t="str">
        <f t="shared" si="19"/>
        <v/>
      </c>
      <c r="AC79" s="484" t="str">
        <f t="shared" si="15"/>
        <v/>
      </c>
      <c r="AD79" s="495" t="str">
        <f t="shared" si="16"/>
        <v/>
      </c>
      <c r="AE79" s="499" t="s">
        <v>621</v>
      </c>
      <c r="AF79" s="500" t="s">
        <v>621</v>
      </c>
      <c r="AG79" s="556" t="s">
        <v>621</v>
      </c>
      <c r="AH79" s="503" t="str">
        <f>IF($G79="","",IF(AND($G79&gt;=30,$AT$3&lt;=AG$7),ROUND(AG79*($AP$3+#REF!),-1),""))</f>
        <v/>
      </c>
      <c r="AI79" s="506" t="s">
        <v>621</v>
      </c>
      <c r="AJ79" s="503" t="str">
        <f>IF($G79="","",IF(AND($G79&gt;=30,$AT$3&lt;=AI$7),ROUND(AI79*($AP$3+#REF!),-1),""))</f>
        <v/>
      </c>
      <c r="AK79" s="506" t="s">
        <v>621</v>
      </c>
      <c r="AL79" s="503" t="str">
        <f>IF($G79="","",IF(AND($G79&gt;=30,$AT$3&lt;=AK$7),ROUND(AK79*($AP$3+#REF!),-1),""))</f>
        <v/>
      </c>
      <c r="AM79" s="506" t="s">
        <v>621</v>
      </c>
      <c r="AN79" s="503" t="str">
        <f>IF($G79="","",IF(AND($G79&gt;=30,$AT$3&lt;=AM$7),ROUND(AM79*($AP$3+#REF!),-1),""))</f>
        <v/>
      </c>
      <c r="AO79" s="503" t="e">
        <v>#REF!</v>
      </c>
      <c r="AP79" s="503" t="str">
        <f>IF($G79="","",IF(AND($G79&gt;=30,$AT$3&lt;=AO$7),ROUND(AO79*($AP$3+#REF!),-1),""))</f>
        <v/>
      </c>
      <c r="AQ79" s="517" t="e">
        <v>#REF!</v>
      </c>
      <c r="AR79" s="503" t="str">
        <f>IF($G79="","",IF(AND($G79&gt;=30,$AT$3&lt;=AQ$7),ROUND(AQ79*($AP$3+#REF!),-1),""))</f>
        <v/>
      </c>
      <c r="AS79" s="503"/>
      <c r="AT79" s="503" t="str">
        <f>IF($G79="","",IF(AND($G79&gt;=30,$AT$3&lt;=AS$7),ROUND(AS79*($AP$3+#REF!),-1),""))</f>
        <v/>
      </c>
      <c r="AU79" s="502"/>
      <c r="AV79" s="503" t="str">
        <f>IF($G79="","",IF(AND($G79&gt;=30,$AT$3&lt;=AU$7),ROUND(AU79*($AP$3+#REF!),-1),""))</f>
        <v/>
      </c>
      <c r="AW79" s="503"/>
      <c r="AX79" s="503" t="str">
        <f>IF($G79="","",IF(AND($G79&gt;=30,$AT$3&lt;=AW$7),ROUND(AW79*($AP$3+#REF!),-1),""))</f>
        <v/>
      </c>
      <c r="AY79" s="502"/>
      <c r="AZ79" s="503" t="str">
        <f>IF($G79="","",IF(AND($G79&gt;=30,$AT$3&lt;=AY$7),ROUND(AY79*($AP$3+#REF!),-1),""))</f>
        <v/>
      </c>
      <c r="BA79" s="503"/>
      <c r="BB79" s="503" t="str">
        <f>IF($G79="","",IF(AND($G79&gt;=30,$AT$3&lt;=BA$7),ROUND(BA79*($AP$3+#REF!),-1),""))</f>
        <v/>
      </c>
      <c r="BC79" s="502"/>
      <c r="BD79" s="503" t="str">
        <f>IF($G79="","",IF(AND($G79&gt;=30,$AT$3&lt;=BC$7),ROUND(BC79*($AP$3+#REF!),-1),""))</f>
        <v/>
      </c>
      <c r="BE79" s="503"/>
      <c r="BF79" s="503" t="str">
        <f>IF($G79="","",IF(AND($G79&gt;=30,$AT$3&lt;=BE$7),ROUND(BE79*($AP$3+#REF!),-1),""))</f>
        <v/>
      </c>
      <c r="BG79" s="502"/>
      <c r="BH79" s="503" t="str">
        <f>IF($G79="","",IF(AND($G79&gt;=30,$AT$3&lt;=BG$7),ROUND(BG79*($AP$3+#REF!),-1),""))</f>
        <v/>
      </c>
      <c r="BI79" s="503"/>
      <c r="BJ79" s="503" t="str">
        <f>IF($G79="","",IF(AND($G79&gt;=30,$AT$3&lt;=BI$7),ROUND(BI79*($AP$3+#REF!),-1),""))</f>
        <v/>
      </c>
      <c r="BK79" s="502"/>
      <c r="BL79" s="503" t="str">
        <f>IF($G79="","",IF(AND($G79&gt;=30,$AT$3&lt;=BK$7),ROUND(BK79*($AP$3+#REF!),-1),""))</f>
        <v/>
      </c>
      <c r="BM79" s="503"/>
      <c r="BN79" s="503" t="str">
        <f>IF($G79="","",IF(AND($G79&gt;=30,$AT$3&lt;=BM$7),ROUND(BM79*($AP$3+#REF!),-1),""))</f>
        <v/>
      </c>
      <c r="BO79" s="502"/>
      <c r="BP79" s="503" t="str">
        <f>IF($G79="","",IF(AND($G79&gt;=30,$AT$3&lt;=BO$7),ROUND(BO79*($AP$3+#REF!),-1),""))</f>
        <v/>
      </c>
      <c r="BQ79" s="503"/>
      <c r="BR79" s="503" t="str">
        <f>IF($G79="","",IF(AND($G79&gt;=30,$AT$3&lt;=BQ$7),ROUND(BQ79*($AP$3+#REF!),-1),""))</f>
        <v/>
      </c>
      <c r="BS79" s="502"/>
      <c r="BT79" s="503" t="str">
        <f>IF($G79="","",IF(AND($G79&gt;=30,$AT$3&lt;=BS$7),ROUND(BS79*($AP$3+#REF!),-1),""))</f>
        <v/>
      </c>
      <c r="BU79" s="503"/>
      <c r="BV79" s="503" t="str">
        <f>IF($G79="","",IF(AND($G79&gt;=30,$AT$3&lt;=BU$7),ROUND(BU79*($AP$3+#REF!),-1),""))</f>
        <v/>
      </c>
      <c r="BW79" s="502"/>
      <c r="BX79" s="503" t="str">
        <f>IF($G79="","",IF(AND($G79&gt;=30,$AT$3&lt;=BW$7),ROUND(BW79*($AP$3+#REF!),-1),""))</f>
        <v/>
      </c>
      <c r="BY79" s="503"/>
      <c r="BZ79" s="503" t="str">
        <f>IF($G79="","",IF(AND($G79&gt;=30,$AT$3&lt;=BY$7),ROUND(BY79*($AP$3+#REF!),-1),""))</f>
        <v/>
      </c>
      <c r="CA79" s="502"/>
      <c r="CB79" s="503" t="str">
        <f>IF($G79="","",IF(AND($G79&gt;=30,$AT$3&lt;=CA$7),ROUND(CA79*($AP$3+#REF!),-1),""))</f>
        <v/>
      </c>
      <c r="CC79" s="503"/>
      <c r="CD79" s="503" t="str">
        <f>IF($G79="","",IF(AND($G79&gt;=30,$AT$3&lt;=CC$7),ROUND(CC79*($AP$3+#REF!),-1),""))</f>
        <v/>
      </c>
      <c r="CE79" s="502"/>
      <c r="CF79" s="503" t="str">
        <f>IF($G79="","",IF(AND($G79&gt;=30,$AT$3&lt;=CE$7),ROUND(CE79*($AP$3+#REF!),-1),""))</f>
        <v/>
      </c>
      <c r="CG79" s="503"/>
      <c r="CH79" s="503" t="str">
        <f>IF($G79="","",IF(AND($G79&gt;=30,$AT$3&lt;=CG$7),ROUND(CG79*($AP$3+#REF!),-1),""))</f>
        <v/>
      </c>
      <c r="CI79" s="502"/>
      <c r="CJ79" s="503" t="str">
        <f>IF($G79="","",IF(AND($G79&gt;=30,$AT$3&lt;=CI$7),ROUND(CI79*($AP$3+#REF!),-1),""))</f>
        <v/>
      </c>
      <c r="CK79" s="503"/>
      <c r="CL79" s="503" t="str">
        <f>IF($G79="","",IF(AND($G79&gt;=30,$AT$3&lt;=CK$7),ROUND(CK79*($AP$3+#REF!),-1),""))</f>
        <v/>
      </c>
      <c r="CM79" s="502"/>
      <c r="CN79" s="503" t="str">
        <f>IF($G79="","",IF(AND($G79&gt;=30,$AT$3&lt;=CM$7),ROUND(CM79*($AP$3+#REF!),-1),""))</f>
        <v/>
      </c>
      <c r="CO79" s="503"/>
      <c r="CP79" s="503" t="str">
        <f>IF($G79="","",IF(AND($G79&gt;=30,$AT$3&lt;=CO$7),ROUND(CO79*($AP$3+#REF!),-1),""))</f>
        <v/>
      </c>
      <c r="CQ79" s="502"/>
      <c r="CR79" s="503" t="str">
        <f>IF($G79="","",IF(AND($G79&gt;=30,$AT$3&lt;=CQ$7),ROUND(CQ79*($AP$3+#REF!),-1),""))</f>
        <v/>
      </c>
      <c r="CS79" s="503"/>
      <c r="CT79" s="503" t="str">
        <f>IF($G79="","",IF(AND($G79&gt;=30,$AT$3&lt;=CS$7),ROUND(CS79*($AP$3+#REF!),-1),""))</f>
        <v/>
      </c>
      <c r="CU79" s="502"/>
      <c r="CV79" s="503" t="str">
        <f>IF($G79="","",IF(AND($G79&gt;=30,$AT$3&lt;=CU$7),ROUND(CU79*($AP$3+#REF!),-1),""))</f>
        <v/>
      </c>
      <c r="CW79" s="503"/>
      <c r="CX79" s="503" t="str">
        <f>IF($G79="","",IF(AND($G79&gt;=30,$AT$3&lt;=CW$7),ROUND(CW79*($AP$3+#REF!),-1),""))</f>
        <v/>
      </c>
      <c r="CY79" s="502"/>
      <c r="CZ79" s="503" t="str">
        <f>IF($G79="","",IF(AND($G79&gt;=30,$AT$3&lt;=CY$7),ROUND(CY79*($AP$3+#REF!),-1),""))</f>
        <v/>
      </c>
      <c r="DA79" s="503"/>
      <c r="DB79" s="503" t="str">
        <f>IF($G79="","",IF(AND($G79&gt;=30,$AT$3&lt;=DA$7),ROUND(DA79*($AP$3+#REF!),-1),""))</f>
        <v/>
      </c>
      <c r="DC79" s="502"/>
      <c r="DD79" s="503" t="str">
        <f>IF($G79="","",IF(AND($G79&gt;=30,$AT$3&lt;=DC$7),ROUND(DC79*($AP$3+#REF!),-1),""))</f>
        <v/>
      </c>
      <c r="DE79" s="503"/>
      <c r="DF79" s="503" t="str">
        <f>IF($G79="","",IF(AND($G79&gt;=30,$AT$3&lt;=DE$7),ROUND(DE79*($AP$3+#REF!),-1),""))</f>
        <v/>
      </c>
      <c r="DG79" s="503"/>
      <c r="DH79" s="503" t="str">
        <f>IF($G79="","",IF(AND($G79&gt;=30,$AT$3&lt;=DG$7),ROUND(DG79*($AP$3+#REF!),-1),""))</f>
        <v/>
      </c>
      <c r="DI79" s="503"/>
      <c r="DJ79" s="503" t="str">
        <f>IF($G79="","",IF(AND($G79&gt;=30,$AT$3&lt;=DI$7),ROUND(DI79*($AP$3+#REF!),-1),""))</f>
        <v/>
      </c>
      <c r="DK79" s="503"/>
      <c r="DL79" s="503" t="str">
        <f>IF($G79="","",IF(AND($G79&gt;=30,$AT$3&lt;=DK$7),ROUND(DK79*($AP$3+#REF!),-1),""))</f>
        <v/>
      </c>
      <c r="DM79" s="503"/>
      <c r="DN79" s="503" t="str">
        <f>IF($G79="","",IF(AND($G79&gt;=30,$AT$3&lt;=DM$7),ROUND(DM79*($AP$3+#REF!),-1),""))</f>
        <v/>
      </c>
      <c r="DO79" s="503"/>
      <c r="DP79" s="503" t="str">
        <f>IF($G79="","",IF(AND($G79&gt;=30,$AT$3&lt;=DO$7),ROUND(DO79*($AP$3+#REF!),-1),""))</f>
        <v/>
      </c>
      <c r="DQ79" s="503"/>
      <c r="DR79" s="503" t="str">
        <f>IF($G79="","",IF(AND($G79&gt;=30,$AT$3&lt;=DQ$7),ROUND(DQ79*($AP$3+#REF!),-1),""))</f>
        <v/>
      </c>
      <c r="DS79" s="503"/>
      <c r="DT79" s="503" t="str">
        <f>IF($G79="","",IF(AND($G79&gt;=30,$AT$3&lt;=DS$7),ROUND(DS79*($AP$3+#REF!),-1),""))</f>
        <v/>
      </c>
      <c r="DU79" s="503"/>
      <c r="DV79" s="503" t="str">
        <f>IF($G79="","",IF(AND($G79&gt;=30,$AT$3&lt;=DU$7),ROUND(DU79*($AP$3+#REF!),-1),""))</f>
        <v/>
      </c>
      <c r="DW79" s="503"/>
      <c r="DX79" s="503" t="str">
        <f>IF($G79="","",IF(AND($G79&gt;=30,$AT$3&lt;=DW$7),ROUND(DW79*($AP$3+#REF!),-1),""))</f>
        <v/>
      </c>
      <c r="DY79" s="503"/>
      <c r="DZ79" s="503" t="str">
        <f>IF($G79="","",IF(AND($G79&gt;=30,$AT$3&lt;=DY$7),ROUND(DY79*($AP$3+#REF!),-1),""))</f>
        <v/>
      </c>
      <c r="EA79" s="503"/>
      <c r="EB79" s="503" t="str">
        <f>IF($G79="","",IF(AND($G79&gt;=30,$AT$3&lt;=EA$7),ROUND(EA79*($AP$3+#REF!),-1),""))</f>
        <v/>
      </c>
      <c r="EC79" s="504" t="s">
        <v>621</v>
      </c>
      <c r="ED79" s="1126"/>
      <c r="EE79" s="325">
        <v>11</v>
      </c>
    </row>
    <row r="80" spans="1:168" ht="9.75" customHeight="1">
      <c r="A80" s="321" t="str">
        <f t="shared" si="21"/>
        <v/>
      </c>
      <c r="B80" s="567" t="e">
        <f>(ii!$D$13*12+V80)+1</f>
        <v>#REF!</v>
      </c>
      <c r="C80" s="337">
        <f t="shared" si="30"/>
        <v>44561</v>
      </c>
      <c r="D80" s="484">
        <f t="shared" si="25"/>
        <v>2021</v>
      </c>
      <c r="E80" s="484">
        <f t="shared" si="26"/>
        <v>1</v>
      </c>
      <c r="F80" s="484">
        <f t="shared" si="27"/>
        <v>2022</v>
      </c>
      <c r="G80" s="485" t="str">
        <f>IF(OR(C80&lt;$I$2,C80&gt;$J$3),"",(ii!$D$13*12+V80+1)/12)</f>
        <v/>
      </c>
      <c r="H80" s="486"/>
      <c r="I80" s="486"/>
      <c r="J80" s="487"/>
      <c r="K80" s="488"/>
      <c r="L80" s="548"/>
      <c r="M80" s="489" t="str">
        <f t="shared" si="12"/>
        <v/>
      </c>
      <c r="N80" s="490" t="s">
        <v>621</v>
      </c>
      <c r="O80" s="490" t="str">
        <f t="shared" si="28"/>
        <v/>
      </c>
      <c r="P80" s="491"/>
      <c r="Q80" s="491"/>
      <c r="R80" s="491" t="str">
        <f t="shared" si="29"/>
        <v/>
      </c>
      <c r="S80" s="528" t="str">
        <f t="shared" si="24"/>
        <v/>
      </c>
      <c r="T80" s="528" t="str">
        <f t="shared" si="23"/>
        <v/>
      </c>
      <c r="U80" s="493" t="str">
        <f>IF(H80="","",#REF!*12+#REF!+#REF!*12+#REF!)</f>
        <v/>
      </c>
      <c r="V80" s="338" t="e">
        <f>IF(ii!$J$3&gt;gg!C80,"",IF(AND((YEAR(C80)=YEAR($I$2)),MONTH(C80)=MONTH($I$2)),ii!$B$14*12+ii!$C$14+ii!$B$15*12+ii!$C$15-1,V79+1))</f>
        <v>#REF!</v>
      </c>
      <c r="W80" s="339" t="e">
        <f t="shared" si="10"/>
        <v>#REF!</v>
      </c>
      <c r="X80" s="494" t="s">
        <v>621</v>
      </c>
      <c r="Y80" s="495" t="s">
        <v>621</v>
      </c>
      <c r="Z80" s="496"/>
      <c r="AA80" s="497"/>
      <c r="AB80" s="498" t="str">
        <f t="shared" si="19"/>
        <v/>
      </c>
      <c r="AC80" s="484" t="str">
        <f t="shared" si="15"/>
        <v/>
      </c>
      <c r="AD80" s="495" t="str">
        <f t="shared" si="16"/>
        <v/>
      </c>
      <c r="AE80" s="499" t="s">
        <v>621</v>
      </c>
      <c r="AF80" s="500" t="s">
        <v>621</v>
      </c>
      <c r="AG80" s="556" t="s">
        <v>621</v>
      </c>
      <c r="AH80" s="503" t="str">
        <f>IF($G80="","",IF(AND($G80&gt;=30,$AT$3&lt;=AG$7),ROUND(AG80*($AP$3+#REF!),-1),""))</f>
        <v/>
      </c>
      <c r="AI80" s="506" t="s">
        <v>621</v>
      </c>
      <c r="AJ80" s="503" t="str">
        <f>IF($G80="","",IF(AND($G80&gt;=30,$AT$3&lt;=AI$7),ROUND(AI80*($AP$3+#REF!),-1),""))</f>
        <v/>
      </c>
      <c r="AK80" s="506" t="s">
        <v>621</v>
      </c>
      <c r="AL80" s="503" t="str">
        <f>IF($G80="","",IF(AND($G80&gt;=30,$AT$3&lt;=AK$7),ROUND(AK80*($AP$3+#REF!),-1),""))</f>
        <v/>
      </c>
      <c r="AM80" s="506" t="s">
        <v>621</v>
      </c>
      <c r="AN80" s="503" t="str">
        <f>IF($G80="","",IF(AND($G80&gt;=30,$AT$3&lt;=AM$7),ROUND(AM80*($AP$3+#REF!),-1),""))</f>
        <v/>
      </c>
      <c r="AO80" s="503" t="e">
        <v>#REF!</v>
      </c>
      <c r="AP80" s="503" t="str">
        <f>IF($G80="","",IF(AND($G80&gt;=30,$AT$3&lt;=AO$7),ROUND(AO80*($AP$3+#REF!),-1),""))</f>
        <v/>
      </c>
      <c r="AQ80" s="517" t="e">
        <v>#REF!</v>
      </c>
      <c r="AR80" s="503" t="str">
        <f>IF($G80="","",IF(AND($G80&gt;=30,$AT$3&lt;=AQ$7),ROUND(AQ80*($AP$3+#REF!),-1),""))</f>
        <v/>
      </c>
      <c r="AS80" s="562"/>
      <c r="AT80" s="503" t="str">
        <f>IF($G80="","",IF(AND($G80&gt;=30,$AT$3&lt;=AS$7),ROUND(AS80*($AP$3+#REF!),-1),""))</f>
        <v/>
      </c>
      <c r="AU80" s="502"/>
      <c r="AV80" s="503" t="str">
        <f>IF($G80="","",IF(AND($G80&gt;=30,$AT$3&lt;=AU$7),ROUND(AU80*($AP$3+#REF!),-1),""))</f>
        <v/>
      </c>
      <c r="AW80" s="503"/>
      <c r="AX80" s="503" t="str">
        <f>IF($G80="","",IF(AND($G80&gt;=30,$AT$3&lt;=AW$7),ROUND(AW80*($AP$3+#REF!),-1),""))</f>
        <v/>
      </c>
      <c r="AY80" s="502"/>
      <c r="AZ80" s="503" t="str">
        <f>IF($G80="","",IF(AND($G80&gt;=30,$AT$3&lt;=AY$7),ROUND(AY80*($AP$3+#REF!),-1),""))</f>
        <v/>
      </c>
      <c r="BA80" s="503"/>
      <c r="BB80" s="503" t="str">
        <f>IF($G80="","",IF(AND($G80&gt;=30,$AT$3&lt;=BA$7),ROUND(BA80*($AP$3+#REF!),-1),""))</f>
        <v/>
      </c>
      <c r="BC80" s="502"/>
      <c r="BD80" s="503" t="str">
        <f>IF($G80="","",IF(AND($G80&gt;=30,$AT$3&lt;=BC$7),ROUND(BC80*($AP$3+#REF!),-1),""))</f>
        <v/>
      </c>
      <c r="BE80" s="503"/>
      <c r="BF80" s="503" t="str">
        <f>IF($G80="","",IF(AND($G80&gt;=30,$AT$3&lt;=BE$7),ROUND(BE80*($AP$3+#REF!),-1),""))</f>
        <v/>
      </c>
      <c r="BG80" s="502"/>
      <c r="BH80" s="503" t="str">
        <f>IF($G80="","",IF(AND($G80&gt;=30,$AT$3&lt;=BG$7),ROUND(BG80*($AP$3+#REF!),-1),""))</f>
        <v/>
      </c>
      <c r="BI80" s="503"/>
      <c r="BJ80" s="503" t="str">
        <f>IF($G80="","",IF(AND($G80&gt;=30,$AT$3&lt;=BI$7),ROUND(BI80*($AP$3+#REF!),-1),""))</f>
        <v/>
      </c>
      <c r="BK80" s="502"/>
      <c r="BL80" s="503" t="str">
        <f>IF($G80="","",IF(AND($G80&gt;=30,$AT$3&lt;=BK$7),ROUND(BK80*($AP$3+#REF!),-1),""))</f>
        <v/>
      </c>
      <c r="BM80" s="503"/>
      <c r="BN80" s="503" t="str">
        <f>IF($G80="","",IF(AND($G80&gt;=30,$AT$3&lt;=BM$7),ROUND(BM80*($AP$3+#REF!),-1),""))</f>
        <v/>
      </c>
      <c r="BO80" s="502"/>
      <c r="BP80" s="503" t="str">
        <f>IF($G80="","",IF(AND($G80&gt;=30,$AT$3&lt;=BO$7),ROUND(BO80*($AP$3+#REF!),-1),""))</f>
        <v/>
      </c>
      <c r="BQ80" s="503"/>
      <c r="BR80" s="503" t="str">
        <f>IF($G80="","",IF(AND($G80&gt;=30,$AT$3&lt;=BQ$7),ROUND(BQ80*($AP$3+#REF!),-1),""))</f>
        <v/>
      </c>
      <c r="BS80" s="502"/>
      <c r="BT80" s="503" t="str">
        <f>IF($G80="","",IF(AND($G80&gt;=30,$AT$3&lt;=BS$7),ROUND(BS80*($AP$3+#REF!),-1),""))</f>
        <v/>
      </c>
      <c r="BU80" s="503"/>
      <c r="BV80" s="503" t="str">
        <f>IF($G80="","",IF(AND($G80&gt;=30,$AT$3&lt;=BU$7),ROUND(BU80*($AP$3+#REF!),-1),""))</f>
        <v/>
      </c>
      <c r="BW80" s="502"/>
      <c r="BX80" s="503" t="str">
        <f>IF($G80="","",IF(AND($G80&gt;=30,$AT$3&lt;=BW$7),ROUND(BW80*($AP$3+#REF!),-1),""))</f>
        <v/>
      </c>
      <c r="BY80" s="503"/>
      <c r="BZ80" s="503" t="str">
        <f>IF($G80="","",IF(AND($G80&gt;=30,$AT$3&lt;=BY$7),ROUND(BY80*($AP$3+#REF!),-1),""))</f>
        <v/>
      </c>
      <c r="CA80" s="502"/>
      <c r="CB80" s="503" t="str">
        <f>IF($G80="","",IF(AND($G80&gt;=30,$AT$3&lt;=CA$7),ROUND(CA80*($AP$3+#REF!),-1),""))</f>
        <v/>
      </c>
      <c r="CC80" s="503"/>
      <c r="CD80" s="503" t="str">
        <f>IF($G80="","",IF(AND($G80&gt;=30,$AT$3&lt;=CC$7),ROUND(CC80*($AP$3+#REF!),-1),""))</f>
        <v/>
      </c>
      <c r="CE80" s="502"/>
      <c r="CF80" s="503" t="str">
        <f>IF($G80="","",IF(AND($G80&gt;=30,$AT$3&lt;=CE$7),ROUND(CE80*($AP$3+#REF!),-1),""))</f>
        <v/>
      </c>
      <c r="CG80" s="503"/>
      <c r="CH80" s="503" t="str">
        <f>IF($G80="","",IF(AND($G80&gt;=30,$AT$3&lt;=CG$7),ROUND(CG80*($AP$3+#REF!),-1),""))</f>
        <v/>
      </c>
      <c r="CI80" s="502"/>
      <c r="CJ80" s="503" t="str">
        <f>IF($G80="","",IF(AND($G80&gt;=30,$AT$3&lt;=CI$7),ROUND(CI80*($AP$3+#REF!),-1),""))</f>
        <v/>
      </c>
      <c r="CK80" s="503"/>
      <c r="CL80" s="503" t="str">
        <f>IF($G80="","",IF(AND($G80&gt;=30,$AT$3&lt;=CK$7),ROUND(CK80*($AP$3+#REF!),-1),""))</f>
        <v/>
      </c>
      <c r="CM80" s="502"/>
      <c r="CN80" s="503" t="str">
        <f>IF($G80="","",IF(AND($G80&gt;=30,$AT$3&lt;=CM$7),ROUND(CM80*($AP$3+#REF!),-1),""))</f>
        <v/>
      </c>
      <c r="CO80" s="503"/>
      <c r="CP80" s="503" t="str">
        <f>IF($G80="","",IF(AND($G80&gt;=30,$AT$3&lt;=CO$7),ROUND(CO80*($AP$3+#REF!),-1),""))</f>
        <v/>
      </c>
      <c r="CQ80" s="502"/>
      <c r="CR80" s="503" t="str">
        <f>IF($G80="","",IF(AND($G80&gt;=30,$AT$3&lt;=CQ$7),ROUND(CQ80*($AP$3+#REF!),-1),""))</f>
        <v/>
      </c>
      <c r="CS80" s="503"/>
      <c r="CT80" s="503" t="str">
        <f>IF($G80="","",IF(AND($G80&gt;=30,$AT$3&lt;=CS$7),ROUND(CS80*($AP$3+#REF!),-1),""))</f>
        <v/>
      </c>
      <c r="CU80" s="502"/>
      <c r="CV80" s="503" t="str">
        <f>IF($G80="","",IF(AND($G80&gt;=30,$AT$3&lt;=CU$7),ROUND(CU80*($AP$3+#REF!),-1),""))</f>
        <v/>
      </c>
      <c r="CW80" s="503"/>
      <c r="CX80" s="503" t="str">
        <f>IF($G80="","",IF(AND($G80&gt;=30,$AT$3&lt;=CW$7),ROUND(CW80*($AP$3+#REF!),-1),""))</f>
        <v/>
      </c>
      <c r="CY80" s="502"/>
      <c r="CZ80" s="503" t="str">
        <f>IF($G80="","",IF(AND($G80&gt;=30,$AT$3&lt;=CY$7),ROUND(CY80*($AP$3+#REF!),-1),""))</f>
        <v/>
      </c>
      <c r="DA80" s="503"/>
      <c r="DB80" s="503" t="str">
        <f>IF($G80="","",IF(AND($G80&gt;=30,$AT$3&lt;=DA$7),ROUND(DA80*($AP$3+#REF!),-1),""))</f>
        <v/>
      </c>
      <c r="DC80" s="502"/>
      <c r="DD80" s="503" t="str">
        <f>IF($G80="","",IF(AND($G80&gt;=30,$AT$3&lt;=DC$7),ROUND(DC80*($AP$3+#REF!),-1),""))</f>
        <v/>
      </c>
      <c r="DE80" s="503"/>
      <c r="DF80" s="503" t="str">
        <f>IF($G80="","",IF(AND($G80&gt;=30,$AT$3&lt;=DE$7),ROUND(DE80*($AP$3+#REF!),-1),""))</f>
        <v/>
      </c>
      <c r="DG80" s="503"/>
      <c r="DH80" s="503" t="str">
        <f>IF($G80="","",IF(AND($G80&gt;=30,$AT$3&lt;=DG$7),ROUND(DG80*($AP$3+#REF!),-1),""))</f>
        <v/>
      </c>
      <c r="DI80" s="503"/>
      <c r="DJ80" s="503" t="str">
        <f>IF($G80="","",IF(AND($G80&gt;=30,$AT$3&lt;=DI$7),ROUND(DI80*($AP$3+#REF!),-1),""))</f>
        <v/>
      </c>
      <c r="DK80" s="503"/>
      <c r="DL80" s="503" t="str">
        <f>IF($G80="","",IF(AND($G80&gt;=30,$AT$3&lt;=DK$7),ROUND(DK80*($AP$3+#REF!),-1),""))</f>
        <v/>
      </c>
      <c r="DM80" s="503"/>
      <c r="DN80" s="503" t="str">
        <f>IF($G80="","",IF(AND($G80&gt;=30,$AT$3&lt;=DM$7),ROUND(DM80*($AP$3+#REF!),-1),""))</f>
        <v/>
      </c>
      <c r="DO80" s="503"/>
      <c r="DP80" s="503" t="str">
        <f>IF($G80="","",IF(AND($G80&gt;=30,$AT$3&lt;=DO$7),ROUND(DO80*($AP$3+#REF!),-1),""))</f>
        <v/>
      </c>
      <c r="DQ80" s="503"/>
      <c r="DR80" s="503" t="str">
        <f>IF($G80="","",IF(AND($G80&gt;=30,$AT$3&lt;=DQ$7),ROUND(DQ80*($AP$3+#REF!),-1),""))</f>
        <v/>
      </c>
      <c r="DS80" s="503"/>
      <c r="DT80" s="503" t="str">
        <f>IF($G80="","",IF(AND($G80&gt;=30,$AT$3&lt;=DS$7),ROUND(DS80*($AP$3+#REF!),-1),""))</f>
        <v/>
      </c>
      <c r="DU80" s="503"/>
      <c r="DV80" s="503" t="str">
        <f>IF($G80="","",IF(AND($G80&gt;=30,$AT$3&lt;=DU$7),ROUND(DU80*($AP$3+#REF!),-1),""))</f>
        <v/>
      </c>
      <c r="DW80" s="503"/>
      <c r="DX80" s="503" t="str">
        <f>IF($G80="","",IF(AND($G80&gt;=30,$AT$3&lt;=DW$7),ROUND(DW80*($AP$3+#REF!),-1),""))</f>
        <v/>
      </c>
      <c r="DY80" s="503"/>
      <c r="DZ80" s="503" t="str">
        <f>IF($G80="","",IF(AND($G80&gt;=30,$AT$3&lt;=DY$7),ROUND(DY80*($AP$3+#REF!),-1),""))</f>
        <v/>
      </c>
      <c r="EA80" s="503"/>
      <c r="EB80" s="503" t="str">
        <f>IF($G80="","",IF(AND($G80&gt;=30,$AT$3&lt;=EA$7),ROUND(EA80*($AP$3+#REF!),-1),""))</f>
        <v/>
      </c>
      <c r="EC80" s="504" t="s">
        <v>621</v>
      </c>
      <c r="ED80" s="1126"/>
      <c r="EE80" s="325">
        <v>12</v>
      </c>
    </row>
    <row r="81" spans="1:135" ht="9.75" customHeight="1">
      <c r="A81" s="321" t="str">
        <f t="shared" si="21"/>
        <v/>
      </c>
      <c r="B81" s="567" t="e">
        <f>(ii!$D$13*12+V81)+1</f>
        <v>#REF!</v>
      </c>
      <c r="C81" s="345">
        <f t="shared" si="30"/>
        <v>44592</v>
      </c>
      <c r="D81" s="340">
        <f t="shared" si="25"/>
        <v>2022</v>
      </c>
      <c r="E81" s="340">
        <f t="shared" si="26"/>
        <v>8.3333333333333329E-2</v>
      </c>
      <c r="F81" s="340">
        <f t="shared" si="27"/>
        <v>2022.0833333333333</v>
      </c>
      <c r="G81" s="563" t="str">
        <f>IF(OR(C81&lt;$I$2,C81&gt;$J$3),"",(ii!$D$13*12+V81+1)/12)</f>
        <v/>
      </c>
      <c r="H81" s="532"/>
      <c r="I81" s="532"/>
      <c r="J81" s="533"/>
      <c r="K81" s="553"/>
      <c r="L81" s="534"/>
      <c r="M81" s="535" t="str">
        <f t="shared" si="12"/>
        <v/>
      </c>
      <c r="N81" s="536" t="s">
        <v>621</v>
      </c>
      <c r="O81" s="536" t="str">
        <f t="shared" si="28"/>
        <v/>
      </c>
      <c r="P81" s="537"/>
      <c r="Q81" s="537"/>
      <c r="R81" s="533" t="str">
        <f t="shared" si="29"/>
        <v/>
      </c>
      <c r="S81" s="538" t="str">
        <f t="shared" si="24"/>
        <v/>
      </c>
      <c r="T81" s="538" t="str">
        <f t="shared" si="23"/>
        <v/>
      </c>
      <c r="U81" s="539" t="str">
        <f>IF(H81="","",#REF!*12+#REF!+#REF!*12+#REF!)</f>
        <v/>
      </c>
      <c r="V81" s="338" t="e">
        <f>IF(ii!$J$3&gt;gg!C81,"",IF(AND((YEAR(C81)=YEAR($I$2)),MONTH(C81)=MONTH($I$2)),ii!$B$14*12+ii!$C$14+ii!$B$15*12+ii!$C$15-1,V80+1))</f>
        <v>#REF!</v>
      </c>
      <c r="W81" s="339" t="e">
        <f t="shared" si="10"/>
        <v>#REF!</v>
      </c>
      <c r="X81" s="540" t="s">
        <v>621</v>
      </c>
      <c r="Y81" s="538" t="s">
        <v>621</v>
      </c>
      <c r="Z81" s="541">
        <f>Z69+$Z$26</f>
        <v>0.12</v>
      </c>
      <c r="AA81" s="542" t="str">
        <f>IF(Y81="","",(Y81-Y80)/Y80)</f>
        <v/>
      </c>
      <c r="AB81" s="543" t="str">
        <f t="shared" si="19"/>
        <v/>
      </c>
      <c r="AC81" s="544" t="str">
        <f t="shared" si="15"/>
        <v/>
      </c>
      <c r="AD81" s="534" t="str">
        <f t="shared" si="16"/>
        <v/>
      </c>
      <c r="AE81" s="554" t="s">
        <v>621</v>
      </c>
      <c r="AF81" s="546" t="s">
        <v>621</v>
      </c>
      <c r="AG81" s="558" t="s">
        <v>621</v>
      </c>
      <c r="AH81" s="547" t="str">
        <f>IF($G81="","",IF(AND($G81&gt;=30,$AT$3&lt;=AG$7),ROUND(AG81*($AP$3+#REF!),-1),""))</f>
        <v/>
      </c>
      <c r="AI81" s="558" t="s">
        <v>621</v>
      </c>
      <c r="AJ81" s="547" t="str">
        <f>IF($G81="","",IF(AND($G81&gt;=30,$AT$3&lt;=AI$7),ROUND(AI81*($AP$3+#REF!),-1),""))</f>
        <v/>
      </c>
      <c r="AK81" s="560" t="s">
        <v>621</v>
      </c>
      <c r="AL81" s="547" t="str">
        <f>IF($G81="","",IF(AND($G81&gt;=30,$AT$3&lt;=AK$7),ROUND(AK81*($AP$3+#REF!),-1),""))</f>
        <v/>
      </c>
      <c r="AM81" s="560" t="s">
        <v>621</v>
      </c>
      <c r="AN81" s="547" t="str">
        <f>IF($G81="","",IF(AND($G81&gt;=30,$AT$3&lt;=AM$7),ROUND(AM81*($AP$3+#REF!),-1),""))</f>
        <v/>
      </c>
      <c r="AO81" s="547" t="e">
        <v>#REF!</v>
      </c>
      <c r="AP81" s="547" t="str">
        <f>IF($G81="","",IF(AND($G81&gt;=30,$AT$3&lt;=AO$7),ROUND(AO81*($AP$3+#REF!),-1),""))</f>
        <v/>
      </c>
      <c r="AQ81" s="547" t="s">
        <v>621</v>
      </c>
      <c r="AR81" s="547" t="str">
        <f>IF($G81="","",IF(AND($G81&gt;=30,$AT$3&lt;=AQ$7),ROUND(AQ81*($AP$3+#REF!),-1),""))</f>
        <v/>
      </c>
      <c r="AS81" s="533" t="e">
        <v>#REF!</v>
      </c>
      <c r="AT81" s="547" t="str">
        <f>IF($G81="","",IF(AND($G81&gt;=30,$AT$3&lt;=AS$7),ROUND(AS81*($AP$3+#REF!),-1),""))</f>
        <v/>
      </c>
      <c r="AU81" s="547"/>
      <c r="AV81" s="547" t="str">
        <f>IF($G81="","",IF(AND($G81&gt;=30,$AT$3&lt;=AU$7),ROUND(AU81*($AP$3+#REF!),-1),""))</f>
        <v/>
      </c>
      <c r="AW81" s="547"/>
      <c r="AX81" s="547" t="str">
        <f>IF($G81="","",IF(AND($G81&gt;=30,$AT$3&lt;=AW$7),ROUND(AW81*($AP$3+#REF!),-1),""))</f>
        <v/>
      </c>
      <c r="AY81" s="547"/>
      <c r="AZ81" s="547" t="str">
        <f>IF($G81="","",IF(AND($G81&gt;=30,$AT$3&lt;=AY$7),ROUND(AY81*($AP$3+#REF!),-1),""))</f>
        <v/>
      </c>
      <c r="BA81" s="547"/>
      <c r="BB81" s="547" t="str">
        <f>IF($G81="","",IF(AND($G81&gt;=30,$AT$3&lt;=BA$7),ROUND(BA81*($AP$3+#REF!),-1),""))</f>
        <v/>
      </c>
      <c r="BC81" s="547"/>
      <c r="BD81" s="547" t="str">
        <f>IF($G81="","",IF(AND($G81&gt;=30,$AT$3&lt;=BC$7),ROUND(BC81*($AP$3+#REF!),-1),""))</f>
        <v/>
      </c>
      <c r="BE81" s="547"/>
      <c r="BF81" s="547" t="str">
        <f>IF($G81="","",IF(AND($G81&gt;=30,$AT$3&lt;=BE$7),ROUND(BE81*($AP$3+#REF!),-1),""))</f>
        <v/>
      </c>
      <c r="BG81" s="547"/>
      <c r="BH81" s="547" t="str">
        <f>IF($G81="","",IF(AND($G81&gt;=30,$AT$3&lt;=BG$7),ROUND(BG81*($AP$3+#REF!),-1),""))</f>
        <v/>
      </c>
      <c r="BI81" s="547"/>
      <c r="BJ81" s="547" t="str">
        <f>IF($G81="","",IF(AND($G81&gt;=30,$AT$3&lt;=BI$7),ROUND(BI81*($AP$3+#REF!),-1),""))</f>
        <v/>
      </c>
      <c r="BK81" s="547"/>
      <c r="BL81" s="547" t="str">
        <f>IF($G81="","",IF(AND($G81&gt;=30,$AT$3&lt;=BK$7),ROUND(BK81*($AP$3+#REF!),-1),""))</f>
        <v/>
      </c>
      <c r="BM81" s="547"/>
      <c r="BN81" s="547" t="str">
        <f>IF($G81="","",IF(AND($G81&gt;=30,$AT$3&lt;=BM$7),ROUND(BM81*($AP$3+#REF!),-1),""))</f>
        <v/>
      </c>
      <c r="BO81" s="547"/>
      <c r="BP81" s="547" t="str">
        <f>IF($G81="","",IF(AND($G81&gt;=30,$AT$3&lt;=BO$7),ROUND(BO81*($AP$3+#REF!),-1),""))</f>
        <v/>
      </c>
      <c r="BQ81" s="547"/>
      <c r="BR81" s="547" t="str">
        <f>IF($G81="","",IF(AND($G81&gt;=30,$AT$3&lt;=BQ$7),ROUND(BQ81*($AP$3+#REF!),-1),""))</f>
        <v/>
      </c>
      <c r="BS81" s="547"/>
      <c r="BT81" s="547" t="str">
        <f>IF($G81="","",IF(AND($G81&gt;=30,$AT$3&lt;=BS$7),ROUND(BS81*($AP$3+#REF!),-1),""))</f>
        <v/>
      </c>
      <c r="BU81" s="547"/>
      <c r="BV81" s="547" t="str">
        <f>IF($G81="","",IF(AND($G81&gt;=30,$AT$3&lt;=BU$7),ROUND(BU81*($AP$3+#REF!),-1),""))</f>
        <v/>
      </c>
      <c r="BW81" s="547"/>
      <c r="BX81" s="547" t="str">
        <f>IF($G81="","",IF(AND($G81&gt;=30,$AT$3&lt;=BW$7),ROUND(BW81*($AP$3+#REF!),-1),""))</f>
        <v/>
      </c>
      <c r="BY81" s="547"/>
      <c r="BZ81" s="547" t="str">
        <f>IF($G81="","",IF(AND($G81&gt;=30,$AT$3&lt;=BY$7),ROUND(BY81*($AP$3+#REF!),-1),""))</f>
        <v/>
      </c>
      <c r="CA81" s="547"/>
      <c r="CB81" s="547" t="str">
        <f>IF($G81="","",IF(AND($G81&gt;=30,$AT$3&lt;=CA$7),ROUND(CA81*($AP$3+#REF!),-1),""))</f>
        <v/>
      </c>
      <c r="CC81" s="547"/>
      <c r="CD81" s="547" t="str">
        <f>IF($G81="","",IF(AND($G81&gt;=30,$AT$3&lt;=CC$7),ROUND(CC81*($AP$3+#REF!),-1),""))</f>
        <v/>
      </c>
      <c r="CE81" s="547"/>
      <c r="CF81" s="547" t="str">
        <f>IF($G81="","",IF(AND($G81&gt;=30,$AT$3&lt;=CE$7),ROUND(CE81*($AP$3+#REF!),-1),""))</f>
        <v/>
      </c>
      <c r="CG81" s="547"/>
      <c r="CH81" s="547" t="str">
        <f>IF($G81="","",IF(AND($G81&gt;=30,$AT$3&lt;=CG$7),ROUND(CG81*($AP$3+#REF!),-1),""))</f>
        <v/>
      </c>
      <c r="CI81" s="547"/>
      <c r="CJ81" s="547" t="str">
        <f>IF($G81="","",IF(AND($G81&gt;=30,$AT$3&lt;=CI$7),ROUND(CI81*($AP$3+#REF!),-1),""))</f>
        <v/>
      </c>
      <c r="CK81" s="547"/>
      <c r="CL81" s="547" t="str">
        <f>IF($G81="","",IF(AND($G81&gt;=30,$AT$3&lt;=CK$7),ROUND(CK81*($AP$3+#REF!),-1),""))</f>
        <v/>
      </c>
      <c r="CM81" s="547"/>
      <c r="CN81" s="547" t="str">
        <f>IF($G81="","",IF(AND($G81&gt;=30,$AT$3&lt;=CM$7),ROUND(CM81*($AP$3+#REF!),-1),""))</f>
        <v/>
      </c>
      <c r="CO81" s="547"/>
      <c r="CP81" s="547" t="str">
        <f>IF($G81="","",IF(AND($G81&gt;=30,$AT$3&lt;=CO$7),ROUND(CO81*($AP$3+#REF!),-1),""))</f>
        <v/>
      </c>
      <c r="CQ81" s="547"/>
      <c r="CR81" s="547" t="str">
        <f>IF($G81="","",IF(AND($G81&gt;=30,$AT$3&lt;=CQ$7),ROUND(CQ81*($AP$3+#REF!),-1),""))</f>
        <v/>
      </c>
      <c r="CS81" s="547"/>
      <c r="CT81" s="547" t="str">
        <f>IF($G81="","",IF(AND($G81&gt;=30,$AT$3&lt;=CS$7),ROUND(CS81*($AP$3+#REF!),-1),""))</f>
        <v/>
      </c>
      <c r="CU81" s="547"/>
      <c r="CV81" s="547" t="str">
        <f>IF($G81="","",IF(AND($G81&gt;=30,$AT$3&lt;=CU$7),ROUND(CU81*($AP$3+#REF!),-1),""))</f>
        <v/>
      </c>
      <c r="CW81" s="547"/>
      <c r="CX81" s="547" t="str">
        <f>IF($G81="","",IF(AND($G81&gt;=30,$AT$3&lt;=CW$7),ROUND(CW81*($AP$3+#REF!),-1),""))</f>
        <v/>
      </c>
      <c r="CY81" s="547"/>
      <c r="CZ81" s="547" t="str">
        <f>IF($G81="","",IF(AND($G81&gt;=30,$AT$3&lt;=CY$7),ROUND(CY81*($AP$3+#REF!),-1),""))</f>
        <v/>
      </c>
      <c r="DA81" s="547"/>
      <c r="DB81" s="547" t="str">
        <f>IF($G81="","",IF(AND($G81&gt;=30,$AT$3&lt;=DA$7),ROUND(DA81*($AP$3+#REF!),-1),""))</f>
        <v/>
      </c>
      <c r="DC81" s="547"/>
      <c r="DD81" s="547" t="str">
        <f>IF($G81="","",IF(AND($G81&gt;=30,$AT$3&lt;=DC$7),ROUND(DC81*($AP$3+#REF!),-1),""))</f>
        <v/>
      </c>
      <c r="DE81" s="547"/>
      <c r="DF81" s="547" t="str">
        <f>IF($G81="","",IF(AND($G81&gt;=30,$AT$3&lt;=DE$7),ROUND(DE81*($AP$3+#REF!),-1),""))</f>
        <v/>
      </c>
      <c r="DG81" s="547"/>
      <c r="DH81" s="547" t="str">
        <f>IF($G81="","",IF(AND($G81&gt;=30,$AT$3&lt;=DG$7),ROUND(DG81*($AP$3+#REF!),-1),""))</f>
        <v/>
      </c>
      <c r="DI81" s="547"/>
      <c r="DJ81" s="547" t="str">
        <f>IF($G81="","",IF(AND($G81&gt;=30,$AT$3&lt;=DI$7),ROUND(DI81*($AP$3+#REF!),-1),""))</f>
        <v/>
      </c>
      <c r="DK81" s="547"/>
      <c r="DL81" s="547" t="str">
        <f>IF($G81="","",IF(AND($G81&gt;=30,$AT$3&lt;=DK$7),ROUND(DK81*($AP$3+#REF!),-1),""))</f>
        <v/>
      </c>
      <c r="DM81" s="547"/>
      <c r="DN81" s="547" t="str">
        <f>IF($G81="","",IF(AND($G81&gt;=30,$AT$3&lt;=DM$7),ROUND(DM81*($AP$3+#REF!),-1),""))</f>
        <v/>
      </c>
      <c r="DO81" s="547"/>
      <c r="DP81" s="547" t="str">
        <f>IF($G81="","",IF(AND($G81&gt;=30,$AT$3&lt;=DO$7),ROUND(DO81*($AP$3+#REF!),-1),""))</f>
        <v/>
      </c>
      <c r="DQ81" s="547"/>
      <c r="DR81" s="547" t="str">
        <f>IF($G81="","",IF(AND($G81&gt;=30,$AT$3&lt;=DQ$7),ROUND(DQ81*($AP$3+#REF!),-1),""))</f>
        <v/>
      </c>
      <c r="DS81" s="547"/>
      <c r="DT81" s="547" t="str">
        <f>IF($G81="","",IF(AND($G81&gt;=30,$AT$3&lt;=DS$7),ROUND(DS81*($AP$3+#REF!),-1),""))</f>
        <v/>
      </c>
      <c r="DU81" s="547"/>
      <c r="DV81" s="547" t="str">
        <f>IF($G81="","",IF(AND($G81&gt;=30,$AT$3&lt;=DU$7),ROUND(DU81*($AP$3+#REF!),-1),""))</f>
        <v/>
      </c>
      <c r="DW81" s="547"/>
      <c r="DX81" s="547" t="str">
        <f>IF($G81="","",IF(AND($G81&gt;=30,$AT$3&lt;=DW$7),ROUND(DW81*($AP$3+#REF!),-1),""))</f>
        <v/>
      </c>
      <c r="DY81" s="547"/>
      <c r="DZ81" s="547" t="str">
        <f>IF($G81="","",IF(AND($G81&gt;=30,$AT$3&lt;=DY$7),ROUND(DY81*($AP$3+#REF!),-1),""))</f>
        <v/>
      </c>
      <c r="EA81" s="547"/>
      <c r="EB81" s="547" t="str">
        <f>IF($G81="","",IF(AND($G81&gt;=30,$AT$3&lt;=EA$7),ROUND(EA81*($AP$3+#REF!),-1),""))</f>
        <v/>
      </c>
      <c r="EC81" s="547" t="s">
        <v>621</v>
      </c>
      <c r="ED81" s="1126">
        <f>SUM(EC81:EC92)</f>
        <v>0</v>
      </c>
      <c r="EE81" s="325">
        <v>1</v>
      </c>
    </row>
    <row r="82" spans="1:135" ht="9.75" customHeight="1">
      <c r="A82" s="321" t="str">
        <f t="shared" si="21"/>
        <v/>
      </c>
      <c r="B82" s="567" t="e">
        <f>(ii!$D$13*12+V82)+1</f>
        <v>#REF!</v>
      </c>
      <c r="C82" s="337">
        <f t="shared" si="30"/>
        <v>44620</v>
      </c>
      <c r="D82" s="484">
        <f t="shared" si="25"/>
        <v>2022</v>
      </c>
      <c r="E82" s="484">
        <f t="shared" si="26"/>
        <v>0.16666666666666666</v>
      </c>
      <c r="F82" s="484">
        <f t="shared" si="27"/>
        <v>2022.1666666666667</v>
      </c>
      <c r="G82" s="485" t="str">
        <f>IF(OR(C82&lt;$I$2,C82&gt;$J$3),"",(ii!$D$13*12+V82+1)/12)</f>
        <v/>
      </c>
      <c r="H82" s="486"/>
      <c r="I82" s="486"/>
      <c r="J82" s="487"/>
      <c r="K82" s="488"/>
      <c r="L82" s="548"/>
      <c r="M82" s="489" t="str">
        <f t="shared" si="12"/>
        <v/>
      </c>
      <c r="N82" s="490" t="s">
        <v>621</v>
      </c>
      <c r="O82" s="490" t="str">
        <f t="shared" si="28"/>
        <v/>
      </c>
      <c r="P82" s="491"/>
      <c r="Q82" s="491"/>
      <c r="R82" s="491" t="str">
        <f t="shared" si="29"/>
        <v/>
      </c>
      <c r="S82" s="528" t="str">
        <f t="shared" si="24"/>
        <v/>
      </c>
      <c r="T82" s="528" t="str">
        <f t="shared" si="23"/>
        <v/>
      </c>
      <c r="U82" s="493" t="str">
        <f>IF(H82="","",#REF!*12+#REF!+#REF!*12+#REF!)</f>
        <v/>
      </c>
      <c r="V82" s="338" t="e">
        <f>IF(ii!$J$3&gt;gg!C82,"",IF(AND((YEAR(C82)=YEAR($I$2)),MONTH(C82)=MONTH($I$2)),ii!$B$14*12+ii!$C$14+ii!$B$15*12+ii!$C$15-1,V81+1))</f>
        <v>#REF!</v>
      </c>
      <c r="W82" s="339" t="e">
        <f t="shared" si="10"/>
        <v>#REF!</v>
      </c>
      <c r="X82" s="494" t="s">
        <v>621</v>
      </c>
      <c r="Y82" s="495" t="s">
        <v>621</v>
      </c>
      <c r="Z82" s="496"/>
      <c r="AA82" s="497"/>
      <c r="AB82" s="498" t="str">
        <f t="shared" si="19"/>
        <v/>
      </c>
      <c r="AC82" s="484" t="str">
        <f t="shared" si="15"/>
        <v/>
      </c>
      <c r="AD82" s="495" t="str">
        <f t="shared" si="16"/>
        <v/>
      </c>
      <c r="AE82" s="499" t="s">
        <v>621</v>
      </c>
      <c r="AF82" s="500" t="s">
        <v>621</v>
      </c>
      <c r="AG82" s="556" t="s">
        <v>621</v>
      </c>
      <c r="AH82" s="503" t="str">
        <f>IF($G82="","",IF(AND($G82&gt;=30,$AT$3&lt;=AG$7),ROUND(AG82*($AP$3+#REF!),-1),""))</f>
        <v/>
      </c>
      <c r="AI82" s="506" t="s">
        <v>621</v>
      </c>
      <c r="AJ82" s="503" t="str">
        <f>IF($G82="","",IF(AND($G82&gt;=30,$AT$3&lt;=AI$7),ROUND(AI82*($AP$3+#REF!),-1),""))</f>
        <v/>
      </c>
      <c r="AK82" s="506" t="s">
        <v>621</v>
      </c>
      <c r="AL82" s="503" t="str">
        <f>IF($G82="","",IF(AND($G82&gt;=30,$AT$3&lt;=AK$7),ROUND(AK82*($AP$3+#REF!),-1),""))</f>
        <v/>
      </c>
      <c r="AM82" s="506" t="s">
        <v>621</v>
      </c>
      <c r="AN82" s="503" t="str">
        <f>IF($G82="","",IF(AND($G82&gt;=30,$AT$3&lt;=AM$7),ROUND(AM82*($AP$3+#REF!),-1),""))</f>
        <v/>
      </c>
      <c r="AO82" s="503" t="e">
        <f>IF(AO81="","",AO81*1.001)</f>
        <v>#REF!</v>
      </c>
      <c r="AP82" s="503" t="str">
        <f>IF($G82="","",IF(AND($G82&gt;=30,$AT$3&lt;=AO$7),ROUND(AO82*($AP$3+#REF!),-1),""))</f>
        <v/>
      </c>
      <c r="AQ82" s="503" t="s">
        <v>621</v>
      </c>
      <c r="AR82" s="503" t="str">
        <f>IF($G82="","",IF(AND($G82&gt;=30,$AT$3&lt;=AQ$7),ROUND(AQ82*($AP$3+#REF!),-1),""))</f>
        <v/>
      </c>
      <c r="AS82" s="517" t="e">
        <v>#REF!</v>
      </c>
      <c r="AT82" s="503" t="str">
        <f>IF($G82="","",IF(AND($G82&gt;=30,$AT$3&lt;=AS$7),ROUND(AS82*($AP$3+#REF!),-1),""))</f>
        <v/>
      </c>
      <c r="AU82" s="502"/>
      <c r="AV82" s="503" t="str">
        <f>IF($G82="","",IF(AND($G82&gt;=30,$AT$3&lt;=AU$7),ROUND(AU82*($AP$3+#REF!),-1),""))</f>
        <v/>
      </c>
      <c r="AW82" s="503"/>
      <c r="AX82" s="503" t="str">
        <f>IF($G82="","",IF(AND($G82&gt;=30,$AT$3&lt;=AW$7),ROUND(AW82*($AP$3+#REF!),-1),""))</f>
        <v/>
      </c>
      <c r="AY82" s="502"/>
      <c r="AZ82" s="503" t="str">
        <f>IF($G82="","",IF(AND($G82&gt;=30,$AT$3&lt;=AY$7),ROUND(AY82*($AP$3+#REF!),-1),""))</f>
        <v/>
      </c>
      <c r="BA82" s="503"/>
      <c r="BB82" s="503" t="str">
        <f>IF($G82="","",IF(AND($G82&gt;=30,$AT$3&lt;=BA$7),ROUND(BA82*($AP$3+#REF!),-1),""))</f>
        <v/>
      </c>
      <c r="BC82" s="502"/>
      <c r="BD82" s="503" t="str">
        <f>IF($G82="","",IF(AND($G82&gt;=30,$AT$3&lt;=BC$7),ROUND(BC82*($AP$3+#REF!),-1),""))</f>
        <v/>
      </c>
      <c r="BE82" s="503"/>
      <c r="BF82" s="503" t="str">
        <f>IF($G82="","",IF(AND($G82&gt;=30,$AT$3&lt;=BE$7),ROUND(BE82*($AP$3+#REF!),-1),""))</f>
        <v/>
      </c>
      <c r="BG82" s="502"/>
      <c r="BH82" s="503" t="str">
        <f>IF($G82="","",IF(AND($G82&gt;=30,$AT$3&lt;=BG$7),ROUND(BG82*($AP$3+#REF!),-1),""))</f>
        <v/>
      </c>
      <c r="BI82" s="503"/>
      <c r="BJ82" s="503" t="str">
        <f>IF($G82="","",IF(AND($G82&gt;=30,$AT$3&lt;=BI$7),ROUND(BI82*($AP$3+#REF!),-1),""))</f>
        <v/>
      </c>
      <c r="BK82" s="502"/>
      <c r="BL82" s="503" t="str">
        <f>IF($G82="","",IF(AND($G82&gt;=30,$AT$3&lt;=BK$7),ROUND(BK82*($AP$3+#REF!),-1),""))</f>
        <v/>
      </c>
      <c r="BM82" s="503"/>
      <c r="BN82" s="503" t="str">
        <f>IF($G82="","",IF(AND($G82&gt;=30,$AT$3&lt;=BM$7),ROUND(BM82*($AP$3+#REF!),-1),""))</f>
        <v/>
      </c>
      <c r="BO82" s="502"/>
      <c r="BP82" s="503" t="str">
        <f>IF($G82="","",IF(AND($G82&gt;=30,$AT$3&lt;=BO$7),ROUND(BO82*($AP$3+#REF!),-1),""))</f>
        <v/>
      </c>
      <c r="BQ82" s="503"/>
      <c r="BR82" s="503" t="str">
        <f>IF($G82="","",IF(AND($G82&gt;=30,$AT$3&lt;=BQ$7),ROUND(BQ82*($AP$3+#REF!),-1),""))</f>
        <v/>
      </c>
      <c r="BS82" s="502"/>
      <c r="BT82" s="503" t="str">
        <f>IF($G82="","",IF(AND($G82&gt;=30,$AT$3&lt;=BS$7),ROUND(BS82*($AP$3+#REF!),-1),""))</f>
        <v/>
      </c>
      <c r="BU82" s="503"/>
      <c r="BV82" s="503" t="str">
        <f>IF($G82="","",IF(AND($G82&gt;=30,$AT$3&lt;=BU$7),ROUND(BU82*($AP$3+#REF!),-1),""))</f>
        <v/>
      </c>
      <c r="BW82" s="502"/>
      <c r="BX82" s="503" t="str">
        <f>IF($G82="","",IF(AND($G82&gt;=30,$AT$3&lt;=BW$7),ROUND(BW82*($AP$3+#REF!),-1),""))</f>
        <v/>
      </c>
      <c r="BY82" s="503"/>
      <c r="BZ82" s="503" t="str">
        <f>IF($G82="","",IF(AND($G82&gt;=30,$AT$3&lt;=BY$7),ROUND(BY82*($AP$3+#REF!),-1),""))</f>
        <v/>
      </c>
      <c r="CA82" s="502"/>
      <c r="CB82" s="503" t="str">
        <f>IF($G82="","",IF(AND($G82&gt;=30,$AT$3&lt;=CA$7),ROUND(CA82*($AP$3+#REF!),-1),""))</f>
        <v/>
      </c>
      <c r="CC82" s="503"/>
      <c r="CD82" s="503" t="str">
        <f>IF($G82="","",IF(AND($G82&gt;=30,$AT$3&lt;=CC$7),ROUND(CC82*($AP$3+#REF!),-1),""))</f>
        <v/>
      </c>
      <c r="CE82" s="502"/>
      <c r="CF82" s="503" t="str">
        <f>IF($G82="","",IF(AND($G82&gt;=30,$AT$3&lt;=CE$7),ROUND(CE82*($AP$3+#REF!),-1),""))</f>
        <v/>
      </c>
      <c r="CG82" s="503"/>
      <c r="CH82" s="503" t="str">
        <f>IF($G82="","",IF(AND($G82&gt;=30,$AT$3&lt;=CG$7),ROUND(CG82*($AP$3+#REF!),-1),""))</f>
        <v/>
      </c>
      <c r="CI82" s="502"/>
      <c r="CJ82" s="503" t="str">
        <f>IF($G82="","",IF(AND($G82&gt;=30,$AT$3&lt;=CI$7),ROUND(CI82*($AP$3+#REF!),-1),""))</f>
        <v/>
      </c>
      <c r="CK82" s="503"/>
      <c r="CL82" s="503" t="str">
        <f>IF($G82="","",IF(AND($G82&gt;=30,$AT$3&lt;=CK$7),ROUND(CK82*($AP$3+#REF!),-1),""))</f>
        <v/>
      </c>
      <c r="CM82" s="502"/>
      <c r="CN82" s="503" t="str">
        <f>IF($G82="","",IF(AND($G82&gt;=30,$AT$3&lt;=CM$7),ROUND(CM82*($AP$3+#REF!),-1),""))</f>
        <v/>
      </c>
      <c r="CO82" s="503"/>
      <c r="CP82" s="503" t="str">
        <f>IF($G82="","",IF(AND($G82&gt;=30,$AT$3&lt;=CO$7),ROUND(CO82*($AP$3+#REF!),-1),""))</f>
        <v/>
      </c>
      <c r="CQ82" s="502"/>
      <c r="CR82" s="503" t="str">
        <f>IF($G82="","",IF(AND($G82&gt;=30,$AT$3&lt;=CQ$7),ROUND(CQ82*($AP$3+#REF!),-1),""))</f>
        <v/>
      </c>
      <c r="CS82" s="503"/>
      <c r="CT82" s="503" t="str">
        <f>IF($G82="","",IF(AND($G82&gt;=30,$AT$3&lt;=CS$7),ROUND(CS82*($AP$3+#REF!),-1),""))</f>
        <v/>
      </c>
      <c r="CU82" s="502"/>
      <c r="CV82" s="503" t="str">
        <f>IF($G82="","",IF(AND($G82&gt;=30,$AT$3&lt;=CU$7),ROUND(CU82*($AP$3+#REF!),-1),""))</f>
        <v/>
      </c>
      <c r="CW82" s="503"/>
      <c r="CX82" s="503" t="str">
        <f>IF($G82="","",IF(AND($G82&gt;=30,$AT$3&lt;=CW$7),ROUND(CW82*($AP$3+#REF!),-1),""))</f>
        <v/>
      </c>
      <c r="CY82" s="502"/>
      <c r="CZ82" s="503" t="str">
        <f>IF($G82="","",IF(AND($G82&gt;=30,$AT$3&lt;=CY$7),ROUND(CY82*($AP$3+#REF!),-1),""))</f>
        <v/>
      </c>
      <c r="DA82" s="503"/>
      <c r="DB82" s="503" t="str">
        <f>IF($G82="","",IF(AND($G82&gt;=30,$AT$3&lt;=DA$7),ROUND(DA82*($AP$3+#REF!),-1),""))</f>
        <v/>
      </c>
      <c r="DC82" s="502"/>
      <c r="DD82" s="503" t="str">
        <f>IF($G82="","",IF(AND($G82&gt;=30,$AT$3&lt;=DC$7),ROUND(DC82*($AP$3+#REF!),-1),""))</f>
        <v/>
      </c>
      <c r="DE82" s="503"/>
      <c r="DF82" s="503" t="str">
        <f>IF($G82="","",IF(AND($G82&gt;=30,$AT$3&lt;=DE$7),ROUND(DE82*($AP$3+#REF!),-1),""))</f>
        <v/>
      </c>
      <c r="DG82" s="503"/>
      <c r="DH82" s="503" t="str">
        <f>IF($G82="","",IF(AND($G82&gt;=30,$AT$3&lt;=DG$7),ROUND(DG82*($AP$3+#REF!),-1),""))</f>
        <v/>
      </c>
      <c r="DI82" s="503"/>
      <c r="DJ82" s="503" t="str">
        <f>IF($G82="","",IF(AND($G82&gt;=30,$AT$3&lt;=DI$7),ROUND(DI82*($AP$3+#REF!),-1),""))</f>
        <v/>
      </c>
      <c r="DK82" s="503"/>
      <c r="DL82" s="503" t="str">
        <f>IF($G82="","",IF(AND($G82&gt;=30,$AT$3&lt;=DK$7),ROUND(DK82*($AP$3+#REF!),-1),""))</f>
        <v/>
      </c>
      <c r="DM82" s="503"/>
      <c r="DN82" s="503" t="str">
        <f>IF($G82="","",IF(AND($G82&gt;=30,$AT$3&lt;=DM$7),ROUND(DM82*($AP$3+#REF!),-1),""))</f>
        <v/>
      </c>
      <c r="DO82" s="503"/>
      <c r="DP82" s="503" t="str">
        <f>IF($G82="","",IF(AND($G82&gt;=30,$AT$3&lt;=DO$7),ROUND(DO82*($AP$3+#REF!),-1),""))</f>
        <v/>
      </c>
      <c r="DQ82" s="503"/>
      <c r="DR82" s="503" t="str">
        <f>IF($G82="","",IF(AND($G82&gt;=30,$AT$3&lt;=DQ$7),ROUND(DQ82*($AP$3+#REF!),-1),""))</f>
        <v/>
      </c>
      <c r="DS82" s="503"/>
      <c r="DT82" s="503" t="str">
        <f>IF($G82="","",IF(AND($G82&gt;=30,$AT$3&lt;=DS$7),ROUND(DS82*($AP$3+#REF!),-1),""))</f>
        <v/>
      </c>
      <c r="DU82" s="503"/>
      <c r="DV82" s="503" t="str">
        <f>IF($G82="","",IF(AND($G82&gt;=30,$AT$3&lt;=DU$7),ROUND(DU82*($AP$3+#REF!),-1),""))</f>
        <v/>
      </c>
      <c r="DW82" s="503"/>
      <c r="DX82" s="503" t="str">
        <f>IF($G82="","",IF(AND($G82&gt;=30,$AT$3&lt;=DW$7),ROUND(DW82*($AP$3+#REF!),-1),""))</f>
        <v/>
      </c>
      <c r="DY82" s="503"/>
      <c r="DZ82" s="503" t="str">
        <f>IF($G82="","",IF(AND($G82&gt;=30,$AT$3&lt;=DY$7),ROUND(DY82*($AP$3+#REF!),-1),""))</f>
        <v/>
      </c>
      <c r="EA82" s="503"/>
      <c r="EB82" s="503" t="str">
        <f>IF($G82="","",IF(AND($G82&gt;=30,$AT$3&lt;=EA$7),ROUND(EA82*($AP$3+#REF!),-1),""))</f>
        <v/>
      </c>
      <c r="EC82" s="504" t="s">
        <v>621</v>
      </c>
      <c r="ED82" s="1126"/>
      <c r="EE82" s="325">
        <v>2</v>
      </c>
    </row>
    <row r="83" spans="1:135" ht="9.75" customHeight="1">
      <c r="A83" s="321" t="str">
        <f t="shared" si="21"/>
        <v/>
      </c>
      <c r="B83" s="567" t="e">
        <f>(ii!$D$13*12+V83)+1</f>
        <v>#REF!</v>
      </c>
      <c r="C83" s="337">
        <f t="shared" si="30"/>
        <v>44651</v>
      </c>
      <c r="D83" s="484">
        <f t="shared" si="25"/>
        <v>2022</v>
      </c>
      <c r="E83" s="484">
        <f t="shared" si="26"/>
        <v>0.25</v>
      </c>
      <c r="F83" s="484">
        <f t="shared" si="27"/>
        <v>2022.25</v>
      </c>
      <c r="G83" s="485" t="str">
        <f>IF(OR(C83&lt;$I$2,C83&gt;$J$3),"",(ii!$D$13*12+V83+1)/12)</f>
        <v/>
      </c>
      <c r="H83" s="486"/>
      <c r="I83" s="486"/>
      <c r="J83" s="487"/>
      <c r="K83" s="488"/>
      <c r="L83" s="548"/>
      <c r="M83" s="489" t="str">
        <f t="shared" si="12"/>
        <v/>
      </c>
      <c r="N83" s="490" t="s">
        <v>621</v>
      </c>
      <c r="O83" s="490" t="str">
        <f t="shared" si="28"/>
        <v/>
      </c>
      <c r="P83" s="491"/>
      <c r="Q83" s="491"/>
      <c r="R83" s="491" t="str">
        <f t="shared" si="29"/>
        <v/>
      </c>
      <c r="S83" s="528" t="str">
        <f t="shared" si="24"/>
        <v/>
      </c>
      <c r="T83" s="528" t="str">
        <f t="shared" si="23"/>
        <v/>
      </c>
      <c r="U83" s="493" t="str">
        <f>IF(H83="","",#REF!*12+#REF!+#REF!*12+#REF!)</f>
        <v/>
      </c>
      <c r="V83" s="338" t="e">
        <f>IF(ii!$J$3&gt;gg!C83,"",IF(AND((YEAR(C83)=YEAR($I$2)),MONTH(C83)=MONTH($I$2)),ii!$B$14*12+ii!$C$14+ii!$B$15*12+ii!$C$15-1,V82+1))</f>
        <v>#REF!</v>
      </c>
      <c r="W83" s="339" t="e">
        <f t="shared" ref="W83:W146" si="31">IF(V84="","",(V84-1)/12)</f>
        <v>#REF!</v>
      </c>
      <c r="X83" s="494" t="s">
        <v>621</v>
      </c>
      <c r="Y83" s="495" t="s">
        <v>621</v>
      </c>
      <c r="Z83" s="496"/>
      <c r="AA83" s="497"/>
      <c r="AB83" s="498" t="str">
        <f t="shared" si="19"/>
        <v/>
      </c>
      <c r="AC83" s="484" t="str">
        <f t="shared" si="15"/>
        <v/>
      </c>
      <c r="AD83" s="495" t="str">
        <f t="shared" si="16"/>
        <v/>
      </c>
      <c r="AE83" s="499" t="s">
        <v>621</v>
      </c>
      <c r="AF83" s="500" t="s">
        <v>621</v>
      </c>
      <c r="AG83" s="556" t="s">
        <v>621</v>
      </c>
      <c r="AH83" s="503" t="str">
        <f>IF($G83="","",IF(AND($G83&gt;=30,$AT$3&lt;=AG$7),ROUND(AG83*($AP$3+#REF!),-1),""))</f>
        <v/>
      </c>
      <c r="AI83" s="506" t="s">
        <v>621</v>
      </c>
      <c r="AJ83" s="503" t="str">
        <f>IF($G83="","",IF(AND($G83&gt;=30,$AT$3&lt;=AI$7),ROUND(AI83*($AP$3+#REF!),-1),""))</f>
        <v/>
      </c>
      <c r="AK83" s="506" t="s">
        <v>621</v>
      </c>
      <c r="AL83" s="503" t="str">
        <f>IF($G83="","",IF(AND($G83&gt;=30,$AT$3&lt;=AK$7),ROUND(AK83*($AP$3+#REF!),-1),""))</f>
        <v/>
      </c>
      <c r="AM83" s="506" t="s">
        <v>621</v>
      </c>
      <c r="AN83" s="503" t="str">
        <f>IF($G83="","",IF(AND($G83&gt;=30,$AT$3&lt;=AM$7),ROUND(AM83*($AP$3+#REF!),-1),""))</f>
        <v/>
      </c>
      <c r="AO83" s="503" t="e">
        <v>#REF!</v>
      </c>
      <c r="AP83" s="503" t="str">
        <f>IF($G83="","",IF(AND($G83&gt;=30,$AT$3&lt;=AO$7),ROUND(AO83*($AP$3+#REF!),-1),""))</f>
        <v/>
      </c>
      <c r="AQ83" s="503" t="s">
        <v>621</v>
      </c>
      <c r="AR83" s="503" t="str">
        <f>IF($G83="","",IF(AND($G83&gt;=30,$AT$3&lt;=AQ$7),ROUND(AQ83*($AP$3+#REF!),-1),""))</f>
        <v/>
      </c>
      <c r="AS83" s="517" t="e">
        <v>#REF!</v>
      </c>
      <c r="AT83" s="503" t="str">
        <f>IF($G83="","",IF(AND($G83&gt;=30,$AT$3&lt;=AS$7),ROUND(AS83*($AP$3+#REF!),-1),""))</f>
        <v/>
      </c>
      <c r="AU83" s="502"/>
      <c r="AV83" s="503" t="str">
        <f>IF($G83="","",IF(AND($G83&gt;=30,$AT$3&lt;=AU$7),ROUND(AU83*($AP$3+#REF!),-1),""))</f>
        <v/>
      </c>
      <c r="AW83" s="503"/>
      <c r="AX83" s="503" t="str">
        <f>IF($G83="","",IF(AND($G83&gt;=30,$AT$3&lt;=AW$7),ROUND(AW83*($AP$3+#REF!),-1),""))</f>
        <v/>
      </c>
      <c r="AY83" s="502"/>
      <c r="AZ83" s="503" t="str">
        <f>IF($G83="","",IF(AND($G83&gt;=30,$AT$3&lt;=AY$7),ROUND(AY83*($AP$3+#REF!),-1),""))</f>
        <v/>
      </c>
      <c r="BA83" s="503"/>
      <c r="BB83" s="503" t="str">
        <f>IF($G83="","",IF(AND($G83&gt;=30,$AT$3&lt;=BA$7),ROUND(BA83*($AP$3+#REF!),-1),""))</f>
        <v/>
      </c>
      <c r="BC83" s="502"/>
      <c r="BD83" s="503" t="str">
        <f>IF($G83="","",IF(AND($G83&gt;=30,$AT$3&lt;=BC$7),ROUND(BC83*($AP$3+#REF!),-1),""))</f>
        <v/>
      </c>
      <c r="BE83" s="503"/>
      <c r="BF83" s="503" t="str">
        <f>IF($G83="","",IF(AND($G83&gt;=30,$AT$3&lt;=BE$7),ROUND(BE83*($AP$3+#REF!),-1),""))</f>
        <v/>
      </c>
      <c r="BG83" s="502"/>
      <c r="BH83" s="503" t="str">
        <f>IF($G83="","",IF(AND($G83&gt;=30,$AT$3&lt;=BG$7),ROUND(BG83*($AP$3+#REF!),-1),""))</f>
        <v/>
      </c>
      <c r="BI83" s="503"/>
      <c r="BJ83" s="503" t="str">
        <f>IF($G83="","",IF(AND($G83&gt;=30,$AT$3&lt;=BI$7),ROUND(BI83*($AP$3+#REF!),-1),""))</f>
        <v/>
      </c>
      <c r="BK83" s="502"/>
      <c r="BL83" s="503" t="str">
        <f>IF($G83="","",IF(AND($G83&gt;=30,$AT$3&lt;=BK$7),ROUND(BK83*($AP$3+#REF!),-1),""))</f>
        <v/>
      </c>
      <c r="BM83" s="503"/>
      <c r="BN83" s="503" t="str">
        <f>IF($G83="","",IF(AND($G83&gt;=30,$AT$3&lt;=BM$7),ROUND(BM83*($AP$3+#REF!),-1),""))</f>
        <v/>
      </c>
      <c r="BO83" s="502"/>
      <c r="BP83" s="503" t="str">
        <f>IF($G83="","",IF(AND($G83&gt;=30,$AT$3&lt;=BO$7),ROUND(BO83*($AP$3+#REF!),-1),""))</f>
        <v/>
      </c>
      <c r="BQ83" s="503"/>
      <c r="BR83" s="503" t="str">
        <f>IF($G83="","",IF(AND($G83&gt;=30,$AT$3&lt;=BQ$7),ROUND(BQ83*($AP$3+#REF!),-1),""))</f>
        <v/>
      </c>
      <c r="BS83" s="502"/>
      <c r="BT83" s="503" t="str">
        <f>IF($G83="","",IF(AND($G83&gt;=30,$AT$3&lt;=BS$7),ROUND(BS83*($AP$3+#REF!),-1),""))</f>
        <v/>
      </c>
      <c r="BU83" s="503"/>
      <c r="BV83" s="503" t="str">
        <f>IF($G83="","",IF(AND($G83&gt;=30,$AT$3&lt;=BU$7),ROUND(BU83*($AP$3+#REF!),-1),""))</f>
        <v/>
      </c>
      <c r="BW83" s="502"/>
      <c r="BX83" s="503" t="str">
        <f>IF($G83="","",IF(AND($G83&gt;=30,$AT$3&lt;=BW$7),ROUND(BW83*($AP$3+#REF!),-1),""))</f>
        <v/>
      </c>
      <c r="BY83" s="503"/>
      <c r="BZ83" s="503" t="str">
        <f>IF($G83="","",IF(AND($G83&gt;=30,$AT$3&lt;=BY$7),ROUND(BY83*($AP$3+#REF!),-1),""))</f>
        <v/>
      </c>
      <c r="CA83" s="502"/>
      <c r="CB83" s="503" t="str">
        <f>IF($G83="","",IF(AND($G83&gt;=30,$AT$3&lt;=CA$7),ROUND(CA83*($AP$3+#REF!),-1),""))</f>
        <v/>
      </c>
      <c r="CC83" s="503"/>
      <c r="CD83" s="503" t="str">
        <f>IF($G83="","",IF(AND($G83&gt;=30,$AT$3&lt;=CC$7),ROUND(CC83*($AP$3+#REF!),-1),""))</f>
        <v/>
      </c>
      <c r="CE83" s="502"/>
      <c r="CF83" s="503" t="str">
        <f>IF($G83="","",IF(AND($G83&gt;=30,$AT$3&lt;=CE$7),ROUND(CE83*($AP$3+#REF!),-1),""))</f>
        <v/>
      </c>
      <c r="CG83" s="503"/>
      <c r="CH83" s="503" t="str">
        <f>IF($G83="","",IF(AND($G83&gt;=30,$AT$3&lt;=CG$7),ROUND(CG83*($AP$3+#REF!),-1),""))</f>
        <v/>
      </c>
      <c r="CI83" s="502"/>
      <c r="CJ83" s="503" t="str">
        <f>IF($G83="","",IF(AND($G83&gt;=30,$AT$3&lt;=CI$7),ROUND(CI83*($AP$3+#REF!),-1),""))</f>
        <v/>
      </c>
      <c r="CK83" s="503"/>
      <c r="CL83" s="503" t="str">
        <f>IF($G83="","",IF(AND($G83&gt;=30,$AT$3&lt;=CK$7),ROUND(CK83*($AP$3+#REF!),-1),""))</f>
        <v/>
      </c>
      <c r="CM83" s="502"/>
      <c r="CN83" s="503" t="str">
        <f>IF($G83="","",IF(AND($G83&gt;=30,$AT$3&lt;=CM$7),ROUND(CM83*($AP$3+#REF!),-1),""))</f>
        <v/>
      </c>
      <c r="CO83" s="503"/>
      <c r="CP83" s="503" t="str">
        <f>IF($G83="","",IF(AND($G83&gt;=30,$AT$3&lt;=CO$7),ROUND(CO83*($AP$3+#REF!),-1),""))</f>
        <v/>
      </c>
      <c r="CQ83" s="502"/>
      <c r="CR83" s="503" t="str">
        <f>IF($G83="","",IF(AND($G83&gt;=30,$AT$3&lt;=CQ$7),ROUND(CQ83*($AP$3+#REF!),-1),""))</f>
        <v/>
      </c>
      <c r="CS83" s="503"/>
      <c r="CT83" s="503" t="str">
        <f>IF($G83="","",IF(AND($G83&gt;=30,$AT$3&lt;=CS$7),ROUND(CS83*($AP$3+#REF!),-1),""))</f>
        <v/>
      </c>
      <c r="CU83" s="502"/>
      <c r="CV83" s="503" t="str">
        <f>IF($G83="","",IF(AND($G83&gt;=30,$AT$3&lt;=CU$7),ROUND(CU83*($AP$3+#REF!),-1),""))</f>
        <v/>
      </c>
      <c r="CW83" s="503"/>
      <c r="CX83" s="503" t="str">
        <f>IF($G83="","",IF(AND($G83&gt;=30,$AT$3&lt;=CW$7),ROUND(CW83*($AP$3+#REF!),-1),""))</f>
        <v/>
      </c>
      <c r="CY83" s="502"/>
      <c r="CZ83" s="503" t="str">
        <f>IF($G83="","",IF(AND($G83&gt;=30,$AT$3&lt;=CY$7),ROUND(CY83*($AP$3+#REF!),-1),""))</f>
        <v/>
      </c>
      <c r="DA83" s="503"/>
      <c r="DB83" s="503" t="str">
        <f>IF($G83="","",IF(AND($G83&gt;=30,$AT$3&lt;=DA$7),ROUND(DA83*($AP$3+#REF!),-1),""))</f>
        <v/>
      </c>
      <c r="DC83" s="502"/>
      <c r="DD83" s="503" t="str">
        <f>IF($G83="","",IF(AND($G83&gt;=30,$AT$3&lt;=DC$7),ROUND(DC83*($AP$3+#REF!),-1),""))</f>
        <v/>
      </c>
      <c r="DE83" s="503"/>
      <c r="DF83" s="503" t="str">
        <f>IF($G83="","",IF(AND($G83&gt;=30,$AT$3&lt;=DE$7),ROUND(DE83*($AP$3+#REF!),-1),""))</f>
        <v/>
      </c>
      <c r="DG83" s="503"/>
      <c r="DH83" s="503" t="str">
        <f>IF($G83="","",IF(AND($G83&gt;=30,$AT$3&lt;=DG$7),ROUND(DG83*($AP$3+#REF!),-1),""))</f>
        <v/>
      </c>
      <c r="DI83" s="503"/>
      <c r="DJ83" s="503" t="str">
        <f>IF($G83="","",IF(AND($G83&gt;=30,$AT$3&lt;=DI$7),ROUND(DI83*($AP$3+#REF!),-1),""))</f>
        <v/>
      </c>
      <c r="DK83" s="503"/>
      <c r="DL83" s="503" t="str">
        <f>IF($G83="","",IF(AND($G83&gt;=30,$AT$3&lt;=DK$7),ROUND(DK83*($AP$3+#REF!),-1),""))</f>
        <v/>
      </c>
      <c r="DM83" s="503"/>
      <c r="DN83" s="503" t="str">
        <f>IF($G83="","",IF(AND($G83&gt;=30,$AT$3&lt;=DM$7),ROUND(DM83*($AP$3+#REF!),-1),""))</f>
        <v/>
      </c>
      <c r="DO83" s="503"/>
      <c r="DP83" s="503" t="str">
        <f>IF($G83="","",IF(AND($G83&gt;=30,$AT$3&lt;=DO$7),ROUND(DO83*($AP$3+#REF!),-1),""))</f>
        <v/>
      </c>
      <c r="DQ83" s="503"/>
      <c r="DR83" s="503" t="str">
        <f>IF($G83="","",IF(AND($G83&gt;=30,$AT$3&lt;=DQ$7),ROUND(DQ83*($AP$3+#REF!),-1),""))</f>
        <v/>
      </c>
      <c r="DS83" s="503"/>
      <c r="DT83" s="503" t="str">
        <f>IF($G83="","",IF(AND($G83&gt;=30,$AT$3&lt;=DS$7),ROUND(DS83*($AP$3+#REF!),-1),""))</f>
        <v/>
      </c>
      <c r="DU83" s="503"/>
      <c r="DV83" s="503" t="str">
        <f>IF($G83="","",IF(AND($G83&gt;=30,$AT$3&lt;=DU$7),ROUND(DU83*($AP$3+#REF!),-1),""))</f>
        <v/>
      </c>
      <c r="DW83" s="503"/>
      <c r="DX83" s="503" t="str">
        <f>IF($G83="","",IF(AND($G83&gt;=30,$AT$3&lt;=DW$7),ROUND(DW83*($AP$3+#REF!),-1),""))</f>
        <v/>
      </c>
      <c r="DY83" s="503"/>
      <c r="DZ83" s="503" t="str">
        <f>IF($G83="","",IF(AND($G83&gt;=30,$AT$3&lt;=DY$7),ROUND(DY83*($AP$3+#REF!),-1),""))</f>
        <v/>
      </c>
      <c r="EA83" s="503"/>
      <c r="EB83" s="503" t="str">
        <f>IF($G83="","",IF(AND($G83&gt;=30,$AT$3&lt;=EA$7),ROUND(EA83*($AP$3+#REF!),-1),""))</f>
        <v/>
      </c>
      <c r="EC83" s="504" t="s">
        <v>621</v>
      </c>
      <c r="ED83" s="1126"/>
      <c r="EE83" s="325">
        <v>3</v>
      </c>
    </row>
    <row r="84" spans="1:135" ht="9.75" customHeight="1">
      <c r="A84" s="321" t="str">
        <f t="shared" si="21"/>
        <v/>
      </c>
      <c r="B84" s="567" t="e">
        <f>(ii!$D$13*12+V84)+1</f>
        <v>#REF!</v>
      </c>
      <c r="C84" s="337">
        <f t="shared" si="30"/>
        <v>44681</v>
      </c>
      <c r="D84" s="484">
        <f t="shared" si="25"/>
        <v>2022</v>
      </c>
      <c r="E84" s="484">
        <f t="shared" si="26"/>
        <v>0.33333333333333331</v>
      </c>
      <c r="F84" s="484">
        <f t="shared" si="27"/>
        <v>2022.3333333333333</v>
      </c>
      <c r="G84" s="485" t="str">
        <f>IF(OR(C84&lt;$I$2,C84&gt;$J$3),"",(ii!$D$13*12+V84+1)/12)</f>
        <v/>
      </c>
      <c r="H84" s="486"/>
      <c r="I84" s="486"/>
      <c r="J84" s="487"/>
      <c r="K84" s="488"/>
      <c r="L84" s="548"/>
      <c r="M84" s="489" t="str">
        <f t="shared" si="12"/>
        <v/>
      </c>
      <c r="N84" s="490" t="s">
        <v>621</v>
      </c>
      <c r="O84" s="490" t="str">
        <f t="shared" si="28"/>
        <v/>
      </c>
      <c r="P84" s="491"/>
      <c r="Q84" s="491"/>
      <c r="R84" s="491" t="str">
        <f t="shared" si="29"/>
        <v/>
      </c>
      <c r="S84" s="528" t="str">
        <f t="shared" si="24"/>
        <v/>
      </c>
      <c r="T84" s="528" t="str">
        <f t="shared" si="23"/>
        <v/>
      </c>
      <c r="U84" s="493" t="str">
        <f>IF(H84="","",#REF!*12+#REF!+#REF!*12+#REF!)</f>
        <v/>
      </c>
      <c r="V84" s="338" t="e">
        <f>IF(ii!$J$3&gt;gg!C84,"",IF(AND((YEAR(C84)=YEAR($I$2)),MONTH(C84)=MONTH($I$2)),ii!$B$14*12+ii!$C$14+ii!$B$15*12+ii!$C$15-1,V83+1))</f>
        <v>#REF!</v>
      </c>
      <c r="W84" s="339" t="e">
        <f t="shared" si="31"/>
        <v>#REF!</v>
      </c>
      <c r="X84" s="494" t="s">
        <v>621</v>
      </c>
      <c r="Y84" s="495" t="s">
        <v>621</v>
      </c>
      <c r="Z84" s="496"/>
      <c r="AA84" s="497"/>
      <c r="AB84" s="498" t="str">
        <f t="shared" si="19"/>
        <v/>
      </c>
      <c r="AC84" s="484" t="str">
        <f t="shared" si="15"/>
        <v/>
      </c>
      <c r="AD84" s="495" t="str">
        <f t="shared" si="16"/>
        <v/>
      </c>
      <c r="AE84" s="499" t="s">
        <v>621</v>
      </c>
      <c r="AF84" s="500" t="s">
        <v>621</v>
      </c>
      <c r="AG84" s="556" t="s">
        <v>621</v>
      </c>
      <c r="AH84" s="503" t="str">
        <f>IF($G84="","",IF(AND($G84&gt;=30,$AT$3&lt;=AG$7),ROUND(AG84*($AP$3+#REF!),-1),""))</f>
        <v/>
      </c>
      <c r="AI84" s="506" t="s">
        <v>621</v>
      </c>
      <c r="AJ84" s="503" t="str">
        <f>IF($G84="","",IF(AND($G84&gt;=30,$AT$3&lt;=AI$7),ROUND(AI84*($AP$3+#REF!),-1),""))</f>
        <v/>
      </c>
      <c r="AK84" s="506" t="s">
        <v>621</v>
      </c>
      <c r="AL84" s="503" t="str">
        <f>IF($G84="","",IF(AND($G84&gt;=30,$AT$3&lt;=AK$7),ROUND(AK84*($AP$3+#REF!),-1),""))</f>
        <v/>
      </c>
      <c r="AM84" s="506" t="s">
        <v>621</v>
      </c>
      <c r="AN84" s="503" t="str">
        <f>IF($G84="","",IF(AND($G84&gt;=30,$AT$3&lt;=AM$7),ROUND(AM84*($AP$3+#REF!),-1),""))</f>
        <v/>
      </c>
      <c r="AO84" s="503" t="e">
        <v>#REF!</v>
      </c>
      <c r="AP84" s="503" t="str">
        <f>IF($G84="","",IF(AND($G84&gt;=30,$AT$3&lt;=AO$7),ROUND(AO84*($AP$3+#REF!),-1),""))</f>
        <v/>
      </c>
      <c r="AQ84" s="503" t="s">
        <v>621</v>
      </c>
      <c r="AR84" s="503" t="str">
        <f>IF($G84="","",IF(AND($G84&gt;=30,$AT$3&lt;=AQ$7),ROUND(AQ84*($AP$3+#REF!),-1),""))</f>
        <v/>
      </c>
      <c r="AS84" s="517" t="e">
        <v>#REF!</v>
      </c>
      <c r="AT84" s="503" t="str">
        <f>IF($G84="","",IF(AND($G84&gt;=30,$AT$3&lt;=AS$7),ROUND(AS84*($AP$3+#REF!),-1),""))</f>
        <v/>
      </c>
      <c r="AU84" s="502"/>
      <c r="AV84" s="503" t="str">
        <f>IF($G84="","",IF(AND($G84&gt;=30,$AT$3&lt;=AU$7),ROUND(AU84*($AP$3+#REF!),-1),""))</f>
        <v/>
      </c>
      <c r="AW84" s="503"/>
      <c r="AX84" s="503" t="str">
        <f>IF($G84="","",IF(AND($G84&gt;=30,$AT$3&lt;=AW$7),ROUND(AW84*($AP$3+#REF!),-1),""))</f>
        <v/>
      </c>
      <c r="AY84" s="502"/>
      <c r="AZ84" s="503" t="str">
        <f>IF($G84="","",IF(AND($G84&gt;=30,$AT$3&lt;=AY$7),ROUND(AY84*($AP$3+#REF!),-1),""))</f>
        <v/>
      </c>
      <c r="BA84" s="503"/>
      <c r="BB84" s="503" t="str">
        <f>IF($G84="","",IF(AND($G84&gt;=30,$AT$3&lt;=BA$7),ROUND(BA84*($AP$3+#REF!),-1),""))</f>
        <v/>
      </c>
      <c r="BC84" s="502"/>
      <c r="BD84" s="503" t="str">
        <f>IF($G84="","",IF(AND($G84&gt;=30,$AT$3&lt;=BC$7),ROUND(BC84*($AP$3+#REF!),-1),""))</f>
        <v/>
      </c>
      <c r="BE84" s="503"/>
      <c r="BF84" s="503" t="str">
        <f>IF($G84="","",IF(AND($G84&gt;=30,$AT$3&lt;=BE$7),ROUND(BE84*($AP$3+#REF!),-1),""))</f>
        <v/>
      </c>
      <c r="BG84" s="502"/>
      <c r="BH84" s="503" t="str">
        <f>IF($G84="","",IF(AND($G84&gt;=30,$AT$3&lt;=BG$7),ROUND(BG84*($AP$3+#REF!),-1),""))</f>
        <v/>
      </c>
      <c r="BI84" s="503"/>
      <c r="BJ84" s="503" t="str">
        <f>IF($G84="","",IF(AND($G84&gt;=30,$AT$3&lt;=BI$7),ROUND(BI84*($AP$3+#REF!),-1),""))</f>
        <v/>
      </c>
      <c r="BK84" s="502"/>
      <c r="BL84" s="503" t="str">
        <f>IF($G84="","",IF(AND($G84&gt;=30,$AT$3&lt;=BK$7),ROUND(BK84*($AP$3+#REF!),-1),""))</f>
        <v/>
      </c>
      <c r="BM84" s="503"/>
      <c r="BN84" s="503" t="str">
        <f>IF($G84="","",IF(AND($G84&gt;=30,$AT$3&lt;=BM$7),ROUND(BM84*($AP$3+#REF!),-1),""))</f>
        <v/>
      </c>
      <c r="BO84" s="502"/>
      <c r="BP84" s="503" t="str">
        <f>IF($G84="","",IF(AND($G84&gt;=30,$AT$3&lt;=BO$7),ROUND(BO84*($AP$3+#REF!),-1),""))</f>
        <v/>
      </c>
      <c r="BQ84" s="503"/>
      <c r="BR84" s="503" t="str">
        <f>IF($G84="","",IF(AND($G84&gt;=30,$AT$3&lt;=BQ$7),ROUND(BQ84*($AP$3+#REF!),-1),""))</f>
        <v/>
      </c>
      <c r="BS84" s="502"/>
      <c r="BT84" s="503" t="str">
        <f>IF($G84="","",IF(AND($G84&gt;=30,$AT$3&lt;=BS$7),ROUND(BS84*($AP$3+#REF!),-1),""))</f>
        <v/>
      </c>
      <c r="BU84" s="503"/>
      <c r="BV84" s="503" t="str">
        <f>IF($G84="","",IF(AND($G84&gt;=30,$AT$3&lt;=BU$7),ROUND(BU84*($AP$3+#REF!),-1),""))</f>
        <v/>
      </c>
      <c r="BW84" s="502"/>
      <c r="BX84" s="503" t="str">
        <f>IF($G84="","",IF(AND($G84&gt;=30,$AT$3&lt;=BW$7),ROUND(BW84*($AP$3+#REF!),-1),""))</f>
        <v/>
      </c>
      <c r="BY84" s="503"/>
      <c r="BZ84" s="503" t="str">
        <f>IF($G84="","",IF(AND($G84&gt;=30,$AT$3&lt;=BY$7),ROUND(BY84*($AP$3+#REF!),-1),""))</f>
        <v/>
      </c>
      <c r="CA84" s="502"/>
      <c r="CB84" s="503" t="str">
        <f>IF($G84="","",IF(AND($G84&gt;=30,$AT$3&lt;=CA$7),ROUND(CA84*($AP$3+#REF!),-1),""))</f>
        <v/>
      </c>
      <c r="CC84" s="503"/>
      <c r="CD84" s="503" t="str">
        <f>IF($G84="","",IF(AND($G84&gt;=30,$AT$3&lt;=CC$7),ROUND(CC84*($AP$3+#REF!),-1),""))</f>
        <v/>
      </c>
      <c r="CE84" s="502"/>
      <c r="CF84" s="503" t="str">
        <f>IF($G84="","",IF(AND($G84&gt;=30,$AT$3&lt;=CE$7),ROUND(CE84*($AP$3+#REF!),-1),""))</f>
        <v/>
      </c>
      <c r="CG84" s="503"/>
      <c r="CH84" s="503" t="str">
        <f>IF($G84="","",IF(AND($G84&gt;=30,$AT$3&lt;=CG$7),ROUND(CG84*($AP$3+#REF!),-1),""))</f>
        <v/>
      </c>
      <c r="CI84" s="502"/>
      <c r="CJ84" s="503" t="str">
        <f>IF($G84="","",IF(AND($G84&gt;=30,$AT$3&lt;=CI$7),ROUND(CI84*($AP$3+#REF!),-1),""))</f>
        <v/>
      </c>
      <c r="CK84" s="503"/>
      <c r="CL84" s="503" t="str">
        <f>IF($G84="","",IF(AND($G84&gt;=30,$AT$3&lt;=CK$7),ROUND(CK84*($AP$3+#REF!),-1),""))</f>
        <v/>
      </c>
      <c r="CM84" s="502"/>
      <c r="CN84" s="503" t="str">
        <f>IF($G84="","",IF(AND($G84&gt;=30,$AT$3&lt;=CM$7),ROUND(CM84*($AP$3+#REF!),-1),""))</f>
        <v/>
      </c>
      <c r="CO84" s="503"/>
      <c r="CP84" s="503" t="str">
        <f>IF($G84="","",IF(AND($G84&gt;=30,$AT$3&lt;=CO$7),ROUND(CO84*($AP$3+#REF!),-1),""))</f>
        <v/>
      </c>
      <c r="CQ84" s="502"/>
      <c r="CR84" s="503" t="str">
        <f>IF($G84="","",IF(AND($G84&gt;=30,$AT$3&lt;=CQ$7),ROUND(CQ84*($AP$3+#REF!),-1),""))</f>
        <v/>
      </c>
      <c r="CS84" s="503"/>
      <c r="CT84" s="503" t="str">
        <f>IF($G84="","",IF(AND($G84&gt;=30,$AT$3&lt;=CS$7),ROUND(CS84*($AP$3+#REF!),-1),""))</f>
        <v/>
      </c>
      <c r="CU84" s="502"/>
      <c r="CV84" s="503" t="str">
        <f>IF($G84="","",IF(AND($G84&gt;=30,$AT$3&lt;=CU$7),ROUND(CU84*($AP$3+#REF!),-1),""))</f>
        <v/>
      </c>
      <c r="CW84" s="503"/>
      <c r="CX84" s="503" t="str">
        <f>IF($G84="","",IF(AND($G84&gt;=30,$AT$3&lt;=CW$7),ROUND(CW84*($AP$3+#REF!),-1),""))</f>
        <v/>
      </c>
      <c r="CY84" s="502"/>
      <c r="CZ84" s="503" t="str">
        <f>IF($G84="","",IF(AND($G84&gt;=30,$AT$3&lt;=CY$7),ROUND(CY84*($AP$3+#REF!),-1),""))</f>
        <v/>
      </c>
      <c r="DA84" s="503"/>
      <c r="DB84" s="503" t="str">
        <f>IF($G84="","",IF(AND($G84&gt;=30,$AT$3&lt;=DA$7),ROUND(DA84*($AP$3+#REF!),-1),""))</f>
        <v/>
      </c>
      <c r="DC84" s="502"/>
      <c r="DD84" s="503" t="str">
        <f>IF($G84="","",IF(AND($G84&gt;=30,$AT$3&lt;=DC$7),ROUND(DC84*($AP$3+#REF!),-1),""))</f>
        <v/>
      </c>
      <c r="DE84" s="503"/>
      <c r="DF84" s="503" t="str">
        <f>IF($G84="","",IF(AND($G84&gt;=30,$AT$3&lt;=DE$7),ROUND(DE84*($AP$3+#REF!),-1),""))</f>
        <v/>
      </c>
      <c r="DG84" s="503"/>
      <c r="DH84" s="503" t="str">
        <f>IF($G84="","",IF(AND($G84&gt;=30,$AT$3&lt;=DG$7),ROUND(DG84*($AP$3+#REF!),-1),""))</f>
        <v/>
      </c>
      <c r="DI84" s="503"/>
      <c r="DJ84" s="503" t="str">
        <f>IF($G84="","",IF(AND($G84&gt;=30,$AT$3&lt;=DI$7),ROUND(DI84*($AP$3+#REF!),-1),""))</f>
        <v/>
      </c>
      <c r="DK84" s="503"/>
      <c r="DL84" s="503" t="str">
        <f>IF($G84="","",IF(AND($G84&gt;=30,$AT$3&lt;=DK$7),ROUND(DK84*($AP$3+#REF!),-1),""))</f>
        <v/>
      </c>
      <c r="DM84" s="503"/>
      <c r="DN84" s="503" t="str">
        <f>IF($G84="","",IF(AND($G84&gt;=30,$AT$3&lt;=DM$7),ROUND(DM84*($AP$3+#REF!),-1),""))</f>
        <v/>
      </c>
      <c r="DO84" s="503"/>
      <c r="DP84" s="503" t="str">
        <f>IF($G84="","",IF(AND($G84&gt;=30,$AT$3&lt;=DO$7),ROUND(DO84*($AP$3+#REF!),-1),""))</f>
        <v/>
      </c>
      <c r="DQ84" s="503"/>
      <c r="DR84" s="503" t="str">
        <f>IF($G84="","",IF(AND($G84&gt;=30,$AT$3&lt;=DQ$7),ROUND(DQ84*($AP$3+#REF!),-1),""))</f>
        <v/>
      </c>
      <c r="DS84" s="503"/>
      <c r="DT84" s="503" t="str">
        <f>IF($G84="","",IF(AND($G84&gt;=30,$AT$3&lt;=DS$7),ROUND(DS84*($AP$3+#REF!),-1),""))</f>
        <v/>
      </c>
      <c r="DU84" s="503"/>
      <c r="DV84" s="503" t="str">
        <f>IF($G84="","",IF(AND($G84&gt;=30,$AT$3&lt;=DU$7),ROUND(DU84*($AP$3+#REF!),-1),""))</f>
        <v/>
      </c>
      <c r="DW84" s="503"/>
      <c r="DX84" s="503" t="str">
        <f>IF($G84="","",IF(AND($G84&gt;=30,$AT$3&lt;=DW$7),ROUND(DW84*($AP$3+#REF!),-1),""))</f>
        <v/>
      </c>
      <c r="DY84" s="503"/>
      <c r="DZ84" s="503" t="str">
        <f>IF($G84="","",IF(AND($G84&gt;=30,$AT$3&lt;=DY$7),ROUND(DY84*($AP$3+#REF!),-1),""))</f>
        <v/>
      </c>
      <c r="EA84" s="503"/>
      <c r="EB84" s="503" t="str">
        <f>IF($G84="","",IF(AND($G84&gt;=30,$AT$3&lt;=EA$7),ROUND(EA84*($AP$3+#REF!),-1),""))</f>
        <v/>
      </c>
      <c r="EC84" s="504" t="s">
        <v>621</v>
      </c>
      <c r="ED84" s="1126"/>
      <c r="EE84" s="325">
        <v>4</v>
      </c>
    </row>
    <row r="85" spans="1:135" ht="9.75" customHeight="1">
      <c r="A85" s="321" t="str">
        <f t="shared" si="21"/>
        <v/>
      </c>
      <c r="B85" s="567" t="e">
        <f>(ii!$D$13*12+V85)+1</f>
        <v>#REF!</v>
      </c>
      <c r="C85" s="337">
        <f t="shared" si="30"/>
        <v>44712</v>
      </c>
      <c r="D85" s="484">
        <f t="shared" si="25"/>
        <v>2022</v>
      </c>
      <c r="E85" s="484">
        <f t="shared" si="26"/>
        <v>0.41666666666666669</v>
      </c>
      <c r="F85" s="484">
        <f t="shared" si="27"/>
        <v>2022.4166666666667</v>
      </c>
      <c r="G85" s="485" t="str">
        <f>IF(OR(C85&lt;$I$2,C85&gt;$J$3),"",(ii!$D$13*12+V85+1)/12)</f>
        <v/>
      </c>
      <c r="H85" s="486"/>
      <c r="I85" s="486"/>
      <c r="J85" s="507"/>
      <c r="K85" s="508"/>
      <c r="L85" s="548"/>
      <c r="M85" s="520" t="str">
        <f t="shared" si="12"/>
        <v/>
      </c>
      <c r="N85" s="490" t="s">
        <v>621</v>
      </c>
      <c r="O85" s="490" t="str">
        <f t="shared" si="28"/>
        <v/>
      </c>
      <c r="P85" s="507"/>
      <c r="Q85" s="507"/>
      <c r="R85" s="509" t="str">
        <f t="shared" si="29"/>
        <v/>
      </c>
      <c r="S85" s="550" t="str">
        <f t="shared" si="24"/>
        <v/>
      </c>
      <c r="T85" s="550" t="str">
        <f t="shared" si="23"/>
        <v/>
      </c>
      <c r="U85" s="521" t="str">
        <f>IF(H85="","",#REF!*12+#REF!+#REF!*12+#REF!)</f>
        <v/>
      </c>
      <c r="V85" s="338" t="e">
        <f>IF(ii!$J$3&gt;gg!C85,"",IF(AND((YEAR(C85)=YEAR($I$2)),MONTH(C85)=MONTH($I$2)),ii!$B$14*12+ii!$C$14+ii!$B$15*12+ii!$C$15-1,V84+1))</f>
        <v>#REF!</v>
      </c>
      <c r="W85" s="339" t="e">
        <f t="shared" si="31"/>
        <v>#REF!</v>
      </c>
      <c r="X85" s="494" t="s">
        <v>621</v>
      </c>
      <c r="Y85" s="495" t="s">
        <v>621</v>
      </c>
      <c r="Z85" s="496"/>
      <c r="AA85" s="497"/>
      <c r="AB85" s="523" t="str">
        <f t="shared" si="19"/>
        <v/>
      </c>
      <c r="AC85" s="551" t="str">
        <f t="shared" si="15"/>
        <v/>
      </c>
      <c r="AD85" s="524" t="str">
        <f t="shared" si="16"/>
        <v/>
      </c>
      <c r="AE85" s="525" t="s">
        <v>621</v>
      </c>
      <c r="AF85" s="500" t="s">
        <v>621</v>
      </c>
      <c r="AG85" s="556" t="s">
        <v>621</v>
      </c>
      <c r="AH85" s="503" t="str">
        <f>IF($G85="","",IF(AND($G85&gt;=30,$AT$3&lt;=AG$7),ROUND(AG85*($AP$3+#REF!),-1),""))</f>
        <v/>
      </c>
      <c r="AI85" s="506" t="s">
        <v>621</v>
      </c>
      <c r="AJ85" s="503" t="str">
        <f>IF($G85="","",IF(AND($G85&gt;=30,$AT$3&lt;=AI$7),ROUND(AI85*($AP$3+#REF!),-1),""))</f>
        <v/>
      </c>
      <c r="AK85" s="506" t="s">
        <v>621</v>
      </c>
      <c r="AL85" s="503" t="str">
        <f>IF($G85="","",IF(AND($G85&gt;=30,$AT$3&lt;=AK$7),ROUND(AK85*($AP$3+#REF!),-1),""))</f>
        <v/>
      </c>
      <c r="AM85" s="506" t="s">
        <v>621</v>
      </c>
      <c r="AN85" s="503" t="str">
        <f>IF($G85="","",IF(AND($G85&gt;=30,$AT$3&lt;=AM$7),ROUND(AM85*($AP$3+#REF!),-1),""))</f>
        <v/>
      </c>
      <c r="AO85" s="503" t="e">
        <v>#REF!</v>
      </c>
      <c r="AP85" s="503" t="str">
        <f>IF($G85="","",IF(AND($G85&gt;=30,$AT$3&lt;=AO$7),ROUND(AO85*($AP$3+#REF!),-1),""))</f>
        <v/>
      </c>
      <c r="AQ85" s="503" t="s">
        <v>621</v>
      </c>
      <c r="AR85" s="503" t="str">
        <f>IF($G85="","",IF(AND($G85&gt;=30,$AT$3&lt;=AQ$7),ROUND(AQ85*($AP$3+#REF!),-1),""))</f>
        <v/>
      </c>
      <c r="AS85" s="517" t="e">
        <v>#REF!</v>
      </c>
      <c r="AT85" s="503" t="str">
        <f>IF($G85="","",IF(AND($G85&gt;=30,$AT$3&lt;=AS$7),ROUND(AS85*($AP$3+#REF!),-1),""))</f>
        <v/>
      </c>
      <c r="AU85" s="502"/>
      <c r="AV85" s="503" t="str">
        <f>IF($G85="","",IF(AND($G85&gt;=30,$AT$3&lt;=AU$7),ROUND(AU85*($AP$3+#REF!),-1),""))</f>
        <v/>
      </c>
      <c r="AW85" s="503"/>
      <c r="AX85" s="503" t="str">
        <f>IF($G85="","",IF(AND($G85&gt;=30,$AT$3&lt;=AW$7),ROUND(AW85*($AP$3+#REF!),-1),""))</f>
        <v/>
      </c>
      <c r="AY85" s="502"/>
      <c r="AZ85" s="503" t="str">
        <f>IF($G85="","",IF(AND($G85&gt;=30,$AT$3&lt;=AY$7),ROUND(AY85*($AP$3+#REF!),-1),""))</f>
        <v/>
      </c>
      <c r="BA85" s="503"/>
      <c r="BB85" s="503" t="str">
        <f>IF($G85="","",IF(AND($G85&gt;=30,$AT$3&lt;=BA$7),ROUND(BA85*($AP$3+#REF!),-1),""))</f>
        <v/>
      </c>
      <c r="BC85" s="502"/>
      <c r="BD85" s="503" t="str">
        <f>IF($G85="","",IF(AND($G85&gt;=30,$AT$3&lt;=BC$7),ROUND(BC85*($AP$3+#REF!),-1),""))</f>
        <v/>
      </c>
      <c r="BE85" s="503"/>
      <c r="BF85" s="503" t="str">
        <f>IF($G85="","",IF(AND($G85&gt;=30,$AT$3&lt;=BE$7),ROUND(BE85*($AP$3+#REF!),-1),""))</f>
        <v/>
      </c>
      <c r="BG85" s="502"/>
      <c r="BH85" s="503" t="str">
        <f>IF($G85="","",IF(AND($G85&gt;=30,$AT$3&lt;=BG$7),ROUND(BG85*($AP$3+#REF!),-1),""))</f>
        <v/>
      </c>
      <c r="BI85" s="503"/>
      <c r="BJ85" s="503" t="str">
        <f>IF($G85="","",IF(AND($G85&gt;=30,$AT$3&lt;=BI$7),ROUND(BI85*($AP$3+#REF!),-1),""))</f>
        <v/>
      </c>
      <c r="BK85" s="502"/>
      <c r="BL85" s="503" t="str">
        <f>IF($G85="","",IF(AND($G85&gt;=30,$AT$3&lt;=BK$7),ROUND(BK85*($AP$3+#REF!),-1),""))</f>
        <v/>
      </c>
      <c r="BM85" s="503"/>
      <c r="BN85" s="503" t="str">
        <f>IF($G85="","",IF(AND($G85&gt;=30,$AT$3&lt;=BM$7),ROUND(BM85*($AP$3+#REF!),-1),""))</f>
        <v/>
      </c>
      <c r="BO85" s="502"/>
      <c r="BP85" s="503" t="str">
        <f>IF($G85="","",IF(AND($G85&gt;=30,$AT$3&lt;=BO$7),ROUND(BO85*($AP$3+#REF!),-1),""))</f>
        <v/>
      </c>
      <c r="BQ85" s="503"/>
      <c r="BR85" s="503" t="str">
        <f>IF($G85="","",IF(AND($G85&gt;=30,$AT$3&lt;=BQ$7),ROUND(BQ85*($AP$3+#REF!),-1),""))</f>
        <v/>
      </c>
      <c r="BS85" s="502"/>
      <c r="BT85" s="503" t="str">
        <f>IF($G85="","",IF(AND($G85&gt;=30,$AT$3&lt;=BS$7),ROUND(BS85*($AP$3+#REF!),-1),""))</f>
        <v/>
      </c>
      <c r="BU85" s="503"/>
      <c r="BV85" s="503" t="str">
        <f>IF($G85="","",IF(AND($G85&gt;=30,$AT$3&lt;=BU$7),ROUND(BU85*($AP$3+#REF!),-1),""))</f>
        <v/>
      </c>
      <c r="BW85" s="502"/>
      <c r="BX85" s="503" t="str">
        <f>IF($G85="","",IF(AND($G85&gt;=30,$AT$3&lt;=BW$7),ROUND(BW85*($AP$3+#REF!),-1),""))</f>
        <v/>
      </c>
      <c r="BY85" s="503"/>
      <c r="BZ85" s="503" t="str">
        <f>IF($G85="","",IF(AND($G85&gt;=30,$AT$3&lt;=BY$7),ROUND(BY85*($AP$3+#REF!),-1),""))</f>
        <v/>
      </c>
      <c r="CA85" s="502"/>
      <c r="CB85" s="503" t="str">
        <f>IF($G85="","",IF(AND($G85&gt;=30,$AT$3&lt;=CA$7),ROUND(CA85*($AP$3+#REF!),-1),""))</f>
        <v/>
      </c>
      <c r="CC85" s="503"/>
      <c r="CD85" s="503" t="str">
        <f>IF($G85="","",IF(AND($G85&gt;=30,$AT$3&lt;=CC$7),ROUND(CC85*($AP$3+#REF!),-1),""))</f>
        <v/>
      </c>
      <c r="CE85" s="502"/>
      <c r="CF85" s="503" t="str">
        <f>IF($G85="","",IF(AND($G85&gt;=30,$AT$3&lt;=CE$7),ROUND(CE85*($AP$3+#REF!),-1),""))</f>
        <v/>
      </c>
      <c r="CG85" s="503"/>
      <c r="CH85" s="503" t="str">
        <f>IF($G85="","",IF(AND($G85&gt;=30,$AT$3&lt;=CG$7),ROUND(CG85*($AP$3+#REF!),-1),""))</f>
        <v/>
      </c>
      <c r="CI85" s="502"/>
      <c r="CJ85" s="503" t="str">
        <f>IF($G85="","",IF(AND($G85&gt;=30,$AT$3&lt;=CI$7),ROUND(CI85*($AP$3+#REF!),-1),""))</f>
        <v/>
      </c>
      <c r="CK85" s="503"/>
      <c r="CL85" s="503" t="str">
        <f>IF($G85="","",IF(AND($G85&gt;=30,$AT$3&lt;=CK$7),ROUND(CK85*($AP$3+#REF!),-1),""))</f>
        <v/>
      </c>
      <c r="CM85" s="502"/>
      <c r="CN85" s="503" t="str">
        <f>IF($G85="","",IF(AND($G85&gt;=30,$AT$3&lt;=CM$7),ROUND(CM85*($AP$3+#REF!),-1),""))</f>
        <v/>
      </c>
      <c r="CO85" s="503"/>
      <c r="CP85" s="503" t="str">
        <f>IF($G85="","",IF(AND($G85&gt;=30,$AT$3&lt;=CO$7),ROUND(CO85*($AP$3+#REF!),-1),""))</f>
        <v/>
      </c>
      <c r="CQ85" s="502"/>
      <c r="CR85" s="503" t="str">
        <f>IF($G85="","",IF(AND($G85&gt;=30,$AT$3&lt;=CQ$7),ROUND(CQ85*($AP$3+#REF!),-1),""))</f>
        <v/>
      </c>
      <c r="CS85" s="503"/>
      <c r="CT85" s="503" t="str">
        <f>IF($G85="","",IF(AND($G85&gt;=30,$AT$3&lt;=CS$7),ROUND(CS85*($AP$3+#REF!),-1),""))</f>
        <v/>
      </c>
      <c r="CU85" s="502"/>
      <c r="CV85" s="503" t="str">
        <f>IF($G85="","",IF(AND($G85&gt;=30,$AT$3&lt;=CU$7),ROUND(CU85*($AP$3+#REF!),-1),""))</f>
        <v/>
      </c>
      <c r="CW85" s="503"/>
      <c r="CX85" s="503" t="str">
        <f>IF($G85="","",IF(AND($G85&gt;=30,$AT$3&lt;=CW$7),ROUND(CW85*($AP$3+#REF!),-1),""))</f>
        <v/>
      </c>
      <c r="CY85" s="502"/>
      <c r="CZ85" s="503" t="str">
        <f>IF($G85="","",IF(AND($G85&gt;=30,$AT$3&lt;=CY$7),ROUND(CY85*($AP$3+#REF!),-1),""))</f>
        <v/>
      </c>
      <c r="DA85" s="503"/>
      <c r="DB85" s="503" t="str">
        <f>IF($G85="","",IF(AND($G85&gt;=30,$AT$3&lt;=DA$7),ROUND(DA85*($AP$3+#REF!),-1),""))</f>
        <v/>
      </c>
      <c r="DC85" s="502"/>
      <c r="DD85" s="503" t="str">
        <f>IF($G85="","",IF(AND($G85&gt;=30,$AT$3&lt;=DC$7),ROUND(DC85*($AP$3+#REF!),-1),""))</f>
        <v/>
      </c>
      <c r="DE85" s="503"/>
      <c r="DF85" s="503" t="str">
        <f>IF($G85="","",IF(AND($G85&gt;=30,$AT$3&lt;=DE$7),ROUND(DE85*($AP$3+#REF!),-1),""))</f>
        <v/>
      </c>
      <c r="DG85" s="503"/>
      <c r="DH85" s="503" t="str">
        <f>IF($G85="","",IF(AND($G85&gt;=30,$AT$3&lt;=DG$7),ROUND(DG85*($AP$3+#REF!),-1),""))</f>
        <v/>
      </c>
      <c r="DI85" s="503"/>
      <c r="DJ85" s="503" t="str">
        <f>IF($G85="","",IF(AND($G85&gt;=30,$AT$3&lt;=DI$7),ROUND(DI85*($AP$3+#REF!),-1),""))</f>
        <v/>
      </c>
      <c r="DK85" s="503"/>
      <c r="DL85" s="503" t="str">
        <f>IF($G85="","",IF(AND($G85&gt;=30,$AT$3&lt;=DK$7),ROUND(DK85*($AP$3+#REF!),-1),""))</f>
        <v/>
      </c>
      <c r="DM85" s="503"/>
      <c r="DN85" s="503" t="str">
        <f>IF($G85="","",IF(AND($G85&gt;=30,$AT$3&lt;=DM$7),ROUND(DM85*($AP$3+#REF!),-1),""))</f>
        <v/>
      </c>
      <c r="DO85" s="503"/>
      <c r="DP85" s="503" t="str">
        <f>IF($G85="","",IF(AND($G85&gt;=30,$AT$3&lt;=DO$7),ROUND(DO85*($AP$3+#REF!),-1),""))</f>
        <v/>
      </c>
      <c r="DQ85" s="503"/>
      <c r="DR85" s="503" t="str">
        <f>IF($G85="","",IF(AND($G85&gt;=30,$AT$3&lt;=DQ$7),ROUND(DQ85*($AP$3+#REF!),-1),""))</f>
        <v/>
      </c>
      <c r="DS85" s="503"/>
      <c r="DT85" s="503" t="str">
        <f>IF($G85="","",IF(AND($G85&gt;=30,$AT$3&lt;=DS$7),ROUND(DS85*($AP$3+#REF!),-1),""))</f>
        <v/>
      </c>
      <c r="DU85" s="503"/>
      <c r="DV85" s="503" t="str">
        <f>IF($G85="","",IF(AND($G85&gt;=30,$AT$3&lt;=DU$7),ROUND(DU85*($AP$3+#REF!),-1),""))</f>
        <v/>
      </c>
      <c r="DW85" s="503"/>
      <c r="DX85" s="503" t="str">
        <f>IF($G85="","",IF(AND($G85&gt;=30,$AT$3&lt;=DW$7),ROUND(DW85*($AP$3+#REF!),-1),""))</f>
        <v/>
      </c>
      <c r="DY85" s="503"/>
      <c r="DZ85" s="503" t="str">
        <f>IF($G85="","",IF(AND($G85&gt;=30,$AT$3&lt;=DY$7),ROUND(DY85*($AP$3+#REF!),-1),""))</f>
        <v/>
      </c>
      <c r="EA85" s="503"/>
      <c r="EB85" s="503" t="str">
        <f>IF($G85="","",IF(AND($G85&gt;=30,$AT$3&lt;=EA$7),ROUND(EA85*($AP$3+#REF!),-1),""))</f>
        <v/>
      </c>
      <c r="EC85" s="504" t="s">
        <v>621</v>
      </c>
      <c r="ED85" s="1126"/>
      <c r="EE85" s="325">
        <v>5</v>
      </c>
    </row>
    <row r="86" spans="1:135" ht="9.75" customHeight="1">
      <c r="A86" s="321" t="str">
        <f t="shared" si="21"/>
        <v/>
      </c>
      <c r="B86" s="567" t="e">
        <f>(ii!$D$13*12+V86)+1</f>
        <v>#REF!</v>
      </c>
      <c r="C86" s="337">
        <f t="shared" si="30"/>
        <v>44742</v>
      </c>
      <c r="D86" s="484">
        <f t="shared" si="25"/>
        <v>2022</v>
      </c>
      <c r="E86" s="484">
        <f t="shared" si="26"/>
        <v>0.5</v>
      </c>
      <c r="F86" s="484">
        <f t="shared" si="27"/>
        <v>2022.5</v>
      </c>
      <c r="G86" s="485" t="str">
        <f>IF(OR(C86&lt;$I$2,C86&gt;$J$3),"",(ii!$D$13*12+V86+1)/12)</f>
        <v/>
      </c>
      <c r="H86" s="486"/>
      <c r="I86" s="486"/>
      <c r="J86" s="487"/>
      <c r="K86" s="488"/>
      <c r="L86" s="548"/>
      <c r="M86" s="489" t="str">
        <f t="shared" si="12"/>
        <v/>
      </c>
      <c r="N86" s="490" t="s">
        <v>621</v>
      </c>
      <c r="O86" s="490" t="str">
        <f t="shared" si="28"/>
        <v/>
      </c>
      <c r="P86" s="491"/>
      <c r="Q86" s="491"/>
      <c r="R86" s="491" t="str">
        <f t="shared" si="29"/>
        <v/>
      </c>
      <c r="S86" s="528" t="str">
        <f t="shared" si="24"/>
        <v/>
      </c>
      <c r="T86" s="528" t="str">
        <f t="shared" si="23"/>
        <v/>
      </c>
      <c r="U86" s="493" t="str">
        <f>IF(H86="","",#REF!*12+#REF!+#REF!*12+#REF!)</f>
        <v/>
      </c>
      <c r="V86" s="338" t="e">
        <f>IF(ii!$J$3&gt;gg!C86,"",IF(AND((YEAR(C86)=YEAR($I$2)),MONTH(C86)=MONTH($I$2)),ii!$B$14*12+ii!$C$14+ii!$B$15*12+ii!$C$15-1,V85+1))</f>
        <v>#REF!</v>
      </c>
      <c r="W86" s="339" t="e">
        <f t="shared" si="31"/>
        <v>#REF!</v>
      </c>
      <c r="X86" s="494" t="s">
        <v>621</v>
      </c>
      <c r="Y86" s="495" t="s">
        <v>621</v>
      </c>
      <c r="Z86" s="496"/>
      <c r="AA86" s="497"/>
      <c r="AB86" s="498" t="str">
        <f t="shared" si="19"/>
        <v/>
      </c>
      <c r="AC86" s="484" t="str">
        <f t="shared" si="15"/>
        <v/>
      </c>
      <c r="AD86" s="495" t="str">
        <f t="shared" si="16"/>
        <v/>
      </c>
      <c r="AE86" s="499" t="s">
        <v>621</v>
      </c>
      <c r="AF86" s="500" t="s">
        <v>621</v>
      </c>
      <c r="AG86" s="556" t="s">
        <v>621</v>
      </c>
      <c r="AH86" s="503" t="str">
        <f>IF($G86="","",IF(AND($G86&gt;=30,$AT$3&lt;=AG$7),ROUND(AG86*($AP$3+#REF!),-1),""))</f>
        <v/>
      </c>
      <c r="AI86" s="506" t="s">
        <v>621</v>
      </c>
      <c r="AJ86" s="503" t="str">
        <f>IF($G86="","",IF(AND($G86&gt;=30,$AT$3&lt;=AI$7),ROUND(AI86*($AP$3+#REF!),-1),""))</f>
        <v/>
      </c>
      <c r="AK86" s="506" t="s">
        <v>621</v>
      </c>
      <c r="AL86" s="503" t="str">
        <f>IF($G86="","",IF(AND($G86&gt;=30,$AT$3&lt;=AK$7),ROUND(AK86*($AP$3+#REF!),-1),""))</f>
        <v/>
      </c>
      <c r="AM86" s="506" t="s">
        <v>621</v>
      </c>
      <c r="AN86" s="503" t="str">
        <f>IF($G86="","",IF(AND($G86&gt;=30,$AT$3&lt;=AM$7),ROUND(AM86*($AP$3+#REF!),-1),""))</f>
        <v/>
      </c>
      <c r="AO86" s="503" t="e">
        <v>#REF!</v>
      </c>
      <c r="AP86" s="503" t="str">
        <f>IF($G86="","",IF(AND($G86&gt;=30,$AT$3&lt;=AO$7),ROUND(AO86*($AP$3+#REF!),-1),""))</f>
        <v/>
      </c>
      <c r="AQ86" s="503" t="s">
        <v>621</v>
      </c>
      <c r="AR86" s="503" t="str">
        <f>IF($G86="","",IF(AND($G86&gt;=30,$AT$3&lt;=AQ$7),ROUND(AQ86*($AP$3+#REF!),-1),""))</f>
        <v/>
      </c>
      <c r="AS86" s="517" t="e">
        <v>#REF!</v>
      </c>
      <c r="AT86" s="503" t="str">
        <f>IF($G86="","",IF(AND($G86&gt;=30,$AT$3&lt;=AS$7),ROUND(AS86*($AP$3+#REF!),-1),""))</f>
        <v/>
      </c>
      <c r="AU86" s="502"/>
      <c r="AV86" s="503" t="str">
        <f>IF($G86="","",IF(AND($G86&gt;=30,$AT$3&lt;=AU$7),ROUND(AU86*($AP$3+#REF!),-1),""))</f>
        <v/>
      </c>
      <c r="AW86" s="503"/>
      <c r="AX86" s="503" t="str">
        <f>IF($G86="","",IF(AND($G86&gt;=30,$AT$3&lt;=AW$7),ROUND(AW86*($AP$3+#REF!),-1),""))</f>
        <v/>
      </c>
      <c r="AY86" s="502"/>
      <c r="AZ86" s="503" t="str">
        <f>IF($G86="","",IF(AND($G86&gt;=30,$AT$3&lt;=AY$7),ROUND(AY86*($AP$3+#REF!),-1),""))</f>
        <v/>
      </c>
      <c r="BA86" s="503"/>
      <c r="BB86" s="503" t="str">
        <f>IF($G86="","",IF(AND($G86&gt;=30,$AT$3&lt;=BA$7),ROUND(BA86*($AP$3+#REF!),-1),""))</f>
        <v/>
      </c>
      <c r="BC86" s="502"/>
      <c r="BD86" s="503" t="str">
        <f>IF($G86="","",IF(AND($G86&gt;=30,$AT$3&lt;=BC$7),ROUND(BC86*($AP$3+#REF!),-1),""))</f>
        <v/>
      </c>
      <c r="BE86" s="503"/>
      <c r="BF86" s="503" t="str">
        <f>IF($G86="","",IF(AND($G86&gt;=30,$AT$3&lt;=BE$7),ROUND(BE86*($AP$3+#REF!),-1),""))</f>
        <v/>
      </c>
      <c r="BG86" s="502"/>
      <c r="BH86" s="503" t="str">
        <f>IF($G86="","",IF(AND($G86&gt;=30,$AT$3&lt;=BG$7),ROUND(BG86*($AP$3+#REF!),-1),""))</f>
        <v/>
      </c>
      <c r="BI86" s="503"/>
      <c r="BJ86" s="503" t="str">
        <f>IF($G86="","",IF(AND($G86&gt;=30,$AT$3&lt;=BI$7),ROUND(BI86*($AP$3+#REF!),-1),""))</f>
        <v/>
      </c>
      <c r="BK86" s="502"/>
      <c r="BL86" s="503" t="str">
        <f>IF($G86="","",IF(AND($G86&gt;=30,$AT$3&lt;=BK$7),ROUND(BK86*($AP$3+#REF!),-1),""))</f>
        <v/>
      </c>
      <c r="BM86" s="503"/>
      <c r="BN86" s="503" t="str">
        <f>IF($G86="","",IF(AND($G86&gt;=30,$AT$3&lt;=BM$7),ROUND(BM86*($AP$3+#REF!),-1),""))</f>
        <v/>
      </c>
      <c r="BO86" s="502"/>
      <c r="BP86" s="503" t="str">
        <f>IF($G86="","",IF(AND($G86&gt;=30,$AT$3&lt;=BO$7),ROUND(BO86*($AP$3+#REF!),-1),""))</f>
        <v/>
      </c>
      <c r="BQ86" s="503"/>
      <c r="BR86" s="503" t="str">
        <f>IF($G86="","",IF(AND($G86&gt;=30,$AT$3&lt;=BQ$7),ROUND(BQ86*($AP$3+#REF!),-1),""))</f>
        <v/>
      </c>
      <c r="BS86" s="502"/>
      <c r="BT86" s="503" t="str">
        <f>IF($G86="","",IF(AND($G86&gt;=30,$AT$3&lt;=BS$7),ROUND(BS86*($AP$3+#REF!),-1),""))</f>
        <v/>
      </c>
      <c r="BU86" s="503"/>
      <c r="BV86" s="503" t="str">
        <f>IF($G86="","",IF(AND($G86&gt;=30,$AT$3&lt;=BU$7),ROUND(BU86*($AP$3+#REF!),-1),""))</f>
        <v/>
      </c>
      <c r="BW86" s="502"/>
      <c r="BX86" s="503" t="str">
        <f>IF($G86="","",IF(AND($G86&gt;=30,$AT$3&lt;=BW$7),ROUND(BW86*($AP$3+#REF!),-1),""))</f>
        <v/>
      </c>
      <c r="BY86" s="503"/>
      <c r="BZ86" s="503" t="str">
        <f>IF($G86="","",IF(AND($G86&gt;=30,$AT$3&lt;=BY$7),ROUND(BY86*($AP$3+#REF!),-1),""))</f>
        <v/>
      </c>
      <c r="CA86" s="502"/>
      <c r="CB86" s="503" t="str">
        <f>IF($G86="","",IF(AND($G86&gt;=30,$AT$3&lt;=CA$7),ROUND(CA86*($AP$3+#REF!),-1),""))</f>
        <v/>
      </c>
      <c r="CC86" s="503"/>
      <c r="CD86" s="503" t="str">
        <f>IF($G86="","",IF(AND($G86&gt;=30,$AT$3&lt;=CC$7),ROUND(CC86*($AP$3+#REF!),-1),""))</f>
        <v/>
      </c>
      <c r="CE86" s="502"/>
      <c r="CF86" s="503" t="str">
        <f>IF($G86="","",IF(AND($G86&gt;=30,$AT$3&lt;=CE$7),ROUND(CE86*($AP$3+#REF!),-1),""))</f>
        <v/>
      </c>
      <c r="CG86" s="503"/>
      <c r="CH86" s="503" t="str">
        <f>IF($G86="","",IF(AND($G86&gt;=30,$AT$3&lt;=CG$7),ROUND(CG86*($AP$3+#REF!),-1),""))</f>
        <v/>
      </c>
      <c r="CI86" s="502"/>
      <c r="CJ86" s="503" t="str">
        <f>IF($G86="","",IF(AND($G86&gt;=30,$AT$3&lt;=CI$7),ROUND(CI86*($AP$3+#REF!),-1),""))</f>
        <v/>
      </c>
      <c r="CK86" s="503"/>
      <c r="CL86" s="503" t="str">
        <f>IF($G86="","",IF(AND($G86&gt;=30,$AT$3&lt;=CK$7),ROUND(CK86*($AP$3+#REF!),-1),""))</f>
        <v/>
      </c>
      <c r="CM86" s="502"/>
      <c r="CN86" s="503" t="str">
        <f>IF($G86="","",IF(AND($G86&gt;=30,$AT$3&lt;=CM$7),ROUND(CM86*($AP$3+#REF!),-1),""))</f>
        <v/>
      </c>
      <c r="CO86" s="503"/>
      <c r="CP86" s="503" t="str">
        <f>IF($G86="","",IF(AND($G86&gt;=30,$AT$3&lt;=CO$7),ROUND(CO86*($AP$3+#REF!),-1),""))</f>
        <v/>
      </c>
      <c r="CQ86" s="502"/>
      <c r="CR86" s="503" t="str">
        <f>IF($G86="","",IF(AND($G86&gt;=30,$AT$3&lt;=CQ$7),ROUND(CQ86*($AP$3+#REF!),-1),""))</f>
        <v/>
      </c>
      <c r="CS86" s="503"/>
      <c r="CT86" s="503" t="str">
        <f>IF($G86="","",IF(AND($G86&gt;=30,$AT$3&lt;=CS$7),ROUND(CS86*($AP$3+#REF!),-1),""))</f>
        <v/>
      </c>
      <c r="CU86" s="502"/>
      <c r="CV86" s="503" t="str">
        <f>IF($G86="","",IF(AND($G86&gt;=30,$AT$3&lt;=CU$7),ROUND(CU86*($AP$3+#REF!),-1),""))</f>
        <v/>
      </c>
      <c r="CW86" s="503"/>
      <c r="CX86" s="503" t="str">
        <f>IF($G86="","",IF(AND($G86&gt;=30,$AT$3&lt;=CW$7),ROUND(CW86*($AP$3+#REF!),-1),""))</f>
        <v/>
      </c>
      <c r="CY86" s="502"/>
      <c r="CZ86" s="503" t="str">
        <f>IF($G86="","",IF(AND($G86&gt;=30,$AT$3&lt;=CY$7),ROUND(CY86*($AP$3+#REF!),-1),""))</f>
        <v/>
      </c>
      <c r="DA86" s="503"/>
      <c r="DB86" s="503" t="str">
        <f>IF($G86="","",IF(AND($G86&gt;=30,$AT$3&lt;=DA$7),ROUND(DA86*($AP$3+#REF!),-1),""))</f>
        <v/>
      </c>
      <c r="DC86" s="502"/>
      <c r="DD86" s="503" t="str">
        <f>IF($G86="","",IF(AND($G86&gt;=30,$AT$3&lt;=DC$7),ROUND(DC86*($AP$3+#REF!),-1),""))</f>
        <v/>
      </c>
      <c r="DE86" s="503"/>
      <c r="DF86" s="503" t="str">
        <f>IF($G86="","",IF(AND($G86&gt;=30,$AT$3&lt;=DE$7),ROUND(DE86*($AP$3+#REF!),-1),""))</f>
        <v/>
      </c>
      <c r="DG86" s="503"/>
      <c r="DH86" s="503" t="str">
        <f>IF($G86="","",IF(AND($G86&gt;=30,$AT$3&lt;=DG$7),ROUND(DG86*($AP$3+#REF!),-1),""))</f>
        <v/>
      </c>
      <c r="DI86" s="503"/>
      <c r="DJ86" s="503" t="str">
        <f>IF($G86="","",IF(AND($G86&gt;=30,$AT$3&lt;=DI$7),ROUND(DI86*($AP$3+#REF!),-1),""))</f>
        <v/>
      </c>
      <c r="DK86" s="503"/>
      <c r="DL86" s="503" t="str">
        <f>IF($G86="","",IF(AND($G86&gt;=30,$AT$3&lt;=DK$7),ROUND(DK86*($AP$3+#REF!),-1),""))</f>
        <v/>
      </c>
      <c r="DM86" s="503"/>
      <c r="DN86" s="503" t="str">
        <f>IF($G86="","",IF(AND($G86&gt;=30,$AT$3&lt;=DM$7),ROUND(DM86*($AP$3+#REF!),-1),""))</f>
        <v/>
      </c>
      <c r="DO86" s="503"/>
      <c r="DP86" s="503" t="str">
        <f>IF($G86="","",IF(AND($G86&gt;=30,$AT$3&lt;=DO$7),ROUND(DO86*($AP$3+#REF!),-1),""))</f>
        <v/>
      </c>
      <c r="DQ86" s="503"/>
      <c r="DR86" s="503" t="str">
        <f>IF($G86="","",IF(AND($G86&gt;=30,$AT$3&lt;=DQ$7),ROUND(DQ86*($AP$3+#REF!),-1),""))</f>
        <v/>
      </c>
      <c r="DS86" s="503"/>
      <c r="DT86" s="503" t="str">
        <f>IF($G86="","",IF(AND($G86&gt;=30,$AT$3&lt;=DS$7),ROUND(DS86*($AP$3+#REF!),-1),""))</f>
        <v/>
      </c>
      <c r="DU86" s="503"/>
      <c r="DV86" s="503" t="str">
        <f>IF($G86="","",IF(AND($G86&gt;=30,$AT$3&lt;=DU$7),ROUND(DU86*($AP$3+#REF!),-1),""))</f>
        <v/>
      </c>
      <c r="DW86" s="503"/>
      <c r="DX86" s="503" t="str">
        <f>IF($G86="","",IF(AND($G86&gt;=30,$AT$3&lt;=DW$7),ROUND(DW86*($AP$3+#REF!),-1),""))</f>
        <v/>
      </c>
      <c r="DY86" s="503"/>
      <c r="DZ86" s="503" t="str">
        <f>IF($G86="","",IF(AND($G86&gt;=30,$AT$3&lt;=DY$7),ROUND(DY86*($AP$3+#REF!),-1),""))</f>
        <v/>
      </c>
      <c r="EA86" s="503"/>
      <c r="EB86" s="503" t="str">
        <f>IF($G86="","",IF(AND($G86&gt;=30,$AT$3&lt;=EA$7),ROUND(EA86*($AP$3+#REF!),-1),""))</f>
        <v/>
      </c>
      <c r="EC86" s="504" t="s">
        <v>621</v>
      </c>
      <c r="ED86" s="1126"/>
      <c r="EE86" s="325">
        <v>6</v>
      </c>
    </row>
    <row r="87" spans="1:135" ht="9.75" customHeight="1">
      <c r="A87" s="321" t="str">
        <f t="shared" si="21"/>
        <v/>
      </c>
      <c r="B87" s="567" t="e">
        <f>(ii!$D$13*12+V87)+1</f>
        <v>#REF!</v>
      </c>
      <c r="C87" s="337">
        <f t="shared" si="30"/>
        <v>44773</v>
      </c>
      <c r="D87" s="484">
        <f t="shared" si="25"/>
        <v>2022</v>
      </c>
      <c r="E87" s="484">
        <f t="shared" si="26"/>
        <v>0.58333333333333337</v>
      </c>
      <c r="F87" s="484">
        <f t="shared" si="27"/>
        <v>2022.5833333333333</v>
      </c>
      <c r="G87" s="485" t="str">
        <f>IF(OR(C87&lt;$I$2,C87&gt;$J$3),"",(ii!$D$13*12+V87+1)/12)</f>
        <v/>
      </c>
      <c r="H87" s="486"/>
      <c r="I87" s="486"/>
      <c r="J87" s="487"/>
      <c r="K87" s="488"/>
      <c r="L87" s="548"/>
      <c r="M87" s="489" t="str">
        <f t="shared" si="12"/>
        <v/>
      </c>
      <c r="N87" s="490" t="s">
        <v>621</v>
      </c>
      <c r="O87" s="490" t="str">
        <f t="shared" si="28"/>
        <v/>
      </c>
      <c r="P87" s="491"/>
      <c r="Q87" s="491"/>
      <c r="R87" s="491" t="str">
        <f t="shared" si="29"/>
        <v/>
      </c>
      <c r="S87" s="528" t="str">
        <f t="shared" si="24"/>
        <v/>
      </c>
      <c r="T87" s="528" t="str">
        <f t="shared" si="23"/>
        <v/>
      </c>
      <c r="U87" s="493" t="str">
        <f>IF(H87="","",#REF!*12+#REF!+#REF!*12+#REF!)</f>
        <v/>
      </c>
      <c r="V87" s="338" t="e">
        <f>IF(ii!$J$3&gt;gg!C87,"",IF(AND((YEAR(C87)=YEAR($I$2)),MONTH(C87)=MONTH($I$2)),ii!$B$14*12+ii!$C$14+ii!$B$15*12+ii!$C$15-1,V86+1))</f>
        <v>#REF!</v>
      </c>
      <c r="W87" s="339" t="e">
        <f t="shared" si="31"/>
        <v>#REF!</v>
      </c>
      <c r="X87" s="494" t="s">
        <v>621</v>
      </c>
      <c r="Y87" s="495" t="s">
        <v>621</v>
      </c>
      <c r="Z87" s="496"/>
      <c r="AA87" s="497"/>
      <c r="AB87" s="498" t="str">
        <f t="shared" si="19"/>
        <v/>
      </c>
      <c r="AC87" s="484" t="str">
        <f t="shared" si="15"/>
        <v/>
      </c>
      <c r="AD87" s="495" t="str">
        <f t="shared" si="16"/>
        <v/>
      </c>
      <c r="AE87" s="499" t="s">
        <v>621</v>
      </c>
      <c r="AF87" s="500" t="s">
        <v>621</v>
      </c>
      <c r="AG87" s="556" t="s">
        <v>621</v>
      </c>
      <c r="AH87" s="503" t="str">
        <f>IF($G87="","",IF(AND($G87&gt;=30,$AT$3&lt;=AG$7),ROUND(AG87*($AP$3+#REF!),-1),""))</f>
        <v/>
      </c>
      <c r="AI87" s="506" t="s">
        <v>621</v>
      </c>
      <c r="AJ87" s="503" t="str">
        <f>IF($G87="","",IF(AND($G87&gt;=30,$AT$3&lt;=AI$7),ROUND(AI87*($AP$3+#REF!),-1),""))</f>
        <v/>
      </c>
      <c r="AK87" s="506" t="s">
        <v>621</v>
      </c>
      <c r="AL87" s="503" t="str">
        <f>IF($G87="","",IF(AND($G87&gt;=30,$AT$3&lt;=AK$7),ROUND(AK87*($AP$3+#REF!),-1),""))</f>
        <v/>
      </c>
      <c r="AM87" s="506" t="s">
        <v>621</v>
      </c>
      <c r="AN87" s="503" t="str">
        <f>IF($G87="","",IF(AND($G87&gt;=30,$AT$3&lt;=AM$7),ROUND(AM87*($AP$3+#REF!),-1),""))</f>
        <v/>
      </c>
      <c r="AO87" s="503" t="e">
        <v>#REF!</v>
      </c>
      <c r="AP87" s="503" t="str">
        <f>IF($G87="","",IF(AND($G87&gt;=30,$AT$3&lt;=AO$7),ROUND(AO87*($AP$3+#REF!),-1),""))</f>
        <v/>
      </c>
      <c r="AQ87" s="503" t="s">
        <v>621</v>
      </c>
      <c r="AR87" s="503" t="str">
        <f>IF($G87="","",IF(AND($G87&gt;=30,$AT$3&lt;=AQ$7),ROUND(AQ87*($AP$3+#REF!),-1),""))</f>
        <v/>
      </c>
      <c r="AS87" s="517" t="e">
        <v>#REF!</v>
      </c>
      <c r="AT87" s="503" t="str">
        <f>IF($G87="","",IF(AND($G87&gt;=30,$AT$3&lt;=AS$7),ROUND(AS87*($AP$3+#REF!),-1),""))</f>
        <v/>
      </c>
      <c r="AU87" s="502"/>
      <c r="AV87" s="503" t="str">
        <f>IF($G87="","",IF(AND($G87&gt;=30,$AT$3&lt;=AU$7),ROUND(AU87*($AP$3+#REF!),-1),""))</f>
        <v/>
      </c>
      <c r="AW87" s="503"/>
      <c r="AX87" s="503" t="str">
        <f>IF($G87="","",IF(AND($G87&gt;=30,$AT$3&lt;=AW$7),ROUND(AW87*($AP$3+#REF!),-1),""))</f>
        <v/>
      </c>
      <c r="AY87" s="502"/>
      <c r="AZ87" s="503" t="str">
        <f>IF($G87="","",IF(AND($G87&gt;=30,$AT$3&lt;=AY$7),ROUND(AY87*($AP$3+#REF!),-1),""))</f>
        <v/>
      </c>
      <c r="BA87" s="503"/>
      <c r="BB87" s="503" t="str">
        <f>IF($G87="","",IF(AND($G87&gt;=30,$AT$3&lt;=BA$7),ROUND(BA87*($AP$3+#REF!),-1),""))</f>
        <v/>
      </c>
      <c r="BC87" s="502"/>
      <c r="BD87" s="503" t="str">
        <f>IF($G87="","",IF(AND($G87&gt;=30,$AT$3&lt;=BC$7),ROUND(BC87*($AP$3+#REF!),-1),""))</f>
        <v/>
      </c>
      <c r="BE87" s="503"/>
      <c r="BF87" s="503" t="str">
        <f>IF($G87="","",IF(AND($G87&gt;=30,$AT$3&lt;=BE$7),ROUND(BE87*($AP$3+#REF!),-1),""))</f>
        <v/>
      </c>
      <c r="BG87" s="502"/>
      <c r="BH87" s="503" t="str">
        <f>IF($G87="","",IF(AND($G87&gt;=30,$AT$3&lt;=BG$7),ROUND(BG87*($AP$3+#REF!),-1),""))</f>
        <v/>
      </c>
      <c r="BI87" s="503"/>
      <c r="BJ87" s="503" t="str">
        <f>IF($G87="","",IF(AND($G87&gt;=30,$AT$3&lt;=BI$7),ROUND(BI87*($AP$3+#REF!),-1),""))</f>
        <v/>
      </c>
      <c r="BK87" s="502"/>
      <c r="BL87" s="503" t="str">
        <f>IF($G87="","",IF(AND($G87&gt;=30,$AT$3&lt;=BK$7),ROUND(BK87*($AP$3+#REF!),-1),""))</f>
        <v/>
      </c>
      <c r="BM87" s="503"/>
      <c r="BN87" s="503" t="str">
        <f>IF($G87="","",IF(AND($G87&gt;=30,$AT$3&lt;=BM$7),ROUND(BM87*($AP$3+#REF!),-1),""))</f>
        <v/>
      </c>
      <c r="BO87" s="502"/>
      <c r="BP87" s="503" t="str">
        <f>IF($G87="","",IF(AND($G87&gt;=30,$AT$3&lt;=BO$7),ROUND(BO87*($AP$3+#REF!),-1),""))</f>
        <v/>
      </c>
      <c r="BQ87" s="503"/>
      <c r="BR87" s="503" t="str">
        <f>IF($G87="","",IF(AND($G87&gt;=30,$AT$3&lt;=BQ$7),ROUND(BQ87*($AP$3+#REF!),-1),""))</f>
        <v/>
      </c>
      <c r="BS87" s="502"/>
      <c r="BT87" s="503" t="str">
        <f>IF($G87="","",IF(AND($G87&gt;=30,$AT$3&lt;=BS$7),ROUND(BS87*($AP$3+#REF!),-1),""))</f>
        <v/>
      </c>
      <c r="BU87" s="503"/>
      <c r="BV87" s="503" t="str">
        <f>IF($G87="","",IF(AND($G87&gt;=30,$AT$3&lt;=BU$7),ROUND(BU87*($AP$3+#REF!),-1),""))</f>
        <v/>
      </c>
      <c r="BW87" s="502"/>
      <c r="BX87" s="503" t="str">
        <f>IF($G87="","",IF(AND($G87&gt;=30,$AT$3&lt;=BW$7),ROUND(BW87*($AP$3+#REF!),-1),""))</f>
        <v/>
      </c>
      <c r="BY87" s="503"/>
      <c r="BZ87" s="503" t="str">
        <f>IF($G87="","",IF(AND($G87&gt;=30,$AT$3&lt;=BY$7),ROUND(BY87*($AP$3+#REF!),-1),""))</f>
        <v/>
      </c>
      <c r="CA87" s="502"/>
      <c r="CB87" s="503" t="str">
        <f>IF($G87="","",IF(AND($G87&gt;=30,$AT$3&lt;=CA$7),ROUND(CA87*($AP$3+#REF!),-1),""))</f>
        <v/>
      </c>
      <c r="CC87" s="503"/>
      <c r="CD87" s="503" t="str">
        <f>IF($G87="","",IF(AND($G87&gt;=30,$AT$3&lt;=CC$7),ROUND(CC87*($AP$3+#REF!),-1),""))</f>
        <v/>
      </c>
      <c r="CE87" s="502"/>
      <c r="CF87" s="503" t="str">
        <f>IF($G87="","",IF(AND($G87&gt;=30,$AT$3&lt;=CE$7),ROUND(CE87*($AP$3+#REF!),-1),""))</f>
        <v/>
      </c>
      <c r="CG87" s="503"/>
      <c r="CH87" s="503" t="str">
        <f>IF($G87="","",IF(AND($G87&gt;=30,$AT$3&lt;=CG$7),ROUND(CG87*($AP$3+#REF!),-1),""))</f>
        <v/>
      </c>
      <c r="CI87" s="502"/>
      <c r="CJ87" s="503" t="str">
        <f>IF($G87="","",IF(AND($G87&gt;=30,$AT$3&lt;=CI$7),ROUND(CI87*($AP$3+#REF!),-1),""))</f>
        <v/>
      </c>
      <c r="CK87" s="503"/>
      <c r="CL87" s="503" t="str">
        <f>IF($G87="","",IF(AND($G87&gt;=30,$AT$3&lt;=CK$7),ROUND(CK87*($AP$3+#REF!),-1),""))</f>
        <v/>
      </c>
      <c r="CM87" s="502"/>
      <c r="CN87" s="503" t="str">
        <f>IF($G87="","",IF(AND($G87&gt;=30,$AT$3&lt;=CM$7),ROUND(CM87*($AP$3+#REF!),-1),""))</f>
        <v/>
      </c>
      <c r="CO87" s="503"/>
      <c r="CP87" s="503" t="str">
        <f>IF($G87="","",IF(AND($G87&gt;=30,$AT$3&lt;=CO$7),ROUND(CO87*($AP$3+#REF!),-1),""))</f>
        <v/>
      </c>
      <c r="CQ87" s="502"/>
      <c r="CR87" s="503" t="str">
        <f>IF($G87="","",IF(AND($G87&gt;=30,$AT$3&lt;=CQ$7),ROUND(CQ87*($AP$3+#REF!),-1),""))</f>
        <v/>
      </c>
      <c r="CS87" s="503"/>
      <c r="CT87" s="503" t="str">
        <f>IF($G87="","",IF(AND($G87&gt;=30,$AT$3&lt;=CS$7),ROUND(CS87*($AP$3+#REF!),-1),""))</f>
        <v/>
      </c>
      <c r="CU87" s="502"/>
      <c r="CV87" s="503" t="str">
        <f>IF($G87="","",IF(AND($G87&gt;=30,$AT$3&lt;=CU$7),ROUND(CU87*($AP$3+#REF!),-1),""))</f>
        <v/>
      </c>
      <c r="CW87" s="503"/>
      <c r="CX87" s="503" t="str">
        <f>IF($G87="","",IF(AND($G87&gt;=30,$AT$3&lt;=CW$7),ROUND(CW87*($AP$3+#REF!),-1),""))</f>
        <v/>
      </c>
      <c r="CY87" s="502"/>
      <c r="CZ87" s="503" t="str">
        <f>IF($G87="","",IF(AND($G87&gt;=30,$AT$3&lt;=CY$7),ROUND(CY87*($AP$3+#REF!),-1),""))</f>
        <v/>
      </c>
      <c r="DA87" s="503"/>
      <c r="DB87" s="503" t="str">
        <f>IF($G87="","",IF(AND($G87&gt;=30,$AT$3&lt;=DA$7),ROUND(DA87*($AP$3+#REF!),-1),""))</f>
        <v/>
      </c>
      <c r="DC87" s="502"/>
      <c r="DD87" s="503" t="str">
        <f>IF($G87="","",IF(AND($G87&gt;=30,$AT$3&lt;=DC$7),ROUND(DC87*($AP$3+#REF!),-1),""))</f>
        <v/>
      </c>
      <c r="DE87" s="503"/>
      <c r="DF87" s="503" t="str">
        <f>IF($G87="","",IF(AND($G87&gt;=30,$AT$3&lt;=DE$7),ROUND(DE87*($AP$3+#REF!),-1),""))</f>
        <v/>
      </c>
      <c r="DG87" s="503"/>
      <c r="DH87" s="503" t="str">
        <f>IF($G87="","",IF(AND($G87&gt;=30,$AT$3&lt;=DG$7),ROUND(DG87*($AP$3+#REF!),-1),""))</f>
        <v/>
      </c>
      <c r="DI87" s="503"/>
      <c r="DJ87" s="503" t="str">
        <f>IF($G87="","",IF(AND($G87&gt;=30,$AT$3&lt;=DI$7),ROUND(DI87*($AP$3+#REF!),-1),""))</f>
        <v/>
      </c>
      <c r="DK87" s="503"/>
      <c r="DL87" s="503" t="str">
        <f>IF($G87="","",IF(AND($G87&gt;=30,$AT$3&lt;=DK$7),ROUND(DK87*($AP$3+#REF!),-1),""))</f>
        <v/>
      </c>
      <c r="DM87" s="503"/>
      <c r="DN87" s="503" t="str">
        <f>IF($G87="","",IF(AND($G87&gt;=30,$AT$3&lt;=DM$7),ROUND(DM87*($AP$3+#REF!),-1),""))</f>
        <v/>
      </c>
      <c r="DO87" s="503"/>
      <c r="DP87" s="503" t="str">
        <f>IF($G87="","",IF(AND($G87&gt;=30,$AT$3&lt;=DO$7),ROUND(DO87*($AP$3+#REF!),-1),""))</f>
        <v/>
      </c>
      <c r="DQ87" s="503"/>
      <c r="DR87" s="503" t="str">
        <f>IF($G87="","",IF(AND($G87&gt;=30,$AT$3&lt;=DQ$7),ROUND(DQ87*($AP$3+#REF!),-1),""))</f>
        <v/>
      </c>
      <c r="DS87" s="503"/>
      <c r="DT87" s="503" t="str">
        <f>IF($G87="","",IF(AND($G87&gt;=30,$AT$3&lt;=DS$7),ROUND(DS87*($AP$3+#REF!),-1),""))</f>
        <v/>
      </c>
      <c r="DU87" s="503"/>
      <c r="DV87" s="503" t="str">
        <f>IF($G87="","",IF(AND($G87&gt;=30,$AT$3&lt;=DU$7),ROUND(DU87*($AP$3+#REF!),-1),""))</f>
        <v/>
      </c>
      <c r="DW87" s="503"/>
      <c r="DX87" s="503" t="str">
        <f>IF($G87="","",IF(AND($G87&gt;=30,$AT$3&lt;=DW$7),ROUND(DW87*($AP$3+#REF!),-1),""))</f>
        <v/>
      </c>
      <c r="DY87" s="503"/>
      <c r="DZ87" s="503" t="str">
        <f>IF($G87="","",IF(AND($G87&gt;=30,$AT$3&lt;=DY$7),ROUND(DY87*($AP$3+#REF!),-1),""))</f>
        <v/>
      </c>
      <c r="EA87" s="503"/>
      <c r="EB87" s="503" t="str">
        <f>IF($G87="","",IF(AND($G87&gt;=30,$AT$3&lt;=EA$7),ROUND(EA87*($AP$3+#REF!),-1),""))</f>
        <v/>
      </c>
      <c r="EC87" s="504" t="s">
        <v>621</v>
      </c>
      <c r="ED87" s="1126"/>
      <c r="EE87" s="325">
        <v>7</v>
      </c>
    </row>
    <row r="88" spans="1:135" ht="9.75" customHeight="1">
      <c r="A88" s="321" t="str">
        <f t="shared" si="21"/>
        <v/>
      </c>
      <c r="B88" s="567" t="e">
        <f>(ii!$D$13*12+V88)+1</f>
        <v>#REF!</v>
      </c>
      <c r="C88" s="337">
        <f t="shared" si="30"/>
        <v>44804</v>
      </c>
      <c r="D88" s="484">
        <f t="shared" si="25"/>
        <v>2022</v>
      </c>
      <c r="E88" s="484">
        <f t="shared" si="26"/>
        <v>0.66666666666666663</v>
      </c>
      <c r="F88" s="484">
        <f t="shared" si="27"/>
        <v>2022.6666666666667</v>
      </c>
      <c r="G88" s="485" t="str">
        <f>IF(OR(C88&lt;$I$2,C88&gt;$J$3),"",(ii!$D$13*12+V88+1)/12)</f>
        <v/>
      </c>
      <c r="H88" s="486"/>
      <c r="I88" s="486"/>
      <c r="J88" s="487"/>
      <c r="K88" s="488"/>
      <c r="L88" s="548"/>
      <c r="M88" s="489" t="str">
        <f t="shared" si="12"/>
        <v/>
      </c>
      <c r="N88" s="490" t="s">
        <v>621</v>
      </c>
      <c r="O88" s="490" t="str">
        <f t="shared" si="28"/>
        <v/>
      </c>
      <c r="P88" s="491"/>
      <c r="Q88" s="491"/>
      <c r="R88" s="491" t="str">
        <f t="shared" si="29"/>
        <v/>
      </c>
      <c r="S88" s="528" t="str">
        <f t="shared" si="24"/>
        <v/>
      </c>
      <c r="T88" s="528" t="str">
        <f t="shared" si="23"/>
        <v/>
      </c>
      <c r="U88" s="493" t="str">
        <f>IF(H88="","",#REF!*12+#REF!+#REF!*12+#REF!)</f>
        <v/>
      </c>
      <c r="V88" s="338" t="e">
        <f>IF(ii!$J$3&gt;gg!C88,"",IF(AND((YEAR(C88)=YEAR($I$2)),MONTH(C88)=MONTH($I$2)),ii!$B$14*12+ii!$C$14+ii!$B$15*12+ii!$C$15-1,V87+1))</f>
        <v>#REF!</v>
      </c>
      <c r="W88" s="339" t="e">
        <f t="shared" si="31"/>
        <v>#REF!</v>
      </c>
      <c r="X88" s="494" t="s">
        <v>621</v>
      </c>
      <c r="Y88" s="495" t="s">
        <v>621</v>
      </c>
      <c r="Z88" s="496"/>
      <c r="AA88" s="497"/>
      <c r="AB88" s="498" t="str">
        <f t="shared" si="19"/>
        <v/>
      </c>
      <c r="AC88" s="484" t="str">
        <f t="shared" si="15"/>
        <v/>
      </c>
      <c r="AD88" s="495" t="str">
        <f t="shared" si="16"/>
        <v/>
      </c>
      <c r="AE88" s="499" t="s">
        <v>621</v>
      </c>
      <c r="AF88" s="500" t="s">
        <v>621</v>
      </c>
      <c r="AG88" s="556" t="s">
        <v>621</v>
      </c>
      <c r="AH88" s="503" t="str">
        <f>IF($G88="","",IF(AND($G88&gt;=30,$AT$3&lt;=AG$7),ROUND(AG88*($AP$3+#REF!),-1),""))</f>
        <v/>
      </c>
      <c r="AI88" s="506" t="s">
        <v>621</v>
      </c>
      <c r="AJ88" s="503" t="str">
        <f>IF($G88="","",IF(AND($G88&gt;=30,$AT$3&lt;=AI$7),ROUND(AI88*($AP$3+#REF!),-1),""))</f>
        <v/>
      </c>
      <c r="AK88" s="506" t="s">
        <v>621</v>
      </c>
      <c r="AL88" s="503" t="str">
        <f>IF($G88="","",IF(AND($G88&gt;=30,$AT$3&lt;=AK$7),ROUND(AK88*($AP$3+#REF!),-1),""))</f>
        <v/>
      </c>
      <c r="AM88" s="506" t="s">
        <v>621</v>
      </c>
      <c r="AN88" s="503" t="str">
        <f>IF($G88="","",IF(AND($G88&gt;=30,$AT$3&lt;=AM$7),ROUND(AM88*($AP$3+#REF!),-1),""))</f>
        <v/>
      </c>
      <c r="AO88" s="503" t="e">
        <v>#REF!</v>
      </c>
      <c r="AP88" s="503" t="str">
        <f>IF($G88="","",IF(AND($G88&gt;=30,$AT$3&lt;=AO$7),ROUND(AO88*($AP$3+#REF!),-1),""))</f>
        <v/>
      </c>
      <c r="AQ88" s="503" t="s">
        <v>621</v>
      </c>
      <c r="AR88" s="503" t="str">
        <f>IF($G88="","",IF(AND($G88&gt;=30,$AT$3&lt;=AQ$7),ROUND(AQ88*($AP$3+#REF!),-1),""))</f>
        <v/>
      </c>
      <c r="AS88" s="517" t="e">
        <v>#REF!</v>
      </c>
      <c r="AT88" s="503" t="str">
        <f>IF($G88="","",IF(AND($G88&gt;=30,$AT$3&lt;=AS$7),ROUND(AS88*($AP$3+#REF!),-1),""))</f>
        <v/>
      </c>
      <c r="AU88" s="502"/>
      <c r="AV88" s="503" t="str">
        <f>IF($G88="","",IF(AND($G88&gt;=30,$AT$3&lt;=AU$7),ROUND(AU88*($AP$3+#REF!),-1),""))</f>
        <v/>
      </c>
      <c r="AW88" s="503"/>
      <c r="AX88" s="503" t="str">
        <f>IF($G88="","",IF(AND($G88&gt;=30,$AT$3&lt;=AW$7),ROUND(AW88*($AP$3+#REF!),-1),""))</f>
        <v/>
      </c>
      <c r="AY88" s="502"/>
      <c r="AZ88" s="503" t="str">
        <f>IF($G88="","",IF(AND($G88&gt;=30,$AT$3&lt;=AY$7),ROUND(AY88*($AP$3+#REF!),-1),""))</f>
        <v/>
      </c>
      <c r="BA88" s="503"/>
      <c r="BB88" s="503" t="str">
        <f>IF($G88="","",IF(AND($G88&gt;=30,$AT$3&lt;=BA$7),ROUND(BA88*($AP$3+#REF!),-1),""))</f>
        <v/>
      </c>
      <c r="BC88" s="502"/>
      <c r="BD88" s="503" t="str">
        <f>IF($G88="","",IF(AND($G88&gt;=30,$AT$3&lt;=BC$7),ROUND(BC88*($AP$3+#REF!),-1),""))</f>
        <v/>
      </c>
      <c r="BE88" s="503"/>
      <c r="BF88" s="503" t="str">
        <f>IF($G88="","",IF(AND($G88&gt;=30,$AT$3&lt;=BE$7),ROUND(BE88*($AP$3+#REF!),-1),""))</f>
        <v/>
      </c>
      <c r="BG88" s="502"/>
      <c r="BH88" s="503" t="str">
        <f>IF($G88="","",IF(AND($G88&gt;=30,$AT$3&lt;=BG$7),ROUND(BG88*($AP$3+#REF!),-1),""))</f>
        <v/>
      </c>
      <c r="BI88" s="503"/>
      <c r="BJ88" s="503" t="str">
        <f>IF($G88="","",IF(AND($G88&gt;=30,$AT$3&lt;=BI$7),ROUND(BI88*($AP$3+#REF!),-1),""))</f>
        <v/>
      </c>
      <c r="BK88" s="502"/>
      <c r="BL88" s="503" t="str">
        <f>IF($G88="","",IF(AND($G88&gt;=30,$AT$3&lt;=BK$7),ROUND(BK88*($AP$3+#REF!),-1),""))</f>
        <v/>
      </c>
      <c r="BM88" s="503"/>
      <c r="BN88" s="503" t="str">
        <f>IF($G88="","",IF(AND($G88&gt;=30,$AT$3&lt;=BM$7),ROUND(BM88*($AP$3+#REF!),-1),""))</f>
        <v/>
      </c>
      <c r="BO88" s="502"/>
      <c r="BP88" s="503" t="str">
        <f>IF($G88="","",IF(AND($G88&gt;=30,$AT$3&lt;=BO$7),ROUND(BO88*($AP$3+#REF!),-1),""))</f>
        <v/>
      </c>
      <c r="BQ88" s="503"/>
      <c r="BR88" s="503" t="str">
        <f>IF($G88="","",IF(AND($G88&gt;=30,$AT$3&lt;=BQ$7),ROUND(BQ88*($AP$3+#REF!),-1),""))</f>
        <v/>
      </c>
      <c r="BS88" s="502"/>
      <c r="BT88" s="503" t="str">
        <f>IF($G88="","",IF(AND($G88&gt;=30,$AT$3&lt;=BS$7),ROUND(BS88*($AP$3+#REF!),-1),""))</f>
        <v/>
      </c>
      <c r="BU88" s="503"/>
      <c r="BV88" s="503" t="str">
        <f>IF($G88="","",IF(AND($G88&gt;=30,$AT$3&lt;=BU$7),ROUND(BU88*($AP$3+#REF!),-1),""))</f>
        <v/>
      </c>
      <c r="BW88" s="502"/>
      <c r="BX88" s="503" t="str">
        <f>IF($G88="","",IF(AND($G88&gt;=30,$AT$3&lt;=BW$7),ROUND(BW88*($AP$3+#REF!),-1),""))</f>
        <v/>
      </c>
      <c r="BY88" s="503"/>
      <c r="BZ88" s="503" t="str">
        <f>IF($G88="","",IF(AND($G88&gt;=30,$AT$3&lt;=BY$7),ROUND(BY88*($AP$3+#REF!),-1),""))</f>
        <v/>
      </c>
      <c r="CA88" s="502"/>
      <c r="CB88" s="503" t="str">
        <f>IF($G88="","",IF(AND($G88&gt;=30,$AT$3&lt;=CA$7),ROUND(CA88*($AP$3+#REF!),-1),""))</f>
        <v/>
      </c>
      <c r="CC88" s="503"/>
      <c r="CD88" s="503" t="str">
        <f>IF($G88="","",IF(AND($G88&gt;=30,$AT$3&lt;=CC$7),ROUND(CC88*($AP$3+#REF!),-1),""))</f>
        <v/>
      </c>
      <c r="CE88" s="502"/>
      <c r="CF88" s="503" t="str">
        <f>IF($G88="","",IF(AND($G88&gt;=30,$AT$3&lt;=CE$7),ROUND(CE88*($AP$3+#REF!),-1),""))</f>
        <v/>
      </c>
      <c r="CG88" s="503"/>
      <c r="CH88" s="503" t="str">
        <f>IF($G88="","",IF(AND($G88&gt;=30,$AT$3&lt;=CG$7),ROUND(CG88*($AP$3+#REF!),-1),""))</f>
        <v/>
      </c>
      <c r="CI88" s="502"/>
      <c r="CJ88" s="503" t="str">
        <f>IF($G88="","",IF(AND($G88&gt;=30,$AT$3&lt;=CI$7),ROUND(CI88*($AP$3+#REF!),-1),""))</f>
        <v/>
      </c>
      <c r="CK88" s="503"/>
      <c r="CL88" s="503" t="str">
        <f>IF($G88="","",IF(AND($G88&gt;=30,$AT$3&lt;=CK$7),ROUND(CK88*($AP$3+#REF!),-1),""))</f>
        <v/>
      </c>
      <c r="CM88" s="502"/>
      <c r="CN88" s="503" t="str">
        <f>IF($G88="","",IF(AND($G88&gt;=30,$AT$3&lt;=CM$7),ROUND(CM88*($AP$3+#REF!),-1),""))</f>
        <v/>
      </c>
      <c r="CO88" s="503"/>
      <c r="CP88" s="503" t="str">
        <f>IF($G88="","",IF(AND($G88&gt;=30,$AT$3&lt;=CO$7),ROUND(CO88*($AP$3+#REF!),-1),""))</f>
        <v/>
      </c>
      <c r="CQ88" s="502"/>
      <c r="CR88" s="503" t="str">
        <f>IF($G88="","",IF(AND($G88&gt;=30,$AT$3&lt;=CQ$7),ROUND(CQ88*($AP$3+#REF!),-1),""))</f>
        <v/>
      </c>
      <c r="CS88" s="503"/>
      <c r="CT88" s="503" t="str">
        <f>IF($G88="","",IF(AND($G88&gt;=30,$AT$3&lt;=CS$7),ROUND(CS88*($AP$3+#REF!),-1),""))</f>
        <v/>
      </c>
      <c r="CU88" s="502"/>
      <c r="CV88" s="503" t="str">
        <f>IF($G88="","",IF(AND($G88&gt;=30,$AT$3&lt;=CU$7),ROUND(CU88*($AP$3+#REF!),-1),""))</f>
        <v/>
      </c>
      <c r="CW88" s="503"/>
      <c r="CX88" s="503" t="str">
        <f>IF($G88="","",IF(AND($G88&gt;=30,$AT$3&lt;=CW$7),ROUND(CW88*($AP$3+#REF!),-1),""))</f>
        <v/>
      </c>
      <c r="CY88" s="502"/>
      <c r="CZ88" s="503" t="str">
        <f>IF($G88="","",IF(AND($G88&gt;=30,$AT$3&lt;=CY$7),ROUND(CY88*($AP$3+#REF!),-1),""))</f>
        <v/>
      </c>
      <c r="DA88" s="503"/>
      <c r="DB88" s="503" t="str">
        <f>IF($G88="","",IF(AND($G88&gt;=30,$AT$3&lt;=DA$7),ROUND(DA88*($AP$3+#REF!),-1),""))</f>
        <v/>
      </c>
      <c r="DC88" s="502"/>
      <c r="DD88" s="503" t="str">
        <f>IF($G88="","",IF(AND($G88&gt;=30,$AT$3&lt;=DC$7),ROUND(DC88*($AP$3+#REF!),-1),""))</f>
        <v/>
      </c>
      <c r="DE88" s="503"/>
      <c r="DF88" s="503" t="str">
        <f>IF($G88="","",IF(AND($G88&gt;=30,$AT$3&lt;=DE$7),ROUND(DE88*($AP$3+#REF!),-1),""))</f>
        <v/>
      </c>
      <c r="DG88" s="503"/>
      <c r="DH88" s="503" t="str">
        <f>IF($G88="","",IF(AND($G88&gt;=30,$AT$3&lt;=DG$7),ROUND(DG88*($AP$3+#REF!),-1),""))</f>
        <v/>
      </c>
      <c r="DI88" s="503"/>
      <c r="DJ88" s="503" t="str">
        <f>IF($G88="","",IF(AND($G88&gt;=30,$AT$3&lt;=DI$7),ROUND(DI88*($AP$3+#REF!),-1),""))</f>
        <v/>
      </c>
      <c r="DK88" s="503"/>
      <c r="DL88" s="503" t="str">
        <f>IF($G88="","",IF(AND($G88&gt;=30,$AT$3&lt;=DK$7),ROUND(DK88*($AP$3+#REF!),-1),""))</f>
        <v/>
      </c>
      <c r="DM88" s="503"/>
      <c r="DN88" s="503" t="str">
        <f>IF($G88="","",IF(AND($G88&gt;=30,$AT$3&lt;=DM$7),ROUND(DM88*($AP$3+#REF!),-1),""))</f>
        <v/>
      </c>
      <c r="DO88" s="503"/>
      <c r="DP88" s="503" t="str">
        <f>IF($G88="","",IF(AND($G88&gt;=30,$AT$3&lt;=DO$7),ROUND(DO88*($AP$3+#REF!),-1),""))</f>
        <v/>
      </c>
      <c r="DQ88" s="503"/>
      <c r="DR88" s="503" t="str">
        <f>IF($G88="","",IF(AND($G88&gt;=30,$AT$3&lt;=DQ$7),ROUND(DQ88*($AP$3+#REF!),-1),""))</f>
        <v/>
      </c>
      <c r="DS88" s="503"/>
      <c r="DT88" s="503" t="str">
        <f>IF($G88="","",IF(AND($G88&gt;=30,$AT$3&lt;=DS$7),ROUND(DS88*($AP$3+#REF!),-1),""))</f>
        <v/>
      </c>
      <c r="DU88" s="503"/>
      <c r="DV88" s="503" t="str">
        <f>IF($G88="","",IF(AND($G88&gt;=30,$AT$3&lt;=DU$7),ROUND(DU88*($AP$3+#REF!),-1),""))</f>
        <v/>
      </c>
      <c r="DW88" s="503"/>
      <c r="DX88" s="503" t="str">
        <f>IF($G88="","",IF(AND($G88&gt;=30,$AT$3&lt;=DW$7),ROUND(DW88*($AP$3+#REF!),-1),""))</f>
        <v/>
      </c>
      <c r="DY88" s="503"/>
      <c r="DZ88" s="503" t="str">
        <f>IF($G88="","",IF(AND($G88&gt;=30,$AT$3&lt;=DY$7),ROUND(DY88*($AP$3+#REF!),-1),""))</f>
        <v/>
      </c>
      <c r="EA88" s="503"/>
      <c r="EB88" s="503" t="str">
        <f>IF($G88="","",IF(AND($G88&gt;=30,$AT$3&lt;=EA$7),ROUND(EA88*($AP$3+#REF!),-1),""))</f>
        <v/>
      </c>
      <c r="EC88" s="504" t="s">
        <v>621</v>
      </c>
      <c r="ED88" s="1126"/>
      <c r="EE88" s="325">
        <v>8</v>
      </c>
    </row>
    <row r="89" spans="1:135" ht="9.75" customHeight="1">
      <c r="A89" s="321" t="str">
        <f t="shared" si="21"/>
        <v/>
      </c>
      <c r="B89" s="567" t="e">
        <f>(ii!$D$13*12+V89)+1</f>
        <v>#REF!</v>
      </c>
      <c r="C89" s="337">
        <f t="shared" si="30"/>
        <v>44834</v>
      </c>
      <c r="D89" s="484">
        <f t="shared" si="25"/>
        <v>2022</v>
      </c>
      <c r="E89" s="484">
        <f t="shared" si="26"/>
        <v>0.75</v>
      </c>
      <c r="F89" s="484">
        <f t="shared" si="27"/>
        <v>2022.75</v>
      </c>
      <c r="G89" s="485" t="str">
        <f>IF(OR(C89&lt;$I$2,C89&gt;$J$3),"",(ii!$D$13*12+V89+1)/12)</f>
        <v/>
      </c>
      <c r="H89" s="486"/>
      <c r="I89" s="486"/>
      <c r="J89" s="487"/>
      <c r="K89" s="488"/>
      <c r="L89" s="548"/>
      <c r="M89" s="489" t="str">
        <f t="shared" si="12"/>
        <v/>
      </c>
      <c r="N89" s="490" t="s">
        <v>621</v>
      </c>
      <c r="O89" s="490" t="str">
        <f t="shared" si="28"/>
        <v/>
      </c>
      <c r="P89" s="491"/>
      <c r="Q89" s="491"/>
      <c r="R89" s="491" t="str">
        <f t="shared" si="29"/>
        <v/>
      </c>
      <c r="S89" s="528" t="str">
        <f t="shared" si="24"/>
        <v/>
      </c>
      <c r="T89" s="528" t="str">
        <f t="shared" si="23"/>
        <v/>
      </c>
      <c r="U89" s="493" t="str">
        <f>IF(H89="","",#REF!*12+#REF!+#REF!*12+#REF!)</f>
        <v/>
      </c>
      <c r="V89" s="338" t="e">
        <f>IF(ii!$J$3&gt;gg!C89,"",IF(AND((YEAR(C89)=YEAR($I$2)),MONTH(C89)=MONTH($I$2)),ii!$B$14*12+ii!$C$14+ii!$B$15*12+ii!$C$15-1,V88+1))</f>
        <v>#REF!</v>
      </c>
      <c r="W89" s="339" t="e">
        <f t="shared" si="31"/>
        <v>#REF!</v>
      </c>
      <c r="X89" s="494" t="s">
        <v>621</v>
      </c>
      <c r="Y89" s="495" t="s">
        <v>621</v>
      </c>
      <c r="Z89" s="496"/>
      <c r="AA89" s="497"/>
      <c r="AB89" s="498" t="str">
        <f t="shared" si="19"/>
        <v/>
      </c>
      <c r="AC89" s="484" t="str">
        <f t="shared" si="15"/>
        <v/>
      </c>
      <c r="AD89" s="495" t="str">
        <f t="shared" si="16"/>
        <v/>
      </c>
      <c r="AE89" s="499" t="s">
        <v>621</v>
      </c>
      <c r="AF89" s="500" t="s">
        <v>621</v>
      </c>
      <c r="AG89" s="556" t="s">
        <v>621</v>
      </c>
      <c r="AH89" s="503" t="str">
        <f>IF($G89="","",IF(AND($G89&gt;=30,$AT$3&lt;=AG$7),ROUND(AG89*($AP$3+#REF!),-1),""))</f>
        <v/>
      </c>
      <c r="AI89" s="506" t="s">
        <v>621</v>
      </c>
      <c r="AJ89" s="503" t="str">
        <f>IF($G89="","",IF(AND($G89&gt;=30,$AT$3&lt;=AI$7),ROUND(AI89*($AP$3+#REF!),-1),""))</f>
        <v/>
      </c>
      <c r="AK89" s="506" t="s">
        <v>621</v>
      </c>
      <c r="AL89" s="503" t="str">
        <f>IF($G89="","",IF(AND($G89&gt;=30,$AT$3&lt;=AK$7),ROUND(AK89*($AP$3+#REF!),-1),""))</f>
        <v/>
      </c>
      <c r="AM89" s="506" t="s">
        <v>621</v>
      </c>
      <c r="AN89" s="503" t="str">
        <f>IF($G89="","",IF(AND($G89&gt;=30,$AT$3&lt;=AM$7),ROUND(AM89*($AP$3+#REF!),-1),""))</f>
        <v/>
      </c>
      <c r="AO89" s="503" t="e">
        <v>#REF!</v>
      </c>
      <c r="AP89" s="503" t="str">
        <f>IF($G89="","",IF(AND($G89&gt;=30,$AT$3&lt;=AO$7),ROUND(AO89*($AP$3+#REF!),-1),""))</f>
        <v/>
      </c>
      <c r="AQ89" s="503" t="s">
        <v>621</v>
      </c>
      <c r="AR89" s="503" t="str">
        <f>IF($G89="","",IF(AND($G89&gt;=30,$AT$3&lt;=AQ$7),ROUND(AQ89*($AP$3+#REF!),-1),""))</f>
        <v/>
      </c>
      <c r="AS89" s="517" t="e">
        <v>#REF!</v>
      </c>
      <c r="AT89" s="503" t="str">
        <f>IF($G89="","",IF(AND($G89&gt;=30,$AT$3&lt;=AS$7),ROUND(AS89*($AP$3+#REF!),-1),""))</f>
        <v/>
      </c>
      <c r="AU89" s="502"/>
      <c r="AV89" s="503" t="str">
        <f>IF($G89="","",IF(AND($G89&gt;=30,$AT$3&lt;=AU$7),ROUND(AU89*($AP$3+#REF!),-1),""))</f>
        <v/>
      </c>
      <c r="AW89" s="503"/>
      <c r="AX89" s="503" t="str">
        <f>IF($G89="","",IF(AND($G89&gt;=30,$AT$3&lt;=AW$7),ROUND(AW89*($AP$3+#REF!),-1),""))</f>
        <v/>
      </c>
      <c r="AY89" s="502"/>
      <c r="AZ89" s="503" t="str">
        <f>IF($G89="","",IF(AND($G89&gt;=30,$AT$3&lt;=AY$7),ROUND(AY89*($AP$3+#REF!),-1),""))</f>
        <v/>
      </c>
      <c r="BA89" s="503"/>
      <c r="BB89" s="503" t="str">
        <f>IF($G89="","",IF(AND($G89&gt;=30,$AT$3&lt;=BA$7),ROUND(BA89*($AP$3+#REF!),-1),""))</f>
        <v/>
      </c>
      <c r="BC89" s="502"/>
      <c r="BD89" s="503" t="str">
        <f>IF($G89="","",IF(AND($G89&gt;=30,$AT$3&lt;=BC$7),ROUND(BC89*($AP$3+#REF!),-1),""))</f>
        <v/>
      </c>
      <c r="BE89" s="503"/>
      <c r="BF89" s="503" t="str">
        <f>IF($G89="","",IF(AND($G89&gt;=30,$AT$3&lt;=BE$7),ROUND(BE89*($AP$3+#REF!),-1),""))</f>
        <v/>
      </c>
      <c r="BG89" s="502"/>
      <c r="BH89" s="503" t="str">
        <f>IF($G89="","",IF(AND($G89&gt;=30,$AT$3&lt;=BG$7),ROUND(BG89*($AP$3+#REF!),-1),""))</f>
        <v/>
      </c>
      <c r="BI89" s="503"/>
      <c r="BJ89" s="503" t="str">
        <f>IF($G89="","",IF(AND($G89&gt;=30,$AT$3&lt;=BI$7),ROUND(BI89*($AP$3+#REF!),-1),""))</f>
        <v/>
      </c>
      <c r="BK89" s="502"/>
      <c r="BL89" s="503" t="str">
        <f>IF($G89="","",IF(AND($G89&gt;=30,$AT$3&lt;=BK$7),ROUND(BK89*($AP$3+#REF!),-1),""))</f>
        <v/>
      </c>
      <c r="BM89" s="503"/>
      <c r="BN89" s="503" t="str">
        <f>IF($G89="","",IF(AND($G89&gt;=30,$AT$3&lt;=BM$7),ROUND(BM89*($AP$3+#REF!),-1),""))</f>
        <v/>
      </c>
      <c r="BO89" s="502"/>
      <c r="BP89" s="503" t="str">
        <f>IF($G89="","",IF(AND($G89&gt;=30,$AT$3&lt;=BO$7),ROUND(BO89*($AP$3+#REF!),-1),""))</f>
        <v/>
      </c>
      <c r="BQ89" s="503"/>
      <c r="BR89" s="503" t="str">
        <f>IF($G89="","",IF(AND($G89&gt;=30,$AT$3&lt;=BQ$7),ROUND(BQ89*($AP$3+#REF!),-1),""))</f>
        <v/>
      </c>
      <c r="BS89" s="502"/>
      <c r="BT89" s="503" t="str">
        <f>IF($G89="","",IF(AND($G89&gt;=30,$AT$3&lt;=BS$7),ROUND(BS89*($AP$3+#REF!),-1),""))</f>
        <v/>
      </c>
      <c r="BU89" s="503"/>
      <c r="BV89" s="503" t="str">
        <f>IF($G89="","",IF(AND($G89&gt;=30,$AT$3&lt;=BU$7),ROUND(BU89*($AP$3+#REF!),-1),""))</f>
        <v/>
      </c>
      <c r="BW89" s="502"/>
      <c r="BX89" s="503" t="str">
        <f>IF($G89="","",IF(AND($G89&gt;=30,$AT$3&lt;=BW$7),ROUND(BW89*($AP$3+#REF!),-1),""))</f>
        <v/>
      </c>
      <c r="BY89" s="503"/>
      <c r="BZ89" s="503" t="str">
        <f>IF($G89="","",IF(AND($G89&gt;=30,$AT$3&lt;=BY$7),ROUND(BY89*($AP$3+#REF!),-1),""))</f>
        <v/>
      </c>
      <c r="CA89" s="502"/>
      <c r="CB89" s="503" t="str">
        <f>IF($G89="","",IF(AND($G89&gt;=30,$AT$3&lt;=CA$7),ROUND(CA89*($AP$3+#REF!),-1),""))</f>
        <v/>
      </c>
      <c r="CC89" s="503"/>
      <c r="CD89" s="503" t="str">
        <f>IF($G89="","",IF(AND($G89&gt;=30,$AT$3&lt;=CC$7),ROUND(CC89*($AP$3+#REF!),-1),""))</f>
        <v/>
      </c>
      <c r="CE89" s="502"/>
      <c r="CF89" s="503" t="str">
        <f>IF($G89="","",IF(AND($G89&gt;=30,$AT$3&lt;=CE$7),ROUND(CE89*($AP$3+#REF!),-1),""))</f>
        <v/>
      </c>
      <c r="CG89" s="503"/>
      <c r="CH89" s="503" t="str">
        <f>IF($G89="","",IF(AND($G89&gt;=30,$AT$3&lt;=CG$7),ROUND(CG89*($AP$3+#REF!),-1),""))</f>
        <v/>
      </c>
      <c r="CI89" s="502"/>
      <c r="CJ89" s="503" t="str">
        <f>IF($G89="","",IF(AND($G89&gt;=30,$AT$3&lt;=CI$7),ROUND(CI89*($AP$3+#REF!),-1),""))</f>
        <v/>
      </c>
      <c r="CK89" s="503"/>
      <c r="CL89" s="503" t="str">
        <f>IF($G89="","",IF(AND($G89&gt;=30,$AT$3&lt;=CK$7),ROUND(CK89*($AP$3+#REF!),-1),""))</f>
        <v/>
      </c>
      <c r="CM89" s="502"/>
      <c r="CN89" s="503" t="str">
        <f>IF($G89="","",IF(AND($G89&gt;=30,$AT$3&lt;=CM$7),ROUND(CM89*($AP$3+#REF!),-1),""))</f>
        <v/>
      </c>
      <c r="CO89" s="503"/>
      <c r="CP89" s="503" t="str">
        <f>IF($G89="","",IF(AND($G89&gt;=30,$AT$3&lt;=CO$7),ROUND(CO89*($AP$3+#REF!),-1),""))</f>
        <v/>
      </c>
      <c r="CQ89" s="502"/>
      <c r="CR89" s="503" t="str">
        <f>IF($G89="","",IF(AND($G89&gt;=30,$AT$3&lt;=CQ$7),ROUND(CQ89*($AP$3+#REF!),-1),""))</f>
        <v/>
      </c>
      <c r="CS89" s="503"/>
      <c r="CT89" s="503" t="str">
        <f>IF($G89="","",IF(AND($G89&gt;=30,$AT$3&lt;=CS$7),ROUND(CS89*($AP$3+#REF!),-1),""))</f>
        <v/>
      </c>
      <c r="CU89" s="502"/>
      <c r="CV89" s="503" t="str">
        <f>IF($G89="","",IF(AND($G89&gt;=30,$AT$3&lt;=CU$7),ROUND(CU89*($AP$3+#REF!),-1),""))</f>
        <v/>
      </c>
      <c r="CW89" s="503"/>
      <c r="CX89" s="503" t="str">
        <f>IF($G89="","",IF(AND($G89&gt;=30,$AT$3&lt;=CW$7),ROUND(CW89*($AP$3+#REF!),-1),""))</f>
        <v/>
      </c>
      <c r="CY89" s="502"/>
      <c r="CZ89" s="503" t="str">
        <f>IF($G89="","",IF(AND($G89&gt;=30,$AT$3&lt;=CY$7),ROUND(CY89*($AP$3+#REF!),-1),""))</f>
        <v/>
      </c>
      <c r="DA89" s="503"/>
      <c r="DB89" s="503" t="str">
        <f>IF($G89="","",IF(AND($G89&gt;=30,$AT$3&lt;=DA$7),ROUND(DA89*($AP$3+#REF!),-1),""))</f>
        <v/>
      </c>
      <c r="DC89" s="502"/>
      <c r="DD89" s="503" t="str">
        <f>IF($G89="","",IF(AND($G89&gt;=30,$AT$3&lt;=DC$7),ROUND(DC89*($AP$3+#REF!),-1),""))</f>
        <v/>
      </c>
      <c r="DE89" s="503"/>
      <c r="DF89" s="503" t="str">
        <f>IF($G89="","",IF(AND($G89&gt;=30,$AT$3&lt;=DE$7),ROUND(DE89*($AP$3+#REF!),-1),""))</f>
        <v/>
      </c>
      <c r="DG89" s="503"/>
      <c r="DH89" s="503" t="str">
        <f>IF($G89="","",IF(AND($G89&gt;=30,$AT$3&lt;=DG$7),ROUND(DG89*($AP$3+#REF!),-1),""))</f>
        <v/>
      </c>
      <c r="DI89" s="503"/>
      <c r="DJ89" s="503" t="str">
        <f>IF($G89="","",IF(AND($G89&gt;=30,$AT$3&lt;=DI$7),ROUND(DI89*($AP$3+#REF!),-1),""))</f>
        <v/>
      </c>
      <c r="DK89" s="503"/>
      <c r="DL89" s="503" t="str">
        <f>IF($G89="","",IF(AND($G89&gt;=30,$AT$3&lt;=DK$7),ROUND(DK89*($AP$3+#REF!),-1),""))</f>
        <v/>
      </c>
      <c r="DM89" s="503"/>
      <c r="DN89" s="503" t="str">
        <f>IF($G89="","",IF(AND($G89&gt;=30,$AT$3&lt;=DM$7),ROUND(DM89*($AP$3+#REF!),-1),""))</f>
        <v/>
      </c>
      <c r="DO89" s="503"/>
      <c r="DP89" s="503" t="str">
        <f>IF($G89="","",IF(AND($G89&gt;=30,$AT$3&lt;=DO$7),ROUND(DO89*($AP$3+#REF!),-1),""))</f>
        <v/>
      </c>
      <c r="DQ89" s="503"/>
      <c r="DR89" s="503" t="str">
        <f>IF($G89="","",IF(AND($G89&gt;=30,$AT$3&lt;=DQ$7),ROUND(DQ89*($AP$3+#REF!),-1),""))</f>
        <v/>
      </c>
      <c r="DS89" s="503"/>
      <c r="DT89" s="503" t="str">
        <f>IF($G89="","",IF(AND($G89&gt;=30,$AT$3&lt;=DS$7),ROUND(DS89*($AP$3+#REF!),-1),""))</f>
        <v/>
      </c>
      <c r="DU89" s="503"/>
      <c r="DV89" s="503" t="str">
        <f>IF($G89="","",IF(AND($G89&gt;=30,$AT$3&lt;=DU$7),ROUND(DU89*($AP$3+#REF!),-1),""))</f>
        <v/>
      </c>
      <c r="DW89" s="503"/>
      <c r="DX89" s="503" t="str">
        <f>IF($G89="","",IF(AND($G89&gt;=30,$AT$3&lt;=DW$7),ROUND(DW89*($AP$3+#REF!),-1),""))</f>
        <v/>
      </c>
      <c r="DY89" s="503"/>
      <c r="DZ89" s="503" t="str">
        <f>IF($G89="","",IF(AND($G89&gt;=30,$AT$3&lt;=DY$7),ROUND(DY89*($AP$3+#REF!),-1),""))</f>
        <v/>
      </c>
      <c r="EA89" s="503"/>
      <c r="EB89" s="503" t="str">
        <f>IF($G89="","",IF(AND($G89&gt;=30,$AT$3&lt;=EA$7),ROUND(EA89*($AP$3+#REF!),-1),""))</f>
        <v/>
      </c>
      <c r="EC89" s="504" t="s">
        <v>621</v>
      </c>
      <c r="ED89" s="1126"/>
      <c r="EE89" s="325">
        <v>9</v>
      </c>
    </row>
    <row r="90" spans="1:135" ht="9.75" customHeight="1">
      <c r="A90" s="321" t="str">
        <f t="shared" si="21"/>
        <v/>
      </c>
      <c r="B90" s="567" t="e">
        <f>(ii!$D$13*12+V90)+1</f>
        <v>#REF!</v>
      </c>
      <c r="C90" s="337">
        <f t="shared" si="30"/>
        <v>44865</v>
      </c>
      <c r="D90" s="484">
        <f t="shared" si="25"/>
        <v>2022</v>
      </c>
      <c r="E90" s="484">
        <f t="shared" si="26"/>
        <v>0.83333333333333337</v>
      </c>
      <c r="F90" s="484">
        <f t="shared" si="27"/>
        <v>2022.8333333333333</v>
      </c>
      <c r="G90" s="485" t="str">
        <f>IF(OR(C90&lt;$I$2,C90&gt;$J$3),"",(ii!$D$13*12+V90+1)/12)</f>
        <v/>
      </c>
      <c r="H90" s="486"/>
      <c r="I90" s="486"/>
      <c r="J90" s="487"/>
      <c r="K90" s="488"/>
      <c r="L90" s="548"/>
      <c r="M90" s="489" t="str">
        <f t="shared" ref="M90:M153" si="32">IF(K90="","",IF(OR(J88=0,J87=0,J88=""),"",(J90-J89)/J89))</f>
        <v/>
      </c>
      <c r="N90" s="490" t="s">
        <v>621</v>
      </c>
      <c r="O90" s="490" t="str">
        <f t="shared" si="28"/>
        <v/>
      </c>
      <c r="P90" s="491"/>
      <c r="Q90" s="491"/>
      <c r="R90" s="491" t="str">
        <f t="shared" si="29"/>
        <v/>
      </c>
      <c r="S90" s="528" t="str">
        <f t="shared" si="24"/>
        <v/>
      </c>
      <c r="T90" s="528" t="str">
        <f t="shared" si="23"/>
        <v/>
      </c>
      <c r="U90" s="493" t="str">
        <f>IF(H90="","",#REF!*12+#REF!+#REF!*12+#REF!)</f>
        <v/>
      </c>
      <c r="V90" s="338" t="e">
        <f>IF(ii!$J$3&gt;gg!C90,"",IF(AND((YEAR(C90)=YEAR($I$2)),MONTH(C90)=MONTH($I$2)),ii!$B$14*12+ii!$C$14+ii!$B$15*12+ii!$C$15-1,V89+1))</f>
        <v>#REF!</v>
      </c>
      <c r="W90" s="339" t="e">
        <f t="shared" si="31"/>
        <v>#REF!</v>
      </c>
      <c r="X90" s="494" t="s">
        <v>621</v>
      </c>
      <c r="Y90" s="495" t="s">
        <v>621</v>
      </c>
      <c r="Z90" s="496"/>
      <c r="AA90" s="497"/>
      <c r="AB90" s="498" t="str">
        <f t="shared" si="19"/>
        <v/>
      </c>
      <c r="AC90" s="484" t="str">
        <f t="shared" si="15"/>
        <v/>
      </c>
      <c r="AD90" s="495" t="str">
        <f t="shared" si="16"/>
        <v/>
      </c>
      <c r="AE90" s="499" t="s">
        <v>621</v>
      </c>
      <c r="AF90" s="500" t="s">
        <v>621</v>
      </c>
      <c r="AG90" s="556" t="s">
        <v>621</v>
      </c>
      <c r="AH90" s="503" t="str">
        <f>IF($G90="","",IF(AND($G90&gt;=30,$AT$3&lt;=AG$7),ROUND(AG90*($AP$3+#REF!),-1),""))</f>
        <v/>
      </c>
      <c r="AI90" s="506" t="s">
        <v>621</v>
      </c>
      <c r="AJ90" s="503" t="str">
        <f>IF($G90="","",IF(AND($G90&gt;=30,$AT$3&lt;=AI$7),ROUND(AI90*($AP$3+#REF!),-1),""))</f>
        <v/>
      </c>
      <c r="AK90" s="506" t="s">
        <v>621</v>
      </c>
      <c r="AL90" s="503" t="str">
        <f>IF($G90="","",IF(AND($G90&gt;=30,$AT$3&lt;=AK$7),ROUND(AK90*($AP$3+#REF!),-1),""))</f>
        <v/>
      </c>
      <c r="AM90" s="506" t="s">
        <v>621</v>
      </c>
      <c r="AN90" s="503" t="str">
        <f>IF($G90="","",IF(AND($G90&gt;=30,$AT$3&lt;=AM$7),ROUND(AM90*($AP$3+#REF!),-1),""))</f>
        <v/>
      </c>
      <c r="AO90" s="503" t="e">
        <v>#REF!</v>
      </c>
      <c r="AP90" s="503" t="str">
        <f>IF($G90="","",IF(AND($G90&gt;=30,$AT$3&lt;=AO$7),ROUND(AO90*($AP$3+#REF!),-1),""))</f>
        <v/>
      </c>
      <c r="AQ90" s="503" t="s">
        <v>621</v>
      </c>
      <c r="AR90" s="503" t="str">
        <f>IF($G90="","",IF(AND($G90&gt;=30,$AT$3&lt;=AQ$7),ROUND(AQ90*($AP$3+#REF!),-1),""))</f>
        <v/>
      </c>
      <c r="AS90" s="517" t="e">
        <v>#REF!</v>
      </c>
      <c r="AT90" s="503" t="str">
        <f>IF($G90="","",IF(AND($G90&gt;=30,$AT$3&lt;=AS$7),ROUND(AS90*($AP$3+#REF!),-1),""))</f>
        <v/>
      </c>
      <c r="AU90" s="502"/>
      <c r="AV90" s="503" t="str">
        <f>IF($G90="","",IF(AND($G90&gt;=30,$AT$3&lt;=AU$7),ROUND(AU90*($AP$3+#REF!),-1),""))</f>
        <v/>
      </c>
      <c r="AW90" s="503"/>
      <c r="AX90" s="503" t="str">
        <f>IF($G90="","",IF(AND($G90&gt;=30,$AT$3&lt;=AW$7),ROUND(AW90*($AP$3+#REF!),-1),""))</f>
        <v/>
      </c>
      <c r="AY90" s="502"/>
      <c r="AZ90" s="503" t="str">
        <f>IF($G90="","",IF(AND($G90&gt;=30,$AT$3&lt;=AY$7),ROUND(AY90*($AP$3+#REF!),-1),""))</f>
        <v/>
      </c>
      <c r="BA90" s="503"/>
      <c r="BB90" s="503" t="str">
        <f>IF($G90="","",IF(AND($G90&gt;=30,$AT$3&lt;=BA$7),ROUND(BA90*($AP$3+#REF!),-1),""))</f>
        <v/>
      </c>
      <c r="BC90" s="502"/>
      <c r="BD90" s="503" t="str">
        <f>IF($G90="","",IF(AND($G90&gt;=30,$AT$3&lt;=BC$7),ROUND(BC90*($AP$3+#REF!),-1),""))</f>
        <v/>
      </c>
      <c r="BE90" s="503"/>
      <c r="BF90" s="503" t="str">
        <f>IF($G90="","",IF(AND($G90&gt;=30,$AT$3&lt;=BE$7),ROUND(BE90*($AP$3+#REF!),-1),""))</f>
        <v/>
      </c>
      <c r="BG90" s="502"/>
      <c r="BH90" s="503" t="str">
        <f>IF($G90="","",IF(AND($G90&gt;=30,$AT$3&lt;=BG$7),ROUND(BG90*($AP$3+#REF!),-1),""))</f>
        <v/>
      </c>
      <c r="BI90" s="503"/>
      <c r="BJ90" s="503" t="str">
        <f>IF($G90="","",IF(AND($G90&gt;=30,$AT$3&lt;=BI$7),ROUND(BI90*($AP$3+#REF!),-1),""))</f>
        <v/>
      </c>
      <c r="BK90" s="502"/>
      <c r="BL90" s="503" t="str">
        <f>IF($G90="","",IF(AND($G90&gt;=30,$AT$3&lt;=BK$7),ROUND(BK90*($AP$3+#REF!),-1),""))</f>
        <v/>
      </c>
      <c r="BM90" s="503"/>
      <c r="BN90" s="503" t="str">
        <f>IF($G90="","",IF(AND($G90&gt;=30,$AT$3&lt;=BM$7),ROUND(BM90*($AP$3+#REF!),-1),""))</f>
        <v/>
      </c>
      <c r="BO90" s="502"/>
      <c r="BP90" s="503" t="str">
        <f>IF($G90="","",IF(AND($G90&gt;=30,$AT$3&lt;=BO$7),ROUND(BO90*($AP$3+#REF!),-1),""))</f>
        <v/>
      </c>
      <c r="BQ90" s="503"/>
      <c r="BR90" s="503" t="str">
        <f>IF($G90="","",IF(AND($G90&gt;=30,$AT$3&lt;=BQ$7),ROUND(BQ90*($AP$3+#REF!),-1),""))</f>
        <v/>
      </c>
      <c r="BS90" s="502"/>
      <c r="BT90" s="503" t="str">
        <f>IF($G90="","",IF(AND($G90&gt;=30,$AT$3&lt;=BS$7),ROUND(BS90*($AP$3+#REF!),-1),""))</f>
        <v/>
      </c>
      <c r="BU90" s="503"/>
      <c r="BV90" s="503" t="str">
        <f>IF($G90="","",IF(AND($G90&gt;=30,$AT$3&lt;=BU$7),ROUND(BU90*($AP$3+#REF!),-1),""))</f>
        <v/>
      </c>
      <c r="BW90" s="502"/>
      <c r="BX90" s="503" t="str">
        <f>IF($G90="","",IF(AND($G90&gt;=30,$AT$3&lt;=BW$7),ROUND(BW90*($AP$3+#REF!),-1),""))</f>
        <v/>
      </c>
      <c r="BY90" s="503"/>
      <c r="BZ90" s="503" t="str">
        <f>IF($G90="","",IF(AND($G90&gt;=30,$AT$3&lt;=BY$7),ROUND(BY90*($AP$3+#REF!),-1),""))</f>
        <v/>
      </c>
      <c r="CA90" s="502"/>
      <c r="CB90" s="503" t="str">
        <f>IF($G90="","",IF(AND($G90&gt;=30,$AT$3&lt;=CA$7),ROUND(CA90*($AP$3+#REF!),-1),""))</f>
        <v/>
      </c>
      <c r="CC90" s="503"/>
      <c r="CD90" s="503" t="str">
        <f>IF($G90="","",IF(AND($G90&gt;=30,$AT$3&lt;=CC$7),ROUND(CC90*($AP$3+#REF!),-1),""))</f>
        <v/>
      </c>
      <c r="CE90" s="502"/>
      <c r="CF90" s="503" t="str">
        <f>IF($G90="","",IF(AND($G90&gt;=30,$AT$3&lt;=CE$7),ROUND(CE90*($AP$3+#REF!),-1),""))</f>
        <v/>
      </c>
      <c r="CG90" s="503"/>
      <c r="CH90" s="503" t="str">
        <f>IF($G90="","",IF(AND($G90&gt;=30,$AT$3&lt;=CG$7),ROUND(CG90*($AP$3+#REF!),-1),""))</f>
        <v/>
      </c>
      <c r="CI90" s="502"/>
      <c r="CJ90" s="503" t="str">
        <f>IF($G90="","",IF(AND($G90&gt;=30,$AT$3&lt;=CI$7),ROUND(CI90*($AP$3+#REF!),-1),""))</f>
        <v/>
      </c>
      <c r="CK90" s="503"/>
      <c r="CL90" s="503" t="str">
        <f>IF($G90="","",IF(AND($G90&gt;=30,$AT$3&lt;=CK$7),ROUND(CK90*($AP$3+#REF!),-1),""))</f>
        <v/>
      </c>
      <c r="CM90" s="502"/>
      <c r="CN90" s="503" t="str">
        <f>IF($G90="","",IF(AND($G90&gt;=30,$AT$3&lt;=CM$7),ROUND(CM90*($AP$3+#REF!),-1),""))</f>
        <v/>
      </c>
      <c r="CO90" s="503"/>
      <c r="CP90" s="503" t="str">
        <f>IF($G90="","",IF(AND($G90&gt;=30,$AT$3&lt;=CO$7),ROUND(CO90*($AP$3+#REF!),-1),""))</f>
        <v/>
      </c>
      <c r="CQ90" s="502"/>
      <c r="CR90" s="503" t="str">
        <f>IF($G90="","",IF(AND($G90&gt;=30,$AT$3&lt;=CQ$7),ROUND(CQ90*($AP$3+#REF!),-1),""))</f>
        <v/>
      </c>
      <c r="CS90" s="503"/>
      <c r="CT90" s="503" t="str">
        <f>IF($G90="","",IF(AND($G90&gt;=30,$AT$3&lt;=CS$7),ROUND(CS90*($AP$3+#REF!),-1),""))</f>
        <v/>
      </c>
      <c r="CU90" s="502"/>
      <c r="CV90" s="503" t="str">
        <f>IF($G90="","",IF(AND($G90&gt;=30,$AT$3&lt;=CU$7),ROUND(CU90*($AP$3+#REF!),-1),""))</f>
        <v/>
      </c>
      <c r="CW90" s="503"/>
      <c r="CX90" s="503" t="str">
        <f>IF($G90="","",IF(AND($G90&gt;=30,$AT$3&lt;=CW$7),ROUND(CW90*($AP$3+#REF!),-1),""))</f>
        <v/>
      </c>
      <c r="CY90" s="502"/>
      <c r="CZ90" s="503" t="str">
        <f>IF($G90="","",IF(AND($G90&gt;=30,$AT$3&lt;=CY$7),ROUND(CY90*($AP$3+#REF!),-1),""))</f>
        <v/>
      </c>
      <c r="DA90" s="503"/>
      <c r="DB90" s="503" t="str">
        <f>IF($G90="","",IF(AND($G90&gt;=30,$AT$3&lt;=DA$7),ROUND(DA90*($AP$3+#REF!),-1),""))</f>
        <v/>
      </c>
      <c r="DC90" s="502"/>
      <c r="DD90" s="503" t="str">
        <f>IF($G90="","",IF(AND($G90&gt;=30,$AT$3&lt;=DC$7),ROUND(DC90*($AP$3+#REF!),-1),""))</f>
        <v/>
      </c>
      <c r="DE90" s="503"/>
      <c r="DF90" s="503" t="str">
        <f>IF($G90="","",IF(AND($G90&gt;=30,$AT$3&lt;=DE$7),ROUND(DE90*($AP$3+#REF!),-1),""))</f>
        <v/>
      </c>
      <c r="DG90" s="503"/>
      <c r="DH90" s="503" t="str">
        <f>IF($G90="","",IF(AND($G90&gt;=30,$AT$3&lt;=DG$7),ROUND(DG90*($AP$3+#REF!),-1),""))</f>
        <v/>
      </c>
      <c r="DI90" s="503"/>
      <c r="DJ90" s="503" t="str">
        <f>IF($G90="","",IF(AND($G90&gt;=30,$AT$3&lt;=DI$7),ROUND(DI90*($AP$3+#REF!),-1),""))</f>
        <v/>
      </c>
      <c r="DK90" s="503"/>
      <c r="DL90" s="503" t="str">
        <f>IF($G90="","",IF(AND($G90&gt;=30,$AT$3&lt;=DK$7),ROUND(DK90*($AP$3+#REF!),-1),""))</f>
        <v/>
      </c>
      <c r="DM90" s="503"/>
      <c r="DN90" s="503" t="str">
        <f>IF($G90="","",IF(AND($G90&gt;=30,$AT$3&lt;=DM$7),ROUND(DM90*($AP$3+#REF!),-1),""))</f>
        <v/>
      </c>
      <c r="DO90" s="503"/>
      <c r="DP90" s="503" t="str">
        <f>IF($G90="","",IF(AND($G90&gt;=30,$AT$3&lt;=DO$7),ROUND(DO90*($AP$3+#REF!),-1),""))</f>
        <v/>
      </c>
      <c r="DQ90" s="503"/>
      <c r="DR90" s="503" t="str">
        <f>IF($G90="","",IF(AND($G90&gt;=30,$AT$3&lt;=DQ$7),ROUND(DQ90*($AP$3+#REF!),-1),""))</f>
        <v/>
      </c>
      <c r="DS90" s="503"/>
      <c r="DT90" s="503" t="str">
        <f>IF($G90="","",IF(AND($G90&gt;=30,$AT$3&lt;=DS$7),ROUND(DS90*($AP$3+#REF!),-1),""))</f>
        <v/>
      </c>
      <c r="DU90" s="503"/>
      <c r="DV90" s="503" t="str">
        <f>IF($G90="","",IF(AND($G90&gt;=30,$AT$3&lt;=DU$7),ROUND(DU90*($AP$3+#REF!),-1),""))</f>
        <v/>
      </c>
      <c r="DW90" s="503"/>
      <c r="DX90" s="503" t="str">
        <f>IF($G90="","",IF(AND($G90&gt;=30,$AT$3&lt;=DW$7),ROUND(DW90*($AP$3+#REF!),-1),""))</f>
        <v/>
      </c>
      <c r="DY90" s="503"/>
      <c r="DZ90" s="503" t="str">
        <f>IF($G90="","",IF(AND($G90&gt;=30,$AT$3&lt;=DY$7),ROUND(DY90*($AP$3+#REF!),-1),""))</f>
        <v/>
      </c>
      <c r="EA90" s="503"/>
      <c r="EB90" s="503" t="str">
        <f>IF($G90="","",IF(AND($G90&gt;=30,$AT$3&lt;=EA$7),ROUND(EA90*($AP$3+#REF!),-1),""))</f>
        <v/>
      </c>
      <c r="EC90" s="504" t="s">
        <v>621</v>
      </c>
      <c r="ED90" s="1126"/>
      <c r="EE90" s="325">
        <v>10</v>
      </c>
    </row>
    <row r="91" spans="1:135" ht="9.75" customHeight="1">
      <c r="A91" s="321" t="str">
        <f t="shared" si="21"/>
        <v/>
      </c>
      <c r="B91" s="567" t="e">
        <f>(ii!$D$13*12+V91)+1</f>
        <v>#REF!</v>
      </c>
      <c r="C91" s="337">
        <f t="shared" si="30"/>
        <v>44895</v>
      </c>
      <c r="D91" s="484">
        <f t="shared" si="25"/>
        <v>2022</v>
      </c>
      <c r="E91" s="484">
        <f t="shared" si="26"/>
        <v>0.91666666666666663</v>
      </c>
      <c r="F91" s="484">
        <f t="shared" si="27"/>
        <v>2022.9166666666667</v>
      </c>
      <c r="G91" s="485" t="str">
        <f>IF(OR(C91&lt;$I$2,C91&gt;$J$3),"",(ii!$D$13*12+V91+1)/12)</f>
        <v/>
      </c>
      <c r="H91" s="486"/>
      <c r="I91" s="486"/>
      <c r="J91" s="487"/>
      <c r="K91" s="488"/>
      <c r="L91" s="548"/>
      <c r="M91" s="489" t="str">
        <f t="shared" si="32"/>
        <v/>
      </c>
      <c r="N91" s="490" t="s">
        <v>621</v>
      </c>
      <c r="O91" s="490" t="str">
        <f t="shared" si="28"/>
        <v/>
      </c>
      <c r="P91" s="491"/>
      <c r="Q91" s="491"/>
      <c r="R91" s="491" t="str">
        <f t="shared" si="29"/>
        <v/>
      </c>
      <c r="S91" s="528" t="str">
        <f t="shared" si="24"/>
        <v/>
      </c>
      <c r="T91" s="528" t="str">
        <f t="shared" si="23"/>
        <v/>
      </c>
      <c r="U91" s="493" t="str">
        <f>IF(H91="","",#REF!*12+#REF!+#REF!*12+#REF!)</f>
        <v/>
      </c>
      <c r="V91" s="338" t="e">
        <f>IF(ii!$J$3&gt;gg!C91,"",IF(AND((YEAR(C91)=YEAR($I$2)),MONTH(C91)=MONTH($I$2)),ii!$B$14*12+ii!$C$14+ii!$B$15*12+ii!$C$15-1,V90+1))</f>
        <v>#REF!</v>
      </c>
      <c r="W91" s="339" t="e">
        <f t="shared" si="31"/>
        <v>#REF!</v>
      </c>
      <c r="X91" s="494" t="s">
        <v>621</v>
      </c>
      <c r="Y91" s="495" t="s">
        <v>621</v>
      </c>
      <c r="Z91" s="496"/>
      <c r="AA91" s="497"/>
      <c r="AB91" s="498" t="str">
        <f t="shared" si="19"/>
        <v/>
      </c>
      <c r="AC91" s="484" t="str">
        <f t="shared" ref="AC91:AC154" si="33">IF(OR(C91&lt;$I$2,C91&gt;$J$3),"",IF(AB91&lt;0.3,300,IF(AND(AB91&gt;=0.3,AB91&lt;0.4),216.67,IF(AND(AB91&gt;=0.4,AB91&lt;0.5),175,IF(AND(AB91&gt;=0.5,AB91&lt;0.6),150,IF(AND(AB91&gt;=0.6,AB91&lt;0.7),133.33,IF(AND(AB91&gt;=0.7,AB91&lt;0.8),121.43,IF(AND(AB91&gt;=0.8,AB91&lt;0.9),112.5,IF(AND(AB91&gt;=0.9,AB91&lt;1),105.56,IF(AND(AB91&gt;=1,AB91&lt;1.1),100,IF(AND(AB91&gt;=1.1,AB91&lt;1.2),95.45,IF(AND(AB91&gt;=1.2,AB91&lt;1.3),91.67,IF(AND(AB91&gt;=1.3,AB91&lt;1.4),88.46,IF(AND(AB91&gt;=1.4,AB91&lt;1.5),85.71,IF(AND(AB91&gt;=1.5,AB91&lt;1.6),83.33,IF(AB91&gt;=1.6,81.25,"???"))))))))))))))))</f>
        <v/>
      </c>
      <c r="AD91" s="495" t="str">
        <f t="shared" ref="AD91:AD154" si="34">IF(AC91="","",P91*AC91%)</f>
        <v/>
      </c>
      <c r="AE91" s="499" t="s">
        <v>621</v>
      </c>
      <c r="AF91" s="500" t="s">
        <v>621</v>
      </c>
      <c r="AG91" s="556" t="s">
        <v>621</v>
      </c>
      <c r="AH91" s="503" t="str">
        <f>IF($G91="","",IF(AND($G91&gt;=30,$AT$3&lt;=AG$7),ROUND(AG91*($AP$3+#REF!),-1),""))</f>
        <v/>
      </c>
      <c r="AI91" s="506" t="s">
        <v>621</v>
      </c>
      <c r="AJ91" s="503" t="str">
        <f>IF($G91="","",IF(AND($G91&gt;=30,$AT$3&lt;=AI$7),ROUND(AI91*($AP$3+#REF!),-1),""))</f>
        <v/>
      </c>
      <c r="AK91" s="506" t="s">
        <v>621</v>
      </c>
      <c r="AL91" s="503" t="str">
        <f>IF($G91="","",IF(AND($G91&gt;=30,$AT$3&lt;=AK$7),ROUND(AK91*($AP$3+#REF!),-1),""))</f>
        <v/>
      </c>
      <c r="AM91" s="506" t="s">
        <v>621</v>
      </c>
      <c r="AN91" s="503" t="str">
        <f>IF($G91="","",IF(AND($G91&gt;=30,$AT$3&lt;=AM$7),ROUND(AM91*($AP$3+#REF!),-1),""))</f>
        <v/>
      </c>
      <c r="AO91" s="503" t="e">
        <v>#REF!</v>
      </c>
      <c r="AP91" s="503" t="str">
        <f>IF($G91="","",IF(AND($G91&gt;=30,$AT$3&lt;=AO$7),ROUND(AO91*($AP$3+#REF!),-1),""))</f>
        <v/>
      </c>
      <c r="AQ91" s="503" t="s">
        <v>621</v>
      </c>
      <c r="AR91" s="503" t="str">
        <f>IF($G91="","",IF(AND($G91&gt;=30,$AT$3&lt;=AQ$7),ROUND(AQ91*($AP$3+#REF!),-1),""))</f>
        <v/>
      </c>
      <c r="AS91" s="517" t="e">
        <v>#REF!</v>
      </c>
      <c r="AT91" s="503" t="str">
        <f>IF($G91="","",IF(AND($G91&gt;=30,$AT$3&lt;=AS$7),ROUND(AS91*($AP$3+#REF!),-1),""))</f>
        <v/>
      </c>
      <c r="AU91" s="502"/>
      <c r="AV91" s="503" t="str">
        <f>IF($G91="","",IF(AND($G91&gt;=30,$AT$3&lt;=AU$7),ROUND(AU91*($AP$3+#REF!),-1),""))</f>
        <v/>
      </c>
      <c r="AW91" s="503"/>
      <c r="AX91" s="503" t="str">
        <f>IF($G91="","",IF(AND($G91&gt;=30,$AT$3&lt;=AW$7),ROUND(AW91*($AP$3+#REF!),-1),""))</f>
        <v/>
      </c>
      <c r="AY91" s="502"/>
      <c r="AZ91" s="503" t="str">
        <f>IF($G91="","",IF(AND($G91&gt;=30,$AT$3&lt;=AY$7),ROUND(AY91*($AP$3+#REF!),-1),""))</f>
        <v/>
      </c>
      <c r="BA91" s="503"/>
      <c r="BB91" s="503" t="str">
        <f>IF($G91="","",IF(AND($G91&gt;=30,$AT$3&lt;=BA$7),ROUND(BA91*($AP$3+#REF!),-1),""))</f>
        <v/>
      </c>
      <c r="BC91" s="502"/>
      <c r="BD91" s="503" t="str">
        <f>IF($G91="","",IF(AND($G91&gt;=30,$AT$3&lt;=BC$7),ROUND(BC91*($AP$3+#REF!),-1),""))</f>
        <v/>
      </c>
      <c r="BE91" s="503"/>
      <c r="BF91" s="503" t="str">
        <f>IF($G91="","",IF(AND($G91&gt;=30,$AT$3&lt;=BE$7),ROUND(BE91*($AP$3+#REF!),-1),""))</f>
        <v/>
      </c>
      <c r="BG91" s="502"/>
      <c r="BH91" s="503" t="str">
        <f>IF($G91="","",IF(AND($G91&gt;=30,$AT$3&lt;=BG$7),ROUND(BG91*($AP$3+#REF!),-1),""))</f>
        <v/>
      </c>
      <c r="BI91" s="503"/>
      <c r="BJ91" s="503" t="str">
        <f>IF($G91="","",IF(AND($G91&gt;=30,$AT$3&lt;=BI$7),ROUND(BI91*($AP$3+#REF!),-1),""))</f>
        <v/>
      </c>
      <c r="BK91" s="502"/>
      <c r="BL91" s="503" t="str">
        <f>IF($G91="","",IF(AND($G91&gt;=30,$AT$3&lt;=BK$7),ROUND(BK91*($AP$3+#REF!),-1),""))</f>
        <v/>
      </c>
      <c r="BM91" s="503"/>
      <c r="BN91" s="503" t="str">
        <f>IF($G91="","",IF(AND($G91&gt;=30,$AT$3&lt;=BM$7),ROUND(BM91*($AP$3+#REF!),-1),""))</f>
        <v/>
      </c>
      <c r="BO91" s="502"/>
      <c r="BP91" s="503" t="str">
        <f>IF($G91="","",IF(AND($G91&gt;=30,$AT$3&lt;=BO$7),ROUND(BO91*($AP$3+#REF!),-1),""))</f>
        <v/>
      </c>
      <c r="BQ91" s="503"/>
      <c r="BR91" s="503" t="str">
        <f>IF($G91="","",IF(AND($G91&gt;=30,$AT$3&lt;=BQ$7),ROUND(BQ91*($AP$3+#REF!),-1),""))</f>
        <v/>
      </c>
      <c r="BS91" s="502"/>
      <c r="BT91" s="503" t="str">
        <f>IF($G91="","",IF(AND($G91&gt;=30,$AT$3&lt;=BS$7),ROUND(BS91*($AP$3+#REF!),-1),""))</f>
        <v/>
      </c>
      <c r="BU91" s="503"/>
      <c r="BV91" s="503" t="str">
        <f>IF($G91="","",IF(AND($G91&gt;=30,$AT$3&lt;=BU$7),ROUND(BU91*($AP$3+#REF!),-1),""))</f>
        <v/>
      </c>
      <c r="BW91" s="502"/>
      <c r="BX91" s="503" t="str">
        <f>IF($G91="","",IF(AND($G91&gt;=30,$AT$3&lt;=BW$7),ROUND(BW91*($AP$3+#REF!),-1),""))</f>
        <v/>
      </c>
      <c r="BY91" s="503"/>
      <c r="BZ91" s="503" t="str">
        <f>IF($G91="","",IF(AND($G91&gt;=30,$AT$3&lt;=BY$7),ROUND(BY91*($AP$3+#REF!),-1),""))</f>
        <v/>
      </c>
      <c r="CA91" s="502"/>
      <c r="CB91" s="503" t="str">
        <f>IF($G91="","",IF(AND($G91&gt;=30,$AT$3&lt;=CA$7),ROUND(CA91*($AP$3+#REF!),-1),""))</f>
        <v/>
      </c>
      <c r="CC91" s="503"/>
      <c r="CD91" s="503" t="str">
        <f>IF($G91="","",IF(AND($G91&gt;=30,$AT$3&lt;=CC$7),ROUND(CC91*($AP$3+#REF!),-1),""))</f>
        <v/>
      </c>
      <c r="CE91" s="502"/>
      <c r="CF91" s="503" t="str">
        <f>IF($G91="","",IF(AND($G91&gt;=30,$AT$3&lt;=CE$7),ROUND(CE91*($AP$3+#REF!),-1),""))</f>
        <v/>
      </c>
      <c r="CG91" s="503"/>
      <c r="CH91" s="503" t="str">
        <f>IF($G91="","",IF(AND($G91&gt;=30,$AT$3&lt;=CG$7),ROUND(CG91*($AP$3+#REF!),-1),""))</f>
        <v/>
      </c>
      <c r="CI91" s="502"/>
      <c r="CJ91" s="503" t="str">
        <f>IF($G91="","",IF(AND($G91&gt;=30,$AT$3&lt;=CI$7),ROUND(CI91*($AP$3+#REF!),-1),""))</f>
        <v/>
      </c>
      <c r="CK91" s="503"/>
      <c r="CL91" s="503" t="str">
        <f>IF($G91="","",IF(AND($G91&gt;=30,$AT$3&lt;=CK$7),ROUND(CK91*($AP$3+#REF!),-1),""))</f>
        <v/>
      </c>
      <c r="CM91" s="502"/>
      <c r="CN91" s="503" t="str">
        <f>IF($G91="","",IF(AND($G91&gt;=30,$AT$3&lt;=CM$7),ROUND(CM91*($AP$3+#REF!),-1),""))</f>
        <v/>
      </c>
      <c r="CO91" s="503"/>
      <c r="CP91" s="503" t="str">
        <f>IF($G91="","",IF(AND($G91&gt;=30,$AT$3&lt;=CO$7),ROUND(CO91*($AP$3+#REF!),-1),""))</f>
        <v/>
      </c>
      <c r="CQ91" s="502"/>
      <c r="CR91" s="503" t="str">
        <f>IF($G91="","",IF(AND($G91&gt;=30,$AT$3&lt;=CQ$7),ROUND(CQ91*($AP$3+#REF!),-1),""))</f>
        <v/>
      </c>
      <c r="CS91" s="503"/>
      <c r="CT91" s="503" t="str">
        <f>IF($G91="","",IF(AND($G91&gt;=30,$AT$3&lt;=CS$7),ROUND(CS91*($AP$3+#REF!),-1),""))</f>
        <v/>
      </c>
      <c r="CU91" s="502"/>
      <c r="CV91" s="503" t="str">
        <f>IF($G91="","",IF(AND($G91&gt;=30,$AT$3&lt;=CU$7),ROUND(CU91*($AP$3+#REF!),-1),""))</f>
        <v/>
      </c>
      <c r="CW91" s="503"/>
      <c r="CX91" s="503" t="str">
        <f>IF($G91="","",IF(AND($G91&gt;=30,$AT$3&lt;=CW$7),ROUND(CW91*($AP$3+#REF!),-1),""))</f>
        <v/>
      </c>
      <c r="CY91" s="502"/>
      <c r="CZ91" s="503" t="str">
        <f>IF($G91="","",IF(AND($G91&gt;=30,$AT$3&lt;=CY$7),ROUND(CY91*($AP$3+#REF!),-1),""))</f>
        <v/>
      </c>
      <c r="DA91" s="503"/>
      <c r="DB91" s="503" t="str">
        <f>IF($G91="","",IF(AND($G91&gt;=30,$AT$3&lt;=DA$7),ROUND(DA91*($AP$3+#REF!),-1),""))</f>
        <v/>
      </c>
      <c r="DC91" s="502"/>
      <c r="DD91" s="503" t="str">
        <f>IF($G91="","",IF(AND($G91&gt;=30,$AT$3&lt;=DC$7),ROUND(DC91*($AP$3+#REF!),-1),""))</f>
        <v/>
      </c>
      <c r="DE91" s="503"/>
      <c r="DF91" s="503" t="str">
        <f>IF($G91="","",IF(AND($G91&gt;=30,$AT$3&lt;=DE$7),ROUND(DE91*($AP$3+#REF!),-1),""))</f>
        <v/>
      </c>
      <c r="DG91" s="503"/>
      <c r="DH91" s="503" t="str">
        <f>IF($G91="","",IF(AND($G91&gt;=30,$AT$3&lt;=DG$7),ROUND(DG91*($AP$3+#REF!),-1),""))</f>
        <v/>
      </c>
      <c r="DI91" s="503"/>
      <c r="DJ91" s="503" t="str">
        <f>IF($G91="","",IF(AND($G91&gt;=30,$AT$3&lt;=DI$7),ROUND(DI91*($AP$3+#REF!),-1),""))</f>
        <v/>
      </c>
      <c r="DK91" s="503"/>
      <c r="DL91" s="503" t="str">
        <f>IF($G91="","",IF(AND($G91&gt;=30,$AT$3&lt;=DK$7),ROUND(DK91*($AP$3+#REF!),-1),""))</f>
        <v/>
      </c>
      <c r="DM91" s="503"/>
      <c r="DN91" s="503" t="str">
        <f>IF($G91="","",IF(AND($G91&gt;=30,$AT$3&lt;=DM$7),ROUND(DM91*($AP$3+#REF!),-1),""))</f>
        <v/>
      </c>
      <c r="DO91" s="503"/>
      <c r="DP91" s="503" t="str">
        <f>IF($G91="","",IF(AND($G91&gt;=30,$AT$3&lt;=DO$7),ROUND(DO91*($AP$3+#REF!),-1),""))</f>
        <v/>
      </c>
      <c r="DQ91" s="503"/>
      <c r="DR91" s="503" t="str">
        <f>IF($G91="","",IF(AND($G91&gt;=30,$AT$3&lt;=DQ$7),ROUND(DQ91*($AP$3+#REF!),-1),""))</f>
        <v/>
      </c>
      <c r="DS91" s="503"/>
      <c r="DT91" s="503" t="str">
        <f>IF($G91="","",IF(AND($G91&gt;=30,$AT$3&lt;=DS$7),ROUND(DS91*($AP$3+#REF!),-1),""))</f>
        <v/>
      </c>
      <c r="DU91" s="503"/>
      <c r="DV91" s="503" t="str">
        <f>IF($G91="","",IF(AND($G91&gt;=30,$AT$3&lt;=DU$7),ROUND(DU91*($AP$3+#REF!),-1),""))</f>
        <v/>
      </c>
      <c r="DW91" s="503"/>
      <c r="DX91" s="503" t="str">
        <f>IF($G91="","",IF(AND($G91&gt;=30,$AT$3&lt;=DW$7),ROUND(DW91*($AP$3+#REF!),-1),""))</f>
        <v/>
      </c>
      <c r="DY91" s="503"/>
      <c r="DZ91" s="503" t="str">
        <f>IF($G91="","",IF(AND($G91&gt;=30,$AT$3&lt;=DY$7),ROUND(DY91*($AP$3+#REF!),-1),""))</f>
        <v/>
      </c>
      <c r="EA91" s="503"/>
      <c r="EB91" s="503" t="str">
        <f>IF($G91="","",IF(AND($G91&gt;=30,$AT$3&lt;=EA$7),ROUND(EA91*($AP$3+#REF!),-1),""))</f>
        <v/>
      </c>
      <c r="EC91" s="504" t="s">
        <v>621</v>
      </c>
      <c r="ED91" s="1126"/>
      <c r="EE91" s="325">
        <v>11</v>
      </c>
    </row>
    <row r="92" spans="1:135" ht="9.75" customHeight="1">
      <c r="A92" s="321" t="str">
        <f t="shared" si="21"/>
        <v/>
      </c>
      <c r="B92" s="567" t="e">
        <f>(ii!$D$13*12+V92)+1</f>
        <v>#REF!</v>
      </c>
      <c r="C92" s="337">
        <f t="shared" si="30"/>
        <v>44926</v>
      </c>
      <c r="D92" s="484">
        <f t="shared" si="25"/>
        <v>2022</v>
      </c>
      <c r="E92" s="484">
        <f t="shared" si="26"/>
        <v>1</v>
      </c>
      <c r="F92" s="484">
        <f t="shared" si="27"/>
        <v>2023</v>
      </c>
      <c r="G92" s="485" t="str">
        <f>IF(OR(C92&lt;$I$2,C92&gt;$J$3),"",(ii!$D$13*12+V92+1)/12)</f>
        <v/>
      </c>
      <c r="H92" s="486"/>
      <c r="I92" s="486"/>
      <c r="J92" s="487"/>
      <c r="K92" s="488"/>
      <c r="L92" s="548"/>
      <c r="M92" s="489" t="str">
        <f t="shared" si="32"/>
        <v/>
      </c>
      <c r="N92" s="490" t="s">
        <v>621</v>
      </c>
      <c r="O92" s="490" t="str">
        <f t="shared" si="28"/>
        <v/>
      </c>
      <c r="P92" s="491"/>
      <c r="Q92" s="491"/>
      <c r="R92" s="491" t="str">
        <f t="shared" si="29"/>
        <v/>
      </c>
      <c r="S92" s="528" t="str">
        <f t="shared" si="24"/>
        <v/>
      </c>
      <c r="T92" s="528" t="str">
        <f t="shared" si="23"/>
        <v/>
      </c>
      <c r="U92" s="493" t="str">
        <f>IF(H92="","",#REF!*12+#REF!+#REF!*12+#REF!)</f>
        <v/>
      </c>
      <c r="V92" s="338" t="e">
        <f>IF(ii!$J$3&gt;gg!C92,"",IF(AND((YEAR(C92)=YEAR($I$2)),MONTH(C92)=MONTH($I$2)),ii!$B$14*12+ii!$C$14+ii!$B$15*12+ii!$C$15-1,V91+1))</f>
        <v>#REF!</v>
      </c>
      <c r="W92" s="339" t="e">
        <f t="shared" si="31"/>
        <v>#REF!</v>
      </c>
      <c r="X92" s="494" t="s">
        <v>621</v>
      </c>
      <c r="Y92" s="495" t="s">
        <v>621</v>
      </c>
      <c r="Z92" s="496"/>
      <c r="AA92" s="497"/>
      <c r="AB92" s="498" t="str">
        <f t="shared" si="19"/>
        <v/>
      </c>
      <c r="AC92" s="484" t="str">
        <f t="shared" si="33"/>
        <v/>
      </c>
      <c r="AD92" s="495" t="str">
        <f t="shared" si="34"/>
        <v/>
      </c>
      <c r="AE92" s="499" t="s">
        <v>621</v>
      </c>
      <c r="AF92" s="500" t="s">
        <v>621</v>
      </c>
      <c r="AG92" s="556" t="s">
        <v>621</v>
      </c>
      <c r="AH92" s="503" t="str">
        <f>IF($G92="","",IF(AND($G92&gt;=30,$AT$3&lt;=AG$7),ROUND(AG92*($AP$3+#REF!),-1),""))</f>
        <v/>
      </c>
      <c r="AI92" s="506" t="s">
        <v>621</v>
      </c>
      <c r="AJ92" s="503" t="str">
        <f>IF($G92="","",IF(AND($G92&gt;=30,$AT$3&lt;=AI$7),ROUND(AI92*($AP$3+#REF!),-1),""))</f>
        <v/>
      </c>
      <c r="AK92" s="506" t="s">
        <v>621</v>
      </c>
      <c r="AL92" s="503" t="str">
        <f>IF($G92="","",IF(AND($G92&gt;=30,$AT$3&lt;=AK$7),ROUND(AK92*($AP$3+#REF!),-1),""))</f>
        <v/>
      </c>
      <c r="AM92" s="506" t="s">
        <v>621</v>
      </c>
      <c r="AN92" s="503" t="str">
        <f>IF($G92="","",IF(AND($G92&gt;=30,$AT$3&lt;=AM$7),ROUND(AM92*($AP$3+#REF!),-1),""))</f>
        <v/>
      </c>
      <c r="AO92" s="503" t="e">
        <v>#REF!</v>
      </c>
      <c r="AP92" s="503" t="str">
        <f>IF($G92="","",IF(AND($G92&gt;=30,$AT$3&lt;=AO$7),ROUND(AO92*($AP$3+#REF!),-1),""))</f>
        <v/>
      </c>
      <c r="AQ92" s="503" t="s">
        <v>621</v>
      </c>
      <c r="AR92" s="503" t="str">
        <f>IF($G92="","",IF(AND($G92&gt;=30,$AT$3&lt;=AQ$7),ROUND(AQ92*($AP$3+#REF!),-1),""))</f>
        <v/>
      </c>
      <c r="AS92" s="517" t="e">
        <v>#REF!</v>
      </c>
      <c r="AT92" s="503" t="str">
        <f>IF($G92="","",IF(AND($G92&gt;=30,$AT$3&lt;=AS$7),ROUND(AS92*($AP$3+#REF!),-1),""))</f>
        <v/>
      </c>
      <c r="AU92" s="502"/>
      <c r="AV92" s="503" t="str">
        <f>IF($G92="","",IF(AND($G92&gt;=30,$AT$3&lt;=AU$7),ROUND(AU92*($AP$3+#REF!),-1),""))</f>
        <v/>
      </c>
      <c r="AW92" s="503"/>
      <c r="AX92" s="503" t="str">
        <f>IF($G92="","",IF(AND($G92&gt;=30,$AT$3&lt;=AW$7),ROUND(AW92*($AP$3+#REF!),-1),""))</f>
        <v/>
      </c>
      <c r="AY92" s="502"/>
      <c r="AZ92" s="503" t="str">
        <f>IF($G92="","",IF(AND($G92&gt;=30,$AT$3&lt;=AY$7),ROUND(AY92*($AP$3+#REF!),-1),""))</f>
        <v/>
      </c>
      <c r="BA92" s="503"/>
      <c r="BB92" s="503" t="str">
        <f>IF($G92="","",IF(AND($G92&gt;=30,$AT$3&lt;=BA$7),ROUND(BA92*($AP$3+#REF!),-1),""))</f>
        <v/>
      </c>
      <c r="BC92" s="502"/>
      <c r="BD92" s="503" t="str">
        <f>IF($G92="","",IF(AND($G92&gt;=30,$AT$3&lt;=BC$7),ROUND(BC92*($AP$3+#REF!),-1),""))</f>
        <v/>
      </c>
      <c r="BE92" s="503"/>
      <c r="BF92" s="503" t="str">
        <f>IF($G92="","",IF(AND($G92&gt;=30,$AT$3&lt;=BE$7),ROUND(BE92*($AP$3+#REF!),-1),""))</f>
        <v/>
      </c>
      <c r="BG92" s="502"/>
      <c r="BH92" s="503" t="str">
        <f>IF($G92="","",IF(AND($G92&gt;=30,$AT$3&lt;=BG$7),ROUND(BG92*($AP$3+#REF!),-1),""))</f>
        <v/>
      </c>
      <c r="BI92" s="503"/>
      <c r="BJ92" s="503" t="str">
        <f>IF($G92="","",IF(AND($G92&gt;=30,$AT$3&lt;=BI$7),ROUND(BI92*($AP$3+#REF!),-1),""))</f>
        <v/>
      </c>
      <c r="BK92" s="502"/>
      <c r="BL92" s="503" t="str">
        <f>IF($G92="","",IF(AND($G92&gt;=30,$AT$3&lt;=BK$7),ROUND(BK92*($AP$3+#REF!),-1),""))</f>
        <v/>
      </c>
      <c r="BM92" s="503"/>
      <c r="BN92" s="503" t="str">
        <f>IF($G92="","",IF(AND($G92&gt;=30,$AT$3&lt;=BM$7),ROUND(BM92*($AP$3+#REF!),-1),""))</f>
        <v/>
      </c>
      <c r="BO92" s="502"/>
      <c r="BP92" s="503" t="str">
        <f>IF($G92="","",IF(AND($G92&gt;=30,$AT$3&lt;=BO$7),ROUND(BO92*($AP$3+#REF!),-1),""))</f>
        <v/>
      </c>
      <c r="BQ92" s="503"/>
      <c r="BR92" s="503" t="str">
        <f>IF($G92="","",IF(AND($G92&gt;=30,$AT$3&lt;=BQ$7),ROUND(BQ92*($AP$3+#REF!),-1),""))</f>
        <v/>
      </c>
      <c r="BS92" s="502"/>
      <c r="BT92" s="503" t="str">
        <f>IF($G92="","",IF(AND($G92&gt;=30,$AT$3&lt;=BS$7),ROUND(BS92*($AP$3+#REF!),-1),""))</f>
        <v/>
      </c>
      <c r="BU92" s="503"/>
      <c r="BV92" s="503" t="str">
        <f>IF($G92="","",IF(AND($G92&gt;=30,$AT$3&lt;=BU$7),ROUND(BU92*($AP$3+#REF!),-1),""))</f>
        <v/>
      </c>
      <c r="BW92" s="502"/>
      <c r="BX92" s="503" t="str">
        <f>IF($G92="","",IF(AND($G92&gt;=30,$AT$3&lt;=BW$7),ROUND(BW92*($AP$3+#REF!),-1),""))</f>
        <v/>
      </c>
      <c r="BY92" s="503"/>
      <c r="BZ92" s="503" t="str">
        <f>IF($G92="","",IF(AND($G92&gt;=30,$AT$3&lt;=BY$7),ROUND(BY92*($AP$3+#REF!),-1),""))</f>
        <v/>
      </c>
      <c r="CA92" s="502"/>
      <c r="CB92" s="503" t="str">
        <f>IF($G92="","",IF(AND($G92&gt;=30,$AT$3&lt;=CA$7),ROUND(CA92*($AP$3+#REF!),-1),""))</f>
        <v/>
      </c>
      <c r="CC92" s="503"/>
      <c r="CD92" s="503" t="str">
        <f>IF($G92="","",IF(AND($G92&gt;=30,$AT$3&lt;=CC$7),ROUND(CC92*($AP$3+#REF!),-1),""))</f>
        <v/>
      </c>
      <c r="CE92" s="502"/>
      <c r="CF92" s="503" t="str">
        <f>IF($G92="","",IF(AND($G92&gt;=30,$AT$3&lt;=CE$7),ROUND(CE92*($AP$3+#REF!),-1),""))</f>
        <v/>
      </c>
      <c r="CG92" s="503"/>
      <c r="CH92" s="503" t="str">
        <f>IF($G92="","",IF(AND($G92&gt;=30,$AT$3&lt;=CG$7),ROUND(CG92*($AP$3+#REF!),-1),""))</f>
        <v/>
      </c>
      <c r="CI92" s="502"/>
      <c r="CJ92" s="503" t="str">
        <f>IF($G92="","",IF(AND($G92&gt;=30,$AT$3&lt;=CI$7),ROUND(CI92*($AP$3+#REF!),-1),""))</f>
        <v/>
      </c>
      <c r="CK92" s="503"/>
      <c r="CL92" s="503" t="str">
        <f>IF($G92="","",IF(AND($G92&gt;=30,$AT$3&lt;=CK$7),ROUND(CK92*($AP$3+#REF!),-1),""))</f>
        <v/>
      </c>
      <c r="CM92" s="502"/>
      <c r="CN92" s="503" t="str">
        <f>IF($G92="","",IF(AND($G92&gt;=30,$AT$3&lt;=CM$7),ROUND(CM92*($AP$3+#REF!),-1),""))</f>
        <v/>
      </c>
      <c r="CO92" s="503"/>
      <c r="CP92" s="503" t="str">
        <f>IF($G92="","",IF(AND($G92&gt;=30,$AT$3&lt;=CO$7),ROUND(CO92*($AP$3+#REF!),-1),""))</f>
        <v/>
      </c>
      <c r="CQ92" s="502"/>
      <c r="CR92" s="503" t="str">
        <f>IF($G92="","",IF(AND($G92&gt;=30,$AT$3&lt;=CQ$7),ROUND(CQ92*($AP$3+#REF!),-1),""))</f>
        <v/>
      </c>
      <c r="CS92" s="503"/>
      <c r="CT92" s="503" t="str">
        <f>IF($G92="","",IF(AND($G92&gt;=30,$AT$3&lt;=CS$7),ROUND(CS92*($AP$3+#REF!),-1),""))</f>
        <v/>
      </c>
      <c r="CU92" s="502"/>
      <c r="CV92" s="503" t="str">
        <f>IF($G92="","",IF(AND($G92&gt;=30,$AT$3&lt;=CU$7),ROUND(CU92*($AP$3+#REF!),-1),""))</f>
        <v/>
      </c>
      <c r="CW92" s="503"/>
      <c r="CX92" s="503" t="str">
        <f>IF($G92="","",IF(AND($G92&gt;=30,$AT$3&lt;=CW$7),ROUND(CW92*($AP$3+#REF!),-1),""))</f>
        <v/>
      </c>
      <c r="CY92" s="502"/>
      <c r="CZ92" s="503" t="str">
        <f>IF($G92="","",IF(AND($G92&gt;=30,$AT$3&lt;=CY$7),ROUND(CY92*($AP$3+#REF!),-1),""))</f>
        <v/>
      </c>
      <c r="DA92" s="503"/>
      <c r="DB92" s="503" t="str">
        <f>IF($G92="","",IF(AND($G92&gt;=30,$AT$3&lt;=DA$7),ROUND(DA92*($AP$3+#REF!),-1),""))</f>
        <v/>
      </c>
      <c r="DC92" s="502"/>
      <c r="DD92" s="503" t="str">
        <f>IF($G92="","",IF(AND($G92&gt;=30,$AT$3&lt;=DC$7),ROUND(DC92*($AP$3+#REF!),-1),""))</f>
        <v/>
      </c>
      <c r="DE92" s="503"/>
      <c r="DF92" s="503" t="str">
        <f>IF($G92="","",IF(AND($G92&gt;=30,$AT$3&lt;=DE$7),ROUND(DE92*($AP$3+#REF!),-1),""))</f>
        <v/>
      </c>
      <c r="DG92" s="503"/>
      <c r="DH92" s="503" t="str">
        <f>IF($G92="","",IF(AND($G92&gt;=30,$AT$3&lt;=DG$7),ROUND(DG92*($AP$3+#REF!),-1),""))</f>
        <v/>
      </c>
      <c r="DI92" s="503"/>
      <c r="DJ92" s="503" t="str">
        <f>IF($G92="","",IF(AND($G92&gt;=30,$AT$3&lt;=DI$7),ROUND(DI92*($AP$3+#REF!),-1),""))</f>
        <v/>
      </c>
      <c r="DK92" s="503"/>
      <c r="DL92" s="503" t="str">
        <f>IF($G92="","",IF(AND($G92&gt;=30,$AT$3&lt;=DK$7),ROUND(DK92*($AP$3+#REF!),-1),""))</f>
        <v/>
      </c>
      <c r="DM92" s="503"/>
      <c r="DN92" s="503" t="str">
        <f>IF($G92="","",IF(AND($G92&gt;=30,$AT$3&lt;=DM$7),ROUND(DM92*($AP$3+#REF!),-1),""))</f>
        <v/>
      </c>
      <c r="DO92" s="503"/>
      <c r="DP92" s="503" t="str">
        <f>IF($G92="","",IF(AND($G92&gt;=30,$AT$3&lt;=DO$7),ROUND(DO92*($AP$3+#REF!),-1),""))</f>
        <v/>
      </c>
      <c r="DQ92" s="503"/>
      <c r="DR92" s="503" t="str">
        <f>IF($G92="","",IF(AND($G92&gt;=30,$AT$3&lt;=DQ$7),ROUND(DQ92*($AP$3+#REF!),-1),""))</f>
        <v/>
      </c>
      <c r="DS92" s="503"/>
      <c r="DT92" s="503" t="str">
        <f>IF($G92="","",IF(AND($G92&gt;=30,$AT$3&lt;=DS$7),ROUND(DS92*($AP$3+#REF!),-1),""))</f>
        <v/>
      </c>
      <c r="DU92" s="503"/>
      <c r="DV92" s="503" t="str">
        <f>IF($G92="","",IF(AND($G92&gt;=30,$AT$3&lt;=DU$7),ROUND(DU92*($AP$3+#REF!),-1),""))</f>
        <v/>
      </c>
      <c r="DW92" s="503"/>
      <c r="DX92" s="503" t="str">
        <f>IF($G92="","",IF(AND($G92&gt;=30,$AT$3&lt;=DW$7),ROUND(DW92*($AP$3+#REF!),-1),""))</f>
        <v/>
      </c>
      <c r="DY92" s="503"/>
      <c r="DZ92" s="503" t="str">
        <f>IF($G92="","",IF(AND($G92&gt;=30,$AT$3&lt;=DY$7),ROUND(DY92*($AP$3+#REF!),-1),""))</f>
        <v/>
      </c>
      <c r="EA92" s="503"/>
      <c r="EB92" s="503" t="str">
        <f>IF($G92="","",IF(AND($G92&gt;=30,$AT$3&lt;=EA$7),ROUND(EA92*($AP$3+#REF!),-1),""))</f>
        <v/>
      </c>
      <c r="EC92" s="504" t="s">
        <v>621</v>
      </c>
      <c r="ED92" s="1126"/>
      <c r="EE92" s="325">
        <v>12</v>
      </c>
    </row>
    <row r="93" spans="1:135" ht="9.75" customHeight="1">
      <c r="A93" s="321" t="str">
        <f t="shared" si="21"/>
        <v/>
      </c>
      <c r="B93" s="567" t="e">
        <f>(ii!$D$13*12+V93)+1</f>
        <v>#REF!</v>
      </c>
      <c r="C93" s="345">
        <f t="shared" si="30"/>
        <v>44957</v>
      </c>
      <c r="D93" s="340">
        <f t="shared" si="25"/>
        <v>2023</v>
      </c>
      <c r="E93" s="340">
        <f t="shared" si="26"/>
        <v>8.3333333333333329E-2</v>
      </c>
      <c r="F93" s="340">
        <f t="shared" si="27"/>
        <v>2023.0833333333333</v>
      </c>
      <c r="G93" s="531" t="str">
        <f>IF(OR(C93&lt;$I$2,C93&gt;$J$3),"",(ii!$D$13*12+V93+1)/12)</f>
        <v/>
      </c>
      <c r="H93" s="532"/>
      <c r="I93" s="532"/>
      <c r="J93" s="533"/>
      <c r="K93" s="553"/>
      <c r="L93" s="534"/>
      <c r="M93" s="535" t="str">
        <f t="shared" si="32"/>
        <v/>
      </c>
      <c r="N93" s="536" t="s">
        <v>621</v>
      </c>
      <c r="O93" s="536" t="str">
        <f t="shared" si="28"/>
        <v/>
      </c>
      <c r="P93" s="537"/>
      <c r="Q93" s="537"/>
      <c r="R93" s="533" t="str">
        <f t="shared" si="29"/>
        <v/>
      </c>
      <c r="S93" s="538" t="str">
        <f t="shared" si="24"/>
        <v/>
      </c>
      <c r="T93" s="538" t="str">
        <f t="shared" si="23"/>
        <v/>
      </c>
      <c r="U93" s="539" t="str">
        <f>IF(H93="","",#REF!*12+#REF!+#REF!*12+#REF!)</f>
        <v/>
      </c>
      <c r="V93" s="338" t="e">
        <f>IF(ii!$J$3&gt;gg!C93,"",IF(AND((YEAR(C93)=YEAR($I$2)),MONTH(C93)=MONTH($I$2)),ii!$B$14*12+ii!$C$14+ii!$B$15*12+ii!$C$15-1,V92+1))</f>
        <v>#REF!</v>
      </c>
      <c r="W93" s="339" t="e">
        <f t="shared" si="31"/>
        <v>#REF!</v>
      </c>
      <c r="X93" s="540" t="s">
        <v>621</v>
      </c>
      <c r="Y93" s="538" t="s">
        <v>621</v>
      </c>
      <c r="Z93" s="541">
        <f>Z81+$Z$26</f>
        <v>0.15</v>
      </c>
      <c r="AA93" s="542" t="str">
        <f>IF(Y93="","",(Y93-Y92)/Y92)</f>
        <v/>
      </c>
      <c r="AB93" s="543" t="str">
        <f t="shared" si="19"/>
        <v/>
      </c>
      <c r="AC93" s="544" t="str">
        <f t="shared" si="33"/>
        <v/>
      </c>
      <c r="AD93" s="538" t="str">
        <f t="shared" si="34"/>
        <v/>
      </c>
      <c r="AE93" s="545" t="s">
        <v>621</v>
      </c>
      <c r="AF93" s="546" t="s">
        <v>621</v>
      </c>
      <c r="AG93" s="558" t="s">
        <v>621</v>
      </c>
      <c r="AH93" s="547" t="str">
        <f>IF($G93="","",IF(AND($G93&gt;=30,$AT$3&lt;=AG$7),ROUND(AG93*($AP$3+#REF!),-1),""))</f>
        <v/>
      </c>
      <c r="AI93" s="558" t="s">
        <v>621</v>
      </c>
      <c r="AJ93" s="547" t="str">
        <f>IF($G93="","",IF(AND($G93&gt;=30,$AT$3&lt;=AI$7),ROUND(AI93*($AP$3+#REF!),-1),""))</f>
        <v/>
      </c>
      <c r="AK93" s="560" t="s">
        <v>621</v>
      </c>
      <c r="AL93" s="547" t="str">
        <f>IF($G93="","",IF(AND($G93&gt;=30,$AT$3&lt;=AK$7),ROUND(AK93*($AP$3+#REF!),-1),""))</f>
        <v/>
      </c>
      <c r="AM93" s="560" t="s">
        <v>621</v>
      </c>
      <c r="AN93" s="547" t="str">
        <f>IF($G93="","",IF(AND($G93&gt;=30,$AT$3&lt;=AM$7),ROUND(AM93*($AP$3+#REF!),-1),""))</f>
        <v/>
      </c>
      <c r="AO93" s="547" t="e">
        <v>#REF!</v>
      </c>
      <c r="AP93" s="547" t="str">
        <f>IF($G93="","",IF(AND($G93&gt;=30,$AT$3&lt;=AO$7),ROUND(AO93*($AP$3+#REF!),-1),""))</f>
        <v/>
      </c>
      <c r="AQ93" s="547" t="s">
        <v>621</v>
      </c>
      <c r="AR93" s="547" t="str">
        <f>IF($G93="","",IF(AND($G93&gt;=30,$AT$3&lt;=AQ$7),ROUND(AQ93*($AP$3+#REF!),-1),""))</f>
        <v/>
      </c>
      <c r="AS93" s="547" t="s">
        <v>621</v>
      </c>
      <c r="AT93" s="547" t="str">
        <f>IF($G93="","",IF(AND($G93&gt;=30,$AT$3&lt;=AS$7),ROUND(AS93*($AP$3+#REF!),-1),""))</f>
        <v/>
      </c>
      <c r="AU93" s="533" t="e">
        <v>#REF!</v>
      </c>
      <c r="AV93" s="547" t="str">
        <f>IF($G93="","",IF(AND($G93&gt;=30,$AT$3&lt;=AU$7),ROUND(AU93*($AP$3+#REF!),-1),""))</f>
        <v/>
      </c>
      <c r="AW93" s="547"/>
      <c r="AX93" s="547" t="str">
        <f>IF($G93="","",IF(AND($G93&gt;=30,$AT$3&lt;=AW$7),ROUND(AW93*($AP$3+#REF!),-1),""))</f>
        <v/>
      </c>
      <c r="AY93" s="547"/>
      <c r="AZ93" s="547" t="str">
        <f>IF($G93="","",IF(AND($G93&gt;=30,$AT$3&lt;=AY$7),ROUND(AY93*($AP$3+#REF!),-1),""))</f>
        <v/>
      </c>
      <c r="BA93" s="547"/>
      <c r="BB93" s="547" t="str">
        <f>IF($G93="","",IF(AND($G93&gt;=30,$AT$3&lt;=BA$7),ROUND(BA93*($AP$3+#REF!),-1),""))</f>
        <v/>
      </c>
      <c r="BC93" s="547"/>
      <c r="BD93" s="547" t="str">
        <f>IF($G93="","",IF(AND($G93&gt;=30,$AT$3&lt;=BC$7),ROUND(BC93*($AP$3+#REF!),-1),""))</f>
        <v/>
      </c>
      <c r="BE93" s="547"/>
      <c r="BF93" s="547" t="str">
        <f>IF($G93="","",IF(AND($G93&gt;=30,$AT$3&lt;=BE$7),ROUND(BE93*($AP$3+#REF!),-1),""))</f>
        <v/>
      </c>
      <c r="BG93" s="547"/>
      <c r="BH93" s="547" t="str">
        <f>IF($G93="","",IF(AND($G93&gt;=30,$AT$3&lt;=BG$7),ROUND(BG93*($AP$3+#REF!),-1),""))</f>
        <v/>
      </c>
      <c r="BI93" s="547"/>
      <c r="BJ93" s="547" t="str">
        <f>IF($G93="","",IF(AND($G93&gt;=30,$AT$3&lt;=BI$7),ROUND(BI93*($AP$3+#REF!),-1),""))</f>
        <v/>
      </c>
      <c r="BK93" s="547"/>
      <c r="BL93" s="547" t="str">
        <f>IF($G93="","",IF(AND($G93&gt;=30,$AT$3&lt;=BK$7),ROUND(BK93*($AP$3+#REF!),-1),""))</f>
        <v/>
      </c>
      <c r="BM93" s="547"/>
      <c r="BN93" s="547" t="str">
        <f>IF($G93="","",IF(AND($G93&gt;=30,$AT$3&lt;=BM$7),ROUND(BM93*($AP$3+#REF!),-1),""))</f>
        <v/>
      </c>
      <c r="BO93" s="547"/>
      <c r="BP93" s="547" t="str">
        <f>IF($G93="","",IF(AND($G93&gt;=30,$AT$3&lt;=BO$7),ROUND(BO93*($AP$3+#REF!),-1),""))</f>
        <v/>
      </c>
      <c r="BQ93" s="547"/>
      <c r="BR93" s="547" t="str">
        <f>IF($G93="","",IF(AND($G93&gt;=30,$AT$3&lt;=BQ$7),ROUND(BQ93*($AP$3+#REF!),-1),""))</f>
        <v/>
      </c>
      <c r="BS93" s="547"/>
      <c r="BT93" s="547" t="str">
        <f>IF($G93="","",IF(AND($G93&gt;=30,$AT$3&lt;=BS$7),ROUND(BS93*($AP$3+#REF!),-1),""))</f>
        <v/>
      </c>
      <c r="BU93" s="547"/>
      <c r="BV93" s="547" t="str">
        <f>IF($G93="","",IF(AND($G93&gt;=30,$AT$3&lt;=BU$7),ROUND(BU93*($AP$3+#REF!),-1),""))</f>
        <v/>
      </c>
      <c r="BW93" s="547"/>
      <c r="BX93" s="547" t="str">
        <f>IF($G93="","",IF(AND($G93&gt;=30,$AT$3&lt;=BW$7),ROUND(BW93*($AP$3+#REF!),-1),""))</f>
        <v/>
      </c>
      <c r="BY93" s="547"/>
      <c r="BZ93" s="547" t="str">
        <f>IF($G93="","",IF(AND($G93&gt;=30,$AT$3&lt;=BY$7),ROUND(BY93*($AP$3+#REF!),-1),""))</f>
        <v/>
      </c>
      <c r="CA93" s="547"/>
      <c r="CB93" s="547" t="str">
        <f>IF($G93="","",IF(AND($G93&gt;=30,$AT$3&lt;=CA$7),ROUND(CA93*($AP$3+#REF!),-1),""))</f>
        <v/>
      </c>
      <c r="CC93" s="547"/>
      <c r="CD93" s="547" t="str">
        <f>IF($G93="","",IF(AND($G93&gt;=30,$AT$3&lt;=CC$7),ROUND(CC93*($AP$3+#REF!),-1),""))</f>
        <v/>
      </c>
      <c r="CE93" s="547"/>
      <c r="CF93" s="547" t="str">
        <f>IF($G93="","",IF(AND($G93&gt;=30,$AT$3&lt;=CE$7),ROUND(CE93*($AP$3+#REF!),-1),""))</f>
        <v/>
      </c>
      <c r="CG93" s="547"/>
      <c r="CH93" s="547" t="str">
        <f>IF($G93="","",IF(AND($G93&gt;=30,$AT$3&lt;=CG$7),ROUND(CG93*($AP$3+#REF!),-1),""))</f>
        <v/>
      </c>
      <c r="CI93" s="547"/>
      <c r="CJ93" s="547" t="str">
        <f>IF($G93="","",IF(AND($G93&gt;=30,$AT$3&lt;=CI$7),ROUND(CI93*($AP$3+#REF!),-1),""))</f>
        <v/>
      </c>
      <c r="CK93" s="547"/>
      <c r="CL93" s="547" t="str">
        <f>IF($G93="","",IF(AND($G93&gt;=30,$AT$3&lt;=CK$7),ROUND(CK93*($AP$3+#REF!),-1),""))</f>
        <v/>
      </c>
      <c r="CM93" s="547"/>
      <c r="CN93" s="547" t="str">
        <f>IF($G93="","",IF(AND($G93&gt;=30,$AT$3&lt;=CM$7),ROUND(CM93*($AP$3+#REF!),-1),""))</f>
        <v/>
      </c>
      <c r="CO93" s="547"/>
      <c r="CP93" s="547" t="str">
        <f>IF($G93="","",IF(AND($G93&gt;=30,$AT$3&lt;=CO$7),ROUND(CO93*($AP$3+#REF!),-1),""))</f>
        <v/>
      </c>
      <c r="CQ93" s="547"/>
      <c r="CR93" s="547" t="str">
        <f>IF($G93="","",IF(AND($G93&gt;=30,$AT$3&lt;=CQ$7),ROUND(CQ93*($AP$3+#REF!),-1),""))</f>
        <v/>
      </c>
      <c r="CS93" s="547"/>
      <c r="CT93" s="547" t="str">
        <f>IF($G93="","",IF(AND($G93&gt;=30,$AT$3&lt;=CS$7),ROUND(CS93*($AP$3+#REF!),-1),""))</f>
        <v/>
      </c>
      <c r="CU93" s="547"/>
      <c r="CV93" s="547" t="str">
        <f>IF($G93="","",IF(AND($G93&gt;=30,$AT$3&lt;=CU$7),ROUND(CU93*($AP$3+#REF!),-1),""))</f>
        <v/>
      </c>
      <c r="CW93" s="547"/>
      <c r="CX93" s="547" t="str">
        <f>IF($G93="","",IF(AND($G93&gt;=30,$AT$3&lt;=CW$7),ROUND(CW93*($AP$3+#REF!),-1),""))</f>
        <v/>
      </c>
      <c r="CY93" s="547"/>
      <c r="CZ93" s="547" t="str">
        <f>IF($G93="","",IF(AND($G93&gt;=30,$AT$3&lt;=CY$7),ROUND(CY93*($AP$3+#REF!),-1),""))</f>
        <v/>
      </c>
      <c r="DA93" s="547"/>
      <c r="DB93" s="547" t="str">
        <f>IF($G93="","",IF(AND($G93&gt;=30,$AT$3&lt;=DA$7),ROUND(DA93*($AP$3+#REF!),-1),""))</f>
        <v/>
      </c>
      <c r="DC93" s="547"/>
      <c r="DD93" s="547" t="str">
        <f>IF($G93="","",IF(AND($G93&gt;=30,$AT$3&lt;=DC$7),ROUND(DC93*($AP$3+#REF!),-1),""))</f>
        <v/>
      </c>
      <c r="DE93" s="547"/>
      <c r="DF93" s="547" t="str">
        <f>IF($G93="","",IF(AND($G93&gt;=30,$AT$3&lt;=DE$7),ROUND(DE93*($AP$3+#REF!),-1),""))</f>
        <v/>
      </c>
      <c r="DG93" s="547"/>
      <c r="DH93" s="547" t="str">
        <f>IF($G93="","",IF(AND($G93&gt;=30,$AT$3&lt;=DG$7),ROUND(DG93*($AP$3+#REF!),-1),""))</f>
        <v/>
      </c>
      <c r="DI93" s="547"/>
      <c r="DJ93" s="547" t="str">
        <f>IF($G93="","",IF(AND($G93&gt;=30,$AT$3&lt;=DI$7),ROUND(DI93*($AP$3+#REF!),-1),""))</f>
        <v/>
      </c>
      <c r="DK93" s="547"/>
      <c r="DL93" s="547" t="str">
        <f>IF($G93="","",IF(AND($G93&gt;=30,$AT$3&lt;=DK$7),ROUND(DK93*($AP$3+#REF!),-1),""))</f>
        <v/>
      </c>
      <c r="DM93" s="547"/>
      <c r="DN93" s="547" t="str">
        <f>IF($G93="","",IF(AND($G93&gt;=30,$AT$3&lt;=DM$7),ROUND(DM93*($AP$3+#REF!),-1),""))</f>
        <v/>
      </c>
      <c r="DO93" s="547"/>
      <c r="DP93" s="547" t="str">
        <f>IF($G93="","",IF(AND($G93&gt;=30,$AT$3&lt;=DO$7),ROUND(DO93*($AP$3+#REF!),-1),""))</f>
        <v/>
      </c>
      <c r="DQ93" s="547"/>
      <c r="DR93" s="547" t="str">
        <f>IF($G93="","",IF(AND($G93&gt;=30,$AT$3&lt;=DQ$7),ROUND(DQ93*($AP$3+#REF!),-1),""))</f>
        <v/>
      </c>
      <c r="DS93" s="547"/>
      <c r="DT93" s="547" t="str">
        <f>IF($G93="","",IF(AND($G93&gt;=30,$AT$3&lt;=DS$7),ROUND(DS93*($AP$3+#REF!),-1),""))</f>
        <v/>
      </c>
      <c r="DU93" s="547"/>
      <c r="DV93" s="547" t="str">
        <f>IF($G93="","",IF(AND($G93&gt;=30,$AT$3&lt;=DU$7),ROUND(DU93*($AP$3+#REF!),-1),""))</f>
        <v/>
      </c>
      <c r="DW93" s="547"/>
      <c r="DX93" s="547" t="str">
        <f>IF($G93="","",IF(AND($G93&gt;=30,$AT$3&lt;=DW$7),ROUND(DW93*($AP$3+#REF!),-1),""))</f>
        <v/>
      </c>
      <c r="DY93" s="547"/>
      <c r="DZ93" s="547" t="str">
        <f>IF($G93="","",IF(AND($G93&gt;=30,$AT$3&lt;=DY$7),ROUND(DY93*($AP$3+#REF!),-1),""))</f>
        <v/>
      </c>
      <c r="EA93" s="547"/>
      <c r="EB93" s="547" t="str">
        <f>IF($G93="","",IF(AND($G93&gt;=30,$AT$3&lt;=EA$7),ROUND(EA93*($AP$3+#REF!),-1),""))</f>
        <v/>
      </c>
      <c r="EC93" s="547" t="s">
        <v>621</v>
      </c>
      <c r="ED93" s="1126">
        <f>SUM(EC93:EC104)</f>
        <v>0</v>
      </c>
      <c r="EE93" s="325">
        <v>1</v>
      </c>
    </row>
    <row r="94" spans="1:135" ht="9.75" customHeight="1">
      <c r="A94" s="321" t="str">
        <f t="shared" si="21"/>
        <v/>
      </c>
      <c r="B94" s="567" t="e">
        <f>(ii!$D$13*12+V94)+1</f>
        <v>#REF!</v>
      </c>
      <c r="C94" s="337">
        <f t="shared" si="30"/>
        <v>44985</v>
      </c>
      <c r="D94" s="484">
        <f t="shared" si="25"/>
        <v>2023</v>
      </c>
      <c r="E94" s="484">
        <f t="shared" si="26"/>
        <v>0.16666666666666666</v>
      </c>
      <c r="F94" s="484">
        <f t="shared" si="27"/>
        <v>2023.1666666666667</v>
      </c>
      <c r="G94" s="485" t="str">
        <f>IF(OR(C94&lt;$I$2,C94&gt;$J$3),"",(ii!$D$13*12+V94+1)/12)</f>
        <v/>
      </c>
      <c r="H94" s="486"/>
      <c r="I94" s="486"/>
      <c r="J94" s="487"/>
      <c r="K94" s="488"/>
      <c r="L94" s="548"/>
      <c r="M94" s="489" t="str">
        <f t="shared" si="32"/>
        <v/>
      </c>
      <c r="N94" s="490" t="s">
        <v>621</v>
      </c>
      <c r="O94" s="490" t="str">
        <f t="shared" si="28"/>
        <v/>
      </c>
      <c r="P94" s="491"/>
      <c r="Q94" s="491"/>
      <c r="R94" s="491" t="str">
        <f t="shared" si="29"/>
        <v/>
      </c>
      <c r="S94" s="528" t="str">
        <f t="shared" si="24"/>
        <v/>
      </c>
      <c r="T94" s="528" t="str">
        <f t="shared" si="23"/>
        <v/>
      </c>
      <c r="U94" s="493" t="str">
        <f>IF(H94="","",#REF!*12+#REF!+#REF!*12+#REF!)</f>
        <v/>
      </c>
      <c r="V94" s="338" t="e">
        <f>IF(ii!$J$3&gt;gg!C94,"",IF(AND((YEAR(C94)=YEAR($I$2)),MONTH(C94)=MONTH($I$2)),ii!$B$14*12+ii!$C$14+ii!$B$15*12+ii!$C$15-1,V93+1))</f>
        <v>#REF!</v>
      </c>
      <c r="W94" s="339" t="e">
        <f t="shared" si="31"/>
        <v>#REF!</v>
      </c>
      <c r="X94" s="494" t="s">
        <v>621</v>
      </c>
      <c r="Y94" s="495" t="s">
        <v>621</v>
      </c>
      <c r="Z94" s="496"/>
      <c r="AA94" s="497"/>
      <c r="AB94" s="498" t="str">
        <f t="shared" ref="AB94:AB157" si="35">IF(F94&lt;$I$3,"",IF(F94&gt;$F$3,"",(P94/Y94)))</f>
        <v/>
      </c>
      <c r="AC94" s="484" t="str">
        <f t="shared" si="33"/>
        <v/>
      </c>
      <c r="AD94" s="495" t="str">
        <f t="shared" si="34"/>
        <v/>
      </c>
      <c r="AE94" s="499" t="s">
        <v>621</v>
      </c>
      <c r="AF94" s="500" t="s">
        <v>621</v>
      </c>
      <c r="AG94" s="556" t="s">
        <v>621</v>
      </c>
      <c r="AH94" s="503" t="str">
        <f>IF($G94="","",IF(AND($G94&gt;=30,$AT$3&lt;=AG$7),ROUND(AG94*($AP$3+#REF!),-1),""))</f>
        <v/>
      </c>
      <c r="AI94" s="506" t="s">
        <v>621</v>
      </c>
      <c r="AJ94" s="503" t="str">
        <f>IF($G94="","",IF(AND($G94&gt;=30,$AT$3&lt;=AI$7),ROUND(AI94*($AP$3+#REF!),-1),""))</f>
        <v/>
      </c>
      <c r="AK94" s="506" t="s">
        <v>621</v>
      </c>
      <c r="AL94" s="503" t="str">
        <f>IF($G94="","",IF(AND($G94&gt;=30,$AT$3&lt;=AK$7),ROUND(AK94*($AP$3+#REF!),-1),""))</f>
        <v/>
      </c>
      <c r="AM94" s="506" t="s">
        <v>621</v>
      </c>
      <c r="AN94" s="503" t="str">
        <f>IF($G94="","",IF(AND($G94&gt;=30,$AT$3&lt;=AM$7),ROUND(AM94*($AP$3+#REF!),-1),""))</f>
        <v/>
      </c>
      <c r="AO94" s="503" t="e">
        <f>IF(AO93="","",AO93*1.001)</f>
        <v>#REF!</v>
      </c>
      <c r="AP94" s="503" t="str">
        <f>IF($G94="","",IF(AND($G94&gt;=30,$AT$3&lt;=AO$7),ROUND(AO94*($AP$3+#REF!),-1),""))</f>
        <v/>
      </c>
      <c r="AQ94" s="503" t="s">
        <v>621</v>
      </c>
      <c r="AR94" s="503" t="str">
        <f>IF($G94="","",IF(AND($G94&gt;=30,$AT$3&lt;=AQ$7),ROUND(AQ94*($AP$3+#REF!),-1),""))</f>
        <v/>
      </c>
      <c r="AS94" s="503" t="s">
        <v>621</v>
      </c>
      <c r="AT94" s="503" t="str">
        <f>IF($G94="","",IF(AND($G94&gt;=30,$AT$3&lt;=AS$7),ROUND(AS94*($AP$3+#REF!),-1),""))</f>
        <v/>
      </c>
      <c r="AU94" s="517" t="e">
        <v>#REF!</v>
      </c>
      <c r="AV94" s="503" t="str">
        <f>IF($G94="","",IF(AND($G94&gt;=30,$AT$3&lt;=AU$7),ROUND(AU94*($AP$3+#REF!),-1),""))</f>
        <v/>
      </c>
      <c r="AW94" s="503"/>
      <c r="AX94" s="503" t="str">
        <f>IF($G94="","",IF(AND($G94&gt;=30,$AT$3&lt;=AW$7),ROUND(AW94*($AP$3+#REF!),-1),""))</f>
        <v/>
      </c>
      <c r="AY94" s="502"/>
      <c r="AZ94" s="503" t="str">
        <f>IF($G94="","",IF(AND($G94&gt;=30,$AT$3&lt;=AY$7),ROUND(AY94*($AP$3+#REF!),-1),""))</f>
        <v/>
      </c>
      <c r="BA94" s="503"/>
      <c r="BB94" s="503" t="str">
        <f>IF($G94="","",IF(AND($G94&gt;=30,$AT$3&lt;=BA$7),ROUND(BA94*($AP$3+#REF!),-1),""))</f>
        <v/>
      </c>
      <c r="BC94" s="502"/>
      <c r="BD94" s="503" t="str">
        <f>IF($G94="","",IF(AND($G94&gt;=30,$AT$3&lt;=BC$7),ROUND(BC94*($AP$3+#REF!),-1),""))</f>
        <v/>
      </c>
      <c r="BE94" s="503"/>
      <c r="BF94" s="503" t="str">
        <f>IF($G94="","",IF(AND($G94&gt;=30,$AT$3&lt;=BE$7),ROUND(BE94*($AP$3+#REF!),-1),""))</f>
        <v/>
      </c>
      <c r="BG94" s="502"/>
      <c r="BH94" s="503" t="str">
        <f>IF($G94="","",IF(AND($G94&gt;=30,$AT$3&lt;=BG$7),ROUND(BG94*($AP$3+#REF!),-1),""))</f>
        <v/>
      </c>
      <c r="BI94" s="503"/>
      <c r="BJ94" s="503" t="str">
        <f>IF($G94="","",IF(AND($G94&gt;=30,$AT$3&lt;=BI$7),ROUND(BI94*($AP$3+#REF!),-1),""))</f>
        <v/>
      </c>
      <c r="BK94" s="502"/>
      <c r="BL94" s="503" t="str">
        <f>IF($G94="","",IF(AND($G94&gt;=30,$AT$3&lt;=BK$7),ROUND(BK94*($AP$3+#REF!),-1),""))</f>
        <v/>
      </c>
      <c r="BM94" s="503"/>
      <c r="BN94" s="503" t="str">
        <f>IF($G94="","",IF(AND($G94&gt;=30,$AT$3&lt;=BM$7),ROUND(BM94*($AP$3+#REF!),-1),""))</f>
        <v/>
      </c>
      <c r="BO94" s="502"/>
      <c r="BP94" s="503" t="str">
        <f>IF($G94="","",IF(AND($G94&gt;=30,$AT$3&lt;=BO$7),ROUND(BO94*($AP$3+#REF!),-1),""))</f>
        <v/>
      </c>
      <c r="BQ94" s="503"/>
      <c r="BR94" s="503" t="str">
        <f>IF($G94="","",IF(AND($G94&gt;=30,$AT$3&lt;=BQ$7),ROUND(BQ94*($AP$3+#REF!),-1),""))</f>
        <v/>
      </c>
      <c r="BS94" s="502"/>
      <c r="BT94" s="503" t="str">
        <f>IF($G94="","",IF(AND($G94&gt;=30,$AT$3&lt;=BS$7),ROUND(BS94*($AP$3+#REF!),-1),""))</f>
        <v/>
      </c>
      <c r="BU94" s="503"/>
      <c r="BV94" s="503" t="str">
        <f>IF($G94="","",IF(AND($G94&gt;=30,$AT$3&lt;=BU$7),ROUND(BU94*($AP$3+#REF!),-1),""))</f>
        <v/>
      </c>
      <c r="BW94" s="502"/>
      <c r="BX94" s="503" t="str">
        <f>IF($G94="","",IF(AND($G94&gt;=30,$AT$3&lt;=BW$7),ROUND(BW94*($AP$3+#REF!),-1),""))</f>
        <v/>
      </c>
      <c r="BY94" s="503"/>
      <c r="BZ94" s="503" t="str">
        <f>IF($G94="","",IF(AND($G94&gt;=30,$AT$3&lt;=BY$7),ROUND(BY94*($AP$3+#REF!),-1),""))</f>
        <v/>
      </c>
      <c r="CA94" s="502"/>
      <c r="CB94" s="503" t="str">
        <f>IF($G94="","",IF(AND($G94&gt;=30,$AT$3&lt;=CA$7),ROUND(CA94*($AP$3+#REF!),-1),""))</f>
        <v/>
      </c>
      <c r="CC94" s="503"/>
      <c r="CD94" s="503" t="str">
        <f>IF($G94="","",IF(AND($G94&gt;=30,$AT$3&lt;=CC$7),ROUND(CC94*($AP$3+#REF!),-1),""))</f>
        <v/>
      </c>
      <c r="CE94" s="502"/>
      <c r="CF94" s="503" t="str">
        <f>IF($G94="","",IF(AND($G94&gt;=30,$AT$3&lt;=CE$7),ROUND(CE94*($AP$3+#REF!),-1),""))</f>
        <v/>
      </c>
      <c r="CG94" s="503"/>
      <c r="CH94" s="503" t="str">
        <f>IF($G94="","",IF(AND($G94&gt;=30,$AT$3&lt;=CG$7),ROUND(CG94*($AP$3+#REF!),-1),""))</f>
        <v/>
      </c>
      <c r="CI94" s="502"/>
      <c r="CJ94" s="503" t="str">
        <f>IF($G94="","",IF(AND($G94&gt;=30,$AT$3&lt;=CI$7),ROUND(CI94*($AP$3+#REF!),-1),""))</f>
        <v/>
      </c>
      <c r="CK94" s="503"/>
      <c r="CL94" s="503" t="str">
        <f>IF($G94="","",IF(AND($G94&gt;=30,$AT$3&lt;=CK$7),ROUND(CK94*($AP$3+#REF!),-1),""))</f>
        <v/>
      </c>
      <c r="CM94" s="502"/>
      <c r="CN94" s="503" t="str">
        <f>IF($G94="","",IF(AND($G94&gt;=30,$AT$3&lt;=CM$7),ROUND(CM94*($AP$3+#REF!),-1),""))</f>
        <v/>
      </c>
      <c r="CO94" s="503"/>
      <c r="CP94" s="503" t="str">
        <f>IF($G94="","",IF(AND($G94&gt;=30,$AT$3&lt;=CO$7),ROUND(CO94*($AP$3+#REF!),-1),""))</f>
        <v/>
      </c>
      <c r="CQ94" s="502"/>
      <c r="CR94" s="503" t="str">
        <f>IF($G94="","",IF(AND($G94&gt;=30,$AT$3&lt;=CQ$7),ROUND(CQ94*($AP$3+#REF!),-1),""))</f>
        <v/>
      </c>
      <c r="CS94" s="503"/>
      <c r="CT94" s="503" t="str">
        <f>IF($G94="","",IF(AND($G94&gt;=30,$AT$3&lt;=CS$7),ROUND(CS94*($AP$3+#REF!),-1),""))</f>
        <v/>
      </c>
      <c r="CU94" s="502"/>
      <c r="CV94" s="503" t="str">
        <f>IF($G94="","",IF(AND($G94&gt;=30,$AT$3&lt;=CU$7),ROUND(CU94*($AP$3+#REF!),-1),""))</f>
        <v/>
      </c>
      <c r="CW94" s="503"/>
      <c r="CX94" s="503" t="str">
        <f>IF($G94="","",IF(AND($G94&gt;=30,$AT$3&lt;=CW$7),ROUND(CW94*($AP$3+#REF!),-1),""))</f>
        <v/>
      </c>
      <c r="CY94" s="502"/>
      <c r="CZ94" s="503" t="str">
        <f>IF($G94="","",IF(AND($G94&gt;=30,$AT$3&lt;=CY$7),ROUND(CY94*($AP$3+#REF!),-1),""))</f>
        <v/>
      </c>
      <c r="DA94" s="503"/>
      <c r="DB94" s="503" t="str">
        <f>IF($G94="","",IF(AND($G94&gt;=30,$AT$3&lt;=DA$7),ROUND(DA94*($AP$3+#REF!),-1),""))</f>
        <v/>
      </c>
      <c r="DC94" s="502"/>
      <c r="DD94" s="503" t="str">
        <f>IF($G94="","",IF(AND($G94&gt;=30,$AT$3&lt;=DC$7),ROUND(DC94*($AP$3+#REF!),-1),""))</f>
        <v/>
      </c>
      <c r="DE94" s="503"/>
      <c r="DF94" s="503" t="str">
        <f>IF($G94="","",IF(AND($G94&gt;=30,$AT$3&lt;=DE$7),ROUND(DE94*($AP$3+#REF!),-1),""))</f>
        <v/>
      </c>
      <c r="DG94" s="503"/>
      <c r="DH94" s="503" t="str">
        <f>IF($G94="","",IF(AND($G94&gt;=30,$AT$3&lt;=DG$7),ROUND(DG94*($AP$3+#REF!),-1),""))</f>
        <v/>
      </c>
      <c r="DI94" s="503"/>
      <c r="DJ94" s="503" t="str">
        <f>IF($G94="","",IF(AND($G94&gt;=30,$AT$3&lt;=DI$7),ROUND(DI94*($AP$3+#REF!),-1),""))</f>
        <v/>
      </c>
      <c r="DK94" s="503"/>
      <c r="DL94" s="503" t="str">
        <f>IF($G94="","",IF(AND($G94&gt;=30,$AT$3&lt;=DK$7),ROUND(DK94*($AP$3+#REF!),-1),""))</f>
        <v/>
      </c>
      <c r="DM94" s="503"/>
      <c r="DN94" s="503" t="str">
        <f>IF($G94="","",IF(AND($G94&gt;=30,$AT$3&lt;=DM$7),ROUND(DM94*($AP$3+#REF!),-1),""))</f>
        <v/>
      </c>
      <c r="DO94" s="503"/>
      <c r="DP94" s="503" t="str">
        <f>IF($G94="","",IF(AND($G94&gt;=30,$AT$3&lt;=DO$7),ROUND(DO94*($AP$3+#REF!),-1),""))</f>
        <v/>
      </c>
      <c r="DQ94" s="503"/>
      <c r="DR94" s="503" t="str">
        <f>IF($G94="","",IF(AND($G94&gt;=30,$AT$3&lt;=DQ$7),ROUND(DQ94*($AP$3+#REF!),-1),""))</f>
        <v/>
      </c>
      <c r="DS94" s="503"/>
      <c r="DT94" s="503" t="str">
        <f>IF($G94="","",IF(AND($G94&gt;=30,$AT$3&lt;=DS$7),ROUND(DS94*($AP$3+#REF!),-1),""))</f>
        <v/>
      </c>
      <c r="DU94" s="503"/>
      <c r="DV94" s="503" t="str">
        <f>IF($G94="","",IF(AND($G94&gt;=30,$AT$3&lt;=DU$7),ROUND(DU94*($AP$3+#REF!),-1),""))</f>
        <v/>
      </c>
      <c r="DW94" s="503"/>
      <c r="DX94" s="503" t="str">
        <f>IF($G94="","",IF(AND($G94&gt;=30,$AT$3&lt;=DW$7),ROUND(DW94*($AP$3+#REF!),-1),""))</f>
        <v/>
      </c>
      <c r="DY94" s="503"/>
      <c r="DZ94" s="503" t="str">
        <f>IF($G94="","",IF(AND($G94&gt;=30,$AT$3&lt;=DY$7),ROUND(DY94*($AP$3+#REF!),-1),""))</f>
        <v/>
      </c>
      <c r="EA94" s="503"/>
      <c r="EB94" s="503" t="str">
        <f>IF($G94="","",IF(AND($G94&gt;=30,$AT$3&lt;=EA$7),ROUND(EA94*($AP$3+#REF!),-1),""))</f>
        <v/>
      </c>
      <c r="EC94" s="504" t="s">
        <v>621</v>
      </c>
      <c r="ED94" s="1126"/>
      <c r="EE94" s="325">
        <v>2</v>
      </c>
    </row>
    <row r="95" spans="1:135" ht="9.75" customHeight="1">
      <c r="A95" s="321" t="str">
        <f t="shared" si="21"/>
        <v/>
      </c>
      <c r="B95" s="567" t="e">
        <f>(ii!$D$13*12+V95)+1</f>
        <v>#REF!</v>
      </c>
      <c r="C95" s="337">
        <f t="shared" si="30"/>
        <v>45016</v>
      </c>
      <c r="D95" s="484">
        <f t="shared" si="25"/>
        <v>2023</v>
      </c>
      <c r="E95" s="484">
        <f t="shared" si="26"/>
        <v>0.25</v>
      </c>
      <c r="F95" s="484">
        <f t="shared" si="27"/>
        <v>2023.25</v>
      </c>
      <c r="G95" s="485" t="str">
        <f>IF(OR(C95&lt;$I$2,C95&gt;$J$3),"",(ii!$D$13*12+V95+1)/12)</f>
        <v/>
      </c>
      <c r="H95" s="486"/>
      <c r="I95" s="486"/>
      <c r="J95" s="487"/>
      <c r="K95" s="488"/>
      <c r="L95" s="548"/>
      <c r="M95" s="489" t="str">
        <f t="shared" si="32"/>
        <v/>
      </c>
      <c r="N95" s="490" t="s">
        <v>621</v>
      </c>
      <c r="O95" s="490" t="str">
        <f t="shared" si="28"/>
        <v/>
      </c>
      <c r="P95" s="491"/>
      <c r="Q95" s="491"/>
      <c r="R95" s="491" t="str">
        <f t="shared" si="29"/>
        <v/>
      </c>
      <c r="S95" s="528" t="str">
        <f t="shared" si="24"/>
        <v/>
      </c>
      <c r="T95" s="528" t="str">
        <f t="shared" si="23"/>
        <v/>
      </c>
      <c r="U95" s="493" t="str">
        <f>IF(H95="","",#REF!*12+#REF!+#REF!*12+#REF!)</f>
        <v/>
      </c>
      <c r="V95" s="338" t="e">
        <f>IF(ii!$J$3&gt;gg!C95,"",IF(AND((YEAR(C95)=YEAR($I$2)),MONTH(C95)=MONTH($I$2)),ii!$B$14*12+ii!$C$14+ii!$B$15*12+ii!$C$15-1,V94+1))</f>
        <v>#REF!</v>
      </c>
      <c r="W95" s="339" t="e">
        <f t="shared" si="31"/>
        <v>#REF!</v>
      </c>
      <c r="X95" s="494" t="s">
        <v>621</v>
      </c>
      <c r="Y95" s="495" t="s">
        <v>621</v>
      </c>
      <c r="Z95" s="496"/>
      <c r="AA95" s="497"/>
      <c r="AB95" s="498" t="str">
        <f t="shared" si="35"/>
        <v/>
      </c>
      <c r="AC95" s="484" t="str">
        <f t="shared" si="33"/>
        <v/>
      </c>
      <c r="AD95" s="495" t="str">
        <f t="shared" si="34"/>
        <v/>
      </c>
      <c r="AE95" s="499" t="s">
        <v>621</v>
      </c>
      <c r="AF95" s="500" t="s">
        <v>621</v>
      </c>
      <c r="AG95" s="556" t="s">
        <v>621</v>
      </c>
      <c r="AH95" s="503" t="str">
        <f>IF($G95="","",IF(AND($G95&gt;=30,$AT$3&lt;=AG$7),ROUND(AG95*($AP$3+#REF!),-1),""))</f>
        <v/>
      </c>
      <c r="AI95" s="506" t="s">
        <v>621</v>
      </c>
      <c r="AJ95" s="503" t="str">
        <f>IF($G95="","",IF(AND($G95&gt;=30,$AT$3&lt;=AI$7),ROUND(AI95*($AP$3+#REF!),-1),""))</f>
        <v/>
      </c>
      <c r="AK95" s="506" t="s">
        <v>621</v>
      </c>
      <c r="AL95" s="503" t="str">
        <f>IF($G95="","",IF(AND($G95&gt;=30,$AT$3&lt;=AK$7),ROUND(AK95*($AP$3+#REF!),-1),""))</f>
        <v/>
      </c>
      <c r="AM95" s="506" t="s">
        <v>621</v>
      </c>
      <c r="AN95" s="503" t="str">
        <f>IF($G95="","",IF(AND($G95&gt;=30,$AT$3&lt;=AM$7),ROUND(AM95*($AP$3+#REF!),-1),""))</f>
        <v/>
      </c>
      <c r="AO95" s="503" t="e">
        <v>#REF!</v>
      </c>
      <c r="AP95" s="503" t="str">
        <f>IF($G95="","",IF(AND($G95&gt;=30,$AT$3&lt;=AO$7),ROUND(AO95*($AP$3+#REF!),-1),""))</f>
        <v/>
      </c>
      <c r="AQ95" s="503" t="s">
        <v>621</v>
      </c>
      <c r="AR95" s="503" t="str">
        <f>IF($G95="","",IF(AND($G95&gt;=30,$AT$3&lt;=AQ$7),ROUND(AQ95*($AP$3+#REF!),-1),""))</f>
        <v/>
      </c>
      <c r="AS95" s="503" t="s">
        <v>621</v>
      </c>
      <c r="AT95" s="503" t="str">
        <f>IF($G95="","",IF(AND($G95&gt;=30,$AT$3&lt;=AS$7),ROUND(AS95*($AP$3+#REF!),-1),""))</f>
        <v/>
      </c>
      <c r="AU95" s="517" t="e">
        <v>#REF!</v>
      </c>
      <c r="AV95" s="503" t="str">
        <f>IF($G95="","",IF(AND($G95&gt;=30,$AT$3&lt;=AU$7),ROUND(AU95*($AP$3+#REF!),-1),""))</f>
        <v/>
      </c>
      <c r="AW95" s="503"/>
      <c r="AX95" s="503" t="str">
        <f>IF($G95="","",IF(AND($G95&gt;=30,$AT$3&lt;=AW$7),ROUND(AW95*($AP$3+#REF!),-1),""))</f>
        <v/>
      </c>
      <c r="AY95" s="502"/>
      <c r="AZ95" s="503" t="str">
        <f>IF($G95="","",IF(AND($G95&gt;=30,$AT$3&lt;=AY$7),ROUND(AY95*($AP$3+#REF!),-1),""))</f>
        <v/>
      </c>
      <c r="BA95" s="503"/>
      <c r="BB95" s="503" t="str">
        <f>IF($G95="","",IF(AND($G95&gt;=30,$AT$3&lt;=BA$7),ROUND(BA95*($AP$3+#REF!),-1),""))</f>
        <v/>
      </c>
      <c r="BC95" s="502"/>
      <c r="BD95" s="503" t="str">
        <f>IF($G95="","",IF(AND($G95&gt;=30,$AT$3&lt;=BC$7),ROUND(BC95*($AP$3+#REF!),-1),""))</f>
        <v/>
      </c>
      <c r="BE95" s="503"/>
      <c r="BF95" s="503" t="str">
        <f>IF($G95="","",IF(AND($G95&gt;=30,$AT$3&lt;=BE$7),ROUND(BE95*($AP$3+#REF!),-1),""))</f>
        <v/>
      </c>
      <c r="BG95" s="502"/>
      <c r="BH95" s="503" t="str">
        <f>IF($G95="","",IF(AND($G95&gt;=30,$AT$3&lt;=BG$7),ROUND(BG95*($AP$3+#REF!),-1),""))</f>
        <v/>
      </c>
      <c r="BI95" s="503"/>
      <c r="BJ95" s="503" t="str">
        <f>IF($G95="","",IF(AND($G95&gt;=30,$AT$3&lt;=BI$7),ROUND(BI95*($AP$3+#REF!),-1),""))</f>
        <v/>
      </c>
      <c r="BK95" s="502"/>
      <c r="BL95" s="503" t="str">
        <f>IF($G95="","",IF(AND($G95&gt;=30,$AT$3&lt;=BK$7),ROUND(BK95*($AP$3+#REF!),-1),""))</f>
        <v/>
      </c>
      <c r="BM95" s="503"/>
      <c r="BN95" s="503" t="str">
        <f>IF($G95="","",IF(AND($G95&gt;=30,$AT$3&lt;=BM$7),ROUND(BM95*($AP$3+#REF!),-1),""))</f>
        <v/>
      </c>
      <c r="BO95" s="502"/>
      <c r="BP95" s="503" t="str">
        <f>IF($G95="","",IF(AND($G95&gt;=30,$AT$3&lt;=BO$7),ROUND(BO95*($AP$3+#REF!),-1),""))</f>
        <v/>
      </c>
      <c r="BQ95" s="503"/>
      <c r="BR95" s="503" t="str">
        <f>IF($G95="","",IF(AND($G95&gt;=30,$AT$3&lt;=BQ$7),ROUND(BQ95*($AP$3+#REF!),-1),""))</f>
        <v/>
      </c>
      <c r="BS95" s="502"/>
      <c r="BT95" s="503" t="str">
        <f>IF($G95="","",IF(AND($G95&gt;=30,$AT$3&lt;=BS$7),ROUND(BS95*($AP$3+#REF!),-1),""))</f>
        <v/>
      </c>
      <c r="BU95" s="503"/>
      <c r="BV95" s="503" t="str">
        <f>IF($G95="","",IF(AND($G95&gt;=30,$AT$3&lt;=BU$7),ROUND(BU95*($AP$3+#REF!),-1),""))</f>
        <v/>
      </c>
      <c r="BW95" s="502"/>
      <c r="BX95" s="503" t="str">
        <f>IF($G95="","",IF(AND($G95&gt;=30,$AT$3&lt;=BW$7),ROUND(BW95*($AP$3+#REF!),-1),""))</f>
        <v/>
      </c>
      <c r="BY95" s="503"/>
      <c r="BZ95" s="503" t="str">
        <f>IF($G95="","",IF(AND($G95&gt;=30,$AT$3&lt;=BY$7),ROUND(BY95*($AP$3+#REF!),-1),""))</f>
        <v/>
      </c>
      <c r="CA95" s="502"/>
      <c r="CB95" s="503" t="str">
        <f>IF($G95="","",IF(AND($G95&gt;=30,$AT$3&lt;=CA$7),ROUND(CA95*($AP$3+#REF!),-1),""))</f>
        <v/>
      </c>
      <c r="CC95" s="503"/>
      <c r="CD95" s="503" t="str">
        <f>IF($G95="","",IF(AND($G95&gt;=30,$AT$3&lt;=CC$7),ROUND(CC95*($AP$3+#REF!),-1),""))</f>
        <v/>
      </c>
      <c r="CE95" s="502"/>
      <c r="CF95" s="503" t="str">
        <f>IF($G95="","",IF(AND($G95&gt;=30,$AT$3&lt;=CE$7),ROUND(CE95*($AP$3+#REF!),-1),""))</f>
        <v/>
      </c>
      <c r="CG95" s="503"/>
      <c r="CH95" s="503" t="str">
        <f>IF($G95="","",IF(AND($G95&gt;=30,$AT$3&lt;=CG$7),ROUND(CG95*($AP$3+#REF!),-1),""))</f>
        <v/>
      </c>
      <c r="CI95" s="502"/>
      <c r="CJ95" s="503" t="str">
        <f>IF($G95="","",IF(AND($G95&gt;=30,$AT$3&lt;=CI$7),ROUND(CI95*($AP$3+#REF!),-1),""))</f>
        <v/>
      </c>
      <c r="CK95" s="503"/>
      <c r="CL95" s="503" t="str">
        <f>IF($G95="","",IF(AND($G95&gt;=30,$AT$3&lt;=CK$7),ROUND(CK95*($AP$3+#REF!),-1),""))</f>
        <v/>
      </c>
      <c r="CM95" s="502"/>
      <c r="CN95" s="503" t="str">
        <f>IF($G95="","",IF(AND($G95&gt;=30,$AT$3&lt;=CM$7),ROUND(CM95*($AP$3+#REF!),-1),""))</f>
        <v/>
      </c>
      <c r="CO95" s="503"/>
      <c r="CP95" s="503" t="str">
        <f>IF($G95="","",IF(AND($G95&gt;=30,$AT$3&lt;=CO$7),ROUND(CO95*($AP$3+#REF!),-1),""))</f>
        <v/>
      </c>
      <c r="CQ95" s="502"/>
      <c r="CR95" s="503" t="str">
        <f>IF($G95="","",IF(AND($G95&gt;=30,$AT$3&lt;=CQ$7),ROUND(CQ95*($AP$3+#REF!),-1),""))</f>
        <v/>
      </c>
      <c r="CS95" s="503"/>
      <c r="CT95" s="503" t="str">
        <f>IF($G95="","",IF(AND($G95&gt;=30,$AT$3&lt;=CS$7),ROUND(CS95*($AP$3+#REF!),-1),""))</f>
        <v/>
      </c>
      <c r="CU95" s="502"/>
      <c r="CV95" s="503" t="str">
        <f>IF($G95="","",IF(AND($G95&gt;=30,$AT$3&lt;=CU$7),ROUND(CU95*($AP$3+#REF!),-1),""))</f>
        <v/>
      </c>
      <c r="CW95" s="503"/>
      <c r="CX95" s="503" t="str">
        <f>IF($G95="","",IF(AND($G95&gt;=30,$AT$3&lt;=CW$7),ROUND(CW95*($AP$3+#REF!),-1),""))</f>
        <v/>
      </c>
      <c r="CY95" s="502"/>
      <c r="CZ95" s="503" t="str">
        <f>IF($G95="","",IF(AND($G95&gt;=30,$AT$3&lt;=CY$7),ROUND(CY95*($AP$3+#REF!),-1),""))</f>
        <v/>
      </c>
      <c r="DA95" s="503"/>
      <c r="DB95" s="503" t="str">
        <f>IF($G95="","",IF(AND($G95&gt;=30,$AT$3&lt;=DA$7),ROUND(DA95*($AP$3+#REF!),-1),""))</f>
        <v/>
      </c>
      <c r="DC95" s="502"/>
      <c r="DD95" s="503" t="str">
        <f>IF($G95="","",IF(AND($G95&gt;=30,$AT$3&lt;=DC$7),ROUND(DC95*($AP$3+#REF!),-1),""))</f>
        <v/>
      </c>
      <c r="DE95" s="503"/>
      <c r="DF95" s="503" t="str">
        <f>IF($G95="","",IF(AND($G95&gt;=30,$AT$3&lt;=DE$7),ROUND(DE95*($AP$3+#REF!),-1),""))</f>
        <v/>
      </c>
      <c r="DG95" s="503"/>
      <c r="DH95" s="503" t="str">
        <f>IF($G95="","",IF(AND($G95&gt;=30,$AT$3&lt;=DG$7),ROUND(DG95*($AP$3+#REF!),-1),""))</f>
        <v/>
      </c>
      <c r="DI95" s="503"/>
      <c r="DJ95" s="503" t="str">
        <f>IF($G95="","",IF(AND($G95&gt;=30,$AT$3&lt;=DI$7),ROUND(DI95*($AP$3+#REF!),-1),""))</f>
        <v/>
      </c>
      <c r="DK95" s="503"/>
      <c r="DL95" s="503" t="str">
        <f>IF($G95="","",IF(AND($G95&gt;=30,$AT$3&lt;=DK$7),ROUND(DK95*($AP$3+#REF!),-1),""))</f>
        <v/>
      </c>
      <c r="DM95" s="503"/>
      <c r="DN95" s="503" t="str">
        <f>IF($G95="","",IF(AND($G95&gt;=30,$AT$3&lt;=DM$7),ROUND(DM95*($AP$3+#REF!),-1),""))</f>
        <v/>
      </c>
      <c r="DO95" s="503"/>
      <c r="DP95" s="503" t="str">
        <f>IF($G95="","",IF(AND($G95&gt;=30,$AT$3&lt;=DO$7),ROUND(DO95*($AP$3+#REF!),-1),""))</f>
        <v/>
      </c>
      <c r="DQ95" s="503"/>
      <c r="DR95" s="503" t="str">
        <f>IF($G95="","",IF(AND($G95&gt;=30,$AT$3&lt;=DQ$7),ROUND(DQ95*($AP$3+#REF!),-1),""))</f>
        <v/>
      </c>
      <c r="DS95" s="503"/>
      <c r="DT95" s="503" t="str">
        <f>IF($G95="","",IF(AND($G95&gt;=30,$AT$3&lt;=DS$7),ROUND(DS95*($AP$3+#REF!),-1),""))</f>
        <v/>
      </c>
      <c r="DU95" s="503"/>
      <c r="DV95" s="503" t="str">
        <f>IF($G95="","",IF(AND($G95&gt;=30,$AT$3&lt;=DU$7),ROUND(DU95*($AP$3+#REF!),-1),""))</f>
        <v/>
      </c>
      <c r="DW95" s="503"/>
      <c r="DX95" s="503" t="str">
        <f>IF($G95="","",IF(AND($G95&gt;=30,$AT$3&lt;=DW$7),ROUND(DW95*($AP$3+#REF!),-1),""))</f>
        <v/>
      </c>
      <c r="DY95" s="503"/>
      <c r="DZ95" s="503" t="str">
        <f>IF($G95="","",IF(AND($G95&gt;=30,$AT$3&lt;=DY$7),ROUND(DY95*($AP$3+#REF!),-1),""))</f>
        <v/>
      </c>
      <c r="EA95" s="503"/>
      <c r="EB95" s="503" t="str">
        <f>IF($G95="","",IF(AND($G95&gt;=30,$AT$3&lt;=EA$7),ROUND(EA95*($AP$3+#REF!),-1),""))</f>
        <v/>
      </c>
      <c r="EC95" s="504" t="s">
        <v>621</v>
      </c>
      <c r="ED95" s="1126"/>
      <c r="EE95" s="325">
        <v>3</v>
      </c>
    </row>
    <row r="96" spans="1:135" ht="9.75" customHeight="1">
      <c r="A96" s="321" t="str">
        <f t="shared" si="21"/>
        <v/>
      </c>
      <c r="B96" s="567" t="e">
        <f>(ii!$D$13*12+V96)+1</f>
        <v>#REF!</v>
      </c>
      <c r="C96" s="337">
        <f t="shared" si="30"/>
        <v>45046</v>
      </c>
      <c r="D96" s="484">
        <f t="shared" si="25"/>
        <v>2023</v>
      </c>
      <c r="E96" s="484">
        <f t="shared" si="26"/>
        <v>0.33333333333333331</v>
      </c>
      <c r="F96" s="484">
        <f t="shared" si="27"/>
        <v>2023.3333333333333</v>
      </c>
      <c r="G96" s="485" t="str">
        <f>IF(OR(C96&lt;$I$2,C96&gt;$J$3),"",(ii!$D$13*12+V96+1)/12)</f>
        <v/>
      </c>
      <c r="H96" s="486"/>
      <c r="I96" s="486"/>
      <c r="J96" s="487"/>
      <c r="K96" s="488"/>
      <c r="L96" s="548"/>
      <c r="M96" s="489" t="str">
        <f t="shared" si="32"/>
        <v/>
      </c>
      <c r="N96" s="490" t="s">
        <v>621</v>
      </c>
      <c r="O96" s="490" t="str">
        <f t="shared" si="28"/>
        <v/>
      </c>
      <c r="P96" s="491"/>
      <c r="Q96" s="491"/>
      <c r="R96" s="491" t="str">
        <f t="shared" si="29"/>
        <v/>
      </c>
      <c r="S96" s="528" t="str">
        <f t="shared" si="24"/>
        <v/>
      </c>
      <c r="T96" s="528" t="str">
        <f t="shared" si="23"/>
        <v/>
      </c>
      <c r="U96" s="493" t="str">
        <f>IF(H96="","",#REF!*12+#REF!+#REF!*12+#REF!)</f>
        <v/>
      </c>
      <c r="V96" s="338" t="e">
        <f>IF(ii!$J$3&gt;gg!C96,"",IF(AND((YEAR(C96)=YEAR($I$2)),MONTH(C96)=MONTH($I$2)),ii!$B$14*12+ii!$C$14+ii!$B$15*12+ii!$C$15-1,V95+1))</f>
        <v>#REF!</v>
      </c>
      <c r="W96" s="339" t="e">
        <f t="shared" si="31"/>
        <v>#REF!</v>
      </c>
      <c r="X96" s="494" t="s">
        <v>621</v>
      </c>
      <c r="Y96" s="495" t="s">
        <v>621</v>
      </c>
      <c r="Z96" s="496"/>
      <c r="AA96" s="497"/>
      <c r="AB96" s="498" t="str">
        <f t="shared" si="35"/>
        <v/>
      </c>
      <c r="AC96" s="484" t="str">
        <f t="shared" si="33"/>
        <v/>
      </c>
      <c r="AD96" s="495" t="str">
        <f t="shared" si="34"/>
        <v/>
      </c>
      <c r="AE96" s="499" t="s">
        <v>621</v>
      </c>
      <c r="AF96" s="500" t="s">
        <v>621</v>
      </c>
      <c r="AG96" s="556" t="s">
        <v>621</v>
      </c>
      <c r="AH96" s="503" t="str">
        <f>IF($G96="","",IF(AND($G96&gt;=30,$AT$3&lt;=AG$7),ROUND(AG96*($AP$3+#REF!),-1),""))</f>
        <v/>
      </c>
      <c r="AI96" s="506" t="s">
        <v>621</v>
      </c>
      <c r="AJ96" s="503" t="str">
        <f>IF($G96="","",IF(AND($G96&gt;=30,$AT$3&lt;=AI$7),ROUND(AI96*($AP$3+#REF!),-1),""))</f>
        <v/>
      </c>
      <c r="AK96" s="506" t="s">
        <v>621</v>
      </c>
      <c r="AL96" s="503" t="str">
        <f>IF($G96="","",IF(AND($G96&gt;=30,$AT$3&lt;=AK$7),ROUND(AK96*($AP$3+#REF!),-1),""))</f>
        <v/>
      </c>
      <c r="AM96" s="506" t="s">
        <v>621</v>
      </c>
      <c r="AN96" s="503" t="str">
        <f>IF($G96="","",IF(AND($G96&gt;=30,$AT$3&lt;=AM$7),ROUND(AM96*($AP$3+#REF!),-1),""))</f>
        <v/>
      </c>
      <c r="AO96" s="503" t="e">
        <v>#REF!</v>
      </c>
      <c r="AP96" s="503" t="str">
        <f>IF($G96="","",IF(AND($G96&gt;=30,$AT$3&lt;=AO$7),ROUND(AO96*($AP$3+#REF!),-1),""))</f>
        <v/>
      </c>
      <c r="AQ96" s="503" t="s">
        <v>621</v>
      </c>
      <c r="AR96" s="503" t="str">
        <f>IF($G96="","",IF(AND($G96&gt;=30,$AT$3&lt;=AQ$7),ROUND(AQ96*($AP$3+#REF!),-1),""))</f>
        <v/>
      </c>
      <c r="AS96" s="503" t="s">
        <v>621</v>
      </c>
      <c r="AT96" s="503" t="str">
        <f>IF($G96="","",IF(AND($G96&gt;=30,$AT$3&lt;=AS$7),ROUND(AS96*($AP$3+#REF!),-1),""))</f>
        <v/>
      </c>
      <c r="AU96" s="517" t="e">
        <v>#REF!</v>
      </c>
      <c r="AV96" s="503" t="str">
        <f>IF($G96="","",IF(AND($G96&gt;=30,$AT$3&lt;=AU$7),ROUND(AU96*($AP$3+#REF!),-1),""))</f>
        <v/>
      </c>
      <c r="AW96" s="503"/>
      <c r="AX96" s="503" t="str">
        <f>IF($G96="","",IF(AND($G96&gt;=30,$AT$3&lt;=AW$7),ROUND(AW96*($AP$3+#REF!),-1),""))</f>
        <v/>
      </c>
      <c r="AY96" s="502"/>
      <c r="AZ96" s="503" t="str">
        <f>IF($G96="","",IF(AND($G96&gt;=30,$AT$3&lt;=AY$7),ROUND(AY96*($AP$3+#REF!),-1),""))</f>
        <v/>
      </c>
      <c r="BA96" s="503"/>
      <c r="BB96" s="503" t="str">
        <f>IF($G96="","",IF(AND($G96&gt;=30,$AT$3&lt;=BA$7),ROUND(BA96*($AP$3+#REF!),-1),""))</f>
        <v/>
      </c>
      <c r="BC96" s="502"/>
      <c r="BD96" s="503" t="str">
        <f>IF($G96="","",IF(AND($G96&gt;=30,$AT$3&lt;=BC$7),ROUND(BC96*($AP$3+#REF!),-1),""))</f>
        <v/>
      </c>
      <c r="BE96" s="503"/>
      <c r="BF96" s="503" t="str">
        <f>IF($G96="","",IF(AND($G96&gt;=30,$AT$3&lt;=BE$7),ROUND(BE96*($AP$3+#REF!),-1),""))</f>
        <v/>
      </c>
      <c r="BG96" s="502"/>
      <c r="BH96" s="503" t="str">
        <f>IF($G96="","",IF(AND($G96&gt;=30,$AT$3&lt;=BG$7),ROUND(BG96*($AP$3+#REF!),-1),""))</f>
        <v/>
      </c>
      <c r="BI96" s="503"/>
      <c r="BJ96" s="503" t="str">
        <f>IF($G96="","",IF(AND($G96&gt;=30,$AT$3&lt;=BI$7),ROUND(BI96*($AP$3+#REF!),-1),""))</f>
        <v/>
      </c>
      <c r="BK96" s="502"/>
      <c r="BL96" s="503" t="str">
        <f>IF($G96="","",IF(AND($G96&gt;=30,$AT$3&lt;=BK$7),ROUND(BK96*($AP$3+#REF!),-1),""))</f>
        <v/>
      </c>
      <c r="BM96" s="503"/>
      <c r="BN96" s="503" t="str">
        <f>IF($G96="","",IF(AND($G96&gt;=30,$AT$3&lt;=BM$7),ROUND(BM96*($AP$3+#REF!),-1),""))</f>
        <v/>
      </c>
      <c r="BO96" s="502"/>
      <c r="BP96" s="503" t="str">
        <f>IF($G96="","",IF(AND($G96&gt;=30,$AT$3&lt;=BO$7),ROUND(BO96*($AP$3+#REF!),-1),""))</f>
        <v/>
      </c>
      <c r="BQ96" s="503"/>
      <c r="BR96" s="503" t="str">
        <f>IF($G96="","",IF(AND($G96&gt;=30,$AT$3&lt;=BQ$7),ROUND(BQ96*($AP$3+#REF!),-1),""))</f>
        <v/>
      </c>
      <c r="BS96" s="502"/>
      <c r="BT96" s="503" t="str">
        <f>IF($G96="","",IF(AND($G96&gt;=30,$AT$3&lt;=BS$7),ROUND(BS96*($AP$3+#REF!),-1),""))</f>
        <v/>
      </c>
      <c r="BU96" s="503"/>
      <c r="BV96" s="503" t="str">
        <f>IF($G96="","",IF(AND($G96&gt;=30,$AT$3&lt;=BU$7),ROUND(BU96*($AP$3+#REF!),-1),""))</f>
        <v/>
      </c>
      <c r="BW96" s="502"/>
      <c r="BX96" s="503" t="str">
        <f>IF($G96="","",IF(AND($G96&gt;=30,$AT$3&lt;=BW$7),ROUND(BW96*($AP$3+#REF!),-1),""))</f>
        <v/>
      </c>
      <c r="BY96" s="503"/>
      <c r="BZ96" s="503" t="str">
        <f>IF($G96="","",IF(AND($G96&gt;=30,$AT$3&lt;=BY$7),ROUND(BY96*($AP$3+#REF!),-1),""))</f>
        <v/>
      </c>
      <c r="CA96" s="502"/>
      <c r="CB96" s="503" t="str">
        <f>IF($G96="","",IF(AND($G96&gt;=30,$AT$3&lt;=CA$7),ROUND(CA96*($AP$3+#REF!),-1),""))</f>
        <v/>
      </c>
      <c r="CC96" s="503"/>
      <c r="CD96" s="503" t="str">
        <f>IF($G96="","",IF(AND($G96&gt;=30,$AT$3&lt;=CC$7),ROUND(CC96*($AP$3+#REF!),-1),""))</f>
        <v/>
      </c>
      <c r="CE96" s="502"/>
      <c r="CF96" s="503" t="str">
        <f>IF($G96="","",IF(AND($G96&gt;=30,$AT$3&lt;=CE$7),ROUND(CE96*($AP$3+#REF!),-1),""))</f>
        <v/>
      </c>
      <c r="CG96" s="503"/>
      <c r="CH96" s="503" t="str">
        <f>IF($G96="","",IF(AND($G96&gt;=30,$AT$3&lt;=CG$7),ROUND(CG96*($AP$3+#REF!),-1),""))</f>
        <v/>
      </c>
      <c r="CI96" s="502"/>
      <c r="CJ96" s="503" t="str">
        <f>IF($G96="","",IF(AND($G96&gt;=30,$AT$3&lt;=CI$7),ROUND(CI96*($AP$3+#REF!),-1),""))</f>
        <v/>
      </c>
      <c r="CK96" s="503"/>
      <c r="CL96" s="503" t="str">
        <f>IF($G96="","",IF(AND($G96&gt;=30,$AT$3&lt;=CK$7),ROUND(CK96*($AP$3+#REF!),-1),""))</f>
        <v/>
      </c>
      <c r="CM96" s="502"/>
      <c r="CN96" s="503" t="str">
        <f>IF($G96="","",IF(AND($G96&gt;=30,$AT$3&lt;=CM$7),ROUND(CM96*($AP$3+#REF!),-1),""))</f>
        <v/>
      </c>
      <c r="CO96" s="503"/>
      <c r="CP96" s="503" t="str">
        <f>IF($G96="","",IF(AND($G96&gt;=30,$AT$3&lt;=CO$7),ROUND(CO96*($AP$3+#REF!),-1),""))</f>
        <v/>
      </c>
      <c r="CQ96" s="502"/>
      <c r="CR96" s="503" t="str">
        <f>IF($G96="","",IF(AND($G96&gt;=30,$AT$3&lt;=CQ$7),ROUND(CQ96*($AP$3+#REF!),-1),""))</f>
        <v/>
      </c>
      <c r="CS96" s="503"/>
      <c r="CT96" s="503" t="str">
        <f>IF($G96="","",IF(AND($G96&gt;=30,$AT$3&lt;=CS$7),ROUND(CS96*($AP$3+#REF!),-1),""))</f>
        <v/>
      </c>
      <c r="CU96" s="502"/>
      <c r="CV96" s="503" t="str">
        <f>IF($G96="","",IF(AND($G96&gt;=30,$AT$3&lt;=CU$7),ROUND(CU96*($AP$3+#REF!),-1),""))</f>
        <v/>
      </c>
      <c r="CW96" s="503"/>
      <c r="CX96" s="503" t="str">
        <f>IF($G96="","",IF(AND($G96&gt;=30,$AT$3&lt;=CW$7),ROUND(CW96*($AP$3+#REF!),-1),""))</f>
        <v/>
      </c>
      <c r="CY96" s="502"/>
      <c r="CZ96" s="503" t="str">
        <f>IF($G96="","",IF(AND($G96&gt;=30,$AT$3&lt;=CY$7),ROUND(CY96*($AP$3+#REF!),-1),""))</f>
        <v/>
      </c>
      <c r="DA96" s="503"/>
      <c r="DB96" s="503" t="str">
        <f>IF($G96="","",IF(AND($G96&gt;=30,$AT$3&lt;=DA$7),ROUND(DA96*($AP$3+#REF!),-1),""))</f>
        <v/>
      </c>
      <c r="DC96" s="502"/>
      <c r="DD96" s="503" t="str">
        <f>IF($G96="","",IF(AND($G96&gt;=30,$AT$3&lt;=DC$7),ROUND(DC96*($AP$3+#REF!),-1),""))</f>
        <v/>
      </c>
      <c r="DE96" s="503"/>
      <c r="DF96" s="503" t="str">
        <f>IF($G96="","",IF(AND($G96&gt;=30,$AT$3&lt;=DE$7),ROUND(DE96*($AP$3+#REF!),-1),""))</f>
        <v/>
      </c>
      <c r="DG96" s="503"/>
      <c r="DH96" s="503" t="str">
        <f>IF($G96="","",IF(AND($G96&gt;=30,$AT$3&lt;=DG$7),ROUND(DG96*($AP$3+#REF!),-1),""))</f>
        <v/>
      </c>
      <c r="DI96" s="503"/>
      <c r="DJ96" s="503" t="str">
        <f>IF($G96="","",IF(AND($G96&gt;=30,$AT$3&lt;=DI$7),ROUND(DI96*($AP$3+#REF!),-1),""))</f>
        <v/>
      </c>
      <c r="DK96" s="503"/>
      <c r="DL96" s="503" t="str">
        <f>IF($G96="","",IF(AND($G96&gt;=30,$AT$3&lt;=DK$7),ROUND(DK96*($AP$3+#REF!),-1),""))</f>
        <v/>
      </c>
      <c r="DM96" s="503"/>
      <c r="DN96" s="503" t="str">
        <f>IF($G96="","",IF(AND($G96&gt;=30,$AT$3&lt;=DM$7),ROUND(DM96*($AP$3+#REF!),-1),""))</f>
        <v/>
      </c>
      <c r="DO96" s="503"/>
      <c r="DP96" s="503" t="str">
        <f>IF($G96="","",IF(AND($G96&gt;=30,$AT$3&lt;=DO$7),ROUND(DO96*($AP$3+#REF!),-1),""))</f>
        <v/>
      </c>
      <c r="DQ96" s="503"/>
      <c r="DR96" s="503" t="str">
        <f>IF($G96="","",IF(AND($G96&gt;=30,$AT$3&lt;=DQ$7),ROUND(DQ96*($AP$3+#REF!),-1),""))</f>
        <v/>
      </c>
      <c r="DS96" s="503"/>
      <c r="DT96" s="503" t="str">
        <f>IF($G96="","",IF(AND($G96&gt;=30,$AT$3&lt;=DS$7),ROUND(DS96*($AP$3+#REF!),-1),""))</f>
        <v/>
      </c>
      <c r="DU96" s="503"/>
      <c r="DV96" s="503" t="str">
        <f>IF($G96="","",IF(AND($G96&gt;=30,$AT$3&lt;=DU$7),ROUND(DU96*($AP$3+#REF!),-1),""))</f>
        <v/>
      </c>
      <c r="DW96" s="503"/>
      <c r="DX96" s="503" t="str">
        <f>IF($G96="","",IF(AND($G96&gt;=30,$AT$3&lt;=DW$7),ROUND(DW96*($AP$3+#REF!),-1),""))</f>
        <v/>
      </c>
      <c r="DY96" s="503"/>
      <c r="DZ96" s="503" t="str">
        <f>IF($G96="","",IF(AND($G96&gt;=30,$AT$3&lt;=DY$7),ROUND(DY96*($AP$3+#REF!),-1),""))</f>
        <v/>
      </c>
      <c r="EA96" s="503"/>
      <c r="EB96" s="503" t="str">
        <f>IF($G96="","",IF(AND($G96&gt;=30,$AT$3&lt;=EA$7),ROUND(EA96*($AP$3+#REF!),-1),""))</f>
        <v/>
      </c>
      <c r="EC96" s="504" t="s">
        <v>621</v>
      </c>
      <c r="ED96" s="1126"/>
      <c r="EE96" s="325">
        <v>4</v>
      </c>
    </row>
    <row r="97" spans="1:135" ht="9.75" customHeight="1">
      <c r="A97" s="321" t="str">
        <f t="shared" si="21"/>
        <v/>
      </c>
      <c r="B97" s="567" t="e">
        <f>(ii!$D$13*12+V97)+1</f>
        <v>#REF!</v>
      </c>
      <c r="C97" s="337">
        <f t="shared" si="30"/>
        <v>45077</v>
      </c>
      <c r="D97" s="484">
        <f t="shared" si="25"/>
        <v>2023</v>
      </c>
      <c r="E97" s="484">
        <f t="shared" si="26"/>
        <v>0.41666666666666669</v>
      </c>
      <c r="F97" s="484">
        <f t="shared" si="27"/>
        <v>2023.4166666666667</v>
      </c>
      <c r="G97" s="485" t="str">
        <f>IF(OR(C97&lt;$I$2,C97&gt;$J$3),"",(ii!$D$13*12+V97+1)/12)</f>
        <v/>
      </c>
      <c r="H97" s="486"/>
      <c r="I97" s="486"/>
      <c r="J97" s="507"/>
      <c r="K97" s="508"/>
      <c r="L97" s="548"/>
      <c r="M97" s="520" t="str">
        <f t="shared" si="32"/>
        <v/>
      </c>
      <c r="N97" s="490" t="s">
        <v>621</v>
      </c>
      <c r="O97" s="490" t="str">
        <f t="shared" si="28"/>
        <v/>
      </c>
      <c r="P97" s="507"/>
      <c r="Q97" s="507"/>
      <c r="R97" s="509" t="str">
        <f t="shared" si="29"/>
        <v/>
      </c>
      <c r="S97" s="550" t="str">
        <f t="shared" si="24"/>
        <v/>
      </c>
      <c r="T97" s="550" t="str">
        <f t="shared" si="23"/>
        <v/>
      </c>
      <c r="U97" s="521" t="str">
        <f>IF(H97="","",#REF!*12+#REF!+#REF!*12+#REF!)</f>
        <v/>
      </c>
      <c r="V97" s="338" t="e">
        <f>IF(ii!$J$3&gt;gg!C97,"",IF(AND((YEAR(C97)=YEAR($I$2)),MONTH(C97)=MONTH($I$2)),ii!$B$14*12+ii!$C$14+ii!$B$15*12+ii!$C$15-1,V96+1))</f>
        <v>#REF!</v>
      </c>
      <c r="W97" s="339" t="e">
        <f t="shared" si="31"/>
        <v>#REF!</v>
      </c>
      <c r="X97" s="494" t="s">
        <v>621</v>
      </c>
      <c r="Y97" s="495" t="s">
        <v>621</v>
      </c>
      <c r="Z97" s="496"/>
      <c r="AA97" s="497"/>
      <c r="AB97" s="523" t="str">
        <f t="shared" si="35"/>
        <v/>
      </c>
      <c r="AC97" s="551" t="str">
        <f t="shared" si="33"/>
        <v/>
      </c>
      <c r="AD97" s="524" t="str">
        <f t="shared" si="34"/>
        <v/>
      </c>
      <c r="AE97" s="525" t="s">
        <v>621</v>
      </c>
      <c r="AF97" s="500" t="s">
        <v>621</v>
      </c>
      <c r="AG97" s="556" t="s">
        <v>621</v>
      </c>
      <c r="AH97" s="503" t="str">
        <f>IF($G97="","",IF(AND($G97&gt;=30,$AT$3&lt;=AG$7),ROUND(AG97*($AP$3+#REF!),-1),""))</f>
        <v/>
      </c>
      <c r="AI97" s="506" t="s">
        <v>621</v>
      </c>
      <c r="AJ97" s="503" t="str">
        <f>IF($G97="","",IF(AND($G97&gt;=30,$AT$3&lt;=AI$7),ROUND(AI97*($AP$3+#REF!),-1),""))</f>
        <v/>
      </c>
      <c r="AK97" s="506" t="s">
        <v>621</v>
      </c>
      <c r="AL97" s="503" t="str">
        <f>IF($G97="","",IF(AND($G97&gt;=30,$AT$3&lt;=AK$7),ROUND(AK97*($AP$3+#REF!),-1),""))</f>
        <v/>
      </c>
      <c r="AM97" s="506" t="s">
        <v>621</v>
      </c>
      <c r="AN97" s="503" t="str">
        <f>IF($G97="","",IF(AND($G97&gt;=30,$AT$3&lt;=AM$7),ROUND(AM97*($AP$3+#REF!),-1),""))</f>
        <v/>
      </c>
      <c r="AO97" s="503" t="e">
        <v>#REF!</v>
      </c>
      <c r="AP97" s="503" t="str">
        <f>IF($G97="","",IF(AND($G97&gt;=30,$AT$3&lt;=AO$7),ROUND(AO97*($AP$3+#REF!),-1),""))</f>
        <v/>
      </c>
      <c r="AQ97" s="503" t="s">
        <v>621</v>
      </c>
      <c r="AR97" s="503" t="str">
        <f>IF($G97="","",IF(AND($G97&gt;=30,$AT$3&lt;=AQ$7),ROUND(AQ97*($AP$3+#REF!),-1),""))</f>
        <v/>
      </c>
      <c r="AS97" s="503" t="s">
        <v>621</v>
      </c>
      <c r="AT97" s="503" t="str">
        <f>IF($G97="","",IF(AND($G97&gt;=30,$AT$3&lt;=AS$7),ROUND(AS97*($AP$3+#REF!),-1),""))</f>
        <v/>
      </c>
      <c r="AU97" s="517" t="e">
        <v>#REF!</v>
      </c>
      <c r="AV97" s="503" t="str">
        <f>IF($G97="","",IF(AND($G97&gt;=30,$AT$3&lt;=AU$7),ROUND(AU97*($AP$3+#REF!),-1),""))</f>
        <v/>
      </c>
      <c r="AW97" s="503"/>
      <c r="AX97" s="503" t="str">
        <f>IF($G97="","",IF(AND($G97&gt;=30,$AT$3&lt;=AW$7),ROUND(AW97*($AP$3+#REF!),-1),""))</f>
        <v/>
      </c>
      <c r="AY97" s="502"/>
      <c r="AZ97" s="503" t="str">
        <f>IF($G97="","",IF(AND($G97&gt;=30,$AT$3&lt;=AY$7),ROUND(AY97*($AP$3+#REF!),-1),""))</f>
        <v/>
      </c>
      <c r="BA97" s="503"/>
      <c r="BB97" s="503" t="str">
        <f>IF($G97="","",IF(AND($G97&gt;=30,$AT$3&lt;=BA$7),ROUND(BA97*($AP$3+#REF!),-1),""))</f>
        <v/>
      </c>
      <c r="BC97" s="502"/>
      <c r="BD97" s="503" t="str">
        <f>IF($G97="","",IF(AND($G97&gt;=30,$AT$3&lt;=BC$7),ROUND(BC97*($AP$3+#REF!),-1),""))</f>
        <v/>
      </c>
      <c r="BE97" s="503"/>
      <c r="BF97" s="503" t="str">
        <f>IF($G97="","",IF(AND($G97&gt;=30,$AT$3&lt;=BE$7),ROUND(BE97*($AP$3+#REF!),-1),""))</f>
        <v/>
      </c>
      <c r="BG97" s="502"/>
      <c r="BH97" s="503" t="str">
        <f>IF($G97="","",IF(AND($G97&gt;=30,$AT$3&lt;=BG$7),ROUND(BG97*($AP$3+#REF!),-1),""))</f>
        <v/>
      </c>
      <c r="BI97" s="503"/>
      <c r="BJ97" s="503" t="str">
        <f>IF($G97="","",IF(AND($G97&gt;=30,$AT$3&lt;=BI$7),ROUND(BI97*($AP$3+#REF!),-1),""))</f>
        <v/>
      </c>
      <c r="BK97" s="502"/>
      <c r="BL97" s="503" t="str">
        <f>IF($G97="","",IF(AND($G97&gt;=30,$AT$3&lt;=BK$7),ROUND(BK97*($AP$3+#REF!),-1),""))</f>
        <v/>
      </c>
      <c r="BM97" s="503"/>
      <c r="BN97" s="503" t="str">
        <f>IF($G97="","",IF(AND($G97&gt;=30,$AT$3&lt;=BM$7),ROUND(BM97*($AP$3+#REF!),-1),""))</f>
        <v/>
      </c>
      <c r="BO97" s="502"/>
      <c r="BP97" s="503" t="str">
        <f>IF($G97="","",IF(AND($G97&gt;=30,$AT$3&lt;=BO$7),ROUND(BO97*($AP$3+#REF!),-1),""))</f>
        <v/>
      </c>
      <c r="BQ97" s="503"/>
      <c r="BR97" s="503" t="str">
        <f>IF($G97="","",IF(AND($G97&gt;=30,$AT$3&lt;=BQ$7),ROUND(BQ97*($AP$3+#REF!),-1),""))</f>
        <v/>
      </c>
      <c r="BS97" s="502"/>
      <c r="BT97" s="503" t="str">
        <f>IF($G97="","",IF(AND($G97&gt;=30,$AT$3&lt;=BS$7),ROUND(BS97*($AP$3+#REF!),-1),""))</f>
        <v/>
      </c>
      <c r="BU97" s="503"/>
      <c r="BV97" s="503" t="str">
        <f>IF($G97="","",IF(AND($G97&gt;=30,$AT$3&lt;=BU$7),ROUND(BU97*($AP$3+#REF!),-1),""))</f>
        <v/>
      </c>
      <c r="BW97" s="502"/>
      <c r="BX97" s="503" t="str">
        <f>IF($G97="","",IF(AND($G97&gt;=30,$AT$3&lt;=BW$7),ROUND(BW97*($AP$3+#REF!),-1),""))</f>
        <v/>
      </c>
      <c r="BY97" s="503"/>
      <c r="BZ97" s="503" t="str">
        <f>IF($G97="","",IF(AND($G97&gt;=30,$AT$3&lt;=BY$7),ROUND(BY97*($AP$3+#REF!),-1),""))</f>
        <v/>
      </c>
      <c r="CA97" s="502"/>
      <c r="CB97" s="503" t="str">
        <f>IF($G97="","",IF(AND($G97&gt;=30,$AT$3&lt;=CA$7),ROUND(CA97*($AP$3+#REF!),-1),""))</f>
        <v/>
      </c>
      <c r="CC97" s="503"/>
      <c r="CD97" s="503" t="str">
        <f>IF($G97="","",IF(AND($G97&gt;=30,$AT$3&lt;=CC$7),ROUND(CC97*($AP$3+#REF!),-1),""))</f>
        <v/>
      </c>
      <c r="CE97" s="502"/>
      <c r="CF97" s="503" t="str">
        <f>IF($G97="","",IF(AND($G97&gt;=30,$AT$3&lt;=CE$7),ROUND(CE97*($AP$3+#REF!),-1),""))</f>
        <v/>
      </c>
      <c r="CG97" s="503"/>
      <c r="CH97" s="503" t="str">
        <f>IF($G97="","",IF(AND($G97&gt;=30,$AT$3&lt;=CG$7),ROUND(CG97*($AP$3+#REF!),-1),""))</f>
        <v/>
      </c>
      <c r="CI97" s="502"/>
      <c r="CJ97" s="503" t="str">
        <f>IF($G97="","",IF(AND($G97&gt;=30,$AT$3&lt;=CI$7),ROUND(CI97*($AP$3+#REF!),-1),""))</f>
        <v/>
      </c>
      <c r="CK97" s="503"/>
      <c r="CL97" s="503" t="str">
        <f>IF($G97="","",IF(AND($G97&gt;=30,$AT$3&lt;=CK$7),ROUND(CK97*($AP$3+#REF!),-1),""))</f>
        <v/>
      </c>
      <c r="CM97" s="502"/>
      <c r="CN97" s="503" t="str">
        <f>IF($G97="","",IF(AND($G97&gt;=30,$AT$3&lt;=CM$7),ROUND(CM97*($AP$3+#REF!),-1),""))</f>
        <v/>
      </c>
      <c r="CO97" s="503"/>
      <c r="CP97" s="503" t="str">
        <f>IF($G97="","",IF(AND($G97&gt;=30,$AT$3&lt;=CO$7),ROUND(CO97*($AP$3+#REF!),-1),""))</f>
        <v/>
      </c>
      <c r="CQ97" s="502"/>
      <c r="CR97" s="503" t="str">
        <f>IF($G97="","",IF(AND($G97&gt;=30,$AT$3&lt;=CQ$7),ROUND(CQ97*($AP$3+#REF!),-1),""))</f>
        <v/>
      </c>
      <c r="CS97" s="503"/>
      <c r="CT97" s="503" t="str">
        <f>IF($G97="","",IF(AND($G97&gt;=30,$AT$3&lt;=CS$7),ROUND(CS97*($AP$3+#REF!),-1),""))</f>
        <v/>
      </c>
      <c r="CU97" s="502"/>
      <c r="CV97" s="503" t="str">
        <f>IF($G97="","",IF(AND($G97&gt;=30,$AT$3&lt;=CU$7),ROUND(CU97*($AP$3+#REF!),-1),""))</f>
        <v/>
      </c>
      <c r="CW97" s="503"/>
      <c r="CX97" s="503" t="str">
        <f>IF($G97="","",IF(AND($G97&gt;=30,$AT$3&lt;=CW$7),ROUND(CW97*($AP$3+#REF!),-1),""))</f>
        <v/>
      </c>
      <c r="CY97" s="502"/>
      <c r="CZ97" s="503" t="str">
        <f>IF($G97="","",IF(AND($G97&gt;=30,$AT$3&lt;=CY$7),ROUND(CY97*($AP$3+#REF!),-1),""))</f>
        <v/>
      </c>
      <c r="DA97" s="503"/>
      <c r="DB97" s="503" t="str">
        <f>IF($G97="","",IF(AND($G97&gt;=30,$AT$3&lt;=DA$7),ROUND(DA97*($AP$3+#REF!),-1),""))</f>
        <v/>
      </c>
      <c r="DC97" s="502"/>
      <c r="DD97" s="503" t="str">
        <f>IF($G97="","",IF(AND($G97&gt;=30,$AT$3&lt;=DC$7),ROUND(DC97*($AP$3+#REF!),-1),""))</f>
        <v/>
      </c>
      <c r="DE97" s="503"/>
      <c r="DF97" s="503" t="str">
        <f>IF($G97="","",IF(AND($G97&gt;=30,$AT$3&lt;=DE$7),ROUND(DE97*($AP$3+#REF!),-1),""))</f>
        <v/>
      </c>
      <c r="DG97" s="503"/>
      <c r="DH97" s="503" t="str">
        <f>IF($G97="","",IF(AND($G97&gt;=30,$AT$3&lt;=DG$7),ROUND(DG97*($AP$3+#REF!),-1),""))</f>
        <v/>
      </c>
      <c r="DI97" s="503"/>
      <c r="DJ97" s="503" t="str">
        <f>IF($G97="","",IF(AND($G97&gt;=30,$AT$3&lt;=DI$7),ROUND(DI97*($AP$3+#REF!),-1),""))</f>
        <v/>
      </c>
      <c r="DK97" s="503"/>
      <c r="DL97" s="503" t="str">
        <f>IF($G97="","",IF(AND($G97&gt;=30,$AT$3&lt;=DK$7),ROUND(DK97*($AP$3+#REF!),-1),""))</f>
        <v/>
      </c>
      <c r="DM97" s="503"/>
      <c r="DN97" s="503" t="str">
        <f>IF($G97="","",IF(AND($G97&gt;=30,$AT$3&lt;=DM$7),ROUND(DM97*($AP$3+#REF!),-1),""))</f>
        <v/>
      </c>
      <c r="DO97" s="503"/>
      <c r="DP97" s="503" t="str">
        <f>IF($G97="","",IF(AND($G97&gt;=30,$AT$3&lt;=DO$7),ROUND(DO97*($AP$3+#REF!),-1),""))</f>
        <v/>
      </c>
      <c r="DQ97" s="503"/>
      <c r="DR97" s="503" t="str">
        <f>IF($G97="","",IF(AND($G97&gt;=30,$AT$3&lt;=DQ$7),ROUND(DQ97*($AP$3+#REF!),-1),""))</f>
        <v/>
      </c>
      <c r="DS97" s="503"/>
      <c r="DT97" s="503" t="str">
        <f>IF($G97="","",IF(AND($G97&gt;=30,$AT$3&lt;=DS$7),ROUND(DS97*($AP$3+#REF!),-1),""))</f>
        <v/>
      </c>
      <c r="DU97" s="503"/>
      <c r="DV97" s="503" t="str">
        <f>IF($G97="","",IF(AND($G97&gt;=30,$AT$3&lt;=DU$7),ROUND(DU97*($AP$3+#REF!),-1),""))</f>
        <v/>
      </c>
      <c r="DW97" s="503"/>
      <c r="DX97" s="503" t="str">
        <f>IF($G97="","",IF(AND($G97&gt;=30,$AT$3&lt;=DW$7),ROUND(DW97*($AP$3+#REF!),-1),""))</f>
        <v/>
      </c>
      <c r="DY97" s="503"/>
      <c r="DZ97" s="503" t="str">
        <f>IF($G97="","",IF(AND($G97&gt;=30,$AT$3&lt;=DY$7),ROUND(DY97*($AP$3+#REF!),-1),""))</f>
        <v/>
      </c>
      <c r="EA97" s="503"/>
      <c r="EB97" s="503" t="str">
        <f>IF($G97="","",IF(AND($G97&gt;=30,$AT$3&lt;=EA$7),ROUND(EA97*($AP$3+#REF!),-1),""))</f>
        <v/>
      </c>
      <c r="EC97" s="504" t="s">
        <v>621</v>
      </c>
      <c r="ED97" s="1126"/>
      <c r="EE97" s="325">
        <v>5</v>
      </c>
    </row>
    <row r="98" spans="1:135" ht="9.75" customHeight="1">
      <c r="A98" s="321" t="str">
        <f t="shared" si="21"/>
        <v/>
      </c>
      <c r="B98" s="567" t="e">
        <f>(ii!$D$13*12+V98)+1</f>
        <v>#REF!</v>
      </c>
      <c r="C98" s="337">
        <f t="shared" si="30"/>
        <v>45107</v>
      </c>
      <c r="D98" s="484">
        <f t="shared" si="25"/>
        <v>2023</v>
      </c>
      <c r="E98" s="484">
        <f t="shared" si="26"/>
        <v>0.5</v>
      </c>
      <c r="F98" s="484">
        <f t="shared" si="27"/>
        <v>2023.5</v>
      </c>
      <c r="G98" s="485" t="str">
        <f>IF(OR(C98&lt;$I$2,C98&gt;$J$3),"",(ii!$D$13*12+V98+1)/12)</f>
        <v/>
      </c>
      <c r="H98" s="486"/>
      <c r="I98" s="486"/>
      <c r="J98" s="487"/>
      <c r="K98" s="488"/>
      <c r="L98" s="548"/>
      <c r="M98" s="489" t="str">
        <f t="shared" si="32"/>
        <v/>
      </c>
      <c r="N98" s="490" t="s">
        <v>621</v>
      </c>
      <c r="O98" s="490" t="str">
        <f t="shared" si="28"/>
        <v/>
      </c>
      <c r="P98" s="491"/>
      <c r="Q98" s="491"/>
      <c r="R98" s="491" t="str">
        <f t="shared" si="29"/>
        <v/>
      </c>
      <c r="S98" s="528" t="str">
        <f t="shared" si="24"/>
        <v/>
      </c>
      <c r="T98" s="528" t="str">
        <f t="shared" si="23"/>
        <v/>
      </c>
      <c r="U98" s="493" t="str">
        <f>IF(H98="","",#REF!*12+#REF!+#REF!*12+#REF!)</f>
        <v/>
      </c>
      <c r="V98" s="338" t="e">
        <f>IF(ii!$J$3&gt;gg!C98,"",IF(AND((YEAR(C98)=YEAR($I$2)),MONTH(C98)=MONTH($I$2)),ii!$B$14*12+ii!$C$14+ii!$B$15*12+ii!$C$15-1,V97+1))</f>
        <v>#REF!</v>
      </c>
      <c r="W98" s="339" t="e">
        <f t="shared" si="31"/>
        <v>#REF!</v>
      </c>
      <c r="X98" s="494" t="s">
        <v>621</v>
      </c>
      <c r="Y98" s="495" t="s">
        <v>621</v>
      </c>
      <c r="Z98" s="496"/>
      <c r="AA98" s="497"/>
      <c r="AB98" s="498" t="str">
        <f t="shared" si="35"/>
        <v/>
      </c>
      <c r="AC98" s="484" t="str">
        <f t="shared" si="33"/>
        <v/>
      </c>
      <c r="AD98" s="495" t="str">
        <f t="shared" si="34"/>
        <v/>
      </c>
      <c r="AE98" s="499" t="s">
        <v>621</v>
      </c>
      <c r="AF98" s="500" t="s">
        <v>621</v>
      </c>
      <c r="AG98" s="556" t="s">
        <v>621</v>
      </c>
      <c r="AH98" s="503" t="str">
        <f>IF($G98="","",IF(AND($G98&gt;=30,$AT$3&lt;=AG$7),ROUND(AG98*($AP$3+#REF!),-1),""))</f>
        <v/>
      </c>
      <c r="AI98" s="506" t="s">
        <v>621</v>
      </c>
      <c r="AJ98" s="503" t="str">
        <f>IF($G98="","",IF(AND($G98&gt;=30,$AT$3&lt;=AI$7),ROUND(AI98*($AP$3+#REF!),-1),""))</f>
        <v/>
      </c>
      <c r="AK98" s="506" t="s">
        <v>621</v>
      </c>
      <c r="AL98" s="503" t="str">
        <f>IF($G98="","",IF(AND($G98&gt;=30,$AT$3&lt;=AK$7),ROUND(AK98*($AP$3+#REF!),-1),""))</f>
        <v/>
      </c>
      <c r="AM98" s="506" t="s">
        <v>621</v>
      </c>
      <c r="AN98" s="503" t="str">
        <f>IF($G98="","",IF(AND($G98&gt;=30,$AT$3&lt;=AM$7),ROUND(AM98*($AP$3+#REF!),-1),""))</f>
        <v/>
      </c>
      <c r="AO98" s="503" t="e">
        <v>#REF!</v>
      </c>
      <c r="AP98" s="503" t="str">
        <f>IF($G98="","",IF(AND($G98&gt;=30,$AT$3&lt;=AO$7),ROUND(AO98*($AP$3+#REF!),-1),""))</f>
        <v/>
      </c>
      <c r="AQ98" s="503" t="s">
        <v>621</v>
      </c>
      <c r="AR98" s="503" t="str">
        <f>IF($G98="","",IF(AND($G98&gt;=30,$AT$3&lt;=AQ$7),ROUND(AQ98*($AP$3+#REF!),-1),""))</f>
        <v/>
      </c>
      <c r="AS98" s="503" t="s">
        <v>621</v>
      </c>
      <c r="AT98" s="503" t="str">
        <f>IF($G98="","",IF(AND($G98&gt;=30,$AT$3&lt;=AS$7),ROUND(AS98*($AP$3+#REF!),-1),""))</f>
        <v/>
      </c>
      <c r="AU98" s="517" t="e">
        <v>#REF!</v>
      </c>
      <c r="AV98" s="503" t="str">
        <f>IF($G98="","",IF(AND($G98&gt;=30,$AT$3&lt;=AU$7),ROUND(AU98*($AP$3+#REF!),-1),""))</f>
        <v/>
      </c>
      <c r="AW98" s="503"/>
      <c r="AX98" s="503" t="str">
        <f>IF($G98="","",IF(AND($G98&gt;=30,$AT$3&lt;=AW$7),ROUND(AW98*($AP$3+#REF!),-1),""))</f>
        <v/>
      </c>
      <c r="AY98" s="502"/>
      <c r="AZ98" s="503" t="str">
        <f>IF($G98="","",IF(AND($G98&gt;=30,$AT$3&lt;=AY$7),ROUND(AY98*($AP$3+#REF!),-1),""))</f>
        <v/>
      </c>
      <c r="BA98" s="503"/>
      <c r="BB98" s="503" t="str">
        <f>IF($G98="","",IF(AND($G98&gt;=30,$AT$3&lt;=BA$7),ROUND(BA98*($AP$3+#REF!),-1),""))</f>
        <v/>
      </c>
      <c r="BC98" s="502"/>
      <c r="BD98" s="503" t="str">
        <f>IF($G98="","",IF(AND($G98&gt;=30,$AT$3&lt;=BC$7),ROUND(BC98*($AP$3+#REF!),-1),""))</f>
        <v/>
      </c>
      <c r="BE98" s="503"/>
      <c r="BF98" s="503" t="str">
        <f>IF($G98="","",IF(AND($G98&gt;=30,$AT$3&lt;=BE$7),ROUND(BE98*($AP$3+#REF!),-1),""))</f>
        <v/>
      </c>
      <c r="BG98" s="502"/>
      <c r="BH98" s="503" t="str">
        <f>IF($G98="","",IF(AND($G98&gt;=30,$AT$3&lt;=BG$7),ROUND(BG98*($AP$3+#REF!),-1),""))</f>
        <v/>
      </c>
      <c r="BI98" s="503"/>
      <c r="BJ98" s="503" t="str">
        <f>IF($G98="","",IF(AND($G98&gt;=30,$AT$3&lt;=BI$7),ROUND(BI98*($AP$3+#REF!),-1),""))</f>
        <v/>
      </c>
      <c r="BK98" s="502"/>
      <c r="BL98" s="503" t="str">
        <f>IF($G98="","",IF(AND($G98&gt;=30,$AT$3&lt;=BK$7),ROUND(BK98*($AP$3+#REF!),-1),""))</f>
        <v/>
      </c>
      <c r="BM98" s="503"/>
      <c r="BN98" s="503" t="str">
        <f>IF($G98="","",IF(AND($G98&gt;=30,$AT$3&lt;=BM$7),ROUND(BM98*($AP$3+#REF!),-1),""))</f>
        <v/>
      </c>
      <c r="BO98" s="502"/>
      <c r="BP98" s="503" t="str">
        <f>IF($G98="","",IF(AND($G98&gt;=30,$AT$3&lt;=BO$7),ROUND(BO98*($AP$3+#REF!),-1),""))</f>
        <v/>
      </c>
      <c r="BQ98" s="503"/>
      <c r="BR98" s="503" t="str">
        <f>IF($G98="","",IF(AND($G98&gt;=30,$AT$3&lt;=BQ$7),ROUND(BQ98*($AP$3+#REF!),-1),""))</f>
        <v/>
      </c>
      <c r="BS98" s="502"/>
      <c r="BT98" s="503" t="str">
        <f>IF($G98="","",IF(AND($G98&gt;=30,$AT$3&lt;=BS$7),ROUND(BS98*($AP$3+#REF!),-1),""))</f>
        <v/>
      </c>
      <c r="BU98" s="503"/>
      <c r="BV98" s="503" t="str">
        <f>IF($G98="","",IF(AND($G98&gt;=30,$AT$3&lt;=BU$7),ROUND(BU98*($AP$3+#REF!),-1),""))</f>
        <v/>
      </c>
      <c r="BW98" s="502"/>
      <c r="BX98" s="503" t="str">
        <f>IF($G98="","",IF(AND($G98&gt;=30,$AT$3&lt;=BW$7),ROUND(BW98*($AP$3+#REF!),-1),""))</f>
        <v/>
      </c>
      <c r="BY98" s="503"/>
      <c r="BZ98" s="503" t="str">
        <f>IF($G98="","",IF(AND($G98&gt;=30,$AT$3&lt;=BY$7),ROUND(BY98*($AP$3+#REF!),-1),""))</f>
        <v/>
      </c>
      <c r="CA98" s="502"/>
      <c r="CB98" s="503" t="str">
        <f>IF($G98="","",IF(AND($G98&gt;=30,$AT$3&lt;=CA$7),ROUND(CA98*($AP$3+#REF!),-1),""))</f>
        <v/>
      </c>
      <c r="CC98" s="503"/>
      <c r="CD98" s="503" t="str">
        <f>IF($G98="","",IF(AND($G98&gt;=30,$AT$3&lt;=CC$7),ROUND(CC98*($AP$3+#REF!),-1),""))</f>
        <v/>
      </c>
      <c r="CE98" s="502"/>
      <c r="CF98" s="503" t="str">
        <f>IF($G98="","",IF(AND($G98&gt;=30,$AT$3&lt;=CE$7),ROUND(CE98*($AP$3+#REF!),-1),""))</f>
        <v/>
      </c>
      <c r="CG98" s="503"/>
      <c r="CH98" s="503" t="str">
        <f>IF($G98="","",IF(AND($G98&gt;=30,$AT$3&lt;=CG$7),ROUND(CG98*($AP$3+#REF!),-1),""))</f>
        <v/>
      </c>
      <c r="CI98" s="502"/>
      <c r="CJ98" s="503" t="str">
        <f>IF($G98="","",IF(AND($G98&gt;=30,$AT$3&lt;=CI$7),ROUND(CI98*($AP$3+#REF!),-1),""))</f>
        <v/>
      </c>
      <c r="CK98" s="503"/>
      <c r="CL98" s="503" t="str">
        <f>IF($G98="","",IF(AND($G98&gt;=30,$AT$3&lt;=CK$7),ROUND(CK98*($AP$3+#REF!),-1),""))</f>
        <v/>
      </c>
      <c r="CM98" s="502"/>
      <c r="CN98" s="503" t="str">
        <f>IF($G98="","",IF(AND($G98&gt;=30,$AT$3&lt;=CM$7),ROUND(CM98*($AP$3+#REF!),-1),""))</f>
        <v/>
      </c>
      <c r="CO98" s="503"/>
      <c r="CP98" s="503" t="str">
        <f>IF($G98="","",IF(AND($G98&gt;=30,$AT$3&lt;=CO$7),ROUND(CO98*($AP$3+#REF!),-1),""))</f>
        <v/>
      </c>
      <c r="CQ98" s="502"/>
      <c r="CR98" s="503" t="str">
        <f>IF($G98="","",IF(AND($G98&gt;=30,$AT$3&lt;=CQ$7),ROUND(CQ98*($AP$3+#REF!),-1),""))</f>
        <v/>
      </c>
      <c r="CS98" s="503"/>
      <c r="CT98" s="503" t="str">
        <f>IF($G98="","",IF(AND($G98&gt;=30,$AT$3&lt;=CS$7),ROUND(CS98*($AP$3+#REF!),-1),""))</f>
        <v/>
      </c>
      <c r="CU98" s="502"/>
      <c r="CV98" s="503" t="str">
        <f>IF($G98="","",IF(AND($G98&gt;=30,$AT$3&lt;=CU$7),ROUND(CU98*($AP$3+#REF!),-1),""))</f>
        <v/>
      </c>
      <c r="CW98" s="503"/>
      <c r="CX98" s="503" t="str">
        <f>IF($G98="","",IF(AND($G98&gt;=30,$AT$3&lt;=CW$7),ROUND(CW98*($AP$3+#REF!),-1),""))</f>
        <v/>
      </c>
      <c r="CY98" s="502"/>
      <c r="CZ98" s="503" t="str">
        <f>IF($G98="","",IF(AND($G98&gt;=30,$AT$3&lt;=CY$7),ROUND(CY98*($AP$3+#REF!),-1),""))</f>
        <v/>
      </c>
      <c r="DA98" s="503"/>
      <c r="DB98" s="503" t="str">
        <f>IF($G98="","",IF(AND($G98&gt;=30,$AT$3&lt;=DA$7),ROUND(DA98*($AP$3+#REF!),-1),""))</f>
        <v/>
      </c>
      <c r="DC98" s="502"/>
      <c r="DD98" s="503" t="str">
        <f>IF($G98="","",IF(AND($G98&gt;=30,$AT$3&lt;=DC$7),ROUND(DC98*($AP$3+#REF!),-1),""))</f>
        <v/>
      </c>
      <c r="DE98" s="503"/>
      <c r="DF98" s="503" t="str">
        <f>IF($G98="","",IF(AND($G98&gt;=30,$AT$3&lt;=DE$7),ROUND(DE98*($AP$3+#REF!),-1),""))</f>
        <v/>
      </c>
      <c r="DG98" s="503"/>
      <c r="DH98" s="503" t="str">
        <f>IF($G98="","",IF(AND($G98&gt;=30,$AT$3&lt;=DG$7),ROUND(DG98*($AP$3+#REF!),-1),""))</f>
        <v/>
      </c>
      <c r="DI98" s="503"/>
      <c r="DJ98" s="503" t="str">
        <f>IF($G98="","",IF(AND($G98&gt;=30,$AT$3&lt;=DI$7),ROUND(DI98*($AP$3+#REF!),-1),""))</f>
        <v/>
      </c>
      <c r="DK98" s="503"/>
      <c r="DL98" s="503" t="str">
        <f>IF($G98="","",IF(AND($G98&gt;=30,$AT$3&lt;=DK$7),ROUND(DK98*($AP$3+#REF!),-1),""))</f>
        <v/>
      </c>
      <c r="DM98" s="503"/>
      <c r="DN98" s="503" t="str">
        <f>IF($G98="","",IF(AND($G98&gt;=30,$AT$3&lt;=DM$7),ROUND(DM98*($AP$3+#REF!),-1),""))</f>
        <v/>
      </c>
      <c r="DO98" s="503"/>
      <c r="DP98" s="503" t="str">
        <f>IF($G98="","",IF(AND($G98&gt;=30,$AT$3&lt;=DO$7),ROUND(DO98*($AP$3+#REF!),-1),""))</f>
        <v/>
      </c>
      <c r="DQ98" s="503"/>
      <c r="DR98" s="503" t="str">
        <f>IF($G98="","",IF(AND($G98&gt;=30,$AT$3&lt;=DQ$7),ROUND(DQ98*($AP$3+#REF!),-1),""))</f>
        <v/>
      </c>
      <c r="DS98" s="503"/>
      <c r="DT98" s="503" t="str">
        <f>IF($G98="","",IF(AND($G98&gt;=30,$AT$3&lt;=DS$7),ROUND(DS98*($AP$3+#REF!),-1),""))</f>
        <v/>
      </c>
      <c r="DU98" s="503"/>
      <c r="DV98" s="503" t="str">
        <f>IF($G98="","",IF(AND($G98&gt;=30,$AT$3&lt;=DU$7),ROUND(DU98*($AP$3+#REF!),-1),""))</f>
        <v/>
      </c>
      <c r="DW98" s="503"/>
      <c r="DX98" s="503" t="str">
        <f>IF($G98="","",IF(AND($G98&gt;=30,$AT$3&lt;=DW$7),ROUND(DW98*($AP$3+#REF!),-1),""))</f>
        <v/>
      </c>
      <c r="DY98" s="503"/>
      <c r="DZ98" s="503" t="str">
        <f>IF($G98="","",IF(AND($G98&gt;=30,$AT$3&lt;=DY$7),ROUND(DY98*($AP$3+#REF!),-1),""))</f>
        <v/>
      </c>
      <c r="EA98" s="503"/>
      <c r="EB98" s="503" t="str">
        <f>IF($G98="","",IF(AND($G98&gt;=30,$AT$3&lt;=EA$7),ROUND(EA98*($AP$3+#REF!),-1),""))</f>
        <v/>
      </c>
      <c r="EC98" s="504" t="s">
        <v>621</v>
      </c>
      <c r="ED98" s="1126"/>
      <c r="EE98" s="325">
        <v>6</v>
      </c>
    </row>
    <row r="99" spans="1:135" ht="9.75" customHeight="1">
      <c r="A99" s="321" t="str">
        <f t="shared" si="21"/>
        <v/>
      </c>
      <c r="B99" s="567" t="e">
        <f>(ii!$D$13*12+V99)+1</f>
        <v>#REF!</v>
      </c>
      <c r="C99" s="337">
        <f t="shared" si="30"/>
        <v>45138</v>
      </c>
      <c r="D99" s="484">
        <f t="shared" si="25"/>
        <v>2023</v>
      </c>
      <c r="E99" s="484">
        <f t="shared" si="26"/>
        <v>0.58333333333333337</v>
      </c>
      <c r="F99" s="484">
        <f t="shared" si="27"/>
        <v>2023.5833333333333</v>
      </c>
      <c r="G99" s="485" t="str">
        <f>IF(OR(C99&lt;$I$2,C99&gt;$J$3),"",(ii!$D$13*12+V99+1)/12)</f>
        <v/>
      </c>
      <c r="H99" s="486"/>
      <c r="I99" s="486"/>
      <c r="J99" s="487"/>
      <c r="K99" s="488"/>
      <c r="L99" s="548"/>
      <c r="M99" s="489" t="str">
        <f t="shared" si="32"/>
        <v/>
      </c>
      <c r="N99" s="490" t="s">
        <v>621</v>
      </c>
      <c r="O99" s="490" t="str">
        <f t="shared" si="28"/>
        <v/>
      </c>
      <c r="P99" s="491"/>
      <c r="Q99" s="491"/>
      <c r="R99" s="491" t="str">
        <f t="shared" si="29"/>
        <v/>
      </c>
      <c r="S99" s="528" t="str">
        <f t="shared" si="24"/>
        <v/>
      </c>
      <c r="T99" s="528" t="str">
        <f t="shared" si="23"/>
        <v/>
      </c>
      <c r="U99" s="493" t="str">
        <f>IF(H99="","",#REF!*12+#REF!+#REF!*12+#REF!)</f>
        <v/>
      </c>
      <c r="V99" s="338" t="e">
        <f>IF(ii!$J$3&gt;gg!C99,"",IF(AND((YEAR(C99)=YEAR($I$2)),MONTH(C99)=MONTH($I$2)),ii!$B$14*12+ii!$C$14+ii!$B$15*12+ii!$C$15-1,V98+1))</f>
        <v>#REF!</v>
      </c>
      <c r="W99" s="339" t="e">
        <f t="shared" si="31"/>
        <v>#REF!</v>
      </c>
      <c r="X99" s="494" t="s">
        <v>621</v>
      </c>
      <c r="Y99" s="495" t="s">
        <v>621</v>
      </c>
      <c r="Z99" s="496"/>
      <c r="AA99" s="497"/>
      <c r="AB99" s="498" t="str">
        <f t="shared" si="35"/>
        <v/>
      </c>
      <c r="AC99" s="484" t="str">
        <f t="shared" si="33"/>
        <v/>
      </c>
      <c r="AD99" s="495" t="str">
        <f t="shared" si="34"/>
        <v/>
      </c>
      <c r="AE99" s="499" t="s">
        <v>621</v>
      </c>
      <c r="AF99" s="500" t="s">
        <v>621</v>
      </c>
      <c r="AG99" s="556" t="s">
        <v>621</v>
      </c>
      <c r="AH99" s="503" t="str">
        <f>IF($G99="","",IF(AND($G99&gt;=30,$AT$3&lt;=AG$7),ROUND(AG99*($AP$3+#REF!),-1),""))</f>
        <v/>
      </c>
      <c r="AI99" s="506" t="s">
        <v>621</v>
      </c>
      <c r="AJ99" s="503" t="str">
        <f>IF($G99="","",IF(AND($G99&gt;=30,$AT$3&lt;=AI$7),ROUND(AI99*($AP$3+#REF!),-1),""))</f>
        <v/>
      </c>
      <c r="AK99" s="506" t="s">
        <v>621</v>
      </c>
      <c r="AL99" s="503" t="str">
        <f>IF($G99="","",IF(AND($G99&gt;=30,$AT$3&lt;=AK$7),ROUND(AK99*($AP$3+#REF!),-1),""))</f>
        <v/>
      </c>
      <c r="AM99" s="506" t="s">
        <v>621</v>
      </c>
      <c r="AN99" s="503" t="str">
        <f>IF($G99="","",IF(AND($G99&gt;=30,$AT$3&lt;=AM$7),ROUND(AM99*($AP$3+#REF!),-1),""))</f>
        <v/>
      </c>
      <c r="AO99" s="503" t="e">
        <v>#REF!</v>
      </c>
      <c r="AP99" s="503" t="str">
        <f>IF($G99="","",IF(AND($G99&gt;=30,$AT$3&lt;=AO$7),ROUND(AO99*($AP$3+#REF!),-1),""))</f>
        <v/>
      </c>
      <c r="AQ99" s="503" t="s">
        <v>621</v>
      </c>
      <c r="AR99" s="503" t="str">
        <f>IF($G99="","",IF(AND($G99&gt;=30,$AT$3&lt;=AQ$7),ROUND(AQ99*($AP$3+#REF!),-1),""))</f>
        <v/>
      </c>
      <c r="AS99" s="503" t="s">
        <v>621</v>
      </c>
      <c r="AT99" s="503" t="str">
        <f>IF($G99="","",IF(AND($G99&gt;=30,$AT$3&lt;=AS$7),ROUND(AS99*($AP$3+#REF!),-1),""))</f>
        <v/>
      </c>
      <c r="AU99" s="517" t="e">
        <v>#REF!</v>
      </c>
      <c r="AV99" s="503" t="str">
        <f>IF($G99="","",IF(AND($G99&gt;=30,$AT$3&lt;=AU$7),ROUND(AU99*($AP$3+#REF!),-1),""))</f>
        <v/>
      </c>
      <c r="AW99" s="503"/>
      <c r="AX99" s="503" t="str">
        <f>IF($G99="","",IF(AND($G99&gt;=30,$AT$3&lt;=AW$7),ROUND(AW99*($AP$3+#REF!),-1),""))</f>
        <v/>
      </c>
      <c r="AY99" s="502"/>
      <c r="AZ99" s="503" t="str">
        <f>IF($G99="","",IF(AND($G99&gt;=30,$AT$3&lt;=AY$7),ROUND(AY99*($AP$3+#REF!),-1),""))</f>
        <v/>
      </c>
      <c r="BA99" s="503"/>
      <c r="BB99" s="503" t="str">
        <f>IF($G99="","",IF(AND($G99&gt;=30,$AT$3&lt;=BA$7),ROUND(BA99*($AP$3+#REF!),-1),""))</f>
        <v/>
      </c>
      <c r="BC99" s="502"/>
      <c r="BD99" s="503" t="str">
        <f>IF($G99="","",IF(AND($G99&gt;=30,$AT$3&lt;=BC$7),ROUND(BC99*($AP$3+#REF!),-1),""))</f>
        <v/>
      </c>
      <c r="BE99" s="503"/>
      <c r="BF99" s="503" t="str">
        <f>IF($G99="","",IF(AND($G99&gt;=30,$AT$3&lt;=BE$7),ROUND(BE99*($AP$3+#REF!),-1),""))</f>
        <v/>
      </c>
      <c r="BG99" s="502"/>
      <c r="BH99" s="503" t="str">
        <f>IF($G99="","",IF(AND($G99&gt;=30,$AT$3&lt;=BG$7),ROUND(BG99*($AP$3+#REF!),-1),""))</f>
        <v/>
      </c>
      <c r="BI99" s="503"/>
      <c r="BJ99" s="503" t="str">
        <f>IF($G99="","",IF(AND($G99&gt;=30,$AT$3&lt;=BI$7),ROUND(BI99*($AP$3+#REF!),-1),""))</f>
        <v/>
      </c>
      <c r="BK99" s="502"/>
      <c r="BL99" s="503" t="str">
        <f>IF($G99="","",IF(AND($G99&gt;=30,$AT$3&lt;=BK$7),ROUND(BK99*($AP$3+#REF!),-1),""))</f>
        <v/>
      </c>
      <c r="BM99" s="503"/>
      <c r="BN99" s="503" t="str">
        <f>IF($G99="","",IF(AND($G99&gt;=30,$AT$3&lt;=BM$7),ROUND(BM99*($AP$3+#REF!),-1),""))</f>
        <v/>
      </c>
      <c r="BO99" s="502"/>
      <c r="BP99" s="503" t="str">
        <f>IF($G99="","",IF(AND($G99&gt;=30,$AT$3&lt;=BO$7),ROUND(BO99*($AP$3+#REF!),-1),""))</f>
        <v/>
      </c>
      <c r="BQ99" s="503"/>
      <c r="BR99" s="503" t="str">
        <f>IF($G99="","",IF(AND($G99&gt;=30,$AT$3&lt;=BQ$7),ROUND(BQ99*($AP$3+#REF!),-1),""))</f>
        <v/>
      </c>
      <c r="BS99" s="502"/>
      <c r="BT99" s="503" t="str">
        <f>IF($G99="","",IF(AND($G99&gt;=30,$AT$3&lt;=BS$7),ROUND(BS99*($AP$3+#REF!),-1),""))</f>
        <v/>
      </c>
      <c r="BU99" s="503"/>
      <c r="BV99" s="503" t="str">
        <f>IF($G99="","",IF(AND($G99&gt;=30,$AT$3&lt;=BU$7),ROUND(BU99*($AP$3+#REF!),-1),""))</f>
        <v/>
      </c>
      <c r="BW99" s="502"/>
      <c r="BX99" s="503" t="str">
        <f>IF($G99="","",IF(AND($G99&gt;=30,$AT$3&lt;=BW$7),ROUND(BW99*($AP$3+#REF!),-1),""))</f>
        <v/>
      </c>
      <c r="BY99" s="503"/>
      <c r="BZ99" s="503" t="str">
        <f>IF($G99="","",IF(AND($G99&gt;=30,$AT$3&lt;=BY$7),ROUND(BY99*($AP$3+#REF!),-1),""))</f>
        <v/>
      </c>
      <c r="CA99" s="502"/>
      <c r="CB99" s="503" t="str">
        <f>IF($G99="","",IF(AND($G99&gt;=30,$AT$3&lt;=CA$7),ROUND(CA99*($AP$3+#REF!),-1),""))</f>
        <v/>
      </c>
      <c r="CC99" s="503"/>
      <c r="CD99" s="503" t="str">
        <f>IF($G99="","",IF(AND($G99&gt;=30,$AT$3&lt;=CC$7),ROUND(CC99*($AP$3+#REF!),-1),""))</f>
        <v/>
      </c>
      <c r="CE99" s="502"/>
      <c r="CF99" s="503" t="str">
        <f>IF($G99="","",IF(AND($G99&gt;=30,$AT$3&lt;=CE$7),ROUND(CE99*($AP$3+#REF!),-1),""))</f>
        <v/>
      </c>
      <c r="CG99" s="503"/>
      <c r="CH99" s="503" t="str">
        <f>IF($G99="","",IF(AND($G99&gt;=30,$AT$3&lt;=CG$7),ROUND(CG99*($AP$3+#REF!),-1),""))</f>
        <v/>
      </c>
      <c r="CI99" s="502"/>
      <c r="CJ99" s="503" t="str">
        <f>IF($G99="","",IF(AND($G99&gt;=30,$AT$3&lt;=CI$7),ROUND(CI99*($AP$3+#REF!),-1),""))</f>
        <v/>
      </c>
      <c r="CK99" s="503"/>
      <c r="CL99" s="503" t="str">
        <f>IF($G99="","",IF(AND($G99&gt;=30,$AT$3&lt;=CK$7),ROUND(CK99*($AP$3+#REF!),-1),""))</f>
        <v/>
      </c>
      <c r="CM99" s="502"/>
      <c r="CN99" s="503" t="str">
        <f>IF($G99="","",IF(AND($G99&gt;=30,$AT$3&lt;=CM$7),ROUND(CM99*($AP$3+#REF!),-1),""))</f>
        <v/>
      </c>
      <c r="CO99" s="503"/>
      <c r="CP99" s="503" t="str">
        <f>IF($G99="","",IF(AND($G99&gt;=30,$AT$3&lt;=CO$7),ROUND(CO99*($AP$3+#REF!),-1),""))</f>
        <v/>
      </c>
      <c r="CQ99" s="502"/>
      <c r="CR99" s="503" t="str">
        <f>IF($G99="","",IF(AND($G99&gt;=30,$AT$3&lt;=CQ$7),ROUND(CQ99*($AP$3+#REF!),-1),""))</f>
        <v/>
      </c>
      <c r="CS99" s="503"/>
      <c r="CT99" s="503" t="str">
        <f>IF($G99="","",IF(AND($G99&gt;=30,$AT$3&lt;=CS$7),ROUND(CS99*($AP$3+#REF!),-1),""))</f>
        <v/>
      </c>
      <c r="CU99" s="502"/>
      <c r="CV99" s="503" t="str">
        <f>IF($G99="","",IF(AND($G99&gt;=30,$AT$3&lt;=CU$7),ROUND(CU99*($AP$3+#REF!),-1),""))</f>
        <v/>
      </c>
      <c r="CW99" s="503"/>
      <c r="CX99" s="503" t="str">
        <f>IF($G99="","",IF(AND($G99&gt;=30,$AT$3&lt;=CW$7),ROUND(CW99*($AP$3+#REF!),-1),""))</f>
        <v/>
      </c>
      <c r="CY99" s="502"/>
      <c r="CZ99" s="503" t="str">
        <f>IF($G99="","",IF(AND($G99&gt;=30,$AT$3&lt;=CY$7),ROUND(CY99*($AP$3+#REF!),-1),""))</f>
        <v/>
      </c>
      <c r="DA99" s="503"/>
      <c r="DB99" s="503" t="str">
        <f>IF($G99="","",IF(AND($G99&gt;=30,$AT$3&lt;=DA$7),ROUND(DA99*($AP$3+#REF!),-1),""))</f>
        <v/>
      </c>
      <c r="DC99" s="502"/>
      <c r="DD99" s="503" t="str">
        <f>IF($G99="","",IF(AND($G99&gt;=30,$AT$3&lt;=DC$7),ROUND(DC99*($AP$3+#REF!),-1),""))</f>
        <v/>
      </c>
      <c r="DE99" s="503"/>
      <c r="DF99" s="503" t="str">
        <f>IF($G99="","",IF(AND($G99&gt;=30,$AT$3&lt;=DE$7),ROUND(DE99*($AP$3+#REF!),-1),""))</f>
        <v/>
      </c>
      <c r="DG99" s="503"/>
      <c r="DH99" s="503" t="str">
        <f>IF($G99="","",IF(AND($G99&gt;=30,$AT$3&lt;=DG$7),ROUND(DG99*($AP$3+#REF!),-1),""))</f>
        <v/>
      </c>
      <c r="DI99" s="503"/>
      <c r="DJ99" s="503" t="str">
        <f>IF($G99="","",IF(AND($G99&gt;=30,$AT$3&lt;=DI$7),ROUND(DI99*($AP$3+#REF!),-1),""))</f>
        <v/>
      </c>
      <c r="DK99" s="503"/>
      <c r="DL99" s="503" t="str">
        <f>IF($G99="","",IF(AND($G99&gt;=30,$AT$3&lt;=DK$7),ROUND(DK99*($AP$3+#REF!),-1),""))</f>
        <v/>
      </c>
      <c r="DM99" s="503"/>
      <c r="DN99" s="503" t="str">
        <f>IF($G99="","",IF(AND($G99&gt;=30,$AT$3&lt;=DM$7),ROUND(DM99*($AP$3+#REF!),-1),""))</f>
        <v/>
      </c>
      <c r="DO99" s="503"/>
      <c r="DP99" s="503" t="str">
        <f>IF($G99="","",IF(AND($G99&gt;=30,$AT$3&lt;=DO$7),ROUND(DO99*($AP$3+#REF!),-1),""))</f>
        <v/>
      </c>
      <c r="DQ99" s="503"/>
      <c r="DR99" s="503" t="str">
        <f>IF($G99="","",IF(AND($G99&gt;=30,$AT$3&lt;=DQ$7),ROUND(DQ99*($AP$3+#REF!),-1),""))</f>
        <v/>
      </c>
      <c r="DS99" s="503"/>
      <c r="DT99" s="503" t="str">
        <f>IF($G99="","",IF(AND($G99&gt;=30,$AT$3&lt;=DS$7),ROUND(DS99*($AP$3+#REF!),-1),""))</f>
        <v/>
      </c>
      <c r="DU99" s="503"/>
      <c r="DV99" s="503" t="str">
        <f>IF($G99="","",IF(AND($G99&gt;=30,$AT$3&lt;=DU$7),ROUND(DU99*($AP$3+#REF!),-1),""))</f>
        <v/>
      </c>
      <c r="DW99" s="503"/>
      <c r="DX99" s="503" t="str">
        <f>IF($G99="","",IF(AND($G99&gt;=30,$AT$3&lt;=DW$7),ROUND(DW99*($AP$3+#REF!),-1),""))</f>
        <v/>
      </c>
      <c r="DY99" s="503"/>
      <c r="DZ99" s="503" t="str">
        <f>IF($G99="","",IF(AND($G99&gt;=30,$AT$3&lt;=DY$7),ROUND(DY99*($AP$3+#REF!),-1),""))</f>
        <v/>
      </c>
      <c r="EA99" s="503"/>
      <c r="EB99" s="503" t="str">
        <f>IF($G99="","",IF(AND($G99&gt;=30,$AT$3&lt;=EA$7),ROUND(EA99*($AP$3+#REF!),-1),""))</f>
        <v/>
      </c>
      <c r="EC99" s="504" t="s">
        <v>621</v>
      </c>
      <c r="ED99" s="1126"/>
      <c r="EE99" s="325">
        <v>7</v>
      </c>
    </row>
    <row r="100" spans="1:135" ht="9.75" customHeight="1">
      <c r="A100" s="321" t="str">
        <f t="shared" si="21"/>
        <v/>
      </c>
      <c r="B100" s="567" t="e">
        <f>(ii!$D$13*12+V100)+1</f>
        <v>#REF!</v>
      </c>
      <c r="C100" s="337">
        <f t="shared" si="30"/>
        <v>45169</v>
      </c>
      <c r="D100" s="484">
        <f t="shared" si="25"/>
        <v>2023</v>
      </c>
      <c r="E100" s="484">
        <f t="shared" si="26"/>
        <v>0.66666666666666663</v>
      </c>
      <c r="F100" s="484">
        <f t="shared" si="27"/>
        <v>2023.6666666666667</v>
      </c>
      <c r="G100" s="485" t="str">
        <f>IF(OR(C100&lt;$I$2,C100&gt;$J$3),"",(ii!$D$13*12+V100+1)/12)</f>
        <v/>
      </c>
      <c r="H100" s="486"/>
      <c r="I100" s="486"/>
      <c r="J100" s="487"/>
      <c r="K100" s="488"/>
      <c r="L100" s="548"/>
      <c r="M100" s="489" t="str">
        <f t="shared" si="32"/>
        <v/>
      </c>
      <c r="N100" s="490" t="s">
        <v>621</v>
      </c>
      <c r="O100" s="490" t="str">
        <f t="shared" si="28"/>
        <v/>
      </c>
      <c r="P100" s="491"/>
      <c r="Q100" s="491"/>
      <c r="R100" s="491" t="str">
        <f t="shared" si="29"/>
        <v/>
      </c>
      <c r="S100" s="528" t="str">
        <f t="shared" si="24"/>
        <v/>
      </c>
      <c r="T100" s="528" t="str">
        <f t="shared" si="23"/>
        <v/>
      </c>
      <c r="U100" s="493" t="str">
        <f>IF(H100="","",#REF!*12+#REF!+#REF!*12+#REF!)</f>
        <v/>
      </c>
      <c r="V100" s="338" t="e">
        <f>IF(ii!$J$3&gt;gg!C100,"",IF(AND((YEAR(C100)=YEAR($I$2)),MONTH(C100)=MONTH($I$2)),ii!$B$14*12+ii!$C$14+ii!$B$15*12+ii!$C$15-1,V99+1))</f>
        <v>#REF!</v>
      </c>
      <c r="W100" s="339" t="e">
        <f t="shared" si="31"/>
        <v>#REF!</v>
      </c>
      <c r="X100" s="494" t="s">
        <v>621</v>
      </c>
      <c r="Y100" s="495" t="s">
        <v>621</v>
      </c>
      <c r="Z100" s="496"/>
      <c r="AA100" s="497"/>
      <c r="AB100" s="498" t="str">
        <f t="shared" si="35"/>
        <v/>
      </c>
      <c r="AC100" s="484" t="str">
        <f t="shared" si="33"/>
        <v/>
      </c>
      <c r="AD100" s="495" t="str">
        <f t="shared" si="34"/>
        <v/>
      </c>
      <c r="AE100" s="499" t="s">
        <v>621</v>
      </c>
      <c r="AF100" s="500" t="s">
        <v>621</v>
      </c>
      <c r="AG100" s="556" t="s">
        <v>621</v>
      </c>
      <c r="AH100" s="503" t="str">
        <f>IF($G100="","",IF(AND($G100&gt;=30,$AT$3&lt;=AG$7),ROUND(AG100*($AP$3+#REF!),-1),""))</f>
        <v/>
      </c>
      <c r="AI100" s="506" t="s">
        <v>621</v>
      </c>
      <c r="AJ100" s="503" t="str">
        <f>IF($G100="","",IF(AND($G100&gt;=30,$AT$3&lt;=AI$7),ROUND(AI100*($AP$3+#REF!),-1),""))</f>
        <v/>
      </c>
      <c r="AK100" s="506" t="s">
        <v>621</v>
      </c>
      <c r="AL100" s="503" t="str">
        <f>IF($G100="","",IF(AND($G100&gt;=30,$AT$3&lt;=AK$7),ROUND(AK100*($AP$3+#REF!),-1),""))</f>
        <v/>
      </c>
      <c r="AM100" s="506" t="s">
        <v>621</v>
      </c>
      <c r="AN100" s="503" t="str">
        <f>IF($G100="","",IF(AND($G100&gt;=30,$AT$3&lt;=AM$7),ROUND(AM100*($AP$3+#REF!),-1),""))</f>
        <v/>
      </c>
      <c r="AO100" s="503" t="e">
        <v>#REF!</v>
      </c>
      <c r="AP100" s="503" t="str">
        <f>IF($G100="","",IF(AND($G100&gt;=30,$AT$3&lt;=AO$7),ROUND(AO100*($AP$3+#REF!),-1),""))</f>
        <v/>
      </c>
      <c r="AQ100" s="503" t="s">
        <v>621</v>
      </c>
      <c r="AR100" s="503" t="str">
        <f>IF($G100="","",IF(AND($G100&gt;=30,$AT$3&lt;=AQ$7),ROUND(AQ100*($AP$3+#REF!),-1),""))</f>
        <v/>
      </c>
      <c r="AS100" s="503" t="s">
        <v>621</v>
      </c>
      <c r="AT100" s="503" t="str">
        <f>IF($G100="","",IF(AND($G100&gt;=30,$AT$3&lt;=AS$7),ROUND(AS100*($AP$3+#REF!),-1),""))</f>
        <v/>
      </c>
      <c r="AU100" s="517" t="e">
        <v>#REF!</v>
      </c>
      <c r="AV100" s="503" t="str">
        <f>IF($G100="","",IF(AND($G100&gt;=30,$AT$3&lt;=AU$7),ROUND(AU100*($AP$3+#REF!),-1),""))</f>
        <v/>
      </c>
      <c r="AW100" s="503"/>
      <c r="AX100" s="503" t="str">
        <f>IF($G100="","",IF(AND($G100&gt;=30,$AT$3&lt;=AW$7),ROUND(AW100*($AP$3+#REF!),-1),""))</f>
        <v/>
      </c>
      <c r="AY100" s="502"/>
      <c r="AZ100" s="503" t="str">
        <f>IF($G100="","",IF(AND($G100&gt;=30,$AT$3&lt;=AY$7),ROUND(AY100*($AP$3+#REF!),-1),""))</f>
        <v/>
      </c>
      <c r="BA100" s="503"/>
      <c r="BB100" s="503" t="str">
        <f>IF($G100="","",IF(AND($G100&gt;=30,$AT$3&lt;=BA$7),ROUND(BA100*($AP$3+#REF!),-1),""))</f>
        <v/>
      </c>
      <c r="BC100" s="502"/>
      <c r="BD100" s="503" t="str">
        <f>IF($G100="","",IF(AND($G100&gt;=30,$AT$3&lt;=BC$7),ROUND(BC100*($AP$3+#REF!),-1),""))</f>
        <v/>
      </c>
      <c r="BE100" s="503"/>
      <c r="BF100" s="503" t="str">
        <f>IF($G100="","",IF(AND($G100&gt;=30,$AT$3&lt;=BE$7),ROUND(BE100*($AP$3+#REF!),-1),""))</f>
        <v/>
      </c>
      <c r="BG100" s="502"/>
      <c r="BH100" s="503" t="str">
        <f>IF($G100="","",IF(AND($G100&gt;=30,$AT$3&lt;=BG$7),ROUND(BG100*($AP$3+#REF!),-1),""))</f>
        <v/>
      </c>
      <c r="BI100" s="503"/>
      <c r="BJ100" s="503" t="str">
        <f>IF($G100="","",IF(AND($G100&gt;=30,$AT$3&lt;=BI$7),ROUND(BI100*($AP$3+#REF!),-1),""))</f>
        <v/>
      </c>
      <c r="BK100" s="502"/>
      <c r="BL100" s="503" t="str">
        <f>IF($G100="","",IF(AND($G100&gt;=30,$AT$3&lt;=BK$7),ROUND(BK100*($AP$3+#REF!),-1),""))</f>
        <v/>
      </c>
      <c r="BM100" s="503"/>
      <c r="BN100" s="503" t="str">
        <f>IF($G100="","",IF(AND($G100&gt;=30,$AT$3&lt;=BM$7),ROUND(BM100*($AP$3+#REF!),-1),""))</f>
        <v/>
      </c>
      <c r="BO100" s="502"/>
      <c r="BP100" s="503" t="str">
        <f>IF($G100="","",IF(AND($G100&gt;=30,$AT$3&lt;=BO$7),ROUND(BO100*($AP$3+#REF!),-1),""))</f>
        <v/>
      </c>
      <c r="BQ100" s="503"/>
      <c r="BR100" s="503" t="str">
        <f>IF($G100="","",IF(AND($G100&gt;=30,$AT$3&lt;=BQ$7),ROUND(BQ100*($AP$3+#REF!),-1),""))</f>
        <v/>
      </c>
      <c r="BS100" s="502"/>
      <c r="BT100" s="503" t="str">
        <f>IF($G100="","",IF(AND($G100&gt;=30,$AT$3&lt;=BS$7),ROUND(BS100*($AP$3+#REF!),-1),""))</f>
        <v/>
      </c>
      <c r="BU100" s="503"/>
      <c r="BV100" s="503" t="str">
        <f>IF($G100="","",IF(AND($G100&gt;=30,$AT$3&lt;=BU$7),ROUND(BU100*($AP$3+#REF!),-1),""))</f>
        <v/>
      </c>
      <c r="BW100" s="502"/>
      <c r="BX100" s="503" t="str">
        <f>IF($G100="","",IF(AND($G100&gt;=30,$AT$3&lt;=BW$7),ROUND(BW100*($AP$3+#REF!),-1),""))</f>
        <v/>
      </c>
      <c r="BY100" s="503"/>
      <c r="BZ100" s="503" t="str">
        <f>IF($G100="","",IF(AND($G100&gt;=30,$AT$3&lt;=BY$7),ROUND(BY100*($AP$3+#REF!),-1),""))</f>
        <v/>
      </c>
      <c r="CA100" s="502"/>
      <c r="CB100" s="503" t="str">
        <f>IF($G100="","",IF(AND($G100&gt;=30,$AT$3&lt;=CA$7),ROUND(CA100*($AP$3+#REF!),-1),""))</f>
        <v/>
      </c>
      <c r="CC100" s="503"/>
      <c r="CD100" s="503" t="str">
        <f>IF($G100="","",IF(AND($G100&gt;=30,$AT$3&lt;=CC$7),ROUND(CC100*($AP$3+#REF!),-1),""))</f>
        <v/>
      </c>
      <c r="CE100" s="502"/>
      <c r="CF100" s="503" t="str">
        <f>IF($G100="","",IF(AND($G100&gt;=30,$AT$3&lt;=CE$7),ROUND(CE100*($AP$3+#REF!),-1),""))</f>
        <v/>
      </c>
      <c r="CG100" s="503"/>
      <c r="CH100" s="503" t="str">
        <f>IF($G100="","",IF(AND($G100&gt;=30,$AT$3&lt;=CG$7),ROUND(CG100*($AP$3+#REF!),-1),""))</f>
        <v/>
      </c>
      <c r="CI100" s="502"/>
      <c r="CJ100" s="503" t="str">
        <f>IF($G100="","",IF(AND($G100&gt;=30,$AT$3&lt;=CI$7),ROUND(CI100*($AP$3+#REF!),-1),""))</f>
        <v/>
      </c>
      <c r="CK100" s="503"/>
      <c r="CL100" s="503" t="str">
        <f>IF($G100="","",IF(AND($G100&gt;=30,$AT$3&lt;=CK$7),ROUND(CK100*($AP$3+#REF!),-1),""))</f>
        <v/>
      </c>
      <c r="CM100" s="502"/>
      <c r="CN100" s="503" t="str">
        <f>IF($G100="","",IF(AND($G100&gt;=30,$AT$3&lt;=CM$7),ROUND(CM100*($AP$3+#REF!),-1),""))</f>
        <v/>
      </c>
      <c r="CO100" s="503"/>
      <c r="CP100" s="503" t="str">
        <f>IF($G100="","",IF(AND($G100&gt;=30,$AT$3&lt;=CO$7),ROUND(CO100*($AP$3+#REF!),-1),""))</f>
        <v/>
      </c>
      <c r="CQ100" s="502"/>
      <c r="CR100" s="503" t="str">
        <f>IF($G100="","",IF(AND($G100&gt;=30,$AT$3&lt;=CQ$7),ROUND(CQ100*($AP$3+#REF!),-1),""))</f>
        <v/>
      </c>
      <c r="CS100" s="503"/>
      <c r="CT100" s="503" t="str">
        <f>IF($G100="","",IF(AND($G100&gt;=30,$AT$3&lt;=CS$7),ROUND(CS100*($AP$3+#REF!),-1),""))</f>
        <v/>
      </c>
      <c r="CU100" s="502"/>
      <c r="CV100" s="503" t="str">
        <f>IF($G100="","",IF(AND($G100&gt;=30,$AT$3&lt;=CU$7),ROUND(CU100*($AP$3+#REF!),-1),""))</f>
        <v/>
      </c>
      <c r="CW100" s="503"/>
      <c r="CX100" s="503" t="str">
        <f>IF($G100="","",IF(AND($G100&gt;=30,$AT$3&lt;=CW$7),ROUND(CW100*($AP$3+#REF!),-1),""))</f>
        <v/>
      </c>
      <c r="CY100" s="502"/>
      <c r="CZ100" s="503" t="str">
        <f>IF($G100="","",IF(AND($G100&gt;=30,$AT$3&lt;=CY$7),ROUND(CY100*($AP$3+#REF!),-1),""))</f>
        <v/>
      </c>
      <c r="DA100" s="503"/>
      <c r="DB100" s="503" t="str">
        <f>IF($G100="","",IF(AND($G100&gt;=30,$AT$3&lt;=DA$7),ROUND(DA100*($AP$3+#REF!),-1),""))</f>
        <v/>
      </c>
      <c r="DC100" s="502"/>
      <c r="DD100" s="503" t="str">
        <f>IF($G100="","",IF(AND($G100&gt;=30,$AT$3&lt;=DC$7),ROUND(DC100*($AP$3+#REF!),-1),""))</f>
        <v/>
      </c>
      <c r="DE100" s="503"/>
      <c r="DF100" s="503" t="str">
        <f>IF($G100="","",IF(AND($G100&gt;=30,$AT$3&lt;=DE$7),ROUND(DE100*($AP$3+#REF!),-1),""))</f>
        <v/>
      </c>
      <c r="DG100" s="503"/>
      <c r="DH100" s="503" t="str">
        <f>IF($G100="","",IF(AND($G100&gt;=30,$AT$3&lt;=DG$7),ROUND(DG100*($AP$3+#REF!),-1),""))</f>
        <v/>
      </c>
      <c r="DI100" s="503"/>
      <c r="DJ100" s="503" t="str">
        <f>IF($G100="","",IF(AND($G100&gt;=30,$AT$3&lt;=DI$7),ROUND(DI100*($AP$3+#REF!),-1),""))</f>
        <v/>
      </c>
      <c r="DK100" s="503"/>
      <c r="DL100" s="503" t="str">
        <f>IF($G100="","",IF(AND($G100&gt;=30,$AT$3&lt;=DK$7),ROUND(DK100*($AP$3+#REF!),-1),""))</f>
        <v/>
      </c>
      <c r="DM100" s="503"/>
      <c r="DN100" s="503" t="str">
        <f>IF($G100="","",IF(AND($G100&gt;=30,$AT$3&lt;=DM$7),ROUND(DM100*($AP$3+#REF!),-1),""))</f>
        <v/>
      </c>
      <c r="DO100" s="503"/>
      <c r="DP100" s="503" t="str">
        <f>IF($G100="","",IF(AND($G100&gt;=30,$AT$3&lt;=DO$7),ROUND(DO100*($AP$3+#REF!),-1),""))</f>
        <v/>
      </c>
      <c r="DQ100" s="503"/>
      <c r="DR100" s="503" t="str">
        <f>IF($G100="","",IF(AND($G100&gt;=30,$AT$3&lt;=DQ$7),ROUND(DQ100*($AP$3+#REF!),-1),""))</f>
        <v/>
      </c>
      <c r="DS100" s="503"/>
      <c r="DT100" s="503" t="str">
        <f>IF($G100="","",IF(AND($G100&gt;=30,$AT$3&lt;=DS$7),ROUND(DS100*($AP$3+#REF!),-1),""))</f>
        <v/>
      </c>
      <c r="DU100" s="503"/>
      <c r="DV100" s="503" t="str">
        <f>IF($G100="","",IF(AND($G100&gt;=30,$AT$3&lt;=DU$7),ROUND(DU100*($AP$3+#REF!),-1),""))</f>
        <v/>
      </c>
      <c r="DW100" s="503"/>
      <c r="DX100" s="503" t="str">
        <f>IF($G100="","",IF(AND($G100&gt;=30,$AT$3&lt;=DW$7),ROUND(DW100*($AP$3+#REF!),-1),""))</f>
        <v/>
      </c>
      <c r="DY100" s="503"/>
      <c r="DZ100" s="503" t="str">
        <f>IF($G100="","",IF(AND($G100&gt;=30,$AT$3&lt;=DY$7),ROUND(DY100*($AP$3+#REF!),-1),""))</f>
        <v/>
      </c>
      <c r="EA100" s="503"/>
      <c r="EB100" s="503" t="str">
        <f>IF($G100="","",IF(AND($G100&gt;=30,$AT$3&lt;=EA$7),ROUND(EA100*($AP$3+#REF!),-1),""))</f>
        <v/>
      </c>
      <c r="EC100" s="504" t="s">
        <v>621</v>
      </c>
      <c r="ED100" s="1126"/>
      <c r="EE100" s="325">
        <v>8</v>
      </c>
    </row>
    <row r="101" spans="1:135" ht="9.75" customHeight="1">
      <c r="A101" s="321" t="str">
        <f t="shared" si="21"/>
        <v/>
      </c>
      <c r="B101" s="567" t="e">
        <f>(ii!$D$13*12+V101)+1</f>
        <v>#REF!</v>
      </c>
      <c r="C101" s="337">
        <f t="shared" si="30"/>
        <v>45199</v>
      </c>
      <c r="D101" s="484">
        <f t="shared" si="25"/>
        <v>2023</v>
      </c>
      <c r="E101" s="484">
        <f t="shared" si="26"/>
        <v>0.75</v>
      </c>
      <c r="F101" s="484">
        <f t="shared" si="27"/>
        <v>2023.75</v>
      </c>
      <c r="G101" s="485" t="str">
        <f>IF(OR(C101&lt;$I$2,C101&gt;$J$3),"",(ii!$D$13*12+V101+1)/12)</f>
        <v/>
      </c>
      <c r="H101" s="486"/>
      <c r="I101" s="486"/>
      <c r="J101" s="487"/>
      <c r="K101" s="488"/>
      <c r="L101" s="548"/>
      <c r="M101" s="489" t="str">
        <f t="shared" si="32"/>
        <v/>
      </c>
      <c r="N101" s="490" t="s">
        <v>621</v>
      </c>
      <c r="O101" s="490" t="str">
        <f t="shared" si="28"/>
        <v/>
      </c>
      <c r="P101" s="491"/>
      <c r="Q101" s="491"/>
      <c r="R101" s="491" t="str">
        <f t="shared" si="29"/>
        <v/>
      </c>
      <c r="S101" s="528" t="str">
        <f t="shared" si="24"/>
        <v/>
      </c>
      <c r="T101" s="528" t="str">
        <f t="shared" si="23"/>
        <v/>
      </c>
      <c r="U101" s="493" t="str">
        <f>IF(H101="","",#REF!*12+#REF!+#REF!*12+#REF!)</f>
        <v/>
      </c>
      <c r="V101" s="338" t="e">
        <f>IF(ii!$J$3&gt;gg!C101,"",IF(AND((YEAR(C101)=YEAR($I$2)),MONTH(C101)=MONTH($I$2)),ii!$B$14*12+ii!$C$14+ii!$B$15*12+ii!$C$15-1,V100+1))</f>
        <v>#REF!</v>
      </c>
      <c r="W101" s="339" t="e">
        <f t="shared" si="31"/>
        <v>#REF!</v>
      </c>
      <c r="X101" s="494" t="s">
        <v>621</v>
      </c>
      <c r="Y101" s="495" t="s">
        <v>621</v>
      </c>
      <c r="Z101" s="496"/>
      <c r="AA101" s="497"/>
      <c r="AB101" s="498" t="str">
        <f t="shared" si="35"/>
        <v/>
      </c>
      <c r="AC101" s="484" t="str">
        <f t="shared" si="33"/>
        <v/>
      </c>
      <c r="AD101" s="495" t="str">
        <f t="shared" si="34"/>
        <v/>
      </c>
      <c r="AE101" s="499" t="s">
        <v>621</v>
      </c>
      <c r="AF101" s="500" t="s">
        <v>621</v>
      </c>
      <c r="AG101" s="556" t="s">
        <v>621</v>
      </c>
      <c r="AH101" s="503" t="str">
        <f>IF($G101="","",IF(AND($G101&gt;=30,$AT$3&lt;=AG$7),ROUND(AG101*($AP$3+#REF!),-1),""))</f>
        <v/>
      </c>
      <c r="AI101" s="506" t="s">
        <v>621</v>
      </c>
      <c r="AJ101" s="503" t="str">
        <f>IF($G101="","",IF(AND($G101&gt;=30,$AT$3&lt;=AI$7),ROUND(AI101*($AP$3+#REF!),-1),""))</f>
        <v/>
      </c>
      <c r="AK101" s="506" t="s">
        <v>621</v>
      </c>
      <c r="AL101" s="503" t="str">
        <f>IF($G101="","",IF(AND($G101&gt;=30,$AT$3&lt;=AK$7),ROUND(AK101*($AP$3+#REF!),-1),""))</f>
        <v/>
      </c>
      <c r="AM101" s="506" t="s">
        <v>621</v>
      </c>
      <c r="AN101" s="503" t="str">
        <f>IF($G101="","",IF(AND($G101&gt;=30,$AT$3&lt;=AM$7),ROUND(AM101*($AP$3+#REF!),-1),""))</f>
        <v/>
      </c>
      <c r="AO101" s="503" t="e">
        <v>#REF!</v>
      </c>
      <c r="AP101" s="503" t="str">
        <f>IF($G101="","",IF(AND($G101&gt;=30,$AT$3&lt;=AO$7),ROUND(AO101*($AP$3+#REF!),-1),""))</f>
        <v/>
      </c>
      <c r="AQ101" s="503" t="s">
        <v>621</v>
      </c>
      <c r="AR101" s="503" t="str">
        <f>IF($G101="","",IF(AND($G101&gt;=30,$AT$3&lt;=AQ$7),ROUND(AQ101*($AP$3+#REF!),-1),""))</f>
        <v/>
      </c>
      <c r="AS101" s="503" t="s">
        <v>621</v>
      </c>
      <c r="AT101" s="503" t="str">
        <f>IF($G101="","",IF(AND($G101&gt;=30,$AT$3&lt;=AS$7),ROUND(AS101*($AP$3+#REF!),-1),""))</f>
        <v/>
      </c>
      <c r="AU101" s="517" t="e">
        <v>#REF!</v>
      </c>
      <c r="AV101" s="503" t="str">
        <f>IF($G101="","",IF(AND($G101&gt;=30,$AT$3&lt;=AU$7),ROUND(AU101*($AP$3+#REF!),-1),""))</f>
        <v/>
      </c>
      <c r="AW101" s="503"/>
      <c r="AX101" s="503" t="str">
        <f>IF($G101="","",IF(AND($G101&gt;=30,$AT$3&lt;=AW$7),ROUND(AW101*($AP$3+#REF!),-1),""))</f>
        <v/>
      </c>
      <c r="AY101" s="502"/>
      <c r="AZ101" s="503" t="str">
        <f>IF($G101="","",IF(AND($G101&gt;=30,$AT$3&lt;=AY$7),ROUND(AY101*($AP$3+#REF!),-1),""))</f>
        <v/>
      </c>
      <c r="BA101" s="503"/>
      <c r="BB101" s="503" t="str">
        <f>IF($G101="","",IF(AND($G101&gt;=30,$AT$3&lt;=BA$7),ROUND(BA101*($AP$3+#REF!),-1),""))</f>
        <v/>
      </c>
      <c r="BC101" s="502"/>
      <c r="BD101" s="503" t="str">
        <f>IF($G101="","",IF(AND($G101&gt;=30,$AT$3&lt;=BC$7),ROUND(BC101*($AP$3+#REF!),-1),""))</f>
        <v/>
      </c>
      <c r="BE101" s="503"/>
      <c r="BF101" s="503" t="str">
        <f>IF($G101="","",IF(AND($G101&gt;=30,$AT$3&lt;=BE$7),ROUND(BE101*($AP$3+#REF!),-1),""))</f>
        <v/>
      </c>
      <c r="BG101" s="502"/>
      <c r="BH101" s="503" t="str">
        <f>IF($G101="","",IF(AND($G101&gt;=30,$AT$3&lt;=BG$7),ROUND(BG101*($AP$3+#REF!),-1),""))</f>
        <v/>
      </c>
      <c r="BI101" s="503"/>
      <c r="BJ101" s="503" t="str">
        <f>IF($G101="","",IF(AND($G101&gt;=30,$AT$3&lt;=BI$7),ROUND(BI101*($AP$3+#REF!),-1),""))</f>
        <v/>
      </c>
      <c r="BK101" s="502"/>
      <c r="BL101" s="503" t="str">
        <f>IF($G101="","",IF(AND($G101&gt;=30,$AT$3&lt;=BK$7),ROUND(BK101*($AP$3+#REF!),-1),""))</f>
        <v/>
      </c>
      <c r="BM101" s="503"/>
      <c r="BN101" s="503" t="str">
        <f>IF($G101="","",IF(AND($G101&gt;=30,$AT$3&lt;=BM$7),ROUND(BM101*($AP$3+#REF!),-1),""))</f>
        <v/>
      </c>
      <c r="BO101" s="502"/>
      <c r="BP101" s="503" t="str">
        <f>IF($G101="","",IF(AND($G101&gt;=30,$AT$3&lt;=BO$7),ROUND(BO101*($AP$3+#REF!),-1),""))</f>
        <v/>
      </c>
      <c r="BQ101" s="503"/>
      <c r="BR101" s="503" t="str">
        <f>IF($G101="","",IF(AND($G101&gt;=30,$AT$3&lt;=BQ$7),ROUND(BQ101*($AP$3+#REF!),-1),""))</f>
        <v/>
      </c>
      <c r="BS101" s="502"/>
      <c r="BT101" s="503" t="str">
        <f>IF($G101="","",IF(AND($G101&gt;=30,$AT$3&lt;=BS$7),ROUND(BS101*($AP$3+#REF!),-1),""))</f>
        <v/>
      </c>
      <c r="BU101" s="503"/>
      <c r="BV101" s="503" t="str">
        <f>IF($G101="","",IF(AND($G101&gt;=30,$AT$3&lt;=BU$7),ROUND(BU101*($AP$3+#REF!),-1),""))</f>
        <v/>
      </c>
      <c r="BW101" s="502"/>
      <c r="BX101" s="503" t="str">
        <f>IF($G101="","",IF(AND($G101&gt;=30,$AT$3&lt;=BW$7),ROUND(BW101*($AP$3+#REF!),-1),""))</f>
        <v/>
      </c>
      <c r="BY101" s="503"/>
      <c r="BZ101" s="503" t="str">
        <f>IF($G101="","",IF(AND($G101&gt;=30,$AT$3&lt;=BY$7),ROUND(BY101*($AP$3+#REF!),-1),""))</f>
        <v/>
      </c>
      <c r="CA101" s="502"/>
      <c r="CB101" s="503" t="str">
        <f>IF($G101="","",IF(AND($G101&gt;=30,$AT$3&lt;=CA$7),ROUND(CA101*($AP$3+#REF!),-1),""))</f>
        <v/>
      </c>
      <c r="CC101" s="503"/>
      <c r="CD101" s="503" t="str">
        <f>IF($G101="","",IF(AND($G101&gt;=30,$AT$3&lt;=CC$7),ROUND(CC101*($AP$3+#REF!),-1),""))</f>
        <v/>
      </c>
      <c r="CE101" s="502"/>
      <c r="CF101" s="503" t="str">
        <f>IF($G101="","",IF(AND($G101&gt;=30,$AT$3&lt;=CE$7),ROUND(CE101*($AP$3+#REF!),-1),""))</f>
        <v/>
      </c>
      <c r="CG101" s="503"/>
      <c r="CH101" s="503" t="str">
        <f>IF($G101="","",IF(AND($G101&gt;=30,$AT$3&lt;=CG$7),ROUND(CG101*($AP$3+#REF!),-1),""))</f>
        <v/>
      </c>
      <c r="CI101" s="502"/>
      <c r="CJ101" s="503" t="str">
        <f>IF($G101="","",IF(AND($G101&gt;=30,$AT$3&lt;=CI$7),ROUND(CI101*($AP$3+#REF!),-1),""))</f>
        <v/>
      </c>
      <c r="CK101" s="503"/>
      <c r="CL101" s="503" t="str">
        <f>IF($G101="","",IF(AND($G101&gt;=30,$AT$3&lt;=CK$7),ROUND(CK101*($AP$3+#REF!),-1),""))</f>
        <v/>
      </c>
      <c r="CM101" s="502"/>
      <c r="CN101" s="503" t="str">
        <f>IF($G101="","",IF(AND($G101&gt;=30,$AT$3&lt;=CM$7),ROUND(CM101*($AP$3+#REF!),-1),""))</f>
        <v/>
      </c>
      <c r="CO101" s="503"/>
      <c r="CP101" s="503" t="str">
        <f>IF($G101="","",IF(AND($G101&gt;=30,$AT$3&lt;=CO$7),ROUND(CO101*($AP$3+#REF!),-1),""))</f>
        <v/>
      </c>
      <c r="CQ101" s="502"/>
      <c r="CR101" s="503" t="str">
        <f>IF($G101="","",IF(AND($G101&gt;=30,$AT$3&lt;=CQ$7),ROUND(CQ101*($AP$3+#REF!),-1),""))</f>
        <v/>
      </c>
      <c r="CS101" s="503"/>
      <c r="CT101" s="503" t="str">
        <f>IF($G101="","",IF(AND($G101&gt;=30,$AT$3&lt;=CS$7),ROUND(CS101*($AP$3+#REF!),-1),""))</f>
        <v/>
      </c>
      <c r="CU101" s="502"/>
      <c r="CV101" s="503" t="str">
        <f>IF($G101="","",IF(AND($G101&gt;=30,$AT$3&lt;=CU$7),ROUND(CU101*($AP$3+#REF!),-1),""))</f>
        <v/>
      </c>
      <c r="CW101" s="503"/>
      <c r="CX101" s="503" t="str">
        <f>IF($G101="","",IF(AND($G101&gt;=30,$AT$3&lt;=CW$7),ROUND(CW101*($AP$3+#REF!),-1),""))</f>
        <v/>
      </c>
      <c r="CY101" s="502"/>
      <c r="CZ101" s="503" t="str">
        <f>IF($G101="","",IF(AND($G101&gt;=30,$AT$3&lt;=CY$7),ROUND(CY101*($AP$3+#REF!),-1),""))</f>
        <v/>
      </c>
      <c r="DA101" s="503"/>
      <c r="DB101" s="503" t="str">
        <f>IF($G101="","",IF(AND($G101&gt;=30,$AT$3&lt;=DA$7),ROUND(DA101*($AP$3+#REF!),-1),""))</f>
        <v/>
      </c>
      <c r="DC101" s="502"/>
      <c r="DD101" s="503" t="str">
        <f>IF($G101="","",IF(AND($G101&gt;=30,$AT$3&lt;=DC$7),ROUND(DC101*($AP$3+#REF!),-1),""))</f>
        <v/>
      </c>
      <c r="DE101" s="503"/>
      <c r="DF101" s="503" t="str">
        <f>IF($G101="","",IF(AND($G101&gt;=30,$AT$3&lt;=DE$7),ROUND(DE101*($AP$3+#REF!),-1),""))</f>
        <v/>
      </c>
      <c r="DG101" s="503"/>
      <c r="DH101" s="503" t="str">
        <f>IF($G101="","",IF(AND($G101&gt;=30,$AT$3&lt;=DG$7),ROUND(DG101*($AP$3+#REF!),-1),""))</f>
        <v/>
      </c>
      <c r="DI101" s="503"/>
      <c r="DJ101" s="503" t="str">
        <f>IF($G101="","",IF(AND($G101&gt;=30,$AT$3&lt;=DI$7),ROUND(DI101*($AP$3+#REF!),-1),""))</f>
        <v/>
      </c>
      <c r="DK101" s="503"/>
      <c r="DL101" s="503" t="str">
        <f>IF($G101="","",IF(AND($G101&gt;=30,$AT$3&lt;=DK$7),ROUND(DK101*($AP$3+#REF!),-1),""))</f>
        <v/>
      </c>
      <c r="DM101" s="503"/>
      <c r="DN101" s="503" t="str">
        <f>IF($G101="","",IF(AND($G101&gt;=30,$AT$3&lt;=DM$7),ROUND(DM101*($AP$3+#REF!),-1),""))</f>
        <v/>
      </c>
      <c r="DO101" s="503"/>
      <c r="DP101" s="503" t="str">
        <f>IF($G101="","",IF(AND($G101&gt;=30,$AT$3&lt;=DO$7),ROUND(DO101*($AP$3+#REF!),-1),""))</f>
        <v/>
      </c>
      <c r="DQ101" s="503"/>
      <c r="DR101" s="503" t="str">
        <f>IF($G101="","",IF(AND($G101&gt;=30,$AT$3&lt;=DQ$7),ROUND(DQ101*($AP$3+#REF!),-1),""))</f>
        <v/>
      </c>
      <c r="DS101" s="503"/>
      <c r="DT101" s="503" t="str">
        <f>IF($G101="","",IF(AND($G101&gt;=30,$AT$3&lt;=DS$7),ROUND(DS101*($AP$3+#REF!),-1),""))</f>
        <v/>
      </c>
      <c r="DU101" s="503"/>
      <c r="DV101" s="503" t="str">
        <f>IF($G101="","",IF(AND($G101&gt;=30,$AT$3&lt;=DU$7),ROUND(DU101*($AP$3+#REF!),-1),""))</f>
        <v/>
      </c>
      <c r="DW101" s="503"/>
      <c r="DX101" s="503" t="str">
        <f>IF($G101="","",IF(AND($G101&gt;=30,$AT$3&lt;=DW$7),ROUND(DW101*($AP$3+#REF!),-1),""))</f>
        <v/>
      </c>
      <c r="DY101" s="503"/>
      <c r="DZ101" s="503" t="str">
        <f>IF($G101="","",IF(AND($G101&gt;=30,$AT$3&lt;=DY$7),ROUND(DY101*($AP$3+#REF!),-1),""))</f>
        <v/>
      </c>
      <c r="EA101" s="503"/>
      <c r="EB101" s="503" t="str">
        <f>IF($G101="","",IF(AND($G101&gt;=30,$AT$3&lt;=EA$7),ROUND(EA101*($AP$3+#REF!),-1),""))</f>
        <v/>
      </c>
      <c r="EC101" s="504" t="s">
        <v>621</v>
      </c>
      <c r="ED101" s="1126"/>
      <c r="EE101" s="325">
        <v>9</v>
      </c>
    </row>
    <row r="102" spans="1:135" ht="9.75" customHeight="1">
      <c r="A102" s="321" t="str">
        <f t="shared" si="21"/>
        <v/>
      </c>
      <c r="B102" s="567" t="e">
        <f>(ii!$D$13*12+V102)+1</f>
        <v>#REF!</v>
      </c>
      <c r="C102" s="337">
        <f t="shared" si="30"/>
        <v>45230</v>
      </c>
      <c r="D102" s="484">
        <f t="shared" si="25"/>
        <v>2023</v>
      </c>
      <c r="E102" s="484">
        <f t="shared" si="26"/>
        <v>0.83333333333333337</v>
      </c>
      <c r="F102" s="484">
        <f t="shared" si="27"/>
        <v>2023.8333333333333</v>
      </c>
      <c r="G102" s="485" t="str">
        <f>IF(OR(C102&lt;$I$2,C102&gt;$J$3),"",(ii!$D$13*12+V102+1)/12)</f>
        <v/>
      </c>
      <c r="H102" s="486"/>
      <c r="I102" s="486"/>
      <c r="J102" s="487"/>
      <c r="K102" s="488"/>
      <c r="L102" s="548"/>
      <c r="M102" s="489" t="str">
        <f t="shared" si="32"/>
        <v/>
      </c>
      <c r="N102" s="490" t="s">
        <v>621</v>
      </c>
      <c r="O102" s="490" t="str">
        <f t="shared" si="28"/>
        <v/>
      </c>
      <c r="P102" s="491"/>
      <c r="Q102" s="491"/>
      <c r="R102" s="491" t="str">
        <f t="shared" si="29"/>
        <v/>
      </c>
      <c r="S102" s="528" t="str">
        <f t="shared" si="24"/>
        <v/>
      </c>
      <c r="T102" s="528" t="str">
        <f t="shared" si="23"/>
        <v/>
      </c>
      <c r="U102" s="493" t="str">
        <f>IF(H102="","",#REF!*12+#REF!+#REF!*12+#REF!)</f>
        <v/>
      </c>
      <c r="V102" s="338" t="e">
        <f>IF(ii!$J$3&gt;gg!C102,"",IF(AND((YEAR(C102)=YEAR($I$2)),MONTH(C102)=MONTH($I$2)),ii!$B$14*12+ii!$C$14+ii!$B$15*12+ii!$C$15-1,V101+1))</f>
        <v>#REF!</v>
      </c>
      <c r="W102" s="339" t="e">
        <f t="shared" si="31"/>
        <v>#REF!</v>
      </c>
      <c r="X102" s="494" t="s">
        <v>621</v>
      </c>
      <c r="Y102" s="495" t="s">
        <v>621</v>
      </c>
      <c r="Z102" s="496"/>
      <c r="AA102" s="497"/>
      <c r="AB102" s="498" t="str">
        <f t="shared" si="35"/>
        <v/>
      </c>
      <c r="AC102" s="484" t="str">
        <f t="shared" si="33"/>
        <v/>
      </c>
      <c r="AD102" s="495" t="str">
        <f t="shared" si="34"/>
        <v/>
      </c>
      <c r="AE102" s="499" t="s">
        <v>621</v>
      </c>
      <c r="AF102" s="500" t="s">
        <v>621</v>
      </c>
      <c r="AG102" s="556" t="s">
        <v>621</v>
      </c>
      <c r="AH102" s="503" t="str">
        <f>IF($G102="","",IF(AND($G102&gt;=30,$AT$3&lt;=AG$7),ROUND(AG102*($AP$3+#REF!),-1),""))</f>
        <v/>
      </c>
      <c r="AI102" s="506" t="s">
        <v>621</v>
      </c>
      <c r="AJ102" s="503" t="str">
        <f>IF($G102="","",IF(AND($G102&gt;=30,$AT$3&lt;=AI$7),ROUND(AI102*($AP$3+#REF!),-1),""))</f>
        <v/>
      </c>
      <c r="AK102" s="506" t="s">
        <v>621</v>
      </c>
      <c r="AL102" s="503" t="str">
        <f>IF($G102="","",IF(AND($G102&gt;=30,$AT$3&lt;=AK$7),ROUND(AK102*($AP$3+#REF!),-1),""))</f>
        <v/>
      </c>
      <c r="AM102" s="506" t="s">
        <v>621</v>
      </c>
      <c r="AN102" s="503" t="str">
        <f>IF($G102="","",IF(AND($G102&gt;=30,$AT$3&lt;=AM$7),ROUND(AM102*($AP$3+#REF!),-1),""))</f>
        <v/>
      </c>
      <c r="AO102" s="503" t="e">
        <v>#REF!</v>
      </c>
      <c r="AP102" s="503" t="str">
        <f>IF($G102="","",IF(AND($G102&gt;=30,$AT$3&lt;=AO$7),ROUND(AO102*($AP$3+#REF!),-1),""))</f>
        <v/>
      </c>
      <c r="AQ102" s="503" t="s">
        <v>621</v>
      </c>
      <c r="AR102" s="503" t="str">
        <f>IF($G102="","",IF(AND($G102&gt;=30,$AT$3&lt;=AQ$7),ROUND(AQ102*($AP$3+#REF!),-1),""))</f>
        <v/>
      </c>
      <c r="AS102" s="503" t="s">
        <v>621</v>
      </c>
      <c r="AT102" s="503" t="str">
        <f>IF($G102="","",IF(AND($G102&gt;=30,$AT$3&lt;=AS$7),ROUND(AS102*($AP$3+#REF!),-1),""))</f>
        <v/>
      </c>
      <c r="AU102" s="517" t="e">
        <v>#REF!</v>
      </c>
      <c r="AV102" s="503" t="str">
        <f>IF($G102="","",IF(AND($G102&gt;=30,$AT$3&lt;=AU$7),ROUND(AU102*($AP$3+#REF!),-1),""))</f>
        <v/>
      </c>
      <c r="AW102" s="503"/>
      <c r="AX102" s="503" t="str">
        <f>IF($G102="","",IF(AND($G102&gt;=30,$AT$3&lt;=AW$7),ROUND(AW102*($AP$3+#REF!),-1),""))</f>
        <v/>
      </c>
      <c r="AY102" s="502"/>
      <c r="AZ102" s="503" t="str">
        <f>IF($G102="","",IF(AND($G102&gt;=30,$AT$3&lt;=AY$7),ROUND(AY102*($AP$3+#REF!),-1),""))</f>
        <v/>
      </c>
      <c r="BA102" s="503"/>
      <c r="BB102" s="503" t="str">
        <f>IF($G102="","",IF(AND($G102&gt;=30,$AT$3&lt;=BA$7),ROUND(BA102*($AP$3+#REF!),-1),""))</f>
        <v/>
      </c>
      <c r="BC102" s="502"/>
      <c r="BD102" s="503" t="str">
        <f>IF($G102="","",IF(AND($G102&gt;=30,$AT$3&lt;=BC$7),ROUND(BC102*($AP$3+#REF!),-1),""))</f>
        <v/>
      </c>
      <c r="BE102" s="503"/>
      <c r="BF102" s="503" t="str">
        <f>IF($G102="","",IF(AND($G102&gt;=30,$AT$3&lt;=BE$7),ROUND(BE102*($AP$3+#REF!),-1),""))</f>
        <v/>
      </c>
      <c r="BG102" s="502"/>
      <c r="BH102" s="503" t="str">
        <f>IF($G102="","",IF(AND($G102&gt;=30,$AT$3&lt;=BG$7),ROUND(BG102*($AP$3+#REF!),-1),""))</f>
        <v/>
      </c>
      <c r="BI102" s="503"/>
      <c r="BJ102" s="503" t="str">
        <f>IF($G102="","",IF(AND($G102&gt;=30,$AT$3&lt;=BI$7),ROUND(BI102*($AP$3+#REF!),-1),""))</f>
        <v/>
      </c>
      <c r="BK102" s="502"/>
      <c r="BL102" s="503" t="str">
        <f>IF($G102="","",IF(AND($G102&gt;=30,$AT$3&lt;=BK$7),ROUND(BK102*($AP$3+#REF!),-1),""))</f>
        <v/>
      </c>
      <c r="BM102" s="503"/>
      <c r="BN102" s="503" t="str">
        <f>IF($G102="","",IF(AND($G102&gt;=30,$AT$3&lt;=BM$7),ROUND(BM102*($AP$3+#REF!),-1),""))</f>
        <v/>
      </c>
      <c r="BO102" s="502"/>
      <c r="BP102" s="503" t="str">
        <f>IF($G102="","",IF(AND($G102&gt;=30,$AT$3&lt;=BO$7),ROUND(BO102*($AP$3+#REF!),-1),""))</f>
        <v/>
      </c>
      <c r="BQ102" s="503"/>
      <c r="BR102" s="503" t="str">
        <f>IF($G102="","",IF(AND($G102&gt;=30,$AT$3&lt;=BQ$7),ROUND(BQ102*($AP$3+#REF!),-1),""))</f>
        <v/>
      </c>
      <c r="BS102" s="502"/>
      <c r="BT102" s="503" t="str">
        <f>IF($G102="","",IF(AND($G102&gt;=30,$AT$3&lt;=BS$7),ROUND(BS102*($AP$3+#REF!),-1),""))</f>
        <v/>
      </c>
      <c r="BU102" s="503"/>
      <c r="BV102" s="503" t="str">
        <f>IF($G102="","",IF(AND($G102&gt;=30,$AT$3&lt;=BU$7),ROUND(BU102*($AP$3+#REF!),-1),""))</f>
        <v/>
      </c>
      <c r="BW102" s="502"/>
      <c r="BX102" s="503" t="str">
        <f>IF($G102="","",IF(AND($G102&gt;=30,$AT$3&lt;=BW$7),ROUND(BW102*($AP$3+#REF!),-1),""))</f>
        <v/>
      </c>
      <c r="BY102" s="503"/>
      <c r="BZ102" s="503" t="str">
        <f>IF($G102="","",IF(AND($G102&gt;=30,$AT$3&lt;=BY$7),ROUND(BY102*($AP$3+#REF!),-1),""))</f>
        <v/>
      </c>
      <c r="CA102" s="502"/>
      <c r="CB102" s="503" t="str">
        <f>IF($G102="","",IF(AND($G102&gt;=30,$AT$3&lt;=CA$7),ROUND(CA102*($AP$3+#REF!),-1),""))</f>
        <v/>
      </c>
      <c r="CC102" s="503"/>
      <c r="CD102" s="503" t="str">
        <f>IF($G102="","",IF(AND($G102&gt;=30,$AT$3&lt;=CC$7),ROUND(CC102*($AP$3+#REF!),-1),""))</f>
        <v/>
      </c>
      <c r="CE102" s="502"/>
      <c r="CF102" s="503" t="str">
        <f>IF($G102="","",IF(AND($G102&gt;=30,$AT$3&lt;=CE$7),ROUND(CE102*($AP$3+#REF!),-1),""))</f>
        <v/>
      </c>
      <c r="CG102" s="503"/>
      <c r="CH102" s="503" t="str">
        <f>IF($G102="","",IF(AND($G102&gt;=30,$AT$3&lt;=CG$7),ROUND(CG102*($AP$3+#REF!),-1),""))</f>
        <v/>
      </c>
      <c r="CI102" s="502"/>
      <c r="CJ102" s="503" t="str">
        <f>IF($G102="","",IF(AND($G102&gt;=30,$AT$3&lt;=CI$7),ROUND(CI102*($AP$3+#REF!),-1),""))</f>
        <v/>
      </c>
      <c r="CK102" s="503"/>
      <c r="CL102" s="503" t="str">
        <f>IF($G102="","",IF(AND($G102&gt;=30,$AT$3&lt;=CK$7),ROUND(CK102*($AP$3+#REF!),-1),""))</f>
        <v/>
      </c>
      <c r="CM102" s="502"/>
      <c r="CN102" s="503" t="str">
        <f>IF($G102="","",IF(AND($G102&gt;=30,$AT$3&lt;=CM$7),ROUND(CM102*($AP$3+#REF!),-1),""))</f>
        <v/>
      </c>
      <c r="CO102" s="503"/>
      <c r="CP102" s="503" t="str">
        <f>IF($G102="","",IF(AND($G102&gt;=30,$AT$3&lt;=CO$7),ROUND(CO102*($AP$3+#REF!),-1),""))</f>
        <v/>
      </c>
      <c r="CQ102" s="502"/>
      <c r="CR102" s="503" t="str">
        <f>IF($G102="","",IF(AND($G102&gt;=30,$AT$3&lt;=CQ$7),ROUND(CQ102*($AP$3+#REF!),-1),""))</f>
        <v/>
      </c>
      <c r="CS102" s="503"/>
      <c r="CT102" s="503" t="str">
        <f>IF($G102="","",IF(AND($G102&gt;=30,$AT$3&lt;=CS$7),ROUND(CS102*($AP$3+#REF!),-1),""))</f>
        <v/>
      </c>
      <c r="CU102" s="502"/>
      <c r="CV102" s="503" t="str">
        <f>IF($G102="","",IF(AND($G102&gt;=30,$AT$3&lt;=CU$7),ROUND(CU102*($AP$3+#REF!),-1),""))</f>
        <v/>
      </c>
      <c r="CW102" s="503"/>
      <c r="CX102" s="503" t="str">
        <f>IF($G102="","",IF(AND($G102&gt;=30,$AT$3&lt;=CW$7),ROUND(CW102*($AP$3+#REF!),-1),""))</f>
        <v/>
      </c>
      <c r="CY102" s="502"/>
      <c r="CZ102" s="503" t="str">
        <f>IF($G102="","",IF(AND($G102&gt;=30,$AT$3&lt;=CY$7),ROUND(CY102*($AP$3+#REF!),-1),""))</f>
        <v/>
      </c>
      <c r="DA102" s="503"/>
      <c r="DB102" s="503" t="str">
        <f>IF($G102="","",IF(AND($G102&gt;=30,$AT$3&lt;=DA$7),ROUND(DA102*($AP$3+#REF!),-1),""))</f>
        <v/>
      </c>
      <c r="DC102" s="502"/>
      <c r="DD102" s="503" t="str">
        <f>IF($G102="","",IF(AND($G102&gt;=30,$AT$3&lt;=DC$7),ROUND(DC102*($AP$3+#REF!),-1),""))</f>
        <v/>
      </c>
      <c r="DE102" s="503"/>
      <c r="DF102" s="503" t="str">
        <f>IF($G102="","",IF(AND($G102&gt;=30,$AT$3&lt;=DE$7),ROUND(DE102*($AP$3+#REF!),-1),""))</f>
        <v/>
      </c>
      <c r="DG102" s="503"/>
      <c r="DH102" s="503" t="str">
        <f>IF($G102="","",IF(AND($G102&gt;=30,$AT$3&lt;=DG$7),ROUND(DG102*($AP$3+#REF!),-1),""))</f>
        <v/>
      </c>
      <c r="DI102" s="503"/>
      <c r="DJ102" s="503" t="str">
        <f>IF($G102="","",IF(AND($G102&gt;=30,$AT$3&lt;=DI$7),ROUND(DI102*($AP$3+#REF!),-1),""))</f>
        <v/>
      </c>
      <c r="DK102" s="503"/>
      <c r="DL102" s="503" t="str">
        <f>IF($G102="","",IF(AND($G102&gt;=30,$AT$3&lt;=DK$7),ROUND(DK102*($AP$3+#REF!),-1),""))</f>
        <v/>
      </c>
      <c r="DM102" s="503"/>
      <c r="DN102" s="503" t="str">
        <f>IF($G102="","",IF(AND($G102&gt;=30,$AT$3&lt;=DM$7),ROUND(DM102*($AP$3+#REF!),-1),""))</f>
        <v/>
      </c>
      <c r="DO102" s="503"/>
      <c r="DP102" s="503" t="str">
        <f>IF($G102="","",IF(AND($G102&gt;=30,$AT$3&lt;=DO$7),ROUND(DO102*($AP$3+#REF!),-1),""))</f>
        <v/>
      </c>
      <c r="DQ102" s="503"/>
      <c r="DR102" s="503" t="str">
        <f>IF($G102="","",IF(AND($G102&gt;=30,$AT$3&lt;=DQ$7),ROUND(DQ102*($AP$3+#REF!),-1),""))</f>
        <v/>
      </c>
      <c r="DS102" s="503"/>
      <c r="DT102" s="503" t="str">
        <f>IF($G102="","",IF(AND($G102&gt;=30,$AT$3&lt;=DS$7),ROUND(DS102*($AP$3+#REF!),-1),""))</f>
        <v/>
      </c>
      <c r="DU102" s="503"/>
      <c r="DV102" s="503" t="str">
        <f>IF($G102="","",IF(AND($G102&gt;=30,$AT$3&lt;=DU$7),ROUND(DU102*($AP$3+#REF!),-1),""))</f>
        <v/>
      </c>
      <c r="DW102" s="503"/>
      <c r="DX102" s="503" t="str">
        <f>IF($G102="","",IF(AND($G102&gt;=30,$AT$3&lt;=DW$7),ROUND(DW102*($AP$3+#REF!),-1),""))</f>
        <v/>
      </c>
      <c r="DY102" s="503"/>
      <c r="DZ102" s="503" t="str">
        <f>IF($G102="","",IF(AND($G102&gt;=30,$AT$3&lt;=DY$7),ROUND(DY102*($AP$3+#REF!),-1),""))</f>
        <v/>
      </c>
      <c r="EA102" s="503"/>
      <c r="EB102" s="503" t="str">
        <f>IF($G102="","",IF(AND($G102&gt;=30,$AT$3&lt;=EA$7),ROUND(EA102*($AP$3+#REF!),-1),""))</f>
        <v/>
      </c>
      <c r="EC102" s="504" t="s">
        <v>621</v>
      </c>
      <c r="ED102" s="1126"/>
      <c r="EE102" s="325">
        <v>10</v>
      </c>
    </row>
    <row r="103" spans="1:135" ht="9.75" customHeight="1">
      <c r="A103" s="321" t="str">
        <f t="shared" si="21"/>
        <v/>
      </c>
      <c r="B103" s="567" t="e">
        <f>(ii!$D$13*12+V103)+1</f>
        <v>#REF!</v>
      </c>
      <c r="C103" s="337">
        <f t="shared" si="30"/>
        <v>45260</v>
      </c>
      <c r="D103" s="484">
        <f t="shared" si="25"/>
        <v>2023</v>
      </c>
      <c r="E103" s="484">
        <f t="shared" si="26"/>
        <v>0.91666666666666663</v>
      </c>
      <c r="F103" s="484">
        <f t="shared" si="27"/>
        <v>2023.9166666666667</v>
      </c>
      <c r="G103" s="485" t="str">
        <f>IF(OR(C103&lt;$I$2,C103&gt;$J$3),"",(ii!$D$13*12+V103+1)/12)</f>
        <v/>
      </c>
      <c r="H103" s="486"/>
      <c r="I103" s="486"/>
      <c r="J103" s="487"/>
      <c r="K103" s="488"/>
      <c r="L103" s="548"/>
      <c r="M103" s="489" t="str">
        <f t="shared" si="32"/>
        <v/>
      </c>
      <c r="N103" s="490" t="s">
        <v>621</v>
      </c>
      <c r="O103" s="490" t="str">
        <f t="shared" si="28"/>
        <v/>
      </c>
      <c r="P103" s="491"/>
      <c r="Q103" s="491"/>
      <c r="R103" s="491" t="str">
        <f t="shared" si="29"/>
        <v/>
      </c>
      <c r="S103" s="528" t="str">
        <f t="shared" si="24"/>
        <v/>
      </c>
      <c r="T103" s="528" t="str">
        <f t="shared" si="23"/>
        <v/>
      </c>
      <c r="U103" s="493" t="str">
        <f>IF(H103="","",#REF!*12+#REF!+#REF!*12+#REF!)</f>
        <v/>
      </c>
      <c r="V103" s="338" t="e">
        <f>IF(ii!$J$3&gt;gg!C103,"",IF(AND((YEAR(C103)=YEAR($I$2)),MONTH(C103)=MONTH($I$2)),ii!$B$14*12+ii!$C$14+ii!$B$15*12+ii!$C$15-1,V102+1))</f>
        <v>#REF!</v>
      </c>
      <c r="W103" s="339" t="e">
        <f t="shared" si="31"/>
        <v>#REF!</v>
      </c>
      <c r="X103" s="494" t="s">
        <v>621</v>
      </c>
      <c r="Y103" s="495" t="s">
        <v>621</v>
      </c>
      <c r="Z103" s="496"/>
      <c r="AA103" s="497"/>
      <c r="AB103" s="498" t="str">
        <f t="shared" si="35"/>
        <v/>
      </c>
      <c r="AC103" s="484" t="str">
        <f t="shared" si="33"/>
        <v/>
      </c>
      <c r="AD103" s="495" t="str">
        <f t="shared" si="34"/>
        <v/>
      </c>
      <c r="AE103" s="499" t="s">
        <v>621</v>
      </c>
      <c r="AF103" s="500" t="s">
        <v>621</v>
      </c>
      <c r="AG103" s="556" t="s">
        <v>621</v>
      </c>
      <c r="AH103" s="503" t="str">
        <f>IF($G103="","",IF(AND($G103&gt;=30,$AT$3&lt;=AG$7),ROUND(AG103*($AP$3+#REF!),-1),""))</f>
        <v/>
      </c>
      <c r="AI103" s="506" t="s">
        <v>621</v>
      </c>
      <c r="AJ103" s="503" t="str">
        <f>IF($G103="","",IF(AND($G103&gt;=30,$AT$3&lt;=AI$7),ROUND(AI103*($AP$3+#REF!),-1),""))</f>
        <v/>
      </c>
      <c r="AK103" s="506" t="s">
        <v>621</v>
      </c>
      <c r="AL103" s="503" t="str">
        <f>IF($G103="","",IF(AND($G103&gt;=30,$AT$3&lt;=AK$7),ROUND(AK103*($AP$3+#REF!),-1),""))</f>
        <v/>
      </c>
      <c r="AM103" s="506" t="s">
        <v>621</v>
      </c>
      <c r="AN103" s="503" t="str">
        <f>IF($G103="","",IF(AND($G103&gt;=30,$AT$3&lt;=AM$7),ROUND(AM103*($AP$3+#REF!),-1),""))</f>
        <v/>
      </c>
      <c r="AO103" s="503" t="e">
        <v>#REF!</v>
      </c>
      <c r="AP103" s="503" t="str">
        <f>IF($G103="","",IF(AND($G103&gt;=30,$AT$3&lt;=AO$7),ROUND(AO103*($AP$3+#REF!),-1),""))</f>
        <v/>
      </c>
      <c r="AQ103" s="503" t="s">
        <v>621</v>
      </c>
      <c r="AR103" s="503" t="str">
        <f>IF($G103="","",IF(AND($G103&gt;=30,$AT$3&lt;=AQ$7),ROUND(AQ103*($AP$3+#REF!),-1),""))</f>
        <v/>
      </c>
      <c r="AS103" s="503" t="s">
        <v>621</v>
      </c>
      <c r="AT103" s="503" t="str">
        <f>IF($G103="","",IF(AND($G103&gt;=30,$AT$3&lt;=AS$7),ROUND(AS103*($AP$3+#REF!),-1),""))</f>
        <v/>
      </c>
      <c r="AU103" s="517" t="e">
        <v>#REF!</v>
      </c>
      <c r="AV103" s="503" t="str">
        <f>IF($G103="","",IF(AND($G103&gt;=30,$AT$3&lt;=AU$7),ROUND(AU103*($AP$3+#REF!),-1),""))</f>
        <v/>
      </c>
      <c r="AW103" s="503"/>
      <c r="AX103" s="503" t="str">
        <f>IF($G103="","",IF(AND($G103&gt;=30,$AT$3&lt;=AW$7),ROUND(AW103*($AP$3+#REF!),-1),""))</f>
        <v/>
      </c>
      <c r="AY103" s="502"/>
      <c r="AZ103" s="503" t="str">
        <f>IF($G103="","",IF(AND($G103&gt;=30,$AT$3&lt;=AY$7),ROUND(AY103*($AP$3+#REF!),-1),""))</f>
        <v/>
      </c>
      <c r="BA103" s="503"/>
      <c r="BB103" s="503" t="str">
        <f>IF($G103="","",IF(AND($G103&gt;=30,$AT$3&lt;=BA$7),ROUND(BA103*($AP$3+#REF!),-1),""))</f>
        <v/>
      </c>
      <c r="BC103" s="502"/>
      <c r="BD103" s="503" t="str">
        <f>IF($G103="","",IF(AND($G103&gt;=30,$AT$3&lt;=BC$7),ROUND(BC103*($AP$3+#REF!),-1),""))</f>
        <v/>
      </c>
      <c r="BE103" s="503"/>
      <c r="BF103" s="503" t="str">
        <f>IF($G103="","",IF(AND($G103&gt;=30,$AT$3&lt;=BE$7),ROUND(BE103*($AP$3+#REF!),-1),""))</f>
        <v/>
      </c>
      <c r="BG103" s="502"/>
      <c r="BH103" s="503" t="str">
        <f>IF($G103="","",IF(AND($G103&gt;=30,$AT$3&lt;=BG$7),ROUND(BG103*($AP$3+#REF!),-1),""))</f>
        <v/>
      </c>
      <c r="BI103" s="503"/>
      <c r="BJ103" s="503" t="str">
        <f>IF($G103="","",IF(AND($G103&gt;=30,$AT$3&lt;=BI$7),ROUND(BI103*($AP$3+#REF!),-1),""))</f>
        <v/>
      </c>
      <c r="BK103" s="502"/>
      <c r="BL103" s="503" t="str">
        <f>IF($G103="","",IF(AND($G103&gt;=30,$AT$3&lt;=BK$7),ROUND(BK103*($AP$3+#REF!),-1),""))</f>
        <v/>
      </c>
      <c r="BM103" s="503"/>
      <c r="BN103" s="503" t="str">
        <f>IF($G103="","",IF(AND($G103&gt;=30,$AT$3&lt;=BM$7),ROUND(BM103*($AP$3+#REF!),-1),""))</f>
        <v/>
      </c>
      <c r="BO103" s="502"/>
      <c r="BP103" s="503" t="str">
        <f>IF($G103="","",IF(AND($G103&gt;=30,$AT$3&lt;=BO$7),ROUND(BO103*($AP$3+#REF!),-1),""))</f>
        <v/>
      </c>
      <c r="BQ103" s="503"/>
      <c r="BR103" s="503" t="str">
        <f>IF($G103="","",IF(AND($G103&gt;=30,$AT$3&lt;=BQ$7),ROUND(BQ103*($AP$3+#REF!),-1),""))</f>
        <v/>
      </c>
      <c r="BS103" s="502"/>
      <c r="BT103" s="503" t="str">
        <f>IF($G103="","",IF(AND($G103&gt;=30,$AT$3&lt;=BS$7),ROUND(BS103*($AP$3+#REF!),-1),""))</f>
        <v/>
      </c>
      <c r="BU103" s="503"/>
      <c r="BV103" s="503" t="str">
        <f>IF($G103="","",IF(AND($G103&gt;=30,$AT$3&lt;=BU$7),ROUND(BU103*($AP$3+#REF!),-1),""))</f>
        <v/>
      </c>
      <c r="BW103" s="502"/>
      <c r="BX103" s="503" t="str">
        <f>IF($G103="","",IF(AND($G103&gt;=30,$AT$3&lt;=BW$7),ROUND(BW103*($AP$3+#REF!),-1),""))</f>
        <v/>
      </c>
      <c r="BY103" s="503"/>
      <c r="BZ103" s="503" t="str">
        <f>IF($G103="","",IF(AND($G103&gt;=30,$AT$3&lt;=BY$7),ROUND(BY103*($AP$3+#REF!),-1),""))</f>
        <v/>
      </c>
      <c r="CA103" s="502"/>
      <c r="CB103" s="503" t="str">
        <f>IF($G103="","",IF(AND($G103&gt;=30,$AT$3&lt;=CA$7),ROUND(CA103*($AP$3+#REF!),-1),""))</f>
        <v/>
      </c>
      <c r="CC103" s="503"/>
      <c r="CD103" s="503" t="str">
        <f>IF($G103="","",IF(AND($G103&gt;=30,$AT$3&lt;=CC$7),ROUND(CC103*($AP$3+#REF!),-1),""))</f>
        <v/>
      </c>
      <c r="CE103" s="502"/>
      <c r="CF103" s="503" t="str">
        <f>IF($G103="","",IF(AND($G103&gt;=30,$AT$3&lt;=CE$7),ROUND(CE103*($AP$3+#REF!),-1),""))</f>
        <v/>
      </c>
      <c r="CG103" s="503"/>
      <c r="CH103" s="503" t="str">
        <f>IF($G103="","",IF(AND($G103&gt;=30,$AT$3&lt;=CG$7),ROUND(CG103*($AP$3+#REF!),-1),""))</f>
        <v/>
      </c>
      <c r="CI103" s="502"/>
      <c r="CJ103" s="503" t="str">
        <f>IF($G103="","",IF(AND($G103&gt;=30,$AT$3&lt;=CI$7),ROUND(CI103*($AP$3+#REF!),-1),""))</f>
        <v/>
      </c>
      <c r="CK103" s="503"/>
      <c r="CL103" s="503" t="str">
        <f>IF($G103="","",IF(AND($G103&gt;=30,$AT$3&lt;=CK$7),ROUND(CK103*($AP$3+#REF!),-1),""))</f>
        <v/>
      </c>
      <c r="CM103" s="502"/>
      <c r="CN103" s="503" t="str">
        <f>IF($G103="","",IF(AND($G103&gt;=30,$AT$3&lt;=CM$7),ROUND(CM103*($AP$3+#REF!),-1),""))</f>
        <v/>
      </c>
      <c r="CO103" s="503"/>
      <c r="CP103" s="503" t="str">
        <f>IF($G103="","",IF(AND($G103&gt;=30,$AT$3&lt;=CO$7),ROUND(CO103*($AP$3+#REF!),-1),""))</f>
        <v/>
      </c>
      <c r="CQ103" s="502"/>
      <c r="CR103" s="503" t="str">
        <f>IF($G103="","",IF(AND($G103&gt;=30,$AT$3&lt;=CQ$7),ROUND(CQ103*($AP$3+#REF!),-1),""))</f>
        <v/>
      </c>
      <c r="CS103" s="503"/>
      <c r="CT103" s="503" t="str">
        <f>IF($G103="","",IF(AND($G103&gt;=30,$AT$3&lt;=CS$7),ROUND(CS103*($AP$3+#REF!),-1),""))</f>
        <v/>
      </c>
      <c r="CU103" s="502"/>
      <c r="CV103" s="503" t="str">
        <f>IF($G103="","",IF(AND($G103&gt;=30,$AT$3&lt;=CU$7),ROUND(CU103*($AP$3+#REF!),-1),""))</f>
        <v/>
      </c>
      <c r="CW103" s="503"/>
      <c r="CX103" s="503" t="str">
        <f>IF($G103="","",IF(AND($G103&gt;=30,$AT$3&lt;=CW$7),ROUND(CW103*($AP$3+#REF!),-1),""))</f>
        <v/>
      </c>
      <c r="CY103" s="502"/>
      <c r="CZ103" s="503" t="str">
        <f>IF($G103="","",IF(AND($G103&gt;=30,$AT$3&lt;=CY$7),ROUND(CY103*($AP$3+#REF!),-1),""))</f>
        <v/>
      </c>
      <c r="DA103" s="503"/>
      <c r="DB103" s="503" t="str">
        <f>IF($G103="","",IF(AND($G103&gt;=30,$AT$3&lt;=DA$7),ROUND(DA103*($AP$3+#REF!),-1),""))</f>
        <v/>
      </c>
      <c r="DC103" s="502"/>
      <c r="DD103" s="503" t="str">
        <f>IF($G103="","",IF(AND($G103&gt;=30,$AT$3&lt;=DC$7),ROUND(DC103*($AP$3+#REF!),-1),""))</f>
        <v/>
      </c>
      <c r="DE103" s="503"/>
      <c r="DF103" s="503" t="str">
        <f>IF($G103="","",IF(AND($G103&gt;=30,$AT$3&lt;=DE$7),ROUND(DE103*($AP$3+#REF!),-1),""))</f>
        <v/>
      </c>
      <c r="DG103" s="503"/>
      <c r="DH103" s="503" t="str">
        <f>IF($G103="","",IF(AND($G103&gt;=30,$AT$3&lt;=DG$7),ROUND(DG103*($AP$3+#REF!),-1),""))</f>
        <v/>
      </c>
      <c r="DI103" s="503"/>
      <c r="DJ103" s="503" t="str">
        <f>IF($G103="","",IF(AND($G103&gt;=30,$AT$3&lt;=DI$7),ROUND(DI103*($AP$3+#REF!),-1),""))</f>
        <v/>
      </c>
      <c r="DK103" s="503"/>
      <c r="DL103" s="503" t="str">
        <f>IF($G103="","",IF(AND($G103&gt;=30,$AT$3&lt;=DK$7),ROUND(DK103*($AP$3+#REF!),-1),""))</f>
        <v/>
      </c>
      <c r="DM103" s="503"/>
      <c r="DN103" s="503" t="str">
        <f>IF($G103="","",IF(AND($G103&gt;=30,$AT$3&lt;=DM$7),ROUND(DM103*($AP$3+#REF!),-1),""))</f>
        <v/>
      </c>
      <c r="DO103" s="503"/>
      <c r="DP103" s="503" t="str">
        <f>IF($G103="","",IF(AND($G103&gt;=30,$AT$3&lt;=DO$7),ROUND(DO103*($AP$3+#REF!),-1),""))</f>
        <v/>
      </c>
      <c r="DQ103" s="503"/>
      <c r="DR103" s="503" t="str">
        <f>IF($G103="","",IF(AND($G103&gt;=30,$AT$3&lt;=DQ$7),ROUND(DQ103*($AP$3+#REF!),-1),""))</f>
        <v/>
      </c>
      <c r="DS103" s="503"/>
      <c r="DT103" s="503" t="str">
        <f>IF($G103="","",IF(AND($G103&gt;=30,$AT$3&lt;=DS$7),ROUND(DS103*($AP$3+#REF!),-1),""))</f>
        <v/>
      </c>
      <c r="DU103" s="503"/>
      <c r="DV103" s="503" t="str">
        <f>IF($G103="","",IF(AND($G103&gt;=30,$AT$3&lt;=DU$7),ROUND(DU103*($AP$3+#REF!),-1),""))</f>
        <v/>
      </c>
      <c r="DW103" s="503"/>
      <c r="DX103" s="503" t="str">
        <f>IF($G103="","",IF(AND($G103&gt;=30,$AT$3&lt;=DW$7),ROUND(DW103*($AP$3+#REF!),-1),""))</f>
        <v/>
      </c>
      <c r="DY103" s="503"/>
      <c r="DZ103" s="503" t="str">
        <f>IF($G103="","",IF(AND($G103&gt;=30,$AT$3&lt;=DY$7),ROUND(DY103*($AP$3+#REF!),-1),""))</f>
        <v/>
      </c>
      <c r="EA103" s="503"/>
      <c r="EB103" s="503" t="str">
        <f>IF($G103="","",IF(AND($G103&gt;=30,$AT$3&lt;=EA$7),ROUND(EA103*($AP$3+#REF!),-1),""))</f>
        <v/>
      </c>
      <c r="EC103" s="504" t="s">
        <v>621</v>
      </c>
      <c r="ED103" s="1126"/>
      <c r="EE103" s="325">
        <v>11</v>
      </c>
    </row>
    <row r="104" spans="1:135" ht="9.75" customHeight="1">
      <c r="A104" s="321" t="str">
        <f t="shared" si="21"/>
        <v/>
      </c>
      <c r="B104" s="567" t="e">
        <f>(ii!$D$13*12+V104)+1</f>
        <v>#REF!</v>
      </c>
      <c r="C104" s="337">
        <f t="shared" si="30"/>
        <v>45291</v>
      </c>
      <c r="D104" s="484">
        <f t="shared" si="25"/>
        <v>2023</v>
      </c>
      <c r="E104" s="484">
        <f t="shared" si="26"/>
        <v>1</v>
      </c>
      <c r="F104" s="484">
        <f t="shared" si="27"/>
        <v>2024</v>
      </c>
      <c r="G104" s="485" t="str">
        <f>IF(OR(C104&lt;$I$2,C104&gt;$J$3),"",(ii!$D$13*12+V104+1)/12)</f>
        <v/>
      </c>
      <c r="H104" s="486"/>
      <c r="I104" s="486"/>
      <c r="J104" s="487"/>
      <c r="K104" s="488"/>
      <c r="L104" s="548"/>
      <c r="M104" s="489" t="str">
        <f t="shared" si="32"/>
        <v/>
      </c>
      <c r="N104" s="490" t="s">
        <v>621</v>
      </c>
      <c r="O104" s="490" t="str">
        <f t="shared" si="28"/>
        <v/>
      </c>
      <c r="P104" s="491"/>
      <c r="Q104" s="491"/>
      <c r="R104" s="491" t="str">
        <f t="shared" si="29"/>
        <v/>
      </c>
      <c r="S104" s="528" t="str">
        <f t="shared" si="24"/>
        <v/>
      </c>
      <c r="T104" s="528" t="str">
        <f t="shared" si="23"/>
        <v/>
      </c>
      <c r="U104" s="493" t="str">
        <f>IF(H104="","",#REF!*12+#REF!+#REF!*12+#REF!)</f>
        <v/>
      </c>
      <c r="V104" s="338" t="e">
        <f>IF(ii!$J$3&gt;gg!C104,"",IF(AND((YEAR(C104)=YEAR($I$2)),MONTH(C104)=MONTH($I$2)),ii!$B$14*12+ii!$C$14+ii!$B$15*12+ii!$C$15-1,V103+1))</f>
        <v>#REF!</v>
      </c>
      <c r="W104" s="339" t="e">
        <f t="shared" si="31"/>
        <v>#REF!</v>
      </c>
      <c r="X104" s="494" t="s">
        <v>621</v>
      </c>
      <c r="Y104" s="495" t="s">
        <v>621</v>
      </c>
      <c r="Z104" s="496"/>
      <c r="AA104" s="497"/>
      <c r="AB104" s="498" t="str">
        <f t="shared" si="35"/>
        <v/>
      </c>
      <c r="AC104" s="484" t="str">
        <f t="shared" si="33"/>
        <v/>
      </c>
      <c r="AD104" s="495" t="str">
        <f t="shared" si="34"/>
        <v/>
      </c>
      <c r="AE104" s="499" t="s">
        <v>621</v>
      </c>
      <c r="AF104" s="500" t="s">
        <v>621</v>
      </c>
      <c r="AG104" s="556" t="s">
        <v>621</v>
      </c>
      <c r="AH104" s="503" t="str">
        <f>IF($G104="","",IF(AND($G104&gt;=30,$AT$3&lt;=AG$7),ROUND(AG104*($AP$3+#REF!),-1),""))</f>
        <v/>
      </c>
      <c r="AI104" s="506" t="s">
        <v>621</v>
      </c>
      <c r="AJ104" s="503" t="str">
        <f>IF($G104="","",IF(AND($G104&gt;=30,$AT$3&lt;=AI$7),ROUND(AI104*($AP$3+#REF!),-1),""))</f>
        <v/>
      </c>
      <c r="AK104" s="506" t="s">
        <v>621</v>
      </c>
      <c r="AL104" s="503" t="str">
        <f>IF($G104="","",IF(AND($G104&gt;=30,$AT$3&lt;=AK$7),ROUND(AK104*($AP$3+#REF!),-1),""))</f>
        <v/>
      </c>
      <c r="AM104" s="506" t="s">
        <v>621</v>
      </c>
      <c r="AN104" s="503" t="str">
        <f>IF($G104="","",IF(AND($G104&gt;=30,$AT$3&lt;=AM$7),ROUND(AM104*($AP$3+#REF!),-1),""))</f>
        <v/>
      </c>
      <c r="AO104" s="503" t="e">
        <v>#REF!</v>
      </c>
      <c r="AP104" s="503" t="str">
        <f>IF($G104="","",IF(AND($G104&gt;=30,$AT$3&lt;=AO$7),ROUND(AO104*($AP$3+#REF!),-1),""))</f>
        <v/>
      </c>
      <c r="AQ104" s="503" t="s">
        <v>621</v>
      </c>
      <c r="AR104" s="503" t="str">
        <f>IF($G104="","",IF(AND($G104&gt;=30,$AT$3&lt;=AQ$7),ROUND(AQ104*($AP$3+#REF!),-1),""))</f>
        <v/>
      </c>
      <c r="AS104" s="503" t="s">
        <v>621</v>
      </c>
      <c r="AT104" s="503" t="str">
        <f>IF($G104="","",IF(AND($G104&gt;=30,$AT$3&lt;=AS$7),ROUND(AS104*($AP$3+#REF!),-1),""))</f>
        <v/>
      </c>
      <c r="AU104" s="517" t="e">
        <v>#REF!</v>
      </c>
      <c r="AV104" s="503" t="str">
        <f>IF($G104="","",IF(AND($G104&gt;=30,$AT$3&lt;=AU$7),ROUND(AU104*($AP$3+#REF!),-1),""))</f>
        <v/>
      </c>
      <c r="AW104" s="503"/>
      <c r="AX104" s="503" t="str">
        <f>IF($G104="","",IF(AND($G104&gt;=30,$AT$3&lt;=AW$7),ROUND(AW104*($AP$3+#REF!),-1),""))</f>
        <v/>
      </c>
      <c r="AY104" s="502"/>
      <c r="AZ104" s="503" t="str">
        <f>IF($G104="","",IF(AND($G104&gt;=30,$AT$3&lt;=AY$7),ROUND(AY104*($AP$3+#REF!),-1),""))</f>
        <v/>
      </c>
      <c r="BA104" s="503"/>
      <c r="BB104" s="503" t="str">
        <f>IF($G104="","",IF(AND($G104&gt;=30,$AT$3&lt;=BA$7),ROUND(BA104*($AP$3+#REF!),-1),""))</f>
        <v/>
      </c>
      <c r="BC104" s="502"/>
      <c r="BD104" s="503" t="str">
        <f>IF($G104="","",IF(AND($G104&gt;=30,$AT$3&lt;=BC$7),ROUND(BC104*($AP$3+#REF!),-1),""))</f>
        <v/>
      </c>
      <c r="BE104" s="503"/>
      <c r="BF104" s="503" t="str">
        <f>IF($G104="","",IF(AND($G104&gt;=30,$AT$3&lt;=BE$7),ROUND(BE104*($AP$3+#REF!),-1),""))</f>
        <v/>
      </c>
      <c r="BG104" s="502"/>
      <c r="BH104" s="503" t="str">
        <f>IF($G104="","",IF(AND($G104&gt;=30,$AT$3&lt;=BG$7),ROUND(BG104*($AP$3+#REF!),-1),""))</f>
        <v/>
      </c>
      <c r="BI104" s="503"/>
      <c r="BJ104" s="503" t="str">
        <f>IF($G104="","",IF(AND($G104&gt;=30,$AT$3&lt;=BI$7),ROUND(BI104*($AP$3+#REF!),-1),""))</f>
        <v/>
      </c>
      <c r="BK104" s="502"/>
      <c r="BL104" s="503" t="str">
        <f>IF($G104="","",IF(AND($G104&gt;=30,$AT$3&lt;=BK$7),ROUND(BK104*($AP$3+#REF!),-1),""))</f>
        <v/>
      </c>
      <c r="BM104" s="503"/>
      <c r="BN104" s="503" t="str">
        <f>IF($G104="","",IF(AND($G104&gt;=30,$AT$3&lt;=BM$7),ROUND(BM104*($AP$3+#REF!),-1),""))</f>
        <v/>
      </c>
      <c r="BO104" s="502"/>
      <c r="BP104" s="503" t="str">
        <f>IF($G104="","",IF(AND($G104&gt;=30,$AT$3&lt;=BO$7),ROUND(BO104*($AP$3+#REF!),-1),""))</f>
        <v/>
      </c>
      <c r="BQ104" s="503"/>
      <c r="BR104" s="503" t="str">
        <f>IF($G104="","",IF(AND($G104&gt;=30,$AT$3&lt;=BQ$7),ROUND(BQ104*($AP$3+#REF!),-1),""))</f>
        <v/>
      </c>
      <c r="BS104" s="502"/>
      <c r="BT104" s="503" t="str">
        <f>IF($G104="","",IF(AND($G104&gt;=30,$AT$3&lt;=BS$7),ROUND(BS104*($AP$3+#REF!),-1),""))</f>
        <v/>
      </c>
      <c r="BU104" s="503"/>
      <c r="BV104" s="503" t="str">
        <f>IF($G104="","",IF(AND($G104&gt;=30,$AT$3&lt;=BU$7),ROUND(BU104*($AP$3+#REF!),-1),""))</f>
        <v/>
      </c>
      <c r="BW104" s="502"/>
      <c r="BX104" s="503" t="str">
        <f>IF($G104="","",IF(AND($G104&gt;=30,$AT$3&lt;=BW$7),ROUND(BW104*($AP$3+#REF!),-1),""))</f>
        <v/>
      </c>
      <c r="BY104" s="503"/>
      <c r="BZ104" s="503" t="str">
        <f>IF($G104="","",IF(AND($G104&gt;=30,$AT$3&lt;=BY$7),ROUND(BY104*($AP$3+#REF!),-1),""))</f>
        <v/>
      </c>
      <c r="CA104" s="502"/>
      <c r="CB104" s="503" t="str">
        <f>IF($G104="","",IF(AND($G104&gt;=30,$AT$3&lt;=CA$7),ROUND(CA104*($AP$3+#REF!),-1),""))</f>
        <v/>
      </c>
      <c r="CC104" s="503"/>
      <c r="CD104" s="503" t="str">
        <f>IF($G104="","",IF(AND($G104&gt;=30,$AT$3&lt;=CC$7),ROUND(CC104*($AP$3+#REF!),-1),""))</f>
        <v/>
      </c>
      <c r="CE104" s="502"/>
      <c r="CF104" s="503" t="str">
        <f>IF($G104="","",IF(AND($G104&gt;=30,$AT$3&lt;=CE$7),ROUND(CE104*($AP$3+#REF!),-1),""))</f>
        <v/>
      </c>
      <c r="CG104" s="503"/>
      <c r="CH104" s="503" t="str">
        <f>IF($G104="","",IF(AND($G104&gt;=30,$AT$3&lt;=CG$7),ROUND(CG104*($AP$3+#REF!),-1),""))</f>
        <v/>
      </c>
      <c r="CI104" s="502"/>
      <c r="CJ104" s="503" t="str">
        <f>IF($G104="","",IF(AND($G104&gt;=30,$AT$3&lt;=CI$7),ROUND(CI104*($AP$3+#REF!),-1),""))</f>
        <v/>
      </c>
      <c r="CK104" s="503"/>
      <c r="CL104" s="503" t="str">
        <f>IF($G104="","",IF(AND($G104&gt;=30,$AT$3&lt;=CK$7),ROUND(CK104*($AP$3+#REF!),-1),""))</f>
        <v/>
      </c>
      <c r="CM104" s="502"/>
      <c r="CN104" s="503" t="str">
        <f>IF($G104="","",IF(AND($G104&gt;=30,$AT$3&lt;=CM$7),ROUND(CM104*($AP$3+#REF!),-1),""))</f>
        <v/>
      </c>
      <c r="CO104" s="503"/>
      <c r="CP104" s="503" t="str">
        <f>IF($G104="","",IF(AND($G104&gt;=30,$AT$3&lt;=CO$7),ROUND(CO104*($AP$3+#REF!),-1),""))</f>
        <v/>
      </c>
      <c r="CQ104" s="502"/>
      <c r="CR104" s="503" t="str">
        <f>IF($G104="","",IF(AND($G104&gt;=30,$AT$3&lt;=CQ$7),ROUND(CQ104*($AP$3+#REF!),-1),""))</f>
        <v/>
      </c>
      <c r="CS104" s="503"/>
      <c r="CT104" s="503" t="str">
        <f>IF($G104="","",IF(AND($G104&gt;=30,$AT$3&lt;=CS$7),ROUND(CS104*($AP$3+#REF!),-1),""))</f>
        <v/>
      </c>
      <c r="CU104" s="502"/>
      <c r="CV104" s="503" t="str">
        <f>IF($G104="","",IF(AND($G104&gt;=30,$AT$3&lt;=CU$7),ROUND(CU104*($AP$3+#REF!),-1),""))</f>
        <v/>
      </c>
      <c r="CW104" s="503"/>
      <c r="CX104" s="503" t="str">
        <f>IF($G104="","",IF(AND($G104&gt;=30,$AT$3&lt;=CW$7),ROUND(CW104*($AP$3+#REF!),-1),""))</f>
        <v/>
      </c>
      <c r="CY104" s="502"/>
      <c r="CZ104" s="503" t="str">
        <f>IF($G104="","",IF(AND($G104&gt;=30,$AT$3&lt;=CY$7),ROUND(CY104*($AP$3+#REF!),-1),""))</f>
        <v/>
      </c>
      <c r="DA104" s="503"/>
      <c r="DB104" s="503" t="str">
        <f>IF($G104="","",IF(AND($G104&gt;=30,$AT$3&lt;=DA$7),ROUND(DA104*($AP$3+#REF!),-1),""))</f>
        <v/>
      </c>
      <c r="DC104" s="502"/>
      <c r="DD104" s="503" t="str">
        <f>IF($G104="","",IF(AND($G104&gt;=30,$AT$3&lt;=DC$7),ROUND(DC104*($AP$3+#REF!),-1),""))</f>
        <v/>
      </c>
      <c r="DE104" s="503"/>
      <c r="DF104" s="503" t="str">
        <f>IF($G104="","",IF(AND($G104&gt;=30,$AT$3&lt;=DE$7),ROUND(DE104*($AP$3+#REF!),-1),""))</f>
        <v/>
      </c>
      <c r="DG104" s="503"/>
      <c r="DH104" s="503" t="str">
        <f>IF($G104="","",IF(AND($G104&gt;=30,$AT$3&lt;=DG$7),ROUND(DG104*($AP$3+#REF!),-1),""))</f>
        <v/>
      </c>
      <c r="DI104" s="503"/>
      <c r="DJ104" s="503" t="str">
        <f>IF($G104="","",IF(AND($G104&gt;=30,$AT$3&lt;=DI$7),ROUND(DI104*($AP$3+#REF!),-1),""))</f>
        <v/>
      </c>
      <c r="DK104" s="503"/>
      <c r="DL104" s="503" t="str">
        <f>IF($G104="","",IF(AND($G104&gt;=30,$AT$3&lt;=DK$7),ROUND(DK104*($AP$3+#REF!),-1),""))</f>
        <v/>
      </c>
      <c r="DM104" s="503"/>
      <c r="DN104" s="503" t="str">
        <f>IF($G104="","",IF(AND($G104&gt;=30,$AT$3&lt;=DM$7),ROUND(DM104*($AP$3+#REF!),-1),""))</f>
        <v/>
      </c>
      <c r="DO104" s="503"/>
      <c r="DP104" s="503" t="str">
        <f>IF($G104="","",IF(AND($G104&gt;=30,$AT$3&lt;=DO$7),ROUND(DO104*($AP$3+#REF!),-1),""))</f>
        <v/>
      </c>
      <c r="DQ104" s="503"/>
      <c r="DR104" s="503" t="str">
        <f>IF($G104="","",IF(AND($G104&gt;=30,$AT$3&lt;=DQ$7),ROUND(DQ104*($AP$3+#REF!),-1),""))</f>
        <v/>
      </c>
      <c r="DS104" s="503"/>
      <c r="DT104" s="503" t="str">
        <f>IF($G104="","",IF(AND($G104&gt;=30,$AT$3&lt;=DS$7),ROUND(DS104*($AP$3+#REF!),-1),""))</f>
        <v/>
      </c>
      <c r="DU104" s="503"/>
      <c r="DV104" s="503" t="str">
        <f>IF($G104="","",IF(AND($G104&gt;=30,$AT$3&lt;=DU$7),ROUND(DU104*($AP$3+#REF!),-1),""))</f>
        <v/>
      </c>
      <c r="DW104" s="503"/>
      <c r="DX104" s="503" t="str">
        <f>IF($G104="","",IF(AND($G104&gt;=30,$AT$3&lt;=DW$7),ROUND(DW104*($AP$3+#REF!),-1),""))</f>
        <v/>
      </c>
      <c r="DY104" s="503"/>
      <c r="DZ104" s="503" t="str">
        <f>IF($G104="","",IF(AND($G104&gt;=30,$AT$3&lt;=DY$7),ROUND(DY104*($AP$3+#REF!),-1),""))</f>
        <v/>
      </c>
      <c r="EA104" s="503"/>
      <c r="EB104" s="503" t="str">
        <f>IF($G104="","",IF(AND($G104&gt;=30,$AT$3&lt;=EA$7),ROUND(EA104*($AP$3+#REF!),-1),""))</f>
        <v/>
      </c>
      <c r="EC104" s="504" t="s">
        <v>621</v>
      </c>
      <c r="ED104" s="1126"/>
      <c r="EE104" s="325">
        <v>12</v>
      </c>
    </row>
    <row r="105" spans="1:135" ht="9.75" customHeight="1">
      <c r="A105" s="321" t="str">
        <f t="shared" si="21"/>
        <v/>
      </c>
      <c r="B105" s="567" t="e">
        <f>(ii!$D$13*12+V105)+1</f>
        <v>#REF!</v>
      </c>
      <c r="C105" s="345">
        <f t="shared" si="30"/>
        <v>45322</v>
      </c>
      <c r="D105" s="340">
        <f t="shared" si="25"/>
        <v>2024</v>
      </c>
      <c r="E105" s="340">
        <f t="shared" si="26"/>
        <v>8.3333333333333329E-2</v>
      </c>
      <c r="F105" s="340">
        <f t="shared" si="27"/>
        <v>2024.0833333333333</v>
      </c>
      <c r="G105" s="531" t="str">
        <f>IF(OR(C105&lt;$I$2,C105&gt;$J$3),"",(ii!$D$13*12+V105+1)/12)</f>
        <v/>
      </c>
      <c r="H105" s="532"/>
      <c r="I105" s="532"/>
      <c r="J105" s="533"/>
      <c r="K105" s="553"/>
      <c r="L105" s="534"/>
      <c r="M105" s="535" t="str">
        <f t="shared" si="32"/>
        <v/>
      </c>
      <c r="N105" s="536" t="s">
        <v>621</v>
      </c>
      <c r="O105" s="536" t="str">
        <f t="shared" si="28"/>
        <v/>
      </c>
      <c r="P105" s="537"/>
      <c r="Q105" s="537"/>
      <c r="R105" s="533" t="str">
        <f t="shared" si="29"/>
        <v/>
      </c>
      <c r="S105" s="538" t="str">
        <f t="shared" si="24"/>
        <v/>
      </c>
      <c r="T105" s="538" t="str">
        <f t="shared" si="23"/>
        <v/>
      </c>
      <c r="U105" s="539" t="str">
        <f>IF(H105="","",#REF!*12+#REF!+#REF!*12+#REF!)</f>
        <v/>
      </c>
      <c r="V105" s="338" t="e">
        <f>IF(ii!$J$3&gt;gg!C105,"",IF(AND((YEAR(C105)=YEAR($I$2)),MONTH(C105)=MONTH($I$2)),ii!$B$14*12+ii!$C$14+ii!$B$15*12+ii!$C$15-1,V104+1))</f>
        <v>#REF!</v>
      </c>
      <c r="W105" s="339" t="e">
        <f t="shared" si="31"/>
        <v>#REF!</v>
      </c>
      <c r="X105" s="540" t="s">
        <v>621</v>
      </c>
      <c r="Y105" s="538" t="s">
        <v>621</v>
      </c>
      <c r="Z105" s="541">
        <f>Z93+$Z$26</f>
        <v>0.18</v>
      </c>
      <c r="AA105" s="542" t="str">
        <f>IF(Y105="","",(Y105-Y104)/Y104)</f>
        <v/>
      </c>
      <c r="AB105" s="543" t="str">
        <f t="shared" si="35"/>
        <v/>
      </c>
      <c r="AC105" s="544" t="str">
        <f t="shared" si="33"/>
        <v/>
      </c>
      <c r="AD105" s="538" t="str">
        <f t="shared" si="34"/>
        <v/>
      </c>
      <c r="AE105" s="545" t="s">
        <v>621</v>
      </c>
      <c r="AF105" s="546" t="s">
        <v>621</v>
      </c>
      <c r="AG105" s="558" t="s">
        <v>621</v>
      </c>
      <c r="AH105" s="547" t="str">
        <f>IF($G105="","",IF(AND($G105&gt;=30,$AT$3&lt;=AG$7),ROUND(AG105*($AP$3+#REF!),-1),""))</f>
        <v/>
      </c>
      <c r="AI105" s="558" t="s">
        <v>621</v>
      </c>
      <c r="AJ105" s="547" t="str">
        <f>IF($G105="","",IF(AND($G105&gt;=30,$AT$3&lt;=AI$7),ROUND(AI105*($AP$3+#REF!),-1),""))</f>
        <v/>
      </c>
      <c r="AK105" s="560" t="s">
        <v>621</v>
      </c>
      <c r="AL105" s="547" t="str">
        <f>IF($G105="","",IF(AND($G105&gt;=30,$AT$3&lt;=AK$7),ROUND(AK105*($AP$3+#REF!),-1),""))</f>
        <v/>
      </c>
      <c r="AM105" s="560" t="s">
        <v>621</v>
      </c>
      <c r="AN105" s="547" t="str">
        <f>IF($G105="","",IF(AND($G105&gt;=30,$AT$3&lt;=AM$7),ROUND(AM105*($AP$3+#REF!),-1),""))</f>
        <v/>
      </c>
      <c r="AO105" s="547" t="e">
        <v>#REF!</v>
      </c>
      <c r="AP105" s="547" t="str">
        <f>IF($G105="","",IF(AND($G105&gt;=30,$AT$3&lt;=AO$7),ROUND(AO105*($AP$3+#REF!),-1),""))</f>
        <v/>
      </c>
      <c r="AQ105" s="547" t="s">
        <v>621</v>
      </c>
      <c r="AR105" s="547" t="str">
        <f>IF($G105="","",IF(AND($G105&gt;=30,$AT$3&lt;=AQ$7),ROUND(AQ105*($AP$3+#REF!),-1),""))</f>
        <v/>
      </c>
      <c r="AS105" s="547" t="s">
        <v>621</v>
      </c>
      <c r="AT105" s="547" t="str">
        <f>IF($G105="","",IF(AND($G105&gt;=30,$AT$3&lt;=AS$7),ROUND(AS105*($AP$3+#REF!),-1),""))</f>
        <v/>
      </c>
      <c r="AU105" s="547" t="s">
        <v>621</v>
      </c>
      <c r="AV105" s="547" t="str">
        <f>IF($G105="","",IF(AND($G105&gt;=30,$AT$3&lt;=AU$7),ROUND(AU105*($AP$3+#REF!),-1),""))</f>
        <v/>
      </c>
      <c r="AW105" s="533" t="e">
        <v>#REF!</v>
      </c>
      <c r="AX105" s="547" t="str">
        <f>IF($G105="","",IF(AND($G105&gt;=30,$AT$3&lt;=AW$7),ROUND(AW105*($AP$3+#REF!),-1),""))</f>
        <v/>
      </c>
      <c r="AY105" s="547"/>
      <c r="AZ105" s="547" t="str">
        <f>IF($G105="","",IF(AND($G105&gt;=30,$AT$3&lt;=AY$7),ROUND(AY105*($AP$3+#REF!),-1),""))</f>
        <v/>
      </c>
      <c r="BA105" s="547"/>
      <c r="BB105" s="547" t="str">
        <f>IF($G105="","",IF(AND($G105&gt;=30,$AT$3&lt;=BA$7),ROUND(BA105*($AP$3+#REF!),-1),""))</f>
        <v/>
      </c>
      <c r="BC105" s="547"/>
      <c r="BD105" s="547" t="str">
        <f>IF($G105="","",IF(AND($G105&gt;=30,$AT$3&lt;=BC$7),ROUND(BC105*($AP$3+#REF!),-1),""))</f>
        <v/>
      </c>
      <c r="BE105" s="547"/>
      <c r="BF105" s="547" t="str">
        <f>IF($G105="","",IF(AND($G105&gt;=30,$AT$3&lt;=BE$7),ROUND(BE105*($AP$3+#REF!),-1),""))</f>
        <v/>
      </c>
      <c r="BG105" s="547"/>
      <c r="BH105" s="547" t="str">
        <f>IF($G105="","",IF(AND($G105&gt;=30,$AT$3&lt;=BG$7),ROUND(BG105*($AP$3+#REF!),-1),""))</f>
        <v/>
      </c>
      <c r="BI105" s="547"/>
      <c r="BJ105" s="547" t="str">
        <f>IF($G105="","",IF(AND($G105&gt;=30,$AT$3&lt;=BI$7),ROUND(BI105*($AP$3+#REF!),-1),""))</f>
        <v/>
      </c>
      <c r="BK105" s="547"/>
      <c r="BL105" s="547" t="str">
        <f>IF($G105="","",IF(AND($G105&gt;=30,$AT$3&lt;=BK$7),ROUND(BK105*($AP$3+#REF!),-1),""))</f>
        <v/>
      </c>
      <c r="BM105" s="547"/>
      <c r="BN105" s="547" t="str">
        <f>IF($G105="","",IF(AND($G105&gt;=30,$AT$3&lt;=BM$7),ROUND(BM105*($AP$3+#REF!),-1),""))</f>
        <v/>
      </c>
      <c r="BO105" s="547"/>
      <c r="BP105" s="547" t="str">
        <f>IF($G105="","",IF(AND($G105&gt;=30,$AT$3&lt;=BO$7),ROUND(BO105*($AP$3+#REF!),-1),""))</f>
        <v/>
      </c>
      <c r="BQ105" s="547"/>
      <c r="BR105" s="547" t="str">
        <f>IF($G105="","",IF(AND($G105&gt;=30,$AT$3&lt;=BQ$7),ROUND(BQ105*($AP$3+#REF!),-1),""))</f>
        <v/>
      </c>
      <c r="BS105" s="547"/>
      <c r="BT105" s="547" t="str">
        <f>IF($G105="","",IF(AND($G105&gt;=30,$AT$3&lt;=BS$7),ROUND(BS105*($AP$3+#REF!),-1),""))</f>
        <v/>
      </c>
      <c r="BU105" s="547"/>
      <c r="BV105" s="547" t="str">
        <f>IF($G105="","",IF(AND($G105&gt;=30,$AT$3&lt;=BU$7),ROUND(BU105*($AP$3+#REF!),-1),""))</f>
        <v/>
      </c>
      <c r="BW105" s="547"/>
      <c r="BX105" s="547" t="str">
        <f>IF($G105="","",IF(AND($G105&gt;=30,$AT$3&lt;=BW$7),ROUND(BW105*($AP$3+#REF!),-1),""))</f>
        <v/>
      </c>
      <c r="BY105" s="547"/>
      <c r="BZ105" s="547" t="str">
        <f>IF($G105="","",IF(AND($G105&gt;=30,$AT$3&lt;=BY$7),ROUND(BY105*($AP$3+#REF!),-1),""))</f>
        <v/>
      </c>
      <c r="CA105" s="547"/>
      <c r="CB105" s="547" t="str">
        <f>IF($G105="","",IF(AND($G105&gt;=30,$AT$3&lt;=CA$7),ROUND(CA105*($AP$3+#REF!),-1),""))</f>
        <v/>
      </c>
      <c r="CC105" s="547"/>
      <c r="CD105" s="547" t="str">
        <f>IF($G105="","",IF(AND($G105&gt;=30,$AT$3&lt;=CC$7),ROUND(CC105*($AP$3+#REF!),-1),""))</f>
        <v/>
      </c>
      <c r="CE105" s="547"/>
      <c r="CF105" s="547" t="str">
        <f>IF($G105="","",IF(AND($G105&gt;=30,$AT$3&lt;=CE$7),ROUND(CE105*($AP$3+#REF!),-1),""))</f>
        <v/>
      </c>
      <c r="CG105" s="547"/>
      <c r="CH105" s="547" t="str">
        <f>IF($G105="","",IF(AND($G105&gt;=30,$AT$3&lt;=CG$7),ROUND(CG105*($AP$3+#REF!),-1),""))</f>
        <v/>
      </c>
      <c r="CI105" s="547"/>
      <c r="CJ105" s="547" t="str">
        <f>IF($G105="","",IF(AND($G105&gt;=30,$AT$3&lt;=CI$7),ROUND(CI105*($AP$3+#REF!),-1),""))</f>
        <v/>
      </c>
      <c r="CK105" s="547"/>
      <c r="CL105" s="547" t="str">
        <f>IF($G105="","",IF(AND($G105&gt;=30,$AT$3&lt;=CK$7),ROUND(CK105*($AP$3+#REF!),-1),""))</f>
        <v/>
      </c>
      <c r="CM105" s="547"/>
      <c r="CN105" s="547" t="str">
        <f>IF($G105="","",IF(AND($G105&gt;=30,$AT$3&lt;=CM$7),ROUND(CM105*($AP$3+#REF!),-1),""))</f>
        <v/>
      </c>
      <c r="CO105" s="547"/>
      <c r="CP105" s="547" t="str">
        <f>IF($G105="","",IF(AND($G105&gt;=30,$AT$3&lt;=CO$7),ROUND(CO105*($AP$3+#REF!),-1),""))</f>
        <v/>
      </c>
      <c r="CQ105" s="547"/>
      <c r="CR105" s="547" t="str">
        <f>IF($G105="","",IF(AND($G105&gt;=30,$AT$3&lt;=CQ$7),ROUND(CQ105*($AP$3+#REF!),-1),""))</f>
        <v/>
      </c>
      <c r="CS105" s="547"/>
      <c r="CT105" s="547" t="str">
        <f>IF($G105="","",IF(AND($G105&gt;=30,$AT$3&lt;=CS$7),ROUND(CS105*($AP$3+#REF!),-1),""))</f>
        <v/>
      </c>
      <c r="CU105" s="547"/>
      <c r="CV105" s="547" t="str">
        <f>IF($G105="","",IF(AND($G105&gt;=30,$AT$3&lt;=CU$7),ROUND(CU105*($AP$3+#REF!),-1),""))</f>
        <v/>
      </c>
      <c r="CW105" s="547"/>
      <c r="CX105" s="547" t="str">
        <f>IF($G105="","",IF(AND($G105&gt;=30,$AT$3&lt;=CW$7),ROUND(CW105*($AP$3+#REF!),-1),""))</f>
        <v/>
      </c>
      <c r="CY105" s="547"/>
      <c r="CZ105" s="547" t="str">
        <f>IF($G105="","",IF(AND($G105&gt;=30,$AT$3&lt;=CY$7),ROUND(CY105*($AP$3+#REF!),-1),""))</f>
        <v/>
      </c>
      <c r="DA105" s="547"/>
      <c r="DB105" s="547" t="str">
        <f>IF($G105="","",IF(AND($G105&gt;=30,$AT$3&lt;=DA$7),ROUND(DA105*($AP$3+#REF!),-1),""))</f>
        <v/>
      </c>
      <c r="DC105" s="547"/>
      <c r="DD105" s="547" t="str">
        <f>IF($G105="","",IF(AND($G105&gt;=30,$AT$3&lt;=DC$7),ROUND(DC105*($AP$3+#REF!),-1),""))</f>
        <v/>
      </c>
      <c r="DE105" s="547"/>
      <c r="DF105" s="547" t="str">
        <f>IF($G105="","",IF(AND($G105&gt;=30,$AT$3&lt;=DE$7),ROUND(DE105*($AP$3+#REF!),-1),""))</f>
        <v/>
      </c>
      <c r="DG105" s="547"/>
      <c r="DH105" s="547" t="str">
        <f>IF($G105="","",IF(AND($G105&gt;=30,$AT$3&lt;=DG$7),ROUND(DG105*($AP$3+#REF!),-1),""))</f>
        <v/>
      </c>
      <c r="DI105" s="547"/>
      <c r="DJ105" s="547" t="str">
        <f>IF($G105="","",IF(AND($G105&gt;=30,$AT$3&lt;=DI$7),ROUND(DI105*($AP$3+#REF!),-1),""))</f>
        <v/>
      </c>
      <c r="DK105" s="547"/>
      <c r="DL105" s="547" t="str">
        <f>IF($G105="","",IF(AND($G105&gt;=30,$AT$3&lt;=DK$7),ROUND(DK105*($AP$3+#REF!),-1),""))</f>
        <v/>
      </c>
      <c r="DM105" s="547"/>
      <c r="DN105" s="547" t="str">
        <f>IF($G105="","",IF(AND($G105&gt;=30,$AT$3&lt;=DM$7),ROUND(DM105*($AP$3+#REF!),-1),""))</f>
        <v/>
      </c>
      <c r="DO105" s="547"/>
      <c r="DP105" s="547" t="str">
        <f>IF($G105="","",IF(AND($G105&gt;=30,$AT$3&lt;=DO$7),ROUND(DO105*($AP$3+#REF!),-1),""))</f>
        <v/>
      </c>
      <c r="DQ105" s="547"/>
      <c r="DR105" s="547" t="str">
        <f>IF($G105="","",IF(AND($G105&gt;=30,$AT$3&lt;=DQ$7),ROUND(DQ105*($AP$3+#REF!),-1),""))</f>
        <v/>
      </c>
      <c r="DS105" s="547"/>
      <c r="DT105" s="547" t="str">
        <f>IF($G105="","",IF(AND($G105&gt;=30,$AT$3&lt;=DS$7),ROUND(DS105*($AP$3+#REF!),-1),""))</f>
        <v/>
      </c>
      <c r="DU105" s="547"/>
      <c r="DV105" s="547" t="str">
        <f>IF($G105="","",IF(AND($G105&gt;=30,$AT$3&lt;=DU$7),ROUND(DU105*($AP$3+#REF!),-1),""))</f>
        <v/>
      </c>
      <c r="DW105" s="547"/>
      <c r="DX105" s="547" t="str">
        <f>IF($G105="","",IF(AND($G105&gt;=30,$AT$3&lt;=DW$7),ROUND(DW105*($AP$3+#REF!),-1),""))</f>
        <v/>
      </c>
      <c r="DY105" s="547"/>
      <c r="DZ105" s="547" t="str">
        <f>IF($G105="","",IF(AND($G105&gt;=30,$AT$3&lt;=DY$7),ROUND(DY105*($AP$3+#REF!),-1),""))</f>
        <v/>
      </c>
      <c r="EA105" s="547"/>
      <c r="EB105" s="547" t="str">
        <f>IF($G105="","",IF(AND($G105&gt;=30,$AT$3&lt;=EA$7),ROUND(EA105*($AP$3+#REF!),-1),""))</f>
        <v/>
      </c>
      <c r="EC105" s="547" t="s">
        <v>621</v>
      </c>
      <c r="ED105" s="1126">
        <f>SUM(EC105:EC116)</f>
        <v>0</v>
      </c>
      <c r="EE105" s="325">
        <v>1</v>
      </c>
    </row>
    <row r="106" spans="1:135" ht="9.75" customHeight="1">
      <c r="A106" s="321" t="str">
        <f t="shared" si="21"/>
        <v/>
      </c>
      <c r="B106" s="567" t="e">
        <f>(ii!$D$13*12+V106)+1</f>
        <v>#REF!</v>
      </c>
      <c r="C106" s="337">
        <f t="shared" si="30"/>
        <v>45351</v>
      </c>
      <c r="D106" s="484">
        <f t="shared" si="25"/>
        <v>2024</v>
      </c>
      <c r="E106" s="484">
        <f t="shared" si="26"/>
        <v>0.16666666666666666</v>
      </c>
      <c r="F106" s="484">
        <f t="shared" si="27"/>
        <v>2024.1666666666667</v>
      </c>
      <c r="G106" s="485" t="str">
        <f>IF(OR(C106&lt;$I$2,C106&gt;$J$3),"",(ii!$D$13*12+V106+1)/12)</f>
        <v/>
      </c>
      <c r="H106" s="486"/>
      <c r="I106" s="486"/>
      <c r="J106" s="487"/>
      <c r="K106" s="488"/>
      <c r="L106" s="548"/>
      <c r="M106" s="489" t="str">
        <f t="shared" si="32"/>
        <v/>
      </c>
      <c r="N106" s="490" t="s">
        <v>621</v>
      </c>
      <c r="O106" s="490" t="str">
        <f t="shared" si="28"/>
        <v/>
      </c>
      <c r="P106" s="491"/>
      <c r="Q106" s="491"/>
      <c r="R106" s="491" t="str">
        <f t="shared" si="29"/>
        <v/>
      </c>
      <c r="S106" s="528" t="str">
        <f t="shared" si="24"/>
        <v/>
      </c>
      <c r="T106" s="528" t="str">
        <f t="shared" si="23"/>
        <v/>
      </c>
      <c r="U106" s="493" t="str">
        <f>IF(H106="","",#REF!*12+#REF!+#REF!*12+#REF!)</f>
        <v/>
      </c>
      <c r="V106" s="338" t="e">
        <f>IF(ii!$J$3&gt;gg!C106,"",IF(AND((YEAR(C106)=YEAR($I$2)),MONTH(C106)=MONTH($I$2)),ii!$B$14*12+ii!$C$14+ii!$B$15*12+ii!$C$15-1,V105+1))</f>
        <v>#REF!</v>
      </c>
      <c r="W106" s="339">
        <f t="shared" si="31"/>
        <v>-8.3333333333333329E-2</v>
      </c>
      <c r="X106" s="494" t="s">
        <v>621</v>
      </c>
      <c r="Y106" s="495" t="s">
        <v>621</v>
      </c>
      <c r="Z106" s="496"/>
      <c r="AA106" s="497"/>
      <c r="AB106" s="498" t="str">
        <f t="shared" si="35"/>
        <v/>
      </c>
      <c r="AC106" s="484" t="str">
        <f t="shared" si="33"/>
        <v/>
      </c>
      <c r="AD106" s="495" t="str">
        <f t="shared" si="34"/>
        <v/>
      </c>
      <c r="AE106" s="499" t="s">
        <v>621</v>
      </c>
      <c r="AF106" s="500" t="s">
        <v>621</v>
      </c>
      <c r="AG106" s="556" t="s">
        <v>621</v>
      </c>
      <c r="AH106" s="503" t="str">
        <f>IF($G106="","",IF(AND($G106&gt;=30,$AT$3&lt;=AG$7),ROUND(AG106*($AP$3+#REF!),-1),""))</f>
        <v/>
      </c>
      <c r="AI106" s="506" t="s">
        <v>621</v>
      </c>
      <c r="AJ106" s="503" t="str">
        <f>IF($G106="","",IF(AND($G106&gt;=30,$AT$3&lt;=AI$7),ROUND(AI106*($AP$3+#REF!),-1),""))</f>
        <v/>
      </c>
      <c r="AK106" s="506" t="s">
        <v>621</v>
      </c>
      <c r="AL106" s="503" t="str">
        <f>IF($G106="","",IF(AND($G106&gt;=30,$AT$3&lt;=AK$7),ROUND(AK106*($AP$3+#REF!),-1),""))</f>
        <v/>
      </c>
      <c r="AM106" s="506" t="s">
        <v>621</v>
      </c>
      <c r="AN106" s="503" t="str">
        <f>IF($G106="","",IF(AND($G106&gt;=30,$AT$3&lt;=AM$7),ROUND(AM106*($AP$3+#REF!),-1),""))</f>
        <v/>
      </c>
      <c r="AO106" s="503" t="e">
        <f>IF(AO105="","",AO105*1.001)</f>
        <v>#REF!</v>
      </c>
      <c r="AP106" s="503" t="str">
        <f>IF($G106="","",IF(AND($G106&gt;=30,$AT$3&lt;=AO$7),ROUND(AO106*($AP$3+#REF!),-1),""))</f>
        <v/>
      </c>
      <c r="AQ106" s="503" t="s">
        <v>621</v>
      </c>
      <c r="AR106" s="503" t="str">
        <f>IF($G106="","",IF(AND($G106&gt;=30,$AT$3&lt;=AQ$7),ROUND(AQ106*($AP$3+#REF!),-1),""))</f>
        <v/>
      </c>
      <c r="AS106" s="503" t="s">
        <v>621</v>
      </c>
      <c r="AT106" s="503" t="str">
        <f>IF($G106="","",IF(AND($G106&gt;=30,$AT$3&lt;=AS$7),ROUND(AS106*($AP$3+#REF!),-1),""))</f>
        <v/>
      </c>
      <c r="AU106" s="503" t="s">
        <v>621</v>
      </c>
      <c r="AV106" s="503" t="str">
        <f>IF($G106="","",IF(AND($G106&gt;=30,$AT$3&lt;=AU$7),ROUND(AU106*($AP$3+#REF!),-1),""))</f>
        <v/>
      </c>
      <c r="AW106" s="517" t="e">
        <v>#REF!</v>
      </c>
      <c r="AX106" s="503" t="str">
        <f>IF($G106="","",IF(AND($G106&gt;=30,$AT$3&lt;=AW$7),ROUND(AW106*($AP$3+#REF!),-1),""))</f>
        <v/>
      </c>
      <c r="AY106" s="502"/>
      <c r="AZ106" s="503" t="str">
        <f>IF($G106="","",IF(AND($G106&gt;=30,$AT$3&lt;=AY$7),ROUND(AY106*($AP$3+#REF!),-1),""))</f>
        <v/>
      </c>
      <c r="BA106" s="503"/>
      <c r="BB106" s="503" t="str">
        <f>IF($G106="","",IF(AND($G106&gt;=30,$AT$3&lt;=BA$7),ROUND(BA106*($AP$3+#REF!),-1),""))</f>
        <v/>
      </c>
      <c r="BC106" s="502"/>
      <c r="BD106" s="503" t="str">
        <f>IF($G106="","",IF(AND($G106&gt;=30,$AT$3&lt;=BC$7),ROUND(BC106*($AP$3+#REF!),-1),""))</f>
        <v/>
      </c>
      <c r="BE106" s="503"/>
      <c r="BF106" s="503" t="str">
        <f>IF($G106="","",IF(AND($G106&gt;=30,$AT$3&lt;=BE$7),ROUND(BE106*($AP$3+#REF!),-1),""))</f>
        <v/>
      </c>
      <c r="BG106" s="502"/>
      <c r="BH106" s="503" t="str">
        <f>IF($G106="","",IF(AND($G106&gt;=30,$AT$3&lt;=BG$7),ROUND(BG106*($AP$3+#REF!),-1),""))</f>
        <v/>
      </c>
      <c r="BI106" s="503"/>
      <c r="BJ106" s="503" t="str">
        <f>IF($G106="","",IF(AND($G106&gt;=30,$AT$3&lt;=BI$7),ROUND(BI106*($AP$3+#REF!),-1),""))</f>
        <v/>
      </c>
      <c r="BK106" s="502"/>
      <c r="BL106" s="503" t="str">
        <f>IF($G106="","",IF(AND($G106&gt;=30,$AT$3&lt;=BK$7),ROUND(BK106*($AP$3+#REF!),-1),""))</f>
        <v/>
      </c>
      <c r="BM106" s="503"/>
      <c r="BN106" s="503" t="str">
        <f>IF($G106="","",IF(AND($G106&gt;=30,$AT$3&lt;=BM$7),ROUND(BM106*($AP$3+#REF!),-1),""))</f>
        <v/>
      </c>
      <c r="BO106" s="502"/>
      <c r="BP106" s="503" t="str">
        <f>IF($G106="","",IF(AND($G106&gt;=30,$AT$3&lt;=BO$7),ROUND(BO106*($AP$3+#REF!),-1),""))</f>
        <v/>
      </c>
      <c r="BQ106" s="503"/>
      <c r="BR106" s="503" t="str">
        <f>IF($G106="","",IF(AND($G106&gt;=30,$AT$3&lt;=BQ$7),ROUND(BQ106*($AP$3+#REF!),-1),""))</f>
        <v/>
      </c>
      <c r="BS106" s="502"/>
      <c r="BT106" s="503" t="str">
        <f>IF($G106="","",IF(AND($G106&gt;=30,$AT$3&lt;=BS$7),ROUND(BS106*($AP$3+#REF!),-1),""))</f>
        <v/>
      </c>
      <c r="BU106" s="503"/>
      <c r="BV106" s="503" t="str">
        <f>IF($G106="","",IF(AND($G106&gt;=30,$AT$3&lt;=BU$7),ROUND(BU106*($AP$3+#REF!),-1),""))</f>
        <v/>
      </c>
      <c r="BW106" s="502"/>
      <c r="BX106" s="503" t="str">
        <f>IF($G106="","",IF(AND($G106&gt;=30,$AT$3&lt;=BW$7),ROUND(BW106*($AP$3+#REF!),-1),""))</f>
        <v/>
      </c>
      <c r="BY106" s="503"/>
      <c r="BZ106" s="503" t="str">
        <f>IF($G106="","",IF(AND($G106&gt;=30,$AT$3&lt;=BY$7),ROUND(BY106*($AP$3+#REF!),-1),""))</f>
        <v/>
      </c>
      <c r="CA106" s="502"/>
      <c r="CB106" s="503" t="str">
        <f>IF($G106="","",IF(AND($G106&gt;=30,$AT$3&lt;=CA$7),ROUND(CA106*($AP$3+#REF!),-1),""))</f>
        <v/>
      </c>
      <c r="CC106" s="503"/>
      <c r="CD106" s="503" t="str">
        <f>IF($G106="","",IF(AND($G106&gt;=30,$AT$3&lt;=CC$7),ROUND(CC106*($AP$3+#REF!),-1),""))</f>
        <v/>
      </c>
      <c r="CE106" s="502"/>
      <c r="CF106" s="503" t="str">
        <f>IF($G106="","",IF(AND($G106&gt;=30,$AT$3&lt;=CE$7),ROUND(CE106*($AP$3+#REF!),-1),""))</f>
        <v/>
      </c>
      <c r="CG106" s="503"/>
      <c r="CH106" s="503" t="str">
        <f>IF($G106="","",IF(AND($G106&gt;=30,$AT$3&lt;=CG$7),ROUND(CG106*($AP$3+#REF!),-1),""))</f>
        <v/>
      </c>
      <c r="CI106" s="502"/>
      <c r="CJ106" s="503" t="str">
        <f>IF($G106="","",IF(AND($G106&gt;=30,$AT$3&lt;=CI$7),ROUND(CI106*($AP$3+#REF!),-1),""))</f>
        <v/>
      </c>
      <c r="CK106" s="503"/>
      <c r="CL106" s="503" t="str">
        <f>IF($G106="","",IF(AND($G106&gt;=30,$AT$3&lt;=CK$7),ROUND(CK106*($AP$3+#REF!),-1),""))</f>
        <v/>
      </c>
      <c r="CM106" s="502"/>
      <c r="CN106" s="503" t="str">
        <f>IF($G106="","",IF(AND($G106&gt;=30,$AT$3&lt;=CM$7),ROUND(CM106*($AP$3+#REF!),-1),""))</f>
        <v/>
      </c>
      <c r="CO106" s="503"/>
      <c r="CP106" s="503" t="str">
        <f>IF($G106="","",IF(AND($G106&gt;=30,$AT$3&lt;=CO$7),ROUND(CO106*($AP$3+#REF!),-1),""))</f>
        <v/>
      </c>
      <c r="CQ106" s="502"/>
      <c r="CR106" s="503" t="str">
        <f>IF($G106="","",IF(AND($G106&gt;=30,$AT$3&lt;=CQ$7),ROUND(CQ106*($AP$3+#REF!),-1),""))</f>
        <v/>
      </c>
      <c r="CS106" s="503"/>
      <c r="CT106" s="503" t="str">
        <f>IF($G106="","",IF(AND($G106&gt;=30,$AT$3&lt;=CS$7),ROUND(CS106*($AP$3+#REF!),-1),""))</f>
        <v/>
      </c>
      <c r="CU106" s="502"/>
      <c r="CV106" s="503" t="str">
        <f>IF($G106="","",IF(AND($G106&gt;=30,$AT$3&lt;=CU$7),ROUND(CU106*($AP$3+#REF!),-1),""))</f>
        <v/>
      </c>
      <c r="CW106" s="503"/>
      <c r="CX106" s="503" t="str">
        <f>IF($G106="","",IF(AND($G106&gt;=30,$AT$3&lt;=CW$7),ROUND(CW106*($AP$3+#REF!),-1),""))</f>
        <v/>
      </c>
      <c r="CY106" s="502"/>
      <c r="CZ106" s="503" t="str">
        <f>IF($G106="","",IF(AND($G106&gt;=30,$AT$3&lt;=CY$7),ROUND(CY106*($AP$3+#REF!),-1),""))</f>
        <v/>
      </c>
      <c r="DA106" s="503"/>
      <c r="DB106" s="503" t="str">
        <f>IF($G106="","",IF(AND($G106&gt;=30,$AT$3&lt;=DA$7),ROUND(DA106*($AP$3+#REF!),-1),""))</f>
        <v/>
      </c>
      <c r="DC106" s="502"/>
      <c r="DD106" s="503" t="str">
        <f>IF($G106="","",IF(AND($G106&gt;=30,$AT$3&lt;=DC$7),ROUND(DC106*($AP$3+#REF!),-1),""))</f>
        <v/>
      </c>
      <c r="DE106" s="503"/>
      <c r="DF106" s="503" t="str">
        <f>IF($G106="","",IF(AND($G106&gt;=30,$AT$3&lt;=DE$7),ROUND(DE106*($AP$3+#REF!),-1),""))</f>
        <v/>
      </c>
      <c r="DG106" s="503"/>
      <c r="DH106" s="503" t="str">
        <f>IF($G106="","",IF(AND($G106&gt;=30,$AT$3&lt;=DG$7),ROUND(DG106*($AP$3+#REF!),-1),""))</f>
        <v/>
      </c>
      <c r="DI106" s="503"/>
      <c r="DJ106" s="503" t="str">
        <f>IF($G106="","",IF(AND($G106&gt;=30,$AT$3&lt;=DI$7),ROUND(DI106*($AP$3+#REF!),-1),""))</f>
        <v/>
      </c>
      <c r="DK106" s="503"/>
      <c r="DL106" s="503" t="str">
        <f>IF($G106="","",IF(AND($G106&gt;=30,$AT$3&lt;=DK$7),ROUND(DK106*($AP$3+#REF!),-1),""))</f>
        <v/>
      </c>
      <c r="DM106" s="503"/>
      <c r="DN106" s="503" t="str">
        <f>IF($G106="","",IF(AND($G106&gt;=30,$AT$3&lt;=DM$7),ROUND(DM106*($AP$3+#REF!),-1),""))</f>
        <v/>
      </c>
      <c r="DO106" s="503"/>
      <c r="DP106" s="503" t="str">
        <f>IF($G106="","",IF(AND($G106&gt;=30,$AT$3&lt;=DO$7),ROUND(DO106*($AP$3+#REF!),-1),""))</f>
        <v/>
      </c>
      <c r="DQ106" s="503"/>
      <c r="DR106" s="503" t="str">
        <f>IF($G106="","",IF(AND($G106&gt;=30,$AT$3&lt;=DQ$7),ROUND(DQ106*($AP$3+#REF!),-1),""))</f>
        <v/>
      </c>
      <c r="DS106" s="503"/>
      <c r="DT106" s="503" t="str">
        <f>IF($G106="","",IF(AND($G106&gt;=30,$AT$3&lt;=DS$7),ROUND(DS106*($AP$3+#REF!),-1),""))</f>
        <v/>
      </c>
      <c r="DU106" s="503"/>
      <c r="DV106" s="503" t="str">
        <f>IF($G106="","",IF(AND($G106&gt;=30,$AT$3&lt;=DU$7),ROUND(DU106*($AP$3+#REF!),-1),""))</f>
        <v/>
      </c>
      <c r="DW106" s="503"/>
      <c r="DX106" s="503" t="str">
        <f>IF($G106="","",IF(AND($G106&gt;=30,$AT$3&lt;=DW$7),ROUND(DW106*($AP$3+#REF!),-1),""))</f>
        <v/>
      </c>
      <c r="DY106" s="503"/>
      <c r="DZ106" s="503" t="str">
        <f>IF($G106="","",IF(AND($G106&gt;=30,$AT$3&lt;=DY$7),ROUND(DY106*($AP$3+#REF!),-1),""))</f>
        <v/>
      </c>
      <c r="EA106" s="503"/>
      <c r="EB106" s="503" t="str">
        <f>IF($G106="","",IF(AND($G106&gt;=30,$AT$3&lt;=EA$7),ROUND(EA106*($AP$3+#REF!),-1),""))</f>
        <v/>
      </c>
      <c r="EC106" s="504" t="s">
        <v>621</v>
      </c>
      <c r="ED106" s="1126"/>
      <c r="EE106" s="325">
        <v>2</v>
      </c>
    </row>
    <row r="107" spans="1:135" ht="9.75" customHeight="1">
      <c r="A107" s="321" t="str">
        <f t="shared" si="21"/>
        <v/>
      </c>
      <c r="B107" s="567">
        <f>(ii!$D$13*12+V107)+1</f>
        <v>1</v>
      </c>
      <c r="C107" s="337">
        <f t="shared" si="30"/>
        <v>45382</v>
      </c>
      <c r="D107" s="484">
        <f t="shared" si="25"/>
        <v>2024</v>
      </c>
      <c r="E107" s="484">
        <f t="shared" si="26"/>
        <v>0.25</v>
      </c>
      <c r="F107" s="484">
        <f t="shared" si="27"/>
        <v>2024.25</v>
      </c>
      <c r="G107" s="485" t="str">
        <f>IF(OR(C107&lt;$I$2,C107&gt;$J$3),"",(ii!$D$13*12+V107+1)/12)</f>
        <v/>
      </c>
      <c r="H107" s="486"/>
      <c r="I107" s="486"/>
      <c r="J107" s="487"/>
      <c r="K107" s="488"/>
      <c r="L107" s="548"/>
      <c r="M107" s="489" t="str">
        <f t="shared" si="32"/>
        <v/>
      </c>
      <c r="N107" s="490" t="s">
        <v>621</v>
      </c>
      <c r="O107" s="490" t="str">
        <f t="shared" si="28"/>
        <v/>
      </c>
      <c r="P107" s="491"/>
      <c r="Q107" s="491"/>
      <c r="R107" s="491" t="str">
        <f t="shared" si="29"/>
        <v/>
      </c>
      <c r="S107" s="528" t="str">
        <f t="shared" si="24"/>
        <v/>
      </c>
      <c r="T107" s="528" t="str">
        <f t="shared" si="23"/>
        <v/>
      </c>
      <c r="U107" s="493" t="str">
        <f>IF(H107="","",#REF!*12+#REF!+#REF!*12+#REF!)</f>
        <v/>
      </c>
      <c r="V107" s="338">
        <f>IF(ii!$J$3&gt;gg!C107,"",IF(AND((YEAR(C107)=YEAR($I$2)),MONTH(C107)=MONTH($I$2)),ii!$B$14*12+ii!$C$14+ii!$B$15*12+ii!$C$15-1,V106+1))</f>
        <v>0</v>
      </c>
      <c r="W107" s="339">
        <f t="shared" si="31"/>
        <v>0</v>
      </c>
      <c r="X107" s="494" t="s">
        <v>621</v>
      </c>
      <c r="Y107" s="495" t="s">
        <v>621</v>
      </c>
      <c r="Z107" s="496"/>
      <c r="AA107" s="497"/>
      <c r="AB107" s="498" t="e">
        <f t="shared" si="35"/>
        <v>#VALUE!</v>
      </c>
      <c r="AC107" s="484" t="str">
        <f t="shared" si="33"/>
        <v/>
      </c>
      <c r="AD107" s="495" t="str">
        <f t="shared" si="34"/>
        <v/>
      </c>
      <c r="AE107" s="499" t="s">
        <v>621</v>
      </c>
      <c r="AF107" s="500" t="s">
        <v>621</v>
      </c>
      <c r="AG107" s="556" t="s">
        <v>621</v>
      </c>
      <c r="AH107" s="503" t="str">
        <f>IF($G107="","",IF(AND($G107&gt;=30,$AT$3&lt;=AG$7),ROUND(AG107*($AP$3+#REF!),-1),""))</f>
        <v/>
      </c>
      <c r="AI107" s="506" t="s">
        <v>621</v>
      </c>
      <c r="AJ107" s="503" t="str">
        <f>IF($G107="","",IF(AND($G107&gt;=30,$AT$3&lt;=AI$7),ROUND(AI107*($AP$3+#REF!),-1),""))</f>
        <v/>
      </c>
      <c r="AK107" s="506" t="s">
        <v>621</v>
      </c>
      <c r="AL107" s="503" t="str">
        <f>IF($G107="","",IF(AND($G107&gt;=30,$AT$3&lt;=AK$7),ROUND(AK107*($AP$3+#REF!),-1),""))</f>
        <v/>
      </c>
      <c r="AM107" s="506" t="s">
        <v>621</v>
      </c>
      <c r="AN107" s="503" t="str">
        <f>IF($G107="","",IF(AND($G107&gt;=30,$AT$3&lt;=AM$7),ROUND(AM107*($AP$3+#REF!),-1),""))</f>
        <v/>
      </c>
      <c r="AO107" s="503" t="e">
        <v>#REF!</v>
      </c>
      <c r="AP107" s="503" t="str">
        <f>IF($G107="","",IF(AND($G107&gt;=30,$AT$3&lt;=AO$7),ROUND(AO107*($AP$3+#REF!),-1),""))</f>
        <v/>
      </c>
      <c r="AQ107" s="503" t="s">
        <v>621</v>
      </c>
      <c r="AR107" s="503" t="str">
        <f>IF($G107="","",IF(AND($G107&gt;=30,$AT$3&lt;=AQ$7),ROUND(AQ107*($AP$3+#REF!),-1),""))</f>
        <v/>
      </c>
      <c r="AS107" s="503" t="s">
        <v>621</v>
      </c>
      <c r="AT107" s="503" t="str">
        <f>IF($G107="","",IF(AND($G107&gt;=30,$AT$3&lt;=AS$7),ROUND(AS107*($AP$3+#REF!),-1),""))</f>
        <v/>
      </c>
      <c r="AU107" s="503" t="s">
        <v>621</v>
      </c>
      <c r="AV107" s="503" t="str">
        <f>IF($G107="","",IF(AND($G107&gt;=30,$AT$3&lt;=AU$7),ROUND(AU107*($AP$3+#REF!),-1),""))</f>
        <v/>
      </c>
      <c r="AW107" s="517" t="e">
        <v>#REF!</v>
      </c>
      <c r="AX107" s="503" t="str">
        <f>IF($G107="","",IF(AND($G107&gt;=30,$AT$3&lt;=AW$7),ROUND(AW107*($AP$3+#REF!),-1),""))</f>
        <v/>
      </c>
      <c r="AY107" s="502"/>
      <c r="AZ107" s="503" t="str">
        <f>IF($G107="","",IF(AND($G107&gt;=30,$AT$3&lt;=AY$7),ROUND(AY107*($AP$3+#REF!),-1),""))</f>
        <v/>
      </c>
      <c r="BA107" s="503"/>
      <c r="BB107" s="503" t="str">
        <f>IF($G107="","",IF(AND($G107&gt;=30,$AT$3&lt;=BA$7),ROUND(BA107*($AP$3+#REF!),-1),""))</f>
        <v/>
      </c>
      <c r="BC107" s="502"/>
      <c r="BD107" s="503" t="str">
        <f>IF($G107="","",IF(AND($G107&gt;=30,$AT$3&lt;=BC$7),ROUND(BC107*($AP$3+#REF!),-1),""))</f>
        <v/>
      </c>
      <c r="BE107" s="503"/>
      <c r="BF107" s="503" t="str">
        <f>IF($G107="","",IF(AND($G107&gt;=30,$AT$3&lt;=BE$7),ROUND(BE107*($AP$3+#REF!),-1),""))</f>
        <v/>
      </c>
      <c r="BG107" s="502"/>
      <c r="BH107" s="503" t="str">
        <f>IF($G107="","",IF(AND($G107&gt;=30,$AT$3&lt;=BG$7),ROUND(BG107*($AP$3+#REF!),-1),""))</f>
        <v/>
      </c>
      <c r="BI107" s="503"/>
      <c r="BJ107" s="503" t="str">
        <f>IF($G107="","",IF(AND($G107&gt;=30,$AT$3&lt;=BI$7),ROUND(BI107*($AP$3+#REF!),-1),""))</f>
        <v/>
      </c>
      <c r="BK107" s="502"/>
      <c r="BL107" s="503" t="str">
        <f>IF($G107="","",IF(AND($G107&gt;=30,$AT$3&lt;=BK$7),ROUND(BK107*($AP$3+#REF!),-1),""))</f>
        <v/>
      </c>
      <c r="BM107" s="503"/>
      <c r="BN107" s="503" t="str">
        <f>IF($G107="","",IF(AND($G107&gt;=30,$AT$3&lt;=BM$7),ROUND(BM107*($AP$3+#REF!),-1),""))</f>
        <v/>
      </c>
      <c r="BO107" s="502"/>
      <c r="BP107" s="503" t="str">
        <f>IF($G107="","",IF(AND($G107&gt;=30,$AT$3&lt;=BO$7),ROUND(BO107*($AP$3+#REF!),-1),""))</f>
        <v/>
      </c>
      <c r="BQ107" s="503"/>
      <c r="BR107" s="503" t="str">
        <f>IF($G107="","",IF(AND($G107&gt;=30,$AT$3&lt;=BQ$7),ROUND(BQ107*($AP$3+#REF!),-1),""))</f>
        <v/>
      </c>
      <c r="BS107" s="502"/>
      <c r="BT107" s="503" t="str">
        <f>IF($G107="","",IF(AND($G107&gt;=30,$AT$3&lt;=BS$7),ROUND(BS107*($AP$3+#REF!),-1),""))</f>
        <v/>
      </c>
      <c r="BU107" s="503"/>
      <c r="BV107" s="503" t="str">
        <f>IF($G107="","",IF(AND($G107&gt;=30,$AT$3&lt;=BU$7),ROUND(BU107*($AP$3+#REF!),-1),""))</f>
        <v/>
      </c>
      <c r="BW107" s="502"/>
      <c r="BX107" s="503" t="str">
        <f>IF($G107="","",IF(AND($G107&gt;=30,$AT$3&lt;=BW$7),ROUND(BW107*($AP$3+#REF!),-1),""))</f>
        <v/>
      </c>
      <c r="BY107" s="503"/>
      <c r="BZ107" s="503" t="str">
        <f>IF($G107="","",IF(AND($G107&gt;=30,$AT$3&lt;=BY$7),ROUND(BY107*($AP$3+#REF!),-1),""))</f>
        <v/>
      </c>
      <c r="CA107" s="502"/>
      <c r="CB107" s="503" t="str">
        <f>IF($G107="","",IF(AND($G107&gt;=30,$AT$3&lt;=CA$7),ROUND(CA107*($AP$3+#REF!),-1),""))</f>
        <v/>
      </c>
      <c r="CC107" s="503"/>
      <c r="CD107" s="503" t="str">
        <f>IF($G107="","",IF(AND($G107&gt;=30,$AT$3&lt;=CC$7),ROUND(CC107*($AP$3+#REF!),-1),""))</f>
        <v/>
      </c>
      <c r="CE107" s="502"/>
      <c r="CF107" s="503" t="str">
        <f>IF($G107="","",IF(AND($G107&gt;=30,$AT$3&lt;=CE$7),ROUND(CE107*($AP$3+#REF!),-1),""))</f>
        <v/>
      </c>
      <c r="CG107" s="503"/>
      <c r="CH107" s="503" t="str">
        <f>IF($G107="","",IF(AND($G107&gt;=30,$AT$3&lt;=CG$7),ROUND(CG107*($AP$3+#REF!),-1),""))</f>
        <v/>
      </c>
      <c r="CI107" s="502"/>
      <c r="CJ107" s="503" t="str">
        <f>IF($G107="","",IF(AND($G107&gt;=30,$AT$3&lt;=CI$7),ROUND(CI107*($AP$3+#REF!),-1),""))</f>
        <v/>
      </c>
      <c r="CK107" s="503"/>
      <c r="CL107" s="503" t="str">
        <f>IF($G107="","",IF(AND($G107&gt;=30,$AT$3&lt;=CK$7),ROUND(CK107*($AP$3+#REF!),-1),""))</f>
        <v/>
      </c>
      <c r="CM107" s="502"/>
      <c r="CN107" s="503" t="str">
        <f>IF($G107="","",IF(AND($G107&gt;=30,$AT$3&lt;=CM$7),ROUND(CM107*($AP$3+#REF!),-1),""))</f>
        <v/>
      </c>
      <c r="CO107" s="503"/>
      <c r="CP107" s="503" t="str">
        <f>IF($G107="","",IF(AND($G107&gt;=30,$AT$3&lt;=CO$7),ROUND(CO107*($AP$3+#REF!),-1),""))</f>
        <v/>
      </c>
      <c r="CQ107" s="502"/>
      <c r="CR107" s="503" t="str">
        <f>IF($G107="","",IF(AND($G107&gt;=30,$AT$3&lt;=CQ$7),ROUND(CQ107*($AP$3+#REF!),-1),""))</f>
        <v/>
      </c>
      <c r="CS107" s="503"/>
      <c r="CT107" s="503" t="str">
        <f>IF($G107="","",IF(AND($G107&gt;=30,$AT$3&lt;=CS$7),ROUND(CS107*($AP$3+#REF!),-1),""))</f>
        <v/>
      </c>
      <c r="CU107" s="502"/>
      <c r="CV107" s="503" t="str">
        <f>IF($G107="","",IF(AND($G107&gt;=30,$AT$3&lt;=CU$7),ROUND(CU107*($AP$3+#REF!),-1),""))</f>
        <v/>
      </c>
      <c r="CW107" s="503"/>
      <c r="CX107" s="503" t="str">
        <f>IF($G107="","",IF(AND($G107&gt;=30,$AT$3&lt;=CW$7),ROUND(CW107*($AP$3+#REF!),-1),""))</f>
        <v/>
      </c>
      <c r="CY107" s="502"/>
      <c r="CZ107" s="503" t="str">
        <f>IF($G107="","",IF(AND($G107&gt;=30,$AT$3&lt;=CY$7),ROUND(CY107*($AP$3+#REF!),-1),""))</f>
        <v/>
      </c>
      <c r="DA107" s="503"/>
      <c r="DB107" s="503" t="str">
        <f>IF($G107="","",IF(AND($G107&gt;=30,$AT$3&lt;=DA$7),ROUND(DA107*($AP$3+#REF!),-1),""))</f>
        <v/>
      </c>
      <c r="DC107" s="502"/>
      <c r="DD107" s="503" t="str">
        <f>IF($G107="","",IF(AND($G107&gt;=30,$AT$3&lt;=DC$7),ROUND(DC107*($AP$3+#REF!),-1),""))</f>
        <v/>
      </c>
      <c r="DE107" s="503"/>
      <c r="DF107" s="503" t="str">
        <f>IF($G107="","",IF(AND($G107&gt;=30,$AT$3&lt;=DE$7),ROUND(DE107*($AP$3+#REF!),-1),""))</f>
        <v/>
      </c>
      <c r="DG107" s="503"/>
      <c r="DH107" s="503" t="str">
        <f>IF($G107="","",IF(AND($G107&gt;=30,$AT$3&lt;=DG$7),ROUND(DG107*($AP$3+#REF!),-1),""))</f>
        <v/>
      </c>
      <c r="DI107" s="503"/>
      <c r="DJ107" s="503" t="str">
        <f>IF($G107="","",IF(AND($G107&gt;=30,$AT$3&lt;=DI$7),ROUND(DI107*($AP$3+#REF!),-1),""))</f>
        <v/>
      </c>
      <c r="DK107" s="503"/>
      <c r="DL107" s="503" t="str">
        <f>IF($G107="","",IF(AND($G107&gt;=30,$AT$3&lt;=DK$7),ROUND(DK107*($AP$3+#REF!),-1),""))</f>
        <v/>
      </c>
      <c r="DM107" s="503"/>
      <c r="DN107" s="503" t="str">
        <f>IF($G107="","",IF(AND($G107&gt;=30,$AT$3&lt;=DM$7),ROUND(DM107*($AP$3+#REF!),-1),""))</f>
        <v/>
      </c>
      <c r="DO107" s="503"/>
      <c r="DP107" s="503" t="str">
        <f>IF($G107="","",IF(AND($G107&gt;=30,$AT$3&lt;=DO$7),ROUND(DO107*($AP$3+#REF!),-1),""))</f>
        <v/>
      </c>
      <c r="DQ107" s="503"/>
      <c r="DR107" s="503" t="str">
        <f>IF($G107="","",IF(AND($G107&gt;=30,$AT$3&lt;=DQ$7),ROUND(DQ107*($AP$3+#REF!),-1),""))</f>
        <v/>
      </c>
      <c r="DS107" s="503"/>
      <c r="DT107" s="503" t="str">
        <f>IF($G107="","",IF(AND($G107&gt;=30,$AT$3&lt;=DS$7),ROUND(DS107*($AP$3+#REF!),-1),""))</f>
        <v/>
      </c>
      <c r="DU107" s="503"/>
      <c r="DV107" s="503" t="str">
        <f>IF($G107="","",IF(AND($G107&gt;=30,$AT$3&lt;=DU$7),ROUND(DU107*($AP$3+#REF!),-1),""))</f>
        <v/>
      </c>
      <c r="DW107" s="503"/>
      <c r="DX107" s="503" t="str">
        <f>IF($G107="","",IF(AND($G107&gt;=30,$AT$3&lt;=DW$7),ROUND(DW107*($AP$3+#REF!),-1),""))</f>
        <v/>
      </c>
      <c r="DY107" s="503"/>
      <c r="DZ107" s="503" t="str">
        <f>IF($G107="","",IF(AND($G107&gt;=30,$AT$3&lt;=DY$7),ROUND(DY107*($AP$3+#REF!),-1),""))</f>
        <v/>
      </c>
      <c r="EA107" s="503"/>
      <c r="EB107" s="503" t="str">
        <f>IF($G107="","",IF(AND($G107&gt;=30,$AT$3&lt;=EA$7),ROUND(EA107*($AP$3+#REF!),-1),""))</f>
        <v/>
      </c>
      <c r="EC107" s="504" t="s">
        <v>621</v>
      </c>
      <c r="ED107" s="1126"/>
      <c r="EE107" s="325">
        <v>3</v>
      </c>
    </row>
    <row r="108" spans="1:135" ht="9.75" customHeight="1">
      <c r="A108" s="321" t="str">
        <f t="shared" si="21"/>
        <v/>
      </c>
      <c r="B108" s="567">
        <f>(ii!$D$13*12+V108)+1</f>
        <v>2</v>
      </c>
      <c r="C108" s="337">
        <f t="shared" si="30"/>
        <v>45412</v>
      </c>
      <c r="D108" s="484">
        <f t="shared" si="25"/>
        <v>2024</v>
      </c>
      <c r="E108" s="484">
        <f t="shared" si="26"/>
        <v>0.33333333333333331</v>
      </c>
      <c r="F108" s="484">
        <f t="shared" si="27"/>
        <v>2024.3333333333333</v>
      </c>
      <c r="G108" s="485" t="str">
        <f>IF(OR(C108&lt;$I$2,C108&gt;$J$3),"",(ii!$D$13*12+V108+1)/12)</f>
        <v/>
      </c>
      <c r="H108" s="486"/>
      <c r="I108" s="486"/>
      <c r="J108" s="487"/>
      <c r="K108" s="488"/>
      <c r="L108" s="548"/>
      <c r="M108" s="489" t="str">
        <f t="shared" si="32"/>
        <v/>
      </c>
      <c r="N108" s="490" t="s">
        <v>621</v>
      </c>
      <c r="O108" s="490" t="str">
        <f t="shared" si="28"/>
        <v/>
      </c>
      <c r="P108" s="491"/>
      <c r="Q108" s="491"/>
      <c r="R108" s="491" t="str">
        <f t="shared" si="29"/>
        <v/>
      </c>
      <c r="S108" s="528" t="str">
        <f t="shared" si="24"/>
        <v/>
      </c>
      <c r="T108" s="528" t="str">
        <f t="shared" si="23"/>
        <v/>
      </c>
      <c r="U108" s="493" t="str">
        <f>IF(H108="","",#REF!*12+#REF!+#REF!*12+#REF!)</f>
        <v/>
      </c>
      <c r="V108" s="338">
        <f>IF(ii!$J$3&gt;gg!C108,"",IF(AND((YEAR(C108)=YEAR($I$2)),MONTH(C108)=MONTH($I$2)),ii!$B$14*12+ii!$C$14+ii!$B$15*12+ii!$C$15-1,V107+1))</f>
        <v>1</v>
      </c>
      <c r="W108" s="339">
        <f t="shared" si="31"/>
        <v>8.3333333333333329E-2</v>
      </c>
      <c r="X108" s="494" t="s">
        <v>621</v>
      </c>
      <c r="Y108" s="495" t="s">
        <v>621</v>
      </c>
      <c r="Z108" s="496"/>
      <c r="AA108" s="497"/>
      <c r="AB108" s="498" t="e">
        <f t="shared" si="35"/>
        <v>#VALUE!</v>
      </c>
      <c r="AC108" s="484" t="str">
        <f t="shared" si="33"/>
        <v/>
      </c>
      <c r="AD108" s="495" t="str">
        <f t="shared" si="34"/>
        <v/>
      </c>
      <c r="AE108" s="499" t="s">
        <v>621</v>
      </c>
      <c r="AF108" s="500" t="s">
        <v>621</v>
      </c>
      <c r="AG108" s="556" t="s">
        <v>621</v>
      </c>
      <c r="AH108" s="503" t="str">
        <f>IF($G108="","",IF(AND($G108&gt;=30,$AT$3&lt;=AG$7),ROUND(AG108*($AP$3+#REF!),-1),""))</f>
        <v/>
      </c>
      <c r="AI108" s="506" t="s">
        <v>621</v>
      </c>
      <c r="AJ108" s="503" t="str">
        <f>IF($G108="","",IF(AND($G108&gt;=30,$AT$3&lt;=AI$7),ROUND(AI108*($AP$3+#REF!),-1),""))</f>
        <v/>
      </c>
      <c r="AK108" s="506" t="s">
        <v>621</v>
      </c>
      <c r="AL108" s="503" t="str">
        <f>IF($G108="","",IF(AND($G108&gt;=30,$AT$3&lt;=AK$7),ROUND(AK108*($AP$3+#REF!),-1),""))</f>
        <v/>
      </c>
      <c r="AM108" s="506" t="s">
        <v>621</v>
      </c>
      <c r="AN108" s="503" t="str">
        <f>IF($G108="","",IF(AND($G108&gt;=30,$AT$3&lt;=AM$7),ROUND(AM108*($AP$3+#REF!),-1),""))</f>
        <v/>
      </c>
      <c r="AO108" s="503" t="e">
        <v>#REF!</v>
      </c>
      <c r="AP108" s="503" t="str">
        <f>IF($G108="","",IF(AND($G108&gt;=30,$AT$3&lt;=AO$7),ROUND(AO108*($AP$3+#REF!),-1),""))</f>
        <v/>
      </c>
      <c r="AQ108" s="503" t="s">
        <v>621</v>
      </c>
      <c r="AR108" s="503" t="str">
        <f>IF($G108="","",IF(AND($G108&gt;=30,$AT$3&lt;=AQ$7),ROUND(AQ108*($AP$3+#REF!),-1),""))</f>
        <v/>
      </c>
      <c r="AS108" s="503" t="s">
        <v>621</v>
      </c>
      <c r="AT108" s="503" t="str">
        <f>IF($G108="","",IF(AND($G108&gt;=30,$AT$3&lt;=AS$7),ROUND(AS108*($AP$3+#REF!),-1),""))</f>
        <v/>
      </c>
      <c r="AU108" s="503" t="s">
        <v>621</v>
      </c>
      <c r="AV108" s="503" t="str">
        <f>IF($G108="","",IF(AND($G108&gt;=30,$AT$3&lt;=AU$7),ROUND(AU108*($AP$3+#REF!),-1),""))</f>
        <v/>
      </c>
      <c r="AW108" s="517" t="e">
        <v>#REF!</v>
      </c>
      <c r="AX108" s="503" t="str">
        <f>IF($G108="","",IF(AND($G108&gt;=30,$AT$3&lt;=AW$7),ROUND(AW108*($AP$3+#REF!),-1),""))</f>
        <v/>
      </c>
      <c r="AY108" s="502"/>
      <c r="AZ108" s="503" t="str">
        <f>IF($G108="","",IF(AND($G108&gt;=30,$AT$3&lt;=AY$7),ROUND(AY108*($AP$3+#REF!),-1),""))</f>
        <v/>
      </c>
      <c r="BA108" s="503"/>
      <c r="BB108" s="503" t="str">
        <f>IF($G108="","",IF(AND($G108&gt;=30,$AT$3&lt;=BA$7),ROUND(BA108*($AP$3+#REF!),-1),""))</f>
        <v/>
      </c>
      <c r="BC108" s="502"/>
      <c r="BD108" s="503" t="str">
        <f>IF($G108="","",IF(AND($G108&gt;=30,$AT$3&lt;=BC$7),ROUND(BC108*($AP$3+#REF!),-1),""))</f>
        <v/>
      </c>
      <c r="BE108" s="503"/>
      <c r="BF108" s="503" t="str">
        <f>IF($G108="","",IF(AND($G108&gt;=30,$AT$3&lt;=BE$7),ROUND(BE108*($AP$3+#REF!),-1),""))</f>
        <v/>
      </c>
      <c r="BG108" s="502"/>
      <c r="BH108" s="503" t="str">
        <f>IF($G108="","",IF(AND($G108&gt;=30,$AT$3&lt;=BG$7),ROUND(BG108*($AP$3+#REF!),-1),""))</f>
        <v/>
      </c>
      <c r="BI108" s="503"/>
      <c r="BJ108" s="503" t="str">
        <f>IF($G108="","",IF(AND($G108&gt;=30,$AT$3&lt;=BI$7),ROUND(BI108*($AP$3+#REF!),-1),""))</f>
        <v/>
      </c>
      <c r="BK108" s="502"/>
      <c r="BL108" s="503" t="str">
        <f>IF($G108="","",IF(AND($G108&gt;=30,$AT$3&lt;=BK$7),ROUND(BK108*($AP$3+#REF!),-1),""))</f>
        <v/>
      </c>
      <c r="BM108" s="503"/>
      <c r="BN108" s="503" t="str">
        <f>IF($G108="","",IF(AND($G108&gt;=30,$AT$3&lt;=BM$7),ROUND(BM108*($AP$3+#REF!),-1),""))</f>
        <v/>
      </c>
      <c r="BO108" s="502"/>
      <c r="BP108" s="503" t="str">
        <f>IF($G108="","",IF(AND($G108&gt;=30,$AT$3&lt;=BO$7),ROUND(BO108*($AP$3+#REF!),-1),""))</f>
        <v/>
      </c>
      <c r="BQ108" s="503"/>
      <c r="BR108" s="503" t="str">
        <f>IF($G108="","",IF(AND($G108&gt;=30,$AT$3&lt;=BQ$7),ROUND(BQ108*($AP$3+#REF!),-1),""))</f>
        <v/>
      </c>
      <c r="BS108" s="502"/>
      <c r="BT108" s="503" t="str">
        <f>IF($G108="","",IF(AND($G108&gt;=30,$AT$3&lt;=BS$7),ROUND(BS108*($AP$3+#REF!),-1),""))</f>
        <v/>
      </c>
      <c r="BU108" s="503"/>
      <c r="BV108" s="503" t="str">
        <f>IF($G108="","",IF(AND($G108&gt;=30,$AT$3&lt;=BU$7),ROUND(BU108*($AP$3+#REF!),-1),""))</f>
        <v/>
      </c>
      <c r="BW108" s="502"/>
      <c r="BX108" s="503" t="str">
        <f>IF($G108="","",IF(AND($G108&gt;=30,$AT$3&lt;=BW$7),ROUND(BW108*($AP$3+#REF!),-1),""))</f>
        <v/>
      </c>
      <c r="BY108" s="503"/>
      <c r="BZ108" s="503" t="str">
        <f>IF($G108="","",IF(AND($G108&gt;=30,$AT$3&lt;=BY$7),ROUND(BY108*($AP$3+#REF!),-1),""))</f>
        <v/>
      </c>
      <c r="CA108" s="502"/>
      <c r="CB108" s="503" t="str">
        <f>IF($G108="","",IF(AND($G108&gt;=30,$AT$3&lt;=CA$7),ROUND(CA108*($AP$3+#REF!),-1),""))</f>
        <v/>
      </c>
      <c r="CC108" s="503"/>
      <c r="CD108" s="503" t="str">
        <f>IF($G108="","",IF(AND($G108&gt;=30,$AT$3&lt;=CC$7),ROUND(CC108*($AP$3+#REF!),-1),""))</f>
        <v/>
      </c>
      <c r="CE108" s="502"/>
      <c r="CF108" s="503" t="str">
        <f>IF($G108="","",IF(AND($G108&gt;=30,$AT$3&lt;=CE$7),ROUND(CE108*($AP$3+#REF!),-1),""))</f>
        <v/>
      </c>
      <c r="CG108" s="503"/>
      <c r="CH108" s="503" t="str">
        <f>IF($G108="","",IF(AND($G108&gt;=30,$AT$3&lt;=CG$7),ROUND(CG108*($AP$3+#REF!),-1),""))</f>
        <v/>
      </c>
      <c r="CI108" s="502"/>
      <c r="CJ108" s="503" t="str">
        <f>IF($G108="","",IF(AND($G108&gt;=30,$AT$3&lt;=CI$7),ROUND(CI108*($AP$3+#REF!),-1),""))</f>
        <v/>
      </c>
      <c r="CK108" s="503"/>
      <c r="CL108" s="503" t="str">
        <f>IF($G108="","",IF(AND($G108&gt;=30,$AT$3&lt;=CK$7),ROUND(CK108*($AP$3+#REF!),-1),""))</f>
        <v/>
      </c>
      <c r="CM108" s="502"/>
      <c r="CN108" s="503" t="str">
        <f>IF($G108="","",IF(AND($G108&gt;=30,$AT$3&lt;=CM$7),ROUND(CM108*($AP$3+#REF!),-1),""))</f>
        <v/>
      </c>
      <c r="CO108" s="503"/>
      <c r="CP108" s="503" t="str">
        <f>IF($G108="","",IF(AND($G108&gt;=30,$AT$3&lt;=CO$7),ROUND(CO108*($AP$3+#REF!),-1),""))</f>
        <v/>
      </c>
      <c r="CQ108" s="502"/>
      <c r="CR108" s="503" t="str">
        <f>IF($G108="","",IF(AND($G108&gt;=30,$AT$3&lt;=CQ$7),ROUND(CQ108*($AP$3+#REF!),-1),""))</f>
        <v/>
      </c>
      <c r="CS108" s="503"/>
      <c r="CT108" s="503" t="str">
        <f>IF($G108="","",IF(AND($G108&gt;=30,$AT$3&lt;=CS$7),ROUND(CS108*($AP$3+#REF!),-1),""))</f>
        <v/>
      </c>
      <c r="CU108" s="502"/>
      <c r="CV108" s="503" t="str">
        <f>IF($G108="","",IF(AND($G108&gt;=30,$AT$3&lt;=CU$7),ROUND(CU108*($AP$3+#REF!),-1),""))</f>
        <v/>
      </c>
      <c r="CW108" s="503"/>
      <c r="CX108" s="503" t="str">
        <f>IF($G108="","",IF(AND($G108&gt;=30,$AT$3&lt;=CW$7),ROUND(CW108*($AP$3+#REF!),-1),""))</f>
        <v/>
      </c>
      <c r="CY108" s="502"/>
      <c r="CZ108" s="503" t="str">
        <f>IF($G108="","",IF(AND($G108&gt;=30,$AT$3&lt;=CY$7),ROUND(CY108*($AP$3+#REF!),-1),""))</f>
        <v/>
      </c>
      <c r="DA108" s="503"/>
      <c r="DB108" s="503" t="str">
        <f>IF($G108="","",IF(AND($G108&gt;=30,$AT$3&lt;=DA$7),ROUND(DA108*($AP$3+#REF!),-1),""))</f>
        <v/>
      </c>
      <c r="DC108" s="502"/>
      <c r="DD108" s="503" t="str">
        <f>IF($G108="","",IF(AND($G108&gt;=30,$AT$3&lt;=DC$7),ROUND(DC108*($AP$3+#REF!),-1),""))</f>
        <v/>
      </c>
      <c r="DE108" s="503"/>
      <c r="DF108" s="503" t="str">
        <f>IF($G108="","",IF(AND($G108&gt;=30,$AT$3&lt;=DE$7),ROUND(DE108*($AP$3+#REF!),-1),""))</f>
        <v/>
      </c>
      <c r="DG108" s="503"/>
      <c r="DH108" s="503" t="str">
        <f>IF($G108="","",IF(AND($G108&gt;=30,$AT$3&lt;=DG$7),ROUND(DG108*($AP$3+#REF!),-1),""))</f>
        <v/>
      </c>
      <c r="DI108" s="503"/>
      <c r="DJ108" s="503" t="str">
        <f>IF($G108="","",IF(AND($G108&gt;=30,$AT$3&lt;=DI$7),ROUND(DI108*($AP$3+#REF!),-1),""))</f>
        <v/>
      </c>
      <c r="DK108" s="503"/>
      <c r="DL108" s="503" t="str">
        <f>IF($G108="","",IF(AND($G108&gt;=30,$AT$3&lt;=DK$7),ROUND(DK108*($AP$3+#REF!),-1),""))</f>
        <v/>
      </c>
      <c r="DM108" s="503"/>
      <c r="DN108" s="503" t="str">
        <f>IF($G108="","",IF(AND($G108&gt;=30,$AT$3&lt;=DM$7),ROUND(DM108*($AP$3+#REF!),-1),""))</f>
        <v/>
      </c>
      <c r="DO108" s="503"/>
      <c r="DP108" s="503" t="str">
        <f>IF($G108="","",IF(AND($G108&gt;=30,$AT$3&lt;=DO$7),ROUND(DO108*($AP$3+#REF!),-1),""))</f>
        <v/>
      </c>
      <c r="DQ108" s="503"/>
      <c r="DR108" s="503" t="str">
        <f>IF($G108="","",IF(AND($G108&gt;=30,$AT$3&lt;=DQ$7),ROUND(DQ108*($AP$3+#REF!),-1),""))</f>
        <v/>
      </c>
      <c r="DS108" s="503"/>
      <c r="DT108" s="503" t="str">
        <f>IF($G108="","",IF(AND($G108&gt;=30,$AT$3&lt;=DS$7),ROUND(DS108*($AP$3+#REF!),-1),""))</f>
        <v/>
      </c>
      <c r="DU108" s="503"/>
      <c r="DV108" s="503" t="str">
        <f>IF($G108="","",IF(AND($G108&gt;=30,$AT$3&lt;=DU$7),ROUND(DU108*($AP$3+#REF!),-1),""))</f>
        <v/>
      </c>
      <c r="DW108" s="503"/>
      <c r="DX108" s="503" t="str">
        <f>IF($G108="","",IF(AND($G108&gt;=30,$AT$3&lt;=DW$7),ROUND(DW108*($AP$3+#REF!),-1),""))</f>
        <v/>
      </c>
      <c r="DY108" s="503"/>
      <c r="DZ108" s="503" t="str">
        <f>IF($G108="","",IF(AND($G108&gt;=30,$AT$3&lt;=DY$7),ROUND(DY108*($AP$3+#REF!),-1),""))</f>
        <v/>
      </c>
      <c r="EA108" s="503"/>
      <c r="EB108" s="503" t="str">
        <f>IF($G108="","",IF(AND($G108&gt;=30,$AT$3&lt;=EA$7),ROUND(EA108*($AP$3+#REF!),-1),""))</f>
        <v/>
      </c>
      <c r="EC108" s="504" t="s">
        <v>621</v>
      </c>
      <c r="ED108" s="1126"/>
      <c r="EE108" s="325">
        <v>4</v>
      </c>
    </row>
    <row r="109" spans="1:135" ht="9.75" customHeight="1">
      <c r="A109" s="321" t="str">
        <f t="shared" si="21"/>
        <v/>
      </c>
      <c r="B109" s="567">
        <f>(ii!$D$13*12+V109)+1</f>
        <v>3</v>
      </c>
      <c r="C109" s="337">
        <f t="shared" si="30"/>
        <v>45443</v>
      </c>
      <c r="D109" s="484">
        <f t="shared" si="25"/>
        <v>2024</v>
      </c>
      <c r="E109" s="484">
        <f t="shared" si="26"/>
        <v>0.41666666666666669</v>
      </c>
      <c r="F109" s="484">
        <f t="shared" si="27"/>
        <v>2024.4166666666667</v>
      </c>
      <c r="G109" s="485" t="str">
        <f>IF(OR(C109&lt;$I$2,C109&gt;$J$3),"",(ii!$D$13*12+V109+1)/12)</f>
        <v/>
      </c>
      <c r="H109" s="486"/>
      <c r="I109" s="486"/>
      <c r="J109" s="507"/>
      <c r="K109" s="508"/>
      <c r="L109" s="548"/>
      <c r="M109" s="520" t="str">
        <f t="shared" si="32"/>
        <v/>
      </c>
      <c r="N109" s="490" t="s">
        <v>621</v>
      </c>
      <c r="O109" s="490" t="str">
        <f t="shared" si="28"/>
        <v/>
      </c>
      <c r="P109" s="507"/>
      <c r="Q109" s="507"/>
      <c r="R109" s="509" t="str">
        <f t="shared" si="29"/>
        <v/>
      </c>
      <c r="S109" s="550" t="str">
        <f t="shared" si="24"/>
        <v/>
      </c>
      <c r="T109" s="550" t="str">
        <f t="shared" si="23"/>
        <v/>
      </c>
      <c r="U109" s="521" t="str">
        <f>IF(H109="","",#REF!*12+#REF!+#REF!*12+#REF!)</f>
        <v/>
      </c>
      <c r="V109" s="338">
        <f>IF(ii!$J$3&gt;gg!C109,"",IF(AND((YEAR(C109)=YEAR($I$2)),MONTH(C109)=MONTH($I$2)),ii!$B$14*12+ii!$C$14+ii!$B$15*12+ii!$C$15-1,V108+1))</f>
        <v>2</v>
      </c>
      <c r="W109" s="339">
        <f t="shared" si="31"/>
        <v>0.16666666666666666</v>
      </c>
      <c r="X109" s="494" t="s">
        <v>621</v>
      </c>
      <c r="Y109" s="495" t="s">
        <v>621</v>
      </c>
      <c r="Z109" s="496"/>
      <c r="AA109" s="497"/>
      <c r="AB109" s="523" t="e">
        <f t="shared" si="35"/>
        <v>#VALUE!</v>
      </c>
      <c r="AC109" s="484" t="str">
        <f t="shared" si="33"/>
        <v/>
      </c>
      <c r="AD109" s="524" t="str">
        <f t="shared" si="34"/>
        <v/>
      </c>
      <c r="AE109" s="525" t="s">
        <v>621</v>
      </c>
      <c r="AF109" s="500" t="s">
        <v>621</v>
      </c>
      <c r="AG109" s="556" t="s">
        <v>621</v>
      </c>
      <c r="AH109" s="503" t="str">
        <f>IF($G109="","",IF(AND($G109&gt;=30,$AT$3&lt;=AG$7),ROUND(AG109*($AP$3+#REF!),-1),""))</f>
        <v/>
      </c>
      <c r="AI109" s="506" t="s">
        <v>621</v>
      </c>
      <c r="AJ109" s="503" t="str">
        <f>IF($G109="","",IF(AND($G109&gt;=30,$AT$3&lt;=AI$7),ROUND(AI109*($AP$3+#REF!),-1),""))</f>
        <v/>
      </c>
      <c r="AK109" s="506" t="s">
        <v>621</v>
      </c>
      <c r="AL109" s="503" t="str">
        <f>IF($G109="","",IF(AND($G109&gt;=30,$AT$3&lt;=AK$7),ROUND(AK109*($AP$3+#REF!),-1),""))</f>
        <v/>
      </c>
      <c r="AM109" s="506" t="s">
        <v>621</v>
      </c>
      <c r="AN109" s="503" t="str">
        <f>IF($G109="","",IF(AND($G109&gt;=30,$AT$3&lt;=AM$7),ROUND(AM109*($AP$3+#REF!),-1),""))</f>
        <v/>
      </c>
      <c r="AO109" s="503" t="e">
        <v>#REF!</v>
      </c>
      <c r="AP109" s="503" t="str">
        <f>IF($G109="","",IF(AND($G109&gt;=30,$AT$3&lt;=AO$7),ROUND(AO109*($AP$3+#REF!),-1),""))</f>
        <v/>
      </c>
      <c r="AQ109" s="503" t="s">
        <v>621</v>
      </c>
      <c r="AR109" s="503" t="str">
        <f>IF($G109="","",IF(AND($G109&gt;=30,$AT$3&lt;=AQ$7),ROUND(AQ109*($AP$3+#REF!),-1),""))</f>
        <v/>
      </c>
      <c r="AS109" s="503" t="s">
        <v>621</v>
      </c>
      <c r="AT109" s="503" t="str">
        <f>IF($G109="","",IF(AND($G109&gt;=30,$AT$3&lt;=AS$7),ROUND(AS109*($AP$3+#REF!),-1),""))</f>
        <v/>
      </c>
      <c r="AU109" s="503" t="s">
        <v>621</v>
      </c>
      <c r="AV109" s="503" t="str">
        <f>IF($G109="","",IF(AND($G109&gt;=30,$AT$3&lt;=AU$7),ROUND(AU109*($AP$3+#REF!),-1),""))</f>
        <v/>
      </c>
      <c r="AW109" s="517" t="e">
        <v>#REF!</v>
      </c>
      <c r="AX109" s="503" t="str">
        <f>IF($G109="","",IF(AND($G109&gt;=30,$AT$3&lt;=AW$7),ROUND(AW109*($AP$3+#REF!),-1),""))</f>
        <v/>
      </c>
      <c r="AY109" s="502"/>
      <c r="AZ109" s="503" t="str">
        <f>IF($G109="","",IF(AND($G109&gt;=30,$AT$3&lt;=AY$7),ROUND(AY109*($AP$3+#REF!),-1),""))</f>
        <v/>
      </c>
      <c r="BA109" s="503"/>
      <c r="BB109" s="503" t="str">
        <f>IF($G109="","",IF(AND($G109&gt;=30,$AT$3&lt;=BA$7),ROUND(BA109*($AP$3+#REF!),-1),""))</f>
        <v/>
      </c>
      <c r="BC109" s="502"/>
      <c r="BD109" s="503" t="str">
        <f>IF($G109="","",IF(AND($G109&gt;=30,$AT$3&lt;=BC$7),ROUND(BC109*($AP$3+#REF!),-1),""))</f>
        <v/>
      </c>
      <c r="BE109" s="503"/>
      <c r="BF109" s="503" t="str">
        <f>IF($G109="","",IF(AND($G109&gt;=30,$AT$3&lt;=BE$7),ROUND(BE109*($AP$3+#REF!),-1),""))</f>
        <v/>
      </c>
      <c r="BG109" s="502"/>
      <c r="BH109" s="503" t="str">
        <f>IF($G109="","",IF(AND($G109&gt;=30,$AT$3&lt;=BG$7),ROUND(BG109*($AP$3+#REF!),-1),""))</f>
        <v/>
      </c>
      <c r="BI109" s="503"/>
      <c r="BJ109" s="503" t="str">
        <f>IF($G109="","",IF(AND($G109&gt;=30,$AT$3&lt;=BI$7),ROUND(BI109*($AP$3+#REF!),-1),""))</f>
        <v/>
      </c>
      <c r="BK109" s="502"/>
      <c r="BL109" s="503" t="str">
        <f>IF($G109="","",IF(AND($G109&gt;=30,$AT$3&lt;=BK$7),ROUND(BK109*($AP$3+#REF!),-1),""))</f>
        <v/>
      </c>
      <c r="BM109" s="503"/>
      <c r="BN109" s="503" t="str">
        <f>IF($G109="","",IF(AND($G109&gt;=30,$AT$3&lt;=BM$7),ROUND(BM109*($AP$3+#REF!),-1),""))</f>
        <v/>
      </c>
      <c r="BO109" s="502"/>
      <c r="BP109" s="503" t="str">
        <f>IF($G109="","",IF(AND($G109&gt;=30,$AT$3&lt;=BO$7),ROUND(BO109*($AP$3+#REF!),-1),""))</f>
        <v/>
      </c>
      <c r="BQ109" s="503"/>
      <c r="BR109" s="503" t="str">
        <f>IF($G109="","",IF(AND($G109&gt;=30,$AT$3&lt;=BQ$7),ROUND(BQ109*($AP$3+#REF!),-1),""))</f>
        <v/>
      </c>
      <c r="BS109" s="502"/>
      <c r="BT109" s="503" t="str">
        <f>IF($G109="","",IF(AND($G109&gt;=30,$AT$3&lt;=BS$7),ROUND(BS109*($AP$3+#REF!),-1),""))</f>
        <v/>
      </c>
      <c r="BU109" s="503"/>
      <c r="BV109" s="503" t="str">
        <f>IF($G109="","",IF(AND($G109&gt;=30,$AT$3&lt;=BU$7),ROUND(BU109*($AP$3+#REF!),-1),""))</f>
        <v/>
      </c>
      <c r="BW109" s="502"/>
      <c r="BX109" s="503" t="str">
        <f>IF($G109="","",IF(AND($G109&gt;=30,$AT$3&lt;=BW$7),ROUND(BW109*($AP$3+#REF!),-1),""))</f>
        <v/>
      </c>
      <c r="BY109" s="503"/>
      <c r="BZ109" s="503" t="str">
        <f>IF($G109="","",IF(AND($G109&gt;=30,$AT$3&lt;=BY$7),ROUND(BY109*($AP$3+#REF!),-1),""))</f>
        <v/>
      </c>
      <c r="CA109" s="502"/>
      <c r="CB109" s="503" t="str">
        <f>IF($G109="","",IF(AND($G109&gt;=30,$AT$3&lt;=CA$7),ROUND(CA109*($AP$3+#REF!),-1),""))</f>
        <v/>
      </c>
      <c r="CC109" s="503"/>
      <c r="CD109" s="503" t="str">
        <f>IF($G109="","",IF(AND($G109&gt;=30,$AT$3&lt;=CC$7),ROUND(CC109*($AP$3+#REF!),-1),""))</f>
        <v/>
      </c>
      <c r="CE109" s="502"/>
      <c r="CF109" s="503" t="str">
        <f>IF($G109="","",IF(AND($G109&gt;=30,$AT$3&lt;=CE$7),ROUND(CE109*($AP$3+#REF!),-1),""))</f>
        <v/>
      </c>
      <c r="CG109" s="503"/>
      <c r="CH109" s="503" t="str">
        <f>IF($G109="","",IF(AND($G109&gt;=30,$AT$3&lt;=CG$7),ROUND(CG109*($AP$3+#REF!),-1),""))</f>
        <v/>
      </c>
      <c r="CI109" s="502"/>
      <c r="CJ109" s="503" t="str">
        <f>IF($G109="","",IF(AND($G109&gt;=30,$AT$3&lt;=CI$7),ROUND(CI109*($AP$3+#REF!),-1),""))</f>
        <v/>
      </c>
      <c r="CK109" s="503"/>
      <c r="CL109" s="503" t="str">
        <f>IF($G109="","",IF(AND($G109&gt;=30,$AT$3&lt;=CK$7),ROUND(CK109*($AP$3+#REF!),-1),""))</f>
        <v/>
      </c>
      <c r="CM109" s="502"/>
      <c r="CN109" s="503" t="str">
        <f>IF($G109="","",IF(AND($G109&gt;=30,$AT$3&lt;=CM$7),ROUND(CM109*($AP$3+#REF!),-1),""))</f>
        <v/>
      </c>
      <c r="CO109" s="503"/>
      <c r="CP109" s="503" t="str">
        <f>IF($G109="","",IF(AND($G109&gt;=30,$AT$3&lt;=CO$7),ROUND(CO109*($AP$3+#REF!),-1),""))</f>
        <v/>
      </c>
      <c r="CQ109" s="502"/>
      <c r="CR109" s="503" t="str">
        <f>IF($G109="","",IF(AND($G109&gt;=30,$AT$3&lt;=CQ$7),ROUND(CQ109*($AP$3+#REF!),-1),""))</f>
        <v/>
      </c>
      <c r="CS109" s="503"/>
      <c r="CT109" s="503" t="str">
        <f>IF($G109="","",IF(AND($G109&gt;=30,$AT$3&lt;=CS$7),ROUND(CS109*($AP$3+#REF!),-1),""))</f>
        <v/>
      </c>
      <c r="CU109" s="502"/>
      <c r="CV109" s="503" t="str">
        <f>IF($G109="","",IF(AND($G109&gt;=30,$AT$3&lt;=CU$7),ROUND(CU109*($AP$3+#REF!),-1),""))</f>
        <v/>
      </c>
      <c r="CW109" s="503"/>
      <c r="CX109" s="503" t="str">
        <f>IF($G109="","",IF(AND($G109&gt;=30,$AT$3&lt;=CW$7),ROUND(CW109*($AP$3+#REF!),-1),""))</f>
        <v/>
      </c>
      <c r="CY109" s="502"/>
      <c r="CZ109" s="503" t="str">
        <f>IF($G109="","",IF(AND($G109&gt;=30,$AT$3&lt;=CY$7),ROUND(CY109*($AP$3+#REF!),-1),""))</f>
        <v/>
      </c>
      <c r="DA109" s="503"/>
      <c r="DB109" s="503" t="str">
        <f>IF($G109="","",IF(AND($G109&gt;=30,$AT$3&lt;=DA$7),ROUND(DA109*($AP$3+#REF!),-1),""))</f>
        <v/>
      </c>
      <c r="DC109" s="502"/>
      <c r="DD109" s="503" t="str">
        <f>IF($G109="","",IF(AND($G109&gt;=30,$AT$3&lt;=DC$7),ROUND(DC109*($AP$3+#REF!),-1),""))</f>
        <v/>
      </c>
      <c r="DE109" s="503"/>
      <c r="DF109" s="503" t="str">
        <f>IF($G109="","",IF(AND($G109&gt;=30,$AT$3&lt;=DE$7),ROUND(DE109*($AP$3+#REF!),-1),""))</f>
        <v/>
      </c>
      <c r="DG109" s="503"/>
      <c r="DH109" s="503" t="str">
        <f>IF($G109="","",IF(AND($G109&gt;=30,$AT$3&lt;=DG$7),ROUND(DG109*($AP$3+#REF!),-1),""))</f>
        <v/>
      </c>
      <c r="DI109" s="503"/>
      <c r="DJ109" s="503" t="str">
        <f>IF($G109="","",IF(AND($G109&gt;=30,$AT$3&lt;=DI$7),ROUND(DI109*($AP$3+#REF!),-1),""))</f>
        <v/>
      </c>
      <c r="DK109" s="503"/>
      <c r="DL109" s="503" t="str">
        <f>IF($G109="","",IF(AND($G109&gt;=30,$AT$3&lt;=DK$7),ROUND(DK109*($AP$3+#REF!),-1),""))</f>
        <v/>
      </c>
      <c r="DM109" s="503"/>
      <c r="DN109" s="503" t="str">
        <f>IF($G109="","",IF(AND($G109&gt;=30,$AT$3&lt;=DM$7),ROUND(DM109*($AP$3+#REF!),-1),""))</f>
        <v/>
      </c>
      <c r="DO109" s="503"/>
      <c r="DP109" s="503" t="str">
        <f>IF($G109="","",IF(AND($G109&gt;=30,$AT$3&lt;=DO$7),ROUND(DO109*($AP$3+#REF!),-1),""))</f>
        <v/>
      </c>
      <c r="DQ109" s="503"/>
      <c r="DR109" s="503" t="str">
        <f>IF($G109="","",IF(AND($G109&gt;=30,$AT$3&lt;=DQ$7),ROUND(DQ109*($AP$3+#REF!),-1),""))</f>
        <v/>
      </c>
      <c r="DS109" s="503"/>
      <c r="DT109" s="503" t="str">
        <f>IF($G109="","",IF(AND($G109&gt;=30,$AT$3&lt;=DS$7),ROUND(DS109*($AP$3+#REF!),-1),""))</f>
        <v/>
      </c>
      <c r="DU109" s="503"/>
      <c r="DV109" s="503" t="str">
        <f>IF($G109="","",IF(AND($G109&gt;=30,$AT$3&lt;=DU$7),ROUND(DU109*($AP$3+#REF!),-1),""))</f>
        <v/>
      </c>
      <c r="DW109" s="503"/>
      <c r="DX109" s="503" t="str">
        <f>IF($G109="","",IF(AND($G109&gt;=30,$AT$3&lt;=DW$7),ROUND(DW109*($AP$3+#REF!),-1),""))</f>
        <v/>
      </c>
      <c r="DY109" s="503"/>
      <c r="DZ109" s="503" t="str">
        <f>IF($G109="","",IF(AND($G109&gt;=30,$AT$3&lt;=DY$7),ROUND(DY109*($AP$3+#REF!),-1),""))</f>
        <v/>
      </c>
      <c r="EA109" s="503"/>
      <c r="EB109" s="503" t="str">
        <f>IF($G109="","",IF(AND($G109&gt;=30,$AT$3&lt;=EA$7),ROUND(EA109*($AP$3+#REF!),-1),""))</f>
        <v/>
      </c>
      <c r="EC109" s="504" t="s">
        <v>621</v>
      </c>
      <c r="ED109" s="1126"/>
      <c r="EE109" s="325">
        <v>5</v>
      </c>
    </row>
    <row r="110" spans="1:135" ht="9.75" customHeight="1">
      <c r="A110" s="321" t="str">
        <f t="shared" si="21"/>
        <v/>
      </c>
      <c r="B110" s="567">
        <f>(ii!$D$13*12+V110)+1</f>
        <v>4</v>
      </c>
      <c r="C110" s="337">
        <f t="shared" si="30"/>
        <v>45473</v>
      </c>
      <c r="D110" s="484">
        <f t="shared" si="25"/>
        <v>2024</v>
      </c>
      <c r="E110" s="484">
        <f t="shared" si="26"/>
        <v>0.5</v>
      </c>
      <c r="F110" s="484">
        <f t="shared" si="27"/>
        <v>2024.5</v>
      </c>
      <c r="G110" s="485" t="str">
        <f>IF(OR(C110&lt;$I$2,C110&gt;$J$3),"",(ii!$D$13*12+V110+1)/12)</f>
        <v/>
      </c>
      <c r="H110" s="486"/>
      <c r="I110" s="486"/>
      <c r="J110" s="487"/>
      <c r="K110" s="488"/>
      <c r="L110" s="548"/>
      <c r="M110" s="489" t="str">
        <f t="shared" si="32"/>
        <v/>
      </c>
      <c r="N110" s="490" t="s">
        <v>621</v>
      </c>
      <c r="O110" s="490" t="str">
        <f t="shared" si="28"/>
        <v/>
      </c>
      <c r="P110" s="491"/>
      <c r="Q110" s="491"/>
      <c r="R110" s="491" t="str">
        <f t="shared" si="29"/>
        <v/>
      </c>
      <c r="S110" s="528" t="str">
        <f t="shared" si="24"/>
        <v/>
      </c>
      <c r="T110" s="528" t="str">
        <f t="shared" si="23"/>
        <v/>
      </c>
      <c r="U110" s="493" t="str">
        <f>IF(H110="","",#REF!*12+#REF!+#REF!*12+#REF!)</f>
        <v/>
      </c>
      <c r="V110" s="338">
        <f>IF(ii!$J$3&gt;gg!C110,"",IF(AND((YEAR(C110)=YEAR($I$2)),MONTH(C110)=MONTH($I$2)),ii!$B$14*12+ii!$C$14+ii!$B$15*12+ii!$C$15-1,V109+1))</f>
        <v>3</v>
      </c>
      <c r="W110" s="339">
        <f t="shared" si="31"/>
        <v>0.25</v>
      </c>
      <c r="X110" s="494" t="s">
        <v>621</v>
      </c>
      <c r="Y110" s="495" t="s">
        <v>621</v>
      </c>
      <c r="Z110" s="496"/>
      <c r="AA110" s="497"/>
      <c r="AB110" s="498" t="e">
        <f t="shared" si="35"/>
        <v>#VALUE!</v>
      </c>
      <c r="AC110" s="484" t="str">
        <f t="shared" si="33"/>
        <v/>
      </c>
      <c r="AD110" s="495" t="str">
        <f t="shared" si="34"/>
        <v/>
      </c>
      <c r="AE110" s="499" t="s">
        <v>621</v>
      </c>
      <c r="AF110" s="500" t="s">
        <v>621</v>
      </c>
      <c r="AG110" s="556" t="s">
        <v>621</v>
      </c>
      <c r="AH110" s="503" t="str">
        <f>IF($G110="","",IF(AND($G110&gt;=30,$AT$3&lt;=AG$7),ROUND(AG110*($AP$3+#REF!),-1),""))</f>
        <v/>
      </c>
      <c r="AI110" s="506" t="s">
        <v>621</v>
      </c>
      <c r="AJ110" s="503" t="str">
        <f>IF($G110="","",IF(AND($G110&gt;=30,$AT$3&lt;=AI$7),ROUND(AI110*($AP$3+#REF!),-1),""))</f>
        <v/>
      </c>
      <c r="AK110" s="506" t="s">
        <v>621</v>
      </c>
      <c r="AL110" s="503" t="str">
        <f>IF($G110="","",IF(AND($G110&gt;=30,$AT$3&lt;=AK$7),ROUND(AK110*($AP$3+#REF!),-1),""))</f>
        <v/>
      </c>
      <c r="AM110" s="506" t="s">
        <v>621</v>
      </c>
      <c r="AN110" s="503" t="str">
        <f>IF($G110="","",IF(AND($G110&gt;=30,$AT$3&lt;=AM$7),ROUND(AM110*($AP$3+#REF!),-1),""))</f>
        <v/>
      </c>
      <c r="AO110" s="503" t="e">
        <v>#REF!</v>
      </c>
      <c r="AP110" s="503" t="str">
        <f>IF($G110="","",IF(AND($G110&gt;=30,$AT$3&lt;=AO$7),ROUND(AO110*($AP$3+#REF!),-1),""))</f>
        <v/>
      </c>
      <c r="AQ110" s="503" t="s">
        <v>621</v>
      </c>
      <c r="AR110" s="503" t="str">
        <f>IF($G110="","",IF(AND($G110&gt;=30,$AT$3&lt;=AQ$7),ROUND(AQ110*($AP$3+#REF!),-1),""))</f>
        <v/>
      </c>
      <c r="AS110" s="503" t="s">
        <v>621</v>
      </c>
      <c r="AT110" s="503" t="str">
        <f>IF($G110="","",IF(AND($G110&gt;=30,$AT$3&lt;=AS$7),ROUND(AS110*($AP$3+#REF!),-1),""))</f>
        <v/>
      </c>
      <c r="AU110" s="503" t="s">
        <v>621</v>
      </c>
      <c r="AV110" s="503" t="str">
        <f>IF($G110="","",IF(AND($G110&gt;=30,$AT$3&lt;=AU$7),ROUND(AU110*($AP$3+#REF!),-1),""))</f>
        <v/>
      </c>
      <c r="AW110" s="517" t="e">
        <v>#REF!</v>
      </c>
      <c r="AX110" s="503" t="str">
        <f>IF($G110="","",IF(AND($G110&gt;=30,$AT$3&lt;=AW$7),ROUND(AW110*($AP$3+#REF!),-1),""))</f>
        <v/>
      </c>
      <c r="AY110" s="502"/>
      <c r="AZ110" s="503" t="str">
        <f>IF($G110="","",IF(AND($G110&gt;=30,$AT$3&lt;=AY$7),ROUND(AY110*($AP$3+#REF!),-1),""))</f>
        <v/>
      </c>
      <c r="BA110" s="503"/>
      <c r="BB110" s="503" t="str">
        <f>IF($G110="","",IF(AND($G110&gt;=30,$AT$3&lt;=BA$7),ROUND(BA110*($AP$3+#REF!),-1),""))</f>
        <v/>
      </c>
      <c r="BC110" s="502"/>
      <c r="BD110" s="503" t="str">
        <f>IF($G110="","",IF(AND($G110&gt;=30,$AT$3&lt;=BC$7),ROUND(BC110*($AP$3+#REF!),-1),""))</f>
        <v/>
      </c>
      <c r="BE110" s="503"/>
      <c r="BF110" s="503" t="str">
        <f>IF($G110="","",IF(AND($G110&gt;=30,$AT$3&lt;=BE$7),ROUND(BE110*($AP$3+#REF!),-1),""))</f>
        <v/>
      </c>
      <c r="BG110" s="502"/>
      <c r="BH110" s="503" t="str">
        <f>IF($G110="","",IF(AND($G110&gt;=30,$AT$3&lt;=BG$7),ROUND(BG110*($AP$3+#REF!),-1),""))</f>
        <v/>
      </c>
      <c r="BI110" s="503"/>
      <c r="BJ110" s="503" t="str">
        <f>IF($G110="","",IF(AND($G110&gt;=30,$AT$3&lt;=BI$7),ROUND(BI110*($AP$3+#REF!),-1),""))</f>
        <v/>
      </c>
      <c r="BK110" s="502"/>
      <c r="BL110" s="503" t="str">
        <f>IF($G110="","",IF(AND($G110&gt;=30,$AT$3&lt;=BK$7),ROUND(BK110*($AP$3+#REF!),-1),""))</f>
        <v/>
      </c>
      <c r="BM110" s="503"/>
      <c r="BN110" s="503" t="str">
        <f>IF($G110="","",IF(AND($G110&gt;=30,$AT$3&lt;=BM$7),ROUND(BM110*($AP$3+#REF!),-1),""))</f>
        <v/>
      </c>
      <c r="BO110" s="502"/>
      <c r="BP110" s="503" t="str">
        <f>IF($G110="","",IF(AND($G110&gt;=30,$AT$3&lt;=BO$7),ROUND(BO110*($AP$3+#REF!),-1),""))</f>
        <v/>
      </c>
      <c r="BQ110" s="503"/>
      <c r="BR110" s="503" t="str">
        <f>IF($G110="","",IF(AND($G110&gt;=30,$AT$3&lt;=BQ$7),ROUND(BQ110*($AP$3+#REF!),-1),""))</f>
        <v/>
      </c>
      <c r="BS110" s="502"/>
      <c r="BT110" s="503" t="str">
        <f>IF($G110="","",IF(AND($G110&gt;=30,$AT$3&lt;=BS$7),ROUND(BS110*($AP$3+#REF!),-1),""))</f>
        <v/>
      </c>
      <c r="BU110" s="503"/>
      <c r="BV110" s="503" t="str">
        <f>IF($G110="","",IF(AND($G110&gt;=30,$AT$3&lt;=BU$7),ROUND(BU110*($AP$3+#REF!),-1),""))</f>
        <v/>
      </c>
      <c r="BW110" s="502"/>
      <c r="BX110" s="503" t="str">
        <f>IF($G110="","",IF(AND($G110&gt;=30,$AT$3&lt;=BW$7),ROUND(BW110*($AP$3+#REF!),-1),""))</f>
        <v/>
      </c>
      <c r="BY110" s="503"/>
      <c r="BZ110" s="503" t="str">
        <f>IF($G110="","",IF(AND($G110&gt;=30,$AT$3&lt;=BY$7),ROUND(BY110*($AP$3+#REF!),-1),""))</f>
        <v/>
      </c>
      <c r="CA110" s="502"/>
      <c r="CB110" s="503" t="str">
        <f>IF($G110="","",IF(AND($G110&gt;=30,$AT$3&lt;=CA$7),ROUND(CA110*($AP$3+#REF!),-1),""))</f>
        <v/>
      </c>
      <c r="CC110" s="503"/>
      <c r="CD110" s="503" t="str">
        <f>IF($G110="","",IF(AND($G110&gt;=30,$AT$3&lt;=CC$7),ROUND(CC110*($AP$3+#REF!),-1),""))</f>
        <v/>
      </c>
      <c r="CE110" s="502"/>
      <c r="CF110" s="503" t="str">
        <f>IF($G110="","",IF(AND($G110&gt;=30,$AT$3&lt;=CE$7),ROUND(CE110*($AP$3+#REF!),-1),""))</f>
        <v/>
      </c>
      <c r="CG110" s="503"/>
      <c r="CH110" s="503" t="str">
        <f>IF($G110="","",IF(AND($G110&gt;=30,$AT$3&lt;=CG$7),ROUND(CG110*($AP$3+#REF!),-1),""))</f>
        <v/>
      </c>
      <c r="CI110" s="502"/>
      <c r="CJ110" s="503" t="str">
        <f>IF($G110="","",IF(AND($G110&gt;=30,$AT$3&lt;=CI$7),ROUND(CI110*($AP$3+#REF!),-1),""))</f>
        <v/>
      </c>
      <c r="CK110" s="503"/>
      <c r="CL110" s="503" t="str">
        <f>IF($G110="","",IF(AND($G110&gt;=30,$AT$3&lt;=CK$7),ROUND(CK110*($AP$3+#REF!),-1),""))</f>
        <v/>
      </c>
      <c r="CM110" s="502"/>
      <c r="CN110" s="503" t="str">
        <f>IF($G110="","",IF(AND($G110&gt;=30,$AT$3&lt;=CM$7),ROUND(CM110*($AP$3+#REF!),-1),""))</f>
        <v/>
      </c>
      <c r="CO110" s="503"/>
      <c r="CP110" s="503" t="str">
        <f>IF($G110="","",IF(AND($G110&gt;=30,$AT$3&lt;=CO$7),ROUND(CO110*($AP$3+#REF!),-1),""))</f>
        <v/>
      </c>
      <c r="CQ110" s="502"/>
      <c r="CR110" s="503" t="str">
        <f>IF($G110="","",IF(AND($G110&gt;=30,$AT$3&lt;=CQ$7),ROUND(CQ110*($AP$3+#REF!),-1),""))</f>
        <v/>
      </c>
      <c r="CS110" s="503"/>
      <c r="CT110" s="503" t="str">
        <f>IF($G110="","",IF(AND($G110&gt;=30,$AT$3&lt;=CS$7),ROUND(CS110*($AP$3+#REF!),-1),""))</f>
        <v/>
      </c>
      <c r="CU110" s="502"/>
      <c r="CV110" s="503" t="str">
        <f>IF($G110="","",IF(AND($G110&gt;=30,$AT$3&lt;=CU$7),ROUND(CU110*($AP$3+#REF!),-1),""))</f>
        <v/>
      </c>
      <c r="CW110" s="503"/>
      <c r="CX110" s="503" t="str">
        <f>IF($G110="","",IF(AND($G110&gt;=30,$AT$3&lt;=CW$7),ROUND(CW110*($AP$3+#REF!),-1),""))</f>
        <v/>
      </c>
      <c r="CY110" s="502"/>
      <c r="CZ110" s="503" t="str">
        <f>IF($G110="","",IF(AND($G110&gt;=30,$AT$3&lt;=CY$7),ROUND(CY110*($AP$3+#REF!),-1),""))</f>
        <v/>
      </c>
      <c r="DA110" s="503"/>
      <c r="DB110" s="503" t="str">
        <f>IF($G110="","",IF(AND($G110&gt;=30,$AT$3&lt;=DA$7),ROUND(DA110*($AP$3+#REF!),-1),""))</f>
        <v/>
      </c>
      <c r="DC110" s="502"/>
      <c r="DD110" s="503" t="str">
        <f>IF($G110="","",IF(AND($G110&gt;=30,$AT$3&lt;=DC$7),ROUND(DC110*($AP$3+#REF!),-1),""))</f>
        <v/>
      </c>
      <c r="DE110" s="503"/>
      <c r="DF110" s="503" t="str">
        <f>IF($G110="","",IF(AND($G110&gt;=30,$AT$3&lt;=DE$7),ROUND(DE110*($AP$3+#REF!),-1),""))</f>
        <v/>
      </c>
      <c r="DG110" s="503"/>
      <c r="DH110" s="503" t="str">
        <f>IF($G110="","",IF(AND($G110&gt;=30,$AT$3&lt;=DG$7),ROUND(DG110*($AP$3+#REF!),-1),""))</f>
        <v/>
      </c>
      <c r="DI110" s="503"/>
      <c r="DJ110" s="503" t="str">
        <f>IF($G110="","",IF(AND($G110&gt;=30,$AT$3&lt;=DI$7),ROUND(DI110*($AP$3+#REF!),-1),""))</f>
        <v/>
      </c>
      <c r="DK110" s="503"/>
      <c r="DL110" s="503" t="str">
        <f>IF($G110="","",IF(AND($G110&gt;=30,$AT$3&lt;=DK$7),ROUND(DK110*($AP$3+#REF!),-1),""))</f>
        <v/>
      </c>
      <c r="DM110" s="503"/>
      <c r="DN110" s="503" t="str">
        <f>IF($G110="","",IF(AND($G110&gt;=30,$AT$3&lt;=DM$7),ROUND(DM110*($AP$3+#REF!),-1),""))</f>
        <v/>
      </c>
      <c r="DO110" s="503"/>
      <c r="DP110" s="503" t="str">
        <f>IF($G110="","",IF(AND($G110&gt;=30,$AT$3&lt;=DO$7),ROUND(DO110*($AP$3+#REF!),-1),""))</f>
        <v/>
      </c>
      <c r="DQ110" s="503"/>
      <c r="DR110" s="503" t="str">
        <f>IF($G110="","",IF(AND($G110&gt;=30,$AT$3&lt;=DQ$7),ROUND(DQ110*($AP$3+#REF!),-1),""))</f>
        <v/>
      </c>
      <c r="DS110" s="503"/>
      <c r="DT110" s="503" t="str">
        <f>IF($G110="","",IF(AND($G110&gt;=30,$AT$3&lt;=DS$7),ROUND(DS110*($AP$3+#REF!),-1),""))</f>
        <v/>
      </c>
      <c r="DU110" s="503"/>
      <c r="DV110" s="503" t="str">
        <f>IF($G110="","",IF(AND($G110&gt;=30,$AT$3&lt;=DU$7),ROUND(DU110*($AP$3+#REF!),-1),""))</f>
        <v/>
      </c>
      <c r="DW110" s="503"/>
      <c r="DX110" s="503" t="str">
        <f>IF($G110="","",IF(AND($G110&gt;=30,$AT$3&lt;=DW$7),ROUND(DW110*($AP$3+#REF!),-1),""))</f>
        <v/>
      </c>
      <c r="DY110" s="503"/>
      <c r="DZ110" s="503" t="str">
        <f>IF($G110="","",IF(AND($G110&gt;=30,$AT$3&lt;=DY$7),ROUND(DY110*($AP$3+#REF!),-1),""))</f>
        <v/>
      </c>
      <c r="EA110" s="503"/>
      <c r="EB110" s="503" t="str">
        <f>IF($G110="","",IF(AND($G110&gt;=30,$AT$3&lt;=EA$7),ROUND(EA110*($AP$3+#REF!),-1),""))</f>
        <v/>
      </c>
      <c r="EC110" s="504" t="s">
        <v>621</v>
      </c>
      <c r="ED110" s="1126"/>
      <c r="EE110" s="325">
        <v>6</v>
      </c>
    </row>
    <row r="111" spans="1:135" ht="9.75" customHeight="1">
      <c r="A111" s="321" t="str">
        <f t="shared" si="21"/>
        <v/>
      </c>
      <c r="B111" s="567">
        <f>(ii!$D$13*12+V111)+1</f>
        <v>5</v>
      </c>
      <c r="C111" s="337">
        <f t="shared" si="30"/>
        <v>45504</v>
      </c>
      <c r="D111" s="484">
        <f t="shared" si="25"/>
        <v>2024</v>
      </c>
      <c r="E111" s="484">
        <f t="shared" si="26"/>
        <v>0.58333333333333337</v>
      </c>
      <c r="F111" s="484">
        <f t="shared" si="27"/>
        <v>2024.5833333333333</v>
      </c>
      <c r="G111" s="485" t="str">
        <f>IF(OR(C111&lt;$I$2,C111&gt;$J$3),"",(ii!$D$13*12+V111+1)/12)</f>
        <v/>
      </c>
      <c r="H111" s="486"/>
      <c r="I111" s="486"/>
      <c r="J111" s="487"/>
      <c r="K111" s="488"/>
      <c r="L111" s="548"/>
      <c r="M111" s="489" t="str">
        <f t="shared" si="32"/>
        <v/>
      </c>
      <c r="N111" s="490" t="s">
        <v>621</v>
      </c>
      <c r="O111" s="490" t="str">
        <f t="shared" si="28"/>
        <v/>
      </c>
      <c r="P111" s="491"/>
      <c r="Q111" s="491"/>
      <c r="R111" s="491" t="str">
        <f t="shared" si="29"/>
        <v/>
      </c>
      <c r="S111" s="528" t="str">
        <f t="shared" si="24"/>
        <v/>
      </c>
      <c r="T111" s="528" t="str">
        <f t="shared" si="23"/>
        <v/>
      </c>
      <c r="U111" s="493" t="str">
        <f>IF(H111="","",#REF!*12+#REF!+#REF!*12+#REF!)</f>
        <v/>
      </c>
      <c r="V111" s="338">
        <f>IF(ii!$J$3&gt;gg!C111,"",IF(AND((YEAR(C111)=YEAR($I$2)),MONTH(C111)=MONTH($I$2)),ii!$B$14*12+ii!$C$14+ii!$B$15*12+ii!$C$15-1,V110+1))</f>
        <v>4</v>
      </c>
      <c r="W111" s="339">
        <f t="shared" si="31"/>
        <v>0.33333333333333331</v>
      </c>
      <c r="X111" s="494" t="s">
        <v>621</v>
      </c>
      <c r="Y111" s="495" t="s">
        <v>621</v>
      </c>
      <c r="Z111" s="496"/>
      <c r="AA111" s="497"/>
      <c r="AB111" s="498" t="e">
        <f t="shared" si="35"/>
        <v>#VALUE!</v>
      </c>
      <c r="AC111" s="484" t="str">
        <f t="shared" si="33"/>
        <v/>
      </c>
      <c r="AD111" s="495" t="str">
        <f t="shared" si="34"/>
        <v/>
      </c>
      <c r="AE111" s="499" t="s">
        <v>621</v>
      </c>
      <c r="AF111" s="500" t="s">
        <v>621</v>
      </c>
      <c r="AG111" s="556" t="s">
        <v>621</v>
      </c>
      <c r="AH111" s="503" t="str">
        <f>IF($G111="","",IF(AND($G111&gt;=30,$AT$3&lt;=AG$7),ROUND(AG111*($AP$3+#REF!),-1),""))</f>
        <v/>
      </c>
      <c r="AI111" s="506" t="s">
        <v>621</v>
      </c>
      <c r="AJ111" s="503" t="str">
        <f>IF($G111="","",IF(AND($G111&gt;=30,$AT$3&lt;=AI$7),ROUND(AI111*($AP$3+#REF!),-1),""))</f>
        <v/>
      </c>
      <c r="AK111" s="506" t="s">
        <v>621</v>
      </c>
      <c r="AL111" s="503" t="str">
        <f>IF($G111="","",IF(AND($G111&gt;=30,$AT$3&lt;=AK$7),ROUND(AK111*($AP$3+#REF!),-1),""))</f>
        <v/>
      </c>
      <c r="AM111" s="506" t="s">
        <v>621</v>
      </c>
      <c r="AN111" s="503" t="str">
        <f>IF($G111="","",IF(AND($G111&gt;=30,$AT$3&lt;=AM$7),ROUND(AM111*($AP$3+#REF!),-1),""))</f>
        <v/>
      </c>
      <c r="AO111" s="503" t="e">
        <v>#REF!</v>
      </c>
      <c r="AP111" s="503" t="str">
        <f>IF($G111="","",IF(AND($G111&gt;=30,$AT$3&lt;=AO$7),ROUND(AO111*($AP$3+#REF!),-1),""))</f>
        <v/>
      </c>
      <c r="AQ111" s="503" t="s">
        <v>621</v>
      </c>
      <c r="AR111" s="503" t="str">
        <f>IF($G111="","",IF(AND($G111&gt;=30,$AT$3&lt;=AQ$7),ROUND(AQ111*($AP$3+#REF!),-1),""))</f>
        <v/>
      </c>
      <c r="AS111" s="503" t="s">
        <v>621</v>
      </c>
      <c r="AT111" s="503" t="str">
        <f>IF($G111="","",IF(AND($G111&gt;=30,$AT$3&lt;=AS$7),ROUND(AS111*($AP$3+#REF!),-1),""))</f>
        <v/>
      </c>
      <c r="AU111" s="503" t="s">
        <v>621</v>
      </c>
      <c r="AV111" s="503" t="str">
        <f>IF($G111="","",IF(AND($G111&gt;=30,$AT$3&lt;=AU$7),ROUND(AU111*($AP$3+#REF!),-1),""))</f>
        <v/>
      </c>
      <c r="AW111" s="517" t="e">
        <v>#REF!</v>
      </c>
      <c r="AX111" s="503" t="str">
        <f>IF($G111="","",IF(AND($G111&gt;=30,$AT$3&lt;=AW$7),ROUND(AW111*($AP$3+#REF!),-1),""))</f>
        <v/>
      </c>
      <c r="AY111" s="502"/>
      <c r="AZ111" s="503" t="str">
        <f>IF($G111="","",IF(AND($G111&gt;=30,$AT$3&lt;=AY$7),ROUND(AY111*($AP$3+#REF!),-1),""))</f>
        <v/>
      </c>
      <c r="BA111" s="503"/>
      <c r="BB111" s="503" t="str">
        <f>IF($G111="","",IF(AND($G111&gt;=30,$AT$3&lt;=BA$7),ROUND(BA111*($AP$3+#REF!),-1),""))</f>
        <v/>
      </c>
      <c r="BC111" s="502"/>
      <c r="BD111" s="503" t="str">
        <f>IF($G111="","",IF(AND($G111&gt;=30,$AT$3&lt;=BC$7),ROUND(BC111*($AP$3+#REF!),-1),""))</f>
        <v/>
      </c>
      <c r="BE111" s="503"/>
      <c r="BF111" s="503" t="str">
        <f>IF($G111="","",IF(AND($G111&gt;=30,$AT$3&lt;=BE$7),ROUND(BE111*($AP$3+#REF!),-1),""))</f>
        <v/>
      </c>
      <c r="BG111" s="502"/>
      <c r="BH111" s="503" t="str">
        <f>IF($G111="","",IF(AND($G111&gt;=30,$AT$3&lt;=BG$7),ROUND(BG111*($AP$3+#REF!),-1),""))</f>
        <v/>
      </c>
      <c r="BI111" s="503"/>
      <c r="BJ111" s="503" t="str">
        <f>IF($G111="","",IF(AND($G111&gt;=30,$AT$3&lt;=BI$7),ROUND(BI111*($AP$3+#REF!),-1),""))</f>
        <v/>
      </c>
      <c r="BK111" s="502"/>
      <c r="BL111" s="503" t="str">
        <f>IF($G111="","",IF(AND($G111&gt;=30,$AT$3&lt;=BK$7),ROUND(BK111*($AP$3+#REF!),-1),""))</f>
        <v/>
      </c>
      <c r="BM111" s="503"/>
      <c r="BN111" s="503" t="str">
        <f>IF($G111="","",IF(AND($G111&gt;=30,$AT$3&lt;=BM$7),ROUND(BM111*($AP$3+#REF!),-1),""))</f>
        <v/>
      </c>
      <c r="BO111" s="502"/>
      <c r="BP111" s="503" t="str">
        <f>IF($G111="","",IF(AND($G111&gt;=30,$AT$3&lt;=BO$7),ROUND(BO111*($AP$3+#REF!),-1),""))</f>
        <v/>
      </c>
      <c r="BQ111" s="503"/>
      <c r="BR111" s="503" t="str">
        <f>IF($G111="","",IF(AND($G111&gt;=30,$AT$3&lt;=BQ$7),ROUND(BQ111*($AP$3+#REF!),-1),""))</f>
        <v/>
      </c>
      <c r="BS111" s="502"/>
      <c r="BT111" s="503" t="str">
        <f>IF($G111="","",IF(AND($G111&gt;=30,$AT$3&lt;=BS$7),ROUND(BS111*($AP$3+#REF!),-1),""))</f>
        <v/>
      </c>
      <c r="BU111" s="503"/>
      <c r="BV111" s="503" t="str">
        <f>IF($G111="","",IF(AND($G111&gt;=30,$AT$3&lt;=BU$7),ROUND(BU111*($AP$3+#REF!),-1),""))</f>
        <v/>
      </c>
      <c r="BW111" s="502"/>
      <c r="BX111" s="503" t="str">
        <f>IF($G111="","",IF(AND($G111&gt;=30,$AT$3&lt;=BW$7),ROUND(BW111*($AP$3+#REF!),-1),""))</f>
        <v/>
      </c>
      <c r="BY111" s="503"/>
      <c r="BZ111" s="503" t="str">
        <f>IF($G111="","",IF(AND($G111&gt;=30,$AT$3&lt;=BY$7),ROUND(BY111*($AP$3+#REF!),-1),""))</f>
        <v/>
      </c>
      <c r="CA111" s="502"/>
      <c r="CB111" s="503" t="str">
        <f>IF($G111="","",IF(AND($G111&gt;=30,$AT$3&lt;=CA$7),ROUND(CA111*($AP$3+#REF!),-1),""))</f>
        <v/>
      </c>
      <c r="CC111" s="503"/>
      <c r="CD111" s="503" t="str">
        <f>IF($G111="","",IF(AND($G111&gt;=30,$AT$3&lt;=CC$7),ROUND(CC111*($AP$3+#REF!),-1),""))</f>
        <v/>
      </c>
      <c r="CE111" s="502"/>
      <c r="CF111" s="503" t="str">
        <f>IF($G111="","",IF(AND($G111&gt;=30,$AT$3&lt;=CE$7),ROUND(CE111*($AP$3+#REF!),-1),""))</f>
        <v/>
      </c>
      <c r="CG111" s="503"/>
      <c r="CH111" s="503" t="str">
        <f>IF($G111="","",IF(AND($G111&gt;=30,$AT$3&lt;=CG$7),ROUND(CG111*($AP$3+#REF!),-1),""))</f>
        <v/>
      </c>
      <c r="CI111" s="502"/>
      <c r="CJ111" s="503" t="str">
        <f>IF($G111="","",IF(AND($G111&gt;=30,$AT$3&lt;=CI$7),ROUND(CI111*($AP$3+#REF!),-1),""))</f>
        <v/>
      </c>
      <c r="CK111" s="503"/>
      <c r="CL111" s="503" t="str">
        <f>IF($G111="","",IF(AND($G111&gt;=30,$AT$3&lt;=CK$7),ROUND(CK111*($AP$3+#REF!),-1),""))</f>
        <v/>
      </c>
      <c r="CM111" s="502"/>
      <c r="CN111" s="503" t="str">
        <f>IF($G111="","",IF(AND($G111&gt;=30,$AT$3&lt;=CM$7),ROUND(CM111*($AP$3+#REF!),-1),""))</f>
        <v/>
      </c>
      <c r="CO111" s="503"/>
      <c r="CP111" s="503" t="str">
        <f>IF($G111="","",IF(AND($G111&gt;=30,$AT$3&lt;=CO$7),ROUND(CO111*($AP$3+#REF!),-1),""))</f>
        <v/>
      </c>
      <c r="CQ111" s="502"/>
      <c r="CR111" s="503" t="str">
        <f>IF($G111="","",IF(AND($G111&gt;=30,$AT$3&lt;=CQ$7),ROUND(CQ111*($AP$3+#REF!),-1),""))</f>
        <v/>
      </c>
      <c r="CS111" s="503"/>
      <c r="CT111" s="503" t="str">
        <f>IF($G111="","",IF(AND($G111&gt;=30,$AT$3&lt;=CS$7),ROUND(CS111*($AP$3+#REF!),-1),""))</f>
        <v/>
      </c>
      <c r="CU111" s="502"/>
      <c r="CV111" s="503" t="str">
        <f>IF($G111="","",IF(AND($G111&gt;=30,$AT$3&lt;=CU$7),ROUND(CU111*($AP$3+#REF!),-1),""))</f>
        <v/>
      </c>
      <c r="CW111" s="503"/>
      <c r="CX111" s="503" t="str">
        <f>IF($G111="","",IF(AND($G111&gt;=30,$AT$3&lt;=CW$7),ROUND(CW111*($AP$3+#REF!),-1),""))</f>
        <v/>
      </c>
      <c r="CY111" s="502"/>
      <c r="CZ111" s="503" t="str">
        <f>IF($G111="","",IF(AND($G111&gt;=30,$AT$3&lt;=CY$7),ROUND(CY111*($AP$3+#REF!),-1),""))</f>
        <v/>
      </c>
      <c r="DA111" s="503"/>
      <c r="DB111" s="503" t="str">
        <f>IF($G111="","",IF(AND($G111&gt;=30,$AT$3&lt;=DA$7),ROUND(DA111*($AP$3+#REF!),-1),""))</f>
        <v/>
      </c>
      <c r="DC111" s="502"/>
      <c r="DD111" s="503" t="str">
        <f>IF($G111="","",IF(AND($G111&gt;=30,$AT$3&lt;=DC$7),ROUND(DC111*($AP$3+#REF!),-1),""))</f>
        <v/>
      </c>
      <c r="DE111" s="503"/>
      <c r="DF111" s="503" t="str">
        <f>IF($G111="","",IF(AND($G111&gt;=30,$AT$3&lt;=DE$7),ROUND(DE111*($AP$3+#REF!),-1),""))</f>
        <v/>
      </c>
      <c r="DG111" s="503"/>
      <c r="DH111" s="503" t="str">
        <f>IF($G111="","",IF(AND($G111&gt;=30,$AT$3&lt;=DG$7),ROUND(DG111*($AP$3+#REF!),-1),""))</f>
        <v/>
      </c>
      <c r="DI111" s="503"/>
      <c r="DJ111" s="503" t="str">
        <f>IF($G111="","",IF(AND($G111&gt;=30,$AT$3&lt;=DI$7),ROUND(DI111*($AP$3+#REF!),-1),""))</f>
        <v/>
      </c>
      <c r="DK111" s="503"/>
      <c r="DL111" s="503" t="str">
        <f>IF($G111="","",IF(AND($G111&gt;=30,$AT$3&lt;=DK$7),ROUND(DK111*($AP$3+#REF!),-1),""))</f>
        <v/>
      </c>
      <c r="DM111" s="503"/>
      <c r="DN111" s="503" t="str">
        <f>IF($G111="","",IF(AND($G111&gt;=30,$AT$3&lt;=DM$7),ROUND(DM111*($AP$3+#REF!),-1),""))</f>
        <v/>
      </c>
      <c r="DO111" s="503"/>
      <c r="DP111" s="503" t="str">
        <f>IF($G111="","",IF(AND($G111&gt;=30,$AT$3&lt;=DO$7),ROUND(DO111*($AP$3+#REF!),-1),""))</f>
        <v/>
      </c>
      <c r="DQ111" s="503"/>
      <c r="DR111" s="503" t="str">
        <f>IF($G111="","",IF(AND($G111&gt;=30,$AT$3&lt;=DQ$7),ROUND(DQ111*($AP$3+#REF!),-1),""))</f>
        <v/>
      </c>
      <c r="DS111" s="503"/>
      <c r="DT111" s="503" t="str">
        <f>IF($G111="","",IF(AND($G111&gt;=30,$AT$3&lt;=DS$7),ROUND(DS111*($AP$3+#REF!),-1),""))</f>
        <v/>
      </c>
      <c r="DU111" s="503"/>
      <c r="DV111" s="503" t="str">
        <f>IF($G111="","",IF(AND($G111&gt;=30,$AT$3&lt;=DU$7),ROUND(DU111*($AP$3+#REF!),-1),""))</f>
        <v/>
      </c>
      <c r="DW111" s="503"/>
      <c r="DX111" s="503" t="str">
        <f>IF($G111="","",IF(AND($G111&gt;=30,$AT$3&lt;=DW$7),ROUND(DW111*($AP$3+#REF!),-1),""))</f>
        <v/>
      </c>
      <c r="DY111" s="503"/>
      <c r="DZ111" s="503" t="str">
        <f>IF($G111="","",IF(AND($G111&gt;=30,$AT$3&lt;=DY$7),ROUND(DY111*($AP$3+#REF!),-1),""))</f>
        <v/>
      </c>
      <c r="EA111" s="503"/>
      <c r="EB111" s="503" t="str">
        <f>IF($G111="","",IF(AND($G111&gt;=30,$AT$3&lt;=EA$7),ROUND(EA111*($AP$3+#REF!),-1),""))</f>
        <v/>
      </c>
      <c r="EC111" s="504" t="s">
        <v>621</v>
      </c>
      <c r="ED111" s="1126"/>
      <c r="EE111" s="325">
        <v>7</v>
      </c>
    </row>
    <row r="112" spans="1:135" ht="9.75" customHeight="1">
      <c r="A112" s="321" t="str">
        <f t="shared" si="21"/>
        <v/>
      </c>
      <c r="B112" s="567">
        <f>(ii!$D$13*12+V112)+1</f>
        <v>6</v>
      </c>
      <c r="C112" s="337">
        <f t="shared" si="30"/>
        <v>45535</v>
      </c>
      <c r="D112" s="484">
        <f t="shared" si="25"/>
        <v>2024</v>
      </c>
      <c r="E112" s="484">
        <f t="shared" si="26"/>
        <v>0.66666666666666663</v>
      </c>
      <c r="F112" s="484">
        <f t="shared" si="27"/>
        <v>2024.6666666666667</v>
      </c>
      <c r="G112" s="485" t="str">
        <f>IF(OR(C112&lt;$I$2,C112&gt;$J$3),"",(ii!$D$13*12+V112+1)/12)</f>
        <v/>
      </c>
      <c r="H112" s="486"/>
      <c r="I112" s="486"/>
      <c r="J112" s="487"/>
      <c r="K112" s="488"/>
      <c r="L112" s="548"/>
      <c r="M112" s="489" t="str">
        <f t="shared" si="32"/>
        <v/>
      </c>
      <c r="N112" s="490" t="s">
        <v>621</v>
      </c>
      <c r="O112" s="490" t="str">
        <f t="shared" si="28"/>
        <v/>
      </c>
      <c r="P112" s="491"/>
      <c r="Q112" s="491"/>
      <c r="R112" s="491" t="str">
        <f t="shared" si="29"/>
        <v/>
      </c>
      <c r="S112" s="528" t="str">
        <f t="shared" si="24"/>
        <v/>
      </c>
      <c r="T112" s="528" t="str">
        <f t="shared" si="23"/>
        <v/>
      </c>
      <c r="U112" s="493" t="str">
        <f>IF(H112="","",#REF!*12+#REF!+#REF!*12+#REF!)</f>
        <v/>
      </c>
      <c r="V112" s="338">
        <f>IF(ii!$J$3&gt;gg!C112,"",IF(AND((YEAR(C112)=YEAR($I$2)),MONTH(C112)=MONTH($I$2)),ii!$B$14*12+ii!$C$14+ii!$B$15*12+ii!$C$15-1,V111+1))</f>
        <v>5</v>
      </c>
      <c r="W112" s="339">
        <f t="shared" si="31"/>
        <v>0.41666666666666669</v>
      </c>
      <c r="X112" s="494" t="s">
        <v>621</v>
      </c>
      <c r="Y112" s="495" t="s">
        <v>621</v>
      </c>
      <c r="Z112" s="496"/>
      <c r="AA112" s="497"/>
      <c r="AB112" s="498" t="e">
        <f t="shared" si="35"/>
        <v>#VALUE!</v>
      </c>
      <c r="AC112" s="484" t="str">
        <f t="shared" si="33"/>
        <v/>
      </c>
      <c r="AD112" s="495" t="str">
        <f t="shared" si="34"/>
        <v/>
      </c>
      <c r="AE112" s="499" t="s">
        <v>621</v>
      </c>
      <c r="AF112" s="500" t="s">
        <v>621</v>
      </c>
      <c r="AG112" s="556" t="s">
        <v>621</v>
      </c>
      <c r="AH112" s="503" t="str">
        <f>IF($G112="","",IF(AND($G112&gt;=30,$AT$3&lt;=AG$7),ROUND(AG112*($AP$3+#REF!),-1),""))</f>
        <v/>
      </c>
      <c r="AI112" s="506" t="s">
        <v>621</v>
      </c>
      <c r="AJ112" s="503" t="str">
        <f>IF($G112="","",IF(AND($G112&gt;=30,$AT$3&lt;=AI$7),ROUND(AI112*($AP$3+#REF!),-1),""))</f>
        <v/>
      </c>
      <c r="AK112" s="506" t="s">
        <v>621</v>
      </c>
      <c r="AL112" s="503" t="str">
        <f>IF($G112="","",IF(AND($G112&gt;=30,$AT$3&lt;=AK$7),ROUND(AK112*($AP$3+#REF!),-1),""))</f>
        <v/>
      </c>
      <c r="AM112" s="506" t="s">
        <v>621</v>
      </c>
      <c r="AN112" s="503" t="str">
        <f>IF($G112="","",IF(AND($G112&gt;=30,$AT$3&lt;=AM$7),ROUND(AM112*($AP$3+#REF!),-1),""))</f>
        <v/>
      </c>
      <c r="AO112" s="503" t="e">
        <v>#REF!</v>
      </c>
      <c r="AP112" s="503" t="str">
        <f>IF($G112="","",IF(AND($G112&gt;=30,$AT$3&lt;=AO$7),ROUND(AO112*($AP$3+#REF!),-1),""))</f>
        <v/>
      </c>
      <c r="AQ112" s="503" t="s">
        <v>621</v>
      </c>
      <c r="AR112" s="503" t="str">
        <f>IF($G112="","",IF(AND($G112&gt;=30,$AT$3&lt;=AQ$7),ROUND(AQ112*($AP$3+#REF!),-1),""))</f>
        <v/>
      </c>
      <c r="AS112" s="503" t="s">
        <v>621</v>
      </c>
      <c r="AT112" s="503" t="str">
        <f>IF($G112="","",IF(AND($G112&gt;=30,$AT$3&lt;=AS$7),ROUND(AS112*($AP$3+#REF!),-1),""))</f>
        <v/>
      </c>
      <c r="AU112" s="503" t="s">
        <v>621</v>
      </c>
      <c r="AV112" s="503" t="str">
        <f>IF($G112="","",IF(AND($G112&gt;=30,$AT$3&lt;=AU$7),ROUND(AU112*($AP$3+#REF!),-1),""))</f>
        <v/>
      </c>
      <c r="AW112" s="517" t="e">
        <v>#REF!</v>
      </c>
      <c r="AX112" s="503" t="str">
        <f>IF($G112="","",IF(AND($G112&gt;=30,$AT$3&lt;=AW$7),ROUND(AW112*($AP$3+#REF!),-1),""))</f>
        <v/>
      </c>
      <c r="AY112" s="502"/>
      <c r="AZ112" s="503" t="str">
        <f>IF($G112="","",IF(AND($G112&gt;=30,$AT$3&lt;=AY$7),ROUND(AY112*($AP$3+#REF!),-1),""))</f>
        <v/>
      </c>
      <c r="BA112" s="503"/>
      <c r="BB112" s="503" t="str">
        <f>IF($G112="","",IF(AND($G112&gt;=30,$AT$3&lt;=BA$7),ROUND(BA112*($AP$3+#REF!),-1),""))</f>
        <v/>
      </c>
      <c r="BC112" s="502"/>
      <c r="BD112" s="503" t="str">
        <f>IF($G112="","",IF(AND($G112&gt;=30,$AT$3&lt;=BC$7),ROUND(BC112*($AP$3+#REF!),-1),""))</f>
        <v/>
      </c>
      <c r="BE112" s="503"/>
      <c r="BF112" s="503" t="str">
        <f>IF($G112="","",IF(AND($G112&gt;=30,$AT$3&lt;=BE$7),ROUND(BE112*($AP$3+#REF!),-1),""))</f>
        <v/>
      </c>
      <c r="BG112" s="502"/>
      <c r="BH112" s="503" t="str">
        <f>IF($G112="","",IF(AND($G112&gt;=30,$AT$3&lt;=BG$7),ROUND(BG112*($AP$3+#REF!),-1),""))</f>
        <v/>
      </c>
      <c r="BI112" s="503"/>
      <c r="BJ112" s="503" t="str">
        <f>IF($G112="","",IF(AND($G112&gt;=30,$AT$3&lt;=BI$7),ROUND(BI112*($AP$3+#REF!),-1),""))</f>
        <v/>
      </c>
      <c r="BK112" s="502"/>
      <c r="BL112" s="503" t="str">
        <f>IF($G112="","",IF(AND($G112&gt;=30,$AT$3&lt;=BK$7),ROUND(BK112*($AP$3+#REF!),-1),""))</f>
        <v/>
      </c>
      <c r="BM112" s="503"/>
      <c r="BN112" s="503" t="str">
        <f>IF($G112="","",IF(AND($G112&gt;=30,$AT$3&lt;=BM$7),ROUND(BM112*($AP$3+#REF!),-1),""))</f>
        <v/>
      </c>
      <c r="BO112" s="502"/>
      <c r="BP112" s="503" t="str">
        <f>IF($G112="","",IF(AND($G112&gt;=30,$AT$3&lt;=BO$7),ROUND(BO112*($AP$3+#REF!),-1),""))</f>
        <v/>
      </c>
      <c r="BQ112" s="503"/>
      <c r="BR112" s="503" t="str">
        <f>IF($G112="","",IF(AND($G112&gt;=30,$AT$3&lt;=BQ$7),ROUND(BQ112*($AP$3+#REF!),-1),""))</f>
        <v/>
      </c>
      <c r="BS112" s="502"/>
      <c r="BT112" s="503" t="str">
        <f>IF($G112="","",IF(AND($G112&gt;=30,$AT$3&lt;=BS$7),ROUND(BS112*($AP$3+#REF!),-1),""))</f>
        <v/>
      </c>
      <c r="BU112" s="503"/>
      <c r="BV112" s="503" t="str">
        <f>IF($G112="","",IF(AND($G112&gt;=30,$AT$3&lt;=BU$7),ROUND(BU112*($AP$3+#REF!),-1),""))</f>
        <v/>
      </c>
      <c r="BW112" s="502"/>
      <c r="BX112" s="503" t="str">
        <f>IF($G112="","",IF(AND($G112&gt;=30,$AT$3&lt;=BW$7),ROUND(BW112*($AP$3+#REF!),-1),""))</f>
        <v/>
      </c>
      <c r="BY112" s="503"/>
      <c r="BZ112" s="503" t="str">
        <f>IF($G112="","",IF(AND($G112&gt;=30,$AT$3&lt;=BY$7),ROUND(BY112*($AP$3+#REF!),-1),""))</f>
        <v/>
      </c>
      <c r="CA112" s="502"/>
      <c r="CB112" s="503" t="str">
        <f>IF($G112="","",IF(AND($G112&gt;=30,$AT$3&lt;=CA$7),ROUND(CA112*($AP$3+#REF!),-1),""))</f>
        <v/>
      </c>
      <c r="CC112" s="503"/>
      <c r="CD112" s="503" t="str">
        <f>IF($G112="","",IF(AND($G112&gt;=30,$AT$3&lt;=CC$7),ROUND(CC112*($AP$3+#REF!),-1),""))</f>
        <v/>
      </c>
      <c r="CE112" s="502"/>
      <c r="CF112" s="503" t="str">
        <f>IF($G112="","",IF(AND($G112&gt;=30,$AT$3&lt;=CE$7),ROUND(CE112*($AP$3+#REF!),-1),""))</f>
        <v/>
      </c>
      <c r="CG112" s="503"/>
      <c r="CH112" s="503" t="str">
        <f>IF($G112="","",IF(AND($G112&gt;=30,$AT$3&lt;=CG$7),ROUND(CG112*($AP$3+#REF!),-1),""))</f>
        <v/>
      </c>
      <c r="CI112" s="502"/>
      <c r="CJ112" s="503" t="str">
        <f>IF($G112="","",IF(AND($G112&gt;=30,$AT$3&lt;=CI$7),ROUND(CI112*($AP$3+#REF!),-1),""))</f>
        <v/>
      </c>
      <c r="CK112" s="503"/>
      <c r="CL112" s="503" t="str">
        <f>IF($G112="","",IF(AND($G112&gt;=30,$AT$3&lt;=CK$7),ROUND(CK112*($AP$3+#REF!),-1),""))</f>
        <v/>
      </c>
      <c r="CM112" s="502"/>
      <c r="CN112" s="503" t="str">
        <f>IF($G112="","",IF(AND($G112&gt;=30,$AT$3&lt;=CM$7),ROUND(CM112*($AP$3+#REF!),-1),""))</f>
        <v/>
      </c>
      <c r="CO112" s="503"/>
      <c r="CP112" s="503" t="str">
        <f>IF($G112="","",IF(AND($G112&gt;=30,$AT$3&lt;=CO$7),ROUND(CO112*($AP$3+#REF!),-1),""))</f>
        <v/>
      </c>
      <c r="CQ112" s="502"/>
      <c r="CR112" s="503" t="str">
        <f>IF($G112="","",IF(AND($G112&gt;=30,$AT$3&lt;=CQ$7),ROUND(CQ112*($AP$3+#REF!),-1),""))</f>
        <v/>
      </c>
      <c r="CS112" s="503"/>
      <c r="CT112" s="503" t="str">
        <f>IF($G112="","",IF(AND($G112&gt;=30,$AT$3&lt;=CS$7),ROUND(CS112*($AP$3+#REF!),-1),""))</f>
        <v/>
      </c>
      <c r="CU112" s="502"/>
      <c r="CV112" s="503" t="str">
        <f>IF($G112="","",IF(AND($G112&gt;=30,$AT$3&lt;=CU$7),ROUND(CU112*($AP$3+#REF!),-1),""))</f>
        <v/>
      </c>
      <c r="CW112" s="503"/>
      <c r="CX112" s="503" t="str">
        <f>IF($G112="","",IF(AND($G112&gt;=30,$AT$3&lt;=CW$7),ROUND(CW112*($AP$3+#REF!),-1),""))</f>
        <v/>
      </c>
      <c r="CY112" s="502"/>
      <c r="CZ112" s="503" t="str">
        <f>IF($G112="","",IF(AND($G112&gt;=30,$AT$3&lt;=CY$7),ROUND(CY112*($AP$3+#REF!),-1),""))</f>
        <v/>
      </c>
      <c r="DA112" s="503"/>
      <c r="DB112" s="503" t="str">
        <f>IF($G112="","",IF(AND($G112&gt;=30,$AT$3&lt;=DA$7),ROUND(DA112*($AP$3+#REF!),-1),""))</f>
        <v/>
      </c>
      <c r="DC112" s="502"/>
      <c r="DD112" s="503" t="str">
        <f>IF($G112="","",IF(AND($G112&gt;=30,$AT$3&lt;=DC$7),ROUND(DC112*($AP$3+#REF!),-1),""))</f>
        <v/>
      </c>
      <c r="DE112" s="503"/>
      <c r="DF112" s="503" t="str">
        <f>IF($G112="","",IF(AND($G112&gt;=30,$AT$3&lt;=DE$7),ROUND(DE112*($AP$3+#REF!),-1),""))</f>
        <v/>
      </c>
      <c r="DG112" s="503"/>
      <c r="DH112" s="503" t="str">
        <f>IF($G112="","",IF(AND($G112&gt;=30,$AT$3&lt;=DG$7),ROUND(DG112*($AP$3+#REF!),-1),""))</f>
        <v/>
      </c>
      <c r="DI112" s="503"/>
      <c r="DJ112" s="503" t="str">
        <f>IF($G112="","",IF(AND($G112&gt;=30,$AT$3&lt;=DI$7),ROUND(DI112*($AP$3+#REF!),-1),""))</f>
        <v/>
      </c>
      <c r="DK112" s="503"/>
      <c r="DL112" s="503" t="str">
        <f>IF($G112="","",IF(AND($G112&gt;=30,$AT$3&lt;=DK$7),ROUND(DK112*($AP$3+#REF!),-1),""))</f>
        <v/>
      </c>
      <c r="DM112" s="503"/>
      <c r="DN112" s="503" t="str">
        <f>IF($G112="","",IF(AND($G112&gt;=30,$AT$3&lt;=DM$7),ROUND(DM112*($AP$3+#REF!),-1),""))</f>
        <v/>
      </c>
      <c r="DO112" s="503"/>
      <c r="DP112" s="503" t="str">
        <f>IF($G112="","",IF(AND($G112&gt;=30,$AT$3&lt;=DO$7),ROUND(DO112*($AP$3+#REF!),-1),""))</f>
        <v/>
      </c>
      <c r="DQ112" s="503"/>
      <c r="DR112" s="503" t="str">
        <f>IF($G112="","",IF(AND($G112&gt;=30,$AT$3&lt;=DQ$7),ROUND(DQ112*($AP$3+#REF!),-1),""))</f>
        <v/>
      </c>
      <c r="DS112" s="503"/>
      <c r="DT112" s="503" t="str">
        <f>IF($G112="","",IF(AND($G112&gt;=30,$AT$3&lt;=DS$7),ROUND(DS112*($AP$3+#REF!),-1),""))</f>
        <v/>
      </c>
      <c r="DU112" s="503"/>
      <c r="DV112" s="503" t="str">
        <f>IF($G112="","",IF(AND($G112&gt;=30,$AT$3&lt;=DU$7),ROUND(DU112*($AP$3+#REF!),-1),""))</f>
        <v/>
      </c>
      <c r="DW112" s="503"/>
      <c r="DX112" s="503" t="str">
        <f>IF($G112="","",IF(AND($G112&gt;=30,$AT$3&lt;=DW$7),ROUND(DW112*($AP$3+#REF!),-1),""))</f>
        <v/>
      </c>
      <c r="DY112" s="503"/>
      <c r="DZ112" s="503" t="str">
        <f>IF($G112="","",IF(AND($G112&gt;=30,$AT$3&lt;=DY$7),ROUND(DY112*($AP$3+#REF!),-1),""))</f>
        <v/>
      </c>
      <c r="EA112" s="503"/>
      <c r="EB112" s="503" t="str">
        <f>IF($G112="","",IF(AND($G112&gt;=30,$AT$3&lt;=EA$7),ROUND(EA112*($AP$3+#REF!),-1),""))</f>
        <v/>
      </c>
      <c r="EC112" s="504" t="s">
        <v>621</v>
      </c>
      <c r="ED112" s="1126"/>
      <c r="EE112" s="325">
        <v>8</v>
      </c>
    </row>
    <row r="113" spans="1:135" ht="9.75" customHeight="1">
      <c r="A113" s="321" t="str">
        <f t="shared" si="21"/>
        <v/>
      </c>
      <c r="B113" s="567">
        <f>(ii!$D$13*12+V113)+1</f>
        <v>7</v>
      </c>
      <c r="C113" s="337">
        <f t="shared" si="30"/>
        <v>45565</v>
      </c>
      <c r="D113" s="484">
        <f t="shared" si="25"/>
        <v>2024</v>
      </c>
      <c r="E113" s="484">
        <f t="shared" si="26"/>
        <v>0.75</v>
      </c>
      <c r="F113" s="484">
        <f t="shared" si="27"/>
        <v>2024.75</v>
      </c>
      <c r="G113" s="485" t="str">
        <f>IF(OR(C113&lt;$I$2,C113&gt;$J$3),"",(ii!$D$13*12+V113+1)/12)</f>
        <v/>
      </c>
      <c r="H113" s="486"/>
      <c r="I113" s="486"/>
      <c r="J113" s="487"/>
      <c r="K113" s="488"/>
      <c r="L113" s="548"/>
      <c r="M113" s="489" t="str">
        <f t="shared" si="32"/>
        <v/>
      </c>
      <c r="N113" s="490" t="s">
        <v>621</v>
      </c>
      <c r="O113" s="490" t="str">
        <f t="shared" si="28"/>
        <v/>
      </c>
      <c r="P113" s="491"/>
      <c r="Q113" s="491"/>
      <c r="R113" s="491" t="str">
        <f t="shared" si="29"/>
        <v/>
      </c>
      <c r="S113" s="528" t="str">
        <f t="shared" si="24"/>
        <v/>
      </c>
      <c r="T113" s="528" t="str">
        <f t="shared" si="23"/>
        <v/>
      </c>
      <c r="U113" s="493" t="str">
        <f>IF(H113="","",#REF!*12+#REF!+#REF!*12+#REF!)</f>
        <v/>
      </c>
      <c r="V113" s="338">
        <f>IF(ii!$J$3&gt;gg!C113,"",IF(AND((YEAR(C113)=YEAR($I$2)),MONTH(C113)=MONTH($I$2)),ii!$B$14*12+ii!$C$14+ii!$B$15*12+ii!$C$15-1,V112+1))</f>
        <v>6</v>
      </c>
      <c r="W113" s="339">
        <f t="shared" si="31"/>
        <v>0.5</v>
      </c>
      <c r="X113" s="494" t="s">
        <v>621</v>
      </c>
      <c r="Y113" s="495" t="s">
        <v>621</v>
      </c>
      <c r="Z113" s="496"/>
      <c r="AA113" s="497"/>
      <c r="AB113" s="498" t="e">
        <f t="shared" si="35"/>
        <v>#VALUE!</v>
      </c>
      <c r="AC113" s="484" t="str">
        <f t="shared" si="33"/>
        <v/>
      </c>
      <c r="AD113" s="495" t="str">
        <f t="shared" si="34"/>
        <v/>
      </c>
      <c r="AE113" s="499" t="s">
        <v>621</v>
      </c>
      <c r="AF113" s="500" t="s">
        <v>621</v>
      </c>
      <c r="AG113" s="556" t="s">
        <v>621</v>
      </c>
      <c r="AH113" s="503" t="str">
        <f>IF($G113="","",IF(AND($G113&gt;=30,$AT$3&lt;=AG$7),ROUND(AG113*($AP$3+#REF!),-1),""))</f>
        <v/>
      </c>
      <c r="AI113" s="506" t="s">
        <v>621</v>
      </c>
      <c r="AJ113" s="503" t="str">
        <f>IF($G113="","",IF(AND($G113&gt;=30,$AT$3&lt;=AI$7),ROUND(AI113*($AP$3+#REF!),-1),""))</f>
        <v/>
      </c>
      <c r="AK113" s="506" t="s">
        <v>621</v>
      </c>
      <c r="AL113" s="503" t="str">
        <f>IF($G113="","",IF(AND($G113&gt;=30,$AT$3&lt;=AK$7),ROUND(AK113*($AP$3+#REF!),-1),""))</f>
        <v/>
      </c>
      <c r="AM113" s="506" t="s">
        <v>621</v>
      </c>
      <c r="AN113" s="503" t="str">
        <f>IF($G113="","",IF(AND($G113&gt;=30,$AT$3&lt;=AM$7),ROUND(AM113*($AP$3+#REF!),-1),""))</f>
        <v/>
      </c>
      <c r="AO113" s="503" t="e">
        <v>#REF!</v>
      </c>
      <c r="AP113" s="503" t="str">
        <f>IF($G113="","",IF(AND($G113&gt;=30,$AT$3&lt;=AO$7),ROUND(AO113*($AP$3+#REF!),-1),""))</f>
        <v/>
      </c>
      <c r="AQ113" s="503" t="s">
        <v>621</v>
      </c>
      <c r="AR113" s="503" t="str">
        <f>IF($G113="","",IF(AND($G113&gt;=30,$AT$3&lt;=AQ$7),ROUND(AQ113*($AP$3+#REF!),-1),""))</f>
        <v/>
      </c>
      <c r="AS113" s="503" t="s">
        <v>621</v>
      </c>
      <c r="AT113" s="503" t="str">
        <f>IF($G113="","",IF(AND($G113&gt;=30,$AT$3&lt;=AS$7),ROUND(AS113*($AP$3+#REF!),-1),""))</f>
        <v/>
      </c>
      <c r="AU113" s="503" t="s">
        <v>621</v>
      </c>
      <c r="AV113" s="503" t="str">
        <f>IF($G113="","",IF(AND($G113&gt;=30,$AT$3&lt;=AU$7),ROUND(AU113*($AP$3+#REF!),-1),""))</f>
        <v/>
      </c>
      <c r="AW113" s="517" t="e">
        <v>#REF!</v>
      </c>
      <c r="AX113" s="503" t="str">
        <f>IF($G113="","",IF(AND($G113&gt;=30,$AT$3&lt;=AW$7),ROUND(AW113*($AP$3+#REF!),-1),""))</f>
        <v/>
      </c>
      <c r="AY113" s="502"/>
      <c r="AZ113" s="503" t="str">
        <f>IF($G113="","",IF(AND($G113&gt;=30,$AT$3&lt;=AY$7),ROUND(AY113*($AP$3+#REF!),-1),""))</f>
        <v/>
      </c>
      <c r="BA113" s="503"/>
      <c r="BB113" s="503" t="str">
        <f>IF($G113="","",IF(AND($G113&gt;=30,$AT$3&lt;=BA$7),ROUND(BA113*($AP$3+#REF!),-1),""))</f>
        <v/>
      </c>
      <c r="BC113" s="502"/>
      <c r="BD113" s="503" t="str">
        <f>IF($G113="","",IF(AND($G113&gt;=30,$AT$3&lt;=BC$7),ROUND(BC113*($AP$3+#REF!),-1),""))</f>
        <v/>
      </c>
      <c r="BE113" s="503"/>
      <c r="BF113" s="503" t="str">
        <f>IF($G113="","",IF(AND($G113&gt;=30,$AT$3&lt;=BE$7),ROUND(BE113*($AP$3+#REF!),-1),""))</f>
        <v/>
      </c>
      <c r="BG113" s="502"/>
      <c r="BH113" s="503" t="str">
        <f>IF($G113="","",IF(AND($G113&gt;=30,$AT$3&lt;=BG$7),ROUND(BG113*($AP$3+#REF!),-1),""))</f>
        <v/>
      </c>
      <c r="BI113" s="503"/>
      <c r="BJ113" s="503" t="str">
        <f>IF($G113="","",IF(AND($G113&gt;=30,$AT$3&lt;=BI$7),ROUND(BI113*($AP$3+#REF!),-1),""))</f>
        <v/>
      </c>
      <c r="BK113" s="502"/>
      <c r="BL113" s="503" t="str">
        <f>IF($G113="","",IF(AND($G113&gt;=30,$AT$3&lt;=BK$7),ROUND(BK113*($AP$3+#REF!),-1),""))</f>
        <v/>
      </c>
      <c r="BM113" s="503"/>
      <c r="BN113" s="503" t="str">
        <f>IF($G113="","",IF(AND($G113&gt;=30,$AT$3&lt;=BM$7),ROUND(BM113*($AP$3+#REF!),-1),""))</f>
        <v/>
      </c>
      <c r="BO113" s="502"/>
      <c r="BP113" s="503" t="str">
        <f>IF($G113="","",IF(AND($G113&gt;=30,$AT$3&lt;=BO$7),ROUND(BO113*($AP$3+#REF!),-1),""))</f>
        <v/>
      </c>
      <c r="BQ113" s="503"/>
      <c r="BR113" s="503" t="str">
        <f>IF($G113="","",IF(AND($G113&gt;=30,$AT$3&lt;=BQ$7),ROUND(BQ113*($AP$3+#REF!),-1),""))</f>
        <v/>
      </c>
      <c r="BS113" s="502"/>
      <c r="BT113" s="503" t="str">
        <f>IF($G113="","",IF(AND($G113&gt;=30,$AT$3&lt;=BS$7),ROUND(BS113*($AP$3+#REF!),-1),""))</f>
        <v/>
      </c>
      <c r="BU113" s="503"/>
      <c r="BV113" s="503" t="str">
        <f>IF($G113="","",IF(AND($G113&gt;=30,$AT$3&lt;=BU$7),ROUND(BU113*($AP$3+#REF!),-1),""))</f>
        <v/>
      </c>
      <c r="BW113" s="502"/>
      <c r="BX113" s="503" t="str">
        <f>IF($G113="","",IF(AND($G113&gt;=30,$AT$3&lt;=BW$7),ROUND(BW113*($AP$3+#REF!),-1),""))</f>
        <v/>
      </c>
      <c r="BY113" s="503"/>
      <c r="BZ113" s="503" t="str">
        <f>IF($G113="","",IF(AND($G113&gt;=30,$AT$3&lt;=BY$7),ROUND(BY113*($AP$3+#REF!),-1),""))</f>
        <v/>
      </c>
      <c r="CA113" s="502"/>
      <c r="CB113" s="503" t="str">
        <f>IF($G113="","",IF(AND($G113&gt;=30,$AT$3&lt;=CA$7),ROUND(CA113*($AP$3+#REF!),-1),""))</f>
        <v/>
      </c>
      <c r="CC113" s="503"/>
      <c r="CD113" s="503" t="str">
        <f>IF($G113="","",IF(AND($G113&gt;=30,$AT$3&lt;=CC$7),ROUND(CC113*($AP$3+#REF!),-1),""))</f>
        <v/>
      </c>
      <c r="CE113" s="502"/>
      <c r="CF113" s="503" t="str">
        <f>IF($G113="","",IF(AND($G113&gt;=30,$AT$3&lt;=CE$7),ROUND(CE113*($AP$3+#REF!),-1),""))</f>
        <v/>
      </c>
      <c r="CG113" s="503"/>
      <c r="CH113" s="503" t="str">
        <f>IF($G113="","",IF(AND($G113&gt;=30,$AT$3&lt;=CG$7),ROUND(CG113*($AP$3+#REF!),-1),""))</f>
        <v/>
      </c>
      <c r="CI113" s="502"/>
      <c r="CJ113" s="503" t="str">
        <f>IF($G113="","",IF(AND($G113&gt;=30,$AT$3&lt;=CI$7),ROUND(CI113*($AP$3+#REF!),-1),""))</f>
        <v/>
      </c>
      <c r="CK113" s="503"/>
      <c r="CL113" s="503" t="str">
        <f>IF($G113="","",IF(AND($G113&gt;=30,$AT$3&lt;=CK$7),ROUND(CK113*($AP$3+#REF!),-1),""))</f>
        <v/>
      </c>
      <c r="CM113" s="502"/>
      <c r="CN113" s="503" t="str">
        <f>IF($G113="","",IF(AND($G113&gt;=30,$AT$3&lt;=CM$7),ROUND(CM113*($AP$3+#REF!),-1),""))</f>
        <v/>
      </c>
      <c r="CO113" s="503"/>
      <c r="CP113" s="503" t="str">
        <f>IF($G113="","",IF(AND($G113&gt;=30,$AT$3&lt;=CO$7),ROUND(CO113*($AP$3+#REF!),-1),""))</f>
        <v/>
      </c>
      <c r="CQ113" s="502"/>
      <c r="CR113" s="503" t="str">
        <f>IF($G113="","",IF(AND($G113&gt;=30,$AT$3&lt;=CQ$7),ROUND(CQ113*($AP$3+#REF!),-1),""))</f>
        <v/>
      </c>
      <c r="CS113" s="503"/>
      <c r="CT113" s="503" t="str">
        <f>IF($G113="","",IF(AND($G113&gt;=30,$AT$3&lt;=CS$7),ROUND(CS113*($AP$3+#REF!),-1),""))</f>
        <v/>
      </c>
      <c r="CU113" s="502"/>
      <c r="CV113" s="503" t="str">
        <f>IF($G113="","",IF(AND($G113&gt;=30,$AT$3&lt;=CU$7),ROUND(CU113*($AP$3+#REF!),-1),""))</f>
        <v/>
      </c>
      <c r="CW113" s="503"/>
      <c r="CX113" s="503" t="str">
        <f>IF($G113="","",IF(AND($G113&gt;=30,$AT$3&lt;=CW$7),ROUND(CW113*($AP$3+#REF!),-1),""))</f>
        <v/>
      </c>
      <c r="CY113" s="502"/>
      <c r="CZ113" s="503" t="str">
        <f>IF($G113="","",IF(AND($G113&gt;=30,$AT$3&lt;=CY$7),ROUND(CY113*($AP$3+#REF!),-1),""))</f>
        <v/>
      </c>
      <c r="DA113" s="503"/>
      <c r="DB113" s="503" t="str">
        <f>IF($G113="","",IF(AND($G113&gt;=30,$AT$3&lt;=DA$7),ROUND(DA113*($AP$3+#REF!),-1),""))</f>
        <v/>
      </c>
      <c r="DC113" s="502"/>
      <c r="DD113" s="503" t="str">
        <f>IF($G113="","",IF(AND($G113&gt;=30,$AT$3&lt;=DC$7),ROUND(DC113*($AP$3+#REF!),-1),""))</f>
        <v/>
      </c>
      <c r="DE113" s="503"/>
      <c r="DF113" s="503" t="str">
        <f>IF($G113="","",IF(AND($G113&gt;=30,$AT$3&lt;=DE$7),ROUND(DE113*($AP$3+#REF!),-1),""))</f>
        <v/>
      </c>
      <c r="DG113" s="503"/>
      <c r="DH113" s="503" t="str">
        <f>IF($G113="","",IF(AND($G113&gt;=30,$AT$3&lt;=DG$7),ROUND(DG113*($AP$3+#REF!),-1),""))</f>
        <v/>
      </c>
      <c r="DI113" s="503"/>
      <c r="DJ113" s="503" t="str">
        <f>IF($G113="","",IF(AND($G113&gt;=30,$AT$3&lt;=DI$7),ROUND(DI113*($AP$3+#REF!),-1),""))</f>
        <v/>
      </c>
      <c r="DK113" s="503"/>
      <c r="DL113" s="503" t="str">
        <f>IF($G113="","",IF(AND($G113&gt;=30,$AT$3&lt;=DK$7),ROUND(DK113*($AP$3+#REF!),-1),""))</f>
        <v/>
      </c>
      <c r="DM113" s="503"/>
      <c r="DN113" s="503" t="str">
        <f>IF($G113="","",IF(AND($G113&gt;=30,$AT$3&lt;=DM$7),ROUND(DM113*($AP$3+#REF!),-1),""))</f>
        <v/>
      </c>
      <c r="DO113" s="503"/>
      <c r="DP113" s="503" t="str">
        <f>IF($G113="","",IF(AND($G113&gt;=30,$AT$3&lt;=DO$7),ROUND(DO113*($AP$3+#REF!),-1),""))</f>
        <v/>
      </c>
      <c r="DQ113" s="503"/>
      <c r="DR113" s="503" t="str">
        <f>IF($G113="","",IF(AND($G113&gt;=30,$AT$3&lt;=DQ$7),ROUND(DQ113*($AP$3+#REF!),-1),""))</f>
        <v/>
      </c>
      <c r="DS113" s="503"/>
      <c r="DT113" s="503" t="str">
        <f>IF($G113="","",IF(AND($G113&gt;=30,$AT$3&lt;=DS$7),ROUND(DS113*($AP$3+#REF!),-1),""))</f>
        <v/>
      </c>
      <c r="DU113" s="503"/>
      <c r="DV113" s="503" t="str">
        <f>IF($G113="","",IF(AND($G113&gt;=30,$AT$3&lt;=DU$7),ROUND(DU113*($AP$3+#REF!),-1),""))</f>
        <v/>
      </c>
      <c r="DW113" s="503"/>
      <c r="DX113" s="503" t="str">
        <f>IF($G113="","",IF(AND($G113&gt;=30,$AT$3&lt;=DW$7),ROUND(DW113*($AP$3+#REF!),-1),""))</f>
        <v/>
      </c>
      <c r="DY113" s="503"/>
      <c r="DZ113" s="503" t="str">
        <f>IF($G113="","",IF(AND($G113&gt;=30,$AT$3&lt;=DY$7),ROUND(DY113*($AP$3+#REF!),-1),""))</f>
        <v/>
      </c>
      <c r="EA113" s="503"/>
      <c r="EB113" s="503" t="str">
        <f>IF($G113="","",IF(AND($G113&gt;=30,$AT$3&lt;=EA$7),ROUND(EA113*($AP$3+#REF!),-1),""))</f>
        <v/>
      </c>
      <c r="EC113" s="504" t="s">
        <v>621</v>
      </c>
      <c r="ED113" s="1126"/>
      <c r="EE113" s="325">
        <v>9</v>
      </c>
    </row>
    <row r="114" spans="1:135" ht="9.75" customHeight="1">
      <c r="A114" s="321" t="str">
        <f t="shared" si="21"/>
        <v/>
      </c>
      <c r="B114" s="567">
        <f>(ii!$D$13*12+V114)+1</f>
        <v>8</v>
      </c>
      <c r="C114" s="337">
        <f t="shared" si="30"/>
        <v>45596</v>
      </c>
      <c r="D114" s="484">
        <f t="shared" si="25"/>
        <v>2024</v>
      </c>
      <c r="E114" s="484">
        <f t="shared" si="26"/>
        <v>0.83333333333333337</v>
      </c>
      <c r="F114" s="484">
        <f t="shared" si="27"/>
        <v>2024.8333333333333</v>
      </c>
      <c r="G114" s="485" t="str">
        <f>IF(OR(C114&lt;$I$2,C114&gt;$J$3),"",(ii!$D$13*12+V114+1)/12)</f>
        <v/>
      </c>
      <c r="H114" s="486"/>
      <c r="I114" s="486"/>
      <c r="J114" s="487"/>
      <c r="K114" s="488"/>
      <c r="L114" s="548"/>
      <c r="M114" s="489" t="str">
        <f t="shared" si="32"/>
        <v/>
      </c>
      <c r="N114" s="490" t="s">
        <v>621</v>
      </c>
      <c r="O114" s="490" t="str">
        <f t="shared" si="28"/>
        <v/>
      </c>
      <c r="P114" s="491"/>
      <c r="Q114" s="491"/>
      <c r="R114" s="491" t="str">
        <f t="shared" si="29"/>
        <v/>
      </c>
      <c r="S114" s="528" t="str">
        <f t="shared" si="24"/>
        <v/>
      </c>
      <c r="T114" s="528" t="str">
        <f t="shared" si="23"/>
        <v/>
      </c>
      <c r="U114" s="493" t="str">
        <f>IF(H114="","",#REF!*12+#REF!+#REF!*12+#REF!)</f>
        <v/>
      </c>
      <c r="V114" s="338">
        <f>IF(ii!$J$3&gt;gg!C114,"",IF(AND((YEAR(C114)=YEAR($I$2)),MONTH(C114)=MONTH($I$2)),ii!$B$14*12+ii!$C$14+ii!$B$15*12+ii!$C$15-1,V113+1))</f>
        <v>7</v>
      </c>
      <c r="W114" s="339">
        <f t="shared" si="31"/>
        <v>0.58333333333333337</v>
      </c>
      <c r="X114" s="494" t="s">
        <v>621</v>
      </c>
      <c r="Y114" s="495" t="s">
        <v>621</v>
      </c>
      <c r="Z114" s="496"/>
      <c r="AA114" s="497"/>
      <c r="AB114" s="498" t="e">
        <f t="shared" si="35"/>
        <v>#VALUE!</v>
      </c>
      <c r="AC114" s="484" t="str">
        <f t="shared" si="33"/>
        <v/>
      </c>
      <c r="AD114" s="495" t="str">
        <f t="shared" si="34"/>
        <v/>
      </c>
      <c r="AE114" s="499" t="s">
        <v>621</v>
      </c>
      <c r="AF114" s="500" t="s">
        <v>621</v>
      </c>
      <c r="AG114" s="556" t="s">
        <v>621</v>
      </c>
      <c r="AH114" s="503" t="str">
        <f>IF($G114="","",IF(AND($G114&gt;=30,$AT$3&lt;=AG$7),ROUND(AG114*($AP$3+#REF!),-1),""))</f>
        <v/>
      </c>
      <c r="AI114" s="506" t="s">
        <v>621</v>
      </c>
      <c r="AJ114" s="503" t="str">
        <f>IF($G114="","",IF(AND($G114&gt;=30,$AT$3&lt;=AI$7),ROUND(AI114*($AP$3+#REF!),-1),""))</f>
        <v/>
      </c>
      <c r="AK114" s="506" t="s">
        <v>621</v>
      </c>
      <c r="AL114" s="503" t="str">
        <f>IF($G114="","",IF(AND($G114&gt;=30,$AT$3&lt;=AK$7),ROUND(AK114*($AP$3+#REF!),-1),""))</f>
        <v/>
      </c>
      <c r="AM114" s="506" t="s">
        <v>621</v>
      </c>
      <c r="AN114" s="503" t="str">
        <f>IF($G114="","",IF(AND($G114&gt;=30,$AT$3&lt;=AM$7),ROUND(AM114*($AP$3+#REF!),-1),""))</f>
        <v/>
      </c>
      <c r="AO114" s="503" t="e">
        <v>#REF!</v>
      </c>
      <c r="AP114" s="503" t="str">
        <f>IF($G114="","",IF(AND($G114&gt;=30,$AT$3&lt;=AO$7),ROUND(AO114*($AP$3+#REF!),-1),""))</f>
        <v/>
      </c>
      <c r="AQ114" s="503" t="s">
        <v>621</v>
      </c>
      <c r="AR114" s="503" t="str">
        <f>IF($G114="","",IF(AND($G114&gt;=30,$AT$3&lt;=AQ$7),ROUND(AQ114*($AP$3+#REF!),-1),""))</f>
        <v/>
      </c>
      <c r="AS114" s="503" t="s">
        <v>621</v>
      </c>
      <c r="AT114" s="503" t="str">
        <f>IF($G114="","",IF(AND($G114&gt;=30,$AT$3&lt;=AS$7),ROUND(AS114*($AP$3+#REF!),-1),""))</f>
        <v/>
      </c>
      <c r="AU114" s="503" t="s">
        <v>621</v>
      </c>
      <c r="AV114" s="503" t="str">
        <f>IF($G114="","",IF(AND($G114&gt;=30,$AT$3&lt;=AU$7),ROUND(AU114*($AP$3+#REF!),-1),""))</f>
        <v/>
      </c>
      <c r="AW114" s="517" t="e">
        <v>#REF!</v>
      </c>
      <c r="AX114" s="503" t="str">
        <f>IF($G114="","",IF(AND($G114&gt;=30,$AT$3&lt;=AW$7),ROUND(AW114*($AP$3+#REF!),-1),""))</f>
        <v/>
      </c>
      <c r="AY114" s="502"/>
      <c r="AZ114" s="503" t="str">
        <f>IF($G114="","",IF(AND($G114&gt;=30,$AT$3&lt;=AY$7),ROUND(AY114*($AP$3+#REF!),-1),""))</f>
        <v/>
      </c>
      <c r="BA114" s="503"/>
      <c r="BB114" s="503" t="str">
        <f>IF($G114="","",IF(AND($G114&gt;=30,$AT$3&lt;=BA$7),ROUND(BA114*($AP$3+#REF!),-1),""))</f>
        <v/>
      </c>
      <c r="BC114" s="502"/>
      <c r="BD114" s="503" t="str">
        <f>IF($G114="","",IF(AND($G114&gt;=30,$AT$3&lt;=BC$7),ROUND(BC114*($AP$3+#REF!),-1),""))</f>
        <v/>
      </c>
      <c r="BE114" s="503"/>
      <c r="BF114" s="503" t="str">
        <f>IF($G114="","",IF(AND($G114&gt;=30,$AT$3&lt;=BE$7),ROUND(BE114*($AP$3+#REF!),-1),""))</f>
        <v/>
      </c>
      <c r="BG114" s="502"/>
      <c r="BH114" s="503" t="str">
        <f>IF($G114="","",IF(AND($G114&gt;=30,$AT$3&lt;=BG$7),ROUND(BG114*($AP$3+#REF!),-1),""))</f>
        <v/>
      </c>
      <c r="BI114" s="503"/>
      <c r="BJ114" s="503" t="str">
        <f>IF($G114="","",IF(AND($G114&gt;=30,$AT$3&lt;=BI$7),ROUND(BI114*($AP$3+#REF!),-1),""))</f>
        <v/>
      </c>
      <c r="BK114" s="502"/>
      <c r="BL114" s="503" t="str">
        <f>IF($G114="","",IF(AND($G114&gt;=30,$AT$3&lt;=BK$7),ROUND(BK114*($AP$3+#REF!),-1),""))</f>
        <v/>
      </c>
      <c r="BM114" s="503"/>
      <c r="BN114" s="503" t="str">
        <f>IF($G114="","",IF(AND($G114&gt;=30,$AT$3&lt;=BM$7),ROUND(BM114*($AP$3+#REF!),-1),""))</f>
        <v/>
      </c>
      <c r="BO114" s="502"/>
      <c r="BP114" s="503" t="str">
        <f>IF($G114="","",IF(AND($G114&gt;=30,$AT$3&lt;=BO$7),ROUND(BO114*($AP$3+#REF!),-1),""))</f>
        <v/>
      </c>
      <c r="BQ114" s="503"/>
      <c r="BR114" s="503" t="str">
        <f>IF($G114="","",IF(AND($G114&gt;=30,$AT$3&lt;=BQ$7),ROUND(BQ114*($AP$3+#REF!),-1),""))</f>
        <v/>
      </c>
      <c r="BS114" s="502"/>
      <c r="BT114" s="503" t="str">
        <f>IF($G114="","",IF(AND($G114&gt;=30,$AT$3&lt;=BS$7),ROUND(BS114*($AP$3+#REF!),-1),""))</f>
        <v/>
      </c>
      <c r="BU114" s="503"/>
      <c r="BV114" s="503" t="str">
        <f>IF($G114="","",IF(AND($G114&gt;=30,$AT$3&lt;=BU$7),ROUND(BU114*($AP$3+#REF!),-1),""))</f>
        <v/>
      </c>
      <c r="BW114" s="502"/>
      <c r="BX114" s="503" t="str">
        <f>IF($G114="","",IF(AND($G114&gt;=30,$AT$3&lt;=BW$7),ROUND(BW114*($AP$3+#REF!),-1),""))</f>
        <v/>
      </c>
      <c r="BY114" s="503"/>
      <c r="BZ114" s="503" t="str">
        <f>IF($G114="","",IF(AND($G114&gt;=30,$AT$3&lt;=BY$7),ROUND(BY114*($AP$3+#REF!),-1),""))</f>
        <v/>
      </c>
      <c r="CA114" s="502"/>
      <c r="CB114" s="503" t="str">
        <f>IF($G114="","",IF(AND($G114&gt;=30,$AT$3&lt;=CA$7),ROUND(CA114*($AP$3+#REF!),-1),""))</f>
        <v/>
      </c>
      <c r="CC114" s="503"/>
      <c r="CD114" s="503" t="str">
        <f>IF($G114="","",IF(AND($G114&gt;=30,$AT$3&lt;=CC$7),ROUND(CC114*($AP$3+#REF!),-1),""))</f>
        <v/>
      </c>
      <c r="CE114" s="502"/>
      <c r="CF114" s="503" t="str">
        <f>IF($G114="","",IF(AND($G114&gt;=30,$AT$3&lt;=CE$7),ROUND(CE114*($AP$3+#REF!),-1),""))</f>
        <v/>
      </c>
      <c r="CG114" s="503"/>
      <c r="CH114" s="503" t="str">
        <f>IF($G114="","",IF(AND($G114&gt;=30,$AT$3&lt;=CG$7),ROUND(CG114*($AP$3+#REF!),-1),""))</f>
        <v/>
      </c>
      <c r="CI114" s="502"/>
      <c r="CJ114" s="503" t="str">
        <f>IF($G114="","",IF(AND($G114&gt;=30,$AT$3&lt;=CI$7),ROUND(CI114*($AP$3+#REF!),-1),""))</f>
        <v/>
      </c>
      <c r="CK114" s="503"/>
      <c r="CL114" s="503" t="str">
        <f>IF($G114="","",IF(AND($G114&gt;=30,$AT$3&lt;=CK$7),ROUND(CK114*($AP$3+#REF!),-1),""))</f>
        <v/>
      </c>
      <c r="CM114" s="502"/>
      <c r="CN114" s="503" t="str">
        <f>IF($G114="","",IF(AND($G114&gt;=30,$AT$3&lt;=CM$7),ROUND(CM114*($AP$3+#REF!),-1),""))</f>
        <v/>
      </c>
      <c r="CO114" s="503"/>
      <c r="CP114" s="503" t="str">
        <f>IF($G114="","",IF(AND($G114&gt;=30,$AT$3&lt;=CO$7),ROUND(CO114*($AP$3+#REF!),-1),""))</f>
        <v/>
      </c>
      <c r="CQ114" s="502"/>
      <c r="CR114" s="503" t="str">
        <f>IF($G114="","",IF(AND($G114&gt;=30,$AT$3&lt;=CQ$7),ROUND(CQ114*($AP$3+#REF!),-1),""))</f>
        <v/>
      </c>
      <c r="CS114" s="503"/>
      <c r="CT114" s="503" t="str">
        <f>IF($G114="","",IF(AND($G114&gt;=30,$AT$3&lt;=CS$7),ROUND(CS114*($AP$3+#REF!),-1),""))</f>
        <v/>
      </c>
      <c r="CU114" s="502"/>
      <c r="CV114" s="503" t="str">
        <f>IF($G114="","",IF(AND($G114&gt;=30,$AT$3&lt;=CU$7),ROUND(CU114*($AP$3+#REF!),-1),""))</f>
        <v/>
      </c>
      <c r="CW114" s="503"/>
      <c r="CX114" s="503" t="str">
        <f>IF($G114="","",IF(AND($G114&gt;=30,$AT$3&lt;=CW$7),ROUND(CW114*($AP$3+#REF!),-1),""))</f>
        <v/>
      </c>
      <c r="CY114" s="502"/>
      <c r="CZ114" s="503" t="str">
        <f>IF($G114="","",IF(AND($G114&gt;=30,$AT$3&lt;=CY$7),ROUND(CY114*($AP$3+#REF!),-1),""))</f>
        <v/>
      </c>
      <c r="DA114" s="503"/>
      <c r="DB114" s="503" t="str">
        <f>IF($G114="","",IF(AND($G114&gt;=30,$AT$3&lt;=DA$7),ROUND(DA114*($AP$3+#REF!),-1),""))</f>
        <v/>
      </c>
      <c r="DC114" s="502"/>
      <c r="DD114" s="503" t="str">
        <f>IF($G114="","",IF(AND($G114&gt;=30,$AT$3&lt;=DC$7),ROUND(DC114*($AP$3+#REF!),-1),""))</f>
        <v/>
      </c>
      <c r="DE114" s="503"/>
      <c r="DF114" s="503" t="str">
        <f>IF($G114="","",IF(AND($G114&gt;=30,$AT$3&lt;=DE$7),ROUND(DE114*($AP$3+#REF!),-1),""))</f>
        <v/>
      </c>
      <c r="DG114" s="503"/>
      <c r="DH114" s="503" t="str">
        <f>IF($G114="","",IF(AND($G114&gt;=30,$AT$3&lt;=DG$7),ROUND(DG114*($AP$3+#REF!),-1),""))</f>
        <v/>
      </c>
      <c r="DI114" s="503"/>
      <c r="DJ114" s="503" t="str">
        <f>IF($G114="","",IF(AND($G114&gt;=30,$AT$3&lt;=DI$7),ROUND(DI114*($AP$3+#REF!),-1),""))</f>
        <v/>
      </c>
      <c r="DK114" s="503"/>
      <c r="DL114" s="503" t="str">
        <f>IF($G114="","",IF(AND($G114&gt;=30,$AT$3&lt;=DK$7),ROUND(DK114*($AP$3+#REF!),-1),""))</f>
        <v/>
      </c>
      <c r="DM114" s="503"/>
      <c r="DN114" s="503" t="str">
        <f>IF($G114="","",IF(AND($G114&gt;=30,$AT$3&lt;=DM$7),ROUND(DM114*($AP$3+#REF!),-1),""))</f>
        <v/>
      </c>
      <c r="DO114" s="503"/>
      <c r="DP114" s="503" t="str">
        <f>IF($G114="","",IF(AND($G114&gt;=30,$AT$3&lt;=DO$7),ROUND(DO114*($AP$3+#REF!),-1),""))</f>
        <v/>
      </c>
      <c r="DQ114" s="503"/>
      <c r="DR114" s="503" t="str">
        <f>IF($G114="","",IF(AND($G114&gt;=30,$AT$3&lt;=DQ$7),ROUND(DQ114*($AP$3+#REF!),-1),""))</f>
        <v/>
      </c>
      <c r="DS114" s="503"/>
      <c r="DT114" s="503" t="str">
        <f>IF($G114="","",IF(AND($G114&gt;=30,$AT$3&lt;=DS$7),ROUND(DS114*($AP$3+#REF!),-1),""))</f>
        <v/>
      </c>
      <c r="DU114" s="503"/>
      <c r="DV114" s="503" t="str">
        <f>IF($G114="","",IF(AND($G114&gt;=30,$AT$3&lt;=DU$7),ROUND(DU114*($AP$3+#REF!),-1),""))</f>
        <v/>
      </c>
      <c r="DW114" s="503"/>
      <c r="DX114" s="503" t="str">
        <f>IF($G114="","",IF(AND($G114&gt;=30,$AT$3&lt;=DW$7),ROUND(DW114*($AP$3+#REF!),-1),""))</f>
        <v/>
      </c>
      <c r="DY114" s="503"/>
      <c r="DZ114" s="503" t="str">
        <f>IF($G114="","",IF(AND($G114&gt;=30,$AT$3&lt;=DY$7),ROUND(DY114*($AP$3+#REF!),-1),""))</f>
        <v/>
      </c>
      <c r="EA114" s="503"/>
      <c r="EB114" s="503" t="str">
        <f>IF($G114="","",IF(AND($G114&gt;=30,$AT$3&lt;=EA$7),ROUND(EA114*($AP$3+#REF!),-1),""))</f>
        <v/>
      </c>
      <c r="EC114" s="504" t="s">
        <v>621</v>
      </c>
      <c r="ED114" s="1126"/>
      <c r="EE114" s="325">
        <v>10</v>
      </c>
    </row>
    <row r="115" spans="1:135" ht="9.75" customHeight="1">
      <c r="A115" s="321" t="str">
        <f t="shared" si="21"/>
        <v/>
      </c>
      <c r="B115" s="567">
        <f>(ii!$D$13*12+V115)+1</f>
        <v>9</v>
      </c>
      <c r="C115" s="337">
        <f t="shared" si="30"/>
        <v>45626</v>
      </c>
      <c r="D115" s="484">
        <f t="shared" si="25"/>
        <v>2024</v>
      </c>
      <c r="E115" s="484">
        <f t="shared" si="26"/>
        <v>0.91666666666666663</v>
      </c>
      <c r="F115" s="484">
        <f t="shared" si="27"/>
        <v>2024.9166666666667</v>
      </c>
      <c r="G115" s="485" t="str">
        <f>IF(OR(C115&lt;$I$2,C115&gt;$J$3),"",(ii!$D$13*12+V115+1)/12)</f>
        <v/>
      </c>
      <c r="H115" s="486"/>
      <c r="I115" s="486"/>
      <c r="J115" s="487"/>
      <c r="K115" s="488"/>
      <c r="L115" s="548"/>
      <c r="M115" s="489" t="str">
        <f t="shared" si="32"/>
        <v/>
      </c>
      <c r="N115" s="490" t="s">
        <v>621</v>
      </c>
      <c r="O115" s="490" t="str">
        <f t="shared" si="28"/>
        <v/>
      </c>
      <c r="P115" s="491"/>
      <c r="Q115" s="491"/>
      <c r="R115" s="491" t="str">
        <f t="shared" si="29"/>
        <v/>
      </c>
      <c r="S115" s="528" t="str">
        <f t="shared" si="24"/>
        <v/>
      </c>
      <c r="T115" s="528" t="str">
        <f t="shared" si="23"/>
        <v/>
      </c>
      <c r="U115" s="493" t="str">
        <f>IF(H115="","",#REF!*12+#REF!+#REF!*12+#REF!)</f>
        <v/>
      </c>
      <c r="V115" s="338">
        <f>IF(ii!$J$3&gt;gg!C115,"",IF(AND((YEAR(C115)=YEAR($I$2)),MONTH(C115)=MONTH($I$2)),ii!$B$14*12+ii!$C$14+ii!$B$15*12+ii!$C$15-1,V114+1))</f>
        <v>8</v>
      </c>
      <c r="W115" s="339">
        <f t="shared" si="31"/>
        <v>0.66666666666666663</v>
      </c>
      <c r="X115" s="494" t="s">
        <v>621</v>
      </c>
      <c r="Y115" s="495" t="s">
        <v>621</v>
      </c>
      <c r="Z115" s="496"/>
      <c r="AA115" s="497"/>
      <c r="AB115" s="498" t="e">
        <f t="shared" si="35"/>
        <v>#VALUE!</v>
      </c>
      <c r="AC115" s="484" t="str">
        <f t="shared" si="33"/>
        <v/>
      </c>
      <c r="AD115" s="495" t="str">
        <f t="shared" si="34"/>
        <v/>
      </c>
      <c r="AE115" s="499" t="s">
        <v>621</v>
      </c>
      <c r="AF115" s="500" t="s">
        <v>621</v>
      </c>
      <c r="AG115" s="556" t="s">
        <v>621</v>
      </c>
      <c r="AH115" s="503" t="str">
        <f>IF($G115="","",IF(AND($G115&gt;=30,$AT$3&lt;=AG$7),ROUND(AG115*($AP$3+#REF!),-1),""))</f>
        <v/>
      </c>
      <c r="AI115" s="506" t="s">
        <v>621</v>
      </c>
      <c r="AJ115" s="503" t="str">
        <f>IF($G115="","",IF(AND($G115&gt;=30,$AT$3&lt;=AI$7),ROUND(AI115*($AP$3+#REF!),-1),""))</f>
        <v/>
      </c>
      <c r="AK115" s="506" t="s">
        <v>621</v>
      </c>
      <c r="AL115" s="503" t="str">
        <f>IF($G115="","",IF(AND($G115&gt;=30,$AT$3&lt;=AK$7),ROUND(AK115*($AP$3+#REF!),-1),""))</f>
        <v/>
      </c>
      <c r="AM115" s="506" t="s">
        <v>621</v>
      </c>
      <c r="AN115" s="503" t="str">
        <f>IF($G115="","",IF(AND($G115&gt;=30,$AT$3&lt;=AM$7),ROUND(AM115*($AP$3+#REF!),-1),""))</f>
        <v/>
      </c>
      <c r="AO115" s="503" t="e">
        <v>#REF!</v>
      </c>
      <c r="AP115" s="503" t="str">
        <f>IF($G115="","",IF(AND($G115&gt;=30,$AT$3&lt;=AO$7),ROUND(AO115*($AP$3+#REF!),-1),""))</f>
        <v/>
      </c>
      <c r="AQ115" s="503" t="s">
        <v>621</v>
      </c>
      <c r="AR115" s="503" t="str">
        <f>IF($G115="","",IF(AND($G115&gt;=30,$AT$3&lt;=AQ$7),ROUND(AQ115*($AP$3+#REF!),-1),""))</f>
        <v/>
      </c>
      <c r="AS115" s="503" t="s">
        <v>621</v>
      </c>
      <c r="AT115" s="503" t="str">
        <f>IF($G115="","",IF(AND($G115&gt;=30,$AT$3&lt;=AS$7),ROUND(AS115*($AP$3+#REF!),-1),""))</f>
        <v/>
      </c>
      <c r="AU115" s="503" t="s">
        <v>621</v>
      </c>
      <c r="AV115" s="503" t="str">
        <f>IF($G115="","",IF(AND($G115&gt;=30,$AT$3&lt;=AU$7),ROUND(AU115*($AP$3+#REF!),-1),""))</f>
        <v/>
      </c>
      <c r="AW115" s="517" t="e">
        <v>#REF!</v>
      </c>
      <c r="AX115" s="503" t="str">
        <f>IF($G115="","",IF(AND($G115&gt;=30,$AT$3&lt;=AW$7),ROUND(AW115*($AP$3+#REF!),-1),""))</f>
        <v/>
      </c>
      <c r="AY115" s="502"/>
      <c r="AZ115" s="503" t="str">
        <f>IF($G115="","",IF(AND($G115&gt;=30,$AT$3&lt;=AY$7),ROUND(AY115*($AP$3+#REF!),-1),""))</f>
        <v/>
      </c>
      <c r="BA115" s="503"/>
      <c r="BB115" s="503" t="str">
        <f>IF($G115="","",IF(AND($G115&gt;=30,$AT$3&lt;=BA$7),ROUND(BA115*($AP$3+#REF!),-1),""))</f>
        <v/>
      </c>
      <c r="BC115" s="502"/>
      <c r="BD115" s="503" t="str">
        <f>IF($G115="","",IF(AND($G115&gt;=30,$AT$3&lt;=BC$7),ROUND(BC115*($AP$3+#REF!),-1),""))</f>
        <v/>
      </c>
      <c r="BE115" s="503"/>
      <c r="BF115" s="503" t="str">
        <f>IF($G115="","",IF(AND($G115&gt;=30,$AT$3&lt;=BE$7),ROUND(BE115*($AP$3+#REF!),-1),""))</f>
        <v/>
      </c>
      <c r="BG115" s="502"/>
      <c r="BH115" s="503" t="str">
        <f>IF($G115="","",IF(AND($G115&gt;=30,$AT$3&lt;=BG$7),ROUND(BG115*($AP$3+#REF!),-1),""))</f>
        <v/>
      </c>
      <c r="BI115" s="503"/>
      <c r="BJ115" s="503" t="str">
        <f>IF($G115="","",IF(AND($G115&gt;=30,$AT$3&lt;=BI$7),ROUND(BI115*($AP$3+#REF!),-1),""))</f>
        <v/>
      </c>
      <c r="BK115" s="502"/>
      <c r="BL115" s="503" t="str">
        <f>IF($G115="","",IF(AND($G115&gt;=30,$AT$3&lt;=BK$7),ROUND(BK115*($AP$3+#REF!),-1),""))</f>
        <v/>
      </c>
      <c r="BM115" s="503"/>
      <c r="BN115" s="503" t="str">
        <f>IF($G115="","",IF(AND($G115&gt;=30,$AT$3&lt;=BM$7),ROUND(BM115*($AP$3+#REF!),-1),""))</f>
        <v/>
      </c>
      <c r="BO115" s="502"/>
      <c r="BP115" s="503" t="str">
        <f>IF($G115="","",IF(AND($G115&gt;=30,$AT$3&lt;=BO$7),ROUND(BO115*($AP$3+#REF!),-1),""))</f>
        <v/>
      </c>
      <c r="BQ115" s="503"/>
      <c r="BR115" s="503" t="str">
        <f>IF($G115="","",IF(AND($G115&gt;=30,$AT$3&lt;=BQ$7),ROUND(BQ115*($AP$3+#REF!),-1),""))</f>
        <v/>
      </c>
      <c r="BS115" s="502"/>
      <c r="BT115" s="503" t="str">
        <f>IF($G115="","",IF(AND($G115&gt;=30,$AT$3&lt;=BS$7),ROUND(BS115*($AP$3+#REF!),-1),""))</f>
        <v/>
      </c>
      <c r="BU115" s="503"/>
      <c r="BV115" s="503" t="str">
        <f>IF($G115="","",IF(AND($G115&gt;=30,$AT$3&lt;=BU$7),ROUND(BU115*($AP$3+#REF!),-1),""))</f>
        <v/>
      </c>
      <c r="BW115" s="502"/>
      <c r="BX115" s="503" t="str">
        <f>IF($G115="","",IF(AND($G115&gt;=30,$AT$3&lt;=BW$7),ROUND(BW115*($AP$3+#REF!),-1),""))</f>
        <v/>
      </c>
      <c r="BY115" s="503"/>
      <c r="BZ115" s="503" t="str">
        <f>IF($G115="","",IF(AND($G115&gt;=30,$AT$3&lt;=BY$7),ROUND(BY115*($AP$3+#REF!),-1),""))</f>
        <v/>
      </c>
      <c r="CA115" s="502"/>
      <c r="CB115" s="503" t="str">
        <f>IF($G115="","",IF(AND($G115&gt;=30,$AT$3&lt;=CA$7),ROUND(CA115*($AP$3+#REF!),-1),""))</f>
        <v/>
      </c>
      <c r="CC115" s="503"/>
      <c r="CD115" s="503" t="str">
        <f>IF($G115="","",IF(AND($G115&gt;=30,$AT$3&lt;=CC$7),ROUND(CC115*($AP$3+#REF!),-1),""))</f>
        <v/>
      </c>
      <c r="CE115" s="502"/>
      <c r="CF115" s="503" t="str">
        <f>IF($G115="","",IF(AND($G115&gt;=30,$AT$3&lt;=CE$7),ROUND(CE115*($AP$3+#REF!),-1),""))</f>
        <v/>
      </c>
      <c r="CG115" s="503"/>
      <c r="CH115" s="503" t="str">
        <f>IF($G115="","",IF(AND($G115&gt;=30,$AT$3&lt;=CG$7),ROUND(CG115*($AP$3+#REF!),-1),""))</f>
        <v/>
      </c>
      <c r="CI115" s="502"/>
      <c r="CJ115" s="503" t="str">
        <f>IF($G115="","",IF(AND($G115&gt;=30,$AT$3&lt;=CI$7),ROUND(CI115*($AP$3+#REF!),-1),""))</f>
        <v/>
      </c>
      <c r="CK115" s="503"/>
      <c r="CL115" s="503" t="str">
        <f>IF($G115="","",IF(AND($G115&gt;=30,$AT$3&lt;=CK$7),ROUND(CK115*($AP$3+#REF!),-1),""))</f>
        <v/>
      </c>
      <c r="CM115" s="502"/>
      <c r="CN115" s="503" t="str">
        <f>IF($G115="","",IF(AND($G115&gt;=30,$AT$3&lt;=CM$7),ROUND(CM115*($AP$3+#REF!),-1),""))</f>
        <v/>
      </c>
      <c r="CO115" s="503"/>
      <c r="CP115" s="503" t="str">
        <f>IF($G115="","",IF(AND($G115&gt;=30,$AT$3&lt;=CO$7),ROUND(CO115*($AP$3+#REF!),-1),""))</f>
        <v/>
      </c>
      <c r="CQ115" s="502"/>
      <c r="CR115" s="503" t="str">
        <f>IF($G115="","",IF(AND($G115&gt;=30,$AT$3&lt;=CQ$7),ROUND(CQ115*($AP$3+#REF!),-1),""))</f>
        <v/>
      </c>
      <c r="CS115" s="503"/>
      <c r="CT115" s="503" t="str">
        <f>IF($G115="","",IF(AND($G115&gt;=30,$AT$3&lt;=CS$7),ROUND(CS115*($AP$3+#REF!),-1),""))</f>
        <v/>
      </c>
      <c r="CU115" s="502"/>
      <c r="CV115" s="503" t="str">
        <f>IF($G115="","",IF(AND($G115&gt;=30,$AT$3&lt;=CU$7),ROUND(CU115*($AP$3+#REF!),-1),""))</f>
        <v/>
      </c>
      <c r="CW115" s="503"/>
      <c r="CX115" s="503" t="str">
        <f>IF($G115="","",IF(AND($G115&gt;=30,$AT$3&lt;=CW$7),ROUND(CW115*($AP$3+#REF!),-1),""))</f>
        <v/>
      </c>
      <c r="CY115" s="502"/>
      <c r="CZ115" s="503" t="str">
        <f>IF($G115="","",IF(AND($G115&gt;=30,$AT$3&lt;=CY$7),ROUND(CY115*($AP$3+#REF!),-1),""))</f>
        <v/>
      </c>
      <c r="DA115" s="503"/>
      <c r="DB115" s="503" t="str">
        <f>IF($G115="","",IF(AND($G115&gt;=30,$AT$3&lt;=DA$7),ROUND(DA115*($AP$3+#REF!),-1),""))</f>
        <v/>
      </c>
      <c r="DC115" s="502"/>
      <c r="DD115" s="503" t="str">
        <f>IF($G115="","",IF(AND($G115&gt;=30,$AT$3&lt;=DC$7),ROUND(DC115*($AP$3+#REF!),-1),""))</f>
        <v/>
      </c>
      <c r="DE115" s="503"/>
      <c r="DF115" s="503" t="str">
        <f>IF($G115="","",IF(AND($G115&gt;=30,$AT$3&lt;=DE$7),ROUND(DE115*($AP$3+#REF!),-1),""))</f>
        <v/>
      </c>
      <c r="DG115" s="503"/>
      <c r="DH115" s="503" t="str">
        <f>IF($G115="","",IF(AND($G115&gt;=30,$AT$3&lt;=DG$7),ROUND(DG115*($AP$3+#REF!),-1),""))</f>
        <v/>
      </c>
      <c r="DI115" s="503"/>
      <c r="DJ115" s="503" t="str">
        <f>IF($G115="","",IF(AND($G115&gt;=30,$AT$3&lt;=DI$7),ROUND(DI115*($AP$3+#REF!),-1),""))</f>
        <v/>
      </c>
      <c r="DK115" s="503"/>
      <c r="DL115" s="503" t="str">
        <f>IF($G115="","",IF(AND($G115&gt;=30,$AT$3&lt;=DK$7),ROUND(DK115*($AP$3+#REF!),-1),""))</f>
        <v/>
      </c>
      <c r="DM115" s="503"/>
      <c r="DN115" s="503" t="str">
        <f>IF($G115="","",IF(AND($G115&gt;=30,$AT$3&lt;=DM$7),ROUND(DM115*($AP$3+#REF!),-1),""))</f>
        <v/>
      </c>
      <c r="DO115" s="503"/>
      <c r="DP115" s="503" t="str">
        <f>IF($G115="","",IF(AND($G115&gt;=30,$AT$3&lt;=DO$7),ROUND(DO115*($AP$3+#REF!),-1),""))</f>
        <v/>
      </c>
      <c r="DQ115" s="503"/>
      <c r="DR115" s="503" t="str">
        <f>IF($G115="","",IF(AND($G115&gt;=30,$AT$3&lt;=DQ$7),ROUND(DQ115*($AP$3+#REF!),-1),""))</f>
        <v/>
      </c>
      <c r="DS115" s="503"/>
      <c r="DT115" s="503" t="str">
        <f>IF($G115="","",IF(AND($G115&gt;=30,$AT$3&lt;=DS$7),ROUND(DS115*($AP$3+#REF!),-1),""))</f>
        <v/>
      </c>
      <c r="DU115" s="503"/>
      <c r="DV115" s="503" t="str">
        <f>IF($G115="","",IF(AND($G115&gt;=30,$AT$3&lt;=DU$7),ROUND(DU115*($AP$3+#REF!),-1),""))</f>
        <v/>
      </c>
      <c r="DW115" s="503"/>
      <c r="DX115" s="503" t="str">
        <f>IF($G115="","",IF(AND($G115&gt;=30,$AT$3&lt;=DW$7),ROUND(DW115*($AP$3+#REF!),-1),""))</f>
        <v/>
      </c>
      <c r="DY115" s="503"/>
      <c r="DZ115" s="503" t="str">
        <f>IF($G115="","",IF(AND($G115&gt;=30,$AT$3&lt;=DY$7),ROUND(DY115*($AP$3+#REF!),-1),""))</f>
        <v/>
      </c>
      <c r="EA115" s="503"/>
      <c r="EB115" s="503" t="str">
        <f>IF($G115="","",IF(AND($G115&gt;=30,$AT$3&lt;=EA$7),ROUND(EA115*($AP$3+#REF!),-1),""))</f>
        <v/>
      </c>
      <c r="EC115" s="504" t="s">
        <v>621</v>
      </c>
      <c r="ED115" s="1126"/>
      <c r="EE115" s="325">
        <v>11</v>
      </c>
    </row>
    <row r="116" spans="1:135" ht="9.75" customHeight="1">
      <c r="A116" s="321" t="str">
        <f t="shared" si="21"/>
        <v/>
      </c>
      <c r="B116" s="567">
        <f>(ii!$D$13*12+V116)+1</f>
        <v>10</v>
      </c>
      <c r="C116" s="337">
        <f t="shared" si="30"/>
        <v>45657</v>
      </c>
      <c r="D116" s="484">
        <f t="shared" si="25"/>
        <v>2024</v>
      </c>
      <c r="E116" s="484">
        <f t="shared" si="26"/>
        <v>1</v>
      </c>
      <c r="F116" s="484">
        <f t="shared" si="27"/>
        <v>2025</v>
      </c>
      <c r="G116" s="485" t="str">
        <f>IF(OR(C116&lt;$I$2,C116&gt;$J$3),"",(ii!$D$13*12+V116+1)/12)</f>
        <v/>
      </c>
      <c r="H116" s="486"/>
      <c r="I116" s="486"/>
      <c r="J116" s="487"/>
      <c r="K116" s="488"/>
      <c r="L116" s="548"/>
      <c r="M116" s="489" t="str">
        <f t="shared" si="32"/>
        <v/>
      </c>
      <c r="N116" s="490" t="s">
        <v>621</v>
      </c>
      <c r="O116" s="490" t="str">
        <f t="shared" si="28"/>
        <v/>
      </c>
      <c r="P116" s="491"/>
      <c r="Q116" s="491"/>
      <c r="R116" s="491" t="str">
        <f t="shared" si="29"/>
        <v/>
      </c>
      <c r="S116" s="528" t="str">
        <f t="shared" si="24"/>
        <v/>
      </c>
      <c r="T116" s="528" t="str">
        <f t="shared" si="23"/>
        <v/>
      </c>
      <c r="U116" s="493" t="str">
        <f>IF(H116="","",#REF!*12+#REF!+#REF!*12+#REF!)</f>
        <v/>
      </c>
      <c r="V116" s="338">
        <f>IF(ii!$J$3&gt;gg!C116,"",IF(AND((YEAR(C116)=YEAR($I$2)),MONTH(C116)=MONTH($I$2)),ii!$B$14*12+ii!$C$14+ii!$B$15*12+ii!$C$15-1,V115+1))</f>
        <v>9</v>
      </c>
      <c r="W116" s="339">
        <f t="shared" si="31"/>
        <v>0.75</v>
      </c>
      <c r="X116" s="494" t="s">
        <v>621</v>
      </c>
      <c r="Y116" s="495" t="s">
        <v>621</v>
      </c>
      <c r="Z116" s="496"/>
      <c r="AA116" s="497"/>
      <c r="AB116" s="498" t="e">
        <f t="shared" si="35"/>
        <v>#VALUE!</v>
      </c>
      <c r="AC116" s="484" t="str">
        <f t="shared" si="33"/>
        <v/>
      </c>
      <c r="AD116" s="495" t="str">
        <f t="shared" si="34"/>
        <v/>
      </c>
      <c r="AE116" s="499" t="s">
        <v>621</v>
      </c>
      <c r="AF116" s="500" t="s">
        <v>621</v>
      </c>
      <c r="AG116" s="556" t="s">
        <v>621</v>
      </c>
      <c r="AH116" s="503" t="str">
        <f>IF($G116="","",IF(AND($G116&gt;=30,$AT$3&lt;=AG$7),ROUND(AG116*($AP$3+#REF!),-1),""))</f>
        <v/>
      </c>
      <c r="AI116" s="506" t="s">
        <v>621</v>
      </c>
      <c r="AJ116" s="503" t="str">
        <f>IF($G116="","",IF(AND($G116&gt;=30,$AT$3&lt;=AI$7),ROUND(AI116*($AP$3+#REF!),-1),""))</f>
        <v/>
      </c>
      <c r="AK116" s="506" t="s">
        <v>621</v>
      </c>
      <c r="AL116" s="503" t="str">
        <f>IF($G116="","",IF(AND($G116&gt;=30,$AT$3&lt;=AK$7),ROUND(AK116*($AP$3+#REF!),-1),""))</f>
        <v/>
      </c>
      <c r="AM116" s="506" t="s">
        <v>621</v>
      </c>
      <c r="AN116" s="503" t="str">
        <f>IF($G116="","",IF(AND($G116&gt;=30,$AT$3&lt;=AM$7),ROUND(AM116*($AP$3+#REF!),-1),""))</f>
        <v/>
      </c>
      <c r="AO116" s="503" t="e">
        <v>#REF!</v>
      </c>
      <c r="AP116" s="503" t="str">
        <f>IF($G116="","",IF(AND($G116&gt;=30,$AT$3&lt;=AO$7),ROUND(AO116*($AP$3+#REF!),-1),""))</f>
        <v/>
      </c>
      <c r="AQ116" s="503" t="s">
        <v>621</v>
      </c>
      <c r="AR116" s="503" t="str">
        <f>IF($G116="","",IF(AND($G116&gt;=30,$AT$3&lt;=AQ$7),ROUND(AQ116*($AP$3+#REF!),-1),""))</f>
        <v/>
      </c>
      <c r="AS116" s="503" t="s">
        <v>621</v>
      </c>
      <c r="AT116" s="503" t="str">
        <f>IF($G116="","",IF(AND($G116&gt;=30,$AT$3&lt;=AS$7),ROUND(AS116*($AP$3+#REF!),-1),""))</f>
        <v/>
      </c>
      <c r="AU116" s="503" t="s">
        <v>621</v>
      </c>
      <c r="AV116" s="503" t="str">
        <f>IF($G116="","",IF(AND($G116&gt;=30,$AT$3&lt;=AU$7),ROUND(AU116*($AP$3+#REF!),-1),""))</f>
        <v/>
      </c>
      <c r="AW116" s="517" t="e">
        <v>#REF!</v>
      </c>
      <c r="AX116" s="503" t="str">
        <f>IF($G116="","",IF(AND($G116&gt;=30,$AT$3&lt;=AW$7),ROUND(AW116*($AP$3+#REF!),-1),""))</f>
        <v/>
      </c>
      <c r="AY116" s="502"/>
      <c r="AZ116" s="503" t="str">
        <f>IF($G116="","",IF(AND($G116&gt;=30,$AT$3&lt;=AY$7),ROUND(AY116*($AP$3+#REF!),-1),""))</f>
        <v/>
      </c>
      <c r="BA116" s="503"/>
      <c r="BB116" s="503" t="str">
        <f>IF($G116="","",IF(AND($G116&gt;=30,$AT$3&lt;=BA$7),ROUND(BA116*($AP$3+#REF!),-1),""))</f>
        <v/>
      </c>
      <c r="BC116" s="502"/>
      <c r="BD116" s="503" t="str">
        <f>IF($G116="","",IF(AND($G116&gt;=30,$AT$3&lt;=BC$7),ROUND(BC116*($AP$3+#REF!),-1),""))</f>
        <v/>
      </c>
      <c r="BE116" s="503"/>
      <c r="BF116" s="503" t="str">
        <f>IF($G116="","",IF(AND($G116&gt;=30,$AT$3&lt;=BE$7),ROUND(BE116*($AP$3+#REF!),-1),""))</f>
        <v/>
      </c>
      <c r="BG116" s="502"/>
      <c r="BH116" s="503" t="str">
        <f>IF($G116="","",IF(AND($G116&gt;=30,$AT$3&lt;=BG$7),ROUND(BG116*($AP$3+#REF!),-1),""))</f>
        <v/>
      </c>
      <c r="BI116" s="503"/>
      <c r="BJ116" s="503" t="str">
        <f>IF($G116="","",IF(AND($G116&gt;=30,$AT$3&lt;=BI$7),ROUND(BI116*($AP$3+#REF!),-1),""))</f>
        <v/>
      </c>
      <c r="BK116" s="502"/>
      <c r="BL116" s="503" t="str">
        <f>IF($G116="","",IF(AND($G116&gt;=30,$AT$3&lt;=BK$7),ROUND(BK116*($AP$3+#REF!),-1),""))</f>
        <v/>
      </c>
      <c r="BM116" s="503"/>
      <c r="BN116" s="503" t="str">
        <f>IF($G116="","",IF(AND($G116&gt;=30,$AT$3&lt;=BM$7),ROUND(BM116*($AP$3+#REF!),-1),""))</f>
        <v/>
      </c>
      <c r="BO116" s="502"/>
      <c r="BP116" s="503" t="str">
        <f>IF($G116="","",IF(AND($G116&gt;=30,$AT$3&lt;=BO$7),ROUND(BO116*($AP$3+#REF!),-1),""))</f>
        <v/>
      </c>
      <c r="BQ116" s="503"/>
      <c r="BR116" s="503" t="str">
        <f>IF($G116="","",IF(AND($G116&gt;=30,$AT$3&lt;=BQ$7),ROUND(BQ116*($AP$3+#REF!),-1),""))</f>
        <v/>
      </c>
      <c r="BS116" s="502"/>
      <c r="BT116" s="503" t="str">
        <f>IF($G116="","",IF(AND($G116&gt;=30,$AT$3&lt;=BS$7),ROUND(BS116*($AP$3+#REF!),-1),""))</f>
        <v/>
      </c>
      <c r="BU116" s="503"/>
      <c r="BV116" s="503" t="str">
        <f>IF($G116="","",IF(AND($G116&gt;=30,$AT$3&lt;=BU$7),ROUND(BU116*($AP$3+#REF!),-1),""))</f>
        <v/>
      </c>
      <c r="BW116" s="502"/>
      <c r="BX116" s="503" t="str">
        <f>IF($G116="","",IF(AND($G116&gt;=30,$AT$3&lt;=BW$7),ROUND(BW116*($AP$3+#REF!),-1),""))</f>
        <v/>
      </c>
      <c r="BY116" s="503"/>
      <c r="BZ116" s="503" t="str">
        <f>IF($G116="","",IF(AND($G116&gt;=30,$AT$3&lt;=BY$7),ROUND(BY116*($AP$3+#REF!),-1),""))</f>
        <v/>
      </c>
      <c r="CA116" s="502"/>
      <c r="CB116" s="503" t="str">
        <f>IF($G116="","",IF(AND($G116&gt;=30,$AT$3&lt;=CA$7),ROUND(CA116*($AP$3+#REF!),-1),""))</f>
        <v/>
      </c>
      <c r="CC116" s="503"/>
      <c r="CD116" s="503" t="str">
        <f>IF($G116="","",IF(AND($G116&gt;=30,$AT$3&lt;=CC$7),ROUND(CC116*($AP$3+#REF!),-1),""))</f>
        <v/>
      </c>
      <c r="CE116" s="502"/>
      <c r="CF116" s="503" t="str">
        <f>IF($G116="","",IF(AND($G116&gt;=30,$AT$3&lt;=CE$7),ROUND(CE116*($AP$3+#REF!),-1),""))</f>
        <v/>
      </c>
      <c r="CG116" s="503"/>
      <c r="CH116" s="503" t="str">
        <f>IF($G116="","",IF(AND($G116&gt;=30,$AT$3&lt;=CG$7),ROUND(CG116*($AP$3+#REF!),-1),""))</f>
        <v/>
      </c>
      <c r="CI116" s="502"/>
      <c r="CJ116" s="503" t="str">
        <f>IF($G116="","",IF(AND($G116&gt;=30,$AT$3&lt;=CI$7),ROUND(CI116*($AP$3+#REF!),-1),""))</f>
        <v/>
      </c>
      <c r="CK116" s="503"/>
      <c r="CL116" s="503" t="str">
        <f>IF($G116="","",IF(AND($G116&gt;=30,$AT$3&lt;=CK$7),ROUND(CK116*($AP$3+#REF!),-1),""))</f>
        <v/>
      </c>
      <c r="CM116" s="502"/>
      <c r="CN116" s="503" t="str">
        <f>IF($G116="","",IF(AND($G116&gt;=30,$AT$3&lt;=CM$7),ROUND(CM116*($AP$3+#REF!),-1),""))</f>
        <v/>
      </c>
      <c r="CO116" s="503"/>
      <c r="CP116" s="503" t="str">
        <f>IF($G116="","",IF(AND($G116&gt;=30,$AT$3&lt;=CO$7),ROUND(CO116*($AP$3+#REF!),-1),""))</f>
        <v/>
      </c>
      <c r="CQ116" s="502"/>
      <c r="CR116" s="503" t="str">
        <f>IF($G116="","",IF(AND($G116&gt;=30,$AT$3&lt;=CQ$7),ROUND(CQ116*($AP$3+#REF!),-1),""))</f>
        <v/>
      </c>
      <c r="CS116" s="503"/>
      <c r="CT116" s="503" t="str">
        <f>IF($G116="","",IF(AND($G116&gt;=30,$AT$3&lt;=CS$7),ROUND(CS116*($AP$3+#REF!),-1),""))</f>
        <v/>
      </c>
      <c r="CU116" s="502"/>
      <c r="CV116" s="503" t="str">
        <f>IF($G116="","",IF(AND($G116&gt;=30,$AT$3&lt;=CU$7),ROUND(CU116*($AP$3+#REF!),-1),""))</f>
        <v/>
      </c>
      <c r="CW116" s="503"/>
      <c r="CX116" s="503" t="str">
        <f>IF($G116="","",IF(AND($G116&gt;=30,$AT$3&lt;=CW$7),ROUND(CW116*($AP$3+#REF!),-1),""))</f>
        <v/>
      </c>
      <c r="CY116" s="502"/>
      <c r="CZ116" s="503" t="str">
        <f>IF($G116="","",IF(AND($G116&gt;=30,$AT$3&lt;=CY$7),ROUND(CY116*($AP$3+#REF!),-1),""))</f>
        <v/>
      </c>
      <c r="DA116" s="503"/>
      <c r="DB116" s="503" t="str">
        <f>IF($G116="","",IF(AND($G116&gt;=30,$AT$3&lt;=DA$7),ROUND(DA116*($AP$3+#REF!),-1),""))</f>
        <v/>
      </c>
      <c r="DC116" s="502"/>
      <c r="DD116" s="503" t="str">
        <f>IF($G116="","",IF(AND($G116&gt;=30,$AT$3&lt;=DC$7),ROUND(DC116*($AP$3+#REF!),-1),""))</f>
        <v/>
      </c>
      <c r="DE116" s="503"/>
      <c r="DF116" s="503" t="str">
        <f>IF($G116="","",IF(AND($G116&gt;=30,$AT$3&lt;=DE$7),ROUND(DE116*($AP$3+#REF!),-1),""))</f>
        <v/>
      </c>
      <c r="DG116" s="503"/>
      <c r="DH116" s="503" t="str">
        <f>IF($G116="","",IF(AND($G116&gt;=30,$AT$3&lt;=DG$7),ROUND(DG116*($AP$3+#REF!),-1),""))</f>
        <v/>
      </c>
      <c r="DI116" s="503"/>
      <c r="DJ116" s="503" t="str">
        <f>IF($G116="","",IF(AND($G116&gt;=30,$AT$3&lt;=DI$7),ROUND(DI116*($AP$3+#REF!),-1),""))</f>
        <v/>
      </c>
      <c r="DK116" s="503"/>
      <c r="DL116" s="503" t="str">
        <f>IF($G116="","",IF(AND($G116&gt;=30,$AT$3&lt;=DK$7),ROUND(DK116*($AP$3+#REF!),-1),""))</f>
        <v/>
      </c>
      <c r="DM116" s="503"/>
      <c r="DN116" s="503" t="str">
        <f>IF($G116="","",IF(AND($G116&gt;=30,$AT$3&lt;=DM$7),ROUND(DM116*($AP$3+#REF!),-1),""))</f>
        <v/>
      </c>
      <c r="DO116" s="503"/>
      <c r="DP116" s="503" t="str">
        <f>IF($G116="","",IF(AND($G116&gt;=30,$AT$3&lt;=DO$7),ROUND(DO116*($AP$3+#REF!),-1),""))</f>
        <v/>
      </c>
      <c r="DQ116" s="503"/>
      <c r="DR116" s="503" t="str">
        <f>IF($G116="","",IF(AND($G116&gt;=30,$AT$3&lt;=DQ$7),ROUND(DQ116*($AP$3+#REF!),-1),""))</f>
        <v/>
      </c>
      <c r="DS116" s="503"/>
      <c r="DT116" s="503" t="str">
        <f>IF($G116="","",IF(AND($G116&gt;=30,$AT$3&lt;=DS$7),ROUND(DS116*($AP$3+#REF!),-1),""))</f>
        <v/>
      </c>
      <c r="DU116" s="503"/>
      <c r="DV116" s="503" t="str">
        <f>IF($G116="","",IF(AND($G116&gt;=30,$AT$3&lt;=DU$7),ROUND(DU116*($AP$3+#REF!),-1),""))</f>
        <v/>
      </c>
      <c r="DW116" s="503"/>
      <c r="DX116" s="503" t="str">
        <f>IF($G116="","",IF(AND($G116&gt;=30,$AT$3&lt;=DW$7),ROUND(DW116*($AP$3+#REF!),-1),""))</f>
        <v/>
      </c>
      <c r="DY116" s="503"/>
      <c r="DZ116" s="503" t="str">
        <f>IF($G116="","",IF(AND($G116&gt;=30,$AT$3&lt;=DY$7),ROUND(DY116*($AP$3+#REF!),-1),""))</f>
        <v/>
      </c>
      <c r="EA116" s="503"/>
      <c r="EB116" s="503" t="str">
        <f>IF($G116="","",IF(AND($G116&gt;=30,$AT$3&lt;=EA$7),ROUND(EA116*($AP$3+#REF!),-1),""))</f>
        <v/>
      </c>
      <c r="EC116" s="504" t="s">
        <v>621</v>
      </c>
      <c r="ED116" s="1126"/>
      <c r="EE116" s="325">
        <v>12</v>
      </c>
    </row>
    <row r="117" spans="1:135" ht="9.75" customHeight="1">
      <c r="A117" s="321" t="str">
        <f t="shared" si="21"/>
        <v/>
      </c>
      <c r="B117" s="567">
        <f>(ii!$D$13*12+V117)+1</f>
        <v>11</v>
      </c>
      <c r="C117" s="345">
        <f t="shared" si="30"/>
        <v>45688</v>
      </c>
      <c r="D117" s="340">
        <f t="shared" si="25"/>
        <v>2025</v>
      </c>
      <c r="E117" s="340">
        <f t="shared" si="26"/>
        <v>8.3333333333333329E-2</v>
      </c>
      <c r="F117" s="340">
        <f t="shared" si="27"/>
        <v>2025.0833333333333</v>
      </c>
      <c r="G117" s="531" t="str">
        <f>IF(OR(C117&lt;$I$2,C117&gt;$J$3),"",(ii!$D$13*12+V117+1)/12)</f>
        <v/>
      </c>
      <c r="H117" s="532"/>
      <c r="I117" s="532"/>
      <c r="J117" s="533"/>
      <c r="K117" s="553"/>
      <c r="L117" s="534"/>
      <c r="M117" s="535" t="str">
        <f t="shared" si="32"/>
        <v/>
      </c>
      <c r="N117" s="536" t="s">
        <v>621</v>
      </c>
      <c r="O117" s="536" t="str">
        <f t="shared" si="28"/>
        <v/>
      </c>
      <c r="P117" s="537"/>
      <c r="Q117" s="537"/>
      <c r="R117" s="533" t="str">
        <f t="shared" si="29"/>
        <v/>
      </c>
      <c r="S117" s="538" t="str">
        <f t="shared" si="24"/>
        <v/>
      </c>
      <c r="T117" s="538" t="str">
        <f t="shared" si="23"/>
        <v/>
      </c>
      <c r="U117" s="539" t="str">
        <f>IF(H117="","",#REF!*12+#REF!+#REF!*12+#REF!)</f>
        <v/>
      </c>
      <c r="V117" s="338">
        <f>IF(ii!$J$3&gt;gg!C117,"",IF(AND((YEAR(C117)=YEAR($I$2)),MONTH(C117)=MONTH($I$2)),ii!$B$14*12+ii!$C$14+ii!$B$15*12+ii!$C$15-1,V116+1))</f>
        <v>10</v>
      </c>
      <c r="W117" s="339">
        <f t="shared" si="31"/>
        <v>0.83333333333333337</v>
      </c>
      <c r="X117" s="540" t="s">
        <v>621</v>
      </c>
      <c r="Y117" s="538" t="s">
        <v>621</v>
      </c>
      <c r="Z117" s="541">
        <f>Z105+$Z$26</f>
        <v>0.21</v>
      </c>
      <c r="AA117" s="542" t="str">
        <f>IF(Y117="","",(Y117-Y116)/Y116)</f>
        <v/>
      </c>
      <c r="AB117" s="543" t="e">
        <f t="shared" si="35"/>
        <v>#VALUE!</v>
      </c>
      <c r="AC117" s="544" t="str">
        <f t="shared" si="33"/>
        <v/>
      </c>
      <c r="AD117" s="538" t="str">
        <f t="shared" si="34"/>
        <v/>
      </c>
      <c r="AE117" s="545" t="s">
        <v>621</v>
      </c>
      <c r="AF117" s="546" t="s">
        <v>621</v>
      </c>
      <c r="AG117" s="558" t="s">
        <v>621</v>
      </c>
      <c r="AH117" s="547" t="str">
        <f>IF($G117="","",IF(AND($G117&gt;=30,$AT$3&lt;=AG$7),ROUND(AG117*($AP$3+#REF!),-1),""))</f>
        <v/>
      </c>
      <c r="AI117" s="558" t="s">
        <v>621</v>
      </c>
      <c r="AJ117" s="547" t="str">
        <f>IF($G117="","",IF(AND($G117&gt;=30,$AT$3&lt;=AI$7),ROUND(AI117*($AP$3+#REF!),-1),""))</f>
        <v/>
      </c>
      <c r="AK117" s="560" t="s">
        <v>621</v>
      </c>
      <c r="AL117" s="547" t="str">
        <f>IF($G117="","",IF(AND($G117&gt;=30,$AT$3&lt;=AK$7),ROUND(AK117*($AP$3+#REF!),-1),""))</f>
        <v/>
      </c>
      <c r="AM117" s="560" t="s">
        <v>621</v>
      </c>
      <c r="AN117" s="547" t="str">
        <f>IF($G117="","",IF(AND($G117&gt;=30,$AT$3&lt;=AM$7),ROUND(AM117*($AP$3+#REF!),-1),""))</f>
        <v/>
      </c>
      <c r="AO117" s="547" t="e">
        <v>#REF!</v>
      </c>
      <c r="AP117" s="547" t="str">
        <f>IF($G117="","",IF(AND($G117&gt;=30,$AT$3&lt;=AO$7),ROUND(AO117*($AP$3+#REF!),-1),""))</f>
        <v/>
      </c>
      <c r="AQ117" s="547" t="s">
        <v>621</v>
      </c>
      <c r="AR117" s="547" t="str">
        <f>IF($G117="","",IF(AND($G117&gt;=30,$AT$3&lt;=AQ$7),ROUND(AQ117*($AP$3+#REF!),-1),""))</f>
        <v/>
      </c>
      <c r="AS117" s="547" t="s">
        <v>621</v>
      </c>
      <c r="AT117" s="547" t="str">
        <f>IF($G117="","",IF(AND($G117&gt;=30,$AT$3&lt;=AS$7),ROUND(AS117*($AP$3+#REF!),-1),""))</f>
        <v/>
      </c>
      <c r="AU117" s="547" t="s">
        <v>621</v>
      </c>
      <c r="AV117" s="547" t="str">
        <f>IF($G117="","",IF(AND($G117&gt;=30,$AT$3&lt;=AU$7),ROUND(AU117*($AP$3+#REF!),-1),""))</f>
        <v/>
      </c>
      <c r="AW117" s="547" t="s">
        <v>621</v>
      </c>
      <c r="AX117" s="547" t="str">
        <f>IF($G117="","",IF(AND($G117&gt;=30,$AT$3&lt;=AW$7),ROUND(AW117*($AP$3+#REF!),-1),""))</f>
        <v/>
      </c>
      <c r="AY117" s="533" t="e">
        <v>#REF!</v>
      </c>
      <c r="AZ117" s="547" t="str">
        <f>IF($G117="","",IF(AND($G117&gt;=30,$AT$3&lt;=AY$7),ROUND(AY117*($AP$3+#REF!),-1),""))</f>
        <v/>
      </c>
      <c r="BA117" s="547"/>
      <c r="BB117" s="547" t="str">
        <f>IF($G117="","",IF(AND($G117&gt;=30,$AT$3&lt;=BA$7),ROUND(BA117*($AP$3+#REF!),-1),""))</f>
        <v/>
      </c>
      <c r="BC117" s="547"/>
      <c r="BD117" s="547" t="str">
        <f>IF($G117="","",IF(AND($G117&gt;=30,$AT$3&lt;=BC$7),ROUND(BC117*($AP$3+#REF!),-1),""))</f>
        <v/>
      </c>
      <c r="BE117" s="547"/>
      <c r="BF117" s="547" t="str">
        <f>IF($G117="","",IF(AND($G117&gt;=30,$AT$3&lt;=BE$7),ROUND(BE117*($AP$3+#REF!),-1),""))</f>
        <v/>
      </c>
      <c r="BG117" s="547"/>
      <c r="BH117" s="547" t="str">
        <f>IF($G117="","",IF(AND($G117&gt;=30,$AT$3&lt;=BG$7),ROUND(BG117*($AP$3+#REF!),-1),""))</f>
        <v/>
      </c>
      <c r="BI117" s="547"/>
      <c r="BJ117" s="547" t="str">
        <f>IF($G117="","",IF(AND($G117&gt;=30,$AT$3&lt;=BI$7),ROUND(BI117*($AP$3+#REF!),-1),""))</f>
        <v/>
      </c>
      <c r="BK117" s="547"/>
      <c r="BL117" s="547" t="str">
        <f>IF($G117="","",IF(AND($G117&gt;=30,$AT$3&lt;=BK$7),ROUND(BK117*($AP$3+#REF!),-1),""))</f>
        <v/>
      </c>
      <c r="BM117" s="547"/>
      <c r="BN117" s="547" t="str">
        <f>IF($G117="","",IF(AND($G117&gt;=30,$AT$3&lt;=BM$7),ROUND(BM117*($AP$3+#REF!),-1),""))</f>
        <v/>
      </c>
      <c r="BO117" s="547"/>
      <c r="BP117" s="547" t="str">
        <f>IF($G117="","",IF(AND($G117&gt;=30,$AT$3&lt;=BO$7),ROUND(BO117*($AP$3+#REF!),-1),""))</f>
        <v/>
      </c>
      <c r="BQ117" s="547"/>
      <c r="BR117" s="547" t="str">
        <f>IF($G117="","",IF(AND($G117&gt;=30,$AT$3&lt;=BQ$7),ROUND(BQ117*($AP$3+#REF!),-1),""))</f>
        <v/>
      </c>
      <c r="BS117" s="547"/>
      <c r="BT117" s="547" t="str">
        <f>IF($G117="","",IF(AND($G117&gt;=30,$AT$3&lt;=BS$7),ROUND(BS117*($AP$3+#REF!),-1),""))</f>
        <v/>
      </c>
      <c r="BU117" s="547"/>
      <c r="BV117" s="547" t="str">
        <f>IF($G117="","",IF(AND($G117&gt;=30,$AT$3&lt;=BU$7),ROUND(BU117*($AP$3+#REF!),-1),""))</f>
        <v/>
      </c>
      <c r="BW117" s="547"/>
      <c r="BX117" s="547" t="str">
        <f>IF($G117="","",IF(AND($G117&gt;=30,$AT$3&lt;=BW$7),ROUND(BW117*($AP$3+#REF!),-1),""))</f>
        <v/>
      </c>
      <c r="BY117" s="547"/>
      <c r="BZ117" s="547" t="str">
        <f>IF($G117="","",IF(AND($G117&gt;=30,$AT$3&lt;=BY$7),ROUND(BY117*($AP$3+#REF!),-1),""))</f>
        <v/>
      </c>
      <c r="CA117" s="547"/>
      <c r="CB117" s="547" t="str">
        <f>IF($G117="","",IF(AND($G117&gt;=30,$AT$3&lt;=CA$7),ROUND(CA117*($AP$3+#REF!),-1),""))</f>
        <v/>
      </c>
      <c r="CC117" s="547"/>
      <c r="CD117" s="547" t="str">
        <f>IF($G117="","",IF(AND($G117&gt;=30,$AT$3&lt;=CC$7),ROUND(CC117*($AP$3+#REF!),-1),""))</f>
        <v/>
      </c>
      <c r="CE117" s="547"/>
      <c r="CF117" s="547" t="str">
        <f>IF($G117="","",IF(AND($G117&gt;=30,$AT$3&lt;=CE$7),ROUND(CE117*($AP$3+#REF!),-1),""))</f>
        <v/>
      </c>
      <c r="CG117" s="547"/>
      <c r="CH117" s="547" t="str">
        <f>IF($G117="","",IF(AND($G117&gt;=30,$AT$3&lt;=CG$7),ROUND(CG117*($AP$3+#REF!),-1),""))</f>
        <v/>
      </c>
      <c r="CI117" s="547"/>
      <c r="CJ117" s="547" t="str">
        <f>IF($G117="","",IF(AND($G117&gt;=30,$AT$3&lt;=CI$7),ROUND(CI117*($AP$3+#REF!),-1),""))</f>
        <v/>
      </c>
      <c r="CK117" s="547"/>
      <c r="CL117" s="547" t="str">
        <f>IF($G117="","",IF(AND($G117&gt;=30,$AT$3&lt;=CK$7),ROUND(CK117*($AP$3+#REF!),-1),""))</f>
        <v/>
      </c>
      <c r="CM117" s="547"/>
      <c r="CN117" s="547" t="str">
        <f>IF($G117="","",IF(AND($G117&gt;=30,$AT$3&lt;=CM$7),ROUND(CM117*($AP$3+#REF!),-1),""))</f>
        <v/>
      </c>
      <c r="CO117" s="547"/>
      <c r="CP117" s="547" t="str">
        <f>IF($G117="","",IF(AND($G117&gt;=30,$AT$3&lt;=CO$7),ROUND(CO117*($AP$3+#REF!),-1),""))</f>
        <v/>
      </c>
      <c r="CQ117" s="547"/>
      <c r="CR117" s="547" t="str">
        <f>IF($G117="","",IF(AND($G117&gt;=30,$AT$3&lt;=CQ$7),ROUND(CQ117*($AP$3+#REF!),-1),""))</f>
        <v/>
      </c>
      <c r="CS117" s="547"/>
      <c r="CT117" s="547" t="str">
        <f>IF($G117="","",IF(AND($G117&gt;=30,$AT$3&lt;=CS$7),ROUND(CS117*($AP$3+#REF!),-1),""))</f>
        <v/>
      </c>
      <c r="CU117" s="547"/>
      <c r="CV117" s="547" t="str">
        <f>IF($G117="","",IF(AND($G117&gt;=30,$AT$3&lt;=CU$7),ROUND(CU117*($AP$3+#REF!),-1),""))</f>
        <v/>
      </c>
      <c r="CW117" s="547"/>
      <c r="CX117" s="547" t="str">
        <f>IF($G117="","",IF(AND($G117&gt;=30,$AT$3&lt;=CW$7),ROUND(CW117*($AP$3+#REF!),-1),""))</f>
        <v/>
      </c>
      <c r="CY117" s="547"/>
      <c r="CZ117" s="547" t="str">
        <f>IF($G117="","",IF(AND($G117&gt;=30,$AT$3&lt;=CY$7),ROUND(CY117*($AP$3+#REF!),-1),""))</f>
        <v/>
      </c>
      <c r="DA117" s="547"/>
      <c r="DB117" s="547" t="str">
        <f>IF($G117="","",IF(AND($G117&gt;=30,$AT$3&lt;=DA$7),ROUND(DA117*($AP$3+#REF!),-1),""))</f>
        <v/>
      </c>
      <c r="DC117" s="547"/>
      <c r="DD117" s="547" t="str">
        <f>IF($G117="","",IF(AND($G117&gt;=30,$AT$3&lt;=DC$7),ROUND(DC117*($AP$3+#REF!),-1),""))</f>
        <v/>
      </c>
      <c r="DE117" s="547"/>
      <c r="DF117" s="547" t="str">
        <f>IF($G117="","",IF(AND($G117&gt;=30,$AT$3&lt;=DE$7),ROUND(DE117*($AP$3+#REF!),-1),""))</f>
        <v/>
      </c>
      <c r="DG117" s="547"/>
      <c r="DH117" s="547" t="str">
        <f>IF($G117="","",IF(AND($G117&gt;=30,$AT$3&lt;=DG$7),ROUND(DG117*($AP$3+#REF!),-1),""))</f>
        <v/>
      </c>
      <c r="DI117" s="547"/>
      <c r="DJ117" s="547" t="str">
        <f>IF($G117="","",IF(AND($G117&gt;=30,$AT$3&lt;=DI$7),ROUND(DI117*($AP$3+#REF!),-1),""))</f>
        <v/>
      </c>
      <c r="DK117" s="547"/>
      <c r="DL117" s="547" t="str">
        <f>IF($G117="","",IF(AND($G117&gt;=30,$AT$3&lt;=DK$7),ROUND(DK117*($AP$3+#REF!),-1),""))</f>
        <v/>
      </c>
      <c r="DM117" s="547"/>
      <c r="DN117" s="547" t="str">
        <f>IF($G117="","",IF(AND($G117&gt;=30,$AT$3&lt;=DM$7),ROUND(DM117*($AP$3+#REF!),-1),""))</f>
        <v/>
      </c>
      <c r="DO117" s="547"/>
      <c r="DP117" s="547" t="str">
        <f>IF($G117="","",IF(AND($G117&gt;=30,$AT$3&lt;=DO$7),ROUND(DO117*($AP$3+#REF!),-1),""))</f>
        <v/>
      </c>
      <c r="DQ117" s="547"/>
      <c r="DR117" s="547" t="str">
        <f>IF($G117="","",IF(AND($G117&gt;=30,$AT$3&lt;=DQ$7),ROUND(DQ117*($AP$3+#REF!),-1),""))</f>
        <v/>
      </c>
      <c r="DS117" s="547"/>
      <c r="DT117" s="547" t="str">
        <f>IF($G117="","",IF(AND($G117&gt;=30,$AT$3&lt;=DS$7),ROUND(DS117*($AP$3+#REF!),-1),""))</f>
        <v/>
      </c>
      <c r="DU117" s="547"/>
      <c r="DV117" s="547" t="str">
        <f>IF($G117="","",IF(AND($G117&gt;=30,$AT$3&lt;=DU$7),ROUND(DU117*($AP$3+#REF!),-1),""))</f>
        <v/>
      </c>
      <c r="DW117" s="547"/>
      <c r="DX117" s="547" t="str">
        <f>IF($G117="","",IF(AND($G117&gt;=30,$AT$3&lt;=DW$7),ROUND(DW117*($AP$3+#REF!),-1),""))</f>
        <v/>
      </c>
      <c r="DY117" s="547"/>
      <c r="DZ117" s="547" t="str">
        <f>IF($G117="","",IF(AND($G117&gt;=30,$AT$3&lt;=DY$7),ROUND(DY117*($AP$3+#REF!),-1),""))</f>
        <v/>
      </c>
      <c r="EA117" s="547"/>
      <c r="EB117" s="547" t="str">
        <f>IF($G117="","",IF(AND($G117&gt;=30,$AT$3&lt;=EA$7),ROUND(EA117*($AP$3+#REF!),-1),""))</f>
        <v/>
      </c>
      <c r="EC117" s="547" t="s">
        <v>621</v>
      </c>
      <c r="ED117" s="1126">
        <f>SUM(EC117:EC128)</f>
        <v>0</v>
      </c>
      <c r="EE117" s="325">
        <v>1</v>
      </c>
    </row>
    <row r="118" spans="1:135" ht="9.75" customHeight="1">
      <c r="A118" s="321" t="str">
        <f t="shared" si="21"/>
        <v/>
      </c>
      <c r="B118" s="567">
        <f>(ii!$D$13*12+V118)+1</f>
        <v>12</v>
      </c>
      <c r="C118" s="337">
        <f t="shared" si="30"/>
        <v>45716</v>
      </c>
      <c r="D118" s="484">
        <f t="shared" si="25"/>
        <v>2025</v>
      </c>
      <c r="E118" s="484">
        <f t="shared" si="26"/>
        <v>0.16666666666666666</v>
      </c>
      <c r="F118" s="484">
        <f t="shared" si="27"/>
        <v>2025.1666666666667</v>
      </c>
      <c r="G118" s="485" t="str">
        <f>IF(OR(C118&lt;$I$2,C118&gt;$J$3),"",(ii!$D$13*12+V118+1)/12)</f>
        <v/>
      </c>
      <c r="H118" s="486"/>
      <c r="I118" s="486"/>
      <c r="J118" s="487"/>
      <c r="K118" s="488"/>
      <c r="L118" s="548"/>
      <c r="M118" s="489" t="str">
        <f t="shared" si="32"/>
        <v/>
      </c>
      <c r="N118" s="490" t="s">
        <v>621</v>
      </c>
      <c r="O118" s="490" t="str">
        <f t="shared" si="28"/>
        <v/>
      </c>
      <c r="P118" s="491"/>
      <c r="Q118" s="491"/>
      <c r="R118" s="491" t="str">
        <f t="shared" si="29"/>
        <v/>
      </c>
      <c r="S118" s="528" t="str">
        <f t="shared" si="24"/>
        <v/>
      </c>
      <c r="T118" s="528" t="str">
        <f t="shared" si="23"/>
        <v/>
      </c>
      <c r="U118" s="493" t="str">
        <f>IF(H118="","",#REF!*12+#REF!+#REF!*12+#REF!)</f>
        <v/>
      </c>
      <c r="V118" s="338">
        <f>IF(ii!$J$3&gt;gg!C118,"",IF(AND((YEAR(C118)=YEAR($I$2)),MONTH(C118)=MONTH($I$2)),ii!$B$14*12+ii!$C$14+ii!$B$15*12+ii!$C$15-1,V117+1))</f>
        <v>11</v>
      </c>
      <c r="W118" s="339">
        <f t="shared" si="31"/>
        <v>0.91666666666666663</v>
      </c>
      <c r="X118" s="494" t="s">
        <v>621</v>
      </c>
      <c r="Y118" s="495" t="s">
        <v>621</v>
      </c>
      <c r="Z118" s="496"/>
      <c r="AA118" s="497"/>
      <c r="AB118" s="498" t="e">
        <f t="shared" si="35"/>
        <v>#VALUE!</v>
      </c>
      <c r="AC118" s="484" t="str">
        <f t="shared" si="33"/>
        <v/>
      </c>
      <c r="AD118" s="495" t="str">
        <f t="shared" si="34"/>
        <v/>
      </c>
      <c r="AE118" s="499" t="s">
        <v>621</v>
      </c>
      <c r="AF118" s="500" t="s">
        <v>621</v>
      </c>
      <c r="AG118" s="556" t="s">
        <v>621</v>
      </c>
      <c r="AH118" s="503" t="str">
        <f>IF($G118="","",IF(AND($G118&gt;=30,$AT$3&lt;=AG$7),ROUND(AG118*($AP$3+#REF!),-1),""))</f>
        <v/>
      </c>
      <c r="AI118" s="506" t="s">
        <v>621</v>
      </c>
      <c r="AJ118" s="503" t="str">
        <f>IF($G118="","",IF(AND($G118&gt;=30,$AT$3&lt;=AI$7),ROUND(AI118*($AP$3+#REF!),-1),""))</f>
        <v/>
      </c>
      <c r="AK118" s="506" t="s">
        <v>621</v>
      </c>
      <c r="AL118" s="503" t="str">
        <f>IF($G118="","",IF(AND($G118&gt;=30,$AT$3&lt;=AK$7),ROUND(AK118*($AP$3+#REF!),-1),""))</f>
        <v/>
      </c>
      <c r="AM118" s="506" t="s">
        <v>621</v>
      </c>
      <c r="AN118" s="503" t="str">
        <f>IF($G118="","",IF(AND($G118&gt;=30,$AT$3&lt;=AM$7),ROUND(AM118*($AP$3+#REF!),-1),""))</f>
        <v/>
      </c>
      <c r="AO118" s="503" t="e">
        <f>IF(AO117="","",AO117*1.001)</f>
        <v>#REF!</v>
      </c>
      <c r="AP118" s="503" t="str">
        <f>IF($G118="","",IF(AND($G118&gt;=30,$AT$3&lt;=AO$7),ROUND(AO118*($AP$3+#REF!),-1),""))</f>
        <v/>
      </c>
      <c r="AQ118" s="503" t="s">
        <v>621</v>
      </c>
      <c r="AR118" s="503" t="str">
        <f>IF($G118="","",IF(AND($G118&gt;=30,$AT$3&lt;=AQ$7),ROUND(AQ118*($AP$3+#REF!),-1),""))</f>
        <v/>
      </c>
      <c r="AS118" s="503" t="s">
        <v>621</v>
      </c>
      <c r="AT118" s="503" t="str">
        <f>IF($G118="","",IF(AND($G118&gt;=30,$AT$3&lt;=AS$7),ROUND(AS118*($AP$3+#REF!),-1),""))</f>
        <v/>
      </c>
      <c r="AU118" s="503" t="s">
        <v>621</v>
      </c>
      <c r="AV118" s="503" t="str">
        <f>IF($G118="","",IF(AND($G118&gt;=30,$AT$3&lt;=AU$7),ROUND(AU118*($AP$3+#REF!),-1),""))</f>
        <v/>
      </c>
      <c r="AW118" s="503" t="s">
        <v>621</v>
      </c>
      <c r="AX118" s="503" t="str">
        <f>IF($G118="","",IF(AND($G118&gt;=30,$AT$3&lt;=AW$7),ROUND(AW118*($AP$3+#REF!),-1),""))</f>
        <v/>
      </c>
      <c r="AY118" s="517" t="e">
        <v>#REF!</v>
      </c>
      <c r="AZ118" s="503" t="str">
        <f>IF($G118="","",IF(AND($G118&gt;=30,$AT$3&lt;=AY$7),ROUND(AY118*($AP$3+#REF!),-1),""))</f>
        <v/>
      </c>
      <c r="BA118" s="503"/>
      <c r="BB118" s="503" t="str">
        <f>IF($G118="","",IF(AND($G118&gt;=30,$AT$3&lt;=BA$7),ROUND(BA118*($AP$3+#REF!),-1),""))</f>
        <v/>
      </c>
      <c r="BC118" s="502"/>
      <c r="BD118" s="503" t="str">
        <f>IF($G118="","",IF(AND($G118&gt;=30,$AT$3&lt;=BC$7),ROUND(BC118*($AP$3+#REF!),-1),""))</f>
        <v/>
      </c>
      <c r="BE118" s="503"/>
      <c r="BF118" s="503" t="str">
        <f>IF($G118="","",IF(AND($G118&gt;=30,$AT$3&lt;=BE$7),ROUND(BE118*($AP$3+#REF!),-1),""))</f>
        <v/>
      </c>
      <c r="BG118" s="502"/>
      <c r="BH118" s="503" t="str">
        <f>IF($G118="","",IF(AND($G118&gt;=30,$AT$3&lt;=BG$7),ROUND(BG118*($AP$3+#REF!),-1),""))</f>
        <v/>
      </c>
      <c r="BI118" s="503"/>
      <c r="BJ118" s="503" t="str">
        <f>IF($G118="","",IF(AND($G118&gt;=30,$AT$3&lt;=BI$7),ROUND(BI118*($AP$3+#REF!),-1),""))</f>
        <v/>
      </c>
      <c r="BK118" s="502"/>
      <c r="BL118" s="503" t="str">
        <f>IF($G118="","",IF(AND($G118&gt;=30,$AT$3&lt;=BK$7),ROUND(BK118*($AP$3+#REF!),-1),""))</f>
        <v/>
      </c>
      <c r="BM118" s="503"/>
      <c r="BN118" s="503" t="str">
        <f>IF($G118="","",IF(AND($G118&gt;=30,$AT$3&lt;=BM$7),ROUND(BM118*($AP$3+#REF!),-1),""))</f>
        <v/>
      </c>
      <c r="BO118" s="502"/>
      <c r="BP118" s="503" t="str">
        <f>IF($G118="","",IF(AND($G118&gt;=30,$AT$3&lt;=BO$7),ROUND(BO118*($AP$3+#REF!),-1),""))</f>
        <v/>
      </c>
      <c r="BQ118" s="503"/>
      <c r="BR118" s="503" t="str">
        <f>IF($G118="","",IF(AND($G118&gt;=30,$AT$3&lt;=BQ$7),ROUND(BQ118*($AP$3+#REF!),-1),""))</f>
        <v/>
      </c>
      <c r="BS118" s="502"/>
      <c r="BT118" s="503" t="str">
        <f>IF($G118="","",IF(AND($G118&gt;=30,$AT$3&lt;=BS$7),ROUND(BS118*($AP$3+#REF!),-1),""))</f>
        <v/>
      </c>
      <c r="BU118" s="503"/>
      <c r="BV118" s="503" t="str">
        <f>IF($G118="","",IF(AND($G118&gt;=30,$AT$3&lt;=BU$7),ROUND(BU118*($AP$3+#REF!),-1),""))</f>
        <v/>
      </c>
      <c r="BW118" s="502"/>
      <c r="BX118" s="503" t="str">
        <f>IF($G118="","",IF(AND($G118&gt;=30,$AT$3&lt;=BW$7),ROUND(BW118*($AP$3+#REF!),-1),""))</f>
        <v/>
      </c>
      <c r="BY118" s="503"/>
      <c r="BZ118" s="503" t="str">
        <f>IF($G118="","",IF(AND($G118&gt;=30,$AT$3&lt;=BY$7),ROUND(BY118*($AP$3+#REF!),-1),""))</f>
        <v/>
      </c>
      <c r="CA118" s="502"/>
      <c r="CB118" s="503" t="str">
        <f>IF($G118="","",IF(AND($G118&gt;=30,$AT$3&lt;=CA$7),ROUND(CA118*($AP$3+#REF!),-1),""))</f>
        <v/>
      </c>
      <c r="CC118" s="503"/>
      <c r="CD118" s="503" t="str">
        <f>IF($G118="","",IF(AND($G118&gt;=30,$AT$3&lt;=CC$7),ROUND(CC118*($AP$3+#REF!),-1),""))</f>
        <v/>
      </c>
      <c r="CE118" s="502"/>
      <c r="CF118" s="503" t="str">
        <f>IF($G118="","",IF(AND($G118&gt;=30,$AT$3&lt;=CE$7),ROUND(CE118*($AP$3+#REF!),-1),""))</f>
        <v/>
      </c>
      <c r="CG118" s="503"/>
      <c r="CH118" s="503" t="str">
        <f>IF($G118="","",IF(AND($G118&gt;=30,$AT$3&lt;=CG$7),ROUND(CG118*($AP$3+#REF!),-1),""))</f>
        <v/>
      </c>
      <c r="CI118" s="502"/>
      <c r="CJ118" s="503" t="str">
        <f>IF($G118="","",IF(AND($G118&gt;=30,$AT$3&lt;=CI$7),ROUND(CI118*($AP$3+#REF!),-1),""))</f>
        <v/>
      </c>
      <c r="CK118" s="503"/>
      <c r="CL118" s="503" t="str">
        <f>IF($G118="","",IF(AND($G118&gt;=30,$AT$3&lt;=CK$7),ROUND(CK118*($AP$3+#REF!),-1),""))</f>
        <v/>
      </c>
      <c r="CM118" s="502"/>
      <c r="CN118" s="503" t="str">
        <f>IF($G118="","",IF(AND($G118&gt;=30,$AT$3&lt;=CM$7),ROUND(CM118*($AP$3+#REF!),-1),""))</f>
        <v/>
      </c>
      <c r="CO118" s="503"/>
      <c r="CP118" s="503" t="str">
        <f>IF($G118="","",IF(AND($G118&gt;=30,$AT$3&lt;=CO$7),ROUND(CO118*($AP$3+#REF!),-1),""))</f>
        <v/>
      </c>
      <c r="CQ118" s="502"/>
      <c r="CR118" s="503" t="str">
        <f>IF($G118="","",IF(AND($G118&gt;=30,$AT$3&lt;=CQ$7),ROUND(CQ118*($AP$3+#REF!),-1),""))</f>
        <v/>
      </c>
      <c r="CS118" s="503"/>
      <c r="CT118" s="503" t="str">
        <f>IF($G118="","",IF(AND($G118&gt;=30,$AT$3&lt;=CS$7),ROUND(CS118*($AP$3+#REF!),-1),""))</f>
        <v/>
      </c>
      <c r="CU118" s="502"/>
      <c r="CV118" s="503" t="str">
        <f>IF($G118="","",IF(AND($G118&gt;=30,$AT$3&lt;=CU$7),ROUND(CU118*($AP$3+#REF!),-1),""))</f>
        <v/>
      </c>
      <c r="CW118" s="503"/>
      <c r="CX118" s="503" t="str">
        <f>IF($G118="","",IF(AND($G118&gt;=30,$AT$3&lt;=CW$7),ROUND(CW118*($AP$3+#REF!),-1),""))</f>
        <v/>
      </c>
      <c r="CY118" s="502"/>
      <c r="CZ118" s="503" t="str">
        <f>IF($G118="","",IF(AND($G118&gt;=30,$AT$3&lt;=CY$7),ROUND(CY118*($AP$3+#REF!),-1),""))</f>
        <v/>
      </c>
      <c r="DA118" s="503"/>
      <c r="DB118" s="503" t="str">
        <f>IF($G118="","",IF(AND($G118&gt;=30,$AT$3&lt;=DA$7),ROUND(DA118*($AP$3+#REF!),-1),""))</f>
        <v/>
      </c>
      <c r="DC118" s="502"/>
      <c r="DD118" s="503" t="str">
        <f>IF($G118="","",IF(AND($G118&gt;=30,$AT$3&lt;=DC$7),ROUND(DC118*($AP$3+#REF!),-1),""))</f>
        <v/>
      </c>
      <c r="DE118" s="503"/>
      <c r="DF118" s="503" t="str">
        <f>IF($G118="","",IF(AND($G118&gt;=30,$AT$3&lt;=DE$7),ROUND(DE118*($AP$3+#REF!),-1),""))</f>
        <v/>
      </c>
      <c r="DG118" s="503"/>
      <c r="DH118" s="503" t="str">
        <f>IF($G118="","",IF(AND($G118&gt;=30,$AT$3&lt;=DG$7),ROUND(DG118*($AP$3+#REF!),-1),""))</f>
        <v/>
      </c>
      <c r="DI118" s="503"/>
      <c r="DJ118" s="503" t="str">
        <f>IF($G118="","",IF(AND($G118&gt;=30,$AT$3&lt;=DI$7),ROUND(DI118*($AP$3+#REF!),-1),""))</f>
        <v/>
      </c>
      <c r="DK118" s="503"/>
      <c r="DL118" s="503" t="str">
        <f>IF($G118="","",IF(AND($G118&gt;=30,$AT$3&lt;=DK$7),ROUND(DK118*($AP$3+#REF!),-1),""))</f>
        <v/>
      </c>
      <c r="DM118" s="503"/>
      <c r="DN118" s="503" t="str">
        <f>IF($G118="","",IF(AND($G118&gt;=30,$AT$3&lt;=DM$7),ROUND(DM118*($AP$3+#REF!),-1),""))</f>
        <v/>
      </c>
      <c r="DO118" s="503"/>
      <c r="DP118" s="503" t="str">
        <f>IF($G118="","",IF(AND($G118&gt;=30,$AT$3&lt;=DO$7),ROUND(DO118*($AP$3+#REF!),-1),""))</f>
        <v/>
      </c>
      <c r="DQ118" s="503"/>
      <c r="DR118" s="503" t="str">
        <f>IF($G118="","",IF(AND($G118&gt;=30,$AT$3&lt;=DQ$7),ROUND(DQ118*($AP$3+#REF!),-1),""))</f>
        <v/>
      </c>
      <c r="DS118" s="503"/>
      <c r="DT118" s="503" t="str">
        <f>IF($G118="","",IF(AND($G118&gt;=30,$AT$3&lt;=DS$7),ROUND(DS118*($AP$3+#REF!),-1),""))</f>
        <v/>
      </c>
      <c r="DU118" s="503"/>
      <c r="DV118" s="503" t="str">
        <f>IF($G118="","",IF(AND($G118&gt;=30,$AT$3&lt;=DU$7),ROUND(DU118*($AP$3+#REF!),-1),""))</f>
        <v/>
      </c>
      <c r="DW118" s="503"/>
      <c r="DX118" s="503" t="str">
        <f>IF($G118="","",IF(AND($G118&gt;=30,$AT$3&lt;=DW$7),ROUND(DW118*($AP$3+#REF!),-1),""))</f>
        <v/>
      </c>
      <c r="DY118" s="503"/>
      <c r="DZ118" s="503" t="str">
        <f>IF($G118="","",IF(AND($G118&gt;=30,$AT$3&lt;=DY$7),ROUND(DY118*($AP$3+#REF!),-1),""))</f>
        <v/>
      </c>
      <c r="EA118" s="503"/>
      <c r="EB118" s="503" t="str">
        <f>IF($G118="","",IF(AND($G118&gt;=30,$AT$3&lt;=EA$7),ROUND(EA118*($AP$3+#REF!),-1),""))</f>
        <v/>
      </c>
      <c r="EC118" s="504" t="s">
        <v>621</v>
      </c>
      <c r="ED118" s="1126"/>
      <c r="EE118" s="325">
        <v>2</v>
      </c>
    </row>
    <row r="119" spans="1:135" ht="9.75" customHeight="1">
      <c r="A119" s="321" t="str">
        <f t="shared" si="21"/>
        <v/>
      </c>
      <c r="B119" s="567">
        <f>(ii!$D$13*12+V119)+1</f>
        <v>13</v>
      </c>
      <c r="C119" s="337">
        <f t="shared" si="30"/>
        <v>45747</v>
      </c>
      <c r="D119" s="484">
        <f t="shared" si="25"/>
        <v>2025</v>
      </c>
      <c r="E119" s="484">
        <f t="shared" si="26"/>
        <v>0.25</v>
      </c>
      <c r="F119" s="484">
        <f t="shared" si="27"/>
        <v>2025.25</v>
      </c>
      <c r="G119" s="485" t="str">
        <f>IF(OR(C119&lt;$I$2,C119&gt;$J$3),"",(ii!$D$13*12+V119+1)/12)</f>
        <v/>
      </c>
      <c r="H119" s="486"/>
      <c r="I119" s="486"/>
      <c r="J119" s="487"/>
      <c r="K119" s="488"/>
      <c r="L119" s="548"/>
      <c r="M119" s="489" t="str">
        <f t="shared" si="32"/>
        <v/>
      </c>
      <c r="N119" s="490" t="s">
        <v>621</v>
      </c>
      <c r="O119" s="490" t="str">
        <f t="shared" si="28"/>
        <v/>
      </c>
      <c r="P119" s="491"/>
      <c r="Q119" s="491"/>
      <c r="R119" s="491" t="str">
        <f t="shared" si="29"/>
        <v/>
      </c>
      <c r="S119" s="528" t="str">
        <f t="shared" si="24"/>
        <v/>
      </c>
      <c r="T119" s="528" t="str">
        <f t="shared" si="23"/>
        <v/>
      </c>
      <c r="U119" s="493" t="str">
        <f>IF(H119="","",#REF!*12+#REF!+#REF!*12+#REF!)</f>
        <v/>
      </c>
      <c r="V119" s="338">
        <f>IF(ii!$J$3&gt;gg!C119,"",IF(AND((YEAR(C119)=YEAR($I$2)),MONTH(C119)=MONTH($I$2)),ii!$B$14*12+ii!$C$14+ii!$B$15*12+ii!$C$15-1,V118+1))</f>
        <v>12</v>
      </c>
      <c r="W119" s="339">
        <f t="shared" si="31"/>
        <v>1</v>
      </c>
      <c r="X119" s="494" t="s">
        <v>621</v>
      </c>
      <c r="Y119" s="495" t="s">
        <v>621</v>
      </c>
      <c r="Z119" s="496"/>
      <c r="AA119" s="497"/>
      <c r="AB119" s="498" t="e">
        <f t="shared" si="35"/>
        <v>#VALUE!</v>
      </c>
      <c r="AC119" s="484" t="str">
        <f t="shared" si="33"/>
        <v/>
      </c>
      <c r="AD119" s="495" t="str">
        <f t="shared" si="34"/>
        <v/>
      </c>
      <c r="AE119" s="499" t="s">
        <v>621</v>
      </c>
      <c r="AF119" s="500" t="s">
        <v>621</v>
      </c>
      <c r="AG119" s="556" t="s">
        <v>621</v>
      </c>
      <c r="AH119" s="564" t="str">
        <f>IF($G119="","",IF(AND($G119&gt;=30,$AT$3&lt;=AG$7),ROUND(AG119*($AP$3+#REF!),-1),""))</f>
        <v/>
      </c>
      <c r="AI119" s="506" t="s">
        <v>621</v>
      </c>
      <c r="AJ119" s="564" t="str">
        <f>IF($G119="","",IF(AND($G119&gt;=30,$AT$3&lt;=AI$7),ROUND(AI119*($AP$3+#REF!),-1),""))</f>
        <v/>
      </c>
      <c r="AK119" s="506" t="s">
        <v>621</v>
      </c>
      <c r="AL119" s="564" t="str">
        <f>IF($G119="","",IF(AND($G119&gt;=30,$AT$3&lt;=AK$7),ROUND(AK119*($AP$3+#REF!),-1),""))</f>
        <v/>
      </c>
      <c r="AM119" s="506" t="s">
        <v>621</v>
      </c>
      <c r="AN119" s="564" t="str">
        <f>IF($G119="","",IF(AND($G119&gt;=30,$AT$3&lt;=AM$7),ROUND(AM119*($AP$3+#REF!),-1),""))</f>
        <v/>
      </c>
      <c r="AO119" s="503" t="e">
        <v>#REF!</v>
      </c>
      <c r="AP119" s="564" t="str">
        <f>IF($G119="","",IF(AND($G119&gt;=30,$AT$3&lt;=AO$7),ROUND(AO119*($AP$3+#REF!),-1),""))</f>
        <v/>
      </c>
      <c r="AQ119" s="503" t="s">
        <v>621</v>
      </c>
      <c r="AR119" s="564" t="str">
        <f>IF($G119="","",IF(AND($G119&gt;=30,$AT$3&lt;=AQ$7),ROUND(AQ119*($AP$3+#REF!),-1),""))</f>
        <v/>
      </c>
      <c r="AS119" s="503" t="s">
        <v>621</v>
      </c>
      <c r="AT119" s="564" t="str">
        <f>IF($G119="","",IF(AND($G119&gt;=30,$AT$3&lt;=AS$7),ROUND(AS119*($AP$3+#REF!),-1),""))</f>
        <v/>
      </c>
      <c r="AU119" s="503" t="s">
        <v>621</v>
      </c>
      <c r="AV119" s="564" t="str">
        <f>IF($G119="","",IF(AND($G119&gt;=30,$AT$3&lt;=AU$7),ROUND(AU119*($AP$3+#REF!),-1),""))</f>
        <v/>
      </c>
      <c r="AW119" s="503" t="s">
        <v>621</v>
      </c>
      <c r="AX119" s="564" t="str">
        <f>IF($G119="","",IF(AND($G119&gt;=30,$AT$3&lt;=AW$7),ROUND(AW119*($AP$3+#REF!),-1),""))</f>
        <v/>
      </c>
      <c r="AY119" s="517" t="e">
        <v>#REF!</v>
      </c>
      <c r="AZ119" s="564" t="str">
        <f>IF($G119="","",IF(AND($G119&gt;=30,$AT$3&lt;=AY$7),ROUND(AY119*($AP$3+#REF!),-1),""))</f>
        <v/>
      </c>
      <c r="BA119" s="503"/>
      <c r="BB119" s="564" t="str">
        <f>IF($G119="","",IF(AND($G119&gt;=30,$AT$3&lt;=BA$7),ROUND(BA119*($AP$3+#REF!),-1),""))</f>
        <v/>
      </c>
      <c r="BC119" s="502"/>
      <c r="BD119" s="564" t="str">
        <f>IF($G119="","",IF(AND($G119&gt;=30,$AT$3&lt;=BC$7),ROUND(BC119*($AP$3+#REF!),-1),""))</f>
        <v/>
      </c>
      <c r="BE119" s="503"/>
      <c r="BF119" s="564" t="str">
        <f>IF($G119="","",IF(AND($G119&gt;=30,$AT$3&lt;=BE$7),ROUND(BE119*($AP$3+#REF!),-1),""))</f>
        <v/>
      </c>
      <c r="BG119" s="502"/>
      <c r="BH119" s="564" t="str">
        <f>IF($G119="","",IF(AND($G119&gt;=30,$AT$3&lt;=BG$7),ROUND(BG119*($AP$3+#REF!),-1),""))</f>
        <v/>
      </c>
      <c r="BI119" s="503"/>
      <c r="BJ119" s="564" t="str">
        <f>IF($G119="","",IF(AND($G119&gt;=30,$AT$3&lt;=BI$7),ROUND(BI119*($AP$3+#REF!),-1),""))</f>
        <v/>
      </c>
      <c r="BK119" s="502"/>
      <c r="BL119" s="564" t="str">
        <f>IF($G119="","",IF(AND($G119&gt;=30,$AT$3&lt;=BK$7),ROUND(BK119*($AP$3+#REF!),-1),""))</f>
        <v/>
      </c>
      <c r="BM119" s="503"/>
      <c r="BN119" s="564" t="str">
        <f>IF($G119="","",IF(AND($G119&gt;=30,$AT$3&lt;=BM$7),ROUND(BM119*($AP$3+#REF!),-1),""))</f>
        <v/>
      </c>
      <c r="BO119" s="502"/>
      <c r="BP119" s="564" t="str">
        <f>IF($G119="","",IF(AND($G119&gt;=30,$AT$3&lt;=BO$7),ROUND(BO119*($AP$3+#REF!),-1),""))</f>
        <v/>
      </c>
      <c r="BQ119" s="503"/>
      <c r="BR119" s="564" t="str">
        <f>IF($G119="","",IF(AND($G119&gt;=30,$AT$3&lt;=BQ$7),ROUND(BQ119*($AP$3+#REF!),-1),""))</f>
        <v/>
      </c>
      <c r="BS119" s="502"/>
      <c r="BT119" s="564" t="str">
        <f>IF($G119="","",IF(AND($G119&gt;=30,$AT$3&lt;=BS$7),ROUND(BS119*($AP$3+#REF!),-1),""))</f>
        <v/>
      </c>
      <c r="BU119" s="503"/>
      <c r="BV119" s="564" t="str">
        <f>IF($G119="","",IF(AND($G119&gt;=30,$AT$3&lt;=BU$7),ROUND(BU119*($AP$3+#REF!),-1),""))</f>
        <v/>
      </c>
      <c r="BW119" s="502"/>
      <c r="BX119" s="564" t="str">
        <f>IF($G119="","",IF(AND($G119&gt;=30,$AT$3&lt;=BW$7),ROUND(BW119*($AP$3+#REF!),-1),""))</f>
        <v/>
      </c>
      <c r="BY119" s="503"/>
      <c r="BZ119" s="564" t="str">
        <f>IF($G119="","",IF(AND($G119&gt;=30,$AT$3&lt;=BY$7),ROUND(BY119*($AP$3+#REF!),-1),""))</f>
        <v/>
      </c>
      <c r="CA119" s="502"/>
      <c r="CB119" s="564" t="str">
        <f>IF($G119="","",IF(AND($G119&gt;=30,$AT$3&lt;=CA$7),ROUND(CA119*($AP$3+#REF!),-1),""))</f>
        <v/>
      </c>
      <c r="CC119" s="503"/>
      <c r="CD119" s="564" t="str">
        <f>IF($G119="","",IF(AND($G119&gt;=30,$AT$3&lt;=CC$7),ROUND(CC119*($AP$3+#REF!),-1),""))</f>
        <v/>
      </c>
      <c r="CE119" s="502"/>
      <c r="CF119" s="564" t="str">
        <f>IF($G119="","",IF(AND($G119&gt;=30,$AT$3&lt;=CE$7),ROUND(CE119*($AP$3+#REF!),-1),""))</f>
        <v/>
      </c>
      <c r="CG119" s="503"/>
      <c r="CH119" s="564" t="str">
        <f>IF($G119="","",IF(AND($G119&gt;=30,$AT$3&lt;=CG$7),ROUND(CG119*($AP$3+#REF!),-1),""))</f>
        <v/>
      </c>
      <c r="CI119" s="502"/>
      <c r="CJ119" s="564" t="str">
        <f>IF($G119="","",IF(AND($G119&gt;=30,$AT$3&lt;=CI$7),ROUND(CI119*($AP$3+#REF!),-1),""))</f>
        <v/>
      </c>
      <c r="CK119" s="503"/>
      <c r="CL119" s="564" t="str">
        <f>IF($G119="","",IF(AND($G119&gt;=30,$AT$3&lt;=CK$7),ROUND(CK119*($AP$3+#REF!),-1),""))</f>
        <v/>
      </c>
      <c r="CM119" s="502"/>
      <c r="CN119" s="564" t="str">
        <f>IF($G119="","",IF(AND($G119&gt;=30,$AT$3&lt;=CM$7),ROUND(CM119*($AP$3+#REF!),-1),""))</f>
        <v/>
      </c>
      <c r="CO119" s="503"/>
      <c r="CP119" s="564" t="str">
        <f>IF($G119="","",IF(AND($G119&gt;=30,$AT$3&lt;=CO$7),ROUND(CO119*($AP$3+#REF!),-1),""))</f>
        <v/>
      </c>
      <c r="CQ119" s="502"/>
      <c r="CR119" s="564" t="str">
        <f>IF($G119="","",IF(AND($G119&gt;=30,$AT$3&lt;=CQ$7),ROUND(CQ119*($AP$3+#REF!),-1),""))</f>
        <v/>
      </c>
      <c r="CS119" s="503"/>
      <c r="CT119" s="564" t="str">
        <f>IF($G119="","",IF(AND($G119&gt;=30,$AT$3&lt;=CS$7),ROUND(CS119*($AP$3+#REF!),-1),""))</f>
        <v/>
      </c>
      <c r="CU119" s="502"/>
      <c r="CV119" s="564" t="str">
        <f>IF($G119="","",IF(AND($G119&gt;=30,$AT$3&lt;=CU$7),ROUND(CU119*($AP$3+#REF!),-1),""))</f>
        <v/>
      </c>
      <c r="CW119" s="503"/>
      <c r="CX119" s="564" t="str">
        <f>IF($G119="","",IF(AND($G119&gt;=30,$AT$3&lt;=CW$7),ROUND(CW119*($AP$3+#REF!),-1),""))</f>
        <v/>
      </c>
      <c r="CY119" s="502"/>
      <c r="CZ119" s="564" t="str">
        <f>IF($G119="","",IF(AND($G119&gt;=30,$AT$3&lt;=CY$7),ROUND(CY119*($AP$3+#REF!),-1),""))</f>
        <v/>
      </c>
      <c r="DA119" s="503"/>
      <c r="DB119" s="564" t="str">
        <f>IF($G119="","",IF(AND($G119&gt;=30,$AT$3&lt;=DA$7),ROUND(DA119*($AP$3+#REF!),-1),""))</f>
        <v/>
      </c>
      <c r="DC119" s="502"/>
      <c r="DD119" s="564" t="str">
        <f>IF($G119="","",IF(AND($G119&gt;=30,$AT$3&lt;=DC$7),ROUND(DC119*($AP$3+#REF!),-1),""))</f>
        <v/>
      </c>
      <c r="DE119" s="503"/>
      <c r="DF119" s="564" t="str">
        <f>IF($G119="","",IF(AND($G119&gt;=30,$AT$3&lt;=DE$7),ROUND(DE119*($AP$3+#REF!),-1),""))</f>
        <v/>
      </c>
      <c r="DG119" s="503"/>
      <c r="DH119" s="564" t="str">
        <f>IF($G119="","",IF(AND($G119&gt;=30,$AT$3&lt;=DG$7),ROUND(DG119*($AP$3+#REF!),-1),""))</f>
        <v/>
      </c>
      <c r="DI119" s="503"/>
      <c r="DJ119" s="564" t="str">
        <f>IF($G119="","",IF(AND($G119&gt;=30,$AT$3&lt;=DI$7),ROUND(DI119*($AP$3+#REF!),-1),""))</f>
        <v/>
      </c>
      <c r="DK119" s="503"/>
      <c r="DL119" s="564" t="str">
        <f>IF($G119="","",IF(AND($G119&gt;=30,$AT$3&lt;=DK$7),ROUND(DK119*($AP$3+#REF!),-1),""))</f>
        <v/>
      </c>
      <c r="DM119" s="503"/>
      <c r="DN119" s="564" t="str">
        <f>IF($G119="","",IF(AND($G119&gt;=30,$AT$3&lt;=DM$7),ROUND(DM119*($AP$3+#REF!),-1),""))</f>
        <v/>
      </c>
      <c r="DO119" s="503"/>
      <c r="DP119" s="564" t="str">
        <f>IF($G119="","",IF(AND($G119&gt;=30,$AT$3&lt;=DO$7),ROUND(DO119*($AP$3+#REF!),-1),""))</f>
        <v/>
      </c>
      <c r="DQ119" s="503"/>
      <c r="DR119" s="564" t="str">
        <f>IF($G119="","",IF(AND($G119&gt;=30,$AT$3&lt;=DQ$7),ROUND(DQ119*($AP$3+#REF!),-1),""))</f>
        <v/>
      </c>
      <c r="DS119" s="503"/>
      <c r="DT119" s="564" t="str">
        <f>IF($G119="","",IF(AND($G119&gt;=30,$AT$3&lt;=DS$7),ROUND(DS119*($AP$3+#REF!),-1),""))</f>
        <v/>
      </c>
      <c r="DU119" s="503"/>
      <c r="DV119" s="564" t="str">
        <f>IF($G119="","",IF(AND($G119&gt;=30,$AT$3&lt;=DU$7),ROUND(DU119*($AP$3+#REF!),-1),""))</f>
        <v/>
      </c>
      <c r="DW119" s="503"/>
      <c r="DX119" s="564" t="str">
        <f>IF($G119="","",IF(AND($G119&gt;=30,$AT$3&lt;=DW$7),ROUND(DW119*($AP$3+#REF!),-1),""))</f>
        <v/>
      </c>
      <c r="DY119" s="503"/>
      <c r="DZ119" s="564" t="str">
        <f>IF($G119="","",IF(AND($G119&gt;=30,$AT$3&lt;=DY$7),ROUND(DY119*($AP$3+#REF!),-1),""))</f>
        <v/>
      </c>
      <c r="EA119" s="503"/>
      <c r="EB119" s="564" t="str">
        <f>IF($G119="","",IF(AND($G119&gt;=30,$AT$3&lt;=EA$7),ROUND(EA119*($AP$3+#REF!),-1),""))</f>
        <v/>
      </c>
      <c r="EC119" s="504" t="s">
        <v>621</v>
      </c>
      <c r="ED119" s="1126"/>
      <c r="EE119" s="325">
        <v>3</v>
      </c>
    </row>
    <row r="120" spans="1:135" ht="9.75" customHeight="1">
      <c r="A120" s="321" t="str">
        <f t="shared" si="21"/>
        <v/>
      </c>
      <c r="B120" s="567">
        <f>(ii!$D$13*12+V120)+1</f>
        <v>14</v>
      </c>
      <c r="C120" s="337">
        <f t="shared" si="30"/>
        <v>45777</v>
      </c>
      <c r="D120" s="484">
        <f t="shared" si="25"/>
        <v>2025</v>
      </c>
      <c r="E120" s="484">
        <f t="shared" si="26"/>
        <v>0.33333333333333331</v>
      </c>
      <c r="F120" s="484">
        <f t="shared" si="27"/>
        <v>2025.3333333333333</v>
      </c>
      <c r="G120" s="485" t="str">
        <f>IF(OR(C120&lt;$I$2,C120&gt;$J$3),"",(ii!$D$13*12+V120+1)/12)</f>
        <v/>
      </c>
      <c r="H120" s="486"/>
      <c r="I120" s="486"/>
      <c r="J120" s="487"/>
      <c r="K120" s="488"/>
      <c r="L120" s="548"/>
      <c r="M120" s="489" t="str">
        <f t="shared" si="32"/>
        <v/>
      </c>
      <c r="N120" s="490" t="s">
        <v>621</v>
      </c>
      <c r="O120" s="490" t="str">
        <f t="shared" si="28"/>
        <v/>
      </c>
      <c r="P120" s="491"/>
      <c r="Q120" s="491"/>
      <c r="R120" s="491" t="str">
        <f t="shared" si="29"/>
        <v/>
      </c>
      <c r="S120" s="528" t="str">
        <f t="shared" si="24"/>
        <v/>
      </c>
      <c r="T120" s="528" t="str">
        <f t="shared" si="23"/>
        <v/>
      </c>
      <c r="U120" s="493" t="str">
        <f>IF(H120="","",#REF!*12+#REF!+#REF!*12+#REF!)</f>
        <v/>
      </c>
      <c r="V120" s="338">
        <f>IF(ii!$J$3&gt;gg!C120,"",IF(AND((YEAR(C120)=YEAR($I$2)),MONTH(C120)=MONTH($I$2)),ii!$B$14*12+ii!$C$14+ii!$B$15*12+ii!$C$15-1,V119+1))</f>
        <v>13</v>
      </c>
      <c r="W120" s="339">
        <f t="shared" si="31"/>
        <v>1.0833333333333333</v>
      </c>
      <c r="X120" s="494" t="s">
        <v>621</v>
      </c>
      <c r="Y120" s="495" t="s">
        <v>621</v>
      </c>
      <c r="Z120" s="496"/>
      <c r="AA120" s="497"/>
      <c r="AB120" s="498" t="e">
        <f t="shared" si="35"/>
        <v>#VALUE!</v>
      </c>
      <c r="AC120" s="484" t="str">
        <f t="shared" si="33"/>
        <v/>
      </c>
      <c r="AD120" s="495" t="str">
        <f t="shared" si="34"/>
        <v/>
      </c>
      <c r="AE120" s="499" t="s">
        <v>621</v>
      </c>
      <c r="AF120" s="500" t="s">
        <v>621</v>
      </c>
      <c r="AG120" s="556" t="s">
        <v>621</v>
      </c>
      <c r="AH120" s="503" t="str">
        <f>IF($G120="","",IF(AND($G120&gt;=30,$AT$3&lt;=AG$7),ROUND(AG120*($AP$3+#REF!),-1),""))</f>
        <v/>
      </c>
      <c r="AI120" s="506" t="s">
        <v>621</v>
      </c>
      <c r="AJ120" s="503" t="str">
        <f>IF($G120="","",IF(AND($G120&gt;=30,$AT$3&lt;=AI$7),ROUND(AI120*($AP$3+#REF!),-1),""))</f>
        <v/>
      </c>
      <c r="AK120" s="506" t="s">
        <v>621</v>
      </c>
      <c r="AL120" s="503" t="str">
        <f>IF($G120="","",IF(AND($G120&gt;=30,$AT$3&lt;=AK$7),ROUND(AK120*($AP$3+#REF!),-1),""))</f>
        <v/>
      </c>
      <c r="AM120" s="506" t="s">
        <v>621</v>
      </c>
      <c r="AN120" s="503" t="str">
        <f>IF($G120="","",IF(AND($G120&gt;=30,$AT$3&lt;=AM$7),ROUND(AM120*($AP$3+#REF!),-1),""))</f>
        <v/>
      </c>
      <c r="AO120" s="503" t="e">
        <v>#REF!</v>
      </c>
      <c r="AP120" s="503" t="str">
        <f>IF($G120="","",IF(AND($G120&gt;=30,$AT$3&lt;=AO$7),ROUND(AO120*($AP$3+#REF!),-1),""))</f>
        <v/>
      </c>
      <c r="AQ120" s="503" t="s">
        <v>621</v>
      </c>
      <c r="AR120" s="503" t="str">
        <f>IF($G120="","",IF(AND($G120&gt;=30,$AT$3&lt;=AQ$7),ROUND(AQ120*($AP$3+#REF!),-1),""))</f>
        <v/>
      </c>
      <c r="AS120" s="503" t="s">
        <v>621</v>
      </c>
      <c r="AT120" s="503" t="str">
        <f>IF($G120="","",IF(AND($G120&gt;=30,$AT$3&lt;=AS$7),ROUND(AS120*($AP$3+#REF!),-1),""))</f>
        <v/>
      </c>
      <c r="AU120" s="503" t="s">
        <v>621</v>
      </c>
      <c r="AV120" s="503" t="str">
        <f>IF($G120="","",IF(AND($G120&gt;=30,$AT$3&lt;=AU$7),ROUND(AU120*($AP$3+#REF!),-1),""))</f>
        <v/>
      </c>
      <c r="AW120" s="503" t="s">
        <v>621</v>
      </c>
      <c r="AX120" s="503" t="str">
        <f>IF($G120="","",IF(AND($G120&gt;=30,$AT$3&lt;=AW$7),ROUND(AW120*($AP$3+#REF!),-1),""))</f>
        <v/>
      </c>
      <c r="AY120" s="517" t="e">
        <v>#REF!</v>
      </c>
      <c r="AZ120" s="503" t="str">
        <f>IF($G120="","",IF(AND($G120&gt;=30,$AT$3&lt;=AY$7),ROUND(AY120*($AP$3+#REF!),-1),""))</f>
        <v/>
      </c>
      <c r="BA120" s="503"/>
      <c r="BB120" s="503" t="str">
        <f>IF($G120="","",IF(AND($G120&gt;=30,$AT$3&lt;=BA$7),ROUND(BA120*($AP$3+#REF!),-1),""))</f>
        <v/>
      </c>
      <c r="BC120" s="502"/>
      <c r="BD120" s="503" t="str">
        <f>IF($G120="","",IF(AND($G120&gt;=30,$AT$3&lt;=BC$7),ROUND(BC120*($AP$3+#REF!),-1),""))</f>
        <v/>
      </c>
      <c r="BE120" s="503"/>
      <c r="BF120" s="503" t="str">
        <f>IF($G120="","",IF(AND($G120&gt;=30,$AT$3&lt;=BE$7),ROUND(BE120*($AP$3+#REF!),-1),""))</f>
        <v/>
      </c>
      <c r="BG120" s="502"/>
      <c r="BH120" s="503" t="str">
        <f>IF($G120="","",IF(AND($G120&gt;=30,$AT$3&lt;=BG$7),ROUND(BG120*($AP$3+#REF!),-1),""))</f>
        <v/>
      </c>
      <c r="BI120" s="503"/>
      <c r="BJ120" s="503" t="str">
        <f>IF($G120="","",IF(AND($G120&gt;=30,$AT$3&lt;=BI$7),ROUND(BI120*($AP$3+#REF!),-1),""))</f>
        <v/>
      </c>
      <c r="BK120" s="502"/>
      <c r="BL120" s="503" t="str">
        <f>IF($G120="","",IF(AND($G120&gt;=30,$AT$3&lt;=BK$7),ROUND(BK120*($AP$3+#REF!),-1),""))</f>
        <v/>
      </c>
      <c r="BM120" s="503"/>
      <c r="BN120" s="503" t="str">
        <f>IF($G120="","",IF(AND($G120&gt;=30,$AT$3&lt;=BM$7),ROUND(BM120*($AP$3+#REF!),-1),""))</f>
        <v/>
      </c>
      <c r="BO120" s="502"/>
      <c r="BP120" s="503" t="str">
        <f>IF($G120="","",IF(AND($G120&gt;=30,$AT$3&lt;=BO$7),ROUND(BO120*($AP$3+#REF!),-1),""))</f>
        <v/>
      </c>
      <c r="BQ120" s="503"/>
      <c r="BR120" s="503" t="str">
        <f>IF($G120="","",IF(AND($G120&gt;=30,$AT$3&lt;=BQ$7),ROUND(BQ120*($AP$3+#REF!),-1),""))</f>
        <v/>
      </c>
      <c r="BS120" s="502"/>
      <c r="BT120" s="503" t="str">
        <f>IF($G120="","",IF(AND($G120&gt;=30,$AT$3&lt;=BS$7),ROUND(BS120*($AP$3+#REF!),-1),""))</f>
        <v/>
      </c>
      <c r="BU120" s="503"/>
      <c r="BV120" s="503" t="str">
        <f>IF($G120="","",IF(AND($G120&gt;=30,$AT$3&lt;=BU$7),ROUND(BU120*($AP$3+#REF!),-1),""))</f>
        <v/>
      </c>
      <c r="BW120" s="502"/>
      <c r="BX120" s="503" t="str">
        <f>IF($G120="","",IF(AND($G120&gt;=30,$AT$3&lt;=BW$7),ROUND(BW120*($AP$3+#REF!),-1),""))</f>
        <v/>
      </c>
      <c r="BY120" s="503"/>
      <c r="BZ120" s="503" t="str">
        <f>IF($G120="","",IF(AND($G120&gt;=30,$AT$3&lt;=BY$7),ROUND(BY120*($AP$3+#REF!),-1),""))</f>
        <v/>
      </c>
      <c r="CA120" s="502"/>
      <c r="CB120" s="503" t="str">
        <f>IF($G120="","",IF(AND($G120&gt;=30,$AT$3&lt;=CA$7),ROUND(CA120*($AP$3+#REF!),-1),""))</f>
        <v/>
      </c>
      <c r="CC120" s="503"/>
      <c r="CD120" s="503" t="str">
        <f>IF($G120="","",IF(AND($G120&gt;=30,$AT$3&lt;=CC$7),ROUND(CC120*($AP$3+#REF!),-1),""))</f>
        <v/>
      </c>
      <c r="CE120" s="502"/>
      <c r="CF120" s="503" t="str">
        <f>IF($G120="","",IF(AND($G120&gt;=30,$AT$3&lt;=CE$7),ROUND(CE120*($AP$3+#REF!),-1),""))</f>
        <v/>
      </c>
      <c r="CG120" s="503"/>
      <c r="CH120" s="503" t="str">
        <f>IF($G120="","",IF(AND($G120&gt;=30,$AT$3&lt;=CG$7),ROUND(CG120*($AP$3+#REF!),-1),""))</f>
        <v/>
      </c>
      <c r="CI120" s="502"/>
      <c r="CJ120" s="503" t="str">
        <f>IF($G120="","",IF(AND($G120&gt;=30,$AT$3&lt;=CI$7),ROUND(CI120*($AP$3+#REF!),-1),""))</f>
        <v/>
      </c>
      <c r="CK120" s="503"/>
      <c r="CL120" s="503" t="str">
        <f>IF($G120="","",IF(AND($G120&gt;=30,$AT$3&lt;=CK$7),ROUND(CK120*($AP$3+#REF!),-1),""))</f>
        <v/>
      </c>
      <c r="CM120" s="502"/>
      <c r="CN120" s="503" t="str">
        <f>IF($G120="","",IF(AND($G120&gt;=30,$AT$3&lt;=CM$7),ROUND(CM120*($AP$3+#REF!),-1),""))</f>
        <v/>
      </c>
      <c r="CO120" s="503"/>
      <c r="CP120" s="503" t="str">
        <f>IF($G120="","",IF(AND($G120&gt;=30,$AT$3&lt;=CO$7),ROUND(CO120*($AP$3+#REF!),-1),""))</f>
        <v/>
      </c>
      <c r="CQ120" s="502"/>
      <c r="CR120" s="503" t="str">
        <f>IF($G120="","",IF(AND($G120&gt;=30,$AT$3&lt;=CQ$7),ROUND(CQ120*($AP$3+#REF!),-1),""))</f>
        <v/>
      </c>
      <c r="CS120" s="503"/>
      <c r="CT120" s="503" t="str">
        <f>IF($G120="","",IF(AND($G120&gt;=30,$AT$3&lt;=CS$7),ROUND(CS120*($AP$3+#REF!),-1),""))</f>
        <v/>
      </c>
      <c r="CU120" s="502"/>
      <c r="CV120" s="503" t="str">
        <f>IF($G120="","",IF(AND($G120&gt;=30,$AT$3&lt;=CU$7),ROUND(CU120*($AP$3+#REF!),-1),""))</f>
        <v/>
      </c>
      <c r="CW120" s="503"/>
      <c r="CX120" s="503" t="str">
        <f>IF($G120="","",IF(AND($G120&gt;=30,$AT$3&lt;=CW$7),ROUND(CW120*($AP$3+#REF!),-1),""))</f>
        <v/>
      </c>
      <c r="CY120" s="502"/>
      <c r="CZ120" s="503" t="str">
        <f>IF($G120="","",IF(AND($G120&gt;=30,$AT$3&lt;=CY$7),ROUND(CY120*($AP$3+#REF!),-1),""))</f>
        <v/>
      </c>
      <c r="DA120" s="503"/>
      <c r="DB120" s="503" t="str">
        <f>IF($G120="","",IF(AND($G120&gt;=30,$AT$3&lt;=DA$7),ROUND(DA120*($AP$3+#REF!),-1),""))</f>
        <v/>
      </c>
      <c r="DC120" s="502"/>
      <c r="DD120" s="503" t="str">
        <f>IF($G120="","",IF(AND($G120&gt;=30,$AT$3&lt;=DC$7),ROUND(DC120*($AP$3+#REF!),-1),""))</f>
        <v/>
      </c>
      <c r="DE120" s="503"/>
      <c r="DF120" s="503" t="str">
        <f>IF($G120="","",IF(AND($G120&gt;=30,$AT$3&lt;=DE$7),ROUND(DE120*($AP$3+#REF!),-1),""))</f>
        <v/>
      </c>
      <c r="DG120" s="503"/>
      <c r="DH120" s="503" t="str">
        <f>IF($G120="","",IF(AND($G120&gt;=30,$AT$3&lt;=DG$7),ROUND(DG120*($AP$3+#REF!),-1),""))</f>
        <v/>
      </c>
      <c r="DI120" s="503"/>
      <c r="DJ120" s="503" t="str">
        <f>IF($G120="","",IF(AND($G120&gt;=30,$AT$3&lt;=DI$7),ROUND(DI120*($AP$3+#REF!),-1),""))</f>
        <v/>
      </c>
      <c r="DK120" s="503"/>
      <c r="DL120" s="503" t="str">
        <f>IF($G120="","",IF(AND($G120&gt;=30,$AT$3&lt;=DK$7),ROUND(DK120*($AP$3+#REF!),-1),""))</f>
        <v/>
      </c>
      <c r="DM120" s="503"/>
      <c r="DN120" s="503" t="str">
        <f>IF($G120="","",IF(AND($G120&gt;=30,$AT$3&lt;=DM$7),ROUND(DM120*($AP$3+#REF!),-1),""))</f>
        <v/>
      </c>
      <c r="DO120" s="503"/>
      <c r="DP120" s="503" t="str">
        <f>IF($G120="","",IF(AND($G120&gt;=30,$AT$3&lt;=DO$7),ROUND(DO120*($AP$3+#REF!),-1),""))</f>
        <v/>
      </c>
      <c r="DQ120" s="503"/>
      <c r="DR120" s="503" t="str">
        <f>IF($G120="","",IF(AND($G120&gt;=30,$AT$3&lt;=DQ$7),ROUND(DQ120*($AP$3+#REF!),-1),""))</f>
        <v/>
      </c>
      <c r="DS120" s="503"/>
      <c r="DT120" s="503" t="str">
        <f>IF($G120="","",IF(AND($G120&gt;=30,$AT$3&lt;=DS$7),ROUND(DS120*($AP$3+#REF!),-1),""))</f>
        <v/>
      </c>
      <c r="DU120" s="503"/>
      <c r="DV120" s="503" t="str">
        <f>IF($G120="","",IF(AND($G120&gt;=30,$AT$3&lt;=DU$7),ROUND(DU120*($AP$3+#REF!),-1),""))</f>
        <v/>
      </c>
      <c r="DW120" s="503"/>
      <c r="DX120" s="503" t="str">
        <f>IF($G120="","",IF(AND($G120&gt;=30,$AT$3&lt;=DW$7),ROUND(DW120*($AP$3+#REF!),-1),""))</f>
        <v/>
      </c>
      <c r="DY120" s="503"/>
      <c r="DZ120" s="503" t="str">
        <f>IF($G120="","",IF(AND($G120&gt;=30,$AT$3&lt;=DY$7),ROUND(DY120*($AP$3+#REF!),-1),""))</f>
        <v/>
      </c>
      <c r="EA120" s="503"/>
      <c r="EB120" s="503" t="str">
        <f>IF($G120="","",IF(AND($G120&gt;=30,$AT$3&lt;=EA$7),ROUND(EA120*($AP$3+#REF!),-1),""))</f>
        <v/>
      </c>
      <c r="EC120" s="504" t="s">
        <v>621</v>
      </c>
      <c r="ED120" s="1126"/>
      <c r="EE120" s="325">
        <v>4</v>
      </c>
    </row>
    <row r="121" spans="1:135" ht="9.75" customHeight="1">
      <c r="A121" s="321" t="str">
        <f t="shared" si="21"/>
        <v/>
      </c>
      <c r="B121" s="567">
        <f>(ii!$D$13*12+V121)+1</f>
        <v>15</v>
      </c>
      <c r="C121" s="337">
        <f t="shared" si="30"/>
        <v>45808</v>
      </c>
      <c r="D121" s="484">
        <f t="shared" si="25"/>
        <v>2025</v>
      </c>
      <c r="E121" s="484">
        <f t="shared" si="26"/>
        <v>0.41666666666666669</v>
      </c>
      <c r="F121" s="484">
        <f t="shared" si="27"/>
        <v>2025.4166666666667</v>
      </c>
      <c r="G121" s="485" t="str">
        <f>IF(OR(C121&lt;$I$2,C121&gt;$J$3),"",(ii!$D$13*12+V121+1)/12)</f>
        <v/>
      </c>
      <c r="H121" s="486"/>
      <c r="I121" s="486"/>
      <c r="J121" s="507"/>
      <c r="K121" s="508"/>
      <c r="L121" s="548"/>
      <c r="M121" s="520" t="str">
        <f t="shared" si="32"/>
        <v/>
      </c>
      <c r="N121" s="490" t="s">
        <v>621</v>
      </c>
      <c r="O121" s="490" t="str">
        <f t="shared" si="28"/>
        <v/>
      </c>
      <c r="P121" s="507"/>
      <c r="Q121" s="507"/>
      <c r="R121" s="509" t="str">
        <f t="shared" si="29"/>
        <v/>
      </c>
      <c r="S121" s="550" t="str">
        <f t="shared" si="24"/>
        <v/>
      </c>
      <c r="T121" s="550" t="str">
        <f t="shared" ref="T121:T184" si="36">IF(OR(S121="",S120=""),"",S121-S120)</f>
        <v/>
      </c>
      <c r="U121" s="521" t="str">
        <f>IF(H121="","",#REF!*12+#REF!+#REF!*12+#REF!)</f>
        <v/>
      </c>
      <c r="V121" s="338">
        <f>IF(ii!$J$3&gt;gg!C121,"",IF(AND((YEAR(C121)=YEAR($I$2)),MONTH(C121)=MONTH($I$2)),ii!$B$14*12+ii!$C$14+ii!$B$15*12+ii!$C$15-1,V120+1))</f>
        <v>14</v>
      </c>
      <c r="W121" s="339">
        <f t="shared" si="31"/>
        <v>1.1666666666666667</v>
      </c>
      <c r="X121" s="494" t="s">
        <v>621</v>
      </c>
      <c r="Y121" s="495" t="s">
        <v>621</v>
      </c>
      <c r="Z121" s="496"/>
      <c r="AA121" s="497"/>
      <c r="AB121" s="523" t="e">
        <f t="shared" si="35"/>
        <v>#VALUE!</v>
      </c>
      <c r="AC121" s="551" t="str">
        <f t="shared" si="33"/>
        <v/>
      </c>
      <c r="AD121" s="524" t="str">
        <f t="shared" si="34"/>
        <v/>
      </c>
      <c r="AE121" s="525" t="s">
        <v>621</v>
      </c>
      <c r="AF121" s="500" t="s">
        <v>621</v>
      </c>
      <c r="AG121" s="556" t="s">
        <v>621</v>
      </c>
      <c r="AH121" s="503" t="str">
        <f>IF($G121="","",IF(AND($G121&gt;=30,$AT$3&lt;=AG$7),ROUND(AG121*($AP$3+#REF!),-1),""))</f>
        <v/>
      </c>
      <c r="AI121" s="506" t="s">
        <v>621</v>
      </c>
      <c r="AJ121" s="503" t="str">
        <f>IF($G121="","",IF(AND($G121&gt;=30,$AT$3&lt;=AI$7),ROUND(AI121*($AP$3+#REF!),-1),""))</f>
        <v/>
      </c>
      <c r="AK121" s="506" t="s">
        <v>621</v>
      </c>
      <c r="AL121" s="503" t="str">
        <f>IF($G121="","",IF(AND($G121&gt;=30,$AT$3&lt;=AK$7),ROUND(AK121*($AP$3+#REF!),-1),""))</f>
        <v/>
      </c>
      <c r="AM121" s="506" t="s">
        <v>621</v>
      </c>
      <c r="AN121" s="503" t="str">
        <f>IF($G121="","",IF(AND($G121&gt;=30,$AT$3&lt;=AM$7),ROUND(AM121*($AP$3+#REF!),-1),""))</f>
        <v/>
      </c>
      <c r="AO121" s="503" t="e">
        <v>#REF!</v>
      </c>
      <c r="AP121" s="503" t="str">
        <f>IF($G121="","",IF(AND($G121&gt;=30,$AT$3&lt;=AO$7),ROUND(AO121*($AP$3+#REF!),-1),""))</f>
        <v/>
      </c>
      <c r="AQ121" s="503" t="s">
        <v>621</v>
      </c>
      <c r="AR121" s="503" t="str">
        <f>IF($G121="","",IF(AND($G121&gt;=30,$AT$3&lt;=AQ$7),ROUND(AQ121*($AP$3+#REF!),-1),""))</f>
        <v/>
      </c>
      <c r="AS121" s="503" t="s">
        <v>621</v>
      </c>
      <c r="AT121" s="503" t="str">
        <f>IF($G121="","",IF(AND($G121&gt;=30,$AT$3&lt;=AS$7),ROUND(AS121*($AP$3+#REF!),-1),""))</f>
        <v/>
      </c>
      <c r="AU121" s="503" t="s">
        <v>621</v>
      </c>
      <c r="AV121" s="503" t="str">
        <f>IF($G121="","",IF(AND($G121&gt;=30,$AT$3&lt;=AU$7),ROUND(AU121*($AP$3+#REF!),-1),""))</f>
        <v/>
      </c>
      <c r="AW121" s="503" t="s">
        <v>621</v>
      </c>
      <c r="AX121" s="503" t="str">
        <f>IF($G121="","",IF(AND($G121&gt;=30,$AT$3&lt;=AW$7),ROUND(AW121*($AP$3+#REF!),-1),""))</f>
        <v/>
      </c>
      <c r="AY121" s="517" t="e">
        <v>#REF!</v>
      </c>
      <c r="AZ121" s="503" t="str">
        <f>IF($G121="","",IF(AND($G121&gt;=30,$AT$3&lt;=AY$7),ROUND(AY121*($AP$3+#REF!),-1),""))</f>
        <v/>
      </c>
      <c r="BA121" s="503"/>
      <c r="BB121" s="503" t="str">
        <f>IF($G121="","",IF(AND($G121&gt;=30,$AT$3&lt;=BA$7),ROUND(BA121*($AP$3+#REF!),-1),""))</f>
        <v/>
      </c>
      <c r="BC121" s="502"/>
      <c r="BD121" s="503" t="str">
        <f>IF($G121="","",IF(AND($G121&gt;=30,$AT$3&lt;=BC$7),ROUND(BC121*($AP$3+#REF!),-1),""))</f>
        <v/>
      </c>
      <c r="BE121" s="503"/>
      <c r="BF121" s="503" t="str">
        <f>IF($G121="","",IF(AND($G121&gt;=30,$AT$3&lt;=BE$7),ROUND(BE121*($AP$3+#REF!),-1),""))</f>
        <v/>
      </c>
      <c r="BG121" s="502"/>
      <c r="BH121" s="503" t="str">
        <f>IF($G121="","",IF(AND($G121&gt;=30,$AT$3&lt;=BG$7),ROUND(BG121*($AP$3+#REF!),-1),""))</f>
        <v/>
      </c>
      <c r="BI121" s="503"/>
      <c r="BJ121" s="503" t="str">
        <f>IF($G121="","",IF(AND($G121&gt;=30,$AT$3&lt;=BI$7),ROUND(BI121*($AP$3+#REF!),-1),""))</f>
        <v/>
      </c>
      <c r="BK121" s="502"/>
      <c r="BL121" s="503" t="str">
        <f>IF($G121="","",IF(AND($G121&gt;=30,$AT$3&lt;=BK$7),ROUND(BK121*($AP$3+#REF!),-1),""))</f>
        <v/>
      </c>
      <c r="BM121" s="503"/>
      <c r="BN121" s="503" t="str">
        <f>IF($G121="","",IF(AND($G121&gt;=30,$AT$3&lt;=BM$7),ROUND(BM121*($AP$3+#REF!),-1),""))</f>
        <v/>
      </c>
      <c r="BO121" s="502"/>
      <c r="BP121" s="503" t="str">
        <f>IF($G121="","",IF(AND($G121&gt;=30,$AT$3&lt;=BO$7),ROUND(BO121*($AP$3+#REF!),-1),""))</f>
        <v/>
      </c>
      <c r="BQ121" s="503"/>
      <c r="BR121" s="503" t="str">
        <f>IF($G121="","",IF(AND($G121&gt;=30,$AT$3&lt;=BQ$7),ROUND(BQ121*($AP$3+#REF!),-1),""))</f>
        <v/>
      </c>
      <c r="BS121" s="502"/>
      <c r="BT121" s="503" t="str">
        <f>IF($G121="","",IF(AND($G121&gt;=30,$AT$3&lt;=BS$7),ROUND(BS121*($AP$3+#REF!),-1),""))</f>
        <v/>
      </c>
      <c r="BU121" s="503"/>
      <c r="BV121" s="503" t="str">
        <f>IF($G121="","",IF(AND($G121&gt;=30,$AT$3&lt;=BU$7),ROUND(BU121*($AP$3+#REF!),-1),""))</f>
        <v/>
      </c>
      <c r="BW121" s="502"/>
      <c r="BX121" s="503" t="str">
        <f>IF($G121="","",IF(AND($G121&gt;=30,$AT$3&lt;=BW$7),ROUND(BW121*($AP$3+#REF!),-1),""))</f>
        <v/>
      </c>
      <c r="BY121" s="503"/>
      <c r="BZ121" s="503" t="str">
        <f>IF($G121="","",IF(AND($G121&gt;=30,$AT$3&lt;=BY$7),ROUND(BY121*($AP$3+#REF!),-1),""))</f>
        <v/>
      </c>
      <c r="CA121" s="502"/>
      <c r="CB121" s="503" t="str">
        <f>IF($G121="","",IF(AND($G121&gt;=30,$AT$3&lt;=CA$7),ROUND(CA121*($AP$3+#REF!),-1),""))</f>
        <v/>
      </c>
      <c r="CC121" s="503"/>
      <c r="CD121" s="503" t="str">
        <f>IF($G121="","",IF(AND($G121&gt;=30,$AT$3&lt;=CC$7),ROUND(CC121*($AP$3+#REF!),-1),""))</f>
        <v/>
      </c>
      <c r="CE121" s="502"/>
      <c r="CF121" s="503" t="str">
        <f>IF($G121="","",IF(AND($G121&gt;=30,$AT$3&lt;=CE$7),ROUND(CE121*($AP$3+#REF!),-1),""))</f>
        <v/>
      </c>
      <c r="CG121" s="503"/>
      <c r="CH121" s="503" t="str">
        <f>IF($G121="","",IF(AND($G121&gt;=30,$AT$3&lt;=CG$7),ROUND(CG121*($AP$3+#REF!),-1),""))</f>
        <v/>
      </c>
      <c r="CI121" s="502"/>
      <c r="CJ121" s="503" t="str">
        <f>IF($G121="","",IF(AND($G121&gt;=30,$AT$3&lt;=CI$7),ROUND(CI121*($AP$3+#REF!),-1),""))</f>
        <v/>
      </c>
      <c r="CK121" s="503"/>
      <c r="CL121" s="503" t="str">
        <f>IF($G121="","",IF(AND($G121&gt;=30,$AT$3&lt;=CK$7),ROUND(CK121*($AP$3+#REF!),-1),""))</f>
        <v/>
      </c>
      <c r="CM121" s="502"/>
      <c r="CN121" s="503" t="str">
        <f>IF($G121="","",IF(AND($G121&gt;=30,$AT$3&lt;=CM$7),ROUND(CM121*($AP$3+#REF!),-1),""))</f>
        <v/>
      </c>
      <c r="CO121" s="503"/>
      <c r="CP121" s="503" t="str">
        <f>IF($G121="","",IF(AND($G121&gt;=30,$AT$3&lt;=CO$7),ROUND(CO121*($AP$3+#REF!),-1),""))</f>
        <v/>
      </c>
      <c r="CQ121" s="502"/>
      <c r="CR121" s="503" t="str">
        <f>IF($G121="","",IF(AND($G121&gt;=30,$AT$3&lt;=CQ$7),ROUND(CQ121*($AP$3+#REF!),-1),""))</f>
        <v/>
      </c>
      <c r="CS121" s="503"/>
      <c r="CT121" s="503" t="str">
        <f>IF($G121="","",IF(AND($G121&gt;=30,$AT$3&lt;=CS$7),ROUND(CS121*($AP$3+#REF!),-1),""))</f>
        <v/>
      </c>
      <c r="CU121" s="502"/>
      <c r="CV121" s="503" t="str">
        <f>IF($G121="","",IF(AND($G121&gt;=30,$AT$3&lt;=CU$7),ROUND(CU121*($AP$3+#REF!),-1),""))</f>
        <v/>
      </c>
      <c r="CW121" s="503"/>
      <c r="CX121" s="503" t="str">
        <f>IF($G121="","",IF(AND($G121&gt;=30,$AT$3&lt;=CW$7),ROUND(CW121*($AP$3+#REF!),-1),""))</f>
        <v/>
      </c>
      <c r="CY121" s="502"/>
      <c r="CZ121" s="503" t="str">
        <f>IF($G121="","",IF(AND($G121&gt;=30,$AT$3&lt;=CY$7),ROUND(CY121*($AP$3+#REF!),-1),""))</f>
        <v/>
      </c>
      <c r="DA121" s="503"/>
      <c r="DB121" s="503" t="str">
        <f>IF($G121="","",IF(AND($G121&gt;=30,$AT$3&lt;=DA$7),ROUND(DA121*($AP$3+#REF!),-1),""))</f>
        <v/>
      </c>
      <c r="DC121" s="502"/>
      <c r="DD121" s="503" t="str">
        <f>IF($G121="","",IF(AND($G121&gt;=30,$AT$3&lt;=DC$7),ROUND(DC121*($AP$3+#REF!),-1),""))</f>
        <v/>
      </c>
      <c r="DE121" s="503"/>
      <c r="DF121" s="503" t="str">
        <f>IF($G121="","",IF(AND($G121&gt;=30,$AT$3&lt;=DE$7),ROUND(DE121*($AP$3+#REF!),-1),""))</f>
        <v/>
      </c>
      <c r="DG121" s="503"/>
      <c r="DH121" s="503" t="str">
        <f>IF($G121="","",IF(AND($G121&gt;=30,$AT$3&lt;=DG$7),ROUND(DG121*($AP$3+#REF!),-1),""))</f>
        <v/>
      </c>
      <c r="DI121" s="503"/>
      <c r="DJ121" s="503" t="str">
        <f>IF($G121="","",IF(AND($G121&gt;=30,$AT$3&lt;=DI$7),ROUND(DI121*($AP$3+#REF!),-1),""))</f>
        <v/>
      </c>
      <c r="DK121" s="503"/>
      <c r="DL121" s="503" t="str">
        <f>IF($G121="","",IF(AND($G121&gt;=30,$AT$3&lt;=DK$7),ROUND(DK121*($AP$3+#REF!),-1),""))</f>
        <v/>
      </c>
      <c r="DM121" s="503"/>
      <c r="DN121" s="503" t="str">
        <f>IF($G121="","",IF(AND($G121&gt;=30,$AT$3&lt;=DM$7),ROUND(DM121*($AP$3+#REF!),-1),""))</f>
        <v/>
      </c>
      <c r="DO121" s="503"/>
      <c r="DP121" s="503" t="str">
        <f>IF($G121="","",IF(AND($G121&gt;=30,$AT$3&lt;=DO$7),ROUND(DO121*($AP$3+#REF!),-1),""))</f>
        <v/>
      </c>
      <c r="DQ121" s="503"/>
      <c r="DR121" s="503" t="str">
        <f>IF($G121="","",IF(AND($G121&gt;=30,$AT$3&lt;=DQ$7),ROUND(DQ121*($AP$3+#REF!),-1),""))</f>
        <v/>
      </c>
      <c r="DS121" s="503"/>
      <c r="DT121" s="503" t="str">
        <f>IF($G121="","",IF(AND($G121&gt;=30,$AT$3&lt;=DS$7),ROUND(DS121*($AP$3+#REF!),-1),""))</f>
        <v/>
      </c>
      <c r="DU121" s="503"/>
      <c r="DV121" s="503" t="str">
        <f>IF($G121="","",IF(AND($G121&gt;=30,$AT$3&lt;=DU$7),ROUND(DU121*($AP$3+#REF!),-1),""))</f>
        <v/>
      </c>
      <c r="DW121" s="503"/>
      <c r="DX121" s="503" t="str">
        <f>IF($G121="","",IF(AND($G121&gt;=30,$AT$3&lt;=DW$7),ROUND(DW121*($AP$3+#REF!),-1),""))</f>
        <v/>
      </c>
      <c r="DY121" s="503"/>
      <c r="DZ121" s="503" t="str">
        <f>IF($G121="","",IF(AND($G121&gt;=30,$AT$3&lt;=DY$7),ROUND(DY121*($AP$3+#REF!),-1),""))</f>
        <v/>
      </c>
      <c r="EA121" s="503"/>
      <c r="EB121" s="503" t="str">
        <f>IF($G121="","",IF(AND($G121&gt;=30,$AT$3&lt;=EA$7),ROUND(EA121*($AP$3+#REF!),-1),""))</f>
        <v/>
      </c>
      <c r="EC121" s="504" t="s">
        <v>621</v>
      </c>
      <c r="ED121" s="1126"/>
      <c r="EE121" s="325">
        <v>5</v>
      </c>
    </row>
    <row r="122" spans="1:135" ht="9.75" customHeight="1">
      <c r="A122" s="321" t="str">
        <f t="shared" ref="A122:A185" si="37">G122</f>
        <v/>
      </c>
      <c r="B122" s="567">
        <f>(ii!$D$13*12+V122)+1</f>
        <v>16</v>
      </c>
      <c r="C122" s="337">
        <f t="shared" si="30"/>
        <v>45838</v>
      </c>
      <c r="D122" s="484">
        <f t="shared" si="25"/>
        <v>2025</v>
      </c>
      <c r="E122" s="484">
        <f t="shared" si="26"/>
        <v>0.5</v>
      </c>
      <c r="F122" s="484">
        <f t="shared" si="27"/>
        <v>2025.5</v>
      </c>
      <c r="G122" s="485" t="str">
        <f>IF(OR(C122&lt;$I$2,C122&gt;$J$3),"",(ii!$D$13*12+V122+1)/12)</f>
        <v/>
      </c>
      <c r="H122" s="486"/>
      <c r="I122" s="486"/>
      <c r="J122" s="487"/>
      <c r="K122" s="488"/>
      <c r="L122" s="548"/>
      <c r="M122" s="489" t="str">
        <f t="shared" si="32"/>
        <v/>
      </c>
      <c r="N122" s="490" t="s">
        <v>621</v>
      </c>
      <c r="O122" s="490" t="str">
        <f t="shared" si="28"/>
        <v/>
      </c>
      <c r="P122" s="491"/>
      <c r="Q122" s="491"/>
      <c r="R122" s="491" t="str">
        <f t="shared" si="29"/>
        <v/>
      </c>
      <c r="S122" s="528" t="str">
        <f t="shared" si="24"/>
        <v/>
      </c>
      <c r="T122" s="528" t="str">
        <f t="shared" si="36"/>
        <v/>
      </c>
      <c r="U122" s="493" t="str">
        <f>IF(H122="","",#REF!*12+#REF!+#REF!*12+#REF!)</f>
        <v/>
      </c>
      <c r="V122" s="338">
        <f>IF(ii!$J$3&gt;gg!C122,"",IF(AND((YEAR(C122)=YEAR($I$2)),MONTH(C122)=MONTH($I$2)),ii!$B$14*12+ii!$C$14+ii!$B$15*12+ii!$C$15-1,V121+1))</f>
        <v>15</v>
      </c>
      <c r="W122" s="339">
        <f t="shared" si="31"/>
        <v>1.25</v>
      </c>
      <c r="X122" s="494" t="s">
        <v>621</v>
      </c>
      <c r="Y122" s="495" t="s">
        <v>621</v>
      </c>
      <c r="Z122" s="496"/>
      <c r="AA122" s="497"/>
      <c r="AB122" s="498" t="e">
        <f t="shared" si="35"/>
        <v>#VALUE!</v>
      </c>
      <c r="AC122" s="484" t="str">
        <f t="shared" si="33"/>
        <v/>
      </c>
      <c r="AD122" s="495" t="str">
        <f t="shared" si="34"/>
        <v/>
      </c>
      <c r="AE122" s="499" t="s">
        <v>621</v>
      </c>
      <c r="AF122" s="500" t="s">
        <v>621</v>
      </c>
      <c r="AG122" s="556" t="s">
        <v>621</v>
      </c>
      <c r="AH122" s="503" t="str">
        <f>IF($G122="","",IF(AND($G122&gt;=30,$AT$3&lt;=AG$7),ROUND(AG122*($AP$3+#REF!),-1),""))</f>
        <v/>
      </c>
      <c r="AI122" s="506" t="s">
        <v>621</v>
      </c>
      <c r="AJ122" s="503" t="str">
        <f>IF($G122="","",IF(AND($G122&gt;=30,$AT$3&lt;=AI$7),ROUND(AI122*($AP$3+#REF!),-1),""))</f>
        <v/>
      </c>
      <c r="AK122" s="506" t="s">
        <v>621</v>
      </c>
      <c r="AL122" s="503" t="str">
        <f>IF($G122="","",IF(AND($G122&gt;=30,$AT$3&lt;=AK$7),ROUND(AK122*($AP$3+#REF!),-1),""))</f>
        <v/>
      </c>
      <c r="AM122" s="506" t="s">
        <v>621</v>
      </c>
      <c r="AN122" s="503" t="str">
        <f>IF($G122="","",IF(AND($G122&gt;=30,$AT$3&lt;=AM$7),ROUND(AM122*($AP$3+#REF!),-1),""))</f>
        <v/>
      </c>
      <c r="AO122" s="503" t="e">
        <v>#REF!</v>
      </c>
      <c r="AP122" s="503" t="str">
        <f>IF($G122="","",IF(AND($G122&gt;=30,$AT$3&lt;=AO$7),ROUND(AO122*($AP$3+#REF!),-1),""))</f>
        <v/>
      </c>
      <c r="AQ122" s="503" t="s">
        <v>621</v>
      </c>
      <c r="AR122" s="503" t="str">
        <f>IF($G122="","",IF(AND($G122&gt;=30,$AT$3&lt;=AQ$7),ROUND(AQ122*($AP$3+#REF!),-1),""))</f>
        <v/>
      </c>
      <c r="AS122" s="503" t="s">
        <v>621</v>
      </c>
      <c r="AT122" s="503" t="str">
        <f>IF($G122="","",IF(AND($G122&gt;=30,$AT$3&lt;=AS$7),ROUND(AS122*($AP$3+#REF!),-1),""))</f>
        <v/>
      </c>
      <c r="AU122" s="503" t="s">
        <v>621</v>
      </c>
      <c r="AV122" s="503" t="str">
        <f>IF($G122="","",IF(AND($G122&gt;=30,$AT$3&lt;=AU$7),ROUND(AU122*($AP$3+#REF!),-1),""))</f>
        <v/>
      </c>
      <c r="AW122" s="503" t="s">
        <v>621</v>
      </c>
      <c r="AX122" s="503" t="str">
        <f>IF($G122="","",IF(AND($G122&gt;=30,$AT$3&lt;=AW$7),ROUND(AW122*($AP$3+#REF!),-1),""))</f>
        <v/>
      </c>
      <c r="AY122" s="517" t="e">
        <v>#REF!</v>
      </c>
      <c r="AZ122" s="503" t="str">
        <f>IF($G122="","",IF(AND($G122&gt;=30,$AT$3&lt;=AY$7),ROUND(AY122*($AP$3+#REF!),-1),""))</f>
        <v/>
      </c>
      <c r="BA122" s="503"/>
      <c r="BB122" s="503" t="str">
        <f>IF($G122="","",IF(AND($G122&gt;=30,$AT$3&lt;=BA$7),ROUND(BA122*($AP$3+#REF!),-1),""))</f>
        <v/>
      </c>
      <c r="BC122" s="502"/>
      <c r="BD122" s="503" t="str">
        <f>IF($G122="","",IF(AND($G122&gt;=30,$AT$3&lt;=BC$7),ROUND(BC122*($AP$3+#REF!),-1),""))</f>
        <v/>
      </c>
      <c r="BE122" s="503"/>
      <c r="BF122" s="503" t="str">
        <f>IF($G122="","",IF(AND($G122&gt;=30,$AT$3&lt;=BE$7),ROUND(BE122*($AP$3+#REF!),-1),""))</f>
        <v/>
      </c>
      <c r="BG122" s="502"/>
      <c r="BH122" s="503" t="str">
        <f>IF($G122="","",IF(AND($G122&gt;=30,$AT$3&lt;=BG$7),ROUND(BG122*($AP$3+#REF!),-1),""))</f>
        <v/>
      </c>
      <c r="BI122" s="503"/>
      <c r="BJ122" s="503" t="str">
        <f>IF($G122="","",IF(AND($G122&gt;=30,$AT$3&lt;=BI$7),ROUND(BI122*($AP$3+#REF!),-1),""))</f>
        <v/>
      </c>
      <c r="BK122" s="502"/>
      <c r="BL122" s="503" t="str">
        <f>IF($G122="","",IF(AND($G122&gt;=30,$AT$3&lt;=BK$7),ROUND(BK122*($AP$3+#REF!),-1),""))</f>
        <v/>
      </c>
      <c r="BM122" s="503"/>
      <c r="BN122" s="503" t="str">
        <f>IF($G122="","",IF(AND($G122&gt;=30,$AT$3&lt;=BM$7),ROUND(BM122*($AP$3+#REF!),-1),""))</f>
        <v/>
      </c>
      <c r="BO122" s="502"/>
      <c r="BP122" s="503" t="str">
        <f>IF($G122="","",IF(AND($G122&gt;=30,$AT$3&lt;=BO$7),ROUND(BO122*($AP$3+#REF!),-1),""))</f>
        <v/>
      </c>
      <c r="BQ122" s="503"/>
      <c r="BR122" s="503" t="str">
        <f>IF($G122="","",IF(AND($G122&gt;=30,$AT$3&lt;=BQ$7),ROUND(BQ122*($AP$3+#REF!),-1),""))</f>
        <v/>
      </c>
      <c r="BS122" s="502"/>
      <c r="BT122" s="503" t="str">
        <f>IF($G122="","",IF(AND($G122&gt;=30,$AT$3&lt;=BS$7),ROUND(BS122*($AP$3+#REF!),-1),""))</f>
        <v/>
      </c>
      <c r="BU122" s="503"/>
      <c r="BV122" s="503" t="str">
        <f>IF($G122="","",IF(AND($G122&gt;=30,$AT$3&lt;=BU$7),ROUND(BU122*($AP$3+#REF!),-1),""))</f>
        <v/>
      </c>
      <c r="BW122" s="502"/>
      <c r="BX122" s="503" t="str">
        <f>IF($G122="","",IF(AND($G122&gt;=30,$AT$3&lt;=BW$7),ROUND(BW122*($AP$3+#REF!),-1),""))</f>
        <v/>
      </c>
      <c r="BY122" s="503"/>
      <c r="BZ122" s="503" t="str">
        <f>IF($G122="","",IF(AND($G122&gt;=30,$AT$3&lt;=BY$7),ROUND(BY122*($AP$3+#REF!),-1),""))</f>
        <v/>
      </c>
      <c r="CA122" s="502"/>
      <c r="CB122" s="503" t="str">
        <f>IF($G122="","",IF(AND($G122&gt;=30,$AT$3&lt;=CA$7),ROUND(CA122*($AP$3+#REF!),-1),""))</f>
        <v/>
      </c>
      <c r="CC122" s="503"/>
      <c r="CD122" s="503" t="str">
        <f>IF($G122="","",IF(AND($G122&gt;=30,$AT$3&lt;=CC$7),ROUND(CC122*($AP$3+#REF!),-1),""))</f>
        <v/>
      </c>
      <c r="CE122" s="502"/>
      <c r="CF122" s="503" t="str">
        <f>IF($G122="","",IF(AND($G122&gt;=30,$AT$3&lt;=CE$7),ROUND(CE122*($AP$3+#REF!),-1),""))</f>
        <v/>
      </c>
      <c r="CG122" s="503"/>
      <c r="CH122" s="503" t="str">
        <f>IF($G122="","",IF(AND($G122&gt;=30,$AT$3&lt;=CG$7),ROUND(CG122*($AP$3+#REF!),-1),""))</f>
        <v/>
      </c>
      <c r="CI122" s="502"/>
      <c r="CJ122" s="503" t="str">
        <f>IF($G122="","",IF(AND($G122&gt;=30,$AT$3&lt;=CI$7),ROUND(CI122*($AP$3+#REF!),-1),""))</f>
        <v/>
      </c>
      <c r="CK122" s="503"/>
      <c r="CL122" s="503" t="str">
        <f>IF($G122="","",IF(AND($G122&gt;=30,$AT$3&lt;=CK$7),ROUND(CK122*($AP$3+#REF!),-1),""))</f>
        <v/>
      </c>
      <c r="CM122" s="502"/>
      <c r="CN122" s="503" t="str">
        <f>IF($G122="","",IF(AND($G122&gt;=30,$AT$3&lt;=CM$7),ROUND(CM122*($AP$3+#REF!),-1),""))</f>
        <v/>
      </c>
      <c r="CO122" s="503"/>
      <c r="CP122" s="503" t="str">
        <f>IF($G122="","",IF(AND($G122&gt;=30,$AT$3&lt;=CO$7),ROUND(CO122*($AP$3+#REF!),-1),""))</f>
        <v/>
      </c>
      <c r="CQ122" s="502"/>
      <c r="CR122" s="503" t="str">
        <f>IF($G122="","",IF(AND($G122&gt;=30,$AT$3&lt;=CQ$7),ROUND(CQ122*($AP$3+#REF!),-1),""))</f>
        <v/>
      </c>
      <c r="CS122" s="503"/>
      <c r="CT122" s="503" t="str">
        <f>IF($G122="","",IF(AND($G122&gt;=30,$AT$3&lt;=CS$7),ROUND(CS122*($AP$3+#REF!),-1),""))</f>
        <v/>
      </c>
      <c r="CU122" s="502"/>
      <c r="CV122" s="503" t="str">
        <f>IF($G122="","",IF(AND($G122&gt;=30,$AT$3&lt;=CU$7),ROUND(CU122*($AP$3+#REF!),-1),""))</f>
        <v/>
      </c>
      <c r="CW122" s="503"/>
      <c r="CX122" s="503" t="str">
        <f>IF($G122="","",IF(AND($G122&gt;=30,$AT$3&lt;=CW$7),ROUND(CW122*($AP$3+#REF!),-1),""))</f>
        <v/>
      </c>
      <c r="CY122" s="502"/>
      <c r="CZ122" s="503" t="str">
        <f>IF($G122="","",IF(AND($G122&gt;=30,$AT$3&lt;=CY$7),ROUND(CY122*($AP$3+#REF!),-1),""))</f>
        <v/>
      </c>
      <c r="DA122" s="503"/>
      <c r="DB122" s="503" t="str">
        <f>IF($G122="","",IF(AND($G122&gt;=30,$AT$3&lt;=DA$7),ROUND(DA122*($AP$3+#REF!),-1),""))</f>
        <v/>
      </c>
      <c r="DC122" s="502"/>
      <c r="DD122" s="503" t="str">
        <f>IF($G122="","",IF(AND($G122&gt;=30,$AT$3&lt;=DC$7),ROUND(DC122*($AP$3+#REF!),-1),""))</f>
        <v/>
      </c>
      <c r="DE122" s="503"/>
      <c r="DF122" s="503" t="str">
        <f>IF($G122="","",IF(AND($G122&gt;=30,$AT$3&lt;=DE$7),ROUND(DE122*($AP$3+#REF!),-1),""))</f>
        <v/>
      </c>
      <c r="DG122" s="503"/>
      <c r="DH122" s="503" t="str">
        <f>IF($G122="","",IF(AND($G122&gt;=30,$AT$3&lt;=DG$7),ROUND(DG122*($AP$3+#REF!),-1),""))</f>
        <v/>
      </c>
      <c r="DI122" s="503"/>
      <c r="DJ122" s="503" t="str">
        <f>IF($G122="","",IF(AND($G122&gt;=30,$AT$3&lt;=DI$7),ROUND(DI122*($AP$3+#REF!),-1),""))</f>
        <v/>
      </c>
      <c r="DK122" s="503"/>
      <c r="DL122" s="503" t="str">
        <f>IF($G122="","",IF(AND($G122&gt;=30,$AT$3&lt;=DK$7),ROUND(DK122*($AP$3+#REF!),-1),""))</f>
        <v/>
      </c>
      <c r="DM122" s="503"/>
      <c r="DN122" s="503" t="str">
        <f>IF($G122="","",IF(AND($G122&gt;=30,$AT$3&lt;=DM$7),ROUND(DM122*($AP$3+#REF!),-1),""))</f>
        <v/>
      </c>
      <c r="DO122" s="503"/>
      <c r="DP122" s="503" t="str">
        <f>IF($G122="","",IF(AND($G122&gt;=30,$AT$3&lt;=DO$7),ROUND(DO122*($AP$3+#REF!),-1),""))</f>
        <v/>
      </c>
      <c r="DQ122" s="503"/>
      <c r="DR122" s="503" t="str">
        <f>IF($G122="","",IF(AND($G122&gt;=30,$AT$3&lt;=DQ$7),ROUND(DQ122*($AP$3+#REF!),-1),""))</f>
        <v/>
      </c>
      <c r="DS122" s="503"/>
      <c r="DT122" s="503" t="str">
        <f>IF($G122="","",IF(AND($G122&gt;=30,$AT$3&lt;=DS$7),ROUND(DS122*($AP$3+#REF!),-1),""))</f>
        <v/>
      </c>
      <c r="DU122" s="503"/>
      <c r="DV122" s="503" t="str">
        <f>IF($G122="","",IF(AND($G122&gt;=30,$AT$3&lt;=DU$7),ROUND(DU122*($AP$3+#REF!),-1),""))</f>
        <v/>
      </c>
      <c r="DW122" s="503"/>
      <c r="DX122" s="503" t="str">
        <f>IF($G122="","",IF(AND($G122&gt;=30,$AT$3&lt;=DW$7),ROUND(DW122*($AP$3+#REF!),-1),""))</f>
        <v/>
      </c>
      <c r="DY122" s="503"/>
      <c r="DZ122" s="503" t="str">
        <f>IF($G122="","",IF(AND($G122&gt;=30,$AT$3&lt;=DY$7),ROUND(DY122*($AP$3+#REF!),-1),""))</f>
        <v/>
      </c>
      <c r="EA122" s="503"/>
      <c r="EB122" s="503" t="str">
        <f>IF($G122="","",IF(AND($G122&gt;=30,$AT$3&lt;=EA$7),ROUND(EA122*($AP$3+#REF!),-1),""))</f>
        <v/>
      </c>
      <c r="EC122" s="504" t="s">
        <v>621</v>
      </c>
      <c r="ED122" s="1126"/>
      <c r="EE122" s="325">
        <v>6</v>
      </c>
    </row>
    <row r="123" spans="1:135" ht="9.75" customHeight="1">
      <c r="A123" s="321" t="str">
        <f t="shared" si="37"/>
        <v/>
      </c>
      <c r="B123" s="567">
        <f>(ii!$D$13*12+V123)+1</f>
        <v>17</v>
      </c>
      <c r="C123" s="337">
        <f t="shared" si="30"/>
        <v>45869</v>
      </c>
      <c r="D123" s="484">
        <f t="shared" si="25"/>
        <v>2025</v>
      </c>
      <c r="E123" s="484">
        <f t="shared" si="26"/>
        <v>0.58333333333333337</v>
      </c>
      <c r="F123" s="484">
        <f t="shared" si="27"/>
        <v>2025.5833333333333</v>
      </c>
      <c r="G123" s="485" t="str">
        <f>IF(OR(C123&lt;$I$2,C123&gt;$J$3),"",(ii!$D$13*12+V123+1)/12)</f>
        <v/>
      </c>
      <c r="H123" s="486"/>
      <c r="I123" s="486"/>
      <c r="J123" s="487"/>
      <c r="K123" s="488"/>
      <c r="L123" s="548"/>
      <c r="M123" s="489" t="str">
        <f t="shared" si="32"/>
        <v/>
      </c>
      <c r="N123" s="490" t="s">
        <v>621</v>
      </c>
      <c r="O123" s="490" t="str">
        <f t="shared" si="28"/>
        <v/>
      </c>
      <c r="P123" s="491"/>
      <c r="Q123" s="491"/>
      <c r="R123" s="491" t="str">
        <f t="shared" si="29"/>
        <v/>
      </c>
      <c r="S123" s="528" t="str">
        <f t="shared" si="24"/>
        <v/>
      </c>
      <c r="T123" s="528" t="str">
        <f t="shared" si="36"/>
        <v/>
      </c>
      <c r="U123" s="493" t="str">
        <f>IF(H123="","",#REF!*12+#REF!+#REF!*12+#REF!)</f>
        <v/>
      </c>
      <c r="V123" s="338">
        <f>IF(ii!$J$3&gt;gg!C123,"",IF(AND((YEAR(C123)=YEAR($I$2)),MONTH(C123)=MONTH($I$2)),ii!$B$14*12+ii!$C$14+ii!$B$15*12+ii!$C$15-1,V122+1))</f>
        <v>16</v>
      </c>
      <c r="W123" s="339">
        <f t="shared" si="31"/>
        <v>1.3333333333333333</v>
      </c>
      <c r="X123" s="494" t="s">
        <v>621</v>
      </c>
      <c r="Y123" s="495" t="s">
        <v>621</v>
      </c>
      <c r="Z123" s="496"/>
      <c r="AA123" s="497"/>
      <c r="AB123" s="498" t="e">
        <f t="shared" si="35"/>
        <v>#VALUE!</v>
      </c>
      <c r="AC123" s="484" t="str">
        <f t="shared" si="33"/>
        <v/>
      </c>
      <c r="AD123" s="495" t="str">
        <f t="shared" si="34"/>
        <v/>
      </c>
      <c r="AE123" s="499" t="s">
        <v>621</v>
      </c>
      <c r="AF123" s="500" t="s">
        <v>621</v>
      </c>
      <c r="AG123" s="556" t="s">
        <v>621</v>
      </c>
      <c r="AH123" s="503" t="str">
        <f>IF($G123="","",IF(AND($G123&gt;=30,$AT$3&lt;=AG$7),ROUND(AG123*($AP$3+#REF!),-1),""))</f>
        <v/>
      </c>
      <c r="AI123" s="506" t="s">
        <v>621</v>
      </c>
      <c r="AJ123" s="503" t="str">
        <f>IF($G123="","",IF(AND($G123&gt;=30,$AT$3&lt;=AI$7),ROUND(AI123*($AP$3+#REF!),-1),""))</f>
        <v/>
      </c>
      <c r="AK123" s="506" t="s">
        <v>621</v>
      </c>
      <c r="AL123" s="503" t="str">
        <f>IF($G123="","",IF(AND($G123&gt;=30,$AT$3&lt;=AK$7),ROUND(AK123*($AP$3+#REF!),-1),""))</f>
        <v/>
      </c>
      <c r="AM123" s="506" t="s">
        <v>621</v>
      </c>
      <c r="AN123" s="503" t="str">
        <f>IF($G123="","",IF(AND($G123&gt;=30,$AT$3&lt;=AM$7),ROUND(AM123*($AP$3+#REF!),-1),""))</f>
        <v/>
      </c>
      <c r="AO123" s="503" t="e">
        <v>#REF!</v>
      </c>
      <c r="AP123" s="503" t="str">
        <f>IF($G123="","",IF(AND($G123&gt;=30,$AT$3&lt;=AO$7),ROUND(AO123*($AP$3+#REF!),-1),""))</f>
        <v/>
      </c>
      <c r="AQ123" s="503" t="s">
        <v>621</v>
      </c>
      <c r="AR123" s="503" t="str">
        <f>IF($G123="","",IF(AND($G123&gt;=30,$AT$3&lt;=AQ$7),ROUND(AQ123*($AP$3+#REF!),-1),""))</f>
        <v/>
      </c>
      <c r="AS123" s="503" t="s">
        <v>621</v>
      </c>
      <c r="AT123" s="503" t="str">
        <f>IF($G123="","",IF(AND($G123&gt;=30,$AT$3&lt;=AS$7),ROUND(AS123*($AP$3+#REF!),-1),""))</f>
        <v/>
      </c>
      <c r="AU123" s="503" t="s">
        <v>621</v>
      </c>
      <c r="AV123" s="503" t="str">
        <f>IF($G123="","",IF(AND($G123&gt;=30,$AT$3&lt;=AU$7),ROUND(AU123*($AP$3+#REF!),-1),""))</f>
        <v/>
      </c>
      <c r="AW123" s="503" t="s">
        <v>621</v>
      </c>
      <c r="AX123" s="503" t="str">
        <f>IF($G123="","",IF(AND($G123&gt;=30,$AT$3&lt;=AW$7),ROUND(AW123*($AP$3+#REF!),-1),""))</f>
        <v/>
      </c>
      <c r="AY123" s="517" t="e">
        <v>#REF!</v>
      </c>
      <c r="AZ123" s="503" t="str">
        <f>IF($G123="","",IF(AND($G123&gt;=30,$AT$3&lt;=AY$7),ROUND(AY123*($AP$3+#REF!),-1),""))</f>
        <v/>
      </c>
      <c r="BA123" s="503"/>
      <c r="BB123" s="503" t="str">
        <f>IF($G123="","",IF(AND($G123&gt;=30,$AT$3&lt;=BA$7),ROUND(BA123*($AP$3+#REF!),-1),""))</f>
        <v/>
      </c>
      <c r="BC123" s="502"/>
      <c r="BD123" s="503" t="str">
        <f>IF($G123="","",IF(AND($G123&gt;=30,$AT$3&lt;=BC$7),ROUND(BC123*($AP$3+#REF!),-1),""))</f>
        <v/>
      </c>
      <c r="BE123" s="503"/>
      <c r="BF123" s="503" t="str">
        <f>IF($G123="","",IF(AND($G123&gt;=30,$AT$3&lt;=BE$7),ROUND(BE123*($AP$3+#REF!),-1),""))</f>
        <v/>
      </c>
      <c r="BG123" s="502"/>
      <c r="BH123" s="503" t="str">
        <f>IF($G123="","",IF(AND($G123&gt;=30,$AT$3&lt;=BG$7),ROUND(BG123*($AP$3+#REF!),-1),""))</f>
        <v/>
      </c>
      <c r="BI123" s="503"/>
      <c r="BJ123" s="503" t="str">
        <f>IF($G123="","",IF(AND($G123&gt;=30,$AT$3&lt;=BI$7),ROUND(BI123*($AP$3+#REF!),-1),""))</f>
        <v/>
      </c>
      <c r="BK123" s="502"/>
      <c r="BL123" s="503" t="str">
        <f>IF($G123="","",IF(AND($G123&gt;=30,$AT$3&lt;=BK$7),ROUND(BK123*($AP$3+#REF!),-1),""))</f>
        <v/>
      </c>
      <c r="BM123" s="503"/>
      <c r="BN123" s="503" t="str">
        <f>IF($G123="","",IF(AND($G123&gt;=30,$AT$3&lt;=BM$7),ROUND(BM123*($AP$3+#REF!),-1),""))</f>
        <v/>
      </c>
      <c r="BO123" s="502"/>
      <c r="BP123" s="503" t="str">
        <f>IF($G123="","",IF(AND($G123&gt;=30,$AT$3&lt;=BO$7),ROUND(BO123*($AP$3+#REF!),-1),""))</f>
        <v/>
      </c>
      <c r="BQ123" s="503"/>
      <c r="BR123" s="503" t="str">
        <f>IF($G123="","",IF(AND($G123&gt;=30,$AT$3&lt;=BQ$7),ROUND(BQ123*($AP$3+#REF!),-1),""))</f>
        <v/>
      </c>
      <c r="BS123" s="502"/>
      <c r="BT123" s="503" t="str">
        <f>IF($G123="","",IF(AND($G123&gt;=30,$AT$3&lt;=BS$7),ROUND(BS123*($AP$3+#REF!),-1),""))</f>
        <v/>
      </c>
      <c r="BU123" s="503"/>
      <c r="BV123" s="503" t="str">
        <f>IF($G123="","",IF(AND($G123&gt;=30,$AT$3&lt;=BU$7),ROUND(BU123*($AP$3+#REF!),-1),""))</f>
        <v/>
      </c>
      <c r="BW123" s="502"/>
      <c r="BX123" s="503" t="str">
        <f>IF($G123="","",IF(AND($G123&gt;=30,$AT$3&lt;=BW$7),ROUND(BW123*($AP$3+#REF!),-1),""))</f>
        <v/>
      </c>
      <c r="BY123" s="503"/>
      <c r="BZ123" s="503" t="str">
        <f>IF($G123="","",IF(AND($G123&gt;=30,$AT$3&lt;=BY$7),ROUND(BY123*($AP$3+#REF!),-1),""))</f>
        <v/>
      </c>
      <c r="CA123" s="502"/>
      <c r="CB123" s="503" t="str">
        <f>IF($G123="","",IF(AND($G123&gt;=30,$AT$3&lt;=CA$7),ROUND(CA123*($AP$3+#REF!),-1),""))</f>
        <v/>
      </c>
      <c r="CC123" s="503"/>
      <c r="CD123" s="503" t="str">
        <f>IF($G123="","",IF(AND($G123&gt;=30,$AT$3&lt;=CC$7),ROUND(CC123*($AP$3+#REF!),-1),""))</f>
        <v/>
      </c>
      <c r="CE123" s="502"/>
      <c r="CF123" s="503" t="str">
        <f>IF($G123="","",IF(AND($G123&gt;=30,$AT$3&lt;=CE$7),ROUND(CE123*($AP$3+#REF!),-1),""))</f>
        <v/>
      </c>
      <c r="CG123" s="503"/>
      <c r="CH123" s="503" t="str">
        <f>IF($G123="","",IF(AND($G123&gt;=30,$AT$3&lt;=CG$7),ROUND(CG123*($AP$3+#REF!),-1),""))</f>
        <v/>
      </c>
      <c r="CI123" s="502"/>
      <c r="CJ123" s="503" t="str">
        <f>IF($G123="","",IF(AND($G123&gt;=30,$AT$3&lt;=CI$7),ROUND(CI123*($AP$3+#REF!),-1),""))</f>
        <v/>
      </c>
      <c r="CK123" s="503"/>
      <c r="CL123" s="503" t="str">
        <f>IF($G123="","",IF(AND($G123&gt;=30,$AT$3&lt;=CK$7),ROUND(CK123*($AP$3+#REF!),-1),""))</f>
        <v/>
      </c>
      <c r="CM123" s="502"/>
      <c r="CN123" s="503" t="str">
        <f>IF($G123="","",IF(AND($G123&gt;=30,$AT$3&lt;=CM$7),ROUND(CM123*($AP$3+#REF!),-1),""))</f>
        <v/>
      </c>
      <c r="CO123" s="503"/>
      <c r="CP123" s="503" t="str">
        <f>IF($G123="","",IF(AND($G123&gt;=30,$AT$3&lt;=CO$7),ROUND(CO123*($AP$3+#REF!),-1),""))</f>
        <v/>
      </c>
      <c r="CQ123" s="502"/>
      <c r="CR123" s="503" t="str">
        <f>IF($G123="","",IF(AND($G123&gt;=30,$AT$3&lt;=CQ$7),ROUND(CQ123*($AP$3+#REF!),-1),""))</f>
        <v/>
      </c>
      <c r="CS123" s="503"/>
      <c r="CT123" s="503" t="str">
        <f>IF($G123="","",IF(AND($G123&gt;=30,$AT$3&lt;=CS$7),ROUND(CS123*($AP$3+#REF!),-1),""))</f>
        <v/>
      </c>
      <c r="CU123" s="502"/>
      <c r="CV123" s="503" t="str">
        <f>IF($G123="","",IF(AND($G123&gt;=30,$AT$3&lt;=CU$7),ROUND(CU123*($AP$3+#REF!),-1),""))</f>
        <v/>
      </c>
      <c r="CW123" s="503"/>
      <c r="CX123" s="503" t="str">
        <f>IF($G123="","",IF(AND($G123&gt;=30,$AT$3&lt;=CW$7),ROUND(CW123*($AP$3+#REF!),-1),""))</f>
        <v/>
      </c>
      <c r="CY123" s="502"/>
      <c r="CZ123" s="503" t="str">
        <f>IF($G123="","",IF(AND($G123&gt;=30,$AT$3&lt;=CY$7),ROUND(CY123*($AP$3+#REF!),-1),""))</f>
        <v/>
      </c>
      <c r="DA123" s="503"/>
      <c r="DB123" s="503" t="str">
        <f>IF($G123="","",IF(AND($G123&gt;=30,$AT$3&lt;=DA$7),ROUND(DA123*($AP$3+#REF!),-1),""))</f>
        <v/>
      </c>
      <c r="DC123" s="502"/>
      <c r="DD123" s="503" t="str">
        <f>IF($G123="","",IF(AND($G123&gt;=30,$AT$3&lt;=DC$7),ROUND(DC123*($AP$3+#REF!),-1),""))</f>
        <v/>
      </c>
      <c r="DE123" s="503"/>
      <c r="DF123" s="503" t="str">
        <f>IF($G123="","",IF(AND($G123&gt;=30,$AT$3&lt;=DE$7),ROUND(DE123*($AP$3+#REF!),-1),""))</f>
        <v/>
      </c>
      <c r="DG123" s="503"/>
      <c r="DH123" s="503" t="str">
        <f>IF($G123="","",IF(AND($G123&gt;=30,$AT$3&lt;=DG$7),ROUND(DG123*($AP$3+#REF!),-1),""))</f>
        <v/>
      </c>
      <c r="DI123" s="503"/>
      <c r="DJ123" s="503" t="str">
        <f>IF($G123="","",IF(AND($G123&gt;=30,$AT$3&lt;=DI$7),ROUND(DI123*($AP$3+#REF!),-1),""))</f>
        <v/>
      </c>
      <c r="DK123" s="503"/>
      <c r="DL123" s="503" t="str">
        <f>IF($G123="","",IF(AND($G123&gt;=30,$AT$3&lt;=DK$7),ROUND(DK123*($AP$3+#REF!),-1),""))</f>
        <v/>
      </c>
      <c r="DM123" s="503"/>
      <c r="DN123" s="503" t="str">
        <f>IF($G123="","",IF(AND($G123&gt;=30,$AT$3&lt;=DM$7),ROUND(DM123*($AP$3+#REF!),-1),""))</f>
        <v/>
      </c>
      <c r="DO123" s="503"/>
      <c r="DP123" s="503" t="str">
        <f>IF($G123="","",IF(AND($G123&gt;=30,$AT$3&lt;=DO$7),ROUND(DO123*($AP$3+#REF!),-1),""))</f>
        <v/>
      </c>
      <c r="DQ123" s="503"/>
      <c r="DR123" s="503" t="str">
        <f>IF($G123="","",IF(AND($G123&gt;=30,$AT$3&lt;=DQ$7),ROUND(DQ123*($AP$3+#REF!),-1),""))</f>
        <v/>
      </c>
      <c r="DS123" s="503"/>
      <c r="DT123" s="503" t="str">
        <f>IF($G123="","",IF(AND($G123&gt;=30,$AT$3&lt;=DS$7),ROUND(DS123*($AP$3+#REF!),-1),""))</f>
        <v/>
      </c>
      <c r="DU123" s="503"/>
      <c r="DV123" s="503" t="str">
        <f>IF($G123="","",IF(AND($G123&gt;=30,$AT$3&lt;=DU$7),ROUND(DU123*($AP$3+#REF!),-1),""))</f>
        <v/>
      </c>
      <c r="DW123" s="503"/>
      <c r="DX123" s="503" t="str">
        <f>IF($G123="","",IF(AND($G123&gt;=30,$AT$3&lt;=DW$7),ROUND(DW123*($AP$3+#REF!),-1),""))</f>
        <v/>
      </c>
      <c r="DY123" s="503"/>
      <c r="DZ123" s="503" t="str">
        <f>IF($G123="","",IF(AND($G123&gt;=30,$AT$3&lt;=DY$7),ROUND(DY123*($AP$3+#REF!),-1),""))</f>
        <v/>
      </c>
      <c r="EA123" s="503"/>
      <c r="EB123" s="503" t="str">
        <f>IF($G123="","",IF(AND($G123&gt;=30,$AT$3&lt;=EA$7),ROUND(EA123*($AP$3+#REF!),-1),""))</f>
        <v/>
      </c>
      <c r="EC123" s="504" t="s">
        <v>621</v>
      </c>
      <c r="ED123" s="1126"/>
      <c r="EE123" s="325">
        <v>7</v>
      </c>
    </row>
    <row r="124" spans="1:135" ht="9.75" customHeight="1">
      <c r="A124" s="321" t="str">
        <f t="shared" si="37"/>
        <v/>
      </c>
      <c r="B124" s="567">
        <f>(ii!$D$13*12+V124)+1</f>
        <v>18</v>
      </c>
      <c r="C124" s="337">
        <f t="shared" si="30"/>
        <v>45900</v>
      </c>
      <c r="D124" s="484">
        <f t="shared" si="25"/>
        <v>2025</v>
      </c>
      <c r="E124" s="484">
        <f t="shared" si="26"/>
        <v>0.66666666666666663</v>
      </c>
      <c r="F124" s="484">
        <f t="shared" si="27"/>
        <v>2025.6666666666667</v>
      </c>
      <c r="G124" s="485" t="str">
        <f>IF(OR(C124&lt;$I$2,C124&gt;$J$3),"",(ii!$D$13*12+V124+1)/12)</f>
        <v/>
      </c>
      <c r="H124" s="486"/>
      <c r="I124" s="486"/>
      <c r="J124" s="487"/>
      <c r="K124" s="488"/>
      <c r="L124" s="548"/>
      <c r="M124" s="489" t="str">
        <f t="shared" si="32"/>
        <v/>
      </c>
      <c r="N124" s="490" t="s">
        <v>621</v>
      </c>
      <c r="O124" s="490" t="str">
        <f t="shared" si="28"/>
        <v/>
      </c>
      <c r="P124" s="491"/>
      <c r="Q124" s="491"/>
      <c r="R124" s="491" t="str">
        <f t="shared" si="29"/>
        <v/>
      </c>
      <c r="S124" s="528" t="str">
        <f t="shared" si="24"/>
        <v/>
      </c>
      <c r="T124" s="528" t="str">
        <f t="shared" si="36"/>
        <v/>
      </c>
      <c r="U124" s="493" t="str">
        <f>IF(H124="","",#REF!*12+#REF!+#REF!*12+#REF!)</f>
        <v/>
      </c>
      <c r="V124" s="338">
        <f>IF(ii!$J$3&gt;gg!C124,"",IF(AND((YEAR(C124)=YEAR($I$2)),MONTH(C124)=MONTH($I$2)),ii!$B$14*12+ii!$C$14+ii!$B$15*12+ii!$C$15-1,V123+1))</f>
        <v>17</v>
      </c>
      <c r="W124" s="339">
        <f t="shared" si="31"/>
        <v>1.4166666666666667</v>
      </c>
      <c r="X124" s="494" t="s">
        <v>621</v>
      </c>
      <c r="Y124" s="495" t="s">
        <v>621</v>
      </c>
      <c r="Z124" s="496"/>
      <c r="AA124" s="497"/>
      <c r="AB124" s="498" t="e">
        <f t="shared" si="35"/>
        <v>#VALUE!</v>
      </c>
      <c r="AC124" s="484" t="str">
        <f t="shared" si="33"/>
        <v/>
      </c>
      <c r="AD124" s="495" t="str">
        <f t="shared" si="34"/>
        <v/>
      </c>
      <c r="AE124" s="499" t="s">
        <v>621</v>
      </c>
      <c r="AF124" s="500" t="s">
        <v>621</v>
      </c>
      <c r="AG124" s="556" t="s">
        <v>621</v>
      </c>
      <c r="AH124" s="503" t="str">
        <f>IF($G124="","",IF(AND($G124&gt;=30,$AT$3&lt;=AG$7),ROUND(AG124*($AP$3+#REF!),-1),""))</f>
        <v/>
      </c>
      <c r="AI124" s="506" t="s">
        <v>621</v>
      </c>
      <c r="AJ124" s="503" t="str">
        <f>IF($G124="","",IF(AND($G124&gt;=30,$AT$3&lt;=AI$7),ROUND(AI124*($AP$3+#REF!),-1),""))</f>
        <v/>
      </c>
      <c r="AK124" s="506" t="s">
        <v>621</v>
      </c>
      <c r="AL124" s="503" t="str">
        <f>IF($G124="","",IF(AND($G124&gt;=30,$AT$3&lt;=AK$7),ROUND(AK124*($AP$3+#REF!),-1),""))</f>
        <v/>
      </c>
      <c r="AM124" s="506" t="s">
        <v>621</v>
      </c>
      <c r="AN124" s="503" t="str">
        <f>IF($G124="","",IF(AND($G124&gt;=30,$AT$3&lt;=AM$7),ROUND(AM124*($AP$3+#REF!),-1),""))</f>
        <v/>
      </c>
      <c r="AO124" s="503" t="e">
        <v>#REF!</v>
      </c>
      <c r="AP124" s="503" t="str">
        <f>IF($G124="","",IF(AND($G124&gt;=30,$AT$3&lt;=AO$7),ROUND(AO124*($AP$3+#REF!),-1),""))</f>
        <v/>
      </c>
      <c r="AQ124" s="503" t="s">
        <v>621</v>
      </c>
      <c r="AR124" s="503" t="str">
        <f>IF($G124="","",IF(AND($G124&gt;=30,$AT$3&lt;=AQ$7),ROUND(AQ124*($AP$3+#REF!),-1),""))</f>
        <v/>
      </c>
      <c r="AS124" s="503" t="s">
        <v>621</v>
      </c>
      <c r="AT124" s="503" t="str">
        <f>IF($G124="","",IF(AND($G124&gt;=30,$AT$3&lt;=AS$7),ROUND(AS124*($AP$3+#REF!),-1),""))</f>
        <v/>
      </c>
      <c r="AU124" s="503" t="s">
        <v>621</v>
      </c>
      <c r="AV124" s="503" t="str">
        <f>IF($G124="","",IF(AND($G124&gt;=30,$AT$3&lt;=AU$7),ROUND(AU124*($AP$3+#REF!),-1),""))</f>
        <v/>
      </c>
      <c r="AW124" s="503" t="s">
        <v>621</v>
      </c>
      <c r="AX124" s="503" t="str">
        <f>IF($G124="","",IF(AND($G124&gt;=30,$AT$3&lt;=AW$7),ROUND(AW124*($AP$3+#REF!),-1),""))</f>
        <v/>
      </c>
      <c r="AY124" s="517" t="e">
        <v>#REF!</v>
      </c>
      <c r="AZ124" s="503" t="str">
        <f>IF($G124="","",IF(AND($G124&gt;=30,$AT$3&lt;=AY$7),ROUND(AY124*($AP$3+#REF!),-1),""))</f>
        <v/>
      </c>
      <c r="BA124" s="503"/>
      <c r="BB124" s="503" t="str">
        <f>IF($G124="","",IF(AND($G124&gt;=30,$AT$3&lt;=BA$7),ROUND(BA124*($AP$3+#REF!),-1),""))</f>
        <v/>
      </c>
      <c r="BC124" s="502"/>
      <c r="BD124" s="503" t="str">
        <f>IF($G124="","",IF(AND($G124&gt;=30,$AT$3&lt;=BC$7),ROUND(BC124*($AP$3+#REF!),-1),""))</f>
        <v/>
      </c>
      <c r="BE124" s="503"/>
      <c r="BF124" s="503" t="str">
        <f>IF($G124="","",IF(AND($G124&gt;=30,$AT$3&lt;=BE$7),ROUND(BE124*($AP$3+#REF!),-1),""))</f>
        <v/>
      </c>
      <c r="BG124" s="502"/>
      <c r="BH124" s="503" t="str">
        <f>IF($G124="","",IF(AND($G124&gt;=30,$AT$3&lt;=BG$7),ROUND(BG124*($AP$3+#REF!),-1),""))</f>
        <v/>
      </c>
      <c r="BI124" s="503"/>
      <c r="BJ124" s="503" t="str">
        <f>IF($G124="","",IF(AND($G124&gt;=30,$AT$3&lt;=BI$7),ROUND(BI124*($AP$3+#REF!),-1),""))</f>
        <v/>
      </c>
      <c r="BK124" s="502"/>
      <c r="BL124" s="503" t="str">
        <f>IF($G124="","",IF(AND($G124&gt;=30,$AT$3&lt;=BK$7),ROUND(BK124*($AP$3+#REF!),-1),""))</f>
        <v/>
      </c>
      <c r="BM124" s="503"/>
      <c r="BN124" s="503" t="str">
        <f>IF($G124="","",IF(AND($G124&gt;=30,$AT$3&lt;=BM$7),ROUND(BM124*($AP$3+#REF!),-1),""))</f>
        <v/>
      </c>
      <c r="BO124" s="502"/>
      <c r="BP124" s="503" t="str">
        <f>IF($G124="","",IF(AND($G124&gt;=30,$AT$3&lt;=BO$7),ROUND(BO124*($AP$3+#REF!),-1),""))</f>
        <v/>
      </c>
      <c r="BQ124" s="503"/>
      <c r="BR124" s="503" t="str">
        <f>IF($G124="","",IF(AND($G124&gt;=30,$AT$3&lt;=BQ$7),ROUND(BQ124*($AP$3+#REF!),-1),""))</f>
        <v/>
      </c>
      <c r="BS124" s="502"/>
      <c r="BT124" s="503" t="str">
        <f>IF($G124="","",IF(AND($G124&gt;=30,$AT$3&lt;=BS$7),ROUND(BS124*($AP$3+#REF!),-1),""))</f>
        <v/>
      </c>
      <c r="BU124" s="503"/>
      <c r="BV124" s="503" t="str">
        <f>IF($G124="","",IF(AND($G124&gt;=30,$AT$3&lt;=BU$7),ROUND(BU124*($AP$3+#REF!),-1),""))</f>
        <v/>
      </c>
      <c r="BW124" s="502"/>
      <c r="BX124" s="503" t="str">
        <f>IF($G124="","",IF(AND($G124&gt;=30,$AT$3&lt;=BW$7),ROUND(BW124*($AP$3+#REF!),-1),""))</f>
        <v/>
      </c>
      <c r="BY124" s="503"/>
      <c r="BZ124" s="503" t="str">
        <f>IF($G124="","",IF(AND($G124&gt;=30,$AT$3&lt;=BY$7),ROUND(BY124*($AP$3+#REF!),-1),""))</f>
        <v/>
      </c>
      <c r="CA124" s="502"/>
      <c r="CB124" s="503" t="str">
        <f>IF($G124="","",IF(AND($G124&gt;=30,$AT$3&lt;=CA$7),ROUND(CA124*($AP$3+#REF!),-1),""))</f>
        <v/>
      </c>
      <c r="CC124" s="503"/>
      <c r="CD124" s="503" t="str">
        <f>IF($G124="","",IF(AND($G124&gt;=30,$AT$3&lt;=CC$7),ROUND(CC124*($AP$3+#REF!),-1),""))</f>
        <v/>
      </c>
      <c r="CE124" s="502"/>
      <c r="CF124" s="503" t="str">
        <f>IF($G124="","",IF(AND($G124&gt;=30,$AT$3&lt;=CE$7),ROUND(CE124*($AP$3+#REF!),-1),""))</f>
        <v/>
      </c>
      <c r="CG124" s="503"/>
      <c r="CH124" s="503" t="str">
        <f>IF($G124="","",IF(AND($G124&gt;=30,$AT$3&lt;=CG$7),ROUND(CG124*($AP$3+#REF!),-1),""))</f>
        <v/>
      </c>
      <c r="CI124" s="502"/>
      <c r="CJ124" s="503" t="str">
        <f>IF($G124="","",IF(AND($G124&gt;=30,$AT$3&lt;=CI$7),ROUND(CI124*($AP$3+#REF!),-1),""))</f>
        <v/>
      </c>
      <c r="CK124" s="503"/>
      <c r="CL124" s="503" t="str">
        <f>IF($G124="","",IF(AND($G124&gt;=30,$AT$3&lt;=CK$7),ROUND(CK124*($AP$3+#REF!),-1),""))</f>
        <v/>
      </c>
      <c r="CM124" s="502"/>
      <c r="CN124" s="503" t="str">
        <f>IF($G124="","",IF(AND($G124&gt;=30,$AT$3&lt;=CM$7),ROUND(CM124*($AP$3+#REF!),-1),""))</f>
        <v/>
      </c>
      <c r="CO124" s="503"/>
      <c r="CP124" s="503" t="str">
        <f>IF($G124="","",IF(AND($G124&gt;=30,$AT$3&lt;=CO$7),ROUND(CO124*($AP$3+#REF!),-1),""))</f>
        <v/>
      </c>
      <c r="CQ124" s="502"/>
      <c r="CR124" s="503" t="str">
        <f>IF($G124="","",IF(AND($G124&gt;=30,$AT$3&lt;=CQ$7),ROUND(CQ124*($AP$3+#REF!),-1),""))</f>
        <v/>
      </c>
      <c r="CS124" s="503"/>
      <c r="CT124" s="503" t="str">
        <f>IF($G124="","",IF(AND($G124&gt;=30,$AT$3&lt;=CS$7),ROUND(CS124*($AP$3+#REF!),-1),""))</f>
        <v/>
      </c>
      <c r="CU124" s="502"/>
      <c r="CV124" s="503" t="str">
        <f>IF($G124="","",IF(AND($G124&gt;=30,$AT$3&lt;=CU$7),ROUND(CU124*($AP$3+#REF!),-1),""))</f>
        <v/>
      </c>
      <c r="CW124" s="503"/>
      <c r="CX124" s="503" t="str">
        <f>IF($G124="","",IF(AND($G124&gt;=30,$AT$3&lt;=CW$7),ROUND(CW124*($AP$3+#REF!),-1),""))</f>
        <v/>
      </c>
      <c r="CY124" s="502"/>
      <c r="CZ124" s="503" t="str">
        <f>IF($G124="","",IF(AND($G124&gt;=30,$AT$3&lt;=CY$7),ROUND(CY124*($AP$3+#REF!),-1),""))</f>
        <v/>
      </c>
      <c r="DA124" s="503"/>
      <c r="DB124" s="503" t="str">
        <f>IF($G124="","",IF(AND($G124&gt;=30,$AT$3&lt;=DA$7),ROUND(DA124*($AP$3+#REF!),-1),""))</f>
        <v/>
      </c>
      <c r="DC124" s="502"/>
      <c r="DD124" s="503" t="str">
        <f>IF($G124="","",IF(AND($G124&gt;=30,$AT$3&lt;=DC$7),ROUND(DC124*($AP$3+#REF!),-1),""))</f>
        <v/>
      </c>
      <c r="DE124" s="503"/>
      <c r="DF124" s="503" t="str">
        <f>IF($G124="","",IF(AND($G124&gt;=30,$AT$3&lt;=DE$7),ROUND(DE124*($AP$3+#REF!),-1),""))</f>
        <v/>
      </c>
      <c r="DG124" s="503"/>
      <c r="DH124" s="503" t="str">
        <f>IF($G124="","",IF(AND($G124&gt;=30,$AT$3&lt;=DG$7),ROUND(DG124*($AP$3+#REF!),-1),""))</f>
        <v/>
      </c>
      <c r="DI124" s="503"/>
      <c r="DJ124" s="503" t="str">
        <f>IF($G124="","",IF(AND($G124&gt;=30,$AT$3&lt;=DI$7),ROUND(DI124*($AP$3+#REF!),-1),""))</f>
        <v/>
      </c>
      <c r="DK124" s="503"/>
      <c r="DL124" s="503" t="str">
        <f>IF($G124="","",IF(AND($G124&gt;=30,$AT$3&lt;=DK$7),ROUND(DK124*($AP$3+#REF!),-1),""))</f>
        <v/>
      </c>
      <c r="DM124" s="503"/>
      <c r="DN124" s="503" t="str">
        <f>IF($G124="","",IF(AND($G124&gt;=30,$AT$3&lt;=DM$7),ROUND(DM124*($AP$3+#REF!),-1),""))</f>
        <v/>
      </c>
      <c r="DO124" s="503"/>
      <c r="DP124" s="503" t="str">
        <f>IF($G124="","",IF(AND($G124&gt;=30,$AT$3&lt;=DO$7),ROUND(DO124*($AP$3+#REF!),-1),""))</f>
        <v/>
      </c>
      <c r="DQ124" s="503"/>
      <c r="DR124" s="503" t="str">
        <f>IF($G124="","",IF(AND($G124&gt;=30,$AT$3&lt;=DQ$7),ROUND(DQ124*($AP$3+#REF!),-1),""))</f>
        <v/>
      </c>
      <c r="DS124" s="503"/>
      <c r="DT124" s="503" t="str">
        <f>IF($G124="","",IF(AND($G124&gt;=30,$AT$3&lt;=DS$7),ROUND(DS124*($AP$3+#REF!),-1),""))</f>
        <v/>
      </c>
      <c r="DU124" s="503"/>
      <c r="DV124" s="503" t="str">
        <f>IF($G124="","",IF(AND($G124&gt;=30,$AT$3&lt;=DU$7),ROUND(DU124*($AP$3+#REF!),-1),""))</f>
        <v/>
      </c>
      <c r="DW124" s="503"/>
      <c r="DX124" s="503" t="str">
        <f>IF($G124="","",IF(AND($G124&gt;=30,$AT$3&lt;=DW$7),ROUND(DW124*($AP$3+#REF!),-1),""))</f>
        <v/>
      </c>
      <c r="DY124" s="503"/>
      <c r="DZ124" s="503" t="str">
        <f>IF($G124="","",IF(AND($G124&gt;=30,$AT$3&lt;=DY$7),ROUND(DY124*($AP$3+#REF!),-1),""))</f>
        <v/>
      </c>
      <c r="EA124" s="503"/>
      <c r="EB124" s="503" t="str">
        <f>IF($G124="","",IF(AND($G124&gt;=30,$AT$3&lt;=EA$7),ROUND(EA124*($AP$3+#REF!),-1),""))</f>
        <v/>
      </c>
      <c r="EC124" s="504" t="s">
        <v>621</v>
      </c>
      <c r="ED124" s="1126"/>
      <c r="EE124" s="325">
        <v>8</v>
      </c>
    </row>
    <row r="125" spans="1:135" ht="9.75" customHeight="1">
      <c r="A125" s="321" t="str">
        <f t="shared" si="37"/>
        <v/>
      </c>
      <c r="B125" s="567">
        <f>(ii!$D$13*12+V125)+1</f>
        <v>19</v>
      </c>
      <c r="C125" s="337">
        <f t="shared" si="30"/>
        <v>45930</v>
      </c>
      <c r="D125" s="484">
        <f t="shared" si="25"/>
        <v>2025</v>
      </c>
      <c r="E125" s="484">
        <f t="shared" si="26"/>
        <v>0.75</v>
      </c>
      <c r="F125" s="484">
        <f t="shared" si="27"/>
        <v>2025.75</v>
      </c>
      <c r="G125" s="485" t="str">
        <f>IF(OR(C125&lt;$I$2,C125&gt;$J$3),"",(ii!$D$13*12+V125+1)/12)</f>
        <v/>
      </c>
      <c r="H125" s="486"/>
      <c r="I125" s="486"/>
      <c r="J125" s="487"/>
      <c r="K125" s="488"/>
      <c r="L125" s="548"/>
      <c r="M125" s="489" t="str">
        <f t="shared" si="32"/>
        <v/>
      </c>
      <c r="N125" s="490" t="s">
        <v>621</v>
      </c>
      <c r="O125" s="490" t="str">
        <f t="shared" si="28"/>
        <v/>
      </c>
      <c r="P125" s="491"/>
      <c r="Q125" s="491"/>
      <c r="R125" s="491" t="str">
        <f t="shared" si="29"/>
        <v/>
      </c>
      <c r="S125" s="528" t="str">
        <f t="shared" si="24"/>
        <v/>
      </c>
      <c r="T125" s="528" t="str">
        <f t="shared" si="36"/>
        <v/>
      </c>
      <c r="U125" s="493" t="str">
        <f>IF(H125="","",#REF!*12+#REF!+#REF!*12+#REF!)</f>
        <v/>
      </c>
      <c r="V125" s="338">
        <f>IF(ii!$J$3&gt;gg!C125,"",IF(AND((YEAR(C125)=YEAR($I$2)),MONTH(C125)=MONTH($I$2)),ii!$B$14*12+ii!$C$14+ii!$B$15*12+ii!$C$15-1,V124+1))</f>
        <v>18</v>
      </c>
      <c r="W125" s="339">
        <f t="shared" si="31"/>
        <v>1.5</v>
      </c>
      <c r="X125" s="494" t="s">
        <v>621</v>
      </c>
      <c r="Y125" s="495" t="s">
        <v>621</v>
      </c>
      <c r="Z125" s="496"/>
      <c r="AA125" s="497"/>
      <c r="AB125" s="498" t="e">
        <f t="shared" si="35"/>
        <v>#VALUE!</v>
      </c>
      <c r="AC125" s="484" t="str">
        <f t="shared" si="33"/>
        <v/>
      </c>
      <c r="AD125" s="495" t="str">
        <f t="shared" si="34"/>
        <v/>
      </c>
      <c r="AE125" s="499" t="s">
        <v>621</v>
      </c>
      <c r="AF125" s="500" t="s">
        <v>621</v>
      </c>
      <c r="AG125" s="556" t="s">
        <v>621</v>
      </c>
      <c r="AH125" s="503" t="str">
        <f>IF($G125="","",IF(AND($G125&gt;=30,$AT$3&lt;=AG$7),ROUND(AG125*($AP$3+#REF!),-1),""))</f>
        <v/>
      </c>
      <c r="AI125" s="506" t="s">
        <v>621</v>
      </c>
      <c r="AJ125" s="503" t="str">
        <f>IF($G125="","",IF(AND($G125&gt;=30,$AT$3&lt;=AI$7),ROUND(AI125*($AP$3+#REF!),-1),""))</f>
        <v/>
      </c>
      <c r="AK125" s="506" t="s">
        <v>621</v>
      </c>
      <c r="AL125" s="503" t="str">
        <f>IF($G125="","",IF(AND($G125&gt;=30,$AT$3&lt;=AK$7),ROUND(AK125*($AP$3+#REF!),-1),""))</f>
        <v/>
      </c>
      <c r="AM125" s="506" t="s">
        <v>621</v>
      </c>
      <c r="AN125" s="503" t="str">
        <f>IF($G125="","",IF(AND($G125&gt;=30,$AT$3&lt;=AM$7),ROUND(AM125*($AP$3+#REF!),-1),""))</f>
        <v/>
      </c>
      <c r="AO125" s="503" t="e">
        <v>#REF!</v>
      </c>
      <c r="AP125" s="503" t="str">
        <f>IF($G125="","",IF(AND($G125&gt;=30,$AT$3&lt;=AO$7),ROUND(AO125*($AP$3+#REF!),-1),""))</f>
        <v/>
      </c>
      <c r="AQ125" s="503" t="s">
        <v>621</v>
      </c>
      <c r="AR125" s="503" t="str">
        <f>IF($G125="","",IF(AND($G125&gt;=30,$AT$3&lt;=AQ$7),ROUND(AQ125*($AP$3+#REF!),-1),""))</f>
        <v/>
      </c>
      <c r="AS125" s="503" t="s">
        <v>621</v>
      </c>
      <c r="AT125" s="503" t="str">
        <f>IF($G125="","",IF(AND($G125&gt;=30,$AT$3&lt;=AS$7),ROUND(AS125*($AP$3+#REF!),-1),""))</f>
        <v/>
      </c>
      <c r="AU125" s="503" t="s">
        <v>621</v>
      </c>
      <c r="AV125" s="503" t="str">
        <f>IF($G125="","",IF(AND($G125&gt;=30,$AT$3&lt;=AU$7),ROUND(AU125*($AP$3+#REF!),-1),""))</f>
        <v/>
      </c>
      <c r="AW125" s="503" t="s">
        <v>621</v>
      </c>
      <c r="AX125" s="503" t="str">
        <f>IF($G125="","",IF(AND($G125&gt;=30,$AT$3&lt;=AW$7),ROUND(AW125*($AP$3+#REF!),-1),""))</f>
        <v/>
      </c>
      <c r="AY125" s="517" t="e">
        <v>#REF!</v>
      </c>
      <c r="AZ125" s="503" t="str">
        <f>IF($G125="","",IF(AND($G125&gt;=30,$AT$3&lt;=AY$7),ROUND(AY125*($AP$3+#REF!),-1),""))</f>
        <v/>
      </c>
      <c r="BA125" s="503"/>
      <c r="BB125" s="503" t="str">
        <f>IF($G125="","",IF(AND($G125&gt;=30,$AT$3&lt;=BA$7),ROUND(BA125*($AP$3+#REF!),-1),""))</f>
        <v/>
      </c>
      <c r="BC125" s="502"/>
      <c r="BD125" s="503" t="str">
        <f>IF($G125="","",IF(AND($G125&gt;=30,$AT$3&lt;=BC$7),ROUND(BC125*($AP$3+#REF!),-1),""))</f>
        <v/>
      </c>
      <c r="BE125" s="503"/>
      <c r="BF125" s="503" t="str">
        <f>IF($G125="","",IF(AND($G125&gt;=30,$AT$3&lt;=BE$7),ROUND(BE125*($AP$3+#REF!),-1),""))</f>
        <v/>
      </c>
      <c r="BG125" s="502"/>
      <c r="BH125" s="503" t="str">
        <f>IF($G125="","",IF(AND($G125&gt;=30,$AT$3&lt;=BG$7),ROUND(BG125*($AP$3+#REF!),-1),""))</f>
        <v/>
      </c>
      <c r="BI125" s="503"/>
      <c r="BJ125" s="503" t="str">
        <f>IF($G125="","",IF(AND($G125&gt;=30,$AT$3&lt;=BI$7),ROUND(BI125*($AP$3+#REF!),-1),""))</f>
        <v/>
      </c>
      <c r="BK125" s="502"/>
      <c r="BL125" s="503" t="str">
        <f>IF($G125="","",IF(AND($G125&gt;=30,$AT$3&lt;=BK$7),ROUND(BK125*($AP$3+#REF!),-1),""))</f>
        <v/>
      </c>
      <c r="BM125" s="503"/>
      <c r="BN125" s="503" t="str">
        <f>IF($G125="","",IF(AND($G125&gt;=30,$AT$3&lt;=BM$7),ROUND(BM125*($AP$3+#REF!),-1),""))</f>
        <v/>
      </c>
      <c r="BO125" s="502"/>
      <c r="BP125" s="503" t="str">
        <f>IF($G125="","",IF(AND($G125&gt;=30,$AT$3&lt;=BO$7),ROUND(BO125*($AP$3+#REF!),-1),""))</f>
        <v/>
      </c>
      <c r="BQ125" s="503"/>
      <c r="BR125" s="503" t="str">
        <f>IF($G125="","",IF(AND($G125&gt;=30,$AT$3&lt;=BQ$7),ROUND(BQ125*($AP$3+#REF!),-1),""))</f>
        <v/>
      </c>
      <c r="BS125" s="502"/>
      <c r="BT125" s="503" t="str">
        <f>IF($G125="","",IF(AND($G125&gt;=30,$AT$3&lt;=BS$7),ROUND(BS125*($AP$3+#REF!),-1),""))</f>
        <v/>
      </c>
      <c r="BU125" s="503"/>
      <c r="BV125" s="503" t="str">
        <f>IF($G125="","",IF(AND($G125&gt;=30,$AT$3&lt;=BU$7),ROUND(BU125*($AP$3+#REF!),-1),""))</f>
        <v/>
      </c>
      <c r="BW125" s="502"/>
      <c r="BX125" s="503" t="str">
        <f>IF($G125="","",IF(AND($G125&gt;=30,$AT$3&lt;=BW$7),ROUND(BW125*($AP$3+#REF!),-1),""))</f>
        <v/>
      </c>
      <c r="BY125" s="503"/>
      <c r="BZ125" s="503" t="str">
        <f>IF($G125="","",IF(AND($G125&gt;=30,$AT$3&lt;=BY$7),ROUND(BY125*($AP$3+#REF!),-1),""))</f>
        <v/>
      </c>
      <c r="CA125" s="502"/>
      <c r="CB125" s="503" t="str">
        <f>IF($G125="","",IF(AND($G125&gt;=30,$AT$3&lt;=CA$7),ROUND(CA125*($AP$3+#REF!),-1),""))</f>
        <v/>
      </c>
      <c r="CC125" s="503"/>
      <c r="CD125" s="503" t="str">
        <f>IF($G125="","",IF(AND($G125&gt;=30,$AT$3&lt;=CC$7),ROUND(CC125*($AP$3+#REF!),-1),""))</f>
        <v/>
      </c>
      <c r="CE125" s="502"/>
      <c r="CF125" s="503" t="str">
        <f>IF($G125="","",IF(AND($G125&gt;=30,$AT$3&lt;=CE$7),ROUND(CE125*($AP$3+#REF!),-1),""))</f>
        <v/>
      </c>
      <c r="CG125" s="503"/>
      <c r="CH125" s="503" t="str">
        <f>IF($G125="","",IF(AND($G125&gt;=30,$AT$3&lt;=CG$7),ROUND(CG125*($AP$3+#REF!),-1),""))</f>
        <v/>
      </c>
      <c r="CI125" s="502"/>
      <c r="CJ125" s="503" t="str">
        <f>IF($G125="","",IF(AND($G125&gt;=30,$AT$3&lt;=CI$7),ROUND(CI125*($AP$3+#REF!),-1),""))</f>
        <v/>
      </c>
      <c r="CK125" s="503"/>
      <c r="CL125" s="503" t="str">
        <f>IF($G125="","",IF(AND($G125&gt;=30,$AT$3&lt;=CK$7),ROUND(CK125*($AP$3+#REF!),-1),""))</f>
        <v/>
      </c>
      <c r="CM125" s="502"/>
      <c r="CN125" s="503" t="str">
        <f>IF($G125="","",IF(AND($G125&gt;=30,$AT$3&lt;=CM$7),ROUND(CM125*($AP$3+#REF!),-1),""))</f>
        <v/>
      </c>
      <c r="CO125" s="503"/>
      <c r="CP125" s="503" t="str">
        <f>IF($G125="","",IF(AND($G125&gt;=30,$AT$3&lt;=CO$7),ROUND(CO125*($AP$3+#REF!),-1),""))</f>
        <v/>
      </c>
      <c r="CQ125" s="502"/>
      <c r="CR125" s="503" t="str">
        <f>IF($G125="","",IF(AND($G125&gt;=30,$AT$3&lt;=CQ$7),ROUND(CQ125*($AP$3+#REF!),-1),""))</f>
        <v/>
      </c>
      <c r="CS125" s="503"/>
      <c r="CT125" s="503" t="str">
        <f>IF($G125="","",IF(AND($G125&gt;=30,$AT$3&lt;=CS$7),ROUND(CS125*($AP$3+#REF!),-1),""))</f>
        <v/>
      </c>
      <c r="CU125" s="502"/>
      <c r="CV125" s="503" t="str">
        <f>IF($G125="","",IF(AND($G125&gt;=30,$AT$3&lt;=CU$7),ROUND(CU125*($AP$3+#REF!),-1),""))</f>
        <v/>
      </c>
      <c r="CW125" s="503"/>
      <c r="CX125" s="503" t="str">
        <f>IF($G125="","",IF(AND($G125&gt;=30,$AT$3&lt;=CW$7),ROUND(CW125*($AP$3+#REF!),-1),""))</f>
        <v/>
      </c>
      <c r="CY125" s="502"/>
      <c r="CZ125" s="503" t="str">
        <f>IF($G125="","",IF(AND($G125&gt;=30,$AT$3&lt;=CY$7),ROUND(CY125*($AP$3+#REF!),-1),""))</f>
        <v/>
      </c>
      <c r="DA125" s="503"/>
      <c r="DB125" s="503" t="str">
        <f>IF($G125="","",IF(AND($G125&gt;=30,$AT$3&lt;=DA$7),ROUND(DA125*($AP$3+#REF!),-1),""))</f>
        <v/>
      </c>
      <c r="DC125" s="502"/>
      <c r="DD125" s="503" t="str">
        <f>IF($G125="","",IF(AND($G125&gt;=30,$AT$3&lt;=DC$7),ROUND(DC125*($AP$3+#REF!),-1),""))</f>
        <v/>
      </c>
      <c r="DE125" s="503"/>
      <c r="DF125" s="503" t="str">
        <f>IF($G125="","",IF(AND($G125&gt;=30,$AT$3&lt;=DE$7),ROUND(DE125*($AP$3+#REF!),-1),""))</f>
        <v/>
      </c>
      <c r="DG125" s="503"/>
      <c r="DH125" s="503" t="str">
        <f>IF($G125="","",IF(AND($G125&gt;=30,$AT$3&lt;=DG$7),ROUND(DG125*($AP$3+#REF!),-1),""))</f>
        <v/>
      </c>
      <c r="DI125" s="503"/>
      <c r="DJ125" s="503" t="str">
        <f>IF($G125="","",IF(AND($G125&gt;=30,$AT$3&lt;=DI$7),ROUND(DI125*($AP$3+#REF!),-1),""))</f>
        <v/>
      </c>
      <c r="DK125" s="503"/>
      <c r="DL125" s="503" t="str">
        <f>IF($G125="","",IF(AND($G125&gt;=30,$AT$3&lt;=DK$7),ROUND(DK125*($AP$3+#REF!),-1),""))</f>
        <v/>
      </c>
      <c r="DM125" s="503"/>
      <c r="DN125" s="503" t="str">
        <f>IF($G125="","",IF(AND($G125&gt;=30,$AT$3&lt;=DM$7),ROUND(DM125*($AP$3+#REF!),-1),""))</f>
        <v/>
      </c>
      <c r="DO125" s="503"/>
      <c r="DP125" s="503" t="str">
        <f>IF($G125="","",IF(AND($G125&gt;=30,$AT$3&lt;=DO$7),ROUND(DO125*($AP$3+#REF!),-1),""))</f>
        <v/>
      </c>
      <c r="DQ125" s="503"/>
      <c r="DR125" s="503" t="str">
        <f>IF($G125="","",IF(AND($G125&gt;=30,$AT$3&lt;=DQ$7),ROUND(DQ125*($AP$3+#REF!),-1),""))</f>
        <v/>
      </c>
      <c r="DS125" s="503"/>
      <c r="DT125" s="503" t="str">
        <f>IF($G125="","",IF(AND($G125&gt;=30,$AT$3&lt;=DS$7),ROUND(DS125*($AP$3+#REF!),-1),""))</f>
        <v/>
      </c>
      <c r="DU125" s="503"/>
      <c r="DV125" s="503" t="str">
        <f>IF($G125="","",IF(AND($G125&gt;=30,$AT$3&lt;=DU$7),ROUND(DU125*($AP$3+#REF!),-1),""))</f>
        <v/>
      </c>
      <c r="DW125" s="503"/>
      <c r="DX125" s="503" t="str">
        <f>IF($G125="","",IF(AND($G125&gt;=30,$AT$3&lt;=DW$7),ROUND(DW125*($AP$3+#REF!),-1),""))</f>
        <v/>
      </c>
      <c r="DY125" s="503"/>
      <c r="DZ125" s="503" t="str">
        <f>IF($G125="","",IF(AND($G125&gt;=30,$AT$3&lt;=DY$7),ROUND(DY125*($AP$3+#REF!),-1),""))</f>
        <v/>
      </c>
      <c r="EA125" s="503"/>
      <c r="EB125" s="503" t="str">
        <f>IF($G125="","",IF(AND($G125&gt;=30,$AT$3&lt;=EA$7),ROUND(EA125*($AP$3+#REF!),-1),""))</f>
        <v/>
      </c>
      <c r="EC125" s="504" t="s">
        <v>621</v>
      </c>
      <c r="ED125" s="1126"/>
      <c r="EE125" s="325">
        <v>9</v>
      </c>
    </row>
    <row r="126" spans="1:135" ht="9.75" customHeight="1">
      <c r="A126" s="321" t="str">
        <f t="shared" si="37"/>
        <v/>
      </c>
      <c r="B126" s="567">
        <f>(ii!$D$13*12+V126)+1</f>
        <v>20</v>
      </c>
      <c r="C126" s="337">
        <f t="shared" si="30"/>
        <v>45961</v>
      </c>
      <c r="D126" s="484">
        <f t="shared" si="25"/>
        <v>2025</v>
      </c>
      <c r="E126" s="484">
        <f t="shared" si="26"/>
        <v>0.83333333333333337</v>
      </c>
      <c r="F126" s="484">
        <f t="shared" si="27"/>
        <v>2025.8333333333333</v>
      </c>
      <c r="G126" s="485" t="str">
        <f>IF(OR(C126&lt;$I$2,C126&gt;$J$3),"",(ii!$D$13*12+V126+1)/12)</f>
        <v/>
      </c>
      <c r="H126" s="486"/>
      <c r="I126" s="486"/>
      <c r="J126" s="487"/>
      <c r="K126" s="488"/>
      <c r="L126" s="548"/>
      <c r="M126" s="489" t="str">
        <f t="shared" si="32"/>
        <v/>
      </c>
      <c r="N126" s="490" t="s">
        <v>621</v>
      </c>
      <c r="O126" s="490" t="str">
        <f t="shared" si="28"/>
        <v/>
      </c>
      <c r="P126" s="491"/>
      <c r="Q126" s="491"/>
      <c r="R126" s="491" t="str">
        <f t="shared" si="29"/>
        <v/>
      </c>
      <c r="S126" s="528" t="str">
        <f t="shared" si="24"/>
        <v/>
      </c>
      <c r="T126" s="528" t="str">
        <f t="shared" si="36"/>
        <v/>
      </c>
      <c r="U126" s="493" t="str">
        <f>IF(H126="","",#REF!*12+#REF!+#REF!*12+#REF!)</f>
        <v/>
      </c>
      <c r="V126" s="338">
        <f>IF(ii!$J$3&gt;gg!C126,"",IF(AND((YEAR(C126)=YEAR($I$2)),MONTH(C126)=MONTH($I$2)),ii!$B$14*12+ii!$C$14+ii!$B$15*12+ii!$C$15-1,V125+1))</f>
        <v>19</v>
      </c>
      <c r="W126" s="339">
        <f t="shared" si="31"/>
        <v>1.5833333333333333</v>
      </c>
      <c r="X126" s="494" t="s">
        <v>621</v>
      </c>
      <c r="Y126" s="495" t="s">
        <v>621</v>
      </c>
      <c r="Z126" s="496"/>
      <c r="AA126" s="497"/>
      <c r="AB126" s="498" t="e">
        <f t="shared" si="35"/>
        <v>#VALUE!</v>
      </c>
      <c r="AC126" s="484" t="str">
        <f t="shared" si="33"/>
        <v/>
      </c>
      <c r="AD126" s="495" t="str">
        <f t="shared" si="34"/>
        <v/>
      </c>
      <c r="AE126" s="499" t="s">
        <v>621</v>
      </c>
      <c r="AF126" s="500" t="s">
        <v>621</v>
      </c>
      <c r="AG126" s="556" t="s">
        <v>621</v>
      </c>
      <c r="AH126" s="503" t="str">
        <f>IF($G126="","",IF(AND($G126&gt;=30,$AT$3&lt;=AG$7),ROUND(AG126*($AP$3+#REF!),-1),""))</f>
        <v/>
      </c>
      <c r="AI126" s="506" t="s">
        <v>621</v>
      </c>
      <c r="AJ126" s="503" t="str">
        <f>IF($G126="","",IF(AND($G126&gt;=30,$AT$3&lt;=AI$7),ROUND(AI126*($AP$3+#REF!),-1),""))</f>
        <v/>
      </c>
      <c r="AK126" s="506" t="s">
        <v>621</v>
      </c>
      <c r="AL126" s="503" t="str">
        <f>IF($G126="","",IF(AND($G126&gt;=30,$AT$3&lt;=AK$7),ROUND(AK126*($AP$3+#REF!),-1),""))</f>
        <v/>
      </c>
      <c r="AM126" s="506" t="s">
        <v>621</v>
      </c>
      <c r="AN126" s="503" t="str">
        <f>IF($G126="","",IF(AND($G126&gt;=30,$AT$3&lt;=AM$7),ROUND(AM126*($AP$3+#REF!),-1),""))</f>
        <v/>
      </c>
      <c r="AO126" s="503" t="e">
        <v>#REF!</v>
      </c>
      <c r="AP126" s="503" t="str">
        <f>IF($G126="","",IF(AND($G126&gt;=30,$AT$3&lt;=AO$7),ROUND(AO126*($AP$3+#REF!),-1),""))</f>
        <v/>
      </c>
      <c r="AQ126" s="503" t="s">
        <v>621</v>
      </c>
      <c r="AR126" s="503" t="str">
        <f>IF($G126="","",IF(AND($G126&gt;=30,$AT$3&lt;=AQ$7),ROUND(AQ126*($AP$3+#REF!),-1),""))</f>
        <v/>
      </c>
      <c r="AS126" s="503" t="s">
        <v>621</v>
      </c>
      <c r="AT126" s="503" t="str">
        <f>IF($G126="","",IF(AND($G126&gt;=30,$AT$3&lt;=AS$7),ROUND(AS126*($AP$3+#REF!),-1),""))</f>
        <v/>
      </c>
      <c r="AU126" s="503" t="s">
        <v>621</v>
      </c>
      <c r="AV126" s="503" t="str">
        <f>IF($G126="","",IF(AND($G126&gt;=30,$AT$3&lt;=AU$7),ROUND(AU126*($AP$3+#REF!),-1),""))</f>
        <v/>
      </c>
      <c r="AW126" s="503" t="s">
        <v>621</v>
      </c>
      <c r="AX126" s="503" t="str">
        <f>IF($G126="","",IF(AND($G126&gt;=30,$AT$3&lt;=AW$7),ROUND(AW126*($AP$3+#REF!),-1),""))</f>
        <v/>
      </c>
      <c r="AY126" s="517" t="e">
        <v>#REF!</v>
      </c>
      <c r="AZ126" s="503" t="str">
        <f>IF($G126="","",IF(AND($G126&gt;=30,$AT$3&lt;=AY$7),ROUND(AY126*($AP$3+#REF!),-1),""))</f>
        <v/>
      </c>
      <c r="BA126" s="503"/>
      <c r="BB126" s="503" t="str">
        <f>IF($G126="","",IF(AND($G126&gt;=30,$AT$3&lt;=BA$7),ROUND(BA126*($AP$3+#REF!),-1),""))</f>
        <v/>
      </c>
      <c r="BC126" s="502"/>
      <c r="BD126" s="503" t="str">
        <f>IF($G126="","",IF(AND($G126&gt;=30,$AT$3&lt;=BC$7),ROUND(BC126*($AP$3+#REF!),-1),""))</f>
        <v/>
      </c>
      <c r="BE126" s="503"/>
      <c r="BF126" s="503" t="str">
        <f>IF($G126="","",IF(AND($G126&gt;=30,$AT$3&lt;=BE$7),ROUND(BE126*($AP$3+#REF!),-1),""))</f>
        <v/>
      </c>
      <c r="BG126" s="502"/>
      <c r="BH126" s="503" t="str">
        <f>IF($G126="","",IF(AND($G126&gt;=30,$AT$3&lt;=BG$7),ROUND(BG126*($AP$3+#REF!),-1),""))</f>
        <v/>
      </c>
      <c r="BI126" s="503"/>
      <c r="BJ126" s="503" t="str">
        <f>IF($G126="","",IF(AND($G126&gt;=30,$AT$3&lt;=BI$7),ROUND(BI126*($AP$3+#REF!),-1),""))</f>
        <v/>
      </c>
      <c r="BK126" s="502"/>
      <c r="BL126" s="503" t="str">
        <f>IF($G126="","",IF(AND($G126&gt;=30,$AT$3&lt;=BK$7),ROUND(BK126*($AP$3+#REF!),-1),""))</f>
        <v/>
      </c>
      <c r="BM126" s="503"/>
      <c r="BN126" s="503" t="str">
        <f>IF($G126="","",IF(AND($G126&gt;=30,$AT$3&lt;=BM$7),ROUND(BM126*($AP$3+#REF!),-1),""))</f>
        <v/>
      </c>
      <c r="BO126" s="502"/>
      <c r="BP126" s="503" t="str">
        <f>IF($G126="","",IF(AND($G126&gt;=30,$AT$3&lt;=BO$7),ROUND(BO126*($AP$3+#REF!),-1),""))</f>
        <v/>
      </c>
      <c r="BQ126" s="503"/>
      <c r="BR126" s="503" t="str">
        <f>IF($G126="","",IF(AND($G126&gt;=30,$AT$3&lt;=BQ$7),ROUND(BQ126*($AP$3+#REF!),-1),""))</f>
        <v/>
      </c>
      <c r="BS126" s="502"/>
      <c r="BT126" s="503" t="str">
        <f>IF($G126="","",IF(AND($G126&gt;=30,$AT$3&lt;=BS$7),ROUND(BS126*($AP$3+#REF!),-1),""))</f>
        <v/>
      </c>
      <c r="BU126" s="503"/>
      <c r="BV126" s="503" t="str">
        <f>IF($G126="","",IF(AND($G126&gt;=30,$AT$3&lt;=BU$7),ROUND(BU126*($AP$3+#REF!),-1),""))</f>
        <v/>
      </c>
      <c r="BW126" s="502"/>
      <c r="BX126" s="503" t="str">
        <f>IF($G126="","",IF(AND($G126&gt;=30,$AT$3&lt;=BW$7),ROUND(BW126*($AP$3+#REF!),-1),""))</f>
        <v/>
      </c>
      <c r="BY126" s="503"/>
      <c r="BZ126" s="503" t="str">
        <f>IF($G126="","",IF(AND($G126&gt;=30,$AT$3&lt;=BY$7),ROUND(BY126*($AP$3+#REF!),-1),""))</f>
        <v/>
      </c>
      <c r="CA126" s="502"/>
      <c r="CB126" s="503" t="str">
        <f>IF($G126="","",IF(AND($G126&gt;=30,$AT$3&lt;=CA$7),ROUND(CA126*($AP$3+#REF!),-1),""))</f>
        <v/>
      </c>
      <c r="CC126" s="503"/>
      <c r="CD126" s="503" t="str">
        <f>IF($G126="","",IF(AND($G126&gt;=30,$AT$3&lt;=CC$7),ROUND(CC126*($AP$3+#REF!),-1),""))</f>
        <v/>
      </c>
      <c r="CE126" s="502"/>
      <c r="CF126" s="503" t="str">
        <f>IF($G126="","",IF(AND($G126&gt;=30,$AT$3&lt;=CE$7),ROUND(CE126*($AP$3+#REF!),-1),""))</f>
        <v/>
      </c>
      <c r="CG126" s="503"/>
      <c r="CH126" s="503" t="str">
        <f>IF($G126="","",IF(AND($G126&gt;=30,$AT$3&lt;=CG$7),ROUND(CG126*($AP$3+#REF!),-1),""))</f>
        <v/>
      </c>
      <c r="CI126" s="502"/>
      <c r="CJ126" s="503" t="str">
        <f>IF($G126="","",IF(AND($G126&gt;=30,$AT$3&lt;=CI$7),ROUND(CI126*($AP$3+#REF!),-1),""))</f>
        <v/>
      </c>
      <c r="CK126" s="503"/>
      <c r="CL126" s="503" t="str">
        <f>IF($G126="","",IF(AND($G126&gt;=30,$AT$3&lt;=CK$7),ROUND(CK126*($AP$3+#REF!),-1),""))</f>
        <v/>
      </c>
      <c r="CM126" s="502"/>
      <c r="CN126" s="503" t="str">
        <f>IF($G126="","",IF(AND($G126&gt;=30,$AT$3&lt;=CM$7),ROUND(CM126*($AP$3+#REF!),-1),""))</f>
        <v/>
      </c>
      <c r="CO126" s="503"/>
      <c r="CP126" s="503" t="str">
        <f>IF($G126="","",IF(AND($G126&gt;=30,$AT$3&lt;=CO$7),ROUND(CO126*($AP$3+#REF!),-1),""))</f>
        <v/>
      </c>
      <c r="CQ126" s="502"/>
      <c r="CR126" s="503" t="str">
        <f>IF($G126="","",IF(AND($G126&gt;=30,$AT$3&lt;=CQ$7),ROUND(CQ126*($AP$3+#REF!),-1),""))</f>
        <v/>
      </c>
      <c r="CS126" s="503"/>
      <c r="CT126" s="503" t="str">
        <f>IF($G126="","",IF(AND($G126&gt;=30,$AT$3&lt;=CS$7),ROUND(CS126*($AP$3+#REF!),-1),""))</f>
        <v/>
      </c>
      <c r="CU126" s="502"/>
      <c r="CV126" s="503" t="str">
        <f>IF($G126="","",IF(AND($G126&gt;=30,$AT$3&lt;=CU$7),ROUND(CU126*($AP$3+#REF!),-1),""))</f>
        <v/>
      </c>
      <c r="CW126" s="503"/>
      <c r="CX126" s="503" t="str">
        <f>IF($G126="","",IF(AND($G126&gt;=30,$AT$3&lt;=CW$7),ROUND(CW126*($AP$3+#REF!),-1),""))</f>
        <v/>
      </c>
      <c r="CY126" s="502"/>
      <c r="CZ126" s="503" t="str">
        <f>IF($G126="","",IF(AND($G126&gt;=30,$AT$3&lt;=CY$7),ROUND(CY126*($AP$3+#REF!),-1),""))</f>
        <v/>
      </c>
      <c r="DA126" s="503"/>
      <c r="DB126" s="503" t="str">
        <f>IF($G126="","",IF(AND($G126&gt;=30,$AT$3&lt;=DA$7),ROUND(DA126*($AP$3+#REF!),-1),""))</f>
        <v/>
      </c>
      <c r="DC126" s="502"/>
      <c r="DD126" s="503" t="str">
        <f>IF($G126="","",IF(AND($G126&gt;=30,$AT$3&lt;=DC$7),ROUND(DC126*($AP$3+#REF!),-1),""))</f>
        <v/>
      </c>
      <c r="DE126" s="503"/>
      <c r="DF126" s="503" t="str">
        <f>IF($G126="","",IF(AND($G126&gt;=30,$AT$3&lt;=DE$7),ROUND(DE126*($AP$3+#REF!),-1),""))</f>
        <v/>
      </c>
      <c r="DG126" s="503"/>
      <c r="DH126" s="503" t="str">
        <f>IF($G126="","",IF(AND($G126&gt;=30,$AT$3&lt;=DG$7),ROUND(DG126*($AP$3+#REF!),-1),""))</f>
        <v/>
      </c>
      <c r="DI126" s="503"/>
      <c r="DJ126" s="503" t="str">
        <f>IF($G126="","",IF(AND($G126&gt;=30,$AT$3&lt;=DI$7),ROUND(DI126*($AP$3+#REF!),-1),""))</f>
        <v/>
      </c>
      <c r="DK126" s="503"/>
      <c r="DL126" s="503" t="str">
        <f>IF($G126="","",IF(AND($G126&gt;=30,$AT$3&lt;=DK$7),ROUND(DK126*($AP$3+#REF!),-1),""))</f>
        <v/>
      </c>
      <c r="DM126" s="503"/>
      <c r="DN126" s="503" t="str">
        <f>IF($G126="","",IF(AND($G126&gt;=30,$AT$3&lt;=DM$7),ROUND(DM126*($AP$3+#REF!),-1),""))</f>
        <v/>
      </c>
      <c r="DO126" s="503"/>
      <c r="DP126" s="503" t="str">
        <f>IF($G126="","",IF(AND($G126&gt;=30,$AT$3&lt;=DO$7),ROUND(DO126*($AP$3+#REF!),-1),""))</f>
        <v/>
      </c>
      <c r="DQ126" s="503"/>
      <c r="DR126" s="503" t="str">
        <f>IF($G126="","",IF(AND($G126&gt;=30,$AT$3&lt;=DQ$7),ROUND(DQ126*($AP$3+#REF!),-1),""))</f>
        <v/>
      </c>
      <c r="DS126" s="503"/>
      <c r="DT126" s="503" t="str">
        <f>IF($G126="","",IF(AND($G126&gt;=30,$AT$3&lt;=DS$7),ROUND(DS126*($AP$3+#REF!),-1),""))</f>
        <v/>
      </c>
      <c r="DU126" s="503"/>
      <c r="DV126" s="503" t="str">
        <f>IF($G126="","",IF(AND($G126&gt;=30,$AT$3&lt;=DU$7),ROUND(DU126*($AP$3+#REF!),-1),""))</f>
        <v/>
      </c>
      <c r="DW126" s="503"/>
      <c r="DX126" s="503" t="str">
        <f>IF($G126="","",IF(AND($G126&gt;=30,$AT$3&lt;=DW$7),ROUND(DW126*($AP$3+#REF!),-1),""))</f>
        <v/>
      </c>
      <c r="DY126" s="503"/>
      <c r="DZ126" s="503" t="str">
        <f>IF($G126="","",IF(AND($G126&gt;=30,$AT$3&lt;=DY$7),ROUND(DY126*($AP$3+#REF!),-1),""))</f>
        <v/>
      </c>
      <c r="EA126" s="503"/>
      <c r="EB126" s="503" t="str">
        <f>IF($G126="","",IF(AND($G126&gt;=30,$AT$3&lt;=EA$7),ROUND(EA126*($AP$3+#REF!),-1),""))</f>
        <v/>
      </c>
      <c r="EC126" s="504" t="s">
        <v>621</v>
      </c>
      <c r="ED126" s="1126"/>
      <c r="EE126" s="325">
        <v>10</v>
      </c>
    </row>
    <row r="127" spans="1:135" ht="9.75" customHeight="1">
      <c r="A127" s="321" t="str">
        <f t="shared" si="37"/>
        <v/>
      </c>
      <c r="B127" s="567">
        <f>(ii!$D$13*12+V127)+1</f>
        <v>21</v>
      </c>
      <c r="C127" s="337">
        <f t="shared" si="30"/>
        <v>45991</v>
      </c>
      <c r="D127" s="484">
        <f t="shared" si="25"/>
        <v>2025</v>
      </c>
      <c r="E127" s="484">
        <f t="shared" si="26"/>
        <v>0.91666666666666663</v>
      </c>
      <c r="F127" s="484">
        <f t="shared" si="27"/>
        <v>2025.9166666666667</v>
      </c>
      <c r="G127" s="485" t="str">
        <f>IF(OR(C127&lt;$I$2,C127&gt;$J$3),"",(ii!$D$13*12+V127+1)/12)</f>
        <v/>
      </c>
      <c r="H127" s="486"/>
      <c r="I127" s="486"/>
      <c r="J127" s="487"/>
      <c r="K127" s="488"/>
      <c r="L127" s="548"/>
      <c r="M127" s="489" t="str">
        <f t="shared" si="32"/>
        <v/>
      </c>
      <c r="N127" s="490" t="s">
        <v>621</v>
      </c>
      <c r="O127" s="490" t="str">
        <f t="shared" si="28"/>
        <v/>
      </c>
      <c r="P127" s="491"/>
      <c r="Q127" s="491"/>
      <c r="R127" s="491" t="str">
        <f t="shared" si="29"/>
        <v/>
      </c>
      <c r="S127" s="528" t="str">
        <f t="shared" si="24"/>
        <v/>
      </c>
      <c r="T127" s="528" t="str">
        <f t="shared" si="36"/>
        <v/>
      </c>
      <c r="U127" s="493" t="str">
        <f>IF(H127="","",#REF!*12+#REF!+#REF!*12+#REF!)</f>
        <v/>
      </c>
      <c r="V127" s="338">
        <f>IF(ii!$J$3&gt;gg!C127,"",IF(AND((YEAR(C127)=YEAR($I$2)),MONTH(C127)=MONTH($I$2)),ii!$B$14*12+ii!$C$14+ii!$B$15*12+ii!$C$15-1,V126+1))</f>
        <v>20</v>
      </c>
      <c r="W127" s="339">
        <f t="shared" si="31"/>
        <v>1.6666666666666667</v>
      </c>
      <c r="X127" s="494" t="s">
        <v>621</v>
      </c>
      <c r="Y127" s="495" t="s">
        <v>621</v>
      </c>
      <c r="Z127" s="496"/>
      <c r="AA127" s="497"/>
      <c r="AB127" s="498" t="e">
        <f t="shared" si="35"/>
        <v>#VALUE!</v>
      </c>
      <c r="AC127" s="484" t="str">
        <f t="shared" si="33"/>
        <v/>
      </c>
      <c r="AD127" s="495" t="str">
        <f t="shared" si="34"/>
        <v/>
      </c>
      <c r="AE127" s="499" t="s">
        <v>621</v>
      </c>
      <c r="AF127" s="500" t="s">
        <v>621</v>
      </c>
      <c r="AG127" s="556" t="s">
        <v>621</v>
      </c>
      <c r="AH127" s="503" t="str">
        <f>IF($G127="","",IF(AND($G127&gt;=30,$AT$3&lt;=AG$7),ROUND(AG127*($AP$3+#REF!),-1),""))</f>
        <v/>
      </c>
      <c r="AI127" s="506" t="s">
        <v>621</v>
      </c>
      <c r="AJ127" s="503" t="str">
        <f>IF($G127="","",IF(AND($G127&gt;=30,$AT$3&lt;=AI$7),ROUND(AI127*($AP$3+#REF!),-1),""))</f>
        <v/>
      </c>
      <c r="AK127" s="506" t="s">
        <v>621</v>
      </c>
      <c r="AL127" s="503" t="str">
        <f>IF($G127="","",IF(AND($G127&gt;=30,$AT$3&lt;=AK$7),ROUND(AK127*($AP$3+#REF!),-1),""))</f>
        <v/>
      </c>
      <c r="AM127" s="506" t="s">
        <v>621</v>
      </c>
      <c r="AN127" s="503" t="str">
        <f>IF($G127="","",IF(AND($G127&gt;=30,$AT$3&lt;=AM$7),ROUND(AM127*($AP$3+#REF!),-1),""))</f>
        <v/>
      </c>
      <c r="AO127" s="503" t="e">
        <v>#REF!</v>
      </c>
      <c r="AP127" s="503" t="str">
        <f>IF($G127="","",IF(AND($G127&gt;=30,$AT$3&lt;=AO$7),ROUND(AO127*($AP$3+#REF!),-1),""))</f>
        <v/>
      </c>
      <c r="AQ127" s="503" t="s">
        <v>621</v>
      </c>
      <c r="AR127" s="503" t="str">
        <f>IF($G127="","",IF(AND($G127&gt;=30,$AT$3&lt;=AQ$7),ROUND(AQ127*($AP$3+#REF!),-1),""))</f>
        <v/>
      </c>
      <c r="AS127" s="503" t="s">
        <v>621</v>
      </c>
      <c r="AT127" s="503" t="str">
        <f>IF($G127="","",IF(AND($G127&gt;=30,$AT$3&lt;=AS$7),ROUND(AS127*($AP$3+#REF!),-1),""))</f>
        <v/>
      </c>
      <c r="AU127" s="503" t="s">
        <v>621</v>
      </c>
      <c r="AV127" s="503" t="str">
        <f>IF($G127="","",IF(AND($G127&gt;=30,$AT$3&lt;=AU$7),ROUND(AU127*($AP$3+#REF!),-1),""))</f>
        <v/>
      </c>
      <c r="AW127" s="503" t="s">
        <v>621</v>
      </c>
      <c r="AX127" s="503" t="str">
        <f>IF($G127="","",IF(AND($G127&gt;=30,$AT$3&lt;=AW$7),ROUND(AW127*($AP$3+#REF!),-1),""))</f>
        <v/>
      </c>
      <c r="AY127" s="517" t="e">
        <v>#REF!</v>
      </c>
      <c r="AZ127" s="503" t="str">
        <f>IF($G127="","",IF(AND($G127&gt;=30,$AT$3&lt;=AY$7),ROUND(AY127*($AP$3+#REF!),-1),""))</f>
        <v/>
      </c>
      <c r="BA127" s="503"/>
      <c r="BB127" s="503" t="str">
        <f>IF($G127="","",IF(AND($G127&gt;=30,$AT$3&lt;=BA$7),ROUND(BA127*($AP$3+#REF!),-1),""))</f>
        <v/>
      </c>
      <c r="BC127" s="502"/>
      <c r="BD127" s="503" t="str">
        <f>IF($G127="","",IF(AND($G127&gt;=30,$AT$3&lt;=BC$7),ROUND(BC127*($AP$3+#REF!),-1),""))</f>
        <v/>
      </c>
      <c r="BE127" s="503"/>
      <c r="BF127" s="503" t="str">
        <f>IF($G127="","",IF(AND($G127&gt;=30,$AT$3&lt;=BE$7),ROUND(BE127*($AP$3+#REF!),-1),""))</f>
        <v/>
      </c>
      <c r="BG127" s="502"/>
      <c r="BH127" s="503" t="str">
        <f>IF($G127="","",IF(AND($G127&gt;=30,$AT$3&lt;=BG$7),ROUND(BG127*($AP$3+#REF!),-1),""))</f>
        <v/>
      </c>
      <c r="BI127" s="503"/>
      <c r="BJ127" s="503" t="str">
        <f>IF($G127="","",IF(AND($G127&gt;=30,$AT$3&lt;=BI$7),ROUND(BI127*($AP$3+#REF!),-1),""))</f>
        <v/>
      </c>
      <c r="BK127" s="502"/>
      <c r="BL127" s="503" t="str">
        <f>IF($G127="","",IF(AND($G127&gt;=30,$AT$3&lt;=BK$7),ROUND(BK127*($AP$3+#REF!),-1),""))</f>
        <v/>
      </c>
      <c r="BM127" s="503"/>
      <c r="BN127" s="503" t="str">
        <f>IF($G127="","",IF(AND($G127&gt;=30,$AT$3&lt;=BM$7),ROUND(BM127*($AP$3+#REF!),-1),""))</f>
        <v/>
      </c>
      <c r="BO127" s="502"/>
      <c r="BP127" s="503" t="str">
        <f>IF($G127="","",IF(AND($G127&gt;=30,$AT$3&lt;=BO$7),ROUND(BO127*($AP$3+#REF!),-1),""))</f>
        <v/>
      </c>
      <c r="BQ127" s="503"/>
      <c r="BR127" s="503" t="str">
        <f>IF($G127="","",IF(AND($G127&gt;=30,$AT$3&lt;=BQ$7),ROUND(BQ127*($AP$3+#REF!),-1),""))</f>
        <v/>
      </c>
      <c r="BS127" s="502"/>
      <c r="BT127" s="503" t="str">
        <f>IF($G127="","",IF(AND($G127&gt;=30,$AT$3&lt;=BS$7),ROUND(BS127*($AP$3+#REF!),-1),""))</f>
        <v/>
      </c>
      <c r="BU127" s="503"/>
      <c r="BV127" s="503" t="str">
        <f>IF($G127="","",IF(AND($G127&gt;=30,$AT$3&lt;=BU$7),ROUND(BU127*($AP$3+#REF!),-1),""))</f>
        <v/>
      </c>
      <c r="BW127" s="502"/>
      <c r="BX127" s="503" t="str">
        <f>IF($G127="","",IF(AND($G127&gt;=30,$AT$3&lt;=BW$7),ROUND(BW127*($AP$3+#REF!),-1),""))</f>
        <v/>
      </c>
      <c r="BY127" s="503"/>
      <c r="BZ127" s="503" t="str">
        <f>IF($G127="","",IF(AND($G127&gt;=30,$AT$3&lt;=BY$7),ROUND(BY127*($AP$3+#REF!),-1),""))</f>
        <v/>
      </c>
      <c r="CA127" s="502"/>
      <c r="CB127" s="503" t="str">
        <f>IF($G127="","",IF(AND($G127&gt;=30,$AT$3&lt;=CA$7),ROUND(CA127*($AP$3+#REF!),-1),""))</f>
        <v/>
      </c>
      <c r="CC127" s="503"/>
      <c r="CD127" s="503" t="str">
        <f>IF($G127="","",IF(AND($G127&gt;=30,$AT$3&lt;=CC$7),ROUND(CC127*($AP$3+#REF!),-1),""))</f>
        <v/>
      </c>
      <c r="CE127" s="502"/>
      <c r="CF127" s="503" t="str">
        <f>IF($G127="","",IF(AND($G127&gt;=30,$AT$3&lt;=CE$7),ROUND(CE127*($AP$3+#REF!),-1),""))</f>
        <v/>
      </c>
      <c r="CG127" s="503"/>
      <c r="CH127" s="503" t="str">
        <f>IF($G127="","",IF(AND($G127&gt;=30,$AT$3&lt;=CG$7),ROUND(CG127*($AP$3+#REF!),-1),""))</f>
        <v/>
      </c>
      <c r="CI127" s="502"/>
      <c r="CJ127" s="503" t="str">
        <f>IF($G127="","",IF(AND($G127&gt;=30,$AT$3&lt;=CI$7),ROUND(CI127*($AP$3+#REF!),-1),""))</f>
        <v/>
      </c>
      <c r="CK127" s="503"/>
      <c r="CL127" s="503" t="str">
        <f>IF($G127="","",IF(AND($G127&gt;=30,$AT$3&lt;=CK$7),ROUND(CK127*($AP$3+#REF!),-1),""))</f>
        <v/>
      </c>
      <c r="CM127" s="502"/>
      <c r="CN127" s="503" t="str">
        <f>IF($G127="","",IF(AND($G127&gt;=30,$AT$3&lt;=CM$7),ROUND(CM127*($AP$3+#REF!),-1),""))</f>
        <v/>
      </c>
      <c r="CO127" s="503"/>
      <c r="CP127" s="503" t="str">
        <f>IF($G127="","",IF(AND($G127&gt;=30,$AT$3&lt;=CO$7),ROUND(CO127*($AP$3+#REF!),-1),""))</f>
        <v/>
      </c>
      <c r="CQ127" s="502"/>
      <c r="CR127" s="503" t="str">
        <f>IF($G127="","",IF(AND($G127&gt;=30,$AT$3&lt;=CQ$7),ROUND(CQ127*($AP$3+#REF!),-1),""))</f>
        <v/>
      </c>
      <c r="CS127" s="503"/>
      <c r="CT127" s="503" t="str">
        <f>IF($G127="","",IF(AND($G127&gt;=30,$AT$3&lt;=CS$7),ROUND(CS127*($AP$3+#REF!),-1),""))</f>
        <v/>
      </c>
      <c r="CU127" s="502"/>
      <c r="CV127" s="503" t="str">
        <f>IF($G127="","",IF(AND($G127&gt;=30,$AT$3&lt;=CU$7),ROUND(CU127*($AP$3+#REF!),-1),""))</f>
        <v/>
      </c>
      <c r="CW127" s="503"/>
      <c r="CX127" s="503" t="str">
        <f>IF($G127="","",IF(AND($G127&gt;=30,$AT$3&lt;=CW$7),ROUND(CW127*($AP$3+#REF!),-1),""))</f>
        <v/>
      </c>
      <c r="CY127" s="502"/>
      <c r="CZ127" s="503" t="str">
        <f>IF($G127="","",IF(AND($G127&gt;=30,$AT$3&lt;=CY$7),ROUND(CY127*($AP$3+#REF!),-1),""))</f>
        <v/>
      </c>
      <c r="DA127" s="503"/>
      <c r="DB127" s="503" t="str">
        <f>IF($G127="","",IF(AND($G127&gt;=30,$AT$3&lt;=DA$7),ROUND(DA127*($AP$3+#REF!),-1),""))</f>
        <v/>
      </c>
      <c r="DC127" s="502"/>
      <c r="DD127" s="503" t="str">
        <f>IF($G127="","",IF(AND($G127&gt;=30,$AT$3&lt;=DC$7),ROUND(DC127*($AP$3+#REF!),-1),""))</f>
        <v/>
      </c>
      <c r="DE127" s="503"/>
      <c r="DF127" s="503" t="str">
        <f>IF($G127="","",IF(AND($G127&gt;=30,$AT$3&lt;=DE$7),ROUND(DE127*($AP$3+#REF!),-1),""))</f>
        <v/>
      </c>
      <c r="DG127" s="503"/>
      <c r="DH127" s="503" t="str">
        <f>IF($G127="","",IF(AND($G127&gt;=30,$AT$3&lt;=DG$7),ROUND(DG127*($AP$3+#REF!),-1),""))</f>
        <v/>
      </c>
      <c r="DI127" s="503"/>
      <c r="DJ127" s="503" t="str">
        <f>IF($G127="","",IF(AND($G127&gt;=30,$AT$3&lt;=DI$7),ROUND(DI127*($AP$3+#REF!),-1),""))</f>
        <v/>
      </c>
      <c r="DK127" s="503"/>
      <c r="DL127" s="503" t="str">
        <f>IF($G127="","",IF(AND($G127&gt;=30,$AT$3&lt;=DK$7),ROUND(DK127*($AP$3+#REF!),-1),""))</f>
        <v/>
      </c>
      <c r="DM127" s="503"/>
      <c r="DN127" s="503" t="str">
        <f>IF($G127="","",IF(AND($G127&gt;=30,$AT$3&lt;=DM$7),ROUND(DM127*($AP$3+#REF!),-1),""))</f>
        <v/>
      </c>
      <c r="DO127" s="503"/>
      <c r="DP127" s="503" t="str">
        <f>IF($G127="","",IF(AND($G127&gt;=30,$AT$3&lt;=DO$7),ROUND(DO127*($AP$3+#REF!),-1),""))</f>
        <v/>
      </c>
      <c r="DQ127" s="503"/>
      <c r="DR127" s="503" t="str">
        <f>IF($G127="","",IF(AND($G127&gt;=30,$AT$3&lt;=DQ$7),ROUND(DQ127*($AP$3+#REF!),-1),""))</f>
        <v/>
      </c>
      <c r="DS127" s="503"/>
      <c r="DT127" s="503" t="str">
        <f>IF($G127="","",IF(AND($G127&gt;=30,$AT$3&lt;=DS$7),ROUND(DS127*($AP$3+#REF!),-1),""))</f>
        <v/>
      </c>
      <c r="DU127" s="503"/>
      <c r="DV127" s="503" t="str">
        <f>IF($G127="","",IF(AND($G127&gt;=30,$AT$3&lt;=DU$7),ROUND(DU127*($AP$3+#REF!),-1),""))</f>
        <v/>
      </c>
      <c r="DW127" s="503"/>
      <c r="DX127" s="503" t="str">
        <f>IF($G127="","",IF(AND($G127&gt;=30,$AT$3&lt;=DW$7),ROUND(DW127*($AP$3+#REF!),-1),""))</f>
        <v/>
      </c>
      <c r="DY127" s="503"/>
      <c r="DZ127" s="503" t="str">
        <f>IF($G127="","",IF(AND($G127&gt;=30,$AT$3&lt;=DY$7),ROUND(DY127*($AP$3+#REF!),-1),""))</f>
        <v/>
      </c>
      <c r="EA127" s="503"/>
      <c r="EB127" s="503" t="str">
        <f>IF($G127="","",IF(AND($G127&gt;=30,$AT$3&lt;=EA$7),ROUND(EA127*($AP$3+#REF!),-1),""))</f>
        <v/>
      </c>
      <c r="EC127" s="504" t="s">
        <v>621</v>
      </c>
      <c r="ED127" s="1126"/>
      <c r="EE127" s="325">
        <v>11</v>
      </c>
    </row>
    <row r="128" spans="1:135" ht="9.75" customHeight="1">
      <c r="A128" s="321" t="str">
        <f t="shared" si="37"/>
        <v/>
      </c>
      <c r="B128" s="567">
        <f>(ii!$D$13*12+V128)+1</f>
        <v>22</v>
      </c>
      <c r="C128" s="337">
        <f t="shared" si="30"/>
        <v>46022</v>
      </c>
      <c r="D128" s="484">
        <f t="shared" si="25"/>
        <v>2025</v>
      </c>
      <c r="E128" s="484">
        <f t="shared" si="26"/>
        <v>1</v>
      </c>
      <c r="F128" s="484">
        <f t="shared" si="27"/>
        <v>2026</v>
      </c>
      <c r="G128" s="485" t="str">
        <f>IF(OR(C128&lt;$I$2,C128&gt;$J$3),"",(ii!$D$13*12+V128+1)/12)</f>
        <v/>
      </c>
      <c r="H128" s="486"/>
      <c r="I128" s="486"/>
      <c r="J128" s="487"/>
      <c r="K128" s="488"/>
      <c r="L128" s="548"/>
      <c r="M128" s="489" t="str">
        <f t="shared" si="32"/>
        <v/>
      </c>
      <c r="N128" s="490" t="s">
        <v>621</v>
      </c>
      <c r="O128" s="490" t="str">
        <f t="shared" si="28"/>
        <v/>
      </c>
      <c r="P128" s="491"/>
      <c r="Q128" s="491"/>
      <c r="R128" s="491" t="str">
        <f t="shared" si="29"/>
        <v/>
      </c>
      <c r="S128" s="528" t="str">
        <f t="shared" ref="S128:S191" si="38">IF(G128="","",SUM(AF128:EB128))</f>
        <v/>
      </c>
      <c r="T128" s="528" t="str">
        <f t="shared" si="36"/>
        <v/>
      </c>
      <c r="U128" s="493" t="str">
        <f>IF(H128="","",#REF!*12+#REF!+#REF!*12+#REF!)</f>
        <v/>
      </c>
      <c r="V128" s="338">
        <f>IF(ii!$J$3&gt;gg!C128,"",IF(AND((YEAR(C128)=YEAR($I$2)),MONTH(C128)=MONTH($I$2)),ii!$B$14*12+ii!$C$14+ii!$B$15*12+ii!$C$15-1,V127+1))</f>
        <v>21</v>
      </c>
      <c r="W128" s="339">
        <f t="shared" si="31"/>
        <v>1.75</v>
      </c>
      <c r="X128" s="494" t="s">
        <v>621</v>
      </c>
      <c r="Y128" s="495" t="s">
        <v>621</v>
      </c>
      <c r="Z128" s="496"/>
      <c r="AA128" s="497"/>
      <c r="AB128" s="498" t="e">
        <f t="shared" si="35"/>
        <v>#VALUE!</v>
      </c>
      <c r="AC128" s="484" t="str">
        <f t="shared" si="33"/>
        <v/>
      </c>
      <c r="AD128" s="495" t="str">
        <f t="shared" si="34"/>
        <v/>
      </c>
      <c r="AE128" s="499" t="s">
        <v>621</v>
      </c>
      <c r="AF128" s="500" t="s">
        <v>621</v>
      </c>
      <c r="AG128" s="556" t="s">
        <v>621</v>
      </c>
      <c r="AH128" s="503" t="str">
        <f>IF($G128="","",IF(AND($G128&gt;=30,$AT$3&lt;=AG$7),ROUND(AG128*($AP$3+#REF!),-1),""))</f>
        <v/>
      </c>
      <c r="AI128" s="506" t="s">
        <v>621</v>
      </c>
      <c r="AJ128" s="503" t="str">
        <f>IF($G128="","",IF(AND($G128&gt;=30,$AT$3&lt;=AI$7),ROUND(AI128*($AP$3+#REF!),-1),""))</f>
        <v/>
      </c>
      <c r="AK128" s="506" t="s">
        <v>621</v>
      </c>
      <c r="AL128" s="503" t="str">
        <f>IF($G128="","",IF(AND($G128&gt;=30,$AT$3&lt;=AK$7),ROUND(AK128*($AP$3+#REF!),-1),""))</f>
        <v/>
      </c>
      <c r="AM128" s="506" t="s">
        <v>621</v>
      </c>
      <c r="AN128" s="503" t="str">
        <f>IF($G128="","",IF(AND($G128&gt;=30,$AT$3&lt;=AM$7),ROUND(AM128*($AP$3+#REF!),-1),""))</f>
        <v/>
      </c>
      <c r="AO128" s="503" t="e">
        <v>#REF!</v>
      </c>
      <c r="AP128" s="503" t="str">
        <f>IF($G128="","",IF(AND($G128&gt;=30,$AT$3&lt;=AO$7),ROUND(AO128*($AP$3+#REF!),-1),""))</f>
        <v/>
      </c>
      <c r="AQ128" s="503" t="s">
        <v>621</v>
      </c>
      <c r="AR128" s="503" t="str">
        <f>IF($G128="","",IF(AND($G128&gt;=30,$AT$3&lt;=AQ$7),ROUND(AQ128*($AP$3+#REF!),-1),""))</f>
        <v/>
      </c>
      <c r="AS128" s="503" t="s">
        <v>621</v>
      </c>
      <c r="AT128" s="503" t="str">
        <f>IF($G128="","",IF(AND($G128&gt;=30,$AT$3&lt;=AS$7),ROUND(AS128*($AP$3+#REF!),-1),""))</f>
        <v/>
      </c>
      <c r="AU128" s="503" t="s">
        <v>621</v>
      </c>
      <c r="AV128" s="503" t="str">
        <f>IF($G128="","",IF(AND($G128&gt;=30,$AT$3&lt;=AU$7),ROUND(AU128*($AP$3+#REF!),-1),""))</f>
        <v/>
      </c>
      <c r="AW128" s="503" t="s">
        <v>621</v>
      </c>
      <c r="AX128" s="503" t="str">
        <f>IF($G128="","",IF(AND($G128&gt;=30,$AT$3&lt;=AW$7),ROUND(AW128*($AP$3+#REF!),-1),""))</f>
        <v/>
      </c>
      <c r="AY128" s="517" t="e">
        <v>#REF!</v>
      </c>
      <c r="AZ128" s="503" t="str">
        <f>IF($G128="","",IF(AND($G128&gt;=30,$AT$3&lt;=AY$7),ROUND(AY128*($AP$3+#REF!),-1),""))</f>
        <v/>
      </c>
      <c r="BA128" s="503"/>
      <c r="BB128" s="503" t="str">
        <f>IF($G128="","",IF(AND($G128&gt;=30,$AT$3&lt;=BA$7),ROUND(BA128*($AP$3+#REF!),-1),""))</f>
        <v/>
      </c>
      <c r="BC128" s="502"/>
      <c r="BD128" s="503" t="str">
        <f>IF($G128="","",IF(AND($G128&gt;=30,$AT$3&lt;=BC$7),ROUND(BC128*($AP$3+#REF!),-1),""))</f>
        <v/>
      </c>
      <c r="BE128" s="503"/>
      <c r="BF128" s="503" t="str">
        <f>IF($G128="","",IF(AND($G128&gt;=30,$AT$3&lt;=BE$7),ROUND(BE128*($AP$3+#REF!),-1),""))</f>
        <v/>
      </c>
      <c r="BG128" s="502"/>
      <c r="BH128" s="503" t="str">
        <f>IF($G128="","",IF(AND($G128&gt;=30,$AT$3&lt;=BG$7),ROUND(BG128*($AP$3+#REF!),-1),""))</f>
        <v/>
      </c>
      <c r="BI128" s="503"/>
      <c r="BJ128" s="503" t="str">
        <f>IF($G128="","",IF(AND($G128&gt;=30,$AT$3&lt;=BI$7),ROUND(BI128*($AP$3+#REF!),-1),""))</f>
        <v/>
      </c>
      <c r="BK128" s="502"/>
      <c r="BL128" s="503" t="str">
        <f>IF($G128="","",IF(AND($G128&gt;=30,$AT$3&lt;=BK$7),ROUND(BK128*($AP$3+#REF!),-1),""))</f>
        <v/>
      </c>
      <c r="BM128" s="503"/>
      <c r="BN128" s="503" t="str">
        <f>IF($G128="","",IF(AND($G128&gt;=30,$AT$3&lt;=BM$7),ROUND(BM128*($AP$3+#REF!),-1),""))</f>
        <v/>
      </c>
      <c r="BO128" s="502"/>
      <c r="BP128" s="503" t="str">
        <f>IF($G128="","",IF(AND($G128&gt;=30,$AT$3&lt;=BO$7),ROUND(BO128*($AP$3+#REF!),-1),""))</f>
        <v/>
      </c>
      <c r="BQ128" s="503"/>
      <c r="BR128" s="503" t="str">
        <f>IF($G128="","",IF(AND($G128&gt;=30,$AT$3&lt;=BQ$7),ROUND(BQ128*($AP$3+#REF!),-1),""))</f>
        <v/>
      </c>
      <c r="BS128" s="502"/>
      <c r="BT128" s="503" t="str">
        <f>IF($G128="","",IF(AND($G128&gt;=30,$AT$3&lt;=BS$7),ROUND(BS128*($AP$3+#REF!),-1),""))</f>
        <v/>
      </c>
      <c r="BU128" s="503"/>
      <c r="BV128" s="503" t="str">
        <f>IF($G128="","",IF(AND($G128&gt;=30,$AT$3&lt;=BU$7),ROUND(BU128*($AP$3+#REF!),-1),""))</f>
        <v/>
      </c>
      <c r="BW128" s="502"/>
      <c r="BX128" s="503" t="str">
        <f>IF($G128="","",IF(AND($G128&gt;=30,$AT$3&lt;=BW$7),ROUND(BW128*($AP$3+#REF!),-1),""))</f>
        <v/>
      </c>
      <c r="BY128" s="503"/>
      <c r="BZ128" s="503" t="str">
        <f>IF($G128="","",IF(AND($G128&gt;=30,$AT$3&lt;=BY$7),ROUND(BY128*($AP$3+#REF!),-1),""))</f>
        <v/>
      </c>
      <c r="CA128" s="502"/>
      <c r="CB128" s="503" t="str">
        <f>IF($G128="","",IF(AND($G128&gt;=30,$AT$3&lt;=CA$7),ROUND(CA128*($AP$3+#REF!),-1),""))</f>
        <v/>
      </c>
      <c r="CC128" s="503"/>
      <c r="CD128" s="503" t="str">
        <f>IF($G128="","",IF(AND($G128&gt;=30,$AT$3&lt;=CC$7),ROUND(CC128*($AP$3+#REF!),-1),""))</f>
        <v/>
      </c>
      <c r="CE128" s="502"/>
      <c r="CF128" s="503" t="str">
        <f>IF($G128="","",IF(AND($G128&gt;=30,$AT$3&lt;=CE$7),ROUND(CE128*($AP$3+#REF!),-1),""))</f>
        <v/>
      </c>
      <c r="CG128" s="503"/>
      <c r="CH128" s="503" t="str">
        <f>IF($G128="","",IF(AND($G128&gt;=30,$AT$3&lt;=CG$7),ROUND(CG128*($AP$3+#REF!),-1),""))</f>
        <v/>
      </c>
      <c r="CI128" s="502"/>
      <c r="CJ128" s="503" t="str">
        <f>IF($G128="","",IF(AND($G128&gt;=30,$AT$3&lt;=CI$7),ROUND(CI128*($AP$3+#REF!),-1),""))</f>
        <v/>
      </c>
      <c r="CK128" s="503"/>
      <c r="CL128" s="503" t="str">
        <f>IF($G128="","",IF(AND($G128&gt;=30,$AT$3&lt;=CK$7),ROUND(CK128*($AP$3+#REF!),-1),""))</f>
        <v/>
      </c>
      <c r="CM128" s="502"/>
      <c r="CN128" s="503" t="str">
        <f>IF($G128="","",IF(AND($G128&gt;=30,$AT$3&lt;=CM$7),ROUND(CM128*($AP$3+#REF!),-1),""))</f>
        <v/>
      </c>
      <c r="CO128" s="503"/>
      <c r="CP128" s="503" t="str">
        <f>IF($G128="","",IF(AND($G128&gt;=30,$AT$3&lt;=CO$7),ROUND(CO128*($AP$3+#REF!),-1),""))</f>
        <v/>
      </c>
      <c r="CQ128" s="502"/>
      <c r="CR128" s="503" t="str">
        <f>IF($G128="","",IF(AND($G128&gt;=30,$AT$3&lt;=CQ$7),ROUND(CQ128*($AP$3+#REF!),-1),""))</f>
        <v/>
      </c>
      <c r="CS128" s="503"/>
      <c r="CT128" s="503" t="str">
        <f>IF($G128="","",IF(AND($G128&gt;=30,$AT$3&lt;=CS$7),ROUND(CS128*($AP$3+#REF!),-1),""))</f>
        <v/>
      </c>
      <c r="CU128" s="502"/>
      <c r="CV128" s="503" t="str">
        <f>IF($G128="","",IF(AND($G128&gt;=30,$AT$3&lt;=CU$7),ROUND(CU128*($AP$3+#REF!),-1),""))</f>
        <v/>
      </c>
      <c r="CW128" s="503"/>
      <c r="CX128" s="503" t="str">
        <f>IF($G128="","",IF(AND($G128&gt;=30,$AT$3&lt;=CW$7),ROUND(CW128*($AP$3+#REF!),-1),""))</f>
        <v/>
      </c>
      <c r="CY128" s="502"/>
      <c r="CZ128" s="503" t="str">
        <f>IF($G128="","",IF(AND($G128&gt;=30,$AT$3&lt;=CY$7),ROUND(CY128*($AP$3+#REF!),-1),""))</f>
        <v/>
      </c>
      <c r="DA128" s="503"/>
      <c r="DB128" s="503" t="str">
        <f>IF($G128="","",IF(AND($G128&gt;=30,$AT$3&lt;=DA$7),ROUND(DA128*($AP$3+#REF!),-1),""))</f>
        <v/>
      </c>
      <c r="DC128" s="502"/>
      <c r="DD128" s="503" t="str">
        <f>IF($G128="","",IF(AND($G128&gt;=30,$AT$3&lt;=DC$7),ROUND(DC128*($AP$3+#REF!),-1),""))</f>
        <v/>
      </c>
      <c r="DE128" s="503"/>
      <c r="DF128" s="503" t="str">
        <f>IF($G128="","",IF(AND($G128&gt;=30,$AT$3&lt;=DE$7),ROUND(DE128*($AP$3+#REF!),-1),""))</f>
        <v/>
      </c>
      <c r="DG128" s="503"/>
      <c r="DH128" s="503" t="str">
        <f>IF($G128="","",IF(AND($G128&gt;=30,$AT$3&lt;=DG$7),ROUND(DG128*($AP$3+#REF!),-1),""))</f>
        <v/>
      </c>
      <c r="DI128" s="503"/>
      <c r="DJ128" s="503" t="str">
        <f>IF($G128="","",IF(AND($G128&gt;=30,$AT$3&lt;=DI$7),ROUND(DI128*($AP$3+#REF!),-1),""))</f>
        <v/>
      </c>
      <c r="DK128" s="503"/>
      <c r="DL128" s="503" t="str">
        <f>IF($G128="","",IF(AND($G128&gt;=30,$AT$3&lt;=DK$7),ROUND(DK128*($AP$3+#REF!),-1),""))</f>
        <v/>
      </c>
      <c r="DM128" s="503"/>
      <c r="DN128" s="503" t="str">
        <f>IF($G128="","",IF(AND($G128&gt;=30,$AT$3&lt;=DM$7),ROUND(DM128*($AP$3+#REF!),-1),""))</f>
        <v/>
      </c>
      <c r="DO128" s="503"/>
      <c r="DP128" s="503" t="str">
        <f>IF($G128="","",IF(AND($G128&gt;=30,$AT$3&lt;=DO$7),ROUND(DO128*($AP$3+#REF!),-1),""))</f>
        <v/>
      </c>
      <c r="DQ128" s="503"/>
      <c r="DR128" s="503" t="str">
        <f>IF($G128="","",IF(AND($G128&gt;=30,$AT$3&lt;=DQ$7),ROUND(DQ128*($AP$3+#REF!),-1),""))</f>
        <v/>
      </c>
      <c r="DS128" s="503"/>
      <c r="DT128" s="503" t="str">
        <f>IF($G128="","",IF(AND($G128&gt;=30,$AT$3&lt;=DS$7),ROUND(DS128*($AP$3+#REF!),-1),""))</f>
        <v/>
      </c>
      <c r="DU128" s="503"/>
      <c r="DV128" s="503" t="str">
        <f>IF($G128="","",IF(AND($G128&gt;=30,$AT$3&lt;=DU$7),ROUND(DU128*($AP$3+#REF!),-1),""))</f>
        <v/>
      </c>
      <c r="DW128" s="503"/>
      <c r="DX128" s="503" t="str">
        <f>IF($G128="","",IF(AND($G128&gt;=30,$AT$3&lt;=DW$7),ROUND(DW128*($AP$3+#REF!),-1),""))</f>
        <v/>
      </c>
      <c r="DY128" s="503"/>
      <c r="DZ128" s="503" t="str">
        <f>IF($G128="","",IF(AND($G128&gt;=30,$AT$3&lt;=DY$7),ROUND(DY128*($AP$3+#REF!),-1),""))</f>
        <v/>
      </c>
      <c r="EA128" s="503"/>
      <c r="EB128" s="503" t="str">
        <f>IF($G128="","",IF(AND($G128&gt;=30,$AT$3&lt;=EA$7),ROUND(EA128*($AP$3+#REF!),-1),""))</f>
        <v/>
      </c>
      <c r="EC128" s="504" t="s">
        <v>621</v>
      </c>
      <c r="ED128" s="1126"/>
      <c r="EE128" s="325">
        <v>12</v>
      </c>
    </row>
    <row r="129" spans="1:135" ht="9.75" customHeight="1">
      <c r="A129" s="321" t="str">
        <f t="shared" si="37"/>
        <v/>
      </c>
      <c r="B129" s="567">
        <f>(ii!$D$13*12+V129)+1</f>
        <v>23</v>
      </c>
      <c r="C129" s="345">
        <f t="shared" si="30"/>
        <v>46053</v>
      </c>
      <c r="D129" s="340">
        <f t="shared" si="25"/>
        <v>2026</v>
      </c>
      <c r="E129" s="340">
        <f t="shared" si="26"/>
        <v>8.3333333333333329E-2</v>
      </c>
      <c r="F129" s="340">
        <f t="shared" si="27"/>
        <v>2026.0833333333333</v>
      </c>
      <c r="G129" s="531" t="str">
        <f>IF(OR(C129&lt;$I$2,C129&gt;$J$3),"",(ii!$D$13*12+V129+1)/12)</f>
        <v/>
      </c>
      <c r="H129" s="532"/>
      <c r="I129" s="532"/>
      <c r="J129" s="533"/>
      <c r="K129" s="553"/>
      <c r="L129" s="534"/>
      <c r="M129" s="535" t="str">
        <f t="shared" si="32"/>
        <v/>
      </c>
      <c r="N129" s="536" t="s">
        <v>621</v>
      </c>
      <c r="O129" s="536" t="str">
        <f t="shared" si="28"/>
        <v/>
      </c>
      <c r="P129" s="537"/>
      <c r="Q129" s="537"/>
      <c r="R129" s="533" t="str">
        <f t="shared" si="29"/>
        <v/>
      </c>
      <c r="S129" s="538" t="str">
        <f t="shared" si="38"/>
        <v/>
      </c>
      <c r="T129" s="538" t="str">
        <f t="shared" si="36"/>
        <v/>
      </c>
      <c r="U129" s="539" t="str">
        <f>IF(H129="","",#REF!*12+#REF!+#REF!*12+#REF!)</f>
        <v/>
      </c>
      <c r="V129" s="338">
        <f>IF(ii!$J$3&gt;gg!C129,"",IF(AND((YEAR(C129)=YEAR($I$2)),MONTH(C129)=MONTH($I$2)),ii!$B$14*12+ii!$C$14+ii!$B$15*12+ii!$C$15-1,V128+1))</f>
        <v>22</v>
      </c>
      <c r="W129" s="339">
        <f t="shared" si="31"/>
        <v>1.8333333333333333</v>
      </c>
      <c r="X129" s="540" t="s">
        <v>621</v>
      </c>
      <c r="Y129" s="538" t="s">
        <v>621</v>
      </c>
      <c r="Z129" s="541">
        <f>Z117+$Z$26</f>
        <v>0.24</v>
      </c>
      <c r="AA129" s="542" t="str">
        <f>IF(Y129="","",(Y129-Y128)/Y128)</f>
        <v/>
      </c>
      <c r="AB129" s="543" t="e">
        <f t="shared" si="35"/>
        <v>#VALUE!</v>
      </c>
      <c r="AC129" s="544" t="str">
        <f t="shared" si="33"/>
        <v/>
      </c>
      <c r="AD129" s="538" t="str">
        <f t="shared" si="34"/>
        <v/>
      </c>
      <c r="AE129" s="545" t="s">
        <v>621</v>
      </c>
      <c r="AF129" s="546" t="s">
        <v>621</v>
      </c>
      <c r="AG129" s="558" t="s">
        <v>621</v>
      </c>
      <c r="AH129" s="547" t="str">
        <f>IF($G129="","",IF(AND($G129&gt;=30,$AT$3&lt;=AG$7),ROUND(AG129*($AP$3+#REF!),-1),""))</f>
        <v/>
      </c>
      <c r="AI129" s="558" t="s">
        <v>621</v>
      </c>
      <c r="AJ129" s="547" t="str">
        <f>IF($G129="","",IF(AND($G129&gt;=30,$AT$3&lt;=AI$7),ROUND(AI129*($AP$3+#REF!),-1),""))</f>
        <v/>
      </c>
      <c r="AK129" s="560" t="s">
        <v>621</v>
      </c>
      <c r="AL129" s="547" t="str">
        <f>IF($G129="","",IF(AND($G129&gt;=30,$AT$3&lt;=AK$7),ROUND(AK129*($AP$3+#REF!),-1),""))</f>
        <v/>
      </c>
      <c r="AM129" s="560" t="s">
        <v>621</v>
      </c>
      <c r="AN129" s="547" t="str">
        <f>IF($G129="","",IF(AND($G129&gt;=30,$AT$3&lt;=AM$7),ROUND(AM129*($AP$3+#REF!),-1),""))</f>
        <v/>
      </c>
      <c r="AO129" s="547" t="e">
        <v>#REF!</v>
      </c>
      <c r="AP129" s="547" t="str">
        <f>IF($G129="","",IF(AND($G129&gt;=30,$AT$3&lt;=AO$7),ROUND(AO129*($AP$3+#REF!),-1),""))</f>
        <v/>
      </c>
      <c r="AQ129" s="547" t="s">
        <v>621</v>
      </c>
      <c r="AR129" s="547" t="str">
        <f>IF($G129="","",IF(AND($G129&gt;=30,$AT$3&lt;=AQ$7),ROUND(AQ129*($AP$3+#REF!),-1),""))</f>
        <v/>
      </c>
      <c r="AS129" s="547" t="s">
        <v>621</v>
      </c>
      <c r="AT129" s="547" t="str">
        <f>IF($G129="","",IF(AND($G129&gt;=30,$AT$3&lt;=AS$7),ROUND(AS129*($AP$3+#REF!),-1),""))</f>
        <v/>
      </c>
      <c r="AU129" s="547" t="s">
        <v>621</v>
      </c>
      <c r="AV129" s="547" t="str">
        <f>IF($G129="","",IF(AND($G129&gt;=30,$AT$3&lt;=AU$7),ROUND(AU129*($AP$3+#REF!),-1),""))</f>
        <v/>
      </c>
      <c r="AW129" s="547" t="s">
        <v>621</v>
      </c>
      <c r="AX129" s="547" t="str">
        <f>IF($G129="","",IF(AND($G129&gt;=30,$AT$3&lt;=AW$7),ROUND(AW129*($AP$3+#REF!),-1),""))</f>
        <v/>
      </c>
      <c r="AY129" s="547" t="s">
        <v>621</v>
      </c>
      <c r="AZ129" s="547" t="str">
        <f>IF($G129="","",IF(AND($G129&gt;=30,$AT$3&lt;=AY$7),ROUND(AY129*($AP$3+#REF!),-1),""))</f>
        <v/>
      </c>
      <c r="BA129" s="533" t="e">
        <v>#REF!</v>
      </c>
      <c r="BB129" s="547" t="str">
        <f>IF($G129="","",IF(AND($G129&gt;=30,$AT$3&lt;=BA$7),ROUND(BA129*($AP$3+#REF!),-1),""))</f>
        <v/>
      </c>
      <c r="BC129" s="547"/>
      <c r="BD129" s="547" t="str">
        <f>IF($G129="","",IF(AND($G129&gt;=30,$AT$3&lt;=BC$7),ROUND(BC129*($AP$3+#REF!),-1),""))</f>
        <v/>
      </c>
      <c r="BE129" s="547"/>
      <c r="BF129" s="547" t="str">
        <f>IF($G129="","",IF(AND($G129&gt;=30,$AT$3&lt;=BE$7),ROUND(BE129*($AP$3+#REF!),-1),""))</f>
        <v/>
      </c>
      <c r="BG129" s="547"/>
      <c r="BH129" s="547" t="str">
        <f>IF($G129="","",IF(AND($G129&gt;=30,$AT$3&lt;=BG$7),ROUND(BG129*($AP$3+#REF!),-1),""))</f>
        <v/>
      </c>
      <c r="BI129" s="547"/>
      <c r="BJ129" s="547" t="str">
        <f>IF($G129="","",IF(AND($G129&gt;=30,$AT$3&lt;=BI$7),ROUND(BI129*($AP$3+#REF!),-1),""))</f>
        <v/>
      </c>
      <c r="BK129" s="547"/>
      <c r="BL129" s="547" t="str">
        <f>IF($G129="","",IF(AND($G129&gt;=30,$AT$3&lt;=BK$7),ROUND(BK129*($AP$3+#REF!),-1),""))</f>
        <v/>
      </c>
      <c r="BM129" s="547"/>
      <c r="BN129" s="547" t="str">
        <f>IF($G129="","",IF(AND($G129&gt;=30,$AT$3&lt;=BM$7),ROUND(BM129*($AP$3+#REF!),-1),""))</f>
        <v/>
      </c>
      <c r="BO129" s="547"/>
      <c r="BP129" s="547" t="str">
        <f>IF($G129="","",IF(AND($G129&gt;=30,$AT$3&lt;=BO$7),ROUND(BO129*($AP$3+#REF!),-1),""))</f>
        <v/>
      </c>
      <c r="BQ129" s="547"/>
      <c r="BR129" s="547" t="str">
        <f>IF($G129="","",IF(AND($G129&gt;=30,$AT$3&lt;=BQ$7),ROUND(BQ129*($AP$3+#REF!),-1),""))</f>
        <v/>
      </c>
      <c r="BS129" s="547"/>
      <c r="BT129" s="547" t="str">
        <f>IF($G129="","",IF(AND($G129&gt;=30,$AT$3&lt;=BS$7),ROUND(BS129*($AP$3+#REF!),-1),""))</f>
        <v/>
      </c>
      <c r="BU129" s="547"/>
      <c r="BV129" s="547" t="str">
        <f>IF($G129="","",IF(AND($G129&gt;=30,$AT$3&lt;=BU$7),ROUND(BU129*($AP$3+#REF!),-1),""))</f>
        <v/>
      </c>
      <c r="BW129" s="547"/>
      <c r="BX129" s="547" t="str">
        <f>IF($G129="","",IF(AND($G129&gt;=30,$AT$3&lt;=BW$7),ROUND(BW129*($AP$3+#REF!),-1),""))</f>
        <v/>
      </c>
      <c r="BY129" s="547"/>
      <c r="BZ129" s="547" t="str">
        <f>IF($G129="","",IF(AND($G129&gt;=30,$AT$3&lt;=BY$7),ROUND(BY129*($AP$3+#REF!),-1),""))</f>
        <v/>
      </c>
      <c r="CA129" s="547"/>
      <c r="CB129" s="547" t="str">
        <f>IF($G129="","",IF(AND($G129&gt;=30,$AT$3&lt;=CA$7),ROUND(CA129*($AP$3+#REF!),-1),""))</f>
        <v/>
      </c>
      <c r="CC129" s="547"/>
      <c r="CD129" s="547" t="str">
        <f>IF($G129="","",IF(AND($G129&gt;=30,$AT$3&lt;=CC$7),ROUND(CC129*($AP$3+#REF!),-1),""))</f>
        <v/>
      </c>
      <c r="CE129" s="547"/>
      <c r="CF129" s="547" t="str">
        <f>IF($G129="","",IF(AND($G129&gt;=30,$AT$3&lt;=CE$7),ROUND(CE129*($AP$3+#REF!),-1),""))</f>
        <v/>
      </c>
      <c r="CG129" s="547"/>
      <c r="CH129" s="547" t="str">
        <f>IF($G129="","",IF(AND($G129&gt;=30,$AT$3&lt;=CG$7),ROUND(CG129*($AP$3+#REF!),-1),""))</f>
        <v/>
      </c>
      <c r="CI129" s="547"/>
      <c r="CJ129" s="547" t="str">
        <f>IF($G129="","",IF(AND($G129&gt;=30,$AT$3&lt;=CI$7),ROUND(CI129*($AP$3+#REF!),-1),""))</f>
        <v/>
      </c>
      <c r="CK129" s="547"/>
      <c r="CL129" s="547" t="str">
        <f>IF($G129="","",IF(AND($G129&gt;=30,$AT$3&lt;=CK$7),ROUND(CK129*($AP$3+#REF!),-1),""))</f>
        <v/>
      </c>
      <c r="CM129" s="547"/>
      <c r="CN129" s="547" t="str">
        <f>IF($G129="","",IF(AND($G129&gt;=30,$AT$3&lt;=CM$7),ROUND(CM129*($AP$3+#REF!),-1),""))</f>
        <v/>
      </c>
      <c r="CO129" s="547"/>
      <c r="CP129" s="547" t="str">
        <f>IF($G129="","",IF(AND($G129&gt;=30,$AT$3&lt;=CO$7),ROUND(CO129*($AP$3+#REF!),-1),""))</f>
        <v/>
      </c>
      <c r="CQ129" s="547"/>
      <c r="CR129" s="547" t="str">
        <f>IF($G129="","",IF(AND($G129&gt;=30,$AT$3&lt;=CQ$7),ROUND(CQ129*($AP$3+#REF!),-1),""))</f>
        <v/>
      </c>
      <c r="CS129" s="547"/>
      <c r="CT129" s="547" t="str">
        <f>IF($G129="","",IF(AND($G129&gt;=30,$AT$3&lt;=CS$7),ROUND(CS129*($AP$3+#REF!),-1),""))</f>
        <v/>
      </c>
      <c r="CU129" s="547"/>
      <c r="CV129" s="547" t="str">
        <f>IF($G129="","",IF(AND($G129&gt;=30,$AT$3&lt;=CU$7),ROUND(CU129*($AP$3+#REF!),-1),""))</f>
        <v/>
      </c>
      <c r="CW129" s="547"/>
      <c r="CX129" s="547" t="str">
        <f>IF($G129="","",IF(AND($G129&gt;=30,$AT$3&lt;=CW$7),ROUND(CW129*($AP$3+#REF!),-1),""))</f>
        <v/>
      </c>
      <c r="CY129" s="547"/>
      <c r="CZ129" s="547" t="str">
        <f>IF($G129="","",IF(AND($G129&gt;=30,$AT$3&lt;=CY$7),ROUND(CY129*($AP$3+#REF!),-1),""))</f>
        <v/>
      </c>
      <c r="DA129" s="547"/>
      <c r="DB129" s="547" t="str">
        <f>IF($G129="","",IF(AND($G129&gt;=30,$AT$3&lt;=DA$7),ROUND(DA129*($AP$3+#REF!),-1),""))</f>
        <v/>
      </c>
      <c r="DC129" s="547"/>
      <c r="DD129" s="547" t="str">
        <f>IF($G129="","",IF(AND($G129&gt;=30,$AT$3&lt;=DC$7),ROUND(DC129*($AP$3+#REF!),-1),""))</f>
        <v/>
      </c>
      <c r="DE129" s="547"/>
      <c r="DF129" s="547" t="str">
        <f>IF($G129="","",IF(AND($G129&gt;=30,$AT$3&lt;=DE$7),ROUND(DE129*($AP$3+#REF!),-1),""))</f>
        <v/>
      </c>
      <c r="DG129" s="547"/>
      <c r="DH129" s="547" t="str">
        <f>IF($G129="","",IF(AND($G129&gt;=30,$AT$3&lt;=DG$7),ROUND(DG129*($AP$3+#REF!),-1),""))</f>
        <v/>
      </c>
      <c r="DI129" s="547"/>
      <c r="DJ129" s="547" t="str">
        <f>IF($G129="","",IF(AND($G129&gt;=30,$AT$3&lt;=DI$7),ROUND(DI129*($AP$3+#REF!),-1),""))</f>
        <v/>
      </c>
      <c r="DK129" s="547"/>
      <c r="DL129" s="547" t="str">
        <f>IF($G129="","",IF(AND($G129&gt;=30,$AT$3&lt;=DK$7),ROUND(DK129*($AP$3+#REF!),-1),""))</f>
        <v/>
      </c>
      <c r="DM129" s="547"/>
      <c r="DN129" s="547" t="str">
        <f>IF($G129="","",IF(AND($G129&gt;=30,$AT$3&lt;=DM$7),ROUND(DM129*($AP$3+#REF!),-1),""))</f>
        <v/>
      </c>
      <c r="DO129" s="547"/>
      <c r="DP129" s="547" t="str">
        <f>IF($G129="","",IF(AND($G129&gt;=30,$AT$3&lt;=DO$7),ROUND(DO129*($AP$3+#REF!),-1),""))</f>
        <v/>
      </c>
      <c r="DQ129" s="547"/>
      <c r="DR129" s="547" t="str">
        <f>IF($G129="","",IF(AND($G129&gt;=30,$AT$3&lt;=DQ$7),ROUND(DQ129*($AP$3+#REF!),-1),""))</f>
        <v/>
      </c>
      <c r="DS129" s="547"/>
      <c r="DT129" s="547" t="str">
        <f>IF($G129="","",IF(AND($G129&gt;=30,$AT$3&lt;=DS$7),ROUND(DS129*($AP$3+#REF!),-1),""))</f>
        <v/>
      </c>
      <c r="DU129" s="547"/>
      <c r="DV129" s="547" t="str">
        <f>IF($G129="","",IF(AND($G129&gt;=30,$AT$3&lt;=DU$7),ROUND(DU129*($AP$3+#REF!),-1),""))</f>
        <v/>
      </c>
      <c r="DW129" s="547"/>
      <c r="DX129" s="547" t="str">
        <f>IF($G129="","",IF(AND($G129&gt;=30,$AT$3&lt;=DW$7),ROUND(DW129*($AP$3+#REF!),-1),""))</f>
        <v/>
      </c>
      <c r="DY129" s="547"/>
      <c r="DZ129" s="547" t="str">
        <f>IF($G129="","",IF(AND($G129&gt;=30,$AT$3&lt;=DY$7),ROUND(DY129*($AP$3+#REF!),-1),""))</f>
        <v/>
      </c>
      <c r="EA129" s="547"/>
      <c r="EB129" s="547" t="str">
        <f>IF($G129="","",IF(AND($G129&gt;=30,$AT$3&lt;=EA$7),ROUND(EA129*($AP$3+#REF!),-1),""))</f>
        <v/>
      </c>
      <c r="EC129" s="547" t="s">
        <v>621</v>
      </c>
      <c r="ED129" s="1126">
        <f>SUM(EC129:EC140)</f>
        <v>0</v>
      </c>
      <c r="EE129" s="325">
        <v>1</v>
      </c>
    </row>
    <row r="130" spans="1:135" ht="9.75" customHeight="1">
      <c r="A130" s="321" t="str">
        <f t="shared" si="37"/>
        <v/>
      </c>
      <c r="B130" s="567">
        <f>(ii!$D$13*12+V130)+1</f>
        <v>24</v>
      </c>
      <c r="C130" s="337">
        <f t="shared" si="30"/>
        <v>46081</v>
      </c>
      <c r="D130" s="484">
        <f t="shared" si="25"/>
        <v>2026</v>
      </c>
      <c r="E130" s="484">
        <f t="shared" si="26"/>
        <v>0.16666666666666666</v>
      </c>
      <c r="F130" s="484">
        <f t="shared" si="27"/>
        <v>2026.1666666666667</v>
      </c>
      <c r="G130" s="485" t="str">
        <f>IF(OR(C130&lt;$I$2,C130&gt;$J$3),"",(ii!$D$13*12+V130+1)/12)</f>
        <v/>
      </c>
      <c r="H130" s="486"/>
      <c r="I130" s="486"/>
      <c r="J130" s="487"/>
      <c r="K130" s="488"/>
      <c r="L130" s="548"/>
      <c r="M130" s="489" t="str">
        <f t="shared" si="32"/>
        <v/>
      </c>
      <c r="N130" s="490" t="s">
        <v>621</v>
      </c>
      <c r="O130" s="490" t="str">
        <f t="shared" si="28"/>
        <v/>
      </c>
      <c r="P130" s="491"/>
      <c r="Q130" s="491"/>
      <c r="R130" s="491" t="str">
        <f t="shared" si="29"/>
        <v/>
      </c>
      <c r="S130" s="528" t="str">
        <f t="shared" si="38"/>
        <v/>
      </c>
      <c r="T130" s="528" t="str">
        <f t="shared" si="36"/>
        <v/>
      </c>
      <c r="U130" s="493" t="str">
        <f>IF(H130="","",#REF!*12+#REF!+#REF!*12+#REF!)</f>
        <v/>
      </c>
      <c r="V130" s="338">
        <f>IF(ii!$J$3&gt;gg!C130,"",IF(AND((YEAR(C130)=YEAR($I$2)),MONTH(C130)=MONTH($I$2)),ii!$B$14*12+ii!$C$14+ii!$B$15*12+ii!$C$15-1,V129+1))</f>
        <v>23</v>
      </c>
      <c r="W130" s="339">
        <f t="shared" si="31"/>
        <v>1.9166666666666667</v>
      </c>
      <c r="X130" s="494" t="s">
        <v>621</v>
      </c>
      <c r="Y130" s="495" t="s">
        <v>621</v>
      </c>
      <c r="Z130" s="496"/>
      <c r="AA130" s="497"/>
      <c r="AB130" s="498" t="e">
        <f t="shared" si="35"/>
        <v>#VALUE!</v>
      </c>
      <c r="AC130" s="484" t="str">
        <f t="shared" si="33"/>
        <v/>
      </c>
      <c r="AD130" s="495" t="str">
        <f t="shared" si="34"/>
        <v/>
      </c>
      <c r="AE130" s="499" t="s">
        <v>621</v>
      </c>
      <c r="AF130" s="500" t="s">
        <v>621</v>
      </c>
      <c r="AG130" s="556" t="s">
        <v>621</v>
      </c>
      <c r="AH130" s="503" t="str">
        <f>IF($G130="","",IF(AND($G130&gt;=30,$AT$3&lt;=AG$7),ROUND(AG130*($AP$3+#REF!),-1),""))</f>
        <v/>
      </c>
      <c r="AI130" s="506" t="s">
        <v>621</v>
      </c>
      <c r="AJ130" s="503" t="str">
        <f>IF($G130="","",IF(AND($G130&gt;=30,$AT$3&lt;=AI$7),ROUND(AI130*($AP$3+#REF!),-1),""))</f>
        <v/>
      </c>
      <c r="AK130" s="506" t="s">
        <v>621</v>
      </c>
      <c r="AL130" s="503" t="str">
        <f>IF($G130="","",IF(AND($G130&gt;=30,$AT$3&lt;=AK$7),ROUND(AK130*($AP$3+#REF!),-1),""))</f>
        <v/>
      </c>
      <c r="AM130" s="506" t="s">
        <v>621</v>
      </c>
      <c r="AN130" s="503" t="str">
        <f>IF($G130="","",IF(AND($G130&gt;=30,$AT$3&lt;=AM$7),ROUND(AM130*($AP$3+#REF!),-1),""))</f>
        <v/>
      </c>
      <c r="AO130" s="503" t="e">
        <f>IF(AO129="","",AO129*1.001)</f>
        <v>#REF!</v>
      </c>
      <c r="AP130" s="503" t="str">
        <f>IF($G130="","",IF(AND($G130&gt;=30,$AT$3&lt;=AO$7),ROUND(AO130*($AP$3+#REF!),-1),""))</f>
        <v/>
      </c>
      <c r="AQ130" s="503" t="s">
        <v>621</v>
      </c>
      <c r="AR130" s="503" t="str">
        <f>IF($G130="","",IF(AND($G130&gt;=30,$AT$3&lt;=AQ$7),ROUND(AQ130*($AP$3+#REF!),-1),""))</f>
        <v/>
      </c>
      <c r="AS130" s="503" t="s">
        <v>621</v>
      </c>
      <c r="AT130" s="503" t="str">
        <f>IF($G130="","",IF(AND($G130&gt;=30,$AT$3&lt;=AS$7),ROUND(AS130*($AP$3+#REF!),-1),""))</f>
        <v/>
      </c>
      <c r="AU130" s="503" t="s">
        <v>621</v>
      </c>
      <c r="AV130" s="503" t="str">
        <f>IF($G130="","",IF(AND($G130&gt;=30,$AT$3&lt;=AU$7),ROUND(AU130*($AP$3+#REF!),-1),""))</f>
        <v/>
      </c>
      <c r="AW130" s="503" t="s">
        <v>621</v>
      </c>
      <c r="AX130" s="503" t="str">
        <f>IF($G130="","",IF(AND($G130&gt;=30,$AT$3&lt;=AW$7),ROUND(AW130*($AP$3+#REF!),-1),""))</f>
        <v/>
      </c>
      <c r="AY130" s="503" t="s">
        <v>621</v>
      </c>
      <c r="AZ130" s="503" t="str">
        <f>IF($G130="","",IF(AND($G130&gt;=30,$AT$3&lt;=AY$7),ROUND(AY130*($AP$3+#REF!),-1),""))</f>
        <v/>
      </c>
      <c r="BA130" s="517" t="e">
        <v>#REF!</v>
      </c>
      <c r="BB130" s="503" t="str">
        <f>IF($G130="","",IF(AND($G130&gt;=30,$AT$3&lt;=BA$7),ROUND(BA130*($AP$3+#REF!),-1),""))</f>
        <v/>
      </c>
      <c r="BC130" s="502"/>
      <c r="BD130" s="503" t="str">
        <f>IF($G130="","",IF(AND($G130&gt;=30,$AT$3&lt;=BC$7),ROUND(BC130*($AP$3+#REF!),-1),""))</f>
        <v/>
      </c>
      <c r="BE130" s="503"/>
      <c r="BF130" s="503" t="str">
        <f>IF($G130="","",IF(AND($G130&gt;=30,$AT$3&lt;=BE$7),ROUND(BE130*($AP$3+#REF!),-1),""))</f>
        <v/>
      </c>
      <c r="BG130" s="502"/>
      <c r="BH130" s="503" t="str">
        <f>IF($G130="","",IF(AND($G130&gt;=30,$AT$3&lt;=BG$7),ROUND(BG130*($AP$3+#REF!),-1),""))</f>
        <v/>
      </c>
      <c r="BI130" s="503"/>
      <c r="BJ130" s="503" t="str">
        <f>IF($G130="","",IF(AND($G130&gt;=30,$AT$3&lt;=BI$7),ROUND(BI130*($AP$3+#REF!),-1),""))</f>
        <v/>
      </c>
      <c r="BK130" s="502"/>
      <c r="BL130" s="503" t="str">
        <f>IF($G130="","",IF(AND($G130&gt;=30,$AT$3&lt;=BK$7),ROUND(BK130*($AP$3+#REF!),-1),""))</f>
        <v/>
      </c>
      <c r="BM130" s="503"/>
      <c r="BN130" s="503" t="str">
        <f>IF($G130="","",IF(AND($G130&gt;=30,$AT$3&lt;=BM$7),ROUND(BM130*($AP$3+#REF!),-1),""))</f>
        <v/>
      </c>
      <c r="BO130" s="502"/>
      <c r="BP130" s="503" t="str">
        <f>IF($G130="","",IF(AND($G130&gt;=30,$AT$3&lt;=BO$7),ROUND(BO130*($AP$3+#REF!),-1),""))</f>
        <v/>
      </c>
      <c r="BQ130" s="503"/>
      <c r="BR130" s="503" t="str">
        <f>IF($G130="","",IF(AND($G130&gt;=30,$AT$3&lt;=BQ$7),ROUND(BQ130*($AP$3+#REF!),-1),""))</f>
        <v/>
      </c>
      <c r="BS130" s="502"/>
      <c r="BT130" s="503" t="str">
        <f>IF($G130="","",IF(AND($G130&gt;=30,$AT$3&lt;=BS$7),ROUND(BS130*($AP$3+#REF!),-1),""))</f>
        <v/>
      </c>
      <c r="BU130" s="503"/>
      <c r="BV130" s="503" t="str">
        <f>IF($G130="","",IF(AND($G130&gt;=30,$AT$3&lt;=BU$7),ROUND(BU130*($AP$3+#REF!),-1),""))</f>
        <v/>
      </c>
      <c r="BW130" s="502"/>
      <c r="BX130" s="503" t="str">
        <f>IF($G130="","",IF(AND($G130&gt;=30,$AT$3&lt;=BW$7),ROUND(BW130*($AP$3+#REF!),-1),""))</f>
        <v/>
      </c>
      <c r="BY130" s="503"/>
      <c r="BZ130" s="503" t="str">
        <f>IF($G130="","",IF(AND($G130&gt;=30,$AT$3&lt;=BY$7),ROUND(BY130*($AP$3+#REF!),-1),""))</f>
        <v/>
      </c>
      <c r="CA130" s="502"/>
      <c r="CB130" s="503" t="str">
        <f>IF($G130="","",IF(AND($G130&gt;=30,$AT$3&lt;=CA$7),ROUND(CA130*($AP$3+#REF!),-1),""))</f>
        <v/>
      </c>
      <c r="CC130" s="503"/>
      <c r="CD130" s="503" t="str">
        <f>IF($G130="","",IF(AND($G130&gt;=30,$AT$3&lt;=CC$7),ROUND(CC130*($AP$3+#REF!),-1),""))</f>
        <v/>
      </c>
      <c r="CE130" s="502"/>
      <c r="CF130" s="503" t="str">
        <f>IF($G130="","",IF(AND($G130&gt;=30,$AT$3&lt;=CE$7),ROUND(CE130*($AP$3+#REF!),-1),""))</f>
        <v/>
      </c>
      <c r="CG130" s="503"/>
      <c r="CH130" s="503" t="str">
        <f>IF($G130="","",IF(AND($G130&gt;=30,$AT$3&lt;=CG$7),ROUND(CG130*($AP$3+#REF!),-1),""))</f>
        <v/>
      </c>
      <c r="CI130" s="502"/>
      <c r="CJ130" s="503" t="str">
        <f>IF($G130="","",IF(AND($G130&gt;=30,$AT$3&lt;=CI$7),ROUND(CI130*($AP$3+#REF!),-1),""))</f>
        <v/>
      </c>
      <c r="CK130" s="503"/>
      <c r="CL130" s="503" t="str">
        <f>IF($G130="","",IF(AND($G130&gt;=30,$AT$3&lt;=CK$7),ROUND(CK130*($AP$3+#REF!),-1),""))</f>
        <v/>
      </c>
      <c r="CM130" s="502"/>
      <c r="CN130" s="503" t="str">
        <f>IF($G130="","",IF(AND($G130&gt;=30,$AT$3&lt;=CM$7),ROUND(CM130*($AP$3+#REF!),-1),""))</f>
        <v/>
      </c>
      <c r="CO130" s="503"/>
      <c r="CP130" s="503" t="str">
        <f>IF($G130="","",IF(AND($G130&gt;=30,$AT$3&lt;=CO$7),ROUND(CO130*($AP$3+#REF!),-1),""))</f>
        <v/>
      </c>
      <c r="CQ130" s="502"/>
      <c r="CR130" s="503" t="str">
        <f>IF($G130="","",IF(AND($G130&gt;=30,$AT$3&lt;=CQ$7),ROUND(CQ130*($AP$3+#REF!),-1),""))</f>
        <v/>
      </c>
      <c r="CS130" s="503"/>
      <c r="CT130" s="503" t="str">
        <f>IF($G130="","",IF(AND($G130&gt;=30,$AT$3&lt;=CS$7),ROUND(CS130*($AP$3+#REF!),-1),""))</f>
        <v/>
      </c>
      <c r="CU130" s="502"/>
      <c r="CV130" s="503" t="str">
        <f>IF($G130="","",IF(AND($G130&gt;=30,$AT$3&lt;=CU$7),ROUND(CU130*($AP$3+#REF!),-1),""))</f>
        <v/>
      </c>
      <c r="CW130" s="503"/>
      <c r="CX130" s="503" t="str">
        <f>IF($G130="","",IF(AND($G130&gt;=30,$AT$3&lt;=CW$7),ROUND(CW130*($AP$3+#REF!),-1),""))</f>
        <v/>
      </c>
      <c r="CY130" s="502"/>
      <c r="CZ130" s="503" t="str">
        <f>IF($G130="","",IF(AND($G130&gt;=30,$AT$3&lt;=CY$7),ROUND(CY130*($AP$3+#REF!),-1),""))</f>
        <v/>
      </c>
      <c r="DA130" s="503"/>
      <c r="DB130" s="503" t="str">
        <f>IF($G130="","",IF(AND($G130&gt;=30,$AT$3&lt;=DA$7),ROUND(DA130*($AP$3+#REF!),-1),""))</f>
        <v/>
      </c>
      <c r="DC130" s="502"/>
      <c r="DD130" s="503" t="str">
        <f>IF($G130="","",IF(AND($G130&gt;=30,$AT$3&lt;=DC$7),ROUND(DC130*($AP$3+#REF!),-1),""))</f>
        <v/>
      </c>
      <c r="DE130" s="503"/>
      <c r="DF130" s="503" t="str">
        <f>IF($G130="","",IF(AND($G130&gt;=30,$AT$3&lt;=DE$7),ROUND(DE130*($AP$3+#REF!),-1),""))</f>
        <v/>
      </c>
      <c r="DG130" s="503"/>
      <c r="DH130" s="503" t="str">
        <f>IF($G130="","",IF(AND($G130&gt;=30,$AT$3&lt;=DG$7),ROUND(DG130*($AP$3+#REF!),-1),""))</f>
        <v/>
      </c>
      <c r="DI130" s="503"/>
      <c r="DJ130" s="503" t="str">
        <f>IF($G130="","",IF(AND($G130&gt;=30,$AT$3&lt;=DI$7),ROUND(DI130*($AP$3+#REF!),-1),""))</f>
        <v/>
      </c>
      <c r="DK130" s="503"/>
      <c r="DL130" s="503" t="str">
        <f>IF($G130="","",IF(AND($G130&gt;=30,$AT$3&lt;=DK$7),ROUND(DK130*($AP$3+#REF!),-1),""))</f>
        <v/>
      </c>
      <c r="DM130" s="503"/>
      <c r="DN130" s="503" t="str">
        <f>IF($G130="","",IF(AND($G130&gt;=30,$AT$3&lt;=DM$7),ROUND(DM130*($AP$3+#REF!),-1),""))</f>
        <v/>
      </c>
      <c r="DO130" s="503"/>
      <c r="DP130" s="503" t="str">
        <f>IF($G130="","",IF(AND($G130&gt;=30,$AT$3&lt;=DO$7),ROUND(DO130*($AP$3+#REF!),-1),""))</f>
        <v/>
      </c>
      <c r="DQ130" s="503"/>
      <c r="DR130" s="503" t="str">
        <f>IF($G130="","",IF(AND($G130&gt;=30,$AT$3&lt;=DQ$7),ROUND(DQ130*($AP$3+#REF!),-1),""))</f>
        <v/>
      </c>
      <c r="DS130" s="503"/>
      <c r="DT130" s="503" t="str">
        <f>IF($G130="","",IF(AND($G130&gt;=30,$AT$3&lt;=DS$7),ROUND(DS130*($AP$3+#REF!),-1),""))</f>
        <v/>
      </c>
      <c r="DU130" s="503"/>
      <c r="DV130" s="503" t="str">
        <f>IF($G130="","",IF(AND($G130&gt;=30,$AT$3&lt;=DU$7),ROUND(DU130*($AP$3+#REF!),-1),""))</f>
        <v/>
      </c>
      <c r="DW130" s="503"/>
      <c r="DX130" s="503" t="str">
        <f>IF($G130="","",IF(AND($G130&gt;=30,$AT$3&lt;=DW$7),ROUND(DW130*($AP$3+#REF!),-1),""))</f>
        <v/>
      </c>
      <c r="DY130" s="503"/>
      <c r="DZ130" s="503" t="str">
        <f>IF($G130="","",IF(AND($G130&gt;=30,$AT$3&lt;=DY$7),ROUND(DY130*($AP$3+#REF!),-1),""))</f>
        <v/>
      </c>
      <c r="EA130" s="503"/>
      <c r="EB130" s="503" t="str">
        <f>IF($G130="","",IF(AND($G130&gt;=30,$AT$3&lt;=EA$7),ROUND(EA130*($AP$3+#REF!),-1),""))</f>
        <v/>
      </c>
      <c r="EC130" s="504" t="s">
        <v>621</v>
      </c>
      <c r="ED130" s="1126"/>
      <c r="EE130" s="325">
        <v>2</v>
      </c>
    </row>
    <row r="131" spans="1:135" ht="9.75" customHeight="1">
      <c r="A131" s="321" t="str">
        <f t="shared" si="37"/>
        <v/>
      </c>
      <c r="B131" s="567">
        <f>(ii!$D$13*12+V131)+1</f>
        <v>25</v>
      </c>
      <c r="C131" s="337">
        <f t="shared" si="30"/>
        <v>46112</v>
      </c>
      <c r="D131" s="484">
        <f t="shared" si="25"/>
        <v>2026</v>
      </c>
      <c r="E131" s="484">
        <f t="shared" si="26"/>
        <v>0.25</v>
      </c>
      <c r="F131" s="484">
        <f t="shared" si="27"/>
        <v>2026.25</v>
      </c>
      <c r="G131" s="485" t="str">
        <f>IF(OR(C131&lt;$I$2,C131&gt;$J$3),"",(ii!$D$13*12+V131+1)/12)</f>
        <v/>
      </c>
      <c r="H131" s="486"/>
      <c r="I131" s="486"/>
      <c r="J131" s="487"/>
      <c r="K131" s="488"/>
      <c r="L131" s="548"/>
      <c r="M131" s="489" t="str">
        <f t="shared" si="32"/>
        <v/>
      </c>
      <c r="N131" s="490" t="s">
        <v>621</v>
      </c>
      <c r="O131" s="490" t="str">
        <f t="shared" si="28"/>
        <v/>
      </c>
      <c r="P131" s="491"/>
      <c r="Q131" s="491"/>
      <c r="R131" s="491" t="str">
        <f t="shared" si="29"/>
        <v/>
      </c>
      <c r="S131" s="528" t="str">
        <f t="shared" si="38"/>
        <v/>
      </c>
      <c r="T131" s="528" t="str">
        <f t="shared" si="36"/>
        <v/>
      </c>
      <c r="U131" s="493" t="str">
        <f>IF(H131="","",#REF!*12+#REF!+#REF!*12+#REF!)</f>
        <v/>
      </c>
      <c r="V131" s="338">
        <f>IF(ii!$J$3&gt;gg!C131,"",IF(AND((YEAR(C131)=YEAR($I$2)),MONTH(C131)=MONTH($I$2)),ii!$B$14*12+ii!$C$14+ii!$B$15*12+ii!$C$15-1,V130+1))</f>
        <v>24</v>
      </c>
      <c r="W131" s="339">
        <f t="shared" si="31"/>
        <v>2</v>
      </c>
      <c r="X131" s="494" t="s">
        <v>621</v>
      </c>
      <c r="Y131" s="495" t="s">
        <v>621</v>
      </c>
      <c r="Z131" s="496"/>
      <c r="AA131" s="497"/>
      <c r="AB131" s="498" t="e">
        <f t="shared" si="35"/>
        <v>#VALUE!</v>
      </c>
      <c r="AC131" s="484" t="str">
        <f t="shared" si="33"/>
        <v/>
      </c>
      <c r="AD131" s="495" t="str">
        <f t="shared" si="34"/>
        <v/>
      </c>
      <c r="AE131" s="499" t="s">
        <v>621</v>
      </c>
      <c r="AF131" s="500" t="s">
        <v>621</v>
      </c>
      <c r="AG131" s="556" t="s">
        <v>621</v>
      </c>
      <c r="AH131" s="503" t="str">
        <f>IF($G131="","",IF(AND($G131&gt;=30,$AT$3&lt;=AG$7),ROUND(AG131*($AP$3+#REF!),-1),""))</f>
        <v/>
      </c>
      <c r="AI131" s="506" t="s">
        <v>621</v>
      </c>
      <c r="AJ131" s="503" t="str">
        <f>IF($G131="","",IF(AND($G131&gt;=30,$AT$3&lt;=AI$7),ROUND(AI131*($AP$3+#REF!),-1),""))</f>
        <v/>
      </c>
      <c r="AK131" s="506" t="s">
        <v>621</v>
      </c>
      <c r="AL131" s="503" t="str">
        <f>IF($G131="","",IF(AND($G131&gt;=30,$AT$3&lt;=AK$7),ROUND(AK131*($AP$3+#REF!),-1),""))</f>
        <v/>
      </c>
      <c r="AM131" s="506" t="s">
        <v>621</v>
      </c>
      <c r="AN131" s="503" t="str">
        <f>IF($G131="","",IF(AND($G131&gt;=30,$AT$3&lt;=AM$7),ROUND(AM131*($AP$3+#REF!),-1),""))</f>
        <v/>
      </c>
      <c r="AO131" s="503" t="e">
        <v>#REF!</v>
      </c>
      <c r="AP131" s="503" t="str">
        <f>IF($G131="","",IF(AND($G131&gt;=30,$AT$3&lt;=AO$7),ROUND(AO131*($AP$3+#REF!),-1),""))</f>
        <v/>
      </c>
      <c r="AQ131" s="503" t="s">
        <v>621</v>
      </c>
      <c r="AR131" s="503" t="str">
        <f>IF($G131="","",IF(AND($G131&gt;=30,$AT$3&lt;=AQ$7),ROUND(AQ131*($AP$3+#REF!),-1),""))</f>
        <v/>
      </c>
      <c r="AS131" s="503" t="s">
        <v>621</v>
      </c>
      <c r="AT131" s="503" t="str">
        <f>IF($G131="","",IF(AND($G131&gt;=30,$AT$3&lt;=AS$7),ROUND(AS131*($AP$3+#REF!),-1),""))</f>
        <v/>
      </c>
      <c r="AU131" s="503" t="s">
        <v>621</v>
      </c>
      <c r="AV131" s="503" t="str">
        <f>IF($G131="","",IF(AND($G131&gt;=30,$AT$3&lt;=AU$7),ROUND(AU131*($AP$3+#REF!),-1),""))</f>
        <v/>
      </c>
      <c r="AW131" s="503" t="s">
        <v>621</v>
      </c>
      <c r="AX131" s="503" t="str">
        <f>IF($G131="","",IF(AND($G131&gt;=30,$AT$3&lt;=AW$7),ROUND(AW131*($AP$3+#REF!),-1),""))</f>
        <v/>
      </c>
      <c r="AY131" s="503" t="s">
        <v>621</v>
      </c>
      <c r="AZ131" s="503" t="str">
        <f>IF($G131="","",IF(AND($G131&gt;=30,$AT$3&lt;=AY$7),ROUND(AY131*($AP$3+#REF!),-1),""))</f>
        <v/>
      </c>
      <c r="BA131" s="517" t="e">
        <v>#REF!</v>
      </c>
      <c r="BB131" s="503" t="str">
        <f>IF($G131="","",IF(AND($G131&gt;=30,$AT$3&lt;=BA$7),ROUND(BA131*($AP$3+#REF!),-1),""))</f>
        <v/>
      </c>
      <c r="BC131" s="502"/>
      <c r="BD131" s="503" t="str">
        <f>IF($G131="","",IF(AND($G131&gt;=30,$AT$3&lt;=BC$7),ROUND(BC131*($AP$3+#REF!),-1),""))</f>
        <v/>
      </c>
      <c r="BE131" s="503"/>
      <c r="BF131" s="503" t="str">
        <f>IF($G131="","",IF(AND($G131&gt;=30,$AT$3&lt;=BE$7),ROUND(BE131*($AP$3+#REF!),-1),""))</f>
        <v/>
      </c>
      <c r="BG131" s="502"/>
      <c r="BH131" s="503" t="str">
        <f>IF($G131="","",IF(AND($G131&gt;=30,$AT$3&lt;=BG$7),ROUND(BG131*($AP$3+#REF!),-1),""))</f>
        <v/>
      </c>
      <c r="BI131" s="503"/>
      <c r="BJ131" s="503" t="str">
        <f>IF($G131="","",IF(AND($G131&gt;=30,$AT$3&lt;=BI$7),ROUND(BI131*($AP$3+#REF!),-1),""))</f>
        <v/>
      </c>
      <c r="BK131" s="502"/>
      <c r="BL131" s="503" t="str">
        <f>IF($G131="","",IF(AND($G131&gt;=30,$AT$3&lt;=BK$7),ROUND(BK131*($AP$3+#REF!),-1),""))</f>
        <v/>
      </c>
      <c r="BM131" s="503"/>
      <c r="BN131" s="503" t="str">
        <f>IF($G131="","",IF(AND($G131&gt;=30,$AT$3&lt;=BM$7),ROUND(BM131*($AP$3+#REF!),-1),""))</f>
        <v/>
      </c>
      <c r="BO131" s="502"/>
      <c r="BP131" s="503" t="str">
        <f>IF($G131="","",IF(AND($G131&gt;=30,$AT$3&lt;=BO$7),ROUND(BO131*($AP$3+#REF!),-1),""))</f>
        <v/>
      </c>
      <c r="BQ131" s="503"/>
      <c r="BR131" s="503" t="str">
        <f>IF($G131="","",IF(AND($G131&gt;=30,$AT$3&lt;=BQ$7),ROUND(BQ131*($AP$3+#REF!),-1),""))</f>
        <v/>
      </c>
      <c r="BS131" s="502"/>
      <c r="BT131" s="503" t="str">
        <f>IF($G131="","",IF(AND($G131&gt;=30,$AT$3&lt;=BS$7),ROUND(BS131*($AP$3+#REF!),-1),""))</f>
        <v/>
      </c>
      <c r="BU131" s="503"/>
      <c r="BV131" s="503" t="str">
        <f>IF($G131="","",IF(AND($G131&gt;=30,$AT$3&lt;=BU$7),ROUND(BU131*($AP$3+#REF!),-1),""))</f>
        <v/>
      </c>
      <c r="BW131" s="502"/>
      <c r="BX131" s="503" t="str">
        <f>IF($G131="","",IF(AND($G131&gt;=30,$AT$3&lt;=BW$7),ROUND(BW131*($AP$3+#REF!),-1),""))</f>
        <v/>
      </c>
      <c r="BY131" s="503"/>
      <c r="BZ131" s="503" t="str">
        <f>IF($G131="","",IF(AND($G131&gt;=30,$AT$3&lt;=BY$7),ROUND(BY131*($AP$3+#REF!),-1),""))</f>
        <v/>
      </c>
      <c r="CA131" s="502"/>
      <c r="CB131" s="503" t="str">
        <f>IF($G131="","",IF(AND($G131&gt;=30,$AT$3&lt;=CA$7),ROUND(CA131*($AP$3+#REF!),-1),""))</f>
        <v/>
      </c>
      <c r="CC131" s="503"/>
      <c r="CD131" s="503" t="str">
        <f>IF($G131="","",IF(AND($G131&gt;=30,$AT$3&lt;=CC$7),ROUND(CC131*($AP$3+#REF!),-1),""))</f>
        <v/>
      </c>
      <c r="CE131" s="502"/>
      <c r="CF131" s="503" t="str">
        <f>IF($G131="","",IF(AND($G131&gt;=30,$AT$3&lt;=CE$7),ROUND(CE131*($AP$3+#REF!),-1),""))</f>
        <v/>
      </c>
      <c r="CG131" s="503"/>
      <c r="CH131" s="503" t="str">
        <f>IF($G131="","",IF(AND($G131&gt;=30,$AT$3&lt;=CG$7),ROUND(CG131*($AP$3+#REF!),-1),""))</f>
        <v/>
      </c>
      <c r="CI131" s="502"/>
      <c r="CJ131" s="503" t="str">
        <f>IF($G131="","",IF(AND($G131&gt;=30,$AT$3&lt;=CI$7),ROUND(CI131*($AP$3+#REF!),-1),""))</f>
        <v/>
      </c>
      <c r="CK131" s="503"/>
      <c r="CL131" s="503" t="str">
        <f>IF($G131="","",IF(AND($G131&gt;=30,$AT$3&lt;=CK$7),ROUND(CK131*($AP$3+#REF!),-1),""))</f>
        <v/>
      </c>
      <c r="CM131" s="502"/>
      <c r="CN131" s="503" t="str">
        <f>IF($G131="","",IF(AND($G131&gt;=30,$AT$3&lt;=CM$7),ROUND(CM131*($AP$3+#REF!),-1),""))</f>
        <v/>
      </c>
      <c r="CO131" s="503"/>
      <c r="CP131" s="503" t="str">
        <f>IF($G131="","",IF(AND($G131&gt;=30,$AT$3&lt;=CO$7),ROUND(CO131*($AP$3+#REF!),-1),""))</f>
        <v/>
      </c>
      <c r="CQ131" s="502"/>
      <c r="CR131" s="503" t="str">
        <f>IF($G131="","",IF(AND($G131&gt;=30,$AT$3&lt;=CQ$7),ROUND(CQ131*($AP$3+#REF!),-1),""))</f>
        <v/>
      </c>
      <c r="CS131" s="503"/>
      <c r="CT131" s="503" t="str">
        <f>IF($G131="","",IF(AND($G131&gt;=30,$AT$3&lt;=CS$7),ROUND(CS131*($AP$3+#REF!),-1),""))</f>
        <v/>
      </c>
      <c r="CU131" s="502"/>
      <c r="CV131" s="503" t="str">
        <f>IF($G131="","",IF(AND($G131&gt;=30,$AT$3&lt;=CU$7),ROUND(CU131*($AP$3+#REF!),-1),""))</f>
        <v/>
      </c>
      <c r="CW131" s="503"/>
      <c r="CX131" s="503" t="str">
        <f>IF($G131="","",IF(AND($G131&gt;=30,$AT$3&lt;=CW$7),ROUND(CW131*($AP$3+#REF!),-1),""))</f>
        <v/>
      </c>
      <c r="CY131" s="502"/>
      <c r="CZ131" s="503" t="str">
        <f>IF($G131="","",IF(AND($G131&gt;=30,$AT$3&lt;=CY$7),ROUND(CY131*($AP$3+#REF!),-1),""))</f>
        <v/>
      </c>
      <c r="DA131" s="503"/>
      <c r="DB131" s="503" t="str">
        <f>IF($G131="","",IF(AND($G131&gt;=30,$AT$3&lt;=DA$7),ROUND(DA131*($AP$3+#REF!),-1),""))</f>
        <v/>
      </c>
      <c r="DC131" s="502"/>
      <c r="DD131" s="503" t="str">
        <f>IF($G131="","",IF(AND($G131&gt;=30,$AT$3&lt;=DC$7),ROUND(DC131*($AP$3+#REF!),-1),""))</f>
        <v/>
      </c>
      <c r="DE131" s="503"/>
      <c r="DF131" s="503" t="str">
        <f>IF($G131="","",IF(AND($G131&gt;=30,$AT$3&lt;=DE$7),ROUND(DE131*($AP$3+#REF!),-1),""))</f>
        <v/>
      </c>
      <c r="DG131" s="503"/>
      <c r="DH131" s="503" t="str">
        <f>IF($G131="","",IF(AND($G131&gt;=30,$AT$3&lt;=DG$7),ROUND(DG131*($AP$3+#REF!),-1),""))</f>
        <v/>
      </c>
      <c r="DI131" s="503"/>
      <c r="DJ131" s="503" t="str">
        <f>IF($G131="","",IF(AND($G131&gt;=30,$AT$3&lt;=DI$7),ROUND(DI131*($AP$3+#REF!),-1),""))</f>
        <v/>
      </c>
      <c r="DK131" s="503"/>
      <c r="DL131" s="503" t="str">
        <f>IF($G131="","",IF(AND($G131&gt;=30,$AT$3&lt;=DK$7),ROUND(DK131*($AP$3+#REF!),-1),""))</f>
        <v/>
      </c>
      <c r="DM131" s="503"/>
      <c r="DN131" s="503" t="str">
        <f>IF($G131="","",IF(AND($G131&gt;=30,$AT$3&lt;=DM$7),ROUND(DM131*($AP$3+#REF!),-1),""))</f>
        <v/>
      </c>
      <c r="DO131" s="503"/>
      <c r="DP131" s="503" t="str">
        <f>IF($G131="","",IF(AND($G131&gt;=30,$AT$3&lt;=DO$7),ROUND(DO131*($AP$3+#REF!),-1),""))</f>
        <v/>
      </c>
      <c r="DQ131" s="503"/>
      <c r="DR131" s="503" t="str">
        <f>IF($G131="","",IF(AND($G131&gt;=30,$AT$3&lt;=DQ$7),ROUND(DQ131*($AP$3+#REF!),-1),""))</f>
        <v/>
      </c>
      <c r="DS131" s="503"/>
      <c r="DT131" s="503" t="str">
        <f>IF($G131="","",IF(AND($G131&gt;=30,$AT$3&lt;=DS$7),ROUND(DS131*($AP$3+#REF!),-1),""))</f>
        <v/>
      </c>
      <c r="DU131" s="503"/>
      <c r="DV131" s="503" t="str">
        <f>IF($G131="","",IF(AND($G131&gt;=30,$AT$3&lt;=DU$7),ROUND(DU131*($AP$3+#REF!),-1),""))</f>
        <v/>
      </c>
      <c r="DW131" s="503"/>
      <c r="DX131" s="503" t="str">
        <f>IF($G131="","",IF(AND($G131&gt;=30,$AT$3&lt;=DW$7),ROUND(DW131*($AP$3+#REF!),-1),""))</f>
        <v/>
      </c>
      <c r="DY131" s="503"/>
      <c r="DZ131" s="503" t="str">
        <f>IF($G131="","",IF(AND($G131&gt;=30,$AT$3&lt;=DY$7),ROUND(DY131*($AP$3+#REF!),-1),""))</f>
        <v/>
      </c>
      <c r="EA131" s="503"/>
      <c r="EB131" s="503" t="str">
        <f>IF($G131="","",IF(AND($G131&gt;=30,$AT$3&lt;=EA$7),ROUND(EA131*($AP$3+#REF!),-1),""))</f>
        <v/>
      </c>
      <c r="EC131" s="504" t="s">
        <v>621</v>
      </c>
      <c r="ED131" s="1126"/>
      <c r="EE131" s="325">
        <v>3</v>
      </c>
    </row>
    <row r="132" spans="1:135" ht="9.75" customHeight="1">
      <c r="A132" s="321" t="str">
        <f t="shared" si="37"/>
        <v/>
      </c>
      <c r="B132" s="567">
        <f>(ii!$D$13*12+V132)+1</f>
        <v>26</v>
      </c>
      <c r="C132" s="337">
        <f t="shared" si="30"/>
        <v>46142</v>
      </c>
      <c r="D132" s="484">
        <f t="shared" si="25"/>
        <v>2026</v>
      </c>
      <c r="E132" s="484">
        <f t="shared" si="26"/>
        <v>0.33333333333333331</v>
      </c>
      <c r="F132" s="484">
        <f t="shared" si="27"/>
        <v>2026.3333333333333</v>
      </c>
      <c r="G132" s="485" t="str">
        <f>IF(OR(C132&lt;$I$2,C132&gt;$J$3),"",(ii!$D$13*12+V132+1)/12)</f>
        <v/>
      </c>
      <c r="H132" s="486"/>
      <c r="I132" s="486"/>
      <c r="J132" s="487"/>
      <c r="K132" s="488"/>
      <c r="L132" s="548"/>
      <c r="M132" s="489" t="str">
        <f t="shared" si="32"/>
        <v/>
      </c>
      <c r="N132" s="490" t="s">
        <v>621</v>
      </c>
      <c r="O132" s="490" t="str">
        <f t="shared" si="28"/>
        <v/>
      </c>
      <c r="P132" s="491"/>
      <c r="Q132" s="491"/>
      <c r="R132" s="491" t="str">
        <f t="shared" si="29"/>
        <v/>
      </c>
      <c r="S132" s="528" t="str">
        <f t="shared" si="38"/>
        <v/>
      </c>
      <c r="T132" s="528" t="str">
        <f t="shared" si="36"/>
        <v/>
      </c>
      <c r="U132" s="493" t="str">
        <f>IF(H132="","",#REF!*12+#REF!+#REF!*12+#REF!)</f>
        <v/>
      </c>
      <c r="V132" s="338">
        <f>IF(ii!$J$3&gt;gg!C132,"",IF(AND((YEAR(C132)=YEAR($I$2)),MONTH(C132)=MONTH($I$2)),ii!$B$14*12+ii!$C$14+ii!$B$15*12+ii!$C$15-1,V131+1))</f>
        <v>25</v>
      </c>
      <c r="W132" s="339">
        <f t="shared" si="31"/>
        <v>2.0833333333333335</v>
      </c>
      <c r="X132" s="494" t="s">
        <v>621</v>
      </c>
      <c r="Y132" s="495" t="s">
        <v>621</v>
      </c>
      <c r="Z132" s="496"/>
      <c r="AA132" s="497"/>
      <c r="AB132" s="498" t="e">
        <f t="shared" si="35"/>
        <v>#VALUE!</v>
      </c>
      <c r="AC132" s="484" t="str">
        <f t="shared" si="33"/>
        <v/>
      </c>
      <c r="AD132" s="495" t="str">
        <f t="shared" si="34"/>
        <v/>
      </c>
      <c r="AE132" s="499" t="s">
        <v>621</v>
      </c>
      <c r="AF132" s="500" t="s">
        <v>621</v>
      </c>
      <c r="AG132" s="556" t="s">
        <v>621</v>
      </c>
      <c r="AH132" s="503" t="str">
        <f>IF($G132="","",IF(AND($G132&gt;=30,$AT$3&lt;=AG$7),ROUND(AG132*($AP$3+#REF!),-1),""))</f>
        <v/>
      </c>
      <c r="AI132" s="506" t="s">
        <v>621</v>
      </c>
      <c r="AJ132" s="503" t="str">
        <f>IF($G132="","",IF(AND($G132&gt;=30,$AT$3&lt;=AI$7),ROUND(AI132*($AP$3+#REF!),-1),""))</f>
        <v/>
      </c>
      <c r="AK132" s="506" t="s">
        <v>621</v>
      </c>
      <c r="AL132" s="503" t="str">
        <f>IF($G132="","",IF(AND($G132&gt;=30,$AT$3&lt;=AK$7),ROUND(AK132*($AP$3+#REF!),-1),""))</f>
        <v/>
      </c>
      <c r="AM132" s="506" t="s">
        <v>621</v>
      </c>
      <c r="AN132" s="503" t="str">
        <f>IF($G132="","",IF(AND($G132&gt;=30,$AT$3&lt;=AM$7),ROUND(AM132*($AP$3+#REF!),-1),""))</f>
        <v/>
      </c>
      <c r="AO132" s="503" t="e">
        <v>#REF!</v>
      </c>
      <c r="AP132" s="503" t="str">
        <f>IF($G132="","",IF(AND($G132&gt;=30,$AT$3&lt;=AO$7),ROUND(AO132*($AP$3+#REF!),-1),""))</f>
        <v/>
      </c>
      <c r="AQ132" s="503" t="s">
        <v>621</v>
      </c>
      <c r="AR132" s="503" t="str">
        <f>IF($G132="","",IF(AND($G132&gt;=30,$AT$3&lt;=AQ$7),ROUND(AQ132*($AP$3+#REF!),-1),""))</f>
        <v/>
      </c>
      <c r="AS132" s="503" t="s">
        <v>621</v>
      </c>
      <c r="AT132" s="503" t="str">
        <f>IF($G132="","",IF(AND($G132&gt;=30,$AT$3&lt;=AS$7),ROUND(AS132*($AP$3+#REF!),-1),""))</f>
        <v/>
      </c>
      <c r="AU132" s="503" t="s">
        <v>621</v>
      </c>
      <c r="AV132" s="503" t="str">
        <f>IF($G132="","",IF(AND($G132&gt;=30,$AT$3&lt;=AU$7),ROUND(AU132*($AP$3+#REF!),-1),""))</f>
        <v/>
      </c>
      <c r="AW132" s="503" t="s">
        <v>621</v>
      </c>
      <c r="AX132" s="503" t="str">
        <f>IF($G132="","",IF(AND($G132&gt;=30,$AT$3&lt;=AW$7),ROUND(AW132*($AP$3+#REF!),-1),""))</f>
        <v/>
      </c>
      <c r="AY132" s="503" t="s">
        <v>621</v>
      </c>
      <c r="AZ132" s="503" t="str">
        <f>IF($G132="","",IF(AND($G132&gt;=30,$AT$3&lt;=AY$7),ROUND(AY132*($AP$3+#REF!),-1),""))</f>
        <v/>
      </c>
      <c r="BA132" s="517" t="e">
        <v>#REF!</v>
      </c>
      <c r="BB132" s="503" t="str">
        <f>IF($G132="","",IF(AND($G132&gt;=30,$AT$3&lt;=BA$7),ROUND(BA132*($AP$3+#REF!),-1),""))</f>
        <v/>
      </c>
      <c r="BC132" s="502"/>
      <c r="BD132" s="503" t="str">
        <f>IF($G132="","",IF(AND($G132&gt;=30,$AT$3&lt;=BC$7),ROUND(BC132*($AP$3+#REF!),-1),""))</f>
        <v/>
      </c>
      <c r="BE132" s="503"/>
      <c r="BF132" s="503" t="str">
        <f>IF($G132="","",IF(AND($G132&gt;=30,$AT$3&lt;=BE$7),ROUND(BE132*($AP$3+#REF!),-1),""))</f>
        <v/>
      </c>
      <c r="BG132" s="502"/>
      <c r="BH132" s="503" t="str">
        <f>IF($G132="","",IF(AND($G132&gt;=30,$AT$3&lt;=BG$7),ROUND(BG132*($AP$3+#REF!),-1),""))</f>
        <v/>
      </c>
      <c r="BI132" s="503"/>
      <c r="BJ132" s="503" t="str">
        <f>IF($G132="","",IF(AND($G132&gt;=30,$AT$3&lt;=BI$7),ROUND(BI132*($AP$3+#REF!),-1),""))</f>
        <v/>
      </c>
      <c r="BK132" s="502"/>
      <c r="BL132" s="503" t="str">
        <f>IF($G132="","",IF(AND($G132&gt;=30,$AT$3&lt;=BK$7),ROUND(BK132*($AP$3+#REF!),-1),""))</f>
        <v/>
      </c>
      <c r="BM132" s="503"/>
      <c r="BN132" s="503" t="str">
        <f>IF($G132="","",IF(AND($G132&gt;=30,$AT$3&lt;=BM$7),ROUND(BM132*($AP$3+#REF!),-1),""))</f>
        <v/>
      </c>
      <c r="BO132" s="502"/>
      <c r="BP132" s="503" t="str">
        <f>IF($G132="","",IF(AND($G132&gt;=30,$AT$3&lt;=BO$7),ROUND(BO132*($AP$3+#REF!),-1),""))</f>
        <v/>
      </c>
      <c r="BQ132" s="503"/>
      <c r="BR132" s="503" t="str">
        <f>IF($G132="","",IF(AND($G132&gt;=30,$AT$3&lt;=BQ$7),ROUND(BQ132*($AP$3+#REF!),-1),""))</f>
        <v/>
      </c>
      <c r="BS132" s="502"/>
      <c r="BT132" s="503" t="str">
        <f>IF($G132="","",IF(AND($G132&gt;=30,$AT$3&lt;=BS$7),ROUND(BS132*($AP$3+#REF!),-1),""))</f>
        <v/>
      </c>
      <c r="BU132" s="503"/>
      <c r="BV132" s="503" t="str">
        <f>IF($G132="","",IF(AND($G132&gt;=30,$AT$3&lt;=BU$7),ROUND(BU132*($AP$3+#REF!),-1),""))</f>
        <v/>
      </c>
      <c r="BW132" s="502"/>
      <c r="BX132" s="503" t="str">
        <f>IF($G132="","",IF(AND($G132&gt;=30,$AT$3&lt;=BW$7),ROUND(BW132*($AP$3+#REF!),-1),""))</f>
        <v/>
      </c>
      <c r="BY132" s="503"/>
      <c r="BZ132" s="503" t="str">
        <f>IF($G132="","",IF(AND($G132&gt;=30,$AT$3&lt;=BY$7),ROUND(BY132*($AP$3+#REF!),-1),""))</f>
        <v/>
      </c>
      <c r="CA132" s="502"/>
      <c r="CB132" s="503" t="str">
        <f>IF($G132="","",IF(AND($G132&gt;=30,$AT$3&lt;=CA$7),ROUND(CA132*($AP$3+#REF!),-1),""))</f>
        <v/>
      </c>
      <c r="CC132" s="503"/>
      <c r="CD132" s="503" t="str">
        <f>IF($G132="","",IF(AND($G132&gt;=30,$AT$3&lt;=CC$7),ROUND(CC132*($AP$3+#REF!),-1),""))</f>
        <v/>
      </c>
      <c r="CE132" s="502"/>
      <c r="CF132" s="503" t="str">
        <f>IF($G132="","",IF(AND($G132&gt;=30,$AT$3&lt;=CE$7),ROUND(CE132*($AP$3+#REF!),-1),""))</f>
        <v/>
      </c>
      <c r="CG132" s="503"/>
      <c r="CH132" s="503" t="str">
        <f>IF($G132="","",IF(AND($G132&gt;=30,$AT$3&lt;=CG$7),ROUND(CG132*($AP$3+#REF!),-1),""))</f>
        <v/>
      </c>
      <c r="CI132" s="502"/>
      <c r="CJ132" s="503" t="str">
        <f>IF($G132="","",IF(AND($G132&gt;=30,$AT$3&lt;=CI$7),ROUND(CI132*($AP$3+#REF!),-1),""))</f>
        <v/>
      </c>
      <c r="CK132" s="503"/>
      <c r="CL132" s="503" t="str">
        <f>IF($G132="","",IF(AND($G132&gt;=30,$AT$3&lt;=CK$7),ROUND(CK132*($AP$3+#REF!),-1),""))</f>
        <v/>
      </c>
      <c r="CM132" s="502"/>
      <c r="CN132" s="503" t="str">
        <f>IF($G132="","",IF(AND($G132&gt;=30,$AT$3&lt;=CM$7),ROUND(CM132*($AP$3+#REF!),-1),""))</f>
        <v/>
      </c>
      <c r="CO132" s="503"/>
      <c r="CP132" s="503" t="str">
        <f>IF($G132="","",IF(AND($G132&gt;=30,$AT$3&lt;=CO$7),ROUND(CO132*($AP$3+#REF!),-1),""))</f>
        <v/>
      </c>
      <c r="CQ132" s="502"/>
      <c r="CR132" s="503" t="str">
        <f>IF($G132="","",IF(AND($G132&gt;=30,$AT$3&lt;=CQ$7),ROUND(CQ132*($AP$3+#REF!),-1),""))</f>
        <v/>
      </c>
      <c r="CS132" s="503"/>
      <c r="CT132" s="503" t="str">
        <f>IF($G132="","",IF(AND($G132&gt;=30,$AT$3&lt;=CS$7),ROUND(CS132*($AP$3+#REF!),-1),""))</f>
        <v/>
      </c>
      <c r="CU132" s="502"/>
      <c r="CV132" s="503" t="str">
        <f>IF($G132="","",IF(AND($G132&gt;=30,$AT$3&lt;=CU$7),ROUND(CU132*($AP$3+#REF!),-1),""))</f>
        <v/>
      </c>
      <c r="CW132" s="503"/>
      <c r="CX132" s="503" t="str">
        <f>IF($G132="","",IF(AND($G132&gt;=30,$AT$3&lt;=CW$7),ROUND(CW132*($AP$3+#REF!),-1),""))</f>
        <v/>
      </c>
      <c r="CY132" s="502"/>
      <c r="CZ132" s="503" t="str">
        <f>IF($G132="","",IF(AND($G132&gt;=30,$AT$3&lt;=CY$7),ROUND(CY132*($AP$3+#REF!),-1),""))</f>
        <v/>
      </c>
      <c r="DA132" s="503"/>
      <c r="DB132" s="503" t="str">
        <f>IF($G132="","",IF(AND($G132&gt;=30,$AT$3&lt;=DA$7),ROUND(DA132*($AP$3+#REF!),-1),""))</f>
        <v/>
      </c>
      <c r="DC132" s="502"/>
      <c r="DD132" s="503" t="str">
        <f>IF($G132="","",IF(AND($G132&gt;=30,$AT$3&lt;=DC$7),ROUND(DC132*($AP$3+#REF!),-1),""))</f>
        <v/>
      </c>
      <c r="DE132" s="503"/>
      <c r="DF132" s="503" t="str">
        <f>IF($G132="","",IF(AND($G132&gt;=30,$AT$3&lt;=DE$7),ROUND(DE132*($AP$3+#REF!),-1),""))</f>
        <v/>
      </c>
      <c r="DG132" s="503"/>
      <c r="DH132" s="503" t="str">
        <f>IF($G132="","",IF(AND($G132&gt;=30,$AT$3&lt;=DG$7),ROUND(DG132*($AP$3+#REF!),-1),""))</f>
        <v/>
      </c>
      <c r="DI132" s="503"/>
      <c r="DJ132" s="503" t="str">
        <f>IF($G132="","",IF(AND($G132&gt;=30,$AT$3&lt;=DI$7),ROUND(DI132*($AP$3+#REF!),-1),""))</f>
        <v/>
      </c>
      <c r="DK132" s="503"/>
      <c r="DL132" s="503" t="str">
        <f>IF($G132="","",IF(AND($G132&gt;=30,$AT$3&lt;=DK$7),ROUND(DK132*($AP$3+#REF!),-1),""))</f>
        <v/>
      </c>
      <c r="DM132" s="503"/>
      <c r="DN132" s="503" t="str">
        <f>IF($G132="","",IF(AND($G132&gt;=30,$AT$3&lt;=DM$7),ROUND(DM132*($AP$3+#REF!),-1),""))</f>
        <v/>
      </c>
      <c r="DO132" s="503"/>
      <c r="DP132" s="503" t="str">
        <f>IF($G132="","",IF(AND($G132&gt;=30,$AT$3&lt;=DO$7),ROUND(DO132*($AP$3+#REF!),-1),""))</f>
        <v/>
      </c>
      <c r="DQ132" s="503"/>
      <c r="DR132" s="503" t="str">
        <f>IF($G132="","",IF(AND($G132&gt;=30,$AT$3&lt;=DQ$7),ROUND(DQ132*($AP$3+#REF!),-1),""))</f>
        <v/>
      </c>
      <c r="DS132" s="503"/>
      <c r="DT132" s="503" t="str">
        <f>IF($G132="","",IF(AND($G132&gt;=30,$AT$3&lt;=DS$7),ROUND(DS132*($AP$3+#REF!),-1),""))</f>
        <v/>
      </c>
      <c r="DU132" s="503"/>
      <c r="DV132" s="503" t="str">
        <f>IF($G132="","",IF(AND($G132&gt;=30,$AT$3&lt;=DU$7),ROUND(DU132*($AP$3+#REF!),-1),""))</f>
        <v/>
      </c>
      <c r="DW132" s="503"/>
      <c r="DX132" s="503" t="str">
        <f>IF($G132="","",IF(AND($G132&gt;=30,$AT$3&lt;=DW$7),ROUND(DW132*($AP$3+#REF!),-1),""))</f>
        <v/>
      </c>
      <c r="DY132" s="503"/>
      <c r="DZ132" s="503" t="str">
        <f>IF($G132="","",IF(AND($G132&gt;=30,$AT$3&lt;=DY$7),ROUND(DY132*($AP$3+#REF!),-1),""))</f>
        <v/>
      </c>
      <c r="EA132" s="503"/>
      <c r="EB132" s="503" t="str">
        <f>IF($G132="","",IF(AND($G132&gt;=30,$AT$3&lt;=EA$7),ROUND(EA132*($AP$3+#REF!),-1),""))</f>
        <v/>
      </c>
      <c r="EC132" s="504" t="s">
        <v>621</v>
      </c>
      <c r="ED132" s="1126"/>
      <c r="EE132" s="325">
        <v>4</v>
      </c>
    </row>
    <row r="133" spans="1:135" ht="9.75" customHeight="1">
      <c r="A133" s="321" t="str">
        <f t="shared" si="37"/>
        <v/>
      </c>
      <c r="B133" s="567">
        <f>(ii!$D$13*12+V133)+1</f>
        <v>27</v>
      </c>
      <c r="C133" s="337">
        <f t="shared" si="30"/>
        <v>46173</v>
      </c>
      <c r="D133" s="484">
        <f t="shared" si="25"/>
        <v>2026</v>
      </c>
      <c r="E133" s="484">
        <f t="shared" si="26"/>
        <v>0.41666666666666669</v>
      </c>
      <c r="F133" s="484">
        <f t="shared" si="27"/>
        <v>2026.4166666666667</v>
      </c>
      <c r="G133" s="485" t="str">
        <f>IF(OR(C133&lt;$I$2,C133&gt;$J$3),"",(ii!$D$13*12+V133+1)/12)</f>
        <v/>
      </c>
      <c r="H133" s="486"/>
      <c r="I133" s="486"/>
      <c r="J133" s="507"/>
      <c r="K133" s="508"/>
      <c r="L133" s="548"/>
      <c r="M133" s="520" t="str">
        <f t="shared" si="32"/>
        <v/>
      </c>
      <c r="N133" s="490" t="s">
        <v>621</v>
      </c>
      <c r="O133" s="490" t="str">
        <f t="shared" si="28"/>
        <v/>
      </c>
      <c r="P133" s="507"/>
      <c r="Q133" s="507"/>
      <c r="R133" s="509" t="str">
        <f t="shared" si="29"/>
        <v/>
      </c>
      <c r="S133" s="528" t="str">
        <f t="shared" si="38"/>
        <v/>
      </c>
      <c r="T133" s="528" t="str">
        <f t="shared" si="36"/>
        <v/>
      </c>
      <c r="U133" s="521" t="str">
        <f>IF(H133="","",#REF!*12+#REF!+#REF!*12+#REF!)</f>
        <v/>
      </c>
      <c r="V133" s="338">
        <f>IF(ii!$J$3&gt;gg!C133,"",IF(AND((YEAR(C133)=YEAR($I$2)),MONTH(C133)=MONTH($I$2)),ii!$B$14*12+ii!$C$14+ii!$B$15*12+ii!$C$15-1,V132+1))</f>
        <v>26</v>
      </c>
      <c r="W133" s="339">
        <f t="shared" si="31"/>
        <v>2.1666666666666665</v>
      </c>
      <c r="X133" s="494" t="s">
        <v>621</v>
      </c>
      <c r="Y133" s="495" t="s">
        <v>621</v>
      </c>
      <c r="Z133" s="496"/>
      <c r="AA133" s="497"/>
      <c r="AB133" s="523" t="e">
        <f t="shared" si="35"/>
        <v>#VALUE!</v>
      </c>
      <c r="AC133" s="551" t="str">
        <f t="shared" si="33"/>
        <v/>
      </c>
      <c r="AD133" s="524" t="str">
        <f t="shared" si="34"/>
        <v/>
      </c>
      <c r="AE133" s="525" t="s">
        <v>621</v>
      </c>
      <c r="AF133" s="500" t="s">
        <v>621</v>
      </c>
      <c r="AG133" s="556" t="s">
        <v>621</v>
      </c>
      <c r="AH133" s="503" t="str">
        <f>IF($G133="","",IF(AND($G133&gt;=30,$AT$3&lt;=AG$7),ROUND(AG133*($AP$3+#REF!),-1),""))</f>
        <v/>
      </c>
      <c r="AI133" s="506" t="s">
        <v>621</v>
      </c>
      <c r="AJ133" s="503" t="str">
        <f>IF($G133="","",IF(AND($G133&gt;=30,$AT$3&lt;=AI$7),ROUND(AI133*($AP$3+#REF!),-1),""))</f>
        <v/>
      </c>
      <c r="AK133" s="506" t="s">
        <v>621</v>
      </c>
      <c r="AL133" s="503" t="str">
        <f>IF($G133="","",IF(AND($G133&gt;=30,$AT$3&lt;=AK$7),ROUND(AK133*($AP$3+#REF!),-1),""))</f>
        <v/>
      </c>
      <c r="AM133" s="506" t="s">
        <v>621</v>
      </c>
      <c r="AN133" s="503" t="str">
        <f>IF($G133="","",IF(AND($G133&gt;=30,$AT$3&lt;=AM$7),ROUND(AM133*($AP$3+#REF!),-1),""))</f>
        <v/>
      </c>
      <c r="AO133" s="503" t="e">
        <v>#REF!</v>
      </c>
      <c r="AP133" s="503" t="str">
        <f>IF($G133="","",IF(AND($G133&gt;=30,$AT$3&lt;=AO$7),ROUND(AO133*($AP$3+#REF!),-1),""))</f>
        <v/>
      </c>
      <c r="AQ133" s="503" t="s">
        <v>621</v>
      </c>
      <c r="AR133" s="503" t="str">
        <f>IF($G133="","",IF(AND($G133&gt;=30,$AT$3&lt;=AQ$7),ROUND(AQ133*($AP$3+#REF!),-1),""))</f>
        <v/>
      </c>
      <c r="AS133" s="503" t="s">
        <v>621</v>
      </c>
      <c r="AT133" s="503" t="str">
        <f>IF($G133="","",IF(AND($G133&gt;=30,$AT$3&lt;=AS$7),ROUND(AS133*($AP$3+#REF!),-1),""))</f>
        <v/>
      </c>
      <c r="AU133" s="503" t="s">
        <v>621</v>
      </c>
      <c r="AV133" s="503" t="str">
        <f>IF($G133="","",IF(AND($G133&gt;=30,$AT$3&lt;=AU$7),ROUND(AU133*($AP$3+#REF!),-1),""))</f>
        <v/>
      </c>
      <c r="AW133" s="503" t="s">
        <v>621</v>
      </c>
      <c r="AX133" s="503" t="str">
        <f>IF($G133="","",IF(AND($G133&gt;=30,$AT$3&lt;=AW$7),ROUND(AW133*($AP$3+#REF!),-1),""))</f>
        <v/>
      </c>
      <c r="AY133" s="503" t="s">
        <v>621</v>
      </c>
      <c r="AZ133" s="503" t="str">
        <f>IF($G133="","",IF(AND($G133&gt;=30,$AT$3&lt;=AY$7),ROUND(AY133*($AP$3+#REF!),-1),""))</f>
        <v/>
      </c>
      <c r="BA133" s="517" t="e">
        <v>#REF!</v>
      </c>
      <c r="BB133" s="503" t="str">
        <f>IF($G133="","",IF(AND($G133&gt;=30,$AT$3&lt;=BA$7),ROUND(BA133*($AP$3+#REF!),-1),""))</f>
        <v/>
      </c>
      <c r="BC133" s="502"/>
      <c r="BD133" s="503" t="str">
        <f>IF($G133="","",IF(AND($G133&gt;=30,$AT$3&lt;=BC$7),ROUND(BC133*($AP$3+#REF!),-1),""))</f>
        <v/>
      </c>
      <c r="BE133" s="503"/>
      <c r="BF133" s="503" t="str">
        <f>IF($G133="","",IF(AND($G133&gt;=30,$AT$3&lt;=BE$7),ROUND(BE133*($AP$3+#REF!),-1),""))</f>
        <v/>
      </c>
      <c r="BG133" s="502"/>
      <c r="BH133" s="503" t="str">
        <f>IF($G133="","",IF(AND($G133&gt;=30,$AT$3&lt;=BG$7),ROUND(BG133*($AP$3+#REF!),-1),""))</f>
        <v/>
      </c>
      <c r="BI133" s="503"/>
      <c r="BJ133" s="503" t="str">
        <f>IF($G133="","",IF(AND($G133&gt;=30,$AT$3&lt;=BI$7),ROUND(BI133*($AP$3+#REF!),-1),""))</f>
        <v/>
      </c>
      <c r="BK133" s="502"/>
      <c r="BL133" s="503" t="str">
        <f>IF($G133="","",IF(AND($G133&gt;=30,$AT$3&lt;=BK$7),ROUND(BK133*($AP$3+#REF!),-1),""))</f>
        <v/>
      </c>
      <c r="BM133" s="503"/>
      <c r="BN133" s="503" t="str">
        <f>IF($G133="","",IF(AND($G133&gt;=30,$AT$3&lt;=BM$7),ROUND(BM133*($AP$3+#REF!),-1),""))</f>
        <v/>
      </c>
      <c r="BO133" s="502"/>
      <c r="BP133" s="503" t="str">
        <f>IF($G133="","",IF(AND($G133&gt;=30,$AT$3&lt;=BO$7),ROUND(BO133*($AP$3+#REF!),-1),""))</f>
        <v/>
      </c>
      <c r="BQ133" s="503"/>
      <c r="BR133" s="503" t="str">
        <f>IF($G133="","",IF(AND($G133&gt;=30,$AT$3&lt;=BQ$7),ROUND(BQ133*($AP$3+#REF!),-1),""))</f>
        <v/>
      </c>
      <c r="BS133" s="502"/>
      <c r="BT133" s="503" t="str">
        <f>IF($G133="","",IF(AND($G133&gt;=30,$AT$3&lt;=BS$7),ROUND(BS133*($AP$3+#REF!),-1),""))</f>
        <v/>
      </c>
      <c r="BU133" s="503"/>
      <c r="BV133" s="503" t="str">
        <f>IF($G133="","",IF(AND($G133&gt;=30,$AT$3&lt;=BU$7),ROUND(BU133*($AP$3+#REF!),-1),""))</f>
        <v/>
      </c>
      <c r="BW133" s="502"/>
      <c r="BX133" s="503" t="str">
        <f>IF($G133="","",IF(AND($G133&gt;=30,$AT$3&lt;=BW$7),ROUND(BW133*($AP$3+#REF!),-1),""))</f>
        <v/>
      </c>
      <c r="BY133" s="503"/>
      <c r="BZ133" s="503" t="str">
        <f>IF($G133="","",IF(AND($G133&gt;=30,$AT$3&lt;=BY$7),ROUND(BY133*($AP$3+#REF!),-1),""))</f>
        <v/>
      </c>
      <c r="CA133" s="502"/>
      <c r="CB133" s="503" t="str">
        <f>IF($G133="","",IF(AND($G133&gt;=30,$AT$3&lt;=CA$7),ROUND(CA133*($AP$3+#REF!),-1),""))</f>
        <v/>
      </c>
      <c r="CC133" s="503"/>
      <c r="CD133" s="503" t="str">
        <f>IF($G133="","",IF(AND($G133&gt;=30,$AT$3&lt;=CC$7),ROUND(CC133*($AP$3+#REF!),-1),""))</f>
        <v/>
      </c>
      <c r="CE133" s="502"/>
      <c r="CF133" s="503" t="str">
        <f>IF($G133="","",IF(AND($G133&gt;=30,$AT$3&lt;=CE$7),ROUND(CE133*($AP$3+#REF!),-1),""))</f>
        <v/>
      </c>
      <c r="CG133" s="503"/>
      <c r="CH133" s="503" t="str">
        <f>IF($G133="","",IF(AND($G133&gt;=30,$AT$3&lt;=CG$7),ROUND(CG133*($AP$3+#REF!),-1),""))</f>
        <v/>
      </c>
      <c r="CI133" s="502"/>
      <c r="CJ133" s="503" t="str">
        <f>IF($G133="","",IF(AND($G133&gt;=30,$AT$3&lt;=CI$7),ROUND(CI133*($AP$3+#REF!),-1),""))</f>
        <v/>
      </c>
      <c r="CK133" s="503"/>
      <c r="CL133" s="503" t="str">
        <f>IF($G133="","",IF(AND($G133&gt;=30,$AT$3&lt;=CK$7),ROUND(CK133*($AP$3+#REF!),-1),""))</f>
        <v/>
      </c>
      <c r="CM133" s="502"/>
      <c r="CN133" s="503" t="str">
        <f>IF($G133="","",IF(AND($G133&gt;=30,$AT$3&lt;=CM$7),ROUND(CM133*($AP$3+#REF!),-1),""))</f>
        <v/>
      </c>
      <c r="CO133" s="503"/>
      <c r="CP133" s="503" t="str">
        <f>IF($G133="","",IF(AND($G133&gt;=30,$AT$3&lt;=CO$7),ROUND(CO133*($AP$3+#REF!),-1),""))</f>
        <v/>
      </c>
      <c r="CQ133" s="502"/>
      <c r="CR133" s="503" t="str">
        <f>IF($G133="","",IF(AND($G133&gt;=30,$AT$3&lt;=CQ$7),ROUND(CQ133*($AP$3+#REF!),-1),""))</f>
        <v/>
      </c>
      <c r="CS133" s="503"/>
      <c r="CT133" s="503" t="str">
        <f>IF($G133="","",IF(AND($G133&gt;=30,$AT$3&lt;=CS$7),ROUND(CS133*($AP$3+#REF!),-1),""))</f>
        <v/>
      </c>
      <c r="CU133" s="502"/>
      <c r="CV133" s="503" t="str">
        <f>IF($G133="","",IF(AND($G133&gt;=30,$AT$3&lt;=CU$7),ROUND(CU133*($AP$3+#REF!),-1),""))</f>
        <v/>
      </c>
      <c r="CW133" s="503"/>
      <c r="CX133" s="503" t="str">
        <f>IF($G133="","",IF(AND($G133&gt;=30,$AT$3&lt;=CW$7),ROUND(CW133*($AP$3+#REF!),-1),""))</f>
        <v/>
      </c>
      <c r="CY133" s="502"/>
      <c r="CZ133" s="503" t="str">
        <f>IF($G133="","",IF(AND($G133&gt;=30,$AT$3&lt;=CY$7),ROUND(CY133*($AP$3+#REF!),-1),""))</f>
        <v/>
      </c>
      <c r="DA133" s="503"/>
      <c r="DB133" s="503" t="str">
        <f>IF($G133="","",IF(AND($G133&gt;=30,$AT$3&lt;=DA$7),ROUND(DA133*($AP$3+#REF!),-1),""))</f>
        <v/>
      </c>
      <c r="DC133" s="502"/>
      <c r="DD133" s="503" t="str">
        <f>IF($G133="","",IF(AND($G133&gt;=30,$AT$3&lt;=DC$7),ROUND(DC133*($AP$3+#REF!),-1),""))</f>
        <v/>
      </c>
      <c r="DE133" s="503"/>
      <c r="DF133" s="503" t="str">
        <f>IF($G133="","",IF(AND($G133&gt;=30,$AT$3&lt;=DE$7),ROUND(DE133*($AP$3+#REF!),-1),""))</f>
        <v/>
      </c>
      <c r="DG133" s="503"/>
      <c r="DH133" s="503" t="str">
        <f>IF($G133="","",IF(AND($G133&gt;=30,$AT$3&lt;=DG$7),ROUND(DG133*($AP$3+#REF!),-1),""))</f>
        <v/>
      </c>
      <c r="DI133" s="503"/>
      <c r="DJ133" s="503" t="str">
        <f>IF($G133="","",IF(AND($G133&gt;=30,$AT$3&lt;=DI$7),ROUND(DI133*($AP$3+#REF!),-1),""))</f>
        <v/>
      </c>
      <c r="DK133" s="503"/>
      <c r="DL133" s="503" t="str">
        <f>IF($G133="","",IF(AND($G133&gt;=30,$AT$3&lt;=DK$7),ROUND(DK133*($AP$3+#REF!),-1),""))</f>
        <v/>
      </c>
      <c r="DM133" s="503"/>
      <c r="DN133" s="503" t="str">
        <f>IF($G133="","",IF(AND($G133&gt;=30,$AT$3&lt;=DM$7),ROUND(DM133*($AP$3+#REF!),-1),""))</f>
        <v/>
      </c>
      <c r="DO133" s="503"/>
      <c r="DP133" s="503" t="str">
        <f>IF($G133="","",IF(AND($G133&gt;=30,$AT$3&lt;=DO$7),ROUND(DO133*($AP$3+#REF!),-1),""))</f>
        <v/>
      </c>
      <c r="DQ133" s="503"/>
      <c r="DR133" s="503" t="str">
        <f>IF($G133="","",IF(AND($G133&gt;=30,$AT$3&lt;=DQ$7),ROUND(DQ133*($AP$3+#REF!),-1),""))</f>
        <v/>
      </c>
      <c r="DS133" s="503"/>
      <c r="DT133" s="503" t="str">
        <f>IF($G133="","",IF(AND($G133&gt;=30,$AT$3&lt;=DS$7),ROUND(DS133*($AP$3+#REF!),-1),""))</f>
        <v/>
      </c>
      <c r="DU133" s="503"/>
      <c r="DV133" s="503" t="str">
        <f>IF($G133="","",IF(AND($G133&gt;=30,$AT$3&lt;=DU$7),ROUND(DU133*($AP$3+#REF!),-1),""))</f>
        <v/>
      </c>
      <c r="DW133" s="503"/>
      <c r="DX133" s="503" t="str">
        <f>IF($G133="","",IF(AND($G133&gt;=30,$AT$3&lt;=DW$7),ROUND(DW133*($AP$3+#REF!),-1),""))</f>
        <v/>
      </c>
      <c r="DY133" s="503"/>
      <c r="DZ133" s="503" t="str">
        <f>IF($G133="","",IF(AND($G133&gt;=30,$AT$3&lt;=DY$7),ROUND(DY133*($AP$3+#REF!),-1),""))</f>
        <v/>
      </c>
      <c r="EA133" s="503"/>
      <c r="EB133" s="503" t="str">
        <f>IF($G133="","",IF(AND($G133&gt;=30,$AT$3&lt;=EA$7),ROUND(EA133*($AP$3+#REF!),-1),""))</f>
        <v/>
      </c>
      <c r="EC133" s="504" t="s">
        <v>621</v>
      </c>
      <c r="ED133" s="1126"/>
      <c r="EE133" s="325">
        <v>5</v>
      </c>
    </row>
    <row r="134" spans="1:135" ht="9.75" customHeight="1">
      <c r="A134" s="321" t="str">
        <f t="shared" si="37"/>
        <v/>
      </c>
      <c r="B134" s="567">
        <f>(ii!$D$13*12+V134)+1</f>
        <v>28</v>
      </c>
      <c r="C134" s="337">
        <f t="shared" si="30"/>
        <v>46203</v>
      </c>
      <c r="D134" s="484">
        <f t="shared" si="25"/>
        <v>2026</v>
      </c>
      <c r="E134" s="484">
        <f t="shared" si="26"/>
        <v>0.5</v>
      </c>
      <c r="F134" s="484">
        <f t="shared" si="27"/>
        <v>2026.5</v>
      </c>
      <c r="G134" s="485" t="str">
        <f>IF(OR(C134&lt;$I$2,C134&gt;$J$3),"",(ii!$D$13*12+V134+1)/12)</f>
        <v/>
      </c>
      <c r="H134" s="486"/>
      <c r="I134" s="486"/>
      <c r="J134" s="487"/>
      <c r="K134" s="488"/>
      <c r="L134" s="548"/>
      <c r="M134" s="489" t="str">
        <f t="shared" si="32"/>
        <v/>
      </c>
      <c r="N134" s="490" t="s">
        <v>621</v>
      </c>
      <c r="O134" s="490" t="str">
        <f t="shared" si="28"/>
        <v/>
      </c>
      <c r="P134" s="491"/>
      <c r="Q134" s="491"/>
      <c r="R134" s="491" t="str">
        <f t="shared" si="29"/>
        <v/>
      </c>
      <c r="S134" s="528" t="str">
        <f t="shared" si="38"/>
        <v/>
      </c>
      <c r="T134" s="528" t="str">
        <f t="shared" si="36"/>
        <v/>
      </c>
      <c r="U134" s="493" t="str">
        <f>IF(H134="","",#REF!*12+#REF!+#REF!*12+#REF!)</f>
        <v/>
      </c>
      <c r="V134" s="338">
        <f>IF(ii!$J$3&gt;gg!C134,"",IF(AND((YEAR(C134)=YEAR($I$2)),MONTH(C134)=MONTH($I$2)),ii!$B$14*12+ii!$C$14+ii!$B$15*12+ii!$C$15-1,V133+1))</f>
        <v>27</v>
      </c>
      <c r="W134" s="339">
        <f t="shared" si="31"/>
        <v>2.25</v>
      </c>
      <c r="X134" s="494" t="s">
        <v>621</v>
      </c>
      <c r="Y134" s="495" t="s">
        <v>621</v>
      </c>
      <c r="Z134" s="496"/>
      <c r="AA134" s="497"/>
      <c r="AB134" s="498" t="e">
        <f t="shared" si="35"/>
        <v>#VALUE!</v>
      </c>
      <c r="AC134" s="484" t="str">
        <f t="shared" si="33"/>
        <v/>
      </c>
      <c r="AD134" s="495" t="str">
        <f t="shared" si="34"/>
        <v/>
      </c>
      <c r="AE134" s="499" t="s">
        <v>621</v>
      </c>
      <c r="AF134" s="500" t="s">
        <v>621</v>
      </c>
      <c r="AG134" s="556" t="s">
        <v>621</v>
      </c>
      <c r="AH134" s="503" t="str">
        <f>IF($G134="","",IF(AND($G134&gt;=30,$AT$3&lt;=AG$7),ROUND(AG134*($AP$3+#REF!),-1),""))</f>
        <v/>
      </c>
      <c r="AI134" s="506" t="s">
        <v>621</v>
      </c>
      <c r="AJ134" s="503" t="str">
        <f>IF($G134="","",IF(AND($G134&gt;=30,$AT$3&lt;=AI$7),ROUND(AI134*($AP$3+#REF!),-1),""))</f>
        <v/>
      </c>
      <c r="AK134" s="506" t="s">
        <v>621</v>
      </c>
      <c r="AL134" s="503" t="str">
        <f>IF($G134="","",IF(AND($G134&gt;=30,$AT$3&lt;=AK$7),ROUND(AK134*($AP$3+#REF!),-1),""))</f>
        <v/>
      </c>
      <c r="AM134" s="506" t="s">
        <v>621</v>
      </c>
      <c r="AN134" s="503" t="str">
        <f>IF($G134="","",IF(AND($G134&gt;=30,$AT$3&lt;=AM$7),ROUND(AM134*($AP$3+#REF!),-1),""))</f>
        <v/>
      </c>
      <c r="AO134" s="503" t="e">
        <v>#REF!</v>
      </c>
      <c r="AP134" s="503" t="str">
        <f>IF($G134="","",IF(AND($G134&gt;=30,$AT$3&lt;=AO$7),ROUND(AO134*($AP$3+#REF!),-1),""))</f>
        <v/>
      </c>
      <c r="AQ134" s="503" t="s">
        <v>621</v>
      </c>
      <c r="AR134" s="503" t="str">
        <f>IF($G134="","",IF(AND($G134&gt;=30,$AT$3&lt;=AQ$7),ROUND(AQ134*($AP$3+#REF!),-1),""))</f>
        <v/>
      </c>
      <c r="AS134" s="503" t="s">
        <v>621</v>
      </c>
      <c r="AT134" s="503" t="str">
        <f>IF($G134="","",IF(AND($G134&gt;=30,$AT$3&lt;=AS$7),ROUND(AS134*($AP$3+#REF!),-1),""))</f>
        <v/>
      </c>
      <c r="AU134" s="503" t="s">
        <v>621</v>
      </c>
      <c r="AV134" s="503" t="str">
        <f>IF($G134="","",IF(AND($G134&gt;=30,$AT$3&lt;=AU$7),ROUND(AU134*($AP$3+#REF!),-1),""))</f>
        <v/>
      </c>
      <c r="AW134" s="503" t="s">
        <v>621</v>
      </c>
      <c r="AX134" s="503" t="str">
        <f>IF($G134="","",IF(AND($G134&gt;=30,$AT$3&lt;=AW$7),ROUND(AW134*($AP$3+#REF!),-1),""))</f>
        <v/>
      </c>
      <c r="AY134" s="503" t="s">
        <v>621</v>
      </c>
      <c r="AZ134" s="503" t="str">
        <f>IF($G134="","",IF(AND($G134&gt;=30,$AT$3&lt;=AY$7),ROUND(AY134*($AP$3+#REF!),-1),""))</f>
        <v/>
      </c>
      <c r="BA134" s="517" t="e">
        <v>#REF!</v>
      </c>
      <c r="BB134" s="503" t="str">
        <f>IF($G134="","",IF(AND($G134&gt;=30,$AT$3&lt;=BA$7),ROUND(BA134*($AP$3+#REF!),-1),""))</f>
        <v/>
      </c>
      <c r="BC134" s="502"/>
      <c r="BD134" s="503" t="str">
        <f>IF($G134="","",IF(AND($G134&gt;=30,$AT$3&lt;=BC$7),ROUND(BC134*($AP$3+#REF!),-1),""))</f>
        <v/>
      </c>
      <c r="BE134" s="503"/>
      <c r="BF134" s="503" t="str">
        <f>IF($G134="","",IF(AND($G134&gt;=30,$AT$3&lt;=BE$7),ROUND(BE134*($AP$3+#REF!),-1),""))</f>
        <v/>
      </c>
      <c r="BG134" s="502"/>
      <c r="BH134" s="503" t="str">
        <f>IF($G134="","",IF(AND($G134&gt;=30,$AT$3&lt;=BG$7),ROUND(BG134*($AP$3+#REF!),-1),""))</f>
        <v/>
      </c>
      <c r="BI134" s="503"/>
      <c r="BJ134" s="503" t="str">
        <f>IF($G134="","",IF(AND($G134&gt;=30,$AT$3&lt;=BI$7),ROUND(BI134*($AP$3+#REF!),-1),""))</f>
        <v/>
      </c>
      <c r="BK134" s="502"/>
      <c r="BL134" s="503" t="str">
        <f>IF($G134="","",IF(AND($G134&gt;=30,$AT$3&lt;=BK$7),ROUND(BK134*($AP$3+#REF!),-1),""))</f>
        <v/>
      </c>
      <c r="BM134" s="503"/>
      <c r="BN134" s="503" t="str">
        <f>IF($G134="","",IF(AND($G134&gt;=30,$AT$3&lt;=BM$7),ROUND(BM134*($AP$3+#REF!),-1),""))</f>
        <v/>
      </c>
      <c r="BO134" s="502"/>
      <c r="BP134" s="503" t="str">
        <f>IF($G134="","",IF(AND($G134&gt;=30,$AT$3&lt;=BO$7),ROUND(BO134*($AP$3+#REF!),-1),""))</f>
        <v/>
      </c>
      <c r="BQ134" s="503"/>
      <c r="BR134" s="503" t="str">
        <f>IF($G134="","",IF(AND($G134&gt;=30,$AT$3&lt;=BQ$7),ROUND(BQ134*($AP$3+#REF!),-1),""))</f>
        <v/>
      </c>
      <c r="BS134" s="502"/>
      <c r="BT134" s="503" t="str">
        <f>IF($G134="","",IF(AND($G134&gt;=30,$AT$3&lt;=BS$7),ROUND(BS134*($AP$3+#REF!),-1),""))</f>
        <v/>
      </c>
      <c r="BU134" s="503"/>
      <c r="BV134" s="503" t="str">
        <f>IF($G134="","",IF(AND($G134&gt;=30,$AT$3&lt;=BU$7),ROUND(BU134*($AP$3+#REF!),-1),""))</f>
        <v/>
      </c>
      <c r="BW134" s="502"/>
      <c r="BX134" s="503" t="str">
        <f>IF($G134="","",IF(AND($G134&gt;=30,$AT$3&lt;=BW$7),ROUND(BW134*($AP$3+#REF!),-1),""))</f>
        <v/>
      </c>
      <c r="BY134" s="503"/>
      <c r="BZ134" s="503" t="str">
        <f>IF($G134="","",IF(AND($G134&gt;=30,$AT$3&lt;=BY$7),ROUND(BY134*($AP$3+#REF!),-1),""))</f>
        <v/>
      </c>
      <c r="CA134" s="502"/>
      <c r="CB134" s="503" t="str">
        <f>IF($G134="","",IF(AND($G134&gt;=30,$AT$3&lt;=CA$7),ROUND(CA134*($AP$3+#REF!),-1),""))</f>
        <v/>
      </c>
      <c r="CC134" s="503"/>
      <c r="CD134" s="503" t="str">
        <f>IF($G134="","",IF(AND($G134&gt;=30,$AT$3&lt;=CC$7),ROUND(CC134*($AP$3+#REF!),-1),""))</f>
        <v/>
      </c>
      <c r="CE134" s="502"/>
      <c r="CF134" s="503" t="str">
        <f>IF($G134="","",IF(AND($G134&gt;=30,$AT$3&lt;=CE$7),ROUND(CE134*($AP$3+#REF!),-1),""))</f>
        <v/>
      </c>
      <c r="CG134" s="503"/>
      <c r="CH134" s="503" t="str">
        <f>IF($G134="","",IF(AND($G134&gt;=30,$AT$3&lt;=CG$7),ROUND(CG134*($AP$3+#REF!),-1),""))</f>
        <v/>
      </c>
      <c r="CI134" s="502"/>
      <c r="CJ134" s="503" t="str">
        <f>IF($G134="","",IF(AND($G134&gt;=30,$AT$3&lt;=CI$7),ROUND(CI134*($AP$3+#REF!),-1),""))</f>
        <v/>
      </c>
      <c r="CK134" s="503"/>
      <c r="CL134" s="503" t="str">
        <f>IF($G134="","",IF(AND($G134&gt;=30,$AT$3&lt;=CK$7),ROUND(CK134*($AP$3+#REF!),-1),""))</f>
        <v/>
      </c>
      <c r="CM134" s="502"/>
      <c r="CN134" s="503" t="str">
        <f>IF($G134="","",IF(AND($G134&gt;=30,$AT$3&lt;=CM$7),ROUND(CM134*($AP$3+#REF!),-1),""))</f>
        <v/>
      </c>
      <c r="CO134" s="503"/>
      <c r="CP134" s="503" t="str">
        <f>IF($G134="","",IF(AND($G134&gt;=30,$AT$3&lt;=CO$7),ROUND(CO134*($AP$3+#REF!),-1),""))</f>
        <v/>
      </c>
      <c r="CQ134" s="502"/>
      <c r="CR134" s="503" t="str">
        <f>IF($G134="","",IF(AND($G134&gt;=30,$AT$3&lt;=CQ$7),ROUND(CQ134*($AP$3+#REF!),-1),""))</f>
        <v/>
      </c>
      <c r="CS134" s="503"/>
      <c r="CT134" s="503" t="str">
        <f>IF($G134="","",IF(AND($G134&gt;=30,$AT$3&lt;=CS$7),ROUND(CS134*($AP$3+#REF!),-1),""))</f>
        <v/>
      </c>
      <c r="CU134" s="502"/>
      <c r="CV134" s="503" t="str">
        <f>IF($G134="","",IF(AND($G134&gt;=30,$AT$3&lt;=CU$7),ROUND(CU134*($AP$3+#REF!),-1),""))</f>
        <v/>
      </c>
      <c r="CW134" s="503"/>
      <c r="CX134" s="503" t="str">
        <f>IF($G134="","",IF(AND($G134&gt;=30,$AT$3&lt;=CW$7),ROUND(CW134*($AP$3+#REF!),-1),""))</f>
        <v/>
      </c>
      <c r="CY134" s="502"/>
      <c r="CZ134" s="503" t="str">
        <f>IF($G134="","",IF(AND($G134&gt;=30,$AT$3&lt;=CY$7),ROUND(CY134*($AP$3+#REF!),-1),""))</f>
        <v/>
      </c>
      <c r="DA134" s="503"/>
      <c r="DB134" s="503" t="str">
        <f>IF($G134="","",IF(AND($G134&gt;=30,$AT$3&lt;=DA$7),ROUND(DA134*($AP$3+#REF!),-1),""))</f>
        <v/>
      </c>
      <c r="DC134" s="502"/>
      <c r="DD134" s="503" t="str">
        <f>IF($G134="","",IF(AND($G134&gt;=30,$AT$3&lt;=DC$7),ROUND(DC134*($AP$3+#REF!),-1),""))</f>
        <v/>
      </c>
      <c r="DE134" s="503"/>
      <c r="DF134" s="503" t="str">
        <f>IF($G134="","",IF(AND($G134&gt;=30,$AT$3&lt;=DE$7),ROUND(DE134*($AP$3+#REF!),-1),""))</f>
        <v/>
      </c>
      <c r="DG134" s="503"/>
      <c r="DH134" s="503" t="str">
        <f>IF($G134="","",IF(AND($G134&gt;=30,$AT$3&lt;=DG$7),ROUND(DG134*($AP$3+#REF!),-1),""))</f>
        <v/>
      </c>
      <c r="DI134" s="503"/>
      <c r="DJ134" s="503" t="str">
        <f>IF($G134="","",IF(AND($G134&gt;=30,$AT$3&lt;=DI$7),ROUND(DI134*($AP$3+#REF!),-1),""))</f>
        <v/>
      </c>
      <c r="DK134" s="503"/>
      <c r="DL134" s="503" t="str">
        <f>IF($G134="","",IF(AND($G134&gt;=30,$AT$3&lt;=DK$7),ROUND(DK134*($AP$3+#REF!),-1),""))</f>
        <v/>
      </c>
      <c r="DM134" s="503"/>
      <c r="DN134" s="503" t="str">
        <f>IF($G134="","",IF(AND($G134&gt;=30,$AT$3&lt;=DM$7),ROUND(DM134*($AP$3+#REF!),-1),""))</f>
        <v/>
      </c>
      <c r="DO134" s="503"/>
      <c r="DP134" s="503" t="str">
        <f>IF($G134="","",IF(AND($G134&gt;=30,$AT$3&lt;=DO$7),ROUND(DO134*($AP$3+#REF!),-1),""))</f>
        <v/>
      </c>
      <c r="DQ134" s="503"/>
      <c r="DR134" s="503" t="str">
        <f>IF($G134="","",IF(AND($G134&gt;=30,$AT$3&lt;=DQ$7),ROUND(DQ134*($AP$3+#REF!),-1),""))</f>
        <v/>
      </c>
      <c r="DS134" s="503"/>
      <c r="DT134" s="503" t="str">
        <f>IF($G134="","",IF(AND($G134&gt;=30,$AT$3&lt;=DS$7),ROUND(DS134*($AP$3+#REF!),-1),""))</f>
        <v/>
      </c>
      <c r="DU134" s="503"/>
      <c r="DV134" s="503" t="str">
        <f>IF($G134="","",IF(AND($G134&gt;=30,$AT$3&lt;=DU$7),ROUND(DU134*($AP$3+#REF!),-1),""))</f>
        <v/>
      </c>
      <c r="DW134" s="503"/>
      <c r="DX134" s="503" t="str">
        <f>IF($G134="","",IF(AND($G134&gt;=30,$AT$3&lt;=DW$7),ROUND(DW134*($AP$3+#REF!),-1),""))</f>
        <v/>
      </c>
      <c r="DY134" s="503"/>
      <c r="DZ134" s="503" t="str">
        <f>IF($G134="","",IF(AND($G134&gt;=30,$AT$3&lt;=DY$7),ROUND(DY134*($AP$3+#REF!),-1),""))</f>
        <v/>
      </c>
      <c r="EA134" s="503"/>
      <c r="EB134" s="503" t="str">
        <f>IF($G134="","",IF(AND($G134&gt;=30,$AT$3&lt;=EA$7),ROUND(EA134*($AP$3+#REF!),-1),""))</f>
        <v/>
      </c>
      <c r="EC134" s="504" t="s">
        <v>621</v>
      </c>
      <c r="ED134" s="1126"/>
      <c r="EE134" s="325">
        <v>6</v>
      </c>
    </row>
    <row r="135" spans="1:135" ht="9.75" customHeight="1">
      <c r="A135" s="321" t="str">
        <f t="shared" si="37"/>
        <v/>
      </c>
      <c r="B135" s="567">
        <f>(ii!$D$13*12+V135)+1</f>
        <v>29</v>
      </c>
      <c r="C135" s="337">
        <f t="shared" si="30"/>
        <v>46234</v>
      </c>
      <c r="D135" s="484">
        <f t="shared" si="25"/>
        <v>2026</v>
      </c>
      <c r="E135" s="484">
        <f t="shared" si="26"/>
        <v>0.58333333333333337</v>
      </c>
      <c r="F135" s="484">
        <f t="shared" si="27"/>
        <v>2026.5833333333333</v>
      </c>
      <c r="G135" s="485" t="str">
        <f>IF(OR(C135&lt;$I$2,C135&gt;$J$3),"",(ii!$D$13*12+V135+1)/12)</f>
        <v/>
      </c>
      <c r="H135" s="486"/>
      <c r="I135" s="486"/>
      <c r="J135" s="487"/>
      <c r="K135" s="488"/>
      <c r="L135" s="548"/>
      <c r="M135" s="489" t="str">
        <f t="shared" si="32"/>
        <v/>
      </c>
      <c r="N135" s="490" t="s">
        <v>621</v>
      </c>
      <c r="O135" s="490" t="str">
        <f t="shared" si="28"/>
        <v/>
      </c>
      <c r="P135" s="491"/>
      <c r="Q135" s="491"/>
      <c r="R135" s="491" t="str">
        <f t="shared" si="29"/>
        <v/>
      </c>
      <c r="S135" s="528" t="str">
        <f t="shared" si="38"/>
        <v/>
      </c>
      <c r="T135" s="528" t="str">
        <f t="shared" si="36"/>
        <v/>
      </c>
      <c r="U135" s="493" t="str">
        <f>IF(H135="","",#REF!*12+#REF!+#REF!*12+#REF!)</f>
        <v/>
      </c>
      <c r="V135" s="338">
        <f>IF(ii!$J$3&gt;gg!C135,"",IF(AND((YEAR(C135)=YEAR($I$2)),MONTH(C135)=MONTH($I$2)),ii!$B$14*12+ii!$C$14+ii!$B$15*12+ii!$C$15-1,V134+1))</f>
        <v>28</v>
      </c>
      <c r="W135" s="339">
        <f t="shared" si="31"/>
        <v>2.3333333333333335</v>
      </c>
      <c r="X135" s="494" t="s">
        <v>621</v>
      </c>
      <c r="Y135" s="495" t="s">
        <v>621</v>
      </c>
      <c r="Z135" s="496"/>
      <c r="AA135" s="497"/>
      <c r="AB135" s="498" t="e">
        <f t="shared" si="35"/>
        <v>#VALUE!</v>
      </c>
      <c r="AC135" s="484" t="str">
        <f t="shared" si="33"/>
        <v/>
      </c>
      <c r="AD135" s="495" t="str">
        <f t="shared" si="34"/>
        <v/>
      </c>
      <c r="AE135" s="499" t="s">
        <v>621</v>
      </c>
      <c r="AF135" s="500" t="s">
        <v>621</v>
      </c>
      <c r="AG135" s="556" t="s">
        <v>621</v>
      </c>
      <c r="AH135" s="503" t="str">
        <f>IF($G135="","",IF(AND($G135&gt;=30,$AT$3&lt;=AG$7),ROUND(AG135*($AP$3+#REF!),-1),""))</f>
        <v/>
      </c>
      <c r="AI135" s="506" t="s">
        <v>621</v>
      </c>
      <c r="AJ135" s="503" t="str">
        <f>IF($G135="","",IF(AND($G135&gt;=30,$AT$3&lt;=AI$7),ROUND(AI135*($AP$3+#REF!),-1),""))</f>
        <v/>
      </c>
      <c r="AK135" s="506" t="s">
        <v>621</v>
      </c>
      <c r="AL135" s="503" t="str">
        <f>IF($G135="","",IF(AND($G135&gt;=30,$AT$3&lt;=AK$7),ROUND(AK135*($AP$3+#REF!),-1),""))</f>
        <v/>
      </c>
      <c r="AM135" s="506" t="s">
        <v>621</v>
      </c>
      <c r="AN135" s="503" t="str">
        <f>IF($G135="","",IF(AND($G135&gt;=30,$AT$3&lt;=AM$7),ROUND(AM135*($AP$3+#REF!),-1),""))</f>
        <v/>
      </c>
      <c r="AO135" s="503" t="e">
        <v>#REF!</v>
      </c>
      <c r="AP135" s="503" t="str">
        <f>IF($G135="","",IF(AND($G135&gt;=30,$AT$3&lt;=AO$7),ROUND(AO135*($AP$3+#REF!),-1),""))</f>
        <v/>
      </c>
      <c r="AQ135" s="503" t="s">
        <v>621</v>
      </c>
      <c r="AR135" s="503" t="str">
        <f>IF($G135="","",IF(AND($G135&gt;=30,$AT$3&lt;=AQ$7),ROUND(AQ135*($AP$3+#REF!),-1),""))</f>
        <v/>
      </c>
      <c r="AS135" s="503" t="s">
        <v>621</v>
      </c>
      <c r="AT135" s="503" t="str">
        <f>IF($G135="","",IF(AND($G135&gt;=30,$AT$3&lt;=AS$7),ROUND(AS135*($AP$3+#REF!),-1),""))</f>
        <v/>
      </c>
      <c r="AU135" s="503" t="s">
        <v>621</v>
      </c>
      <c r="AV135" s="503" t="str">
        <f>IF($G135="","",IF(AND($G135&gt;=30,$AT$3&lt;=AU$7),ROUND(AU135*($AP$3+#REF!),-1),""))</f>
        <v/>
      </c>
      <c r="AW135" s="503" t="s">
        <v>621</v>
      </c>
      <c r="AX135" s="503" t="str">
        <f>IF($G135="","",IF(AND($G135&gt;=30,$AT$3&lt;=AW$7),ROUND(AW135*($AP$3+#REF!),-1),""))</f>
        <v/>
      </c>
      <c r="AY135" s="503" t="s">
        <v>621</v>
      </c>
      <c r="AZ135" s="503" t="str">
        <f>IF($G135="","",IF(AND($G135&gt;=30,$AT$3&lt;=AY$7),ROUND(AY135*($AP$3+#REF!),-1),""))</f>
        <v/>
      </c>
      <c r="BA135" s="517" t="e">
        <v>#REF!</v>
      </c>
      <c r="BB135" s="503" t="str">
        <f>IF($G135="","",IF(AND($G135&gt;=30,$AT$3&lt;=BA$7),ROUND(BA135*($AP$3+#REF!),-1),""))</f>
        <v/>
      </c>
      <c r="BC135" s="502"/>
      <c r="BD135" s="503" t="str">
        <f>IF($G135="","",IF(AND($G135&gt;=30,$AT$3&lt;=BC$7),ROUND(BC135*($AP$3+#REF!),-1),""))</f>
        <v/>
      </c>
      <c r="BE135" s="503"/>
      <c r="BF135" s="503" t="str">
        <f>IF($G135="","",IF(AND($G135&gt;=30,$AT$3&lt;=BE$7),ROUND(BE135*($AP$3+#REF!),-1),""))</f>
        <v/>
      </c>
      <c r="BG135" s="502"/>
      <c r="BH135" s="503" t="str">
        <f>IF($G135="","",IF(AND($G135&gt;=30,$AT$3&lt;=BG$7),ROUND(BG135*($AP$3+#REF!),-1),""))</f>
        <v/>
      </c>
      <c r="BI135" s="503"/>
      <c r="BJ135" s="503" t="str">
        <f>IF($G135="","",IF(AND($G135&gt;=30,$AT$3&lt;=BI$7),ROUND(BI135*($AP$3+#REF!),-1),""))</f>
        <v/>
      </c>
      <c r="BK135" s="502"/>
      <c r="BL135" s="503" t="str">
        <f>IF($G135="","",IF(AND($G135&gt;=30,$AT$3&lt;=BK$7),ROUND(BK135*($AP$3+#REF!),-1),""))</f>
        <v/>
      </c>
      <c r="BM135" s="503"/>
      <c r="BN135" s="503" t="str">
        <f>IF($G135="","",IF(AND($G135&gt;=30,$AT$3&lt;=BM$7),ROUND(BM135*($AP$3+#REF!),-1),""))</f>
        <v/>
      </c>
      <c r="BO135" s="502"/>
      <c r="BP135" s="503" t="str">
        <f>IF($G135="","",IF(AND($G135&gt;=30,$AT$3&lt;=BO$7),ROUND(BO135*($AP$3+#REF!),-1),""))</f>
        <v/>
      </c>
      <c r="BQ135" s="503"/>
      <c r="BR135" s="503" t="str">
        <f>IF($G135="","",IF(AND($G135&gt;=30,$AT$3&lt;=BQ$7),ROUND(BQ135*($AP$3+#REF!),-1),""))</f>
        <v/>
      </c>
      <c r="BS135" s="502"/>
      <c r="BT135" s="503" t="str">
        <f>IF($G135="","",IF(AND($G135&gt;=30,$AT$3&lt;=BS$7),ROUND(BS135*($AP$3+#REF!),-1),""))</f>
        <v/>
      </c>
      <c r="BU135" s="503"/>
      <c r="BV135" s="503" t="str">
        <f>IF($G135="","",IF(AND($G135&gt;=30,$AT$3&lt;=BU$7),ROUND(BU135*($AP$3+#REF!),-1),""))</f>
        <v/>
      </c>
      <c r="BW135" s="502"/>
      <c r="BX135" s="503" t="str">
        <f>IF($G135="","",IF(AND($G135&gt;=30,$AT$3&lt;=BW$7),ROUND(BW135*($AP$3+#REF!),-1),""))</f>
        <v/>
      </c>
      <c r="BY135" s="503"/>
      <c r="BZ135" s="503" t="str">
        <f>IF($G135="","",IF(AND($G135&gt;=30,$AT$3&lt;=BY$7),ROUND(BY135*($AP$3+#REF!),-1),""))</f>
        <v/>
      </c>
      <c r="CA135" s="502"/>
      <c r="CB135" s="503" t="str">
        <f>IF($G135="","",IF(AND($G135&gt;=30,$AT$3&lt;=CA$7),ROUND(CA135*($AP$3+#REF!),-1),""))</f>
        <v/>
      </c>
      <c r="CC135" s="503"/>
      <c r="CD135" s="503" t="str">
        <f>IF($G135="","",IF(AND($G135&gt;=30,$AT$3&lt;=CC$7),ROUND(CC135*($AP$3+#REF!),-1),""))</f>
        <v/>
      </c>
      <c r="CE135" s="502"/>
      <c r="CF135" s="503" t="str">
        <f>IF($G135="","",IF(AND($G135&gt;=30,$AT$3&lt;=CE$7),ROUND(CE135*($AP$3+#REF!),-1),""))</f>
        <v/>
      </c>
      <c r="CG135" s="503"/>
      <c r="CH135" s="503" t="str">
        <f>IF($G135="","",IF(AND($G135&gt;=30,$AT$3&lt;=CG$7),ROUND(CG135*($AP$3+#REF!),-1),""))</f>
        <v/>
      </c>
      <c r="CI135" s="502"/>
      <c r="CJ135" s="503" t="str">
        <f>IF($G135="","",IF(AND($G135&gt;=30,$AT$3&lt;=CI$7),ROUND(CI135*($AP$3+#REF!),-1),""))</f>
        <v/>
      </c>
      <c r="CK135" s="503"/>
      <c r="CL135" s="503" t="str">
        <f>IF($G135="","",IF(AND($G135&gt;=30,$AT$3&lt;=CK$7),ROUND(CK135*($AP$3+#REF!),-1),""))</f>
        <v/>
      </c>
      <c r="CM135" s="502"/>
      <c r="CN135" s="503" t="str">
        <f>IF($G135="","",IF(AND($G135&gt;=30,$AT$3&lt;=CM$7),ROUND(CM135*($AP$3+#REF!),-1),""))</f>
        <v/>
      </c>
      <c r="CO135" s="503"/>
      <c r="CP135" s="503" t="str">
        <f>IF($G135="","",IF(AND($G135&gt;=30,$AT$3&lt;=CO$7),ROUND(CO135*($AP$3+#REF!),-1),""))</f>
        <v/>
      </c>
      <c r="CQ135" s="502"/>
      <c r="CR135" s="503" t="str">
        <f>IF($G135="","",IF(AND($G135&gt;=30,$AT$3&lt;=CQ$7),ROUND(CQ135*($AP$3+#REF!),-1),""))</f>
        <v/>
      </c>
      <c r="CS135" s="503"/>
      <c r="CT135" s="503" t="str">
        <f>IF($G135="","",IF(AND($G135&gt;=30,$AT$3&lt;=CS$7),ROUND(CS135*($AP$3+#REF!),-1),""))</f>
        <v/>
      </c>
      <c r="CU135" s="502"/>
      <c r="CV135" s="503" t="str">
        <f>IF($G135="","",IF(AND($G135&gt;=30,$AT$3&lt;=CU$7),ROUND(CU135*($AP$3+#REF!),-1),""))</f>
        <v/>
      </c>
      <c r="CW135" s="503"/>
      <c r="CX135" s="503" t="str">
        <f>IF($G135="","",IF(AND($G135&gt;=30,$AT$3&lt;=CW$7),ROUND(CW135*($AP$3+#REF!),-1),""))</f>
        <v/>
      </c>
      <c r="CY135" s="502"/>
      <c r="CZ135" s="503" t="str">
        <f>IF($G135="","",IF(AND($G135&gt;=30,$AT$3&lt;=CY$7),ROUND(CY135*($AP$3+#REF!),-1),""))</f>
        <v/>
      </c>
      <c r="DA135" s="503"/>
      <c r="DB135" s="503" t="str">
        <f>IF($G135="","",IF(AND($G135&gt;=30,$AT$3&lt;=DA$7),ROUND(DA135*($AP$3+#REF!),-1),""))</f>
        <v/>
      </c>
      <c r="DC135" s="502"/>
      <c r="DD135" s="503" t="str">
        <f>IF($G135="","",IF(AND($G135&gt;=30,$AT$3&lt;=DC$7),ROUND(DC135*($AP$3+#REF!),-1),""))</f>
        <v/>
      </c>
      <c r="DE135" s="503"/>
      <c r="DF135" s="503" t="str">
        <f>IF($G135="","",IF(AND($G135&gt;=30,$AT$3&lt;=DE$7),ROUND(DE135*($AP$3+#REF!),-1),""))</f>
        <v/>
      </c>
      <c r="DG135" s="503"/>
      <c r="DH135" s="503" t="str">
        <f>IF($G135="","",IF(AND($G135&gt;=30,$AT$3&lt;=DG$7),ROUND(DG135*($AP$3+#REF!),-1),""))</f>
        <v/>
      </c>
      <c r="DI135" s="503"/>
      <c r="DJ135" s="503" t="str">
        <f>IF($G135="","",IF(AND($G135&gt;=30,$AT$3&lt;=DI$7),ROUND(DI135*($AP$3+#REF!),-1),""))</f>
        <v/>
      </c>
      <c r="DK135" s="503"/>
      <c r="DL135" s="503" t="str">
        <f>IF($G135="","",IF(AND($G135&gt;=30,$AT$3&lt;=DK$7),ROUND(DK135*($AP$3+#REF!),-1),""))</f>
        <v/>
      </c>
      <c r="DM135" s="503"/>
      <c r="DN135" s="503" t="str">
        <f>IF($G135="","",IF(AND($G135&gt;=30,$AT$3&lt;=DM$7),ROUND(DM135*($AP$3+#REF!),-1),""))</f>
        <v/>
      </c>
      <c r="DO135" s="503"/>
      <c r="DP135" s="503" t="str">
        <f>IF($G135="","",IF(AND($G135&gt;=30,$AT$3&lt;=DO$7),ROUND(DO135*($AP$3+#REF!),-1),""))</f>
        <v/>
      </c>
      <c r="DQ135" s="503"/>
      <c r="DR135" s="503" t="str">
        <f>IF($G135="","",IF(AND($G135&gt;=30,$AT$3&lt;=DQ$7),ROUND(DQ135*($AP$3+#REF!),-1),""))</f>
        <v/>
      </c>
      <c r="DS135" s="503"/>
      <c r="DT135" s="503" t="str">
        <f>IF($G135="","",IF(AND($G135&gt;=30,$AT$3&lt;=DS$7),ROUND(DS135*($AP$3+#REF!),-1),""))</f>
        <v/>
      </c>
      <c r="DU135" s="503"/>
      <c r="DV135" s="503" t="str">
        <f>IF($G135="","",IF(AND($G135&gt;=30,$AT$3&lt;=DU$7),ROUND(DU135*($AP$3+#REF!),-1),""))</f>
        <v/>
      </c>
      <c r="DW135" s="503"/>
      <c r="DX135" s="503" t="str">
        <f>IF($G135="","",IF(AND($G135&gt;=30,$AT$3&lt;=DW$7),ROUND(DW135*($AP$3+#REF!),-1),""))</f>
        <v/>
      </c>
      <c r="DY135" s="503"/>
      <c r="DZ135" s="503" t="str">
        <f>IF($G135="","",IF(AND($G135&gt;=30,$AT$3&lt;=DY$7),ROUND(DY135*($AP$3+#REF!),-1),""))</f>
        <v/>
      </c>
      <c r="EA135" s="503"/>
      <c r="EB135" s="503" t="str">
        <f>IF($G135="","",IF(AND($G135&gt;=30,$AT$3&lt;=EA$7),ROUND(EA135*($AP$3+#REF!),-1),""))</f>
        <v/>
      </c>
      <c r="EC135" s="504" t="s">
        <v>621</v>
      </c>
      <c r="ED135" s="1126"/>
      <c r="EE135" s="325">
        <v>7</v>
      </c>
    </row>
    <row r="136" spans="1:135" ht="9.75" customHeight="1">
      <c r="A136" s="321" t="str">
        <f t="shared" si="37"/>
        <v/>
      </c>
      <c r="B136" s="567">
        <f>(ii!$D$13*12+V136)+1</f>
        <v>30</v>
      </c>
      <c r="C136" s="337">
        <f t="shared" si="30"/>
        <v>46265</v>
      </c>
      <c r="D136" s="484">
        <f t="shared" si="25"/>
        <v>2026</v>
      </c>
      <c r="E136" s="484">
        <f t="shared" si="26"/>
        <v>0.66666666666666663</v>
      </c>
      <c r="F136" s="484">
        <f t="shared" si="27"/>
        <v>2026.6666666666667</v>
      </c>
      <c r="G136" s="485" t="str">
        <f>IF(OR(C136&lt;$I$2,C136&gt;$J$3),"",(ii!$D$13*12+V136+1)/12)</f>
        <v/>
      </c>
      <c r="H136" s="486"/>
      <c r="I136" s="486"/>
      <c r="J136" s="487"/>
      <c r="K136" s="488"/>
      <c r="L136" s="548"/>
      <c r="M136" s="489" t="str">
        <f t="shared" si="32"/>
        <v/>
      </c>
      <c r="N136" s="490" t="s">
        <v>621</v>
      </c>
      <c r="O136" s="490" t="str">
        <f t="shared" si="28"/>
        <v/>
      </c>
      <c r="P136" s="491"/>
      <c r="Q136" s="491"/>
      <c r="R136" s="491" t="str">
        <f t="shared" si="29"/>
        <v/>
      </c>
      <c r="S136" s="528" t="str">
        <f t="shared" si="38"/>
        <v/>
      </c>
      <c r="T136" s="528" t="str">
        <f t="shared" si="36"/>
        <v/>
      </c>
      <c r="U136" s="493" t="str">
        <f>IF(H136="","",#REF!*12+#REF!+#REF!*12+#REF!)</f>
        <v/>
      </c>
      <c r="V136" s="338">
        <f>IF(ii!$J$3&gt;gg!C136,"",IF(AND((YEAR(C136)=YEAR($I$2)),MONTH(C136)=MONTH($I$2)),ii!$B$14*12+ii!$C$14+ii!$B$15*12+ii!$C$15-1,V135+1))</f>
        <v>29</v>
      </c>
      <c r="W136" s="339">
        <f t="shared" si="31"/>
        <v>2.4166666666666665</v>
      </c>
      <c r="X136" s="494" t="s">
        <v>621</v>
      </c>
      <c r="Y136" s="495" t="s">
        <v>621</v>
      </c>
      <c r="Z136" s="496"/>
      <c r="AA136" s="497"/>
      <c r="AB136" s="498" t="e">
        <f t="shared" si="35"/>
        <v>#VALUE!</v>
      </c>
      <c r="AC136" s="484" t="str">
        <f t="shared" si="33"/>
        <v/>
      </c>
      <c r="AD136" s="495" t="str">
        <f t="shared" si="34"/>
        <v/>
      </c>
      <c r="AE136" s="499" t="s">
        <v>621</v>
      </c>
      <c r="AF136" s="500" t="s">
        <v>621</v>
      </c>
      <c r="AG136" s="556" t="s">
        <v>621</v>
      </c>
      <c r="AH136" s="503" t="str">
        <f>IF($G136="","",IF(AND($G136&gt;=30,$AT$3&lt;=AG$7),ROUND(AG136*($AP$3+#REF!),-1),""))</f>
        <v/>
      </c>
      <c r="AI136" s="506" t="s">
        <v>621</v>
      </c>
      <c r="AJ136" s="503" t="str">
        <f>IF($G136="","",IF(AND($G136&gt;=30,$AT$3&lt;=AI$7),ROUND(AI136*($AP$3+#REF!),-1),""))</f>
        <v/>
      </c>
      <c r="AK136" s="506" t="s">
        <v>621</v>
      </c>
      <c r="AL136" s="503" t="str">
        <f>IF($G136="","",IF(AND($G136&gt;=30,$AT$3&lt;=AK$7),ROUND(AK136*($AP$3+#REF!),-1),""))</f>
        <v/>
      </c>
      <c r="AM136" s="506" t="s">
        <v>621</v>
      </c>
      <c r="AN136" s="503" t="str">
        <f>IF($G136="","",IF(AND($G136&gt;=30,$AT$3&lt;=AM$7),ROUND(AM136*($AP$3+#REF!),-1),""))</f>
        <v/>
      </c>
      <c r="AO136" s="503" t="e">
        <v>#REF!</v>
      </c>
      <c r="AP136" s="503" t="str">
        <f>IF($G136="","",IF(AND($G136&gt;=30,$AT$3&lt;=AO$7),ROUND(AO136*($AP$3+#REF!),-1),""))</f>
        <v/>
      </c>
      <c r="AQ136" s="503" t="s">
        <v>621</v>
      </c>
      <c r="AR136" s="503" t="str">
        <f>IF($G136="","",IF(AND($G136&gt;=30,$AT$3&lt;=AQ$7),ROUND(AQ136*($AP$3+#REF!),-1),""))</f>
        <v/>
      </c>
      <c r="AS136" s="503" t="s">
        <v>621</v>
      </c>
      <c r="AT136" s="503" t="str">
        <f>IF($G136="","",IF(AND($G136&gt;=30,$AT$3&lt;=AS$7),ROUND(AS136*($AP$3+#REF!),-1),""))</f>
        <v/>
      </c>
      <c r="AU136" s="503" t="s">
        <v>621</v>
      </c>
      <c r="AV136" s="503" t="str">
        <f>IF($G136="","",IF(AND($G136&gt;=30,$AT$3&lt;=AU$7),ROUND(AU136*($AP$3+#REF!),-1),""))</f>
        <v/>
      </c>
      <c r="AW136" s="503" t="s">
        <v>621</v>
      </c>
      <c r="AX136" s="503" t="str">
        <f>IF($G136="","",IF(AND($G136&gt;=30,$AT$3&lt;=AW$7),ROUND(AW136*($AP$3+#REF!),-1),""))</f>
        <v/>
      </c>
      <c r="AY136" s="503" t="s">
        <v>621</v>
      </c>
      <c r="AZ136" s="503" t="str">
        <f>IF($G136="","",IF(AND($G136&gt;=30,$AT$3&lt;=AY$7),ROUND(AY136*($AP$3+#REF!),-1),""))</f>
        <v/>
      </c>
      <c r="BA136" s="517" t="e">
        <v>#REF!</v>
      </c>
      <c r="BB136" s="503" t="str">
        <f>IF($G136="","",IF(AND($G136&gt;=30,$AT$3&lt;=BA$7),ROUND(BA136*($AP$3+#REF!),-1),""))</f>
        <v/>
      </c>
      <c r="BC136" s="502"/>
      <c r="BD136" s="503" t="str">
        <f>IF($G136="","",IF(AND($G136&gt;=30,$AT$3&lt;=BC$7),ROUND(BC136*($AP$3+#REF!),-1),""))</f>
        <v/>
      </c>
      <c r="BE136" s="503"/>
      <c r="BF136" s="503" t="str">
        <f>IF($G136="","",IF(AND($G136&gt;=30,$AT$3&lt;=BE$7),ROUND(BE136*($AP$3+#REF!),-1),""))</f>
        <v/>
      </c>
      <c r="BG136" s="502"/>
      <c r="BH136" s="503" t="str">
        <f>IF($G136="","",IF(AND($G136&gt;=30,$AT$3&lt;=BG$7),ROUND(BG136*($AP$3+#REF!),-1),""))</f>
        <v/>
      </c>
      <c r="BI136" s="503"/>
      <c r="BJ136" s="503" t="str">
        <f>IF($G136="","",IF(AND($G136&gt;=30,$AT$3&lt;=BI$7),ROUND(BI136*($AP$3+#REF!),-1),""))</f>
        <v/>
      </c>
      <c r="BK136" s="502"/>
      <c r="BL136" s="503" t="str">
        <f>IF($G136="","",IF(AND($G136&gt;=30,$AT$3&lt;=BK$7),ROUND(BK136*($AP$3+#REF!),-1),""))</f>
        <v/>
      </c>
      <c r="BM136" s="503"/>
      <c r="BN136" s="503" t="str">
        <f>IF($G136="","",IF(AND($G136&gt;=30,$AT$3&lt;=BM$7),ROUND(BM136*($AP$3+#REF!),-1),""))</f>
        <v/>
      </c>
      <c r="BO136" s="502"/>
      <c r="BP136" s="503" t="str">
        <f>IF($G136="","",IF(AND($G136&gt;=30,$AT$3&lt;=BO$7),ROUND(BO136*($AP$3+#REF!),-1),""))</f>
        <v/>
      </c>
      <c r="BQ136" s="503"/>
      <c r="BR136" s="503" t="str">
        <f>IF($G136="","",IF(AND($G136&gt;=30,$AT$3&lt;=BQ$7),ROUND(BQ136*($AP$3+#REF!),-1),""))</f>
        <v/>
      </c>
      <c r="BS136" s="502"/>
      <c r="BT136" s="503" t="str">
        <f>IF($G136="","",IF(AND($G136&gt;=30,$AT$3&lt;=BS$7),ROUND(BS136*($AP$3+#REF!),-1),""))</f>
        <v/>
      </c>
      <c r="BU136" s="503"/>
      <c r="BV136" s="503" t="str">
        <f>IF($G136="","",IF(AND($G136&gt;=30,$AT$3&lt;=BU$7),ROUND(BU136*($AP$3+#REF!),-1),""))</f>
        <v/>
      </c>
      <c r="BW136" s="502"/>
      <c r="BX136" s="503" t="str">
        <f>IF($G136="","",IF(AND($G136&gt;=30,$AT$3&lt;=BW$7),ROUND(BW136*($AP$3+#REF!),-1),""))</f>
        <v/>
      </c>
      <c r="BY136" s="503"/>
      <c r="BZ136" s="503" t="str">
        <f>IF($G136="","",IF(AND($G136&gt;=30,$AT$3&lt;=BY$7),ROUND(BY136*($AP$3+#REF!),-1),""))</f>
        <v/>
      </c>
      <c r="CA136" s="502"/>
      <c r="CB136" s="503" t="str">
        <f>IF($G136="","",IF(AND($G136&gt;=30,$AT$3&lt;=CA$7),ROUND(CA136*($AP$3+#REF!),-1),""))</f>
        <v/>
      </c>
      <c r="CC136" s="503"/>
      <c r="CD136" s="503" t="str">
        <f>IF($G136="","",IF(AND($G136&gt;=30,$AT$3&lt;=CC$7),ROUND(CC136*($AP$3+#REF!),-1),""))</f>
        <v/>
      </c>
      <c r="CE136" s="502"/>
      <c r="CF136" s="503" t="str">
        <f>IF($G136="","",IF(AND($G136&gt;=30,$AT$3&lt;=CE$7),ROUND(CE136*($AP$3+#REF!),-1),""))</f>
        <v/>
      </c>
      <c r="CG136" s="503"/>
      <c r="CH136" s="503" t="str">
        <f>IF($G136="","",IF(AND($G136&gt;=30,$AT$3&lt;=CG$7),ROUND(CG136*($AP$3+#REF!),-1),""))</f>
        <v/>
      </c>
      <c r="CI136" s="502"/>
      <c r="CJ136" s="503" t="str">
        <f>IF($G136="","",IF(AND($G136&gt;=30,$AT$3&lt;=CI$7),ROUND(CI136*($AP$3+#REF!),-1),""))</f>
        <v/>
      </c>
      <c r="CK136" s="503"/>
      <c r="CL136" s="503" t="str">
        <f>IF($G136="","",IF(AND($G136&gt;=30,$AT$3&lt;=CK$7),ROUND(CK136*($AP$3+#REF!),-1),""))</f>
        <v/>
      </c>
      <c r="CM136" s="502"/>
      <c r="CN136" s="503" t="str">
        <f>IF($G136="","",IF(AND($G136&gt;=30,$AT$3&lt;=CM$7),ROUND(CM136*($AP$3+#REF!),-1),""))</f>
        <v/>
      </c>
      <c r="CO136" s="503"/>
      <c r="CP136" s="503" t="str">
        <f>IF($G136="","",IF(AND($G136&gt;=30,$AT$3&lt;=CO$7),ROUND(CO136*($AP$3+#REF!),-1),""))</f>
        <v/>
      </c>
      <c r="CQ136" s="502"/>
      <c r="CR136" s="503" t="str">
        <f>IF($G136="","",IF(AND($G136&gt;=30,$AT$3&lt;=CQ$7),ROUND(CQ136*($AP$3+#REF!),-1),""))</f>
        <v/>
      </c>
      <c r="CS136" s="503"/>
      <c r="CT136" s="503" t="str">
        <f>IF($G136="","",IF(AND($G136&gt;=30,$AT$3&lt;=CS$7),ROUND(CS136*($AP$3+#REF!),-1),""))</f>
        <v/>
      </c>
      <c r="CU136" s="502"/>
      <c r="CV136" s="503" t="str">
        <f>IF($G136="","",IF(AND($G136&gt;=30,$AT$3&lt;=CU$7),ROUND(CU136*($AP$3+#REF!),-1),""))</f>
        <v/>
      </c>
      <c r="CW136" s="503"/>
      <c r="CX136" s="503" t="str">
        <f>IF($G136="","",IF(AND($G136&gt;=30,$AT$3&lt;=CW$7),ROUND(CW136*($AP$3+#REF!),-1),""))</f>
        <v/>
      </c>
      <c r="CY136" s="502"/>
      <c r="CZ136" s="503" t="str">
        <f>IF($G136="","",IF(AND($G136&gt;=30,$AT$3&lt;=CY$7),ROUND(CY136*($AP$3+#REF!),-1),""))</f>
        <v/>
      </c>
      <c r="DA136" s="503"/>
      <c r="DB136" s="503" t="str">
        <f>IF($G136="","",IF(AND($G136&gt;=30,$AT$3&lt;=DA$7),ROUND(DA136*($AP$3+#REF!),-1),""))</f>
        <v/>
      </c>
      <c r="DC136" s="502"/>
      <c r="DD136" s="503" t="str">
        <f>IF($G136="","",IF(AND($G136&gt;=30,$AT$3&lt;=DC$7),ROUND(DC136*($AP$3+#REF!),-1),""))</f>
        <v/>
      </c>
      <c r="DE136" s="503"/>
      <c r="DF136" s="503" t="str">
        <f>IF($G136="","",IF(AND($G136&gt;=30,$AT$3&lt;=DE$7),ROUND(DE136*($AP$3+#REF!),-1),""))</f>
        <v/>
      </c>
      <c r="DG136" s="503"/>
      <c r="DH136" s="503" t="str">
        <f>IF($G136="","",IF(AND($G136&gt;=30,$AT$3&lt;=DG$7),ROUND(DG136*($AP$3+#REF!),-1),""))</f>
        <v/>
      </c>
      <c r="DI136" s="503"/>
      <c r="DJ136" s="503" t="str">
        <f>IF($G136="","",IF(AND($G136&gt;=30,$AT$3&lt;=DI$7),ROUND(DI136*($AP$3+#REF!),-1),""))</f>
        <v/>
      </c>
      <c r="DK136" s="503"/>
      <c r="DL136" s="503" t="str">
        <f>IF($G136="","",IF(AND($G136&gt;=30,$AT$3&lt;=DK$7),ROUND(DK136*($AP$3+#REF!),-1),""))</f>
        <v/>
      </c>
      <c r="DM136" s="503"/>
      <c r="DN136" s="503" t="str">
        <f>IF($G136="","",IF(AND($G136&gt;=30,$AT$3&lt;=DM$7),ROUND(DM136*($AP$3+#REF!),-1),""))</f>
        <v/>
      </c>
      <c r="DO136" s="503"/>
      <c r="DP136" s="503" t="str">
        <f>IF($G136="","",IF(AND($G136&gt;=30,$AT$3&lt;=DO$7),ROUND(DO136*($AP$3+#REF!),-1),""))</f>
        <v/>
      </c>
      <c r="DQ136" s="503"/>
      <c r="DR136" s="503" t="str">
        <f>IF($G136="","",IF(AND($G136&gt;=30,$AT$3&lt;=DQ$7),ROUND(DQ136*($AP$3+#REF!),-1),""))</f>
        <v/>
      </c>
      <c r="DS136" s="503"/>
      <c r="DT136" s="503" t="str">
        <f>IF($G136="","",IF(AND($G136&gt;=30,$AT$3&lt;=DS$7),ROUND(DS136*($AP$3+#REF!),-1),""))</f>
        <v/>
      </c>
      <c r="DU136" s="503"/>
      <c r="DV136" s="503" t="str">
        <f>IF($G136="","",IF(AND($G136&gt;=30,$AT$3&lt;=DU$7),ROUND(DU136*($AP$3+#REF!),-1),""))</f>
        <v/>
      </c>
      <c r="DW136" s="503"/>
      <c r="DX136" s="503" t="str">
        <f>IF($G136="","",IF(AND($G136&gt;=30,$AT$3&lt;=DW$7),ROUND(DW136*($AP$3+#REF!),-1),""))</f>
        <v/>
      </c>
      <c r="DY136" s="503"/>
      <c r="DZ136" s="503" t="str">
        <f>IF($G136="","",IF(AND($G136&gt;=30,$AT$3&lt;=DY$7),ROUND(DY136*($AP$3+#REF!),-1),""))</f>
        <v/>
      </c>
      <c r="EA136" s="503"/>
      <c r="EB136" s="503" t="str">
        <f>IF($G136="","",IF(AND($G136&gt;=30,$AT$3&lt;=EA$7),ROUND(EA136*($AP$3+#REF!),-1),""))</f>
        <v/>
      </c>
      <c r="EC136" s="504" t="s">
        <v>621</v>
      </c>
      <c r="ED136" s="1126"/>
      <c r="EE136" s="325">
        <v>8</v>
      </c>
    </row>
    <row r="137" spans="1:135" ht="9.75" customHeight="1">
      <c r="A137" s="321" t="str">
        <f t="shared" si="37"/>
        <v/>
      </c>
      <c r="B137" s="567">
        <f>(ii!$D$13*12+V137)+1</f>
        <v>31</v>
      </c>
      <c r="C137" s="337">
        <f t="shared" si="30"/>
        <v>46295</v>
      </c>
      <c r="D137" s="484">
        <f t="shared" ref="D137:D152" si="39">YEAR(C137)</f>
        <v>2026</v>
      </c>
      <c r="E137" s="484">
        <f t="shared" ref="E137:E140" si="40">MONTH(C137)/12</f>
        <v>0.75</v>
      </c>
      <c r="F137" s="484">
        <f t="shared" ref="F137:F152" si="41">D137+E137</f>
        <v>2026.75</v>
      </c>
      <c r="G137" s="485" t="str">
        <f>IF(OR(C137&lt;$I$2,C137&gt;$J$3),"",(ii!$D$13*12+V137+1)/12)</f>
        <v/>
      </c>
      <c r="H137" s="486"/>
      <c r="I137" s="486"/>
      <c r="J137" s="487"/>
      <c r="K137" s="488"/>
      <c r="L137" s="548"/>
      <c r="M137" s="489" t="str">
        <f t="shared" si="32"/>
        <v/>
      </c>
      <c r="N137" s="490" t="s">
        <v>621</v>
      </c>
      <c r="O137" s="490" t="str">
        <f t="shared" ref="O137:O200" si="42">IF(OR(N137="",N136=""),"",N137-N136)</f>
        <v/>
      </c>
      <c r="P137" s="491"/>
      <c r="Q137" s="491"/>
      <c r="R137" s="491" t="str">
        <f t="shared" ref="R137:R200" si="43">IF(OR(P137="",P136=""),"",P137-P136)</f>
        <v/>
      </c>
      <c r="S137" s="528" t="str">
        <f t="shared" si="38"/>
        <v/>
      </c>
      <c r="T137" s="528" t="str">
        <f t="shared" si="36"/>
        <v/>
      </c>
      <c r="U137" s="493" t="str">
        <f>IF(H137="","",#REF!*12+#REF!+#REF!*12+#REF!)</f>
        <v/>
      </c>
      <c r="V137" s="338">
        <f>IF(ii!$J$3&gt;gg!C137,"",IF(AND((YEAR(C137)=YEAR($I$2)),MONTH(C137)=MONTH($I$2)),ii!$B$14*12+ii!$C$14+ii!$B$15*12+ii!$C$15-1,V136+1))</f>
        <v>30</v>
      </c>
      <c r="W137" s="339">
        <f t="shared" si="31"/>
        <v>2.5</v>
      </c>
      <c r="X137" s="494" t="s">
        <v>621</v>
      </c>
      <c r="Y137" s="495" t="s">
        <v>621</v>
      </c>
      <c r="Z137" s="496"/>
      <c r="AA137" s="497"/>
      <c r="AB137" s="498" t="e">
        <f t="shared" si="35"/>
        <v>#VALUE!</v>
      </c>
      <c r="AC137" s="484" t="str">
        <f t="shared" si="33"/>
        <v/>
      </c>
      <c r="AD137" s="495" t="str">
        <f t="shared" si="34"/>
        <v/>
      </c>
      <c r="AE137" s="499" t="s">
        <v>621</v>
      </c>
      <c r="AF137" s="500" t="s">
        <v>621</v>
      </c>
      <c r="AG137" s="556" t="s">
        <v>621</v>
      </c>
      <c r="AH137" s="503" t="str">
        <f>IF($G137="","",IF(AND($G137&gt;=30,$AT$3&lt;=AG$7),ROUND(AG137*($AP$3+#REF!),-1),""))</f>
        <v/>
      </c>
      <c r="AI137" s="506" t="s">
        <v>621</v>
      </c>
      <c r="AJ137" s="503" t="str">
        <f>IF($G137="","",IF(AND($G137&gt;=30,$AT$3&lt;=AI$7),ROUND(AI137*($AP$3+#REF!),-1),""))</f>
        <v/>
      </c>
      <c r="AK137" s="506" t="s">
        <v>621</v>
      </c>
      <c r="AL137" s="503" t="str">
        <f>IF($G137="","",IF(AND($G137&gt;=30,$AT$3&lt;=AK$7),ROUND(AK137*($AP$3+#REF!),-1),""))</f>
        <v/>
      </c>
      <c r="AM137" s="506" t="s">
        <v>621</v>
      </c>
      <c r="AN137" s="503" t="str">
        <f>IF($G137="","",IF(AND($G137&gt;=30,$AT$3&lt;=AM$7),ROUND(AM137*($AP$3+#REF!),-1),""))</f>
        <v/>
      </c>
      <c r="AO137" s="503" t="e">
        <v>#REF!</v>
      </c>
      <c r="AP137" s="503" t="str">
        <f>IF($G137="","",IF(AND($G137&gt;=30,$AT$3&lt;=AO$7),ROUND(AO137*($AP$3+#REF!),-1),""))</f>
        <v/>
      </c>
      <c r="AQ137" s="503" t="s">
        <v>621</v>
      </c>
      <c r="AR137" s="503" t="str">
        <f>IF($G137="","",IF(AND($G137&gt;=30,$AT$3&lt;=AQ$7),ROUND(AQ137*($AP$3+#REF!),-1),""))</f>
        <v/>
      </c>
      <c r="AS137" s="503" t="s">
        <v>621</v>
      </c>
      <c r="AT137" s="503" t="str">
        <f>IF($G137="","",IF(AND($G137&gt;=30,$AT$3&lt;=AS$7),ROUND(AS137*($AP$3+#REF!),-1),""))</f>
        <v/>
      </c>
      <c r="AU137" s="503" t="s">
        <v>621</v>
      </c>
      <c r="AV137" s="503" t="str">
        <f>IF($G137="","",IF(AND($G137&gt;=30,$AT$3&lt;=AU$7),ROUND(AU137*($AP$3+#REF!),-1),""))</f>
        <v/>
      </c>
      <c r="AW137" s="503" t="s">
        <v>621</v>
      </c>
      <c r="AX137" s="503" t="str">
        <f>IF($G137="","",IF(AND($G137&gt;=30,$AT$3&lt;=AW$7),ROUND(AW137*($AP$3+#REF!),-1),""))</f>
        <v/>
      </c>
      <c r="AY137" s="503" t="s">
        <v>621</v>
      </c>
      <c r="AZ137" s="503" t="str">
        <f>IF($G137="","",IF(AND($G137&gt;=30,$AT$3&lt;=AY$7),ROUND(AY137*($AP$3+#REF!),-1),""))</f>
        <v/>
      </c>
      <c r="BA137" s="517" t="e">
        <v>#REF!</v>
      </c>
      <c r="BB137" s="503" t="str">
        <f>IF($G137="","",IF(AND($G137&gt;=30,$AT$3&lt;=BA$7),ROUND(BA137*($AP$3+#REF!),-1),""))</f>
        <v/>
      </c>
      <c r="BC137" s="502"/>
      <c r="BD137" s="503" t="str">
        <f>IF($G137="","",IF(AND($G137&gt;=30,$AT$3&lt;=BC$7),ROUND(BC137*($AP$3+#REF!),-1),""))</f>
        <v/>
      </c>
      <c r="BE137" s="503"/>
      <c r="BF137" s="503" t="str">
        <f>IF($G137="","",IF(AND($G137&gt;=30,$AT$3&lt;=BE$7),ROUND(BE137*($AP$3+#REF!),-1),""))</f>
        <v/>
      </c>
      <c r="BG137" s="502"/>
      <c r="BH137" s="503" t="str">
        <f>IF($G137="","",IF(AND($G137&gt;=30,$AT$3&lt;=BG$7),ROUND(BG137*($AP$3+#REF!),-1),""))</f>
        <v/>
      </c>
      <c r="BI137" s="503"/>
      <c r="BJ137" s="503" t="str">
        <f>IF($G137="","",IF(AND($G137&gt;=30,$AT$3&lt;=BI$7),ROUND(BI137*($AP$3+#REF!),-1),""))</f>
        <v/>
      </c>
      <c r="BK137" s="502"/>
      <c r="BL137" s="503" t="str">
        <f>IF($G137="","",IF(AND($G137&gt;=30,$AT$3&lt;=BK$7),ROUND(BK137*($AP$3+#REF!),-1),""))</f>
        <v/>
      </c>
      <c r="BM137" s="503"/>
      <c r="BN137" s="503" t="str">
        <f>IF($G137="","",IF(AND($G137&gt;=30,$AT$3&lt;=BM$7),ROUND(BM137*($AP$3+#REF!),-1),""))</f>
        <v/>
      </c>
      <c r="BO137" s="502"/>
      <c r="BP137" s="503" t="str">
        <f>IF($G137="","",IF(AND($G137&gt;=30,$AT$3&lt;=BO$7),ROUND(BO137*($AP$3+#REF!),-1),""))</f>
        <v/>
      </c>
      <c r="BQ137" s="503"/>
      <c r="BR137" s="503" t="str">
        <f>IF($G137="","",IF(AND($G137&gt;=30,$AT$3&lt;=BQ$7),ROUND(BQ137*($AP$3+#REF!),-1),""))</f>
        <v/>
      </c>
      <c r="BS137" s="502"/>
      <c r="BT137" s="503" t="str">
        <f>IF($G137="","",IF(AND($G137&gt;=30,$AT$3&lt;=BS$7),ROUND(BS137*($AP$3+#REF!),-1),""))</f>
        <v/>
      </c>
      <c r="BU137" s="503"/>
      <c r="BV137" s="503" t="str">
        <f>IF($G137="","",IF(AND($G137&gt;=30,$AT$3&lt;=BU$7),ROUND(BU137*($AP$3+#REF!),-1),""))</f>
        <v/>
      </c>
      <c r="BW137" s="502"/>
      <c r="BX137" s="503" t="str">
        <f>IF($G137="","",IF(AND($G137&gt;=30,$AT$3&lt;=BW$7),ROUND(BW137*($AP$3+#REF!),-1),""))</f>
        <v/>
      </c>
      <c r="BY137" s="503"/>
      <c r="BZ137" s="503" t="str">
        <f>IF($G137="","",IF(AND($G137&gt;=30,$AT$3&lt;=BY$7),ROUND(BY137*($AP$3+#REF!),-1),""))</f>
        <v/>
      </c>
      <c r="CA137" s="502"/>
      <c r="CB137" s="503" t="str">
        <f>IF($G137="","",IF(AND($G137&gt;=30,$AT$3&lt;=CA$7),ROUND(CA137*($AP$3+#REF!),-1),""))</f>
        <v/>
      </c>
      <c r="CC137" s="503"/>
      <c r="CD137" s="503" t="str">
        <f>IF($G137="","",IF(AND($G137&gt;=30,$AT$3&lt;=CC$7),ROUND(CC137*($AP$3+#REF!),-1),""))</f>
        <v/>
      </c>
      <c r="CE137" s="502"/>
      <c r="CF137" s="503" t="str">
        <f>IF($G137="","",IF(AND($G137&gt;=30,$AT$3&lt;=CE$7),ROUND(CE137*($AP$3+#REF!),-1),""))</f>
        <v/>
      </c>
      <c r="CG137" s="503"/>
      <c r="CH137" s="503" t="str">
        <f>IF($G137="","",IF(AND($G137&gt;=30,$AT$3&lt;=CG$7),ROUND(CG137*($AP$3+#REF!),-1),""))</f>
        <v/>
      </c>
      <c r="CI137" s="502"/>
      <c r="CJ137" s="503" t="str">
        <f>IF($G137="","",IF(AND($G137&gt;=30,$AT$3&lt;=CI$7),ROUND(CI137*($AP$3+#REF!),-1),""))</f>
        <v/>
      </c>
      <c r="CK137" s="503"/>
      <c r="CL137" s="503" t="str">
        <f>IF($G137="","",IF(AND($G137&gt;=30,$AT$3&lt;=CK$7),ROUND(CK137*($AP$3+#REF!),-1),""))</f>
        <v/>
      </c>
      <c r="CM137" s="502"/>
      <c r="CN137" s="503" t="str">
        <f>IF($G137="","",IF(AND($G137&gt;=30,$AT$3&lt;=CM$7),ROUND(CM137*($AP$3+#REF!),-1),""))</f>
        <v/>
      </c>
      <c r="CO137" s="503"/>
      <c r="CP137" s="503" t="str">
        <f>IF($G137="","",IF(AND($G137&gt;=30,$AT$3&lt;=CO$7),ROUND(CO137*($AP$3+#REF!),-1),""))</f>
        <v/>
      </c>
      <c r="CQ137" s="502"/>
      <c r="CR137" s="503" t="str">
        <f>IF($G137="","",IF(AND($G137&gt;=30,$AT$3&lt;=CQ$7),ROUND(CQ137*($AP$3+#REF!),-1),""))</f>
        <v/>
      </c>
      <c r="CS137" s="503"/>
      <c r="CT137" s="503" t="str">
        <f>IF($G137="","",IF(AND($G137&gt;=30,$AT$3&lt;=CS$7),ROUND(CS137*($AP$3+#REF!),-1),""))</f>
        <v/>
      </c>
      <c r="CU137" s="502"/>
      <c r="CV137" s="503" t="str">
        <f>IF($G137="","",IF(AND($G137&gt;=30,$AT$3&lt;=CU$7),ROUND(CU137*($AP$3+#REF!),-1),""))</f>
        <v/>
      </c>
      <c r="CW137" s="503"/>
      <c r="CX137" s="503" t="str">
        <f>IF($G137="","",IF(AND($G137&gt;=30,$AT$3&lt;=CW$7),ROUND(CW137*($AP$3+#REF!),-1),""))</f>
        <v/>
      </c>
      <c r="CY137" s="502"/>
      <c r="CZ137" s="503" t="str">
        <f>IF($G137="","",IF(AND($G137&gt;=30,$AT$3&lt;=CY$7),ROUND(CY137*($AP$3+#REF!),-1),""))</f>
        <v/>
      </c>
      <c r="DA137" s="503"/>
      <c r="DB137" s="503" t="str">
        <f>IF($G137="","",IF(AND($G137&gt;=30,$AT$3&lt;=DA$7),ROUND(DA137*($AP$3+#REF!),-1),""))</f>
        <v/>
      </c>
      <c r="DC137" s="502"/>
      <c r="DD137" s="503" t="str">
        <f>IF($G137="","",IF(AND($G137&gt;=30,$AT$3&lt;=DC$7),ROUND(DC137*($AP$3+#REF!),-1),""))</f>
        <v/>
      </c>
      <c r="DE137" s="503"/>
      <c r="DF137" s="503" t="str">
        <f>IF($G137="","",IF(AND($G137&gt;=30,$AT$3&lt;=DE$7),ROUND(DE137*($AP$3+#REF!),-1),""))</f>
        <v/>
      </c>
      <c r="DG137" s="503"/>
      <c r="DH137" s="503" t="str">
        <f>IF($G137="","",IF(AND($G137&gt;=30,$AT$3&lt;=DG$7),ROUND(DG137*($AP$3+#REF!),-1),""))</f>
        <v/>
      </c>
      <c r="DI137" s="503"/>
      <c r="DJ137" s="503" t="str">
        <f>IF($G137="","",IF(AND($G137&gt;=30,$AT$3&lt;=DI$7),ROUND(DI137*($AP$3+#REF!),-1),""))</f>
        <v/>
      </c>
      <c r="DK137" s="503"/>
      <c r="DL137" s="503" t="str">
        <f>IF($G137="","",IF(AND($G137&gt;=30,$AT$3&lt;=DK$7),ROUND(DK137*($AP$3+#REF!),-1),""))</f>
        <v/>
      </c>
      <c r="DM137" s="503"/>
      <c r="DN137" s="503" t="str">
        <f>IF($G137="","",IF(AND($G137&gt;=30,$AT$3&lt;=DM$7),ROUND(DM137*($AP$3+#REF!),-1),""))</f>
        <v/>
      </c>
      <c r="DO137" s="503"/>
      <c r="DP137" s="503" t="str">
        <f>IF($G137="","",IF(AND($G137&gt;=30,$AT$3&lt;=DO$7),ROUND(DO137*($AP$3+#REF!),-1),""))</f>
        <v/>
      </c>
      <c r="DQ137" s="503"/>
      <c r="DR137" s="503" t="str">
        <f>IF($G137="","",IF(AND($G137&gt;=30,$AT$3&lt;=DQ$7),ROUND(DQ137*($AP$3+#REF!),-1),""))</f>
        <v/>
      </c>
      <c r="DS137" s="503"/>
      <c r="DT137" s="503" t="str">
        <f>IF($G137="","",IF(AND($G137&gt;=30,$AT$3&lt;=DS$7),ROUND(DS137*($AP$3+#REF!),-1),""))</f>
        <v/>
      </c>
      <c r="DU137" s="503"/>
      <c r="DV137" s="503" t="str">
        <f>IF($G137="","",IF(AND($G137&gt;=30,$AT$3&lt;=DU$7),ROUND(DU137*($AP$3+#REF!),-1),""))</f>
        <v/>
      </c>
      <c r="DW137" s="503"/>
      <c r="DX137" s="503" t="str">
        <f>IF($G137="","",IF(AND($G137&gt;=30,$AT$3&lt;=DW$7),ROUND(DW137*($AP$3+#REF!),-1),""))</f>
        <v/>
      </c>
      <c r="DY137" s="503"/>
      <c r="DZ137" s="503" t="str">
        <f>IF($G137="","",IF(AND($G137&gt;=30,$AT$3&lt;=DY$7),ROUND(DY137*($AP$3+#REF!),-1),""))</f>
        <v/>
      </c>
      <c r="EA137" s="503"/>
      <c r="EB137" s="503" t="str">
        <f>IF($G137="","",IF(AND($G137&gt;=30,$AT$3&lt;=EA$7),ROUND(EA137*($AP$3+#REF!),-1),""))</f>
        <v/>
      </c>
      <c r="EC137" s="504" t="s">
        <v>621</v>
      </c>
      <c r="ED137" s="1126"/>
      <c r="EE137" s="325">
        <v>9</v>
      </c>
    </row>
    <row r="138" spans="1:135" ht="9.75" customHeight="1">
      <c r="A138" s="321" t="str">
        <f t="shared" si="37"/>
        <v/>
      </c>
      <c r="B138" s="567">
        <f>(ii!$D$13*12+V138)+1</f>
        <v>32</v>
      </c>
      <c r="C138" s="337">
        <f t="shared" si="30"/>
        <v>46326</v>
      </c>
      <c r="D138" s="484">
        <f t="shared" si="39"/>
        <v>2026</v>
      </c>
      <c r="E138" s="484">
        <f t="shared" si="40"/>
        <v>0.83333333333333337</v>
      </c>
      <c r="F138" s="484">
        <f t="shared" si="41"/>
        <v>2026.8333333333333</v>
      </c>
      <c r="G138" s="485" t="str">
        <f>IF(OR(C138&lt;$I$2,C138&gt;$J$3),"",(ii!$D$13*12+V138+1)/12)</f>
        <v/>
      </c>
      <c r="H138" s="486"/>
      <c r="I138" s="486"/>
      <c r="J138" s="487"/>
      <c r="K138" s="488"/>
      <c r="L138" s="548"/>
      <c r="M138" s="489" t="str">
        <f t="shared" si="32"/>
        <v/>
      </c>
      <c r="N138" s="490" t="s">
        <v>621</v>
      </c>
      <c r="O138" s="490" t="str">
        <f t="shared" si="42"/>
        <v/>
      </c>
      <c r="P138" s="491"/>
      <c r="Q138" s="491"/>
      <c r="R138" s="491" t="str">
        <f t="shared" si="43"/>
        <v/>
      </c>
      <c r="S138" s="528" t="str">
        <f t="shared" si="38"/>
        <v/>
      </c>
      <c r="T138" s="528" t="str">
        <f t="shared" si="36"/>
        <v/>
      </c>
      <c r="U138" s="493" t="str">
        <f>IF(H138="","",#REF!*12+#REF!+#REF!*12+#REF!)</f>
        <v/>
      </c>
      <c r="V138" s="338">
        <f>IF(ii!$J$3&gt;gg!C138,"",IF(AND((YEAR(C138)=YEAR($I$2)),MONTH(C138)=MONTH($I$2)),ii!$B$14*12+ii!$C$14+ii!$B$15*12+ii!$C$15-1,V137+1))</f>
        <v>31</v>
      </c>
      <c r="W138" s="339">
        <f t="shared" si="31"/>
        <v>2.5833333333333335</v>
      </c>
      <c r="X138" s="494" t="s">
        <v>621</v>
      </c>
      <c r="Y138" s="495" t="s">
        <v>621</v>
      </c>
      <c r="Z138" s="496"/>
      <c r="AA138" s="497"/>
      <c r="AB138" s="498" t="e">
        <f t="shared" si="35"/>
        <v>#VALUE!</v>
      </c>
      <c r="AC138" s="484" t="str">
        <f t="shared" si="33"/>
        <v/>
      </c>
      <c r="AD138" s="495" t="str">
        <f t="shared" si="34"/>
        <v/>
      </c>
      <c r="AE138" s="499" t="s">
        <v>621</v>
      </c>
      <c r="AF138" s="500" t="s">
        <v>621</v>
      </c>
      <c r="AG138" s="556" t="s">
        <v>621</v>
      </c>
      <c r="AH138" s="503" t="str">
        <f>IF($G138="","",IF(AND($G138&gt;=30,$AT$3&lt;=AG$7),ROUND(AG138*($AP$3+#REF!),-1),""))</f>
        <v/>
      </c>
      <c r="AI138" s="506" t="s">
        <v>621</v>
      </c>
      <c r="AJ138" s="503" t="str">
        <f>IF($G138="","",IF(AND($G138&gt;=30,$AT$3&lt;=AI$7),ROUND(AI138*($AP$3+#REF!),-1),""))</f>
        <v/>
      </c>
      <c r="AK138" s="506" t="s">
        <v>621</v>
      </c>
      <c r="AL138" s="503" t="str">
        <f>IF($G138="","",IF(AND($G138&gt;=30,$AT$3&lt;=AK$7),ROUND(AK138*($AP$3+#REF!),-1),""))</f>
        <v/>
      </c>
      <c r="AM138" s="506" t="s">
        <v>621</v>
      </c>
      <c r="AN138" s="503" t="str">
        <f>IF($G138="","",IF(AND($G138&gt;=30,$AT$3&lt;=AM$7),ROUND(AM138*($AP$3+#REF!),-1),""))</f>
        <v/>
      </c>
      <c r="AO138" s="503" t="e">
        <v>#REF!</v>
      </c>
      <c r="AP138" s="503" t="str">
        <f>IF($G138="","",IF(AND($G138&gt;=30,$AT$3&lt;=AO$7),ROUND(AO138*($AP$3+#REF!),-1),""))</f>
        <v/>
      </c>
      <c r="AQ138" s="503" t="s">
        <v>621</v>
      </c>
      <c r="AR138" s="503" t="str">
        <f>IF($G138="","",IF(AND($G138&gt;=30,$AT$3&lt;=AQ$7),ROUND(AQ138*($AP$3+#REF!),-1),""))</f>
        <v/>
      </c>
      <c r="AS138" s="503" t="s">
        <v>621</v>
      </c>
      <c r="AT138" s="503" t="str">
        <f>IF($G138="","",IF(AND($G138&gt;=30,$AT$3&lt;=AS$7),ROUND(AS138*($AP$3+#REF!),-1),""))</f>
        <v/>
      </c>
      <c r="AU138" s="503" t="s">
        <v>621</v>
      </c>
      <c r="AV138" s="503" t="str">
        <f>IF($G138="","",IF(AND($G138&gt;=30,$AT$3&lt;=AU$7),ROUND(AU138*($AP$3+#REF!),-1),""))</f>
        <v/>
      </c>
      <c r="AW138" s="503" t="s">
        <v>621</v>
      </c>
      <c r="AX138" s="503" t="str">
        <f>IF($G138="","",IF(AND($G138&gt;=30,$AT$3&lt;=AW$7),ROUND(AW138*($AP$3+#REF!),-1),""))</f>
        <v/>
      </c>
      <c r="AY138" s="503" t="s">
        <v>621</v>
      </c>
      <c r="AZ138" s="503" t="str">
        <f>IF($G138="","",IF(AND($G138&gt;=30,$AT$3&lt;=AY$7),ROUND(AY138*($AP$3+#REF!),-1),""))</f>
        <v/>
      </c>
      <c r="BA138" s="517" t="e">
        <v>#REF!</v>
      </c>
      <c r="BB138" s="503" t="str">
        <f>IF($G138="","",IF(AND($G138&gt;=30,$AT$3&lt;=BA$7),ROUND(BA138*($AP$3+#REF!),-1),""))</f>
        <v/>
      </c>
      <c r="BC138" s="502"/>
      <c r="BD138" s="503" t="str">
        <f>IF($G138="","",IF(AND($G138&gt;=30,$AT$3&lt;=BC$7),ROUND(BC138*($AP$3+#REF!),-1),""))</f>
        <v/>
      </c>
      <c r="BE138" s="503"/>
      <c r="BF138" s="503" t="str">
        <f>IF($G138="","",IF(AND($G138&gt;=30,$AT$3&lt;=BE$7),ROUND(BE138*($AP$3+#REF!),-1),""))</f>
        <v/>
      </c>
      <c r="BG138" s="502"/>
      <c r="BH138" s="503" t="str">
        <f>IF($G138="","",IF(AND($G138&gt;=30,$AT$3&lt;=BG$7),ROUND(BG138*($AP$3+#REF!),-1),""))</f>
        <v/>
      </c>
      <c r="BI138" s="503"/>
      <c r="BJ138" s="503" t="str">
        <f>IF($G138="","",IF(AND($G138&gt;=30,$AT$3&lt;=BI$7),ROUND(BI138*($AP$3+#REF!),-1),""))</f>
        <v/>
      </c>
      <c r="BK138" s="502"/>
      <c r="BL138" s="503" t="str">
        <f>IF($G138="","",IF(AND($G138&gt;=30,$AT$3&lt;=BK$7),ROUND(BK138*($AP$3+#REF!),-1),""))</f>
        <v/>
      </c>
      <c r="BM138" s="503"/>
      <c r="BN138" s="503" t="str">
        <f>IF($G138="","",IF(AND($G138&gt;=30,$AT$3&lt;=BM$7),ROUND(BM138*($AP$3+#REF!),-1),""))</f>
        <v/>
      </c>
      <c r="BO138" s="502"/>
      <c r="BP138" s="503" t="str">
        <f>IF($G138="","",IF(AND($G138&gt;=30,$AT$3&lt;=BO$7),ROUND(BO138*($AP$3+#REF!),-1),""))</f>
        <v/>
      </c>
      <c r="BQ138" s="503"/>
      <c r="BR138" s="503" t="str">
        <f>IF($G138="","",IF(AND($G138&gt;=30,$AT$3&lt;=BQ$7),ROUND(BQ138*($AP$3+#REF!),-1),""))</f>
        <v/>
      </c>
      <c r="BS138" s="502"/>
      <c r="BT138" s="503" t="str">
        <f>IF($G138="","",IF(AND($G138&gt;=30,$AT$3&lt;=BS$7),ROUND(BS138*($AP$3+#REF!),-1),""))</f>
        <v/>
      </c>
      <c r="BU138" s="503"/>
      <c r="BV138" s="503" t="str">
        <f>IF($G138="","",IF(AND($G138&gt;=30,$AT$3&lt;=BU$7),ROUND(BU138*($AP$3+#REF!),-1),""))</f>
        <v/>
      </c>
      <c r="BW138" s="502"/>
      <c r="BX138" s="503" t="str">
        <f>IF($G138="","",IF(AND($G138&gt;=30,$AT$3&lt;=BW$7),ROUND(BW138*($AP$3+#REF!),-1),""))</f>
        <v/>
      </c>
      <c r="BY138" s="503"/>
      <c r="BZ138" s="503" t="str">
        <f>IF($G138="","",IF(AND($G138&gt;=30,$AT$3&lt;=BY$7),ROUND(BY138*($AP$3+#REF!),-1),""))</f>
        <v/>
      </c>
      <c r="CA138" s="502"/>
      <c r="CB138" s="503" t="str">
        <f>IF($G138="","",IF(AND($G138&gt;=30,$AT$3&lt;=CA$7),ROUND(CA138*($AP$3+#REF!),-1),""))</f>
        <v/>
      </c>
      <c r="CC138" s="503"/>
      <c r="CD138" s="503" t="str">
        <f>IF($G138="","",IF(AND($G138&gt;=30,$AT$3&lt;=CC$7),ROUND(CC138*($AP$3+#REF!),-1),""))</f>
        <v/>
      </c>
      <c r="CE138" s="502"/>
      <c r="CF138" s="503" t="str">
        <f>IF($G138="","",IF(AND($G138&gt;=30,$AT$3&lt;=CE$7),ROUND(CE138*($AP$3+#REF!),-1),""))</f>
        <v/>
      </c>
      <c r="CG138" s="503"/>
      <c r="CH138" s="503" t="str">
        <f>IF($G138="","",IF(AND($G138&gt;=30,$AT$3&lt;=CG$7),ROUND(CG138*($AP$3+#REF!),-1),""))</f>
        <v/>
      </c>
      <c r="CI138" s="502"/>
      <c r="CJ138" s="503" t="str">
        <f>IF($G138="","",IF(AND($G138&gt;=30,$AT$3&lt;=CI$7),ROUND(CI138*($AP$3+#REF!),-1),""))</f>
        <v/>
      </c>
      <c r="CK138" s="503"/>
      <c r="CL138" s="503" t="str">
        <f>IF($G138="","",IF(AND($G138&gt;=30,$AT$3&lt;=CK$7),ROUND(CK138*($AP$3+#REF!),-1),""))</f>
        <v/>
      </c>
      <c r="CM138" s="502"/>
      <c r="CN138" s="503" t="str">
        <f>IF($G138="","",IF(AND($G138&gt;=30,$AT$3&lt;=CM$7),ROUND(CM138*($AP$3+#REF!),-1),""))</f>
        <v/>
      </c>
      <c r="CO138" s="503"/>
      <c r="CP138" s="503" t="str">
        <f>IF($G138="","",IF(AND($G138&gt;=30,$AT$3&lt;=CO$7),ROUND(CO138*($AP$3+#REF!),-1),""))</f>
        <v/>
      </c>
      <c r="CQ138" s="502"/>
      <c r="CR138" s="503" t="str">
        <f>IF($G138="","",IF(AND($G138&gt;=30,$AT$3&lt;=CQ$7),ROUND(CQ138*($AP$3+#REF!),-1),""))</f>
        <v/>
      </c>
      <c r="CS138" s="503"/>
      <c r="CT138" s="503" t="str">
        <f>IF($G138="","",IF(AND($G138&gt;=30,$AT$3&lt;=CS$7),ROUND(CS138*($AP$3+#REF!),-1),""))</f>
        <v/>
      </c>
      <c r="CU138" s="502"/>
      <c r="CV138" s="503" t="str">
        <f>IF($G138="","",IF(AND($G138&gt;=30,$AT$3&lt;=CU$7),ROUND(CU138*($AP$3+#REF!),-1),""))</f>
        <v/>
      </c>
      <c r="CW138" s="503"/>
      <c r="CX138" s="503" t="str">
        <f>IF($G138="","",IF(AND($G138&gt;=30,$AT$3&lt;=CW$7),ROUND(CW138*($AP$3+#REF!),-1),""))</f>
        <v/>
      </c>
      <c r="CY138" s="502"/>
      <c r="CZ138" s="503" t="str">
        <f>IF($G138="","",IF(AND($G138&gt;=30,$AT$3&lt;=CY$7),ROUND(CY138*($AP$3+#REF!),-1),""))</f>
        <v/>
      </c>
      <c r="DA138" s="503"/>
      <c r="DB138" s="503" t="str">
        <f>IF($G138="","",IF(AND($G138&gt;=30,$AT$3&lt;=DA$7),ROUND(DA138*($AP$3+#REF!),-1),""))</f>
        <v/>
      </c>
      <c r="DC138" s="502"/>
      <c r="DD138" s="503" t="str">
        <f>IF($G138="","",IF(AND($G138&gt;=30,$AT$3&lt;=DC$7),ROUND(DC138*($AP$3+#REF!),-1),""))</f>
        <v/>
      </c>
      <c r="DE138" s="503"/>
      <c r="DF138" s="503" t="str">
        <f>IF($G138="","",IF(AND($G138&gt;=30,$AT$3&lt;=DE$7),ROUND(DE138*($AP$3+#REF!),-1),""))</f>
        <v/>
      </c>
      <c r="DG138" s="503"/>
      <c r="DH138" s="503" t="str">
        <f>IF($G138="","",IF(AND($G138&gt;=30,$AT$3&lt;=DG$7),ROUND(DG138*($AP$3+#REF!),-1),""))</f>
        <v/>
      </c>
      <c r="DI138" s="503"/>
      <c r="DJ138" s="503" t="str">
        <f>IF($G138="","",IF(AND($G138&gt;=30,$AT$3&lt;=DI$7),ROUND(DI138*($AP$3+#REF!),-1),""))</f>
        <v/>
      </c>
      <c r="DK138" s="503"/>
      <c r="DL138" s="503" t="str">
        <f>IF($G138="","",IF(AND($G138&gt;=30,$AT$3&lt;=DK$7),ROUND(DK138*($AP$3+#REF!),-1),""))</f>
        <v/>
      </c>
      <c r="DM138" s="503"/>
      <c r="DN138" s="503" t="str">
        <f>IF($G138="","",IF(AND($G138&gt;=30,$AT$3&lt;=DM$7),ROUND(DM138*($AP$3+#REF!),-1),""))</f>
        <v/>
      </c>
      <c r="DO138" s="503"/>
      <c r="DP138" s="503" t="str">
        <f>IF($G138="","",IF(AND($G138&gt;=30,$AT$3&lt;=DO$7),ROUND(DO138*($AP$3+#REF!),-1),""))</f>
        <v/>
      </c>
      <c r="DQ138" s="503"/>
      <c r="DR138" s="503" t="str">
        <f>IF($G138="","",IF(AND($G138&gt;=30,$AT$3&lt;=DQ$7),ROUND(DQ138*($AP$3+#REF!),-1),""))</f>
        <v/>
      </c>
      <c r="DS138" s="503"/>
      <c r="DT138" s="503" t="str">
        <f>IF($G138="","",IF(AND($G138&gt;=30,$AT$3&lt;=DS$7),ROUND(DS138*($AP$3+#REF!),-1),""))</f>
        <v/>
      </c>
      <c r="DU138" s="503"/>
      <c r="DV138" s="503" t="str">
        <f>IF($G138="","",IF(AND($G138&gt;=30,$AT$3&lt;=DU$7),ROUND(DU138*($AP$3+#REF!),-1),""))</f>
        <v/>
      </c>
      <c r="DW138" s="503"/>
      <c r="DX138" s="503" t="str">
        <f>IF($G138="","",IF(AND($G138&gt;=30,$AT$3&lt;=DW$7),ROUND(DW138*($AP$3+#REF!),-1),""))</f>
        <v/>
      </c>
      <c r="DY138" s="503"/>
      <c r="DZ138" s="503" t="str">
        <f>IF($G138="","",IF(AND($G138&gt;=30,$AT$3&lt;=DY$7),ROUND(DY138*($AP$3+#REF!),-1),""))</f>
        <v/>
      </c>
      <c r="EA138" s="503"/>
      <c r="EB138" s="503" t="str">
        <f>IF($G138="","",IF(AND($G138&gt;=30,$AT$3&lt;=EA$7),ROUND(EA138*($AP$3+#REF!),-1),""))</f>
        <v/>
      </c>
      <c r="EC138" s="504" t="s">
        <v>621</v>
      </c>
      <c r="ED138" s="1126"/>
      <c r="EE138" s="325">
        <v>10</v>
      </c>
    </row>
    <row r="139" spans="1:135" ht="9.75" customHeight="1">
      <c r="A139" s="321" t="str">
        <f t="shared" si="37"/>
        <v/>
      </c>
      <c r="B139" s="567">
        <f>(ii!$D$13*12+V139)+1</f>
        <v>33</v>
      </c>
      <c r="C139" s="337">
        <f t="shared" ref="C139:C202" si="44">EOMONTH(C138,1)</f>
        <v>46356</v>
      </c>
      <c r="D139" s="484">
        <f t="shared" si="39"/>
        <v>2026</v>
      </c>
      <c r="E139" s="484">
        <f t="shared" si="40"/>
        <v>0.91666666666666663</v>
      </c>
      <c r="F139" s="484">
        <f t="shared" si="41"/>
        <v>2026.9166666666667</v>
      </c>
      <c r="G139" s="485" t="str">
        <f>IF(OR(C139&lt;$I$2,C139&gt;$J$3),"",(ii!$D$13*12+V139+1)/12)</f>
        <v/>
      </c>
      <c r="H139" s="486"/>
      <c r="I139" s="486"/>
      <c r="J139" s="487"/>
      <c r="K139" s="488"/>
      <c r="L139" s="548"/>
      <c r="M139" s="489" t="str">
        <f t="shared" si="32"/>
        <v/>
      </c>
      <c r="N139" s="490" t="s">
        <v>621</v>
      </c>
      <c r="O139" s="490" t="str">
        <f t="shared" si="42"/>
        <v/>
      </c>
      <c r="P139" s="491"/>
      <c r="Q139" s="491"/>
      <c r="R139" s="491" t="str">
        <f t="shared" si="43"/>
        <v/>
      </c>
      <c r="S139" s="528" t="str">
        <f t="shared" si="38"/>
        <v/>
      </c>
      <c r="T139" s="528" t="str">
        <f t="shared" si="36"/>
        <v/>
      </c>
      <c r="U139" s="493" t="str">
        <f>IF(H139="","",#REF!*12+#REF!+#REF!*12+#REF!)</f>
        <v/>
      </c>
      <c r="V139" s="338">
        <f>IF(ii!$J$3&gt;gg!C139,"",IF(AND((YEAR(C139)=YEAR($I$2)),MONTH(C139)=MONTH($I$2)),ii!$B$14*12+ii!$C$14+ii!$B$15*12+ii!$C$15-1,V138+1))</f>
        <v>32</v>
      </c>
      <c r="W139" s="339">
        <f t="shared" si="31"/>
        <v>2.6666666666666665</v>
      </c>
      <c r="X139" s="494" t="s">
        <v>621</v>
      </c>
      <c r="Y139" s="495" t="s">
        <v>621</v>
      </c>
      <c r="Z139" s="496"/>
      <c r="AA139" s="497"/>
      <c r="AB139" s="498" t="e">
        <f t="shared" si="35"/>
        <v>#VALUE!</v>
      </c>
      <c r="AC139" s="484" t="str">
        <f t="shared" si="33"/>
        <v/>
      </c>
      <c r="AD139" s="495" t="str">
        <f t="shared" si="34"/>
        <v/>
      </c>
      <c r="AE139" s="499" t="s">
        <v>621</v>
      </c>
      <c r="AF139" s="500" t="s">
        <v>621</v>
      </c>
      <c r="AG139" s="556" t="s">
        <v>621</v>
      </c>
      <c r="AH139" s="503" t="str">
        <f>IF($G139="","",IF(AND($G139&gt;=30,$AT$3&lt;=AG$7),ROUND(AG139*($AP$3+#REF!),-1),""))</f>
        <v/>
      </c>
      <c r="AI139" s="506" t="s">
        <v>621</v>
      </c>
      <c r="AJ139" s="503" t="str">
        <f>IF($G139="","",IF(AND($G139&gt;=30,$AT$3&lt;=AI$7),ROUND(AI139*($AP$3+#REF!),-1),""))</f>
        <v/>
      </c>
      <c r="AK139" s="506" t="s">
        <v>621</v>
      </c>
      <c r="AL139" s="503" t="str">
        <f>IF($G139="","",IF(AND($G139&gt;=30,$AT$3&lt;=AK$7),ROUND(AK139*($AP$3+#REF!),-1),""))</f>
        <v/>
      </c>
      <c r="AM139" s="506" t="s">
        <v>621</v>
      </c>
      <c r="AN139" s="503" t="str">
        <f>IF($G139="","",IF(AND($G139&gt;=30,$AT$3&lt;=AM$7),ROUND(AM139*($AP$3+#REF!),-1),""))</f>
        <v/>
      </c>
      <c r="AO139" s="503" t="e">
        <v>#REF!</v>
      </c>
      <c r="AP139" s="503" t="str">
        <f>IF($G139="","",IF(AND($G139&gt;=30,$AT$3&lt;=AO$7),ROUND(AO139*($AP$3+#REF!),-1),""))</f>
        <v/>
      </c>
      <c r="AQ139" s="503" t="s">
        <v>621</v>
      </c>
      <c r="AR139" s="503" t="str">
        <f>IF($G139="","",IF(AND($G139&gt;=30,$AT$3&lt;=AQ$7),ROUND(AQ139*($AP$3+#REF!),-1),""))</f>
        <v/>
      </c>
      <c r="AS139" s="503" t="s">
        <v>621</v>
      </c>
      <c r="AT139" s="503" t="str">
        <f>IF($G139="","",IF(AND($G139&gt;=30,$AT$3&lt;=AS$7),ROUND(AS139*($AP$3+#REF!),-1),""))</f>
        <v/>
      </c>
      <c r="AU139" s="503" t="s">
        <v>621</v>
      </c>
      <c r="AV139" s="503" t="str">
        <f>IF($G139="","",IF(AND($G139&gt;=30,$AT$3&lt;=AU$7),ROUND(AU139*($AP$3+#REF!),-1),""))</f>
        <v/>
      </c>
      <c r="AW139" s="503" t="s">
        <v>621</v>
      </c>
      <c r="AX139" s="503" t="str">
        <f>IF($G139="","",IF(AND($G139&gt;=30,$AT$3&lt;=AW$7),ROUND(AW139*($AP$3+#REF!),-1),""))</f>
        <v/>
      </c>
      <c r="AY139" s="503" t="s">
        <v>621</v>
      </c>
      <c r="AZ139" s="503" t="str">
        <f>IF($G139="","",IF(AND($G139&gt;=30,$AT$3&lt;=AY$7),ROUND(AY139*($AP$3+#REF!),-1),""))</f>
        <v/>
      </c>
      <c r="BA139" s="517" t="e">
        <v>#REF!</v>
      </c>
      <c r="BB139" s="503" t="str">
        <f>IF($G139="","",IF(AND($G139&gt;=30,$AT$3&lt;=BA$7),ROUND(BA139*($AP$3+#REF!),-1),""))</f>
        <v/>
      </c>
      <c r="BC139" s="502"/>
      <c r="BD139" s="503" t="str">
        <f>IF($G139="","",IF(AND($G139&gt;=30,$AT$3&lt;=BC$7),ROUND(BC139*($AP$3+#REF!),-1),""))</f>
        <v/>
      </c>
      <c r="BE139" s="503"/>
      <c r="BF139" s="503" t="str">
        <f>IF($G139="","",IF(AND($G139&gt;=30,$AT$3&lt;=BE$7),ROUND(BE139*($AP$3+#REF!),-1),""))</f>
        <v/>
      </c>
      <c r="BG139" s="502"/>
      <c r="BH139" s="503" t="str">
        <f>IF($G139="","",IF(AND($G139&gt;=30,$AT$3&lt;=BG$7),ROUND(BG139*($AP$3+#REF!),-1),""))</f>
        <v/>
      </c>
      <c r="BI139" s="503"/>
      <c r="BJ139" s="503" t="str">
        <f>IF($G139="","",IF(AND($G139&gt;=30,$AT$3&lt;=BI$7),ROUND(BI139*($AP$3+#REF!),-1),""))</f>
        <v/>
      </c>
      <c r="BK139" s="502"/>
      <c r="BL139" s="503" t="str">
        <f>IF($G139="","",IF(AND($G139&gt;=30,$AT$3&lt;=BK$7),ROUND(BK139*($AP$3+#REF!),-1),""))</f>
        <v/>
      </c>
      <c r="BM139" s="503"/>
      <c r="BN139" s="503" t="str">
        <f>IF($G139="","",IF(AND($G139&gt;=30,$AT$3&lt;=BM$7),ROUND(BM139*($AP$3+#REF!),-1),""))</f>
        <v/>
      </c>
      <c r="BO139" s="502"/>
      <c r="BP139" s="503" t="str">
        <f>IF($G139="","",IF(AND($G139&gt;=30,$AT$3&lt;=BO$7),ROUND(BO139*($AP$3+#REF!),-1),""))</f>
        <v/>
      </c>
      <c r="BQ139" s="503"/>
      <c r="BR139" s="503" t="str">
        <f>IF($G139="","",IF(AND($G139&gt;=30,$AT$3&lt;=BQ$7),ROUND(BQ139*($AP$3+#REF!),-1),""))</f>
        <v/>
      </c>
      <c r="BS139" s="502"/>
      <c r="BT139" s="503" t="str">
        <f>IF($G139="","",IF(AND($G139&gt;=30,$AT$3&lt;=BS$7),ROUND(BS139*($AP$3+#REF!),-1),""))</f>
        <v/>
      </c>
      <c r="BU139" s="503"/>
      <c r="BV139" s="503" t="str">
        <f>IF($G139="","",IF(AND($G139&gt;=30,$AT$3&lt;=BU$7),ROUND(BU139*($AP$3+#REF!),-1),""))</f>
        <v/>
      </c>
      <c r="BW139" s="502"/>
      <c r="BX139" s="503" t="str">
        <f>IF($G139="","",IF(AND($G139&gt;=30,$AT$3&lt;=BW$7),ROUND(BW139*($AP$3+#REF!),-1),""))</f>
        <v/>
      </c>
      <c r="BY139" s="503"/>
      <c r="BZ139" s="503" t="str">
        <f>IF($G139="","",IF(AND($G139&gt;=30,$AT$3&lt;=BY$7),ROUND(BY139*($AP$3+#REF!),-1),""))</f>
        <v/>
      </c>
      <c r="CA139" s="502"/>
      <c r="CB139" s="503" t="str">
        <f>IF($G139="","",IF(AND($G139&gt;=30,$AT$3&lt;=CA$7),ROUND(CA139*($AP$3+#REF!),-1),""))</f>
        <v/>
      </c>
      <c r="CC139" s="503"/>
      <c r="CD139" s="503" t="str">
        <f>IF($G139="","",IF(AND($G139&gt;=30,$AT$3&lt;=CC$7),ROUND(CC139*($AP$3+#REF!),-1),""))</f>
        <v/>
      </c>
      <c r="CE139" s="502"/>
      <c r="CF139" s="503" t="str">
        <f>IF($G139="","",IF(AND($G139&gt;=30,$AT$3&lt;=CE$7),ROUND(CE139*($AP$3+#REF!),-1),""))</f>
        <v/>
      </c>
      <c r="CG139" s="503"/>
      <c r="CH139" s="503" t="str">
        <f>IF($G139="","",IF(AND($G139&gt;=30,$AT$3&lt;=CG$7),ROUND(CG139*($AP$3+#REF!),-1),""))</f>
        <v/>
      </c>
      <c r="CI139" s="502"/>
      <c r="CJ139" s="503" t="str">
        <f>IF($G139="","",IF(AND($G139&gt;=30,$AT$3&lt;=CI$7),ROUND(CI139*($AP$3+#REF!),-1),""))</f>
        <v/>
      </c>
      <c r="CK139" s="503"/>
      <c r="CL139" s="503" t="str">
        <f>IF($G139="","",IF(AND($G139&gt;=30,$AT$3&lt;=CK$7),ROUND(CK139*($AP$3+#REF!),-1),""))</f>
        <v/>
      </c>
      <c r="CM139" s="502"/>
      <c r="CN139" s="503" t="str">
        <f>IF($G139="","",IF(AND($G139&gt;=30,$AT$3&lt;=CM$7),ROUND(CM139*($AP$3+#REF!),-1),""))</f>
        <v/>
      </c>
      <c r="CO139" s="503"/>
      <c r="CP139" s="503" t="str">
        <f>IF($G139="","",IF(AND($G139&gt;=30,$AT$3&lt;=CO$7),ROUND(CO139*($AP$3+#REF!),-1),""))</f>
        <v/>
      </c>
      <c r="CQ139" s="502"/>
      <c r="CR139" s="503" t="str">
        <f>IF($G139="","",IF(AND($G139&gt;=30,$AT$3&lt;=CQ$7),ROUND(CQ139*($AP$3+#REF!),-1),""))</f>
        <v/>
      </c>
      <c r="CS139" s="503"/>
      <c r="CT139" s="503" t="str">
        <f>IF($G139="","",IF(AND($G139&gt;=30,$AT$3&lt;=CS$7),ROUND(CS139*($AP$3+#REF!),-1),""))</f>
        <v/>
      </c>
      <c r="CU139" s="502"/>
      <c r="CV139" s="503" t="str">
        <f>IF($G139="","",IF(AND($G139&gt;=30,$AT$3&lt;=CU$7),ROUND(CU139*($AP$3+#REF!),-1),""))</f>
        <v/>
      </c>
      <c r="CW139" s="503"/>
      <c r="CX139" s="503" t="str">
        <f>IF($G139="","",IF(AND($G139&gt;=30,$AT$3&lt;=CW$7),ROUND(CW139*($AP$3+#REF!),-1),""))</f>
        <v/>
      </c>
      <c r="CY139" s="502"/>
      <c r="CZ139" s="503" t="str">
        <f>IF($G139="","",IF(AND($G139&gt;=30,$AT$3&lt;=CY$7),ROUND(CY139*($AP$3+#REF!),-1),""))</f>
        <v/>
      </c>
      <c r="DA139" s="503"/>
      <c r="DB139" s="503" t="str">
        <f>IF($G139="","",IF(AND($G139&gt;=30,$AT$3&lt;=DA$7),ROUND(DA139*($AP$3+#REF!),-1),""))</f>
        <v/>
      </c>
      <c r="DC139" s="502"/>
      <c r="DD139" s="503" t="str">
        <f>IF($G139="","",IF(AND($G139&gt;=30,$AT$3&lt;=DC$7),ROUND(DC139*($AP$3+#REF!),-1),""))</f>
        <v/>
      </c>
      <c r="DE139" s="503"/>
      <c r="DF139" s="503" t="str">
        <f>IF($G139="","",IF(AND($G139&gt;=30,$AT$3&lt;=DE$7),ROUND(DE139*($AP$3+#REF!),-1),""))</f>
        <v/>
      </c>
      <c r="DG139" s="503"/>
      <c r="DH139" s="503" t="str">
        <f>IF($G139="","",IF(AND($G139&gt;=30,$AT$3&lt;=DG$7),ROUND(DG139*($AP$3+#REF!),-1),""))</f>
        <v/>
      </c>
      <c r="DI139" s="503"/>
      <c r="DJ139" s="503" t="str">
        <f>IF($G139="","",IF(AND($G139&gt;=30,$AT$3&lt;=DI$7),ROUND(DI139*($AP$3+#REF!),-1),""))</f>
        <v/>
      </c>
      <c r="DK139" s="503"/>
      <c r="DL139" s="503" t="str">
        <f>IF($G139="","",IF(AND($G139&gt;=30,$AT$3&lt;=DK$7),ROUND(DK139*($AP$3+#REF!),-1),""))</f>
        <v/>
      </c>
      <c r="DM139" s="503"/>
      <c r="DN139" s="503" t="str">
        <f>IF($G139="","",IF(AND($G139&gt;=30,$AT$3&lt;=DM$7),ROUND(DM139*($AP$3+#REF!),-1),""))</f>
        <v/>
      </c>
      <c r="DO139" s="503"/>
      <c r="DP139" s="503" t="str">
        <f>IF($G139="","",IF(AND($G139&gt;=30,$AT$3&lt;=DO$7),ROUND(DO139*($AP$3+#REF!),-1),""))</f>
        <v/>
      </c>
      <c r="DQ139" s="503"/>
      <c r="DR139" s="503" t="str">
        <f>IF($G139="","",IF(AND($G139&gt;=30,$AT$3&lt;=DQ$7),ROUND(DQ139*($AP$3+#REF!),-1),""))</f>
        <v/>
      </c>
      <c r="DS139" s="503"/>
      <c r="DT139" s="503" t="str">
        <f>IF($G139="","",IF(AND($G139&gt;=30,$AT$3&lt;=DS$7),ROUND(DS139*($AP$3+#REF!),-1),""))</f>
        <v/>
      </c>
      <c r="DU139" s="503"/>
      <c r="DV139" s="503" t="str">
        <f>IF($G139="","",IF(AND($G139&gt;=30,$AT$3&lt;=DU$7),ROUND(DU139*($AP$3+#REF!),-1),""))</f>
        <v/>
      </c>
      <c r="DW139" s="503"/>
      <c r="DX139" s="503" t="str">
        <f>IF($G139="","",IF(AND($G139&gt;=30,$AT$3&lt;=DW$7),ROUND(DW139*($AP$3+#REF!),-1),""))</f>
        <v/>
      </c>
      <c r="DY139" s="503"/>
      <c r="DZ139" s="503" t="str">
        <f>IF($G139="","",IF(AND($G139&gt;=30,$AT$3&lt;=DY$7),ROUND(DY139*($AP$3+#REF!),-1),""))</f>
        <v/>
      </c>
      <c r="EA139" s="503"/>
      <c r="EB139" s="503" t="str">
        <f>IF($G139="","",IF(AND($G139&gt;=30,$AT$3&lt;=EA$7),ROUND(EA139*($AP$3+#REF!),-1),""))</f>
        <v/>
      </c>
      <c r="EC139" s="504" t="s">
        <v>621</v>
      </c>
      <c r="ED139" s="1126"/>
      <c r="EE139" s="325">
        <v>11</v>
      </c>
    </row>
    <row r="140" spans="1:135" ht="9.75" customHeight="1">
      <c r="A140" s="321" t="str">
        <f t="shared" si="37"/>
        <v/>
      </c>
      <c r="B140" s="567">
        <f>(ii!$D$13*12+V140)+1</f>
        <v>34</v>
      </c>
      <c r="C140" s="337">
        <f t="shared" si="44"/>
        <v>46387</v>
      </c>
      <c r="D140" s="484">
        <f t="shared" si="39"/>
        <v>2026</v>
      </c>
      <c r="E140" s="484">
        <f t="shared" si="40"/>
        <v>1</v>
      </c>
      <c r="F140" s="484">
        <f t="shared" si="41"/>
        <v>2027</v>
      </c>
      <c r="G140" s="485" t="str">
        <f>IF(OR(C140&lt;$I$2,C140&gt;$J$3),"",(ii!$D$13*12+V140+1)/12)</f>
        <v/>
      </c>
      <c r="H140" s="486"/>
      <c r="I140" s="486"/>
      <c r="J140" s="487"/>
      <c r="K140" s="488"/>
      <c r="L140" s="548"/>
      <c r="M140" s="489" t="str">
        <f t="shared" si="32"/>
        <v/>
      </c>
      <c r="N140" s="490" t="s">
        <v>621</v>
      </c>
      <c r="O140" s="490" t="str">
        <f t="shared" si="42"/>
        <v/>
      </c>
      <c r="P140" s="491"/>
      <c r="Q140" s="491"/>
      <c r="R140" s="491" t="str">
        <f t="shared" si="43"/>
        <v/>
      </c>
      <c r="S140" s="528" t="str">
        <f t="shared" si="38"/>
        <v/>
      </c>
      <c r="T140" s="528" t="str">
        <f t="shared" si="36"/>
        <v/>
      </c>
      <c r="U140" s="493" t="str">
        <f>IF(H140="","",#REF!*12+#REF!+#REF!*12+#REF!)</f>
        <v/>
      </c>
      <c r="V140" s="338">
        <f>IF(ii!$J$3&gt;gg!C140,"",IF(AND((YEAR(C140)=YEAR($I$2)),MONTH(C140)=MONTH($I$2)),ii!$B$14*12+ii!$C$14+ii!$B$15*12+ii!$C$15-1,V139+1))</f>
        <v>33</v>
      </c>
      <c r="W140" s="339">
        <f t="shared" si="31"/>
        <v>2.75</v>
      </c>
      <c r="X140" s="494" t="s">
        <v>621</v>
      </c>
      <c r="Y140" s="495" t="s">
        <v>621</v>
      </c>
      <c r="Z140" s="496"/>
      <c r="AA140" s="497"/>
      <c r="AB140" s="498" t="e">
        <f t="shared" si="35"/>
        <v>#VALUE!</v>
      </c>
      <c r="AC140" s="484" t="str">
        <f t="shared" si="33"/>
        <v/>
      </c>
      <c r="AD140" s="495" t="str">
        <f t="shared" si="34"/>
        <v/>
      </c>
      <c r="AE140" s="499" t="s">
        <v>621</v>
      </c>
      <c r="AF140" s="500" t="s">
        <v>621</v>
      </c>
      <c r="AG140" s="556" t="s">
        <v>621</v>
      </c>
      <c r="AH140" s="503" t="str">
        <f>IF($G140="","",IF(AND($G140&gt;=30,$AT$3&lt;=AG$7),ROUND(AG140*($AP$3+#REF!),-1),""))</f>
        <v/>
      </c>
      <c r="AI140" s="506" t="s">
        <v>621</v>
      </c>
      <c r="AJ140" s="503" t="str">
        <f>IF($G140="","",IF(AND($G140&gt;=30,$AT$3&lt;=AI$7),ROUND(AI140*($AP$3+#REF!),-1),""))</f>
        <v/>
      </c>
      <c r="AK140" s="506" t="s">
        <v>621</v>
      </c>
      <c r="AL140" s="503" t="str">
        <f>IF($G140="","",IF(AND($G140&gt;=30,$AT$3&lt;=AK$7),ROUND(AK140*($AP$3+#REF!),-1),""))</f>
        <v/>
      </c>
      <c r="AM140" s="506" t="s">
        <v>621</v>
      </c>
      <c r="AN140" s="503" t="str">
        <f>IF($G140="","",IF(AND($G140&gt;=30,$AT$3&lt;=AM$7),ROUND(AM140*($AP$3+#REF!),-1),""))</f>
        <v/>
      </c>
      <c r="AO140" s="503" t="e">
        <v>#REF!</v>
      </c>
      <c r="AP140" s="503" t="str">
        <f>IF($G140="","",IF(AND($G140&gt;=30,$AT$3&lt;=AO$7),ROUND(AO140*($AP$3+#REF!),-1),""))</f>
        <v/>
      </c>
      <c r="AQ140" s="503" t="s">
        <v>621</v>
      </c>
      <c r="AR140" s="503" t="str">
        <f>IF($G140="","",IF(AND($G140&gt;=30,$AT$3&lt;=AQ$7),ROUND(AQ140*($AP$3+#REF!),-1),""))</f>
        <v/>
      </c>
      <c r="AS140" s="503" t="s">
        <v>621</v>
      </c>
      <c r="AT140" s="503" t="str">
        <f>IF($G140="","",IF(AND($G140&gt;=30,$AT$3&lt;=AS$7),ROUND(AS140*($AP$3+#REF!),-1),""))</f>
        <v/>
      </c>
      <c r="AU140" s="503" t="s">
        <v>621</v>
      </c>
      <c r="AV140" s="503" t="str">
        <f>IF($G140="","",IF(AND($G140&gt;=30,$AT$3&lt;=AU$7),ROUND(AU140*($AP$3+#REF!),-1),""))</f>
        <v/>
      </c>
      <c r="AW140" s="503" t="s">
        <v>621</v>
      </c>
      <c r="AX140" s="503" t="str">
        <f>IF($G140="","",IF(AND($G140&gt;=30,$AT$3&lt;=AW$7),ROUND(AW140*($AP$3+#REF!),-1),""))</f>
        <v/>
      </c>
      <c r="AY140" s="503" t="s">
        <v>621</v>
      </c>
      <c r="AZ140" s="503" t="str">
        <f>IF($G140="","",IF(AND($G140&gt;=30,$AT$3&lt;=AY$7),ROUND(AY140*($AP$3+#REF!),-1),""))</f>
        <v/>
      </c>
      <c r="BA140" s="517" t="e">
        <v>#REF!</v>
      </c>
      <c r="BB140" s="503" t="str">
        <f>IF($G140="","",IF(AND($G140&gt;=30,$AT$3&lt;=BA$7),ROUND(BA140*($AP$3+#REF!),-1),""))</f>
        <v/>
      </c>
      <c r="BC140" s="502"/>
      <c r="BD140" s="503" t="str">
        <f>IF($G140="","",IF(AND($G140&gt;=30,$AT$3&lt;=BC$7),ROUND(BC140*($AP$3+#REF!),-1),""))</f>
        <v/>
      </c>
      <c r="BE140" s="503"/>
      <c r="BF140" s="503" t="str">
        <f>IF($G140="","",IF(AND($G140&gt;=30,$AT$3&lt;=BE$7),ROUND(BE140*($AP$3+#REF!),-1),""))</f>
        <v/>
      </c>
      <c r="BG140" s="502"/>
      <c r="BH140" s="503" t="str">
        <f>IF($G140="","",IF(AND($G140&gt;=30,$AT$3&lt;=BG$7),ROUND(BG140*($AP$3+#REF!),-1),""))</f>
        <v/>
      </c>
      <c r="BI140" s="503"/>
      <c r="BJ140" s="503" t="str">
        <f>IF($G140="","",IF(AND($G140&gt;=30,$AT$3&lt;=BI$7),ROUND(BI140*($AP$3+#REF!),-1),""))</f>
        <v/>
      </c>
      <c r="BK140" s="502"/>
      <c r="BL140" s="503" t="str">
        <f>IF($G140="","",IF(AND($G140&gt;=30,$AT$3&lt;=BK$7),ROUND(BK140*($AP$3+#REF!),-1),""))</f>
        <v/>
      </c>
      <c r="BM140" s="503"/>
      <c r="BN140" s="503" t="str">
        <f>IF($G140="","",IF(AND($G140&gt;=30,$AT$3&lt;=BM$7),ROUND(BM140*($AP$3+#REF!),-1),""))</f>
        <v/>
      </c>
      <c r="BO140" s="502"/>
      <c r="BP140" s="503" t="str">
        <f>IF($G140="","",IF(AND($G140&gt;=30,$AT$3&lt;=BO$7),ROUND(BO140*($AP$3+#REF!),-1),""))</f>
        <v/>
      </c>
      <c r="BQ140" s="503"/>
      <c r="BR140" s="503" t="str">
        <f>IF($G140="","",IF(AND($G140&gt;=30,$AT$3&lt;=BQ$7),ROUND(BQ140*($AP$3+#REF!),-1),""))</f>
        <v/>
      </c>
      <c r="BS140" s="502"/>
      <c r="BT140" s="503" t="str">
        <f>IF($G140="","",IF(AND($G140&gt;=30,$AT$3&lt;=BS$7),ROUND(BS140*($AP$3+#REF!),-1),""))</f>
        <v/>
      </c>
      <c r="BU140" s="503"/>
      <c r="BV140" s="503" t="str">
        <f>IF($G140="","",IF(AND($G140&gt;=30,$AT$3&lt;=BU$7),ROUND(BU140*($AP$3+#REF!),-1),""))</f>
        <v/>
      </c>
      <c r="BW140" s="502"/>
      <c r="BX140" s="503" t="str">
        <f>IF($G140="","",IF(AND($G140&gt;=30,$AT$3&lt;=BW$7),ROUND(BW140*($AP$3+#REF!),-1),""))</f>
        <v/>
      </c>
      <c r="BY140" s="503"/>
      <c r="BZ140" s="503" t="str">
        <f>IF($G140="","",IF(AND($G140&gt;=30,$AT$3&lt;=BY$7),ROUND(BY140*($AP$3+#REF!),-1),""))</f>
        <v/>
      </c>
      <c r="CA140" s="502"/>
      <c r="CB140" s="503" t="str">
        <f>IF($G140="","",IF(AND($G140&gt;=30,$AT$3&lt;=CA$7),ROUND(CA140*($AP$3+#REF!),-1),""))</f>
        <v/>
      </c>
      <c r="CC140" s="503"/>
      <c r="CD140" s="503" t="str">
        <f>IF($G140="","",IF(AND($G140&gt;=30,$AT$3&lt;=CC$7),ROUND(CC140*($AP$3+#REF!),-1),""))</f>
        <v/>
      </c>
      <c r="CE140" s="502"/>
      <c r="CF140" s="503" t="str">
        <f>IF($G140="","",IF(AND($G140&gt;=30,$AT$3&lt;=CE$7),ROUND(CE140*($AP$3+#REF!),-1),""))</f>
        <v/>
      </c>
      <c r="CG140" s="503"/>
      <c r="CH140" s="503" t="str">
        <f>IF($G140="","",IF(AND($G140&gt;=30,$AT$3&lt;=CG$7),ROUND(CG140*($AP$3+#REF!),-1),""))</f>
        <v/>
      </c>
      <c r="CI140" s="502"/>
      <c r="CJ140" s="503" t="str">
        <f>IF($G140="","",IF(AND($G140&gt;=30,$AT$3&lt;=CI$7),ROUND(CI140*($AP$3+#REF!),-1),""))</f>
        <v/>
      </c>
      <c r="CK140" s="503"/>
      <c r="CL140" s="503" t="str">
        <f>IF($G140="","",IF(AND($G140&gt;=30,$AT$3&lt;=CK$7),ROUND(CK140*($AP$3+#REF!),-1),""))</f>
        <v/>
      </c>
      <c r="CM140" s="502"/>
      <c r="CN140" s="503" t="str">
        <f>IF($G140="","",IF(AND($G140&gt;=30,$AT$3&lt;=CM$7),ROUND(CM140*($AP$3+#REF!),-1),""))</f>
        <v/>
      </c>
      <c r="CO140" s="503"/>
      <c r="CP140" s="503" t="str">
        <f>IF($G140="","",IF(AND($G140&gt;=30,$AT$3&lt;=CO$7),ROUND(CO140*($AP$3+#REF!),-1),""))</f>
        <v/>
      </c>
      <c r="CQ140" s="502"/>
      <c r="CR140" s="503" t="str">
        <f>IF($G140="","",IF(AND($G140&gt;=30,$AT$3&lt;=CQ$7),ROUND(CQ140*($AP$3+#REF!),-1),""))</f>
        <v/>
      </c>
      <c r="CS140" s="503"/>
      <c r="CT140" s="503" t="str">
        <f>IF($G140="","",IF(AND($G140&gt;=30,$AT$3&lt;=CS$7),ROUND(CS140*($AP$3+#REF!),-1),""))</f>
        <v/>
      </c>
      <c r="CU140" s="502"/>
      <c r="CV140" s="503" t="str">
        <f>IF($G140="","",IF(AND($G140&gt;=30,$AT$3&lt;=CU$7),ROUND(CU140*($AP$3+#REF!),-1),""))</f>
        <v/>
      </c>
      <c r="CW140" s="503"/>
      <c r="CX140" s="503" t="str">
        <f>IF($G140="","",IF(AND($G140&gt;=30,$AT$3&lt;=CW$7),ROUND(CW140*($AP$3+#REF!),-1),""))</f>
        <v/>
      </c>
      <c r="CY140" s="502"/>
      <c r="CZ140" s="503" t="str">
        <f>IF($G140="","",IF(AND($G140&gt;=30,$AT$3&lt;=CY$7),ROUND(CY140*($AP$3+#REF!),-1),""))</f>
        <v/>
      </c>
      <c r="DA140" s="503"/>
      <c r="DB140" s="503" t="str">
        <f>IF($G140="","",IF(AND($G140&gt;=30,$AT$3&lt;=DA$7),ROUND(DA140*($AP$3+#REF!),-1),""))</f>
        <v/>
      </c>
      <c r="DC140" s="502"/>
      <c r="DD140" s="503" t="str">
        <f>IF($G140="","",IF(AND($G140&gt;=30,$AT$3&lt;=DC$7),ROUND(DC140*($AP$3+#REF!),-1),""))</f>
        <v/>
      </c>
      <c r="DE140" s="503"/>
      <c r="DF140" s="503" t="str">
        <f>IF($G140="","",IF(AND($G140&gt;=30,$AT$3&lt;=DE$7),ROUND(DE140*($AP$3+#REF!),-1),""))</f>
        <v/>
      </c>
      <c r="DG140" s="503"/>
      <c r="DH140" s="503" t="str">
        <f>IF($G140="","",IF(AND($G140&gt;=30,$AT$3&lt;=DG$7),ROUND(DG140*($AP$3+#REF!),-1),""))</f>
        <v/>
      </c>
      <c r="DI140" s="503"/>
      <c r="DJ140" s="503" t="str">
        <f>IF($G140="","",IF(AND($G140&gt;=30,$AT$3&lt;=DI$7),ROUND(DI140*($AP$3+#REF!),-1),""))</f>
        <v/>
      </c>
      <c r="DK140" s="503"/>
      <c r="DL140" s="503" t="str">
        <f>IF($G140="","",IF(AND($G140&gt;=30,$AT$3&lt;=DK$7),ROUND(DK140*($AP$3+#REF!),-1),""))</f>
        <v/>
      </c>
      <c r="DM140" s="503"/>
      <c r="DN140" s="503" t="str">
        <f>IF($G140="","",IF(AND($G140&gt;=30,$AT$3&lt;=DM$7),ROUND(DM140*($AP$3+#REF!),-1),""))</f>
        <v/>
      </c>
      <c r="DO140" s="503"/>
      <c r="DP140" s="503" t="str">
        <f>IF($G140="","",IF(AND($G140&gt;=30,$AT$3&lt;=DO$7),ROUND(DO140*($AP$3+#REF!),-1),""))</f>
        <v/>
      </c>
      <c r="DQ140" s="503"/>
      <c r="DR140" s="503" t="str">
        <f>IF($G140="","",IF(AND($G140&gt;=30,$AT$3&lt;=DQ$7),ROUND(DQ140*($AP$3+#REF!),-1),""))</f>
        <v/>
      </c>
      <c r="DS140" s="503"/>
      <c r="DT140" s="503" t="str">
        <f>IF($G140="","",IF(AND($G140&gt;=30,$AT$3&lt;=DS$7),ROUND(DS140*($AP$3+#REF!),-1),""))</f>
        <v/>
      </c>
      <c r="DU140" s="503"/>
      <c r="DV140" s="503" t="str">
        <f>IF($G140="","",IF(AND($G140&gt;=30,$AT$3&lt;=DU$7),ROUND(DU140*($AP$3+#REF!),-1),""))</f>
        <v/>
      </c>
      <c r="DW140" s="503"/>
      <c r="DX140" s="503" t="str">
        <f>IF($G140="","",IF(AND($G140&gt;=30,$AT$3&lt;=DW$7),ROUND(DW140*($AP$3+#REF!),-1),""))</f>
        <v/>
      </c>
      <c r="DY140" s="503"/>
      <c r="DZ140" s="503" t="str">
        <f>IF($G140="","",IF(AND($G140&gt;=30,$AT$3&lt;=DY$7),ROUND(DY140*($AP$3+#REF!),-1),""))</f>
        <v/>
      </c>
      <c r="EA140" s="503"/>
      <c r="EB140" s="503" t="str">
        <f>IF($G140="","",IF(AND($G140&gt;=30,$AT$3&lt;=EA$7),ROUND(EA140*($AP$3+#REF!),-1),""))</f>
        <v/>
      </c>
      <c r="EC140" s="504" t="s">
        <v>621</v>
      </c>
      <c r="ED140" s="1126"/>
      <c r="EE140" s="325">
        <v>12</v>
      </c>
    </row>
    <row r="141" spans="1:135" ht="9.75" customHeight="1">
      <c r="A141" s="321" t="str">
        <f t="shared" si="37"/>
        <v/>
      </c>
      <c r="B141" s="567">
        <f>(ii!$D$13*12+V141)+1</f>
        <v>35</v>
      </c>
      <c r="C141" s="345">
        <f t="shared" si="44"/>
        <v>46418</v>
      </c>
      <c r="D141" s="340">
        <f t="shared" si="39"/>
        <v>2027</v>
      </c>
      <c r="E141" s="340">
        <f>MONTH(C141)/12</f>
        <v>8.3333333333333329E-2</v>
      </c>
      <c r="F141" s="340">
        <f t="shared" si="41"/>
        <v>2027.0833333333333</v>
      </c>
      <c r="G141" s="531" t="str">
        <f>IF(OR(C141&lt;$I$2,C141&gt;$J$3),"",(ii!$D$13*12+V141+1)/12)</f>
        <v/>
      </c>
      <c r="H141" s="532"/>
      <c r="I141" s="532"/>
      <c r="J141" s="533"/>
      <c r="K141" s="553"/>
      <c r="L141" s="534"/>
      <c r="M141" s="535" t="str">
        <f t="shared" si="32"/>
        <v/>
      </c>
      <c r="N141" s="536" t="s">
        <v>621</v>
      </c>
      <c r="O141" s="536" t="str">
        <f t="shared" si="42"/>
        <v/>
      </c>
      <c r="P141" s="537"/>
      <c r="Q141" s="537"/>
      <c r="R141" s="533" t="str">
        <f t="shared" si="43"/>
        <v/>
      </c>
      <c r="S141" s="538" t="str">
        <f t="shared" si="38"/>
        <v/>
      </c>
      <c r="T141" s="538" t="str">
        <f t="shared" si="36"/>
        <v/>
      </c>
      <c r="U141" s="539" t="str">
        <f>IF(H141="","",#REF!*12+#REF!+#REF!*12+#REF!)</f>
        <v/>
      </c>
      <c r="V141" s="338">
        <f>IF(ii!$J$3&gt;gg!C141,"",IF(AND((YEAR(C141)=YEAR($I$2)),MONTH(C141)=MONTH($I$2)),ii!$B$14*12+ii!$C$14+ii!$B$15*12+ii!$C$15-1,V140+1))</f>
        <v>34</v>
      </c>
      <c r="W141" s="339">
        <f t="shared" si="31"/>
        <v>2.8333333333333335</v>
      </c>
      <c r="X141" s="540" t="s">
        <v>621</v>
      </c>
      <c r="Y141" s="538" t="s">
        <v>621</v>
      </c>
      <c r="Z141" s="541">
        <f>Z129+$Z$26</f>
        <v>0.27</v>
      </c>
      <c r="AA141" s="542" t="str">
        <f>IF(Y141="","",(Y141-Y140)/Y140)</f>
        <v/>
      </c>
      <c r="AB141" s="543" t="e">
        <f t="shared" si="35"/>
        <v>#VALUE!</v>
      </c>
      <c r="AC141" s="544" t="str">
        <f t="shared" si="33"/>
        <v/>
      </c>
      <c r="AD141" s="538" t="str">
        <f t="shared" si="34"/>
        <v/>
      </c>
      <c r="AE141" s="545" t="s">
        <v>621</v>
      </c>
      <c r="AF141" s="546" t="s">
        <v>621</v>
      </c>
      <c r="AG141" s="558" t="s">
        <v>621</v>
      </c>
      <c r="AH141" s="547" t="str">
        <f>IF($G141="","",IF(AND($G141&gt;=30,$AT$3&lt;=AG$7),ROUND(AG141*($AP$3+#REF!),-1),""))</f>
        <v/>
      </c>
      <c r="AI141" s="558" t="s">
        <v>621</v>
      </c>
      <c r="AJ141" s="547" t="str">
        <f>IF($G141="","",IF(AND($G141&gt;=30,$AT$3&lt;=AI$7),ROUND(AI141*($AP$3+#REF!),-1),""))</f>
        <v/>
      </c>
      <c r="AK141" s="560" t="s">
        <v>621</v>
      </c>
      <c r="AL141" s="547" t="str">
        <f>IF($G141="","",IF(AND($G141&gt;=30,$AT$3&lt;=AK$7),ROUND(AK141*($AP$3+#REF!),-1),""))</f>
        <v/>
      </c>
      <c r="AM141" s="560" t="s">
        <v>621</v>
      </c>
      <c r="AN141" s="547" t="str">
        <f>IF($G141="","",IF(AND($G141&gt;=30,$AT$3&lt;=AM$7),ROUND(AM141*($AP$3+#REF!),-1),""))</f>
        <v/>
      </c>
      <c r="AO141" s="547" t="e">
        <v>#REF!</v>
      </c>
      <c r="AP141" s="547" t="str">
        <f>IF($G141="","",IF(AND($G141&gt;=30,$AT$3&lt;=AO$7),ROUND(AO141*($AP$3+#REF!),-1),""))</f>
        <v/>
      </c>
      <c r="AQ141" s="547" t="s">
        <v>621</v>
      </c>
      <c r="AR141" s="547" t="str">
        <f>IF($G141="","",IF(AND($G141&gt;=30,$AT$3&lt;=AQ$7),ROUND(AQ141*($AP$3+#REF!),-1),""))</f>
        <v/>
      </c>
      <c r="AS141" s="547" t="s">
        <v>621</v>
      </c>
      <c r="AT141" s="547" t="str">
        <f>IF($G141="","",IF(AND($G141&gt;=30,$AT$3&lt;=AS$7),ROUND(AS141*($AP$3+#REF!),-1),""))</f>
        <v/>
      </c>
      <c r="AU141" s="547" t="s">
        <v>621</v>
      </c>
      <c r="AV141" s="547" t="str">
        <f>IF($G141="","",IF(AND($G141&gt;=30,$AT$3&lt;=AU$7),ROUND(AU141*($AP$3+#REF!),-1),""))</f>
        <v/>
      </c>
      <c r="AW141" s="547" t="s">
        <v>621</v>
      </c>
      <c r="AX141" s="547" t="str">
        <f>IF($G141="","",IF(AND($G141&gt;=30,$AT$3&lt;=AW$7),ROUND(AW141*($AP$3+#REF!),-1),""))</f>
        <v/>
      </c>
      <c r="AY141" s="547" t="s">
        <v>621</v>
      </c>
      <c r="AZ141" s="547" t="str">
        <f>IF($G141="","",IF(AND($G141&gt;=30,$AT$3&lt;=AY$7),ROUND(AY141*($AP$3+#REF!),-1),""))</f>
        <v/>
      </c>
      <c r="BA141" s="547" t="s">
        <v>621</v>
      </c>
      <c r="BB141" s="547" t="str">
        <f>IF($G141="","",IF(AND($G141&gt;=30,$AT$3&lt;=BA$7),ROUND(BA141*($AP$3+#REF!),-1),""))</f>
        <v/>
      </c>
      <c r="BC141" s="533" t="e">
        <v>#REF!</v>
      </c>
      <c r="BD141" s="547" t="str">
        <f>IF($G141="","",IF(AND($G141&gt;=30,$AT$3&lt;=BC$7),ROUND(BC141*($AP$3+#REF!),-1),""))</f>
        <v/>
      </c>
      <c r="BE141" s="547"/>
      <c r="BF141" s="547" t="str">
        <f>IF($G141="","",IF(AND($G141&gt;=30,$AT$3&lt;=BE$7),ROUND(BE141*($AP$3+#REF!),-1),""))</f>
        <v/>
      </c>
      <c r="BG141" s="547"/>
      <c r="BH141" s="547" t="str">
        <f>IF($G141="","",IF(AND($G141&gt;=30,$AT$3&lt;=BG$7),ROUND(BG141*($AP$3+#REF!),-1),""))</f>
        <v/>
      </c>
      <c r="BI141" s="547"/>
      <c r="BJ141" s="547" t="str">
        <f>IF($G141="","",IF(AND($G141&gt;=30,$AT$3&lt;=BI$7),ROUND(BI141*($AP$3+#REF!),-1),""))</f>
        <v/>
      </c>
      <c r="BK141" s="547"/>
      <c r="BL141" s="547" t="str">
        <f>IF($G141="","",IF(AND($G141&gt;=30,$AT$3&lt;=BK$7),ROUND(BK141*($AP$3+#REF!),-1),""))</f>
        <v/>
      </c>
      <c r="BM141" s="547"/>
      <c r="BN141" s="547" t="str">
        <f>IF($G141="","",IF(AND($G141&gt;=30,$AT$3&lt;=BM$7),ROUND(BM141*($AP$3+#REF!),-1),""))</f>
        <v/>
      </c>
      <c r="BO141" s="547"/>
      <c r="BP141" s="547" t="str">
        <f>IF($G141="","",IF(AND($G141&gt;=30,$AT$3&lt;=BO$7),ROUND(BO141*($AP$3+#REF!),-1),""))</f>
        <v/>
      </c>
      <c r="BQ141" s="547"/>
      <c r="BR141" s="547" t="str">
        <f>IF($G141="","",IF(AND($G141&gt;=30,$AT$3&lt;=BQ$7),ROUND(BQ141*($AP$3+#REF!),-1),""))</f>
        <v/>
      </c>
      <c r="BS141" s="547"/>
      <c r="BT141" s="547" t="str">
        <f>IF($G141="","",IF(AND($G141&gt;=30,$AT$3&lt;=BS$7),ROUND(BS141*($AP$3+#REF!),-1),""))</f>
        <v/>
      </c>
      <c r="BU141" s="547"/>
      <c r="BV141" s="547" t="str">
        <f>IF($G141="","",IF(AND($G141&gt;=30,$AT$3&lt;=BU$7),ROUND(BU141*($AP$3+#REF!),-1),""))</f>
        <v/>
      </c>
      <c r="BW141" s="547"/>
      <c r="BX141" s="547" t="str">
        <f>IF($G141="","",IF(AND($G141&gt;=30,$AT$3&lt;=BW$7),ROUND(BW141*($AP$3+#REF!),-1),""))</f>
        <v/>
      </c>
      <c r="BY141" s="547"/>
      <c r="BZ141" s="547" t="str">
        <f>IF($G141="","",IF(AND($G141&gt;=30,$AT$3&lt;=BY$7),ROUND(BY141*($AP$3+#REF!),-1),""))</f>
        <v/>
      </c>
      <c r="CA141" s="547"/>
      <c r="CB141" s="547" t="str">
        <f>IF($G141="","",IF(AND($G141&gt;=30,$AT$3&lt;=CA$7),ROUND(CA141*($AP$3+#REF!),-1),""))</f>
        <v/>
      </c>
      <c r="CC141" s="547"/>
      <c r="CD141" s="547" t="str">
        <f>IF($G141="","",IF(AND($G141&gt;=30,$AT$3&lt;=CC$7),ROUND(CC141*($AP$3+#REF!),-1),""))</f>
        <v/>
      </c>
      <c r="CE141" s="547"/>
      <c r="CF141" s="547" t="str">
        <f>IF($G141="","",IF(AND($G141&gt;=30,$AT$3&lt;=CE$7),ROUND(CE141*($AP$3+#REF!),-1),""))</f>
        <v/>
      </c>
      <c r="CG141" s="547"/>
      <c r="CH141" s="547" t="str">
        <f>IF($G141="","",IF(AND($G141&gt;=30,$AT$3&lt;=CG$7),ROUND(CG141*($AP$3+#REF!),-1),""))</f>
        <v/>
      </c>
      <c r="CI141" s="547"/>
      <c r="CJ141" s="547" t="str">
        <f>IF($G141="","",IF(AND($G141&gt;=30,$AT$3&lt;=CI$7),ROUND(CI141*($AP$3+#REF!),-1),""))</f>
        <v/>
      </c>
      <c r="CK141" s="547"/>
      <c r="CL141" s="547" t="str">
        <f>IF($G141="","",IF(AND($G141&gt;=30,$AT$3&lt;=CK$7),ROUND(CK141*($AP$3+#REF!),-1),""))</f>
        <v/>
      </c>
      <c r="CM141" s="547"/>
      <c r="CN141" s="547" t="str">
        <f>IF($G141="","",IF(AND($G141&gt;=30,$AT$3&lt;=CM$7),ROUND(CM141*($AP$3+#REF!),-1),""))</f>
        <v/>
      </c>
      <c r="CO141" s="547"/>
      <c r="CP141" s="547" t="str">
        <f>IF($G141="","",IF(AND($G141&gt;=30,$AT$3&lt;=CO$7),ROUND(CO141*($AP$3+#REF!),-1),""))</f>
        <v/>
      </c>
      <c r="CQ141" s="547"/>
      <c r="CR141" s="547" t="str">
        <f>IF($G141="","",IF(AND($G141&gt;=30,$AT$3&lt;=CQ$7),ROUND(CQ141*($AP$3+#REF!),-1),""))</f>
        <v/>
      </c>
      <c r="CS141" s="547"/>
      <c r="CT141" s="547" t="str">
        <f>IF($G141="","",IF(AND($G141&gt;=30,$AT$3&lt;=CS$7),ROUND(CS141*($AP$3+#REF!),-1),""))</f>
        <v/>
      </c>
      <c r="CU141" s="547"/>
      <c r="CV141" s="547" t="str">
        <f>IF($G141="","",IF(AND($G141&gt;=30,$AT$3&lt;=CU$7),ROUND(CU141*($AP$3+#REF!),-1),""))</f>
        <v/>
      </c>
      <c r="CW141" s="547"/>
      <c r="CX141" s="547" t="str">
        <f>IF($G141="","",IF(AND($G141&gt;=30,$AT$3&lt;=CW$7),ROUND(CW141*($AP$3+#REF!),-1),""))</f>
        <v/>
      </c>
      <c r="CY141" s="547"/>
      <c r="CZ141" s="547" t="str">
        <f>IF($G141="","",IF(AND($G141&gt;=30,$AT$3&lt;=CY$7),ROUND(CY141*($AP$3+#REF!),-1),""))</f>
        <v/>
      </c>
      <c r="DA141" s="547"/>
      <c r="DB141" s="547" t="str">
        <f>IF($G141="","",IF(AND($G141&gt;=30,$AT$3&lt;=DA$7),ROUND(DA141*($AP$3+#REF!),-1),""))</f>
        <v/>
      </c>
      <c r="DC141" s="547"/>
      <c r="DD141" s="547" t="str">
        <f>IF($G141="","",IF(AND($G141&gt;=30,$AT$3&lt;=DC$7),ROUND(DC141*($AP$3+#REF!),-1),""))</f>
        <v/>
      </c>
      <c r="DE141" s="547"/>
      <c r="DF141" s="547" t="str">
        <f>IF($G141="","",IF(AND($G141&gt;=30,$AT$3&lt;=DE$7),ROUND(DE141*($AP$3+#REF!),-1),""))</f>
        <v/>
      </c>
      <c r="DG141" s="547"/>
      <c r="DH141" s="547" t="str">
        <f>IF($G141="","",IF(AND($G141&gt;=30,$AT$3&lt;=DG$7),ROUND(DG141*($AP$3+#REF!),-1),""))</f>
        <v/>
      </c>
      <c r="DI141" s="547"/>
      <c r="DJ141" s="547" t="str">
        <f>IF($G141="","",IF(AND($G141&gt;=30,$AT$3&lt;=DI$7),ROUND(DI141*($AP$3+#REF!),-1),""))</f>
        <v/>
      </c>
      <c r="DK141" s="547"/>
      <c r="DL141" s="547" t="str">
        <f>IF($G141="","",IF(AND($G141&gt;=30,$AT$3&lt;=DK$7),ROUND(DK141*($AP$3+#REF!),-1),""))</f>
        <v/>
      </c>
      <c r="DM141" s="547"/>
      <c r="DN141" s="547" t="str">
        <f>IF($G141="","",IF(AND($G141&gt;=30,$AT$3&lt;=DM$7),ROUND(DM141*($AP$3+#REF!),-1),""))</f>
        <v/>
      </c>
      <c r="DO141" s="547"/>
      <c r="DP141" s="547" t="str">
        <f>IF($G141="","",IF(AND($G141&gt;=30,$AT$3&lt;=DO$7),ROUND(DO141*($AP$3+#REF!),-1),""))</f>
        <v/>
      </c>
      <c r="DQ141" s="547"/>
      <c r="DR141" s="547" t="str">
        <f>IF($G141="","",IF(AND($G141&gt;=30,$AT$3&lt;=DQ$7),ROUND(DQ141*($AP$3+#REF!),-1),""))</f>
        <v/>
      </c>
      <c r="DS141" s="547"/>
      <c r="DT141" s="547" t="str">
        <f>IF($G141="","",IF(AND($G141&gt;=30,$AT$3&lt;=DS$7),ROUND(DS141*($AP$3+#REF!),-1),""))</f>
        <v/>
      </c>
      <c r="DU141" s="547"/>
      <c r="DV141" s="547" t="str">
        <f>IF($G141="","",IF(AND($G141&gt;=30,$AT$3&lt;=DU$7),ROUND(DU141*($AP$3+#REF!),-1),""))</f>
        <v/>
      </c>
      <c r="DW141" s="547"/>
      <c r="DX141" s="547" t="str">
        <f>IF($G141="","",IF(AND($G141&gt;=30,$AT$3&lt;=DW$7),ROUND(DW141*($AP$3+#REF!),-1),""))</f>
        <v/>
      </c>
      <c r="DY141" s="547"/>
      <c r="DZ141" s="547" t="str">
        <f>IF($G141="","",IF(AND($G141&gt;=30,$AT$3&lt;=DY$7),ROUND(DY141*($AP$3+#REF!),-1),""))</f>
        <v/>
      </c>
      <c r="EA141" s="547"/>
      <c r="EB141" s="547" t="str">
        <f>IF($G141="","",IF(AND($G141&gt;=30,$AT$3&lt;=EA$7),ROUND(EA141*($AP$3+#REF!),-1),""))</f>
        <v/>
      </c>
      <c r="EC141" s="547" t="s">
        <v>621</v>
      </c>
      <c r="ED141" s="1126">
        <f>SUM(EC141:EC152)</f>
        <v>0</v>
      </c>
      <c r="EE141" s="325">
        <v>1</v>
      </c>
    </row>
    <row r="142" spans="1:135" ht="9.75" customHeight="1">
      <c r="A142" s="321" t="str">
        <f t="shared" si="37"/>
        <v/>
      </c>
      <c r="B142" s="567">
        <f>(ii!$D$13*12+V142)+1</f>
        <v>36</v>
      </c>
      <c r="C142" s="337">
        <f t="shared" si="44"/>
        <v>46446</v>
      </c>
      <c r="D142" s="484">
        <f t="shared" si="39"/>
        <v>2027</v>
      </c>
      <c r="E142" s="484">
        <f t="shared" ref="E142:E205" si="45">MONTH(C142)/12</f>
        <v>0.16666666666666666</v>
      </c>
      <c r="F142" s="484">
        <f t="shared" si="41"/>
        <v>2027.1666666666667</v>
      </c>
      <c r="G142" s="485" t="str">
        <f>IF(OR(C142&lt;$I$2,C142&gt;$J$3),"",(ii!$D$13*12+V142+1)/12)</f>
        <v/>
      </c>
      <c r="H142" s="486"/>
      <c r="I142" s="486"/>
      <c r="J142" s="487"/>
      <c r="K142" s="488"/>
      <c r="L142" s="548"/>
      <c r="M142" s="489" t="str">
        <f t="shared" si="32"/>
        <v/>
      </c>
      <c r="N142" s="490" t="s">
        <v>621</v>
      </c>
      <c r="O142" s="490" t="str">
        <f t="shared" si="42"/>
        <v/>
      </c>
      <c r="P142" s="491"/>
      <c r="Q142" s="491"/>
      <c r="R142" s="491" t="str">
        <f t="shared" si="43"/>
        <v/>
      </c>
      <c r="S142" s="528" t="str">
        <f t="shared" si="38"/>
        <v/>
      </c>
      <c r="T142" s="528" t="str">
        <f t="shared" si="36"/>
        <v/>
      </c>
      <c r="U142" s="493" t="str">
        <f>IF(H142="","",#REF!*12+#REF!+#REF!*12+#REF!)</f>
        <v/>
      </c>
      <c r="V142" s="338">
        <f>IF(ii!$J$3&gt;gg!C142,"",IF(AND((YEAR(C142)=YEAR($I$2)),MONTH(C142)=MONTH($I$2)),ii!$B$14*12+ii!$C$14+ii!$B$15*12+ii!$C$15-1,V141+1))</f>
        <v>35</v>
      </c>
      <c r="W142" s="339">
        <f t="shared" si="31"/>
        <v>2.9166666666666665</v>
      </c>
      <c r="X142" s="494" t="s">
        <v>621</v>
      </c>
      <c r="Y142" s="495" t="s">
        <v>621</v>
      </c>
      <c r="Z142" s="496"/>
      <c r="AA142" s="497"/>
      <c r="AB142" s="498" t="e">
        <f t="shared" si="35"/>
        <v>#VALUE!</v>
      </c>
      <c r="AC142" s="484" t="str">
        <f t="shared" si="33"/>
        <v/>
      </c>
      <c r="AD142" s="495" t="str">
        <f t="shared" si="34"/>
        <v/>
      </c>
      <c r="AE142" s="499" t="s">
        <v>621</v>
      </c>
      <c r="AF142" s="500" t="s">
        <v>621</v>
      </c>
      <c r="AG142" s="556" t="s">
        <v>621</v>
      </c>
      <c r="AH142" s="503" t="str">
        <f>IF($G142="","",IF(AND($G142&gt;=30,$AT$3&lt;=AG$7),ROUND(AG142*($AP$3+#REF!),-1),""))</f>
        <v/>
      </c>
      <c r="AI142" s="506" t="s">
        <v>621</v>
      </c>
      <c r="AJ142" s="503" t="str">
        <f>IF($G142="","",IF(AND($G142&gt;=30,$AT$3&lt;=AI$7),ROUND(AI142*($AP$3+#REF!),-1),""))</f>
        <v/>
      </c>
      <c r="AK142" s="506" t="s">
        <v>621</v>
      </c>
      <c r="AL142" s="503" t="str">
        <f>IF($G142="","",IF(AND($G142&gt;=30,$AT$3&lt;=AK$7),ROUND(AK142*($AP$3+#REF!),-1),""))</f>
        <v/>
      </c>
      <c r="AM142" s="506" t="s">
        <v>621</v>
      </c>
      <c r="AN142" s="503" t="str">
        <f>IF($G142="","",IF(AND($G142&gt;=30,$AT$3&lt;=AM$7),ROUND(AM142*($AP$3+#REF!),-1),""))</f>
        <v/>
      </c>
      <c r="AO142" s="503" t="e">
        <f>IF(AO141="","",AO141*1.001)</f>
        <v>#REF!</v>
      </c>
      <c r="AP142" s="503" t="str">
        <f>IF($G142="","",IF(AND($G142&gt;=30,$AT$3&lt;=AO$7),ROUND(AO142*($AP$3+#REF!),-1),""))</f>
        <v/>
      </c>
      <c r="AQ142" s="503" t="s">
        <v>621</v>
      </c>
      <c r="AR142" s="503" t="str">
        <f>IF($G142="","",IF(AND($G142&gt;=30,$AT$3&lt;=AQ$7),ROUND(AQ142*($AP$3+#REF!),-1),""))</f>
        <v/>
      </c>
      <c r="AS142" s="503" t="s">
        <v>621</v>
      </c>
      <c r="AT142" s="503" t="str">
        <f>IF($G142="","",IF(AND($G142&gt;=30,$AT$3&lt;=AS$7),ROUND(AS142*($AP$3+#REF!),-1),""))</f>
        <v/>
      </c>
      <c r="AU142" s="503" t="s">
        <v>621</v>
      </c>
      <c r="AV142" s="503" t="str">
        <f>IF($G142="","",IF(AND($G142&gt;=30,$AT$3&lt;=AU$7),ROUND(AU142*($AP$3+#REF!),-1),""))</f>
        <v/>
      </c>
      <c r="AW142" s="503" t="s">
        <v>621</v>
      </c>
      <c r="AX142" s="503" t="str">
        <f>IF($G142="","",IF(AND($G142&gt;=30,$AT$3&lt;=AW$7),ROUND(AW142*($AP$3+#REF!),-1),""))</f>
        <v/>
      </c>
      <c r="AY142" s="503" t="s">
        <v>621</v>
      </c>
      <c r="AZ142" s="503" t="str">
        <f>IF($G142="","",IF(AND($G142&gt;=30,$AT$3&lt;=AY$7),ROUND(AY142*($AP$3+#REF!),-1),""))</f>
        <v/>
      </c>
      <c r="BA142" s="503" t="s">
        <v>621</v>
      </c>
      <c r="BB142" s="503" t="str">
        <f>IF($G142="","",IF(AND($G142&gt;=30,$AT$3&lt;=BA$7),ROUND(BA142*($AP$3+#REF!),-1),""))</f>
        <v/>
      </c>
      <c r="BC142" s="517" t="e">
        <v>#REF!</v>
      </c>
      <c r="BD142" s="503" t="str">
        <f>IF($G142="","",IF(AND($G142&gt;=30,$AT$3&lt;=BC$7),ROUND(BC142*($AP$3+#REF!),-1),""))</f>
        <v/>
      </c>
      <c r="BE142" s="503"/>
      <c r="BF142" s="503" t="str">
        <f>IF($G142="","",IF(AND($G142&gt;=30,$AT$3&lt;=BE$7),ROUND(BE142*($AP$3+#REF!),-1),""))</f>
        <v/>
      </c>
      <c r="BG142" s="502"/>
      <c r="BH142" s="503" t="str">
        <f>IF($G142="","",IF(AND($G142&gt;=30,$AT$3&lt;=BG$7),ROUND(BG142*($AP$3+#REF!),-1),""))</f>
        <v/>
      </c>
      <c r="BI142" s="503"/>
      <c r="BJ142" s="503" t="str">
        <f>IF($G142="","",IF(AND($G142&gt;=30,$AT$3&lt;=BI$7),ROUND(BI142*($AP$3+#REF!),-1),""))</f>
        <v/>
      </c>
      <c r="BK142" s="502"/>
      <c r="BL142" s="503" t="str">
        <f>IF($G142="","",IF(AND($G142&gt;=30,$AT$3&lt;=BK$7),ROUND(BK142*($AP$3+#REF!),-1),""))</f>
        <v/>
      </c>
      <c r="BM142" s="503"/>
      <c r="BN142" s="503" t="str">
        <f>IF($G142="","",IF(AND($G142&gt;=30,$AT$3&lt;=BM$7),ROUND(BM142*($AP$3+#REF!),-1),""))</f>
        <v/>
      </c>
      <c r="BO142" s="502"/>
      <c r="BP142" s="503" t="str">
        <f>IF($G142="","",IF(AND($G142&gt;=30,$AT$3&lt;=BO$7),ROUND(BO142*($AP$3+#REF!),-1),""))</f>
        <v/>
      </c>
      <c r="BQ142" s="503"/>
      <c r="BR142" s="503" t="str">
        <f>IF($G142="","",IF(AND($G142&gt;=30,$AT$3&lt;=BQ$7),ROUND(BQ142*($AP$3+#REF!),-1),""))</f>
        <v/>
      </c>
      <c r="BS142" s="502"/>
      <c r="BT142" s="503" t="str">
        <f>IF($G142="","",IF(AND($G142&gt;=30,$AT$3&lt;=BS$7),ROUND(BS142*($AP$3+#REF!),-1),""))</f>
        <v/>
      </c>
      <c r="BU142" s="503"/>
      <c r="BV142" s="503" t="str">
        <f>IF($G142="","",IF(AND($G142&gt;=30,$AT$3&lt;=BU$7),ROUND(BU142*($AP$3+#REF!),-1),""))</f>
        <v/>
      </c>
      <c r="BW142" s="502"/>
      <c r="BX142" s="503" t="str">
        <f>IF($G142="","",IF(AND($G142&gt;=30,$AT$3&lt;=BW$7),ROUND(BW142*($AP$3+#REF!),-1),""))</f>
        <v/>
      </c>
      <c r="BY142" s="503"/>
      <c r="BZ142" s="503" t="str">
        <f>IF($G142="","",IF(AND($G142&gt;=30,$AT$3&lt;=BY$7),ROUND(BY142*($AP$3+#REF!),-1),""))</f>
        <v/>
      </c>
      <c r="CA142" s="502"/>
      <c r="CB142" s="503" t="str">
        <f>IF($G142="","",IF(AND($G142&gt;=30,$AT$3&lt;=CA$7),ROUND(CA142*($AP$3+#REF!),-1),""))</f>
        <v/>
      </c>
      <c r="CC142" s="503"/>
      <c r="CD142" s="503" t="str">
        <f>IF($G142="","",IF(AND($G142&gt;=30,$AT$3&lt;=CC$7),ROUND(CC142*($AP$3+#REF!),-1),""))</f>
        <v/>
      </c>
      <c r="CE142" s="502"/>
      <c r="CF142" s="503" t="str">
        <f>IF($G142="","",IF(AND($G142&gt;=30,$AT$3&lt;=CE$7),ROUND(CE142*($AP$3+#REF!),-1),""))</f>
        <v/>
      </c>
      <c r="CG142" s="503"/>
      <c r="CH142" s="503" t="str">
        <f>IF($G142="","",IF(AND($G142&gt;=30,$AT$3&lt;=CG$7),ROUND(CG142*($AP$3+#REF!),-1),""))</f>
        <v/>
      </c>
      <c r="CI142" s="502"/>
      <c r="CJ142" s="503" t="str">
        <f>IF($G142="","",IF(AND($G142&gt;=30,$AT$3&lt;=CI$7),ROUND(CI142*($AP$3+#REF!),-1),""))</f>
        <v/>
      </c>
      <c r="CK142" s="503"/>
      <c r="CL142" s="503" t="str">
        <f>IF($G142="","",IF(AND($G142&gt;=30,$AT$3&lt;=CK$7),ROUND(CK142*($AP$3+#REF!),-1),""))</f>
        <v/>
      </c>
      <c r="CM142" s="502"/>
      <c r="CN142" s="503" t="str">
        <f>IF($G142="","",IF(AND($G142&gt;=30,$AT$3&lt;=CM$7),ROUND(CM142*($AP$3+#REF!),-1),""))</f>
        <v/>
      </c>
      <c r="CO142" s="503"/>
      <c r="CP142" s="503" t="str">
        <f>IF($G142="","",IF(AND($G142&gt;=30,$AT$3&lt;=CO$7),ROUND(CO142*($AP$3+#REF!),-1),""))</f>
        <v/>
      </c>
      <c r="CQ142" s="502"/>
      <c r="CR142" s="503" t="str">
        <f>IF($G142="","",IF(AND($G142&gt;=30,$AT$3&lt;=CQ$7),ROUND(CQ142*($AP$3+#REF!),-1),""))</f>
        <v/>
      </c>
      <c r="CS142" s="503"/>
      <c r="CT142" s="503" t="str">
        <f>IF($G142="","",IF(AND($G142&gt;=30,$AT$3&lt;=CS$7),ROUND(CS142*($AP$3+#REF!),-1),""))</f>
        <v/>
      </c>
      <c r="CU142" s="502"/>
      <c r="CV142" s="503" t="str">
        <f>IF($G142="","",IF(AND($G142&gt;=30,$AT$3&lt;=CU$7),ROUND(CU142*($AP$3+#REF!),-1),""))</f>
        <v/>
      </c>
      <c r="CW142" s="503"/>
      <c r="CX142" s="503" t="str">
        <f>IF($G142="","",IF(AND($G142&gt;=30,$AT$3&lt;=CW$7),ROUND(CW142*($AP$3+#REF!),-1),""))</f>
        <v/>
      </c>
      <c r="CY142" s="502"/>
      <c r="CZ142" s="503" t="str">
        <f>IF($G142="","",IF(AND($G142&gt;=30,$AT$3&lt;=CY$7),ROUND(CY142*($AP$3+#REF!),-1),""))</f>
        <v/>
      </c>
      <c r="DA142" s="503"/>
      <c r="DB142" s="503" t="str">
        <f>IF($G142="","",IF(AND($G142&gt;=30,$AT$3&lt;=DA$7),ROUND(DA142*($AP$3+#REF!),-1),""))</f>
        <v/>
      </c>
      <c r="DC142" s="502"/>
      <c r="DD142" s="503" t="str">
        <f>IF($G142="","",IF(AND($G142&gt;=30,$AT$3&lt;=DC$7),ROUND(DC142*($AP$3+#REF!),-1),""))</f>
        <v/>
      </c>
      <c r="DE142" s="503"/>
      <c r="DF142" s="503" t="str">
        <f>IF($G142="","",IF(AND($G142&gt;=30,$AT$3&lt;=DE$7),ROUND(DE142*($AP$3+#REF!),-1),""))</f>
        <v/>
      </c>
      <c r="DG142" s="503"/>
      <c r="DH142" s="503" t="str">
        <f>IF($G142="","",IF(AND($G142&gt;=30,$AT$3&lt;=DG$7),ROUND(DG142*($AP$3+#REF!),-1),""))</f>
        <v/>
      </c>
      <c r="DI142" s="503"/>
      <c r="DJ142" s="503" t="str">
        <f>IF($G142="","",IF(AND($G142&gt;=30,$AT$3&lt;=DI$7),ROUND(DI142*($AP$3+#REF!),-1),""))</f>
        <v/>
      </c>
      <c r="DK142" s="503"/>
      <c r="DL142" s="503" t="str">
        <f>IF($G142="","",IF(AND($G142&gt;=30,$AT$3&lt;=DK$7),ROUND(DK142*($AP$3+#REF!),-1),""))</f>
        <v/>
      </c>
      <c r="DM142" s="503"/>
      <c r="DN142" s="503" t="str">
        <f>IF($G142="","",IF(AND($G142&gt;=30,$AT$3&lt;=DM$7),ROUND(DM142*($AP$3+#REF!),-1),""))</f>
        <v/>
      </c>
      <c r="DO142" s="503"/>
      <c r="DP142" s="503" t="str">
        <f>IF($G142="","",IF(AND($G142&gt;=30,$AT$3&lt;=DO$7),ROUND(DO142*($AP$3+#REF!),-1),""))</f>
        <v/>
      </c>
      <c r="DQ142" s="503"/>
      <c r="DR142" s="503" t="str">
        <f>IF($G142="","",IF(AND($G142&gt;=30,$AT$3&lt;=DQ$7),ROUND(DQ142*($AP$3+#REF!),-1),""))</f>
        <v/>
      </c>
      <c r="DS142" s="503"/>
      <c r="DT142" s="503" t="str">
        <f>IF($G142="","",IF(AND($G142&gt;=30,$AT$3&lt;=DS$7),ROUND(DS142*($AP$3+#REF!),-1),""))</f>
        <v/>
      </c>
      <c r="DU142" s="503"/>
      <c r="DV142" s="503" t="str">
        <f>IF($G142="","",IF(AND($G142&gt;=30,$AT$3&lt;=DU$7),ROUND(DU142*($AP$3+#REF!),-1),""))</f>
        <v/>
      </c>
      <c r="DW142" s="503"/>
      <c r="DX142" s="503" t="str">
        <f>IF($G142="","",IF(AND($G142&gt;=30,$AT$3&lt;=DW$7),ROUND(DW142*($AP$3+#REF!),-1),""))</f>
        <v/>
      </c>
      <c r="DY142" s="503"/>
      <c r="DZ142" s="503" t="str">
        <f>IF($G142="","",IF(AND($G142&gt;=30,$AT$3&lt;=DY$7),ROUND(DY142*($AP$3+#REF!),-1),""))</f>
        <v/>
      </c>
      <c r="EA142" s="503"/>
      <c r="EB142" s="503" t="str">
        <f>IF($G142="","",IF(AND($G142&gt;=30,$AT$3&lt;=EA$7),ROUND(EA142*($AP$3+#REF!),-1),""))</f>
        <v/>
      </c>
      <c r="EC142" s="504" t="s">
        <v>621</v>
      </c>
      <c r="ED142" s="1126"/>
      <c r="EE142" s="325">
        <v>2</v>
      </c>
    </row>
    <row r="143" spans="1:135" ht="9.75" customHeight="1">
      <c r="A143" s="321" t="str">
        <f t="shared" si="37"/>
        <v/>
      </c>
      <c r="B143" s="567">
        <f>(ii!$D$13*12+V143)+1</f>
        <v>37</v>
      </c>
      <c r="C143" s="337">
        <f t="shared" si="44"/>
        <v>46477</v>
      </c>
      <c r="D143" s="484">
        <f t="shared" si="39"/>
        <v>2027</v>
      </c>
      <c r="E143" s="484">
        <f t="shared" si="45"/>
        <v>0.25</v>
      </c>
      <c r="F143" s="484">
        <f t="shared" si="41"/>
        <v>2027.25</v>
      </c>
      <c r="G143" s="485" t="str">
        <f>IF(OR(C143&lt;$I$2,C143&gt;$J$3),"",(ii!$D$13*12+V143+1)/12)</f>
        <v/>
      </c>
      <c r="H143" s="486"/>
      <c r="I143" s="486"/>
      <c r="J143" s="487"/>
      <c r="K143" s="488"/>
      <c r="L143" s="548"/>
      <c r="M143" s="489" t="str">
        <f t="shared" si="32"/>
        <v/>
      </c>
      <c r="N143" s="490" t="s">
        <v>621</v>
      </c>
      <c r="O143" s="490" t="str">
        <f t="shared" si="42"/>
        <v/>
      </c>
      <c r="P143" s="491"/>
      <c r="Q143" s="491"/>
      <c r="R143" s="491" t="str">
        <f t="shared" si="43"/>
        <v/>
      </c>
      <c r="S143" s="528" t="str">
        <f t="shared" si="38"/>
        <v/>
      </c>
      <c r="T143" s="528" t="str">
        <f t="shared" si="36"/>
        <v/>
      </c>
      <c r="U143" s="493" t="str">
        <f>IF(H143="","",#REF!*12+#REF!+#REF!*12+#REF!)</f>
        <v/>
      </c>
      <c r="V143" s="338">
        <f>IF(ii!$J$3&gt;gg!C143,"",IF(AND((YEAR(C143)=YEAR($I$2)),MONTH(C143)=MONTH($I$2)),ii!$B$14*12+ii!$C$14+ii!$B$15*12+ii!$C$15-1,V142+1))</f>
        <v>36</v>
      </c>
      <c r="W143" s="339">
        <f t="shared" si="31"/>
        <v>3</v>
      </c>
      <c r="X143" s="494" t="s">
        <v>621</v>
      </c>
      <c r="Y143" s="495" t="s">
        <v>621</v>
      </c>
      <c r="Z143" s="496"/>
      <c r="AA143" s="497"/>
      <c r="AB143" s="498" t="e">
        <f t="shared" si="35"/>
        <v>#VALUE!</v>
      </c>
      <c r="AC143" s="484" t="str">
        <f t="shared" si="33"/>
        <v/>
      </c>
      <c r="AD143" s="495" t="str">
        <f t="shared" si="34"/>
        <v/>
      </c>
      <c r="AE143" s="499" t="s">
        <v>621</v>
      </c>
      <c r="AF143" s="500" t="s">
        <v>621</v>
      </c>
      <c r="AG143" s="556" t="s">
        <v>621</v>
      </c>
      <c r="AH143" s="503" t="str">
        <f>IF($G143="","",IF(AND($G143&gt;=30,$AT$3&lt;=AG$7),ROUND(AG143*($AP$3+#REF!),-1),""))</f>
        <v/>
      </c>
      <c r="AI143" s="506" t="s">
        <v>621</v>
      </c>
      <c r="AJ143" s="503" t="str">
        <f>IF($G143="","",IF(AND($G143&gt;=30,$AT$3&lt;=AI$7),ROUND(AI143*($AP$3+#REF!),-1),""))</f>
        <v/>
      </c>
      <c r="AK143" s="506" t="s">
        <v>621</v>
      </c>
      <c r="AL143" s="503" t="str">
        <f>IF($G143="","",IF(AND($G143&gt;=30,$AT$3&lt;=AK$7),ROUND(AK143*($AP$3+#REF!),-1),""))</f>
        <v/>
      </c>
      <c r="AM143" s="506" t="s">
        <v>621</v>
      </c>
      <c r="AN143" s="503" t="str">
        <f>IF($G143="","",IF(AND($G143&gt;=30,$AT$3&lt;=AM$7),ROUND(AM143*($AP$3+#REF!),-1),""))</f>
        <v/>
      </c>
      <c r="AO143" s="503" t="e">
        <v>#REF!</v>
      </c>
      <c r="AP143" s="503" t="str">
        <f>IF($G143="","",IF(AND($G143&gt;=30,$AT$3&lt;=AO$7),ROUND(AO143*($AP$3+#REF!),-1),""))</f>
        <v/>
      </c>
      <c r="AQ143" s="503" t="s">
        <v>621</v>
      </c>
      <c r="AR143" s="503" t="str">
        <f>IF($G143="","",IF(AND($G143&gt;=30,$AT$3&lt;=AQ$7),ROUND(AQ143*($AP$3+#REF!),-1),""))</f>
        <v/>
      </c>
      <c r="AS143" s="503" t="s">
        <v>621</v>
      </c>
      <c r="AT143" s="503" t="str">
        <f>IF($G143="","",IF(AND($G143&gt;=30,$AT$3&lt;=AS$7),ROUND(AS143*($AP$3+#REF!),-1),""))</f>
        <v/>
      </c>
      <c r="AU143" s="503" t="s">
        <v>621</v>
      </c>
      <c r="AV143" s="503" t="str">
        <f>IF($G143="","",IF(AND($G143&gt;=30,$AT$3&lt;=AU$7),ROUND(AU143*($AP$3+#REF!),-1),""))</f>
        <v/>
      </c>
      <c r="AW143" s="503" t="s">
        <v>621</v>
      </c>
      <c r="AX143" s="503" t="str">
        <f>IF($G143="","",IF(AND($G143&gt;=30,$AT$3&lt;=AW$7),ROUND(AW143*($AP$3+#REF!),-1),""))</f>
        <v/>
      </c>
      <c r="AY143" s="503" t="s">
        <v>621</v>
      </c>
      <c r="AZ143" s="503" t="str">
        <f>IF($G143="","",IF(AND($G143&gt;=30,$AT$3&lt;=AY$7),ROUND(AY143*($AP$3+#REF!),-1),""))</f>
        <v/>
      </c>
      <c r="BA143" s="503" t="s">
        <v>621</v>
      </c>
      <c r="BB143" s="503" t="str">
        <f>IF($G143="","",IF(AND($G143&gt;=30,$AT$3&lt;=BA$7),ROUND(BA143*($AP$3+#REF!),-1),""))</f>
        <v/>
      </c>
      <c r="BC143" s="517" t="e">
        <v>#REF!</v>
      </c>
      <c r="BD143" s="503" t="str">
        <f>IF($G143="","",IF(AND($G143&gt;=30,$AT$3&lt;=BC$7),ROUND(BC143*($AP$3+#REF!),-1),""))</f>
        <v/>
      </c>
      <c r="BE143" s="503"/>
      <c r="BF143" s="503" t="str">
        <f>IF($G143="","",IF(AND($G143&gt;=30,$AT$3&lt;=BE$7),ROUND(BE143*($AP$3+#REF!),-1),""))</f>
        <v/>
      </c>
      <c r="BG143" s="502"/>
      <c r="BH143" s="503" t="str">
        <f>IF($G143="","",IF(AND($G143&gt;=30,$AT$3&lt;=BG$7),ROUND(BG143*($AP$3+#REF!),-1),""))</f>
        <v/>
      </c>
      <c r="BI143" s="503"/>
      <c r="BJ143" s="503" t="str">
        <f>IF($G143="","",IF(AND($G143&gt;=30,$AT$3&lt;=BI$7),ROUND(BI143*($AP$3+#REF!),-1),""))</f>
        <v/>
      </c>
      <c r="BK143" s="502"/>
      <c r="BL143" s="503" t="str">
        <f>IF($G143="","",IF(AND($G143&gt;=30,$AT$3&lt;=BK$7),ROUND(BK143*($AP$3+#REF!),-1),""))</f>
        <v/>
      </c>
      <c r="BM143" s="503"/>
      <c r="BN143" s="503" t="str">
        <f>IF($G143="","",IF(AND($G143&gt;=30,$AT$3&lt;=BM$7),ROUND(BM143*($AP$3+#REF!),-1),""))</f>
        <v/>
      </c>
      <c r="BO143" s="502"/>
      <c r="BP143" s="503" t="str">
        <f>IF($G143="","",IF(AND($G143&gt;=30,$AT$3&lt;=BO$7),ROUND(BO143*($AP$3+#REF!),-1),""))</f>
        <v/>
      </c>
      <c r="BQ143" s="503"/>
      <c r="BR143" s="503" t="str">
        <f>IF($G143="","",IF(AND($G143&gt;=30,$AT$3&lt;=BQ$7),ROUND(BQ143*($AP$3+#REF!),-1),""))</f>
        <v/>
      </c>
      <c r="BS143" s="502"/>
      <c r="BT143" s="503" t="str">
        <f>IF($G143="","",IF(AND($G143&gt;=30,$AT$3&lt;=BS$7),ROUND(BS143*($AP$3+#REF!),-1),""))</f>
        <v/>
      </c>
      <c r="BU143" s="503"/>
      <c r="BV143" s="503" t="str">
        <f>IF($G143="","",IF(AND($G143&gt;=30,$AT$3&lt;=BU$7),ROUND(BU143*($AP$3+#REF!),-1),""))</f>
        <v/>
      </c>
      <c r="BW143" s="502"/>
      <c r="BX143" s="503" t="str">
        <f>IF($G143="","",IF(AND($G143&gt;=30,$AT$3&lt;=BW$7),ROUND(BW143*($AP$3+#REF!),-1),""))</f>
        <v/>
      </c>
      <c r="BY143" s="503"/>
      <c r="BZ143" s="503" t="str">
        <f>IF($G143="","",IF(AND($G143&gt;=30,$AT$3&lt;=BY$7),ROUND(BY143*($AP$3+#REF!),-1),""))</f>
        <v/>
      </c>
      <c r="CA143" s="502"/>
      <c r="CB143" s="503" t="str">
        <f>IF($G143="","",IF(AND($G143&gt;=30,$AT$3&lt;=CA$7),ROUND(CA143*($AP$3+#REF!),-1),""))</f>
        <v/>
      </c>
      <c r="CC143" s="503"/>
      <c r="CD143" s="503" t="str">
        <f>IF($G143="","",IF(AND($G143&gt;=30,$AT$3&lt;=CC$7),ROUND(CC143*($AP$3+#REF!),-1),""))</f>
        <v/>
      </c>
      <c r="CE143" s="502"/>
      <c r="CF143" s="503" t="str">
        <f>IF($G143="","",IF(AND($G143&gt;=30,$AT$3&lt;=CE$7),ROUND(CE143*($AP$3+#REF!),-1),""))</f>
        <v/>
      </c>
      <c r="CG143" s="503"/>
      <c r="CH143" s="503" t="str">
        <f>IF($G143="","",IF(AND($G143&gt;=30,$AT$3&lt;=CG$7),ROUND(CG143*($AP$3+#REF!),-1),""))</f>
        <v/>
      </c>
      <c r="CI143" s="502"/>
      <c r="CJ143" s="503" t="str">
        <f>IF($G143="","",IF(AND($G143&gt;=30,$AT$3&lt;=CI$7),ROUND(CI143*($AP$3+#REF!),-1),""))</f>
        <v/>
      </c>
      <c r="CK143" s="503"/>
      <c r="CL143" s="503" t="str">
        <f>IF($G143="","",IF(AND($G143&gt;=30,$AT$3&lt;=CK$7),ROUND(CK143*($AP$3+#REF!),-1),""))</f>
        <v/>
      </c>
      <c r="CM143" s="502"/>
      <c r="CN143" s="503" t="str">
        <f>IF($G143="","",IF(AND($G143&gt;=30,$AT$3&lt;=CM$7),ROUND(CM143*($AP$3+#REF!),-1),""))</f>
        <v/>
      </c>
      <c r="CO143" s="503"/>
      <c r="CP143" s="503" t="str">
        <f>IF($G143="","",IF(AND($G143&gt;=30,$AT$3&lt;=CO$7),ROUND(CO143*($AP$3+#REF!),-1),""))</f>
        <v/>
      </c>
      <c r="CQ143" s="502"/>
      <c r="CR143" s="503" t="str">
        <f>IF($G143="","",IF(AND($G143&gt;=30,$AT$3&lt;=CQ$7),ROUND(CQ143*($AP$3+#REF!),-1),""))</f>
        <v/>
      </c>
      <c r="CS143" s="503"/>
      <c r="CT143" s="503" t="str">
        <f>IF($G143="","",IF(AND($G143&gt;=30,$AT$3&lt;=CS$7),ROUND(CS143*($AP$3+#REF!),-1),""))</f>
        <v/>
      </c>
      <c r="CU143" s="502"/>
      <c r="CV143" s="503" t="str">
        <f>IF($G143="","",IF(AND($G143&gt;=30,$AT$3&lt;=CU$7),ROUND(CU143*($AP$3+#REF!),-1),""))</f>
        <v/>
      </c>
      <c r="CW143" s="503"/>
      <c r="CX143" s="503" t="str">
        <f>IF($G143="","",IF(AND($G143&gt;=30,$AT$3&lt;=CW$7),ROUND(CW143*($AP$3+#REF!),-1),""))</f>
        <v/>
      </c>
      <c r="CY143" s="502"/>
      <c r="CZ143" s="503" t="str">
        <f>IF($G143="","",IF(AND($G143&gt;=30,$AT$3&lt;=CY$7),ROUND(CY143*($AP$3+#REF!),-1),""))</f>
        <v/>
      </c>
      <c r="DA143" s="503"/>
      <c r="DB143" s="503" t="str">
        <f>IF($G143="","",IF(AND($G143&gt;=30,$AT$3&lt;=DA$7),ROUND(DA143*($AP$3+#REF!),-1),""))</f>
        <v/>
      </c>
      <c r="DC143" s="502"/>
      <c r="DD143" s="503" t="str">
        <f>IF($G143="","",IF(AND($G143&gt;=30,$AT$3&lt;=DC$7),ROUND(DC143*($AP$3+#REF!),-1),""))</f>
        <v/>
      </c>
      <c r="DE143" s="503"/>
      <c r="DF143" s="503" t="str">
        <f>IF($G143="","",IF(AND($G143&gt;=30,$AT$3&lt;=DE$7),ROUND(DE143*($AP$3+#REF!),-1),""))</f>
        <v/>
      </c>
      <c r="DG143" s="503"/>
      <c r="DH143" s="503" t="str">
        <f>IF($G143="","",IF(AND($G143&gt;=30,$AT$3&lt;=DG$7),ROUND(DG143*($AP$3+#REF!),-1),""))</f>
        <v/>
      </c>
      <c r="DI143" s="503"/>
      <c r="DJ143" s="503" t="str">
        <f>IF($G143="","",IF(AND($G143&gt;=30,$AT$3&lt;=DI$7),ROUND(DI143*($AP$3+#REF!),-1),""))</f>
        <v/>
      </c>
      <c r="DK143" s="503"/>
      <c r="DL143" s="503" t="str">
        <f>IF($G143="","",IF(AND($G143&gt;=30,$AT$3&lt;=DK$7),ROUND(DK143*($AP$3+#REF!),-1),""))</f>
        <v/>
      </c>
      <c r="DM143" s="503"/>
      <c r="DN143" s="503" t="str">
        <f>IF($G143="","",IF(AND($G143&gt;=30,$AT$3&lt;=DM$7),ROUND(DM143*($AP$3+#REF!),-1),""))</f>
        <v/>
      </c>
      <c r="DO143" s="503"/>
      <c r="DP143" s="503" t="str">
        <f>IF($G143="","",IF(AND($G143&gt;=30,$AT$3&lt;=DO$7),ROUND(DO143*($AP$3+#REF!),-1),""))</f>
        <v/>
      </c>
      <c r="DQ143" s="503"/>
      <c r="DR143" s="503" t="str">
        <f>IF($G143="","",IF(AND($G143&gt;=30,$AT$3&lt;=DQ$7),ROUND(DQ143*($AP$3+#REF!),-1),""))</f>
        <v/>
      </c>
      <c r="DS143" s="503"/>
      <c r="DT143" s="503" t="str">
        <f>IF($G143="","",IF(AND($G143&gt;=30,$AT$3&lt;=DS$7),ROUND(DS143*($AP$3+#REF!),-1),""))</f>
        <v/>
      </c>
      <c r="DU143" s="503"/>
      <c r="DV143" s="503" t="str">
        <f>IF($G143="","",IF(AND($G143&gt;=30,$AT$3&lt;=DU$7),ROUND(DU143*($AP$3+#REF!),-1),""))</f>
        <v/>
      </c>
      <c r="DW143" s="503"/>
      <c r="DX143" s="503" t="str">
        <f>IF($G143="","",IF(AND($G143&gt;=30,$AT$3&lt;=DW$7),ROUND(DW143*($AP$3+#REF!),-1),""))</f>
        <v/>
      </c>
      <c r="DY143" s="503"/>
      <c r="DZ143" s="503" t="str">
        <f>IF($G143="","",IF(AND($G143&gt;=30,$AT$3&lt;=DY$7),ROUND(DY143*($AP$3+#REF!),-1),""))</f>
        <v/>
      </c>
      <c r="EA143" s="503"/>
      <c r="EB143" s="503" t="str">
        <f>IF($G143="","",IF(AND($G143&gt;=30,$AT$3&lt;=EA$7),ROUND(EA143*($AP$3+#REF!),-1),""))</f>
        <v/>
      </c>
      <c r="EC143" s="504" t="s">
        <v>621</v>
      </c>
      <c r="ED143" s="1126"/>
      <c r="EE143" s="325">
        <v>3</v>
      </c>
    </row>
    <row r="144" spans="1:135" ht="9.75" customHeight="1">
      <c r="A144" s="321" t="str">
        <f t="shared" si="37"/>
        <v/>
      </c>
      <c r="B144" s="567">
        <f>(ii!$D$13*12+V144)+1</f>
        <v>38</v>
      </c>
      <c r="C144" s="337">
        <f t="shared" si="44"/>
        <v>46507</v>
      </c>
      <c r="D144" s="484">
        <f t="shared" si="39"/>
        <v>2027</v>
      </c>
      <c r="E144" s="484">
        <f t="shared" si="45"/>
        <v>0.33333333333333331</v>
      </c>
      <c r="F144" s="484">
        <f t="shared" si="41"/>
        <v>2027.3333333333333</v>
      </c>
      <c r="G144" s="485" t="str">
        <f>IF(OR(C144&lt;$I$2,C144&gt;$J$3),"",(ii!$D$13*12+V144+1)/12)</f>
        <v/>
      </c>
      <c r="H144" s="486"/>
      <c r="I144" s="486"/>
      <c r="J144" s="487"/>
      <c r="K144" s="488"/>
      <c r="L144" s="548"/>
      <c r="M144" s="489" t="str">
        <f t="shared" si="32"/>
        <v/>
      </c>
      <c r="N144" s="490" t="s">
        <v>621</v>
      </c>
      <c r="O144" s="490" t="str">
        <f t="shared" si="42"/>
        <v/>
      </c>
      <c r="P144" s="491"/>
      <c r="Q144" s="491"/>
      <c r="R144" s="491" t="str">
        <f t="shared" si="43"/>
        <v/>
      </c>
      <c r="S144" s="528" t="str">
        <f t="shared" si="38"/>
        <v/>
      </c>
      <c r="T144" s="528" t="str">
        <f t="shared" si="36"/>
        <v/>
      </c>
      <c r="U144" s="493" t="str">
        <f>IF(H144="","",#REF!*12+#REF!+#REF!*12+#REF!)</f>
        <v/>
      </c>
      <c r="V144" s="338">
        <f>IF(ii!$J$3&gt;gg!C144,"",IF(AND((YEAR(C144)=YEAR($I$2)),MONTH(C144)=MONTH($I$2)),ii!$B$14*12+ii!$C$14+ii!$B$15*12+ii!$C$15-1,V143+1))</f>
        <v>37</v>
      </c>
      <c r="W144" s="339">
        <f t="shared" si="31"/>
        <v>3.0833333333333335</v>
      </c>
      <c r="X144" s="494" t="s">
        <v>621</v>
      </c>
      <c r="Y144" s="495" t="s">
        <v>621</v>
      </c>
      <c r="Z144" s="496"/>
      <c r="AA144" s="497"/>
      <c r="AB144" s="498" t="e">
        <f t="shared" si="35"/>
        <v>#VALUE!</v>
      </c>
      <c r="AC144" s="484" t="str">
        <f t="shared" si="33"/>
        <v/>
      </c>
      <c r="AD144" s="495" t="str">
        <f t="shared" si="34"/>
        <v/>
      </c>
      <c r="AE144" s="499" t="s">
        <v>621</v>
      </c>
      <c r="AF144" s="500" t="s">
        <v>621</v>
      </c>
      <c r="AG144" s="556" t="s">
        <v>621</v>
      </c>
      <c r="AH144" s="503" t="str">
        <f>IF($G144="","",IF(AND($G144&gt;=30,$AT$3&lt;=AG$7),ROUND(AG144*($AP$3+#REF!),-1),""))</f>
        <v/>
      </c>
      <c r="AI144" s="506" t="s">
        <v>621</v>
      </c>
      <c r="AJ144" s="503" t="str">
        <f>IF($G144="","",IF(AND($G144&gt;=30,$AT$3&lt;=AI$7),ROUND(AI144*($AP$3+#REF!),-1),""))</f>
        <v/>
      </c>
      <c r="AK144" s="506" t="s">
        <v>621</v>
      </c>
      <c r="AL144" s="503" t="str">
        <f>IF($G144="","",IF(AND($G144&gt;=30,$AT$3&lt;=AK$7),ROUND(AK144*($AP$3+#REF!),-1),""))</f>
        <v/>
      </c>
      <c r="AM144" s="506" t="s">
        <v>621</v>
      </c>
      <c r="AN144" s="503" t="str">
        <f>IF($G144="","",IF(AND($G144&gt;=30,$AT$3&lt;=AM$7),ROUND(AM144*($AP$3+#REF!),-1),""))</f>
        <v/>
      </c>
      <c r="AO144" s="503" t="e">
        <v>#REF!</v>
      </c>
      <c r="AP144" s="503" t="str">
        <f>IF($G144="","",IF(AND($G144&gt;=30,$AT$3&lt;=AO$7),ROUND(AO144*($AP$3+#REF!),-1),""))</f>
        <v/>
      </c>
      <c r="AQ144" s="503" t="s">
        <v>621</v>
      </c>
      <c r="AR144" s="503" t="str">
        <f>IF($G144="","",IF(AND($G144&gt;=30,$AT$3&lt;=AQ$7),ROUND(AQ144*($AP$3+#REF!),-1),""))</f>
        <v/>
      </c>
      <c r="AS144" s="503" t="s">
        <v>621</v>
      </c>
      <c r="AT144" s="503" t="str">
        <f>IF($G144="","",IF(AND($G144&gt;=30,$AT$3&lt;=AS$7),ROUND(AS144*($AP$3+#REF!),-1),""))</f>
        <v/>
      </c>
      <c r="AU144" s="503" t="s">
        <v>621</v>
      </c>
      <c r="AV144" s="503" t="str">
        <f>IF($G144="","",IF(AND($G144&gt;=30,$AT$3&lt;=AU$7),ROUND(AU144*($AP$3+#REF!),-1),""))</f>
        <v/>
      </c>
      <c r="AW144" s="503" t="s">
        <v>621</v>
      </c>
      <c r="AX144" s="503" t="str">
        <f>IF($G144="","",IF(AND($G144&gt;=30,$AT$3&lt;=AW$7),ROUND(AW144*($AP$3+#REF!),-1),""))</f>
        <v/>
      </c>
      <c r="AY144" s="503" t="s">
        <v>621</v>
      </c>
      <c r="AZ144" s="503" t="str">
        <f>IF($G144="","",IF(AND($G144&gt;=30,$AT$3&lt;=AY$7),ROUND(AY144*($AP$3+#REF!),-1),""))</f>
        <v/>
      </c>
      <c r="BA144" s="503" t="s">
        <v>621</v>
      </c>
      <c r="BB144" s="503" t="str">
        <f>IF($G144="","",IF(AND($G144&gt;=30,$AT$3&lt;=BA$7),ROUND(BA144*($AP$3+#REF!),-1),""))</f>
        <v/>
      </c>
      <c r="BC144" s="517" t="e">
        <v>#REF!</v>
      </c>
      <c r="BD144" s="503" t="str">
        <f>IF($G144="","",IF(AND($G144&gt;=30,$AT$3&lt;=BC$7),ROUND(BC144*($AP$3+#REF!),-1),""))</f>
        <v/>
      </c>
      <c r="BE144" s="503"/>
      <c r="BF144" s="503" t="str">
        <f>IF($G144="","",IF(AND($G144&gt;=30,$AT$3&lt;=BE$7),ROUND(BE144*($AP$3+#REF!),-1),""))</f>
        <v/>
      </c>
      <c r="BG144" s="502"/>
      <c r="BH144" s="503" t="str">
        <f>IF($G144="","",IF(AND($G144&gt;=30,$AT$3&lt;=BG$7),ROUND(BG144*($AP$3+#REF!),-1),""))</f>
        <v/>
      </c>
      <c r="BI144" s="503"/>
      <c r="BJ144" s="503" t="str">
        <f>IF($G144="","",IF(AND($G144&gt;=30,$AT$3&lt;=BI$7),ROUND(BI144*($AP$3+#REF!),-1),""))</f>
        <v/>
      </c>
      <c r="BK144" s="502"/>
      <c r="BL144" s="503" t="str">
        <f>IF($G144="","",IF(AND($G144&gt;=30,$AT$3&lt;=BK$7),ROUND(BK144*($AP$3+#REF!),-1),""))</f>
        <v/>
      </c>
      <c r="BM144" s="503"/>
      <c r="BN144" s="503" t="str">
        <f>IF($G144="","",IF(AND($G144&gt;=30,$AT$3&lt;=BM$7),ROUND(BM144*($AP$3+#REF!),-1),""))</f>
        <v/>
      </c>
      <c r="BO144" s="502"/>
      <c r="BP144" s="503" t="str">
        <f>IF($G144="","",IF(AND($G144&gt;=30,$AT$3&lt;=BO$7),ROUND(BO144*($AP$3+#REF!),-1),""))</f>
        <v/>
      </c>
      <c r="BQ144" s="503"/>
      <c r="BR144" s="503" t="str">
        <f>IF($G144="","",IF(AND($G144&gt;=30,$AT$3&lt;=BQ$7),ROUND(BQ144*($AP$3+#REF!),-1),""))</f>
        <v/>
      </c>
      <c r="BS144" s="502"/>
      <c r="BT144" s="503" t="str">
        <f>IF($G144="","",IF(AND($G144&gt;=30,$AT$3&lt;=BS$7),ROUND(BS144*($AP$3+#REF!),-1),""))</f>
        <v/>
      </c>
      <c r="BU144" s="503"/>
      <c r="BV144" s="503" t="str">
        <f>IF($G144="","",IF(AND($G144&gt;=30,$AT$3&lt;=BU$7),ROUND(BU144*($AP$3+#REF!),-1),""))</f>
        <v/>
      </c>
      <c r="BW144" s="502"/>
      <c r="BX144" s="503" t="str">
        <f>IF($G144="","",IF(AND($G144&gt;=30,$AT$3&lt;=BW$7),ROUND(BW144*($AP$3+#REF!),-1),""))</f>
        <v/>
      </c>
      <c r="BY144" s="503"/>
      <c r="BZ144" s="503" t="str">
        <f>IF($G144="","",IF(AND($G144&gt;=30,$AT$3&lt;=BY$7),ROUND(BY144*($AP$3+#REF!),-1),""))</f>
        <v/>
      </c>
      <c r="CA144" s="502"/>
      <c r="CB144" s="503" t="str">
        <f>IF($G144="","",IF(AND($G144&gt;=30,$AT$3&lt;=CA$7),ROUND(CA144*($AP$3+#REF!),-1),""))</f>
        <v/>
      </c>
      <c r="CC144" s="503"/>
      <c r="CD144" s="503" t="str">
        <f>IF($G144="","",IF(AND($G144&gt;=30,$AT$3&lt;=CC$7),ROUND(CC144*($AP$3+#REF!),-1),""))</f>
        <v/>
      </c>
      <c r="CE144" s="502"/>
      <c r="CF144" s="503" t="str">
        <f>IF($G144="","",IF(AND($G144&gt;=30,$AT$3&lt;=CE$7),ROUND(CE144*($AP$3+#REF!),-1),""))</f>
        <v/>
      </c>
      <c r="CG144" s="503"/>
      <c r="CH144" s="503" t="str">
        <f>IF($G144="","",IF(AND($G144&gt;=30,$AT$3&lt;=CG$7),ROUND(CG144*($AP$3+#REF!),-1),""))</f>
        <v/>
      </c>
      <c r="CI144" s="502"/>
      <c r="CJ144" s="503" t="str">
        <f>IF($G144="","",IF(AND($G144&gt;=30,$AT$3&lt;=CI$7),ROUND(CI144*($AP$3+#REF!),-1),""))</f>
        <v/>
      </c>
      <c r="CK144" s="503"/>
      <c r="CL144" s="503" t="str">
        <f>IF($G144="","",IF(AND($G144&gt;=30,$AT$3&lt;=CK$7),ROUND(CK144*($AP$3+#REF!),-1),""))</f>
        <v/>
      </c>
      <c r="CM144" s="502"/>
      <c r="CN144" s="503" t="str">
        <f>IF($G144="","",IF(AND($G144&gt;=30,$AT$3&lt;=CM$7),ROUND(CM144*($AP$3+#REF!),-1),""))</f>
        <v/>
      </c>
      <c r="CO144" s="503"/>
      <c r="CP144" s="503" t="str">
        <f>IF($G144="","",IF(AND($G144&gt;=30,$AT$3&lt;=CO$7),ROUND(CO144*($AP$3+#REF!),-1),""))</f>
        <v/>
      </c>
      <c r="CQ144" s="502"/>
      <c r="CR144" s="503" t="str">
        <f>IF($G144="","",IF(AND($G144&gt;=30,$AT$3&lt;=CQ$7),ROUND(CQ144*($AP$3+#REF!),-1),""))</f>
        <v/>
      </c>
      <c r="CS144" s="503"/>
      <c r="CT144" s="503" t="str">
        <f>IF($G144="","",IF(AND($G144&gt;=30,$AT$3&lt;=CS$7),ROUND(CS144*($AP$3+#REF!),-1),""))</f>
        <v/>
      </c>
      <c r="CU144" s="502"/>
      <c r="CV144" s="503" t="str">
        <f>IF($G144="","",IF(AND($G144&gt;=30,$AT$3&lt;=CU$7),ROUND(CU144*($AP$3+#REF!),-1),""))</f>
        <v/>
      </c>
      <c r="CW144" s="503"/>
      <c r="CX144" s="503" t="str">
        <f>IF($G144="","",IF(AND($G144&gt;=30,$AT$3&lt;=CW$7),ROUND(CW144*($AP$3+#REF!),-1),""))</f>
        <v/>
      </c>
      <c r="CY144" s="502"/>
      <c r="CZ144" s="503" t="str">
        <f>IF($G144="","",IF(AND($G144&gt;=30,$AT$3&lt;=CY$7),ROUND(CY144*($AP$3+#REF!),-1),""))</f>
        <v/>
      </c>
      <c r="DA144" s="503"/>
      <c r="DB144" s="503" t="str">
        <f>IF($G144="","",IF(AND($G144&gt;=30,$AT$3&lt;=DA$7),ROUND(DA144*($AP$3+#REF!),-1),""))</f>
        <v/>
      </c>
      <c r="DC144" s="502"/>
      <c r="DD144" s="503" t="str">
        <f>IF($G144="","",IF(AND($G144&gt;=30,$AT$3&lt;=DC$7),ROUND(DC144*($AP$3+#REF!),-1),""))</f>
        <v/>
      </c>
      <c r="DE144" s="503"/>
      <c r="DF144" s="503" t="str">
        <f>IF($G144="","",IF(AND($G144&gt;=30,$AT$3&lt;=DE$7),ROUND(DE144*($AP$3+#REF!),-1),""))</f>
        <v/>
      </c>
      <c r="DG144" s="503"/>
      <c r="DH144" s="503" t="str">
        <f>IF($G144="","",IF(AND($G144&gt;=30,$AT$3&lt;=DG$7),ROUND(DG144*($AP$3+#REF!),-1),""))</f>
        <v/>
      </c>
      <c r="DI144" s="503"/>
      <c r="DJ144" s="503" t="str">
        <f>IF($G144="","",IF(AND($G144&gt;=30,$AT$3&lt;=DI$7),ROUND(DI144*($AP$3+#REF!),-1),""))</f>
        <v/>
      </c>
      <c r="DK144" s="503"/>
      <c r="DL144" s="503" t="str">
        <f>IF($G144="","",IF(AND($G144&gt;=30,$AT$3&lt;=DK$7),ROUND(DK144*($AP$3+#REF!),-1),""))</f>
        <v/>
      </c>
      <c r="DM144" s="503"/>
      <c r="DN144" s="503" t="str">
        <f>IF($G144="","",IF(AND($G144&gt;=30,$AT$3&lt;=DM$7),ROUND(DM144*($AP$3+#REF!),-1),""))</f>
        <v/>
      </c>
      <c r="DO144" s="503"/>
      <c r="DP144" s="503" t="str">
        <f>IF($G144="","",IF(AND($G144&gt;=30,$AT$3&lt;=DO$7),ROUND(DO144*($AP$3+#REF!),-1),""))</f>
        <v/>
      </c>
      <c r="DQ144" s="503"/>
      <c r="DR144" s="503" t="str">
        <f>IF($G144="","",IF(AND($G144&gt;=30,$AT$3&lt;=DQ$7),ROUND(DQ144*($AP$3+#REF!),-1),""))</f>
        <v/>
      </c>
      <c r="DS144" s="503"/>
      <c r="DT144" s="503" t="str">
        <f>IF($G144="","",IF(AND($G144&gt;=30,$AT$3&lt;=DS$7),ROUND(DS144*($AP$3+#REF!),-1),""))</f>
        <v/>
      </c>
      <c r="DU144" s="503"/>
      <c r="DV144" s="503" t="str">
        <f>IF($G144="","",IF(AND($G144&gt;=30,$AT$3&lt;=DU$7),ROUND(DU144*($AP$3+#REF!),-1),""))</f>
        <v/>
      </c>
      <c r="DW144" s="503"/>
      <c r="DX144" s="503" t="str">
        <f>IF($G144="","",IF(AND($G144&gt;=30,$AT$3&lt;=DW$7),ROUND(DW144*($AP$3+#REF!),-1),""))</f>
        <v/>
      </c>
      <c r="DY144" s="503"/>
      <c r="DZ144" s="503" t="str">
        <f>IF($G144="","",IF(AND($G144&gt;=30,$AT$3&lt;=DY$7),ROUND(DY144*($AP$3+#REF!),-1),""))</f>
        <v/>
      </c>
      <c r="EA144" s="503"/>
      <c r="EB144" s="503" t="str">
        <f>IF($G144="","",IF(AND($G144&gt;=30,$AT$3&lt;=EA$7),ROUND(EA144*($AP$3+#REF!),-1),""))</f>
        <v/>
      </c>
      <c r="EC144" s="504" t="s">
        <v>621</v>
      </c>
      <c r="ED144" s="1126"/>
      <c r="EE144" s="325">
        <v>4</v>
      </c>
    </row>
    <row r="145" spans="1:135" ht="9.75" customHeight="1">
      <c r="A145" s="321" t="str">
        <f t="shared" si="37"/>
        <v/>
      </c>
      <c r="B145" s="567">
        <f>(ii!$D$13*12+V145)+1</f>
        <v>39</v>
      </c>
      <c r="C145" s="337">
        <f t="shared" si="44"/>
        <v>46538</v>
      </c>
      <c r="D145" s="484">
        <f t="shared" si="39"/>
        <v>2027</v>
      </c>
      <c r="E145" s="484">
        <f t="shared" si="45"/>
        <v>0.41666666666666669</v>
      </c>
      <c r="F145" s="484">
        <f t="shared" si="41"/>
        <v>2027.4166666666667</v>
      </c>
      <c r="G145" s="485" t="str">
        <f>IF(OR(C145&lt;$I$2,C145&gt;$J$3),"",(ii!$D$13*12+V145+1)/12)</f>
        <v/>
      </c>
      <c r="H145" s="486"/>
      <c r="I145" s="486"/>
      <c r="J145" s="507"/>
      <c r="K145" s="508"/>
      <c r="L145" s="548"/>
      <c r="M145" s="520" t="str">
        <f t="shared" si="32"/>
        <v/>
      </c>
      <c r="N145" s="490" t="s">
        <v>621</v>
      </c>
      <c r="O145" s="490" t="str">
        <f t="shared" si="42"/>
        <v/>
      </c>
      <c r="P145" s="507"/>
      <c r="Q145" s="507"/>
      <c r="R145" s="509" t="str">
        <f t="shared" si="43"/>
        <v/>
      </c>
      <c r="S145" s="550" t="str">
        <f t="shared" si="38"/>
        <v/>
      </c>
      <c r="T145" s="550" t="str">
        <f t="shared" si="36"/>
        <v/>
      </c>
      <c r="U145" s="521" t="str">
        <f>IF(H145="","",#REF!*12+#REF!+#REF!*12+#REF!)</f>
        <v/>
      </c>
      <c r="V145" s="338">
        <f>IF(ii!$J$3&gt;gg!C145,"",IF(AND((YEAR(C145)=YEAR($I$2)),MONTH(C145)=MONTH($I$2)),ii!$B$14*12+ii!$C$14+ii!$B$15*12+ii!$C$15-1,V144+1))</f>
        <v>38</v>
      </c>
      <c r="W145" s="339">
        <f t="shared" si="31"/>
        <v>3.1666666666666665</v>
      </c>
      <c r="X145" s="494" t="s">
        <v>621</v>
      </c>
      <c r="Y145" s="495" t="s">
        <v>621</v>
      </c>
      <c r="Z145" s="496"/>
      <c r="AA145" s="497"/>
      <c r="AB145" s="523" t="e">
        <f t="shared" si="35"/>
        <v>#VALUE!</v>
      </c>
      <c r="AC145" s="551" t="str">
        <f t="shared" si="33"/>
        <v/>
      </c>
      <c r="AD145" s="524" t="str">
        <f t="shared" si="34"/>
        <v/>
      </c>
      <c r="AE145" s="525" t="s">
        <v>621</v>
      </c>
      <c r="AF145" s="500" t="s">
        <v>621</v>
      </c>
      <c r="AG145" s="556" t="s">
        <v>621</v>
      </c>
      <c r="AH145" s="503" t="str">
        <f>IF($G145="","",IF(AND($G145&gt;=30,$AT$3&lt;=AG$7),ROUND(AG145*($AP$3+#REF!),-1),""))</f>
        <v/>
      </c>
      <c r="AI145" s="506" t="s">
        <v>621</v>
      </c>
      <c r="AJ145" s="503" t="str">
        <f>IF($G145="","",IF(AND($G145&gt;=30,$AT$3&lt;=AI$7),ROUND(AI145*($AP$3+#REF!),-1),""))</f>
        <v/>
      </c>
      <c r="AK145" s="506" t="s">
        <v>621</v>
      </c>
      <c r="AL145" s="503" t="str">
        <f>IF($G145="","",IF(AND($G145&gt;=30,$AT$3&lt;=AK$7),ROUND(AK145*($AP$3+#REF!),-1),""))</f>
        <v/>
      </c>
      <c r="AM145" s="506" t="s">
        <v>621</v>
      </c>
      <c r="AN145" s="503" t="str">
        <f>IF($G145="","",IF(AND($G145&gt;=30,$AT$3&lt;=AM$7),ROUND(AM145*($AP$3+#REF!),-1),""))</f>
        <v/>
      </c>
      <c r="AO145" s="503" t="e">
        <v>#REF!</v>
      </c>
      <c r="AP145" s="503" t="str">
        <f>IF($G145="","",IF(AND($G145&gt;=30,$AT$3&lt;=AO$7),ROUND(AO145*($AP$3+#REF!),-1),""))</f>
        <v/>
      </c>
      <c r="AQ145" s="503" t="s">
        <v>621</v>
      </c>
      <c r="AR145" s="503" t="str">
        <f>IF($G145="","",IF(AND($G145&gt;=30,$AT$3&lt;=AQ$7),ROUND(AQ145*($AP$3+#REF!),-1),""))</f>
        <v/>
      </c>
      <c r="AS145" s="503" t="s">
        <v>621</v>
      </c>
      <c r="AT145" s="503" t="str">
        <f>IF($G145="","",IF(AND($G145&gt;=30,$AT$3&lt;=AS$7),ROUND(AS145*($AP$3+#REF!),-1),""))</f>
        <v/>
      </c>
      <c r="AU145" s="503" t="s">
        <v>621</v>
      </c>
      <c r="AV145" s="503" t="str">
        <f>IF($G145="","",IF(AND($G145&gt;=30,$AT$3&lt;=AU$7),ROUND(AU145*($AP$3+#REF!),-1),""))</f>
        <v/>
      </c>
      <c r="AW145" s="503" t="s">
        <v>621</v>
      </c>
      <c r="AX145" s="503" t="str">
        <f>IF($G145="","",IF(AND($G145&gt;=30,$AT$3&lt;=AW$7),ROUND(AW145*($AP$3+#REF!),-1),""))</f>
        <v/>
      </c>
      <c r="AY145" s="503" t="s">
        <v>621</v>
      </c>
      <c r="AZ145" s="503" t="str">
        <f>IF($G145="","",IF(AND($G145&gt;=30,$AT$3&lt;=AY$7),ROUND(AY145*($AP$3+#REF!),-1),""))</f>
        <v/>
      </c>
      <c r="BA145" s="503" t="s">
        <v>621</v>
      </c>
      <c r="BB145" s="503" t="str">
        <f>IF($G145="","",IF(AND($G145&gt;=30,$AT$3&lt;=BA$7),ROUND(BA145*($AP$3+#REF!),-1),""))</f>
        <v/>
      </c>
      <c r="BC145" s="517" t="e">
        <v>#REF!</v>
      </c>
      <c r="BD145" s="503" t="str">
        <f>IF($G145="","",IF(AND($G145&gt;=30,$AT$3&lt;=BC$7),ROUND(BC145*($AP$3+#REF!),-1),""))</f>
        <v/>
      </c>
      <c r="BE145" s="503"/>
      <c r="BF145" s="503" t="str">
        <f>IF($G145="","",IF(AND($G145&gt;=30,$AT$3&lt;=BE$7),ROUND(BE145*($AP$3+#REF!),-1),""))</f>
        <v/>
      </c>
      <c r="BG145" s="502"/>
      <c r="BH145" s="503" t="str">
        <f>IF($G145="","",IF(AND($G145&gt;=30,$AT$3&lt;=BG$7),ROUND(BG145*($AP$3+#REF!),-1),""))</f>
        <v/>
      </c>
      <c r="BI145" s="503"/>
      <c r="BJ145" s="503" t="str">
        <f>IF($G145="","",IF(AND($G145&gt;=30,$AT$3&lt;=BI$7),ROUND(BI145*($AP$3+#REF!),-1),""))</f>
        <v/>
      </c>
      <c r="BK145" s="502"/>
      <c r="BL145" s="503" t="str">
        <f>IF($G145="","",IF(AND($G145&gt;=30,$AT$3&lt;=BK$7),ROUND(BK145*($AP$3+#REF!),-1),""))</f>
        <v/>
      </c>
      <c r="BM145" s="503"/>
      <c r="BN145" s="503" t="str">
        <f>IF($G145="","",IF(AND($G145&gt;=30,$AT$3&lt;=BM$7),ROUND(BM145*($AP$3+#REF!),-1),""))</f>
        <v/>
      </c>
      <c r="BO145" s="502"/>
      <c r="BP145" s="503" t="str">
        <f>IF($G145="","",IF(AND($G145&gt;=30,$AT$3&lt;=BO$7),ROUND(BO145*($AP$3+#REF!),-1),""))</f>
        <v/>
      </c>
      <c r="BQ145" s="503"/>
      <c r="BR145" s="503" t="str">
        <f>IF($G145="","",IF(AND($G145&gt;=30,$AT$3&lt;=BQ$7),ROUND(BQ145*($AP$3+#REF!),-1),""))</f>
        <v/>
      </c>
      <c r="BS145" s="502"/>
      <c r="BT145" s="503" t="str">
        <f>IF($G145="","",IF(AND($G145&gt;=30,$AT$3&lt;=BS$7),ROUND(BS145*($AP$3+#REF!),-1),""))</f>
        <v/>
      </c>
      <c r="BU145" s="503"/>
      <c r="BV145" s="503" t="str">
        <f>IF($G145="","",IF(AND($G145&gt;=30,$AT$3&lt;=BU$7),ROUND(BU145*($AP$3+#REF!),-1),""))</f>
        <v/>
      </c>
      <c r="BW145" s="502"/>
      <c r="BX145" s="503" t="str">
        <f>IF($G145="","",IF(AND($G145&gt;=30,$AT$3&lt;=BW$7),ROUND(BW145*($AP$3+#REF!),-1),""))</f>
        <v/>
      </c>
      <c r="BY145" s="503"/>
      <c r="BZ145" s="503" t="str">
        <f>IF($G145="","",IF(AND($G145&gt;=30,$AT$3&lt;=BY$7),ROUND(BY145*($AP$3+#REF!),-1),""))</f>
        <v/>
      </c>
      <c r="CA145" s="502"/>
      <c r="CB145" s="503" t="str">
        <f>IF($G145="","",IF(AND($G145&gt;=30,$AT$3&lt;=CA$7),ROUND(CA145*($AP$3+#REF!),-1),""))</f>
        <v/>
      </c>
      <c r="CC145" s="503"/>
      <c r="CD145" s="503" t="str">
        <f>IF($G145="","",IF(AND($G145&gt;=30,$AT$3&lt;=CC$7),ROUND(CC145*($AP$3+#REF!),-1),""))</f>
        <v/>
      </c>
      <c r="CE145" s="502"/>
      <c r="CF145" s="503" t="str">
        <f>IF($G145="","",IF(AND($G145&gt;=30,$AT$3&lt;=CE$7),ROUND(CE145*($AP$3+#REF!),-1),""))</f>
        <v/>
      </c>
      <c r="CG145" s="503"/>
      <c r="CH145" s="503" t="str">
        <f>IF($G145="","",IF(AND($G145&gt;=30,$AT$3&lt;=CG$7),ROUND(CG145*($AP$3+#REF!),-1),""))</f>
        <v/>
      </c>
      <c r="CI145" s="502"/>
      <c r="CJ145" s="503" t="str">
        <f>IF($G145="","",IF(AND($G145&gt;=30,$AT$3&lt;=CI$7),ROUND(CI145*($AP$3+#REF!),-1),""))</f>
        <v/>
      </c>
      <c r="CK145" s="503"/>
      <c r="CL145" s="503" t="str">
        <f>IF($G145="","",IF(AND($G145&gt;=30,$AT$3&lt;=CK$7),ROUND(CK145*($AP$3+#REF!),-1),""))</f>
        <v/>
      </c>
      <c r="CM145" s="502"/>
      <c r="CN145" s="503" t="str">
        <f>IF($G145="","",IF(AND($G145&gt;=30,$AT$3&lt;=CM$7),ROUND(CM145*($AP$3+#REF!),-1),""))</f>
        <v/>
      </c>
      <c r="CO145" s="503"/>
      <c r="CP145" s="503" t="str">
        <f>IF($G145="","",IF(AND($G145&gt;=30,$AT$3&lt;=CO$7),ROUND(CO145*($AP$3+#REF!),-1),""))</f>
        <v/>
      </c>
      <c r="CQ145" s="502"/>
      <c r="CR145" s="503" t="str">
        <f>IF($G145="","",IF(AND($G145&gt;=30,$AT$3&lt;=CQ$7),ROUND(CQ145*($AP$3+#REF!),-1),""))</f>
        <v/>
      </c>
      <c r="CS145" s="503"/>
      <c r="CT145" s="503" t="str">
        <f>IF($G145="","",IF(AND($G145&gt;=30,$AT$3&lt;=CS$7),ROUND(CS145*($AP$3+#REF!),-1),""))</f>
        <v/>
      </c>
      <c r="CU145" s="502"/>
      <c r="CV145" s="503" t="str">
        <f>IF($G145="","",IF(AND($G145&gt;=30,$AT$3&lt;=CU$7),ROUND(CU145*($AP$3+#REF!),-1),""))</f>
        <v/>
      </c>
      <c r="CW145" s="503"/>
      <c r="CX145" s="503" t="str">
        <f>IF($G145="","",IF(AND($G145&gt;=30,$AT$3&lt;=CW$7),ROUND(CW145*($AP$3+#REF!),-1),""))</f>
        <v/>
      </c>
      <c r="CY145" s="502"/>
      <c r="CZ145" s="503" t="str">
        <f>IF($G145="","",IF(AND($G145&gt;=30,$AT$3&lt;=CY$7),ROUND(CY145*($AP$3+#REF!),-1),""))</f>
        <v/>
      </c>
      <c r="DA145" s="503"/>
      <c r="DB145" s="503" t="str">
        <f>IF($G145="","",IF(AND($G145&gt;=30,$AT$3&lt;=DA$7),ROUND(DA145*($AP$3+#REF!),-1),""))</f>
        <v/>
      </c>
      <c r="DC145" s="502"/>
      <c r="DD145" s="503" t="str">
        <f>IF($G145="","",IF(AND($G145&gt;=30,$AT$3&lt;=DC$7),ROUND(DC145*($AP$3+#REF!),-1),""))</f>
        <v/>
      </c>
      <c r="DE145" s="503"/>
      <c r="DF145" s="503" t="str">
        <f>IF($G145="","",IF(AND($G145&gt;=30,$AT$3&lt;=DE$7),ROUND(DE145*($AP$3+#REF!),-1),""))</f>
        <v/>
      </c>
      <c r="DG145" s="503"/>
      <c r="DH145" s="503" t="str">
        <f>IF($G145="","",IF(AND($G145&gt;=30,$AT$3&lt;=DG$7),ROUND(DG145*($AP$3+#REF!),-1),""))</f>
        <v/>
      </c>
      <c r="DI145" s="503"/>
      <c r="DJ145" s="503" t="str">
        <f>IF($G145="","",IF(AND($G145&gt;=30,$AT$3&lt;=DI$7),ROUND(DI145*($AP$3+#REF!),-1),""))</f>
        <v/>
      </c>
      <c r="DK145" s="503"/>
      <c r="DL145" s="503" t="str">
        <f>IF($G145="","",IF(AND($G145&gt;=30,$AT$3&lt;=DK$7),ROUND(DK145*($AP$3+#REF!),-1),""))</f>
        <v/>
      </c>
      <c r="DM145" s="503"/>
      <c r="DN145" s="503" t="str">
        <f>IF($G145="","",IF(AND($G145&gt;=30,$AT$3&lt;=DM$7),ROUND(DM145*($AP$3+#REF!),-1),""))</f>
        <v/>
      </c>
      <c r="DO145" s="503"/>
      <c r="DP145" s="503" t="str">
        <f>IF($G145="","",IF(AND($G145&gt;=30,$AT$3&lt;=DO$7),ROUND(DO145*($AP$3+#REF!),-1),""))</f>
        <v/>
      </c>
      <c r="DQ145" s="503"/>
      <c r="DR145" s="503" t="str">
        <f>IF($G145="","",IF(AND($G145&gt;=30,$AT$3&lt;=DQ$7),ROUND(DQ145*($AP$3+#REF!),-1),""))</f>
        <v/>
      </c>
      <c r="DS145" s="503"/>
      <c r="DT145" s="503" t="str">
        <f>IF($G145="","",IF(AND($G145&gt;=30,$AT$3&lt;=DS$7),ROUND(DS145*($AP$3+#REF!),-1),""))</f>
        <v/>
      </c>
      <c r="DU145" s="503"/>
      <c r="DV145" s="503" t="str">
        <f>IF($G145="","",IF(AND($G145&gt;=30,$AT$3&lt;=DU$7),ROUND(DU145*($AP$3+#REF!),-1),""))</f>
        <v/>
      </c>
      <c r="DW145" s="503"/>
      <c r="DX145" s="503" t="str">
        <f>IF($G145="","",IF(AND($G145&gt;=30,$AT$3&lt;=DW$7),ROUND(DW145*($AP$3+#REF!),-1),""))</f>
        <v/>
      </c>
      <c r="DY145" s="503"/>
      <c r="DZ145" s="503" t="str">
        <f>IF($G145="","",IF(AND($G145&gt;=30,$AT$3&lt;=DY$7),ROUND(DY145*($AP$3+#REF!),-1),""))</f>
        <v/>
      </c>
      <c r="EA145" s="503"/>
      <c r="EB145" s="503" t="str">
        <f>IF($G145="","",IF(AND($G145&gt;=30,$AT$3&lt;=EA$7),ROUND(EA145*($AP$3+#REF!),-1),""))</f>
        <v/>
      </c>
      <c r="EC145" s="504" t="s">
        <v>621</v>
      </c>
      <c r="ED145" s="1126"/>
      <c r="EE145" s="325">
        <v>5</v>
      </c>
    </row>
    <row r="146" spans="1:135" ht="9.75" customHeight="1">
      <c r="A146" s="321" t="str">
        <f t="shared" si="37"/>
        <v/>
      </c>
      <c r="B146" s="567">
        <f>(ii!$D$13*12+V146)+1</f>
        <v>40</v>
      </c>
      <c r="C146" s="337">
        <f t="shared" si="44"/>
        <v>46568</v>
      </c>
      <c r="D146" s="484">
        <f t="shared" si="39"/>
        <v>2027</v>
      </c>
      <c r="E146" s="484">
        <f t="shared" si="45"/>
        <v>0.5</v>
      </c>
      <c r="F146" s="484">
        <f t="shared" si="41"/>
        <v>2027.5</v>
      </c>
      <c r="G146" s="485" t="str">
        <f>IF(OR(C146&lt;$I$2,C146&gt;$J$3),"",(ii!$D$13*12+V146+1)/12)</f>
        <v/>
      </c>
      <c r="H146" s="486"/>
      <c r="I146" s="486"/>
      <c r="J146" s="487"/>
      <c r="K146" s="488"/>
      <c r="L146" s="548"/>
      <c r="M146" s="489" t="str">
        <f t="shared" si="32"/>
        <v/>
      </c>
      <c r="N146" s="490" t="s">
        <v>621</v>
      </c>
      <c r="O146" s="490" t="str">
        <f t="shared" si="42"/>
        <v/>
      </c>
      <c r="P146" s="491"/>
      <c r="Q146" s="491"/>
      <c r="R146" s="491" t="str">
        <f t="shared" si="43"/>
        <v/>
      </c>
      <c r="S146" s="528" t="str">
        <f t="shared" si="38"/>
        <v/>
      </c>
      <c r="T146" s="528" t="str">
        <f t="shared" si="36"/>
        <v/>
      </c>
      <c r="U146" s="493" t="str">
        <f>IF(H146="","",#REF!*12+#REF!+#REF!*12+#REF!)</f>
        <v/>
      </c>
      <c r="V146" s="338">
        <f>IF(ii!$J$3&gt;gg!C146,"",IF(AND((YEAR(C146)=YEAR($I$2)),MONTH(C146)=MONTH($I$2)),ii!$B$14*12+ii!$C$14+ii!$B$15*12+ii!$C$15-1,V145+1))</f>
        <v>39</v>
      </c>
      <c r="W146" s="339">
        <f t="shared" si="31"/>
        <v>3.25</v>
      </c>
      <c r="X146" s="494" t="s">
        <v>621</v>
      </c>
      <c r="Y146" s="495" t="s">
        <v>621</v>
      </c>
      <c r="Z146" s="496"/>
      <c r="AA146" s="497"/>
      <c r="AB146" s="498" t="e">
        <f t="shared" si="35"/>
        <v>#VALUE!</v>
      </c>
      <c r="AC146" s="484" t="str">
        <f t="shared" si="33"/>
        <v/>
      </c>
      <c r="AD146" s="495" t="str">
        <f t="shared" si="34"/>
        <v/>
      </c>
      <c r="AE146" s="499" t="s">
        <v>621</v>
      </c>
      <c r="AF146" s="500" t="s">
        <v>621</v>
      </c>
      <c r="AG146" s="556" t="s">
        <v>621</v>
      </c>
      <c r="AH146" s="503" t="str">
        <f>IF($G146="","",IF(AND($G146&gt;=30,$AT$3&lt;=AG$7),ROUND(AG146*($AP$3+#REF!),-1),""))</f>
        <v/>
      </c>
      <c r="AI146" s="506" t="s">
        <v>621</v>
      </c>
      <c r="AJ146" s="503" t="str">
        <f>IF($G146="","",IF(AND($G146&gt;=30,$AT$3&lt;=AI$7),ROUND(AI146*($AP$3+#REF!),-1),""))</f>
        <v/>
      </c>
      <c r="AK146" s="506" t="s">
        <v>621</v>
      </c>
      <c r="AL146" s="503" t="str">
        <f>IF($G146="","",IF(AND($G146&gt;=30,$AT$3&lt;=AK$7),ROUND(AK146*($AP$3+#REF!),-1),""))</f>
        <v/>
      </c>
      <c r="AM146" s="506" t="s">
        <v>621</v>
      </c>
      <c r="AN146" s="503" t="str">
        <f>IF($G146="","",IF(AND($G146&gt;=30,$AT$3&lt;=AM$7),ROUND(AM146*($AP$3+#REF!),-1),""))</f>
        <v/>
      </c>
      <c r="AO146" s="503" t="e">
        <v>#REF!</v>
      </c>
      <c r="AP146" s="503" t="str">
        <f>IF($G146="","",IF(AND($G146&gt;=30,$AT$3&lt;=AO$7),ROUND(AO146*($AP$3+#REF!),-1),""))</f>
        <v/>
      </c>
      <c r="AQ146" s="503" t="s">
        <v>621</v>
      </c>
      <c r="AR146" s="503" t="str">
        <f>IF($G146="","",IF(AND($G146&gt;=30,$AT$3&lt;=AQ$7),ROUND(AQ146*($AP$3+#REF!),-1),""))</f>
        <v/>
      </c>
      <c r="AS146" s="503" t="s">
        <v>621</v>
      </c>
      <c r="AT146" s="503" t="str">
        <f>IF($G146="","",IF(AND($G146&gt;=30,$AT$3&lt;=AS$7),ROUND(AS146*($AP$3+#REF!),-1),""))</f>
        <v/>
      </c>
      <c r="AU146" s="503" t="s">
        <v>621</v>
      </c>
      <c r="AV146" s="503" t="str">
        <f>IF($G146="","",IF(AND($G146&gt;=30,$AT$3&lt;=AU$7),ROUND(AU146*($AP$3+#REF!),-1),""))</f>
        <v/>
      </c>
      <c r="AW146" s="503" t="s">
        <v>621</v>
      </c>
      <c r="AX146" s="503" t="str">
        <f>IF($G146="","",IF(AND($G146&gt;=30,$AT$3&lt;=AW$7),ROUND(AW146*($AP$3+#REF!),-1),""))</f>
        <v/>
      </c>
      <c r="AY146" s="503" t="s">
        <v>621</v>
      </c>
      <c r="AZ146" s="503" t="str">
        <f>IF($G146="","",IF(AND($G146&gt;=30,$AT$3&lt;=AY$7),ROUND(AY146*($AP$3+#REF!),-1),""))</f>
        <v/>
      </c>
      <c r="BA146" s="503" t="s">
        <v>621</v>
      </c>
      <c r="BB146" s="503" t="str">
        <f>IF($G146="","",IF(AND($G146&gt;=30,$AT$3&lt;=BA$7),ROUND(BA146*($AP$3+#REF!),-1),""))</f>
        <v/>
      </c>
      <c r="BC146" s="517" t="e">
        <v>#REF!</v>
      </c>
      <c r="BD146" s="503" t="str">
        <f>IF($G146="","",IF(AND($G146&gt;=30,$AT$3&lt;=BC$7),ROUND(BC146*($AP$3+#REF!),-1),""))</f>
        <v/>
      </c>
      <c r="BE146" s="503"/>
      <c r="BF146" s="503" t="str">
        <f>IF($G146="","",IF(AND($G146&gt;=30,$AT$3&lt;=BE$7),ROUND(BE146*($AP$3+#REF!),-1),""))</f>
        <v/>
      </c>
      <c r="BG146" s="502"/>
      <c r="BH146" s="503" t="str">
        <f>IF($G146="","",IF(AND($G146&gt;=30,$AT$3&lt;=BG$7),ROUND(BG146*($AP$3+#REF!),-1),""))</f>
        <v/>
      </c>
      <c r="BI146" s="503"/>
      <c r="BJ146" s="503" t="str">
        <f>IF($G146="","",IF(AND($G146&gt;=30,$AT$3&lt;=BI$7),ROUND(BI146*($AP$3+#REF!),-1),""))</f>
        <v/>
      </c>
      <c r="BK146" s="502"/>
      <c r="BL146" s="503" t="str">
        <f>IF($G146="","",IF(AND($G146&gt;=30,$AT$3&lt;=BK$7),ROUND(BK146*($AP$3+#REF!),-1),""))</f>
        <v/>
      </c>
      <c r="BM146" s="503"/>
      <c r="BN146" s="503" t="str">
        <f>IF($G146="","",IF(AND($G146&gt;=30,$AT$3&lt;=BM$7),ROUND(BM146*($AP$3+#REF!),-1),""))</f>
        <v/>
      </c>
      <c r="BO146" s="502"/>
      <c r="BP146" s="503" t="str">
        <f>IF($G146="","",IF(AND($G146&gt;=30,$AT$3&lt;=BO$7),ROUND(BO146*($AP$3+#REF!),-1),""))</f>
        <v/>
      </c>
      <c r="BQ146" s="503"/>
      <c r="BR146" s="503" t="str">
        <f>IF($G146="","",IF(AND($G146&gt;=30,$AT$3&lt;=BQ$7),ROUND(BQ146*($AP$3+#REF!),-1),""))</f>
        <v/>
      </c>
      <c r="BS146" s="502"/>
      <c r="BT146" s="503" t="str">
        <f>IF($G146="","",IF(AND($G146&gt;=30,$AT$3&lt;=BS$7),ROUND(BS146*($AP$3+#REF!),-1),""))</f>
        <v/>
      </c>
      <c r="BU146" s="503"/>
      <c r="BV146" s="503" t="str">
        <f>IF($G146="","",IF(AND($G146&gt;=30,$AT$3&lt;=BU$7),ROUND(BU146*($AP$3+#REF!),-1),""))</f>
        <v/>
      </c>
      <c r="BW146" s="502"/>
      <c r="BX146" s="503" t="str">
        <f>IF($G146="","",IF(AND($G146&gt;=30,$AT$3&lt;=BW$7),ROUND(BW146*($AP$3+#REF!),-1),""))</f>
        <v/>
      </c>
      <c r="BY146" s="503"/>
      <c r="BZ146" s="503" t="str">
        <f>IF($G146="","",IF(AND($G146&gt;=30,$AT$3&lt;=BY$7),ROUND(BY146*($AP$3+#REF!),-1),""))</f>
        <v/>
      </c>
      <c r="CA146" s="502"/>
      <c r="CB146" s="503" t="str">
        <f>IF($G146="","",IF(AND($G146&gt;=30,$AT$3&lt;=CA$7),ROUND(CA146*($AP$3+#REF!),-1),""))</f>
        <v/>
      </c>
      <c r="CC146" s="503"/>
      <c r="CD146" s="503" t="str">
        <f>IF($G146="","",IF(AND($G146&gt;=30,$AT$3&lt;=CC$7),ROUND(CC146*($AP$3+#REF!),-1),""))</f>
        <v/>
      </c>
      <c r="CE146" s="502"/>
      <c r="CF146" s="503" t="str">
        <f>IF($G146="","",IF(AND($G146&gt;=30,$AT$3&lt;=CE$7),ROUND(CE146*($AP$3+#REF!),-1),""))</f>
        <v/>
      </c>
      <c r="CG146" s="503"/>
      <c r="CH146" s="503" t="str">
        <f>IF($G146="","",IF(AND($G146&gt;=30,$AT$3&lt;=CG$7),ROUND(CG146*($AP$3+#REF!),-1),""))</f>
        <v/>
      </c>
      <c r="CI146" s="502"/>
      <c r="CJ146" s="503" t="str">
        <f>IF($G146="","",IF(AND($G146&gt;=30,$AT$3&lt;=CI$7),ROUND(CI146*($AP$3+#REF!),-1),""))</f>
        <v/>
      </c>
      <c r="CK146" s="503"/>
      <c r="CL146" s="503" t="str">
        <f>IF($G146="","",IF(AND($G146&gt;=30,$AT$3&lt;=CK$7),ROUND(CK146*($AP$3+#REF!),-1),""))</f>
        <v/>
      </c>
      <c r="CM146" s="502"/>
      <c r="CN146" s="503" t="str">
        <f>IF($G146="","",IF(AND($G146&gt;=30,$AT$3&lt;=CM$7),ROUND(CM146*($AP$3+#REF!),-1),""))</f>
        <v/>
      </c>
      <c r="CO146" s="503"/>
      <c r="CP146" s="503" t="str">
        <f>IF($G146="","",IF(AND($G146&gt;=30,$AT$3&lt;=CO$7),ROUND(CO146*($AP$3+#REF!),-1),""))</f>
        <v/>
      </c>
      <c r="CQ146" s="502"/>
      <c r="CR146" s="503" t="str">
        <f>IF($G146="","",IF(AND($G146&gt;=30,$AT$3&lt;=CQ$7),ROUND(CQ146*($AP$3+#REF!),-1),""))</f>
        <v/>
      </c>
      <c r="CS146" s="503"/>
      <c r="CT146" s="503" t="str">
        <f>IF($G146="","",IF(AND($G146&gt;=30,$AT$3&lt;=CS$7),ROUND(CS146*($AP$3+#REF!),-1),""))</f>
        <v/>
      </c>
      <c r="CU146" s="502"/>
      <c r="CV146" s="503" t="str">
        <f>IF($G146="","",IF(AND($G146&gt;=30,$AT$3&lt;=CU$7),ROUND(CU146*($AP$3+#REF!),-1),""))</f>
        <v/>
      </c>
      <c r="CW146" s="503"/>
      <c r="CX146" s="503" t="str">
        <f>IF($G146="","",IF(AND($G146&gt;=30,$AT$3&lt;=CW$7),ROUND(CW146*($AP$3+#REF!),-1),""))</f>
        <v/>
      </c>
      <c r="CY146" s="502"/>
      <c r="CZ146" s="503" t="str">
        <f>IF($G146="","",IF(AND($G146&gt;=30,$AT$3&lt;=CY$7),ROUND(CY146*($AP$3+#REF!),-1),""))</f>
        <v/>
      </c>
      <c r="DA146" s="503"/>
      <c r="DB146" s="503" t="str">
        <f>IF($G146="","",IF(AND($G146&gt;=30,$AT$3&lt;=DA$7),ROUND(DA146*($AP$3+#REF!),-1),""))</f>
        <v/>
      </c>
      <c r="DC146" s="502"/>
      <c r="DD146" s="503" t="str">
        <f>IF($G146="","",IF(AND($G146&gt;=30,$AT$3&lt;=DC$7),ROUND(DC146*($AP$3+#REF!),-1),""))</f>
        <v/>
      </c>
      <c r="DE146" s="503"/>
      <c r="DF146" s="503" t="str">
        <f>IF($G146="","",IF(AND($G146&gt;=30,$AT$3&lt;=DE$7),ROUND(DE146*($AP$3+#REF!),-1),""))</f>
        <v/>
      </c>
      <c r="DG146" s="503"/>
      <c r="DH146" s="503" t="str">
        <f>IF($G146="","",IF(AND($G146&gt;=30,$AT$3&lt;=DG$7),ROUND(DG146*($AP$3+#REF!),-1),""))</f>
        <v/>
      </c>
      <c r="DI146" s="503"/>
      <c r="DJ146" s="503" t="str">
        <f>IF($G146="","",IF(AND($G146&gt;=30,$AT$3&lt;=DI$7),ROUND(DI146*($AP$3+#REF!),-1),""))</f>
        <v/>
      </c>
      <c r="DK146" s="503"/>
      <c r="DL146" s="503" t="str">
        <f>IF($G146="","",IF(AND($G146&gt;=30,$AT$3&lt;=DK$7),ROUND(DK146*($AP$3+#REF!),-1),""))</f>
        <v/>
      </c>
      <c r="DM146" s="503"/>
      <c r="DN146" s="503" t="str">
        <f>IF($G146="","",IF(AND($G146&gt;=30,$AT$3&lt;=DM$7),ROUND(DM146*($AP$3+#REF!),-1),""))</f>
        <v/>
      </c>
      <c r="DO146" s="503"/>
      <c r="DP146" s="503" t="str">
        <f>IF($G146="","",IF(AND($G146&gt;=30,$AT$3&lt;=DO$7),ROUND(DO146*($AP$3+#REF!),-1),""))</f>
        <v/>
      </c>
      <c r="DQ146" s="503"/>
      <c r="DR146" s="503" t="str">
        <f>IF($G146="","",IF(AND($G146&gt;=30,$AT$3&lt;=DQ$7),ROUND(DQ146*($AP$3+#REF!),-1),""))</f>
        <v/>
      </c>
      <c r="DS146" s="503"/>
      <c r="DT146" s="503" t="str">
        <f>IF($G146="","",IF(AND($G146&gt;=30,$AT$3&lt;=DS$7),ROUND(DS146*($AP$3+#REF!),-1),""))</f>
        <v/>
      </c>
      <c r="DU146" s="503"/>
      <c r="DV146" s="503" t="str">
        <f>IF($G146="","",IF(AND($G146&gt;=30,$AT$3&lt;=DU$7),ROUND(DU146*($AP$3+#REF!),-1),""))</f>
        <v/>
      </c>
      <c r="DW146" s="503"/>
      <c r="DX146" s="503" t="str">
        <f>IF($G146="","",IF(AND($G146&gt;=30,$AT$3&lt;=DW$7),ROUND(DW146*($AP$3+#REF!),-1),""))</f>
        <v/>
      </c>
      <c r="DY146" s="503"/>
      <c r="DZ146" s="503" t="str">
        <f>IF($G146="","",IF(AND($G146&gt;=30,$AT$3&lt;=DY$7),ROUND(DY146*($AP$3+#REF!),-1),""))</f>
        <v/>
      </c>
      <c r="EA146" s="503"/>
      <c r="EB146" s="503" t="str">
        <f>IF($G146="","",IF(AND($G146&gt;=30,$AT$3&lt;=EA$7),ROUND(EA146*($AP$3+#REF!),-1),""))</f>
        <v/>
      </c>
      <c r="EC146" s="504" t="s">
        <v>621</v>
      </c>
      <c r="ED146" s="1126"/>
      <c r="EE146" s="325">
        <v>6</v>
      </c>
    </row>
    <row r="147" spans="1:135" ht="9.75" customHeight="1">
      <c r="A147" s="321" t="str">
        <f t="shared" si="37"/>
        <v/>
      </c>
      <c r="B147" s="567">
        <f>(ii!$D$13*12+V147)+1</f>
        <v>41</v>
      </c>
      <c r="C147" s="337">
        <f t="shared" si="44"/>
        <v>46599</v>
      </c>
      <c r="D147" s="484">
        <f t="shared" si="39"/>
        <v>2027</v>
      </c>
      <c r="E147" s="484">
        <f t="shared" si="45"/>
        <v>0.58333333333333337</v>
      </c>
      <c r="F147" s="484">
        <f t="shared" si="41"/>
        <v>2027.5833333333333</v>
      </c>
      <c r="G147" s="485" t="str">
        <f>IF(OR(C147&lt;$I$2,C147&gt;$J$3),"",(ii!$D$13*12+V147+1)/12)</f>
        <v/>
      </c>
      <c r="H147" s="486"/>
      <c r="I147" s="486"/>
      <c r="J147" s="487"/>
      <c r="K147" s="488"/>
      <c r="L147" s="548"/>
      <c r="M147" s="489" t="str">
        <f t="shared" si="32"/>
        <v/>
      </c>
      <c r="N147" s="490" t="s">
        <v>621</v>
      </c>
      <c r="O147" s="490" t="str">
        <f t="shared" si="42"/>
        <v/>
      </c>
      <c r="P147" s="491"/>
      <c r="Q147" s="491"/>
      <c r="R147" s="491" t="str">
        <f t="shared" si="43"/>
        <v/>
      </c>
      <c r="S147" s="528" t="str">
        <f t="shared" si="38"/>
        <v/>
      </c>
      <c r="T147" s="528" t="str">
        <f t="shared" si="36"/>
        <v/>
      </c>
      <c r="U147" s="493" t="str">
        <f>IF(H147="","",#REF!*12+#REF!+#REF!*12+#REF!)</f>
        <v/>
      </c>
      <c r="V147" s="338">
        <f>IF(ii!$J$3&gt;gg!C147,"",IF(AND((YEAR(C147)=YEAR($I$2)),MONTH(C147)=MONTH($I$2)),ii!$B$14*12+ii!$C$14+ii!$B$15*12+ii!$C$15-1,V146+1))</f>
        <v>40</v>
      </c>
      <c r="W147" s="339">
        <f t="shared" ref="W147:W210" si="46">IF(V148="","",(V148-1)/12)</f>
        <v>3.3333333333333335</v>
      </c>
      <c r="X147" s="494" t="s">
        <v>621</v>
      </c>
      <c r="Y147" s="495" t="s">
        <v>621</v>
      </c>
      <c r="Z147" s="496"/>
      <c r="AA147" s="497"/>
      <c r="AB147" s="498" t="e">
        <f t="shared" si="35"/>
        <v>#VALUE!</v>
      </c>
      <c r="AC147" s="484" t="str">
        <f t="shared" si="33"/>
        <v/>
      </c>
      <c r="AD147" s="495" t="str">
        <f t="shared" si="34"/>
        <v/>
      </c>
      <c r="AE147" s="499" t="s">
        <v>621</v>
      </c>
      <c r="AF147" s="500" t="s">
        <v>621</v>
      </c>
      <c r="AG147" s="556" t="s">
        <v>621</v>
      </c>
      <c r="AH147" s="503" t="str">
        <f>IF($G147="","",IF(AND($G147&gt;=30,$AT$3&lt;=AG$7),ROUND(AG147*($AP$3+#REF!),-1),""))</f>
        <v/>
      </c>
      <c r="AI147" s="506" t="s">
        <v>621</v>
      </c>
      <c r="AJ147" s="503" t="str">
        <f>IF($G147="","",IF(AND($G147&gt;=30,$AT$3&lt;=AI$7),ROUND(AI147*($AP$3+#REF!),-1),""))</f>
        <v/>
      </c>
      <c r="AK147" s="506" t="s">
        <v>621</v>
      </c>
      <c r="AL147" s="503" t="str">
        <f>IF($G147="","",IF(AND($G147&gt;=30,$AT$3&lt;=AK$7),ROUND(AK147*($AP$3+#REF!),-1),""))</f>
        <v/>
      </c>
      <c r="AM147" s="506" t="s">
        <v>621</v>
      </c>
      <c r="AN147" s="503" t="str">
        <f>IF($G147="","",IF(AND($G147&gt;=30,$AT$3&lt;=AM$7),ROUND(AM147*($AP$3+#REF!),-1),""))</f>
        <v/>
      </c>
      <c r="AO147" s="503" t="e">
        <v>#REF!</v>
      </c>
      <c r="AP147" s="503" t="str">
        <f>IF($G147="","",IF(AND($G147&gt;=30,$AT$3&lt;=AO$7),ROUND(AO147*($AP$3+#REF!),-1),""))</f>
        <v/>
      </c>
      <c r="AQ147" s="503" t="s">
        <v>621</v>
      </c>
      <c r="AR147" s="503" t="str">
        <f>IF($G147="","",IF(AND($G147&gt;=30,$AT$3&lt;=AQ$7),ROUND(AQ147*($AP$3+#REF!),-1),""))</f>
        <v/>
      </c>
      <c r="AS147" s="503" t="s">
        <v>621</v>
      </c>
      <c r="AT147" s="503" t="str">
        <f>IF($G147="","",IF(AND($G147&gt;=30,$AT$3&lt;=AS$7),ROUND(AS147*($AP$3+#REF!),-1),""))</f>
        <v/>
      </c>
      <c r="AU147" s="503" t="s">
        <v>621</v>
      </c>
      <c r="AV147" s="503" t="str">
        <f>IF($G147="","",IF(AND($G147&gt;=30,$AT$3&lt;=AU$7),ROUND(AU147*($AP$3+#REF!),-1),""))</f>
        <v/>
      </c>
      <c r="AW147" s="503" t="s">
        <v>621</v>
      </c>
      <c r="AX147" s="503" t="str">
        <f>IF($G147="","",IF(AND($G147&gt;=30,$AT$3&lt;=AW$7),ROUND(AW147*($AP$3+#REF!),-1),""))</f>
        <v/>
      </c>
      <c r="AY147" s="503" t="s">
        <v>621</v>
      </c>
      <c r="AZ147" s="503" t="str">
        <f>IF($G147="","",IF(AND($G147&gt;=30,$AT$3&lt;=AY$7),ROUND(AY147*($AP$3+#REF!),-1),""))</f>
        <v/>
      </c>
      <c r="BA147" s="503" t="s">
        <v>621</v>
      </c>
      <c r="BB147" s="503" t="str">
        <f>IF($G147="","",IF(AND($G147&gt;=30,$AT$3&lt;=BA$7),ROUND(BA147*($AP$3+#REF!),-1),""))</f>
        <v/>
      </c>
      <c r="BC147" s="517" t="e">
        <v>#REF!</v>
      </c>
      <c r="BD147" s="503" t="str">
        <f>IF($G147="","",IF(AND($G147&gt;=30,$AT$3&lt;=BC$7),ROUND(BC147*($AP$3+#REF!),-1),""))</f>
        <v/>
      </c>
      <c r="BE147" s="503"/>
      <c r="BF147" s="503" t="str">
        <f>IF($G147="","",IF(AND($G147&gt;=30,$AT$3&lt;=BE$7),ROUND(BE147*($AP$3+#REF!),-1),""))</f>
        <v/>
      </c>
      <c r="BG147" s="502"/>
      <c r="BH147" s="503" t="str">
        <f>IF($G147="","",IF(AND($G147&gt;=30,$AT$3&lt;=BG$7),ROUND(BG147*($AP$3+#REF!),-1),""))</f>
        <v/>
      </c>
      <c r="BI147" s="503"/>
      <c r="BJ147" s="503" t="str">
        <f>IF($G147="","",IF(AND($G147&gt;=30,$AT$3&lt;=BI$7),ROUND(BI147*($AP$3+#REF!),-1),""))</f>
        <v/>
      </c>
      <c r="BK147" s="502"/>
      <c r="BL147" s="503" t="str">
        <f>IF($G147="","",IF(AND($G147&gt;=30,$AT$3&lt;=BK$7),ROUND(BK147*($AP$3+#REF!),-1),""))</f>
        <v/>
      </c>
      <c r="BM147" s="503"/>
      <c r="BN147" s="503" t="str">
        <f>IF($G147="","",IF(AND($G147&gt;=30,$AT$3&lt;=BM$7),ROUND(BM147*($AP$3+#REF!),-1),""))</f>
        <v/>
      </c>
      <c r="BO147" s="502"/>
      <c r="BP147" s="503" t="str">
        <f>IF($G147="","",IF(AND($G147&gt;=30,$AT$3&lt;=BO$7),ROUND(BO147*($AP$3+#REF!),-1),""))</f>
        <v/>
      </c>
      <c r="BQ147" s="503"/>
      <c r="BR147" s="503" t="str">
        <f>IF($G147="","",IF(AND($G147&gt;=30,$AT$3&lt;=BQ$7),ROUND(BQ147*($AP$3+#REF!),-1),""))</f>
        <v/>
      </c>
      <c r="BS147" s="502"/>
      <c r="BT147" s="503" t="str">
        <f>IF($G147="","",IF(AND($G147&gt;=30,$AT$3&lt;=BS$7),ROUND(BS147*($AP$3+#REF!),-1),""))</f>
        <v/>
      </c>
      <c r="BU147" s="503"/>
      <c r="BV147" s="503" t="str">
        <f>IF($G147="","",IF(AND($G147&gt;=30,$AT$3&lt;=BU$7),ROUND(BU147*($AP$3+#REF!),-1),""))</f>
        <v/>
      </c>
      <c r="BW147" s="502"/>
      <c r="BX147" s="503" t="str">
        <f>IF($G147="","",IF(AND($G147&gt;=30,$AT$3&lt;=BW$7),ROUND(BW147*($AP$3+#REF!),-1),""))</f>
        <v/>
      </c>
      <c r="BY147" s="503"/>
      <c r="BZ147" s="503" t="str">
        <f>IF($G147="","",IF(AND($G147&gt;=30,$AT$3&lt;=BY$7),ROUND(BY147*($AP$3+#REF!),-1),""))</f>
        <v/>
      </c>
      <c r="CA147" s="502"/>
      <c r="CB147" s="503" t="str">
        <f>IF($G147="","",IF(AND($G147&gt;=30,$AT$3&lt;=CA$7),ROUND(CA147*($AP$3+#REF!),-1),""))</f>
        <v/>
      </c>
      <c r="CC147" s="503"/>
      <c r="CD147" s="503" t="str">
        <f>IF($G147="","",IF(AND($G147&gt;=30,$AT$3&lt;=CC$7),ROUND(CC147*($AP$3+#REF!),-1),""))</f>
        <v/>
      </c>
      <c r="CE147" s="502"/>
      <c r="CF147" s="503" t="str">
        <f>IF($G147="","",IF(AND($G147&gt;=30,$AT$3&lt;=CE$7),ROUND(CE147*($AP$3+#REF!),-1),""))</f>
        <v/>
      </c>
      <c r="CG147" s="503"/>
      <c r="CH147" s="503" t="str">
        <f>IF($G147="","",IF(AND($G147&gt;=30,$AT$3&lt;=CG$7),ROUND(CG147*($AP$3+#REF!),-1),""))</f>
        <v/>
      </c>
      <c r="CI147" s="502"/>
      <c r="CJ147" s="503" t="str">
        <f>IF($G147="","",IF(AND($G147&gt;=30,$AT$3&lt;=CI$7),ROUND(CI147*($AP$3+#REF!),-1),""))</f>
        <v/>
      </c>
      <c r="CK147" s="503"/>
      <c r="CL147" s="503" t="str">
        <f>IF($G147="","",IF(AND($G147&gt;=30,$AT$3&lt;=CK$7),ROUND(CK147*($AP$3+#REF!),-1),""))</f>
        <v/>
      </c>
      <c r="CM147" s="502"/>
      <c r="CN147" s="503" t="str">
        <f>IF($G147="","",IF(AND($G147&gt;=30,$AT$3&lt;=CM$7),ROUND(CM147*($AP$3+#REF!),-1),""))</f>
        <v/>
      </c>
      <c r="CO147" s="503"/>
      <c r="CP147" s="503" t="str">
        <f>IF($G147="","",IF(AND($G147&gt;=30,$AT$3&lt;=CO$7),ROUND(CO147*($AP$3+#REF!),-1),""))</f>
        <v/>
      </c>
      <c r="CQ147" s="502"/>
      <c r="CR147" s="503" t="str">
        <f>IF($G147="","",IF(AND($G147&gt;=30,$AT$3&lt;=CQ$7),ROUND(CQ147*($AP$3+#REF!),-1),""))</f>
        <v/>
      </c>
      <c r="CS147" s="503"/>
      <c r="CT147" s="503" t="str">
        <f>IF($G147="","",IF(AND($G147&gt;=30,$AT$3&lt;=CS$7),ROUND(CS147*($AP$3+#REF!),-1),""))</f>
        <v/>
      </c>
      <c r="CU147" s="502"/>
      <c r="CV147" s="503" t="str">
        <f>IF($G147="","",IF(AND($G147&gt;=30,$AT$3&lt;=CU$7),ROUND(CU147*($AP$3+#REF!),-1),""))</f>
        <v/>
      </c>
      <c r="CW147" s="503"/>
      <c r="CX147" s="503" t="str">
        <f>IF($G147="","",IF(AND($G147&gt;=30,$AT$3&lt;=CW$7),ROUND(CW147*($AP$3+#REF!),-1),""))</f>
        <v/>
      </c>
      <c r="CY147" s="502"/>
      <c r="CZ147" s="503" t="str">
        <f>IF($G147="","",IF(AND($G147&gt;=30,$AT$3&lt;=CY$7),ROUND(CY147*($AP$3+#REF!),-1),""))</f>
        <v/>
      </c>
      <c r="DA147" s="503"/>
      <c r="DB147" s="503" t="str">
        <f>IF($G147="","",IF(AND($G147&gt;=30,$AT$3&lt;=DA$7),ROUND(DA147*($AP$3+#REF!),-1),""))</f>
        <v/>
      </c>
      <c r="DC147" s="502"/>
      <c r="DD147" s="503" t="str">
        <f>IF($G147="","",IF(AND($G147&gt;=30,$AT$3&lt;=DC$7),ROUND(DC147*($AP$3+#REF!),-1),""))</f>
        <v/>
      </c>
      <c r="DE147" s="503"/>
      <c r="DF147" s="503" t="str">
        <f>IF($G147="","",IF(AND($G147&gt;=30,$AT$3&lt;=DE$7),ROUND(DE147*($AP$3+#REF!),-1),""))</f>
        <v/>
      </c>
      <c r="DG147" s="503"/>
      <c r="DH147" s="503" t="str">
        <f>IF($G147="","",IF(AND($G147&gt;=30,$AT$3&lt;=DG$7),ROUND(DG147*($AP$3+#REF!),-1),""))</f>
        <v/>
      </c>
      <c r="DI147" s="503"/>
      <c r="DJ147" s="503" t="str">
        <f>IF($G147="","",IF(AND($G147&gt;=30,$AT$3&lt;=DI$7),ROUND(DI147*($AP$3+#REF!),-1),""))</f>
        <v/>
      </c>
      <c r="DK147" s="503"/>
      <c r="DL147" s="503" t="str">
        <f>IF($G147="","",IF(AND($G147&gt;=30,$AT$3&lt;=DK$7),ROUND(DK147*($AP$3+#REF!),-1),""))</f>
        <v/>
      </c>
      <c r="DM147" s="503"/>
      <c r="DN147" s="503" t="str">
        <f>IF($G147="","",IF(AND($G147&gt;=30,$AT$3&lt;=DM$7),ROUND(DM147*($AP$3+#REF!),-1),""))</f>
        <v/>
      </c>
      <c r="DO147" s="503"/>
      <c r="DP147" s="503" t="str">
        <f>IF($G147="","",IF(AND($G147&gt;=30,$AT$3&lt;=DO$7),ROUND(DO147*($AP$3+#REF!),-1),""))</f>
        <v/>
      </c>
      <c r="DQ147" s="503"/>
      <c r="DR147" s="503" t="str">
        <f>IF($G147="","",IF(AND($G147&gt;=30,$AT$3&lt;=DQ$7),ROUND(DQ147*($AP$3+#REF!),-1),""))</f>
        <v/>
      </c>
      <c r="DS147" s="503"/>
      <c r="DT147" s="503" t="str">
        <f>IF($G147="","",IF(AND($G147&gt;=30,$AT$3&lt;=DS$7),ROUND(DS147*($AP$3+#REF!),-1),""))</f>
        <v/>
      </c>
      <c r="DU147" s="503"/>
      <c r="DV147" s="503" t="str">
        <f>IF($G147="","",IF(AND($G147&gt;=30,$AT$3&lt;=DU$7),ROUND(DU147*($AP$3+#REF!),-1),""))</f>
        <v/>
      </c>
      <c r="DW147" s="503"/>
      <c r="DX147" s="503" t="str">
        <f>IF($G147="","",IF(AND($G147&gt;=30,$AT$3&lt;=DW$7),ROUND(DW147*($AP$3+#REF!),-1),""))</f>
        <v/>
      </c>
      <c r="DY147" s="503"/>
      <c r="DZ147" s="503" t="str">
        <f>IF($G147="","",IF(AND($G147&gt;=30,$AT$3&lt;=DY$7),ROUND(DY147*($AP$3+#REF!),-1),""))</f>
        <v/>
      </c>
      <c r="EA147" s="503"/>
      <c r="EB147" s="503" t="str">
        <f>IF($G147="","",IF(AND($G147&gt;=30,$AT$3&lt;=EA$7),ROUND(EA147*($AP$3+#REF!),-1),""))</f>
        <v/>
      </c>
      <c r="EC147" s="504" t="s">
        <v>621</v>
      </c>
      <c r="ED147" s="1126"/>
      <c r="EE147" s="325">
        <v>7</v>
      </c>
    </row>
    <row r="148" spans="1:135" ht="9.75" customHeight="1">
      <c r="A148" s="321" t="str">
        <f t="shared" si="37"/>
        <v/>
      </c>
      <c r="B148" s="567">
        <f>(ii!$D$13*12+V148)+1</f>
        <v>42</v>
      </c>
      <c r="C148" s="337">
        <f t="shared" si="44"/>
        <v>46630</v>
      </c>
      <c r="D148" s="484">
        <f t="shared" si="39"/>
        <v>2027</v>
      </c>
      <c r="E148" s="484">
        <f t="shared" si="45"/>
        <v>0.66666666666666663</v>
      </c>
      <c r="F148" s="484">
        <f t="shared" si="41"/>
        <v>2027.6666666666667</v>
      </c>
      <c r="G148" s="485" t="str">
        <f>IF(OR(C148&lt;$I$2,C148&gt;$J$3),"",(ii!$D$13*12+V148+1)/12)</f>
        <v/>
      </c>
      <c r="H148" s="486"/>
      <c r="I148" s="486"/>
      <c r="J148" s="487"/>
      <c r="K148" s="488"/>
      <c r="L148" s="548"/>
      <c r="M148" s="489" t="str">
        <f t="shared" si="32"/>
        <v/>
      </c>
      <c r="N148" s="490" t="s">
        <v>621</v>
      </c>
      <c r="O148" s="490" t="str">
        <f t="shared" si="42"/>
        <v/>
      </c>
      <c r="P148" s="491"/>
      <c r="Q148" s="491"/>
      <c r="R148" s="491" t="str">
        <f t="shared" si="43"/>
        <v/>
      </c>
      <c r="S148" s="528" t="str">
        <f t="shared" si="38"/>
        <v/>
      </c>
      <c r="T148" s="528" t="str">
        <f t="shared" si="36"/>
        <v/>
      </c>
      <c r="U148" s="493" t="str">
        <f>IF(H148="","",#REF!*12+#REF!+#REF!*12+#REF!)</f>
        <v/>
      </c>
      <c r="V148" s="338">
        <f>IF(ii!$J$3&gt;gg!C148,"",IF(AND((YEAR(C148)=YEAR($I$2)),MONTH(C148)=MONTH($I$2)),ii!$B$14*12+ii!$C$14+ii!$B$15*12+ii!$C$15-1,V147+1))</f>
        <v>41</v>
      </c>
      <c r="W148" s="339">
        <f t="shared" si="46"/>
        <v>3.4166666666666665</v>
      </c>
      <c r="X148" s="494" t="s">
        <v>621</v>
      </c>
      <c r="Y148" s="495" t="s">
        <v>621</v>
      </c>
      <c r="Z148" s="496"/>
      <c r="AA148" s="497"/>
      <c r="AB148" s="498" t="e">
        <f t="shared" si="35"/>
        <v>#VALUE!</v>
      </c>
      <c r="AC148" s="484" t="str">
        <f t="shared" si="33"/>
        <v/>
      </c>
      <c r="AD148" s="495" t="str">
        <f t="shared" si="34"/>
        <v/>
      </c>
      <c r="AE148" s="499" t="s">
        <v>621</v>
      </c>
      <c r="AF148" s="500" t="s">
        <v>621</v>
      </c>
      <c r="AG148" s="556" t="s">
        <v>621</v>
      </c>
      <c r="AH148" s="503" t="str">
        <f>IF($G148="","",IF(AND($G148&gt;=30,$AT$3&lt;=AG$7),ROUND(AG148*($AP$3+#REF!),-1),""))</f>
        <v/>
      </c>
      <c r="AI148" s="506" t="s">
        <v>621</v>
      </c>
      <c r="AJ148" s="503" t="str">
        <f>IF($G148="","",IF(AND($G148&gt;=30,$AT$3&lt;=AI$7),ROUND(AI148*($AP$3+#REF!),-1),""))</f>
        <v/>
      </c>
      <c r="AK148" s="506" t="s">
        <v>621</v>
      </c>
      <c r="AL148" s="503" t="str">
        <f>IF($G148="","",IF(AND($G148&gt;=30,$AT$3&lt;=AK$7),ROUND(AK148*($AP$3+#REF!),-1),""))</f>
        <v/>
      </c>
      <c r="AM148" s="506" t="s">
        <v>621</v>
      </c>
      <c r="AN148" s="503" t="str">
        <f>IF($G148="","",IF(AND($G148&gt;=30,$AT$3&lt;=AM$7),ROUND(AM148*($AP$3+#REF!),-1),""))</f>
        <v/>
      </c>
      <c r="AO148" s="503" t="e">
        <v>#REF!</v>
      </c>
      <c r="AP148" s="503" t="str">
        <f>IF($G148="","",IF(AND($G148&gt;=30,$AT$3&lt;=AO$7),ROUND(AO148*($AP$3+#REF!),-1),""))</f>
        <v/>
      </c>
      <c r="AQ148" s="503" t="s">
        <v>621</v>
      </c>
      <c r="AR148" s="503" t="str">
        <f>IF($G148="","",IF(AND($G148&gt;=30,$AT$3&lt;=AQ$7),ROUND(AQ148*($AP$3+#REF!),-1),""))</f>
        <v/>
      </c>
      <c r="AS148" s="503" t="s">
        <v>621</v>
      </c>
      <c r="AT148" s="503" t="str">
        <f>IF($G148="","",IF(AND($G148&gt;=30,$AT$3&lt;=AS$7),ROUND(AS148*($AP$3+#REF!),-1),""))</f>
        <v/>
      </c>
      <c r="AU148" s="503" t="s">
        <v>621</v>
      </c>
      <c r="AV148" s="503" t="str">
        <f>IF($G148="","",IF(AND($G148&gt;=30,$AT$3&lt;=AU$7),ROUND(AU148*($AP$3+#REF!),-1),""))</f>
        <v/>
      </c>
      <c r="AW148" s="503" t="s">
        <v>621</v>
      </c>
      <c r="AX148" s="503" t="str">
        <f>IF($G148="","",IF(AND($G148&gt;=30,$AT$3&lt;=AW$7),ROUND(AW148*($AP$3+#REF!),-1),""))</f>
        <v/>
      </c>
      <c r="AY148" s="503" t="s">
        <v>621</v>
      </c>
      <c r="AZ148" s="503" t="str">
        <f>IF($G148="","",IF(AND($G148&gt;=30,$AT$3&lt;=AY$7),ROUND(AY148*($AP$3+#REF!),-1),""))</f>
        <v/>
      </c>
      <c r="BA148" s="503" t="s">
        <v>621</v>
      </c>
      <c r="BB148" s="503" t="str">
        <f>IF($G148="","",IF(AND($G148&gt;=30,$AT$3&lt;=BA$7),ROUND(BA148*($AP$3+#REF!),-1),""))</f>
        <v/>
      </c>
      <c r="BC148" s="517" t="e">
        <v>#REF!</v>
      </c>
      <c r="BD148" s="503" t="str">
        <f>IF($G148="","",IF(AND($G148&gt;=30,$AT$3&lt;=BC$7),ROUND(BC148*($AP$3+#REF!),-1),""))</f>
        <v/>
      </c>
      <c r="BE148" s="503"/>
      <c r="BF148" s="503" t="str">
        <f>IF($G148="","",IF(AND($G148&gt;=30,$AT$3&lt;=BE$7),ROUND(BE148*($AP$3+#REF!),-1),""))</f>
        <v/>
      </c>
      <c r="BG148" s="502"/>
      <c r="BH148" s="503" t="str">
        <f>IF($G148="","",IF(AND($G148&gt;=30,$AT$3&lt;=BG$7),ROUND(BG148*($AP$3+#REF!),-1),""))</f>
        <v/>
      </c>
      <c r="BI148" s="503"/>
      <c r="BJ148" s="503" t="str">
        <f>IF($G148="","",IF(AND($G148&gt;=30,$AT$3&lt;=BI$7),ROUND(BI148*($AP$3+#REF!),-1),""))</f>
        <v/>
      </c>
      <c r="BK148" s="502"/>
      <c r="BL148" s="503" t="str">
        <f>IF($G148="","",IF(AND($G148&gt;=30,$AT$3&lt;=BK$7),ROUND(BK148*($AP$3+#REF!),-1),""))</f>
        <v/>
      </c>
      <c r="BM148" s="503"/>
      <c r="BN148" s="503" t="str">
        <f>IF($G148="","",IF(AND($G148&gt;=30,$AT$3&lt;=BM$7),ROUND(BM148*($AP$3+#REF!),-1),""))</f>
        <v/>
      </c>
      <c r="BO148" s="502"/>
      <c r="BP148" s="503" t="str">
        <f>IF($G148="","",IF(AND($G148&gt;=30,$AT$3&lt;=BO$7),ROUND(BO148*($AP$3+#REF!),-1),""))</f>
        <v/>
      </c>
      <c r="BQ148" s="503"/>
      <c r="BR148" s="503" t="str">
        <f>IF($G148="","",IF(AND($G148&gt;=30,$AT$3&lt;=BQ$7),ROUND(BQ148*($AP$3+#REF!),-1),""))</f>
        <v/>
      </c>
      <c r="BS148" s="502"/>
      <c r="BT148" s="503" t="str">
        <f>IF($G148="","",IF(AND($G148&gt;=30,$AT$3&lt;=BS$7),ROUND(BS148*($AP$3+#REF!),-1),""))</f>
        <v/>
      </c>
      <c r="BU148" s="503"/>
      <c r="BV148" s="503" t="str">
        <f>IF($G148="","",IF(AND($G148&gt;=30,$AT$3&lt;=BU$7),ROUND(BU148*($AP$3+#REF!),-1),""))</f>
        <v/>
      </c>
      <c r="BW148" s="502"/>
      <c r="BX148" s="503" t="str">
        <f>IF($G148="","",IF(AND($G148&gt;=30,$AT$3&lt;=BW$7),ROUND(BW148*($AP$3+#REF!),-1),""))</f>
        <v/>
      </c>
      <c r="BY148" s="503"/>
      <c r="BZ148" s="503" t="str">
        <f>IF($G148="","",IF(AND($G148&gt;=30,$AT$3&lt;=BY$7),ROUND(BY148*($AP$3+#REF!),-1),""))</f>
        <v/>
      </c>
      <c r="CA148" s="502"/>
      <c r="CB148" s="503" t="str">
        <f>IF($G148="","",IF(AND($G148&gt;=30,$AT$3&lt;=CA$7),ROUND(CA148*($AP$3+#REF!),-1),""))</f>
        <v/>
      </c>
      <c r="CC148" s="503"/>
      <c r="CD148" s="503" t="str">
        <f>IF($G148="","",IF(AND($G148&gt;=30,$AT$3&lt;=CC$7),ROUND(CC148*($AP$3+#REF!),-1),""))</f>
        <v/>
      </c>
      <c r="CE148" s="502"/>
      <c r="CF148" s="503" t="str">
        <f>IF($G148="","",IF(AND($G148&gt;=30,$AT$3&lt;=CE$7),ROUND(CE148*($AP$3+#REF!),-1),""))</f>
        <v/>
      </c>
      <c r="CG148" s="503"/>
      <c r="CH148" s="503" t="str">
        <f>IF($G148="","",IF(AND($G148&gt;=30,$AT$3&lt;=CG$7),ROUND(CG148*($AP$3+#REF!),-1),""))</f>
        <v/>
      </c>
      <c r="CI148" s="502"/>
      <c r="CJ148" s="503" t="str">
        <f>IF($G148="","",IF(AND($G148&gt;=30,$AT$3&lt;=CI$7),ROUND(CI148*($AP$3+#REF!),-1),""))</f>
        <v/>
      </c>
      <c r="CK148" s="503"/>
      <c r="CL148" s="503" t="str">
        <f>IF($G148="","",IF(AND($G148&gt;=30,$AT$3&lt;=CK$7),ROUND(CK148*($AP$3+#REF!),-1),""))</f>
        <v/>
      </c>
      <c r="CM148" s="502"/>
      <c r="CN148" s="503" t="str">
        <f>IF($G148="","",IF(AND($G148&gt;=30,$AT$3&lt;=CM$7),ROUND(CM148*($AP$3+#REF!),-1),""))</f>
        <v/>
      </c>
      <c r="CO148" s="503"/>
      <c r="CP148" s="503" t="str">
        <f>IF($G148="","",IF(AND($G148&gt;=30,$AT$3&lt;=CO$7),ROUND(CO148*($AP$3+#REF!),-1),""))</f>
        <v/>
      </c>
      <c r="CQ148" s="502"/>
      <c r="CR148" s="503" t="str">
        <f>IF($G148="","",IF(AND($G148&gt;=30,$AT$3&lt;=CQ$7),ROUND(CQ148*($AP$3+#REF!),-1),""))</f>
        <v/>
      </c>
      <c r="CS148" s="503"/>
      <c r="CT148" s="503" t="str">
        <f>IF($G148="","",IF(AND($G148&gt;=30,$AT$3&lt;=CS$7),ROUND(CS148*($AP$3+#REF!),-1),""))</f>
        <v/>
      </c>
      <c r="CU148" s="502"/>
      <c r="CV148" s="503" t="str">
        <f>IF($G148="","",IF(AND($G148&gt;=30,$AT$3&lt;=CU$7),ROUND(CU148*($AP$3+#REF!),-1),""))</f>
        <v/>
      </c>
      <c r="CW148" s="503"/>
      <c r="CX148" s="503" t="str">
        <f>IF($G148="","",IF(AND($G148&gt;=30,$AT$3&lt;=CW$7),ROUND(CW148*($AP$3+#REF!),-1),""))</f>
        <v/>
      </c>
      <c r="CY148" s="502"/>
      <c r="CZ148" s="503" t="str">
        <f>IF($G148="","",IF(AND($G148&gt;=30,$AT$3&lt;=CY$7),ROUND(CY148*($AP$3+#REF!),-1),""))</f>
        <v/>
      </c>
      <c r="DA148" s="503"/>
      <c r="DB148" s="503" t="str">
        <f>IF($G148="","",IF(AND($G148&gt;=30,$AT$3&lt;=DA$7),ROUND(DA148*($AP$3+#REF!),-1),""))</f>
        <v/>
      </c>
      <c r="DC148" s="502"/>
      <c r="DD148" s="503" t="str">
        <f>IF($G148="","",IF(AND($G148&gt;=30,$AT$3&lt;=DC$7),ROUND(DC148*($AP$3+#REF!),-1),""))</f>
        <v/>
      </c>
      <c r="DE148" s="503"/>
      <c r="DF148" s="503" t="str">
        <f>IF($G148="","",IF(AND($G148&gt;=30,$AT$3&lt;=DE$7),ROUND(DE148*($AP$3+#REF!),-1),""))</f>
        <v/>
      </c>
      <c r="DG148" s="503"/>
      <c r="DH148" s="503" t="str">
        <f>IF($G148="","",IF(AND($G148&gt;=30,$AT$3&lt;=DG$7),ROUND(DG148*($AP$3+#REF!),-1),""))</f>
        <v/>
      </c>
      <c r="DI148" s="503"/>
      <c r="DJ148" s="503" t="str">
        <f>IF($G148="","",IF(AND($G148&gt;=30,$AT$3&lt;=DI$7),ROUND(DI148*($AP$3+#REF!),-1),""))</f>
        <v/>
      </c>
      <c r="DK148" s="503"/>
      <c r="DL148" s="503" t="str">
        <f>IF($G148="","",IF(AND($G148&gt;=30,$AT$3&lt;=DK$7),ROUND(DK148*($AP$3+#REF!),-1),""))</f>
        <v/>
      </c>
      <c r="DM148" s="503"/>
      <c r="DN148" s="503" t="str">
        <f>IF($G148="","",IF(AND($G148&gt;=30,$AT$3&lt;=DM$7),ROUND(DM148*($AP$3+#REF!),-1),""))</f>
        <v/>
      </c>
      <c r="DO148" s="503"/>
      <c r="DP148" s="503" t="str">
        <f>IF($G148="","",IF(AND($G148&gt;=30,$AT$3&lt;=DO$7),ROUND(DO148*($AP$3+#REF!),-1),""))</f>
        <v/>
      </c>
      <c r="DQ148" s="503"/>
      <c r="DR148" s="503" t="str">
        <f>IF($G148="","",IF(AND($G148&gt;=30,$AT$3&lt;=DQ$7),ROUND(DQ148*($AP$3+#REF!),-1),""))</f>
        <v/>
      </c>
      <c r="DS148" s="503"/>
      <c r="DT148" s="503" t="str">
        <f>IF($G148="","",IF(AND($G148&gt;=30,$AT$3&lt;=DS$7),ROUND(DS148*($AP$3+#REF!),-1),""))</f>
        <v/>
      </c>
      <c r="DU148" s="503"/>
      <c r="DV148" s="503" t="str">
        <f>IF($G148="","",IF(AND($G148&gt;=30,$AT$3&lt;=DU$7),ROUND(DU148*($AP$3+#REF!),-1),""))</f>
        <v/>
      </c>
      <c r="DW148" s="503"/>
      <c r="DX148" s="503" t="str">
        <f>IF($G148="","",IF(AND($G148&gt;=30,$AT$3&lt;=DW$7),ROUND(DW148*($AP$3+#REF!),-1),""))</f>
        <v/>
      </c>
      <c r="DY148" s="503"/>
      <c r="DZ148" s="503" t="str">
        <f>IF($G148="","",IF(AND($G148&gt;=30,$AT$3&lt;=DY$7),ROUND(DY148*($AP$3+#REF!),-1),""))</f>
        <v/>
      </c>
      <c r="EA148" s="503"/>
      <c r="EB148" s="503" t="str">
        <f>IF($G148="","",IF(AND($G148&gt;=30,$AT$3&lt;=EA$7),ROUND(EA148*($AP$3+#REF!),-1),""))</f>
        <v/>
      </c>
      <c r="EC148" s="504" t="s">
        <v>621</v>
      </c>
      <c r="ED148" s="1126"/>
      <c r="EE148" s="325">
        <v>8</v>
      </c>
    </row>
    <row r="149" spans="1:135" ht="9.75" customHeight="1">
      <c r="A149" s="321" t="str">
        <f t="shared" si="37"/>
        <v/>
      </c>
      <c r="B149" s="567">
        <f>(ii!$D$13*12+V149)+1</f>
        <v>43</v>
      </c>
      <c r="C149" s="337">
        <f t="shared" si="44"/>
        <v>46660</v>
      </c>
      <c r="D149" s="484">
        <f t="shared" si="39"/>
        <v>2027</v>
      </c>
      <c r="E149" s="484">
        <f t="shared" si="45"/>
        <v>0.75</v>
      </c>
      <c r="F149" s="484">
        <f t="shared" si="41"/>
        <v>2027.75</v>
      </c>
      <c r="G149" s="485" t="str">
        <f>IF(OR(C149&lt;$I$2,C149&gt;$J$3),"",(ii!$D$13*12+V149+1)/12)</f>
        <v/>
      </c>
      <c r="H149" s="486"/>
      <c r="I149" s="486"/>
      <c r="J149" s="487"/>
      <c r="K149" s="488"/>
      <c r="L149" s="548"/>
      <c r="M149" s="489" t="str">
        <f t="shared" si="32"/>
        <v/>
      </c>
      <c r="N149" s="490" t="s">
        <v>621</v>
      </c>
      <c r="O149" s="490" t="str">
        <f t="shared" si="42"/>
        <v/>
      </c>
      <c r="P149" s="491"/>
      <c r="Q149" s="491"/>
      <c r="R149" s="491" t="str">
        <f t="shared" si="43"/>
        <v/>
      </c>
      <c r="S149" s="528" t="str">
        <f t="shared" si="38"/>
        <v/>
      </c>
      <c r="T149" s="528" t="str">
        <f t="shared" si="36"/>
        <v/>
      </c>
      <c r="U149" s="493" t="str">
        <f>IF(H149="","",#REF!*12+#REF!+#REF!*12+#REF!)</f>
        <v/>
      </c>
      <c r="V149" s="338">
        <f>IF(ii!$J$3&gt;gg!C149,"",IF(AND((YEAR(C149)=YEAR($I$2)),MONTH(C149)=MONTH($I$2)),ii!$B$14*12+ii!$C$14+ii!$B$15*12+ii!$C$15-1,V148+1))</f>
        <v>42</v>
      </c>
      <c r="W149" s="339">
        <f t="shared" si="46"/>
        <v>3.5</v>
      </c>
      <c r="X149" s="494" t="s">
        <v>621</v>
      </c>
      <c r="Y149" s="495" t="s">
        <v>621</v>
      </c>
      <c r="Z149" s="496"/>
      <c r="AA149" s="497"/>
      <c r="AB149" s="498" t="e">
        <f t="shared" si="35"/>
        <v>#VALUE!</v>
      </c>
      <c r="AC149" s="484" t="str">
        <f t="shared" si="33"/>
        <v/>
      </c>
      <c r="AD149" s="495" t="str">
        <f t="shared" si="34"/>
        <v/>
      </c>
      <c r="AE149" s="499" t="s">
        <v>621</v>
      </c>
      <c r="AF149" s="500" t="s">
        <v>621</v>
      </c>
      <c r="AG149" s="556" t="s">
        <v>621</v>
      </c>
      <c r="AH149" s="503" t="str">
        <f>IF($G149="","",IF(AND($G149&gt;=30,$AT$3&lt;=AG$7),ROUND(AG149*($AP$3+#REF!),-1),""))</f>
        <v/>
      </c>
      <c r="AI149" s="506" t="s">
        <v>621</v>
      </c>
      <c r="AJ149" s="503" t="str">
        <f>IF($G149="","",IF(AND($G149&gt;=30,$AT$3&lt;=AI$7),ROUND(AI149*($AP$3+#REF!),-1),""))</f>
        <v/>
      </c>
      <c r="AK149" s="506" t="s">
        <v>621</v>
      </c>
      <c r="AL149" s="503" t="str">
        <f>IF($G149="","",IF(AND($G149&gt;=30,$AT$3&lt;=AK$7),ROUND(AK149*($AP$3+#REF!),-1),""))</f>
        <v/>
      </c>
      <c r="AM149" s="506" t="s">
        <v>621</v>
      </c>
      <c r="AN149" s="503" t="str">
        <f>IF($G149="","",IF(AND($G149&gt;=30,$AT$3&lt;=AM$7),ROUND(AM149*($AP$3+#REF!),-1),""))</f>
        <v/>
      </c>
      <c r="AO149" s="503" t="e">
        <v>#REF!</v>
      </c>
      <c r="AP149" s="503" t="str">
        <f>IF($G149="","",IF(AND($G149&gt;=30,$AT$3&lt;=AO$7),ROUND(AO149*($AP$3+#REF!),-1),""))</f>
        <v/>
      </c>
      <c r="AQ149" s="503" t="s">
        <v>621</v>
      </c>
      <c r="AR149" s="503" t="str">
        <f>IF($G149="","",IF(AND($G149&gt;=30,$AT$3&lt;=AQ$7),ROUND(AQ149*($AP$3+#REF!),-1),""))</f>
        <v/>
      </c>
      <c r="AS149" s="503" t="s">
        <v>621</v>
      </c>
      <c r="AT149" s="503" t="str">
        <f>IF($G149="","",IF(AND($G149&gt;=30,$AT$3&lt;=AS$7),ROUND(AS149*($AP$3+#REF!),-1),""))</f>
        <v/>
      </c>
      <c r="AU149" s="503" t="s">
        <v>621</v>
      </c>
      <c r="AV149" s="503" t="str">
        <f>IF($G149="","",IF(AND($G149&gt;=30,$AT$3&lt;=AU$7),ROUND(AU149*($AP$3+#REF!),-1),""))</f>
        <v/>
      </c>
      <c r="AW149" s="503" t="s">
        <v>621</v>
      </c>
      <c r="AX149" s="503" t="str">
        <f>IF($G149="","",IF(AND($G149&gt;=30,$AT$3&lt;=AW$7),ROUND(AW149*($AP$3+#REF!),-1),""))</f>
        <v/>
      </c>
      <c r="AY149" s="503" t="s">
        <v>621</v>
      </c>
      <c r="AZ149" s="503" t="str">
        <f>IF($G149="","",IF(AND($G149&gt;=30,$AT$3&lt;=AY$7),ROUND(AY149*($AP$3+#REF!),-1),""))</f>
        <v/>
      </c>
      <c r="BA149" s="503" t="s">
        <v>621</v>
      </c>
      <c r="BB149" s="503" t="str">
        <f>IF($G149="","",IF(AND($G149&gt;=30,$AT$3&lt;=BA$7),ROUND(BA149*($AP$3+#REF!),-1),""))</f>
        <v/>
      </c>
      <c r="BC149" s="517" t="e">
        <v>#REF!</v>
      </c>
      <c r="BD149" s="503" t="str">
        <f>IF($G149="","",IF(AND($G149&gt;=30,$AT$3&lt;=BC$7),ROUND(BC149*($AP$3+#REF!),-1),""))</f>
        <v/>
      </c>
      <c r="BE149" s="503"/>
      <c r="BF149" s="503" t="str">
        <f>IF($G149="","",IF(AND($G149&gt;=30,$AT$3&lt;=BE$7),ROUND(BE149*($AP$3+#REF!),-1),""))</f>
        <v/>
      </c>
      <c r="BG149" s="502"/>
      <c r="BH149" s="503" t="str">
        <f>IF($G149="","",IF(AND($G149&gt;=30,$AT$3&lt;=BG$7),ROUND(BG149*($AP$3+#REF!),-1),""))</f>
        <v/>
      </c>
      <c r="BI149" s="503"/>
      <c r="BJ149" s="503" t="str">
        <f>IF($G149="","",IF(AND($G149&gt;=30,$AT$3&lt;=BI$7),ROUND(BI149*($AP$3+#REF!),-1),""))</f>
        <v/>
      </c>
      <c r="BK149" s="502"/>
      <c r="BL149" s="503" t="str">
        <f>IF($G149="","",IF(AND($G149&gt;=30,$AT$3&lt;=BK$7),ROUND(BK149*($AP$3+#REF!),-1),""))</f>
        <v/>
      </c>
      <c r="BM149" s="503"/>
      <c r="BN149" s="503" t="str">
        <f>IF($G149="","",IF(AND($G149&gt;=30,$AT$3&lt;=BM$7),ROUND(BM149*($AP$3+#REF!),-1),""))</f>
        <v/>
      </c>
      <c r="BO149" s="502"/>
      <c r="BP149" s="503" t="str">
        <f>IF($G149="","",IF(AND($G149&gt;=30,$AT$3&lt;=BO$7),ROUND(BO149*($AP$3+#REF!),-1),""))</f>
        <v/>
      </c>
      <c r="BQ149" s="503"/>
      <c r="BR149" s="503" t="str">
        <f>IF($G149="","",IF(AND($G149&gt;=30,$AT$3&lt;=BQ$7),ROUND(BQ149*($AP$3+#REF!),-1),""))</f>
        <v/>
      </c>
      <c r="BS149" s="502"/>
      <c r="BT149" s="503" t="str">
        <f>IF($G149="","",IF(AND($G149&gt;=30,$AT$3&lt;=BS$7),ROUND(BS149*($AP$3+#REF!),-1),""))</f>
        <v/>
      </c>
      <c r="BU149" s="503"/>
      <c r="BV149" s="503" t="str">
        <f>IF($G149="","",IF(AND($G149&gt;=30,$AT$3&lt;=BU$7),ROUND(BU149*($AP$3+#REF!),-1),""))</f>
        <v/>
      </c>
      <c r="BW149" s="502"/>
      <c r="BX149" s="503" t="str">
        <f>IF($G149="","",IF(AND($G149&gt;=30,$AT$3&lt;=BW$7),ROUND(BW149*($AP$3+#REF!),-1),""))</f>
        <v/>
      </c>
      <c r="BY149" s="503"/>
      <c r="BZ149" s="503" t="str">
        <f>IF($G149="","",IF(AND($G149&gt;=30,$AT$3&lt;=BY$7),ROUND(BY149*($AP$3+#REF!),-1),""))</f>
        <v/>
      </c>
      <c r="CA149" s="502"/>
      <c r="CB149" s="503" t="str">
        <f>IF($G149="","",IF(AND($G149&gt;=30,$AT$3&lt;=CA$7),ROUND(CA149*($AP$3+#REF!),-1),""))</f>
        <v/>
      </c>
      <c r="CC149" s="503"/>
      <c r="CD149" s="503" t="str">
        <f>IF($G149="","",IF(AND($G149&gt;=30,$AT$3&lt;=CC$7),ROUND(CC149*($AP$3+#REF!),-1),""))</f>
        <v/>
      </c>
      <c r="CE149" s="502"/>
      <c r="CF149" s="503" t="str">
        <f>IF($G149="","",IF(AND($G149&gt;=30,$AT$3&lt;=CE$7),ROUND(CE149*($AP$3+#REF!),-1),""))</f>
        <v/>
      </c>
      <c r="CG149" s="503"/>
      <c r="CH149" s="503" t="str">
        <f>IF($G149="","",IF(AND($G149&gt;=30,$AT$3&lt;=CG$7),ROUND(CG149*($AP$3+#REF!),-1),""))</f>
        <v/>
      </c>
      <c r="CI149" s="502"/>
      <c r="CJ149" s="503" t="str">
        <f>IF($G149="","",IF(AND($G149&gt;=30,$AT$3&lt;=CI$7),ROUND(CI149*($AP$3+#REF!),-1),""))</f>
        <v/>
      </c>
      <c r="CK149" s="503"/>
      <c r="CL149" s="503" t="str">
        <f>IF($G149="","",IF(AND($G149&gt;=30,$AT$3&lt;=CK$7),ROUND(CK149*($AP$3+#REF!),-1),""))</f>
        <v/>
      </c>
      <c r="CM149" s="502"/>
      <c r="CN149" s="503" t="str">
        <f>IF($G149="","",IF(AND($G149&gt;=30,$AT$3&lt;=CM$7),ROUND(CM149*($AP$3+#REF!),-1),""))</f>
        <v/>
      </c>
      <c r="CO149" s="503"/>
      <c r="CP149" s="503" t="str">
        <f>IF($G149="","",IF(AND($G149&gt;=30,$AT$3&lt;=CO$7),ROUND(CO149*($AP$3+#REF!),-1),""))</f>
        <v/>
      </c>
      <c r="CQ149" s="502"/>
      <c r="CR149" s="503" t="str">
        <f>IF($G149="","",IF(AND($G149&gt;=30,$AT$3&lt;=CQ$7),ROUND(CQ149*($AP$3+#REF!),-1),""))</f>
        <v/>
      </c>
      <c r="CS149" s="503"/>
      <c r="CT149" s="503" t="str">
        <f>IF($G149="","",IF(AND($G149&gt;=30,$AT$3&lt;=CS$7),ROUND(CS149*($AP$3+#REF!),-1),""))</f>
        <v/>
      </c>
      <c r="CU149" s="502"/>
      <c r="CV149" s="503" t="str">
        <f>IF($G149="","",IF(AND($G149&gt;=30,$AT$3&lt;=CU$7),ROUND(CU149*($AP$3+#REF!),-1),""))</f>
        <v/>
      </c>
      <c r="CW149" s="503"/>
      <c r="CX149" s="503" t="str">
        <f>IF($G149="","",IF(AND($G149&gt;=30,$AT$3&lt;=CW$7),ROUND(CW149*($AP$3+#REF!),-1),""))</f>
        <v/>
      </c>
      <c r="CY149" s="502"/>
      <c r="CZ149" s="503" t="str">
        <f>IF($G149="","",IF(AND($G149&gt;=30,$AT$3&lt;=CY$7),ROUND(CY149*($AP$3+#REF!),-1),""))</f>
        <v/>
      </c>
      <c r="DA149" s="503"/>
      <c r="DB149" s="503" t="str">
        <f>IF($G149="","",IF(AND($G149&gt;=30,$AT$3&lt;=DA$7),ROUND(DA149*($AP$3+#REF!),-1),""))</f>
        <v/>
      </c>
      <c r="DC149" s="502"/>
      <c r="DD149" s="503" t="str">
        <f>IF($G149="","",IF(AND($G149&gt;=30,$AT$3&lt;=DC$7),ROUND(DC149*($AP$3+#REF!),-1),""))</f>
        <v/>
      </c>
      <c r="DE149" s="503"/>
      <c r="DF149" s="503" t="str">
        <f>IF($G149="","",IF(AND($G149&gt;=30,$AT$3&lt;=DE$7),ROUND(DE149*($AP$3+#REF!),-1),""))</f>
        <v/>
      </c>
      <c r="DG149" s="503"/>
      <c r="DH149" s="503" t="str">
        <f>IF($G149="","",IF(AND($G149&gt;=30,$AT$3&lt;=DG$7),ROUND(DG149*($AP$3+#REF!),-1),""))</f>
        <v/>
      </c>
      <c r="DI149" s="503"/>
      <c r="DJ149" s="503" t="str">
        <f>IF($G149="","",IF(AND($G149&gt;=30,$AT$3&lt;=DI$7),ROUND(DI149*($AP$3+#REF!),-1),""))</f>
        <v/>
      </c>
      <c r="DK149" s="503"/>
      <c r="DL149" s="503" t="str">
        <f>IF($G149="","",IF(AND($G149&gt;=30,$AT$3&lt;=DK$7),ROUND(DK149*($AP$3+#REF!),-1),""))</f>
        <v/>
      </c>
      <c r="DM149" s="503"/>
      <c r="DN149" s="503" t="str">
        <f>IF($G149="","",IF(AND($G149&gt;=30,$AT$3&lt;=DM$7),ROUND(DM149*($AP$3+#REF!),-1),""))</f>
        <v/>
      </c>
      <c r="DO149" s="503"/>
      <c r="DP149" s="503" t="str">
        <f>IF($G149="","",IF(AND($G149&gt;=30,$AT$3&lt;=DO$7),ROUND(DO149*($AP$3+#REF!),-1),""))</f>
        <v/>
      </c>
      <c r="DQ149" s="503"/>
      <c r="DR149" s="503" t="str">
        <f>IF($G149="","",IF(AND($G149&gt;=30,$AT$3&lt;=DQ$7),ROUND(DQ149*($AP$3+#REF!),-1),""))</f>
        <v/>
      </c>
      <c r="DS149" s="503"/>
      <c r="DT149" s="503" t="str">
        <f>IF($G149="","",IF(AND($G149&gt;=30,$AT$3&lt;=DS$7),ROUND(DS149*($AP$3+#REF!),-1),""))</f>
        <v/>
      </c>
      <c r="DU149" s="503"/>
      <c r="DV149" s="503" t="str">
        <f>IF($G149="","",IF(AND($G149&gt;=30,$AT$3&lt;=DU$7),ROUND(DU149*($AP$3+#REF!),-1),""))</f>
        <v/>
      </c>
      <c r="DW149" s="503"/>
      <c r="DX149" s="503" t="str">
        <f>IF($G149="","",IF(AND($G149&gt;=30,$AT$3&lt;=DW$7),ROUND(DW149*($AP$3+#REF!),-1),""))</f>
        <v/>
      </c>
      <c r="DY149" s="503"/>
      <c r="DZ149" s="503" t="str">
        <f>IF($G149="","",IF(AND($G149&gt;=30,$AT$3&lt;=DY$7),ROUND(DY149*($AP$3+#REF!),-1),""))</f>
        <v/>
      </c>
      <c r="EA149" s="503"/>
      <c r="EB149" s="503" t="str">
        <f>IF($G149="","",IF(AND($G149&gt;=30,$AT$3&lt;=EA$7),ROUND(EA149*($AP$3+#REF!),-1),""))</f>
        <v/>
      </c>
      <c r="EC149" s="504" t="s">
        <v>621</v>
      </c>
      <c r="ED149" s="1126"/>
      <c r="EE149" s="325">
        <v>9</v>
      </c>
    </row>
    <row r="150" spans="1:135" ht="9.75" customHeight="1">
      <c r="A150" s="321" t="str">
        <f t="shared" si="37"/>
        <v/>
      </c>
      <c r="B150" s="567">
        <f>(ii!$D$13*12+V150)+1</f>
        <v>44</v>
      </c>
      <c r="C150" s="337">
        <f t="shared" si="44"/>
        <v>46691</v>
      </c>
      <c r="D150" s="484">
        <f t="shared" si="39"/>
        <v>2027</v>
      </c>
      <c r="E150" s="484">
        <f t="shared" si="45"/>
        <v>0.83333333333333337</v>
      </c>
      <c r="F150" s="484">
        <f t="shared" si="41"/>
        <v>2027.8333333333333</v>
      </c>
      <c r="G150" s="485" t="str">
        <f>IF(OR(C150&lt;$I$2,C150&gt;$J$3),"",(ii!$D$13*12+V150+1)/12)</f>
        <v/>
      </c>
      <c r="H150" s="486"/>
      <c r="I150" s="486"/>
      <c r="J150" s="487"/>
      <c r="K150" s="488"/>
      <c r="L150" s="548"/>
      <c r="M150" s="489" t="str">
        <f t="shared" si="32"/>
        <v/>
      </c>
      <c r="N150" s="490" t="s">
        <v>621</v>
      </c>
      <c r="O150" s="490" t="str">
        <f t="shared" si="42"/>
        <v/>
      </c>
      <c r="P150" s="491"/>
      <c r="Q150" s="491"/>
      <c r="R150" s="491" t="str">
        <f t="shared" si="43"/>
        <v/>
      </c>
      <c r="S150" s="528" t="str">
        <f t="shared" si="38"/>
        <v/>
      </c>
      <c r="T150" s="528" t="str">
        <f t="shared" si="36"/>
        <v/>
      </c>
      <c r="U150" s="493" t="str">
        <f>IF(H150="","",#REF!*12+#REF!+#REF!*12+#REF!)</f>
        <v/>
      </c>
      <c r="V150" s="338">
        <f>IF(ii!$J$3&gt;gg!C150,"",IF(AND((YEAR(C150)=YEAR($I$2)),MONTH(C150)=MONTH($I$2)),ii!$B$14*12+ii!$C$14+ii!$B$15*12+ii!$C$15-1,V149+1))</f>
        <v>43</v>
      </c>
      <c r="W150" s="339">
        <f t="shared" si="46"/>
        <v>3.5833333333333335</v>
      </c>
      <c r="X150" s="494" t="s">
        <v>621</v>
      </c>
      <c r="Y150" s="495" t="s">
        <v>621</v>
      </c>
      <c r="Z150" s="496"/>
      <c r="AA150" s="497"/>
      <c r="AB150" s="498" t="e">
        <f t="shared" si="35"/>
        <v>#VALUE!</v>
      </c>
      <c r="AC150" s="484" t="str">
        <f t="shared" si="33"/>
        <v/>
      </c>
      <c r="AD150" s="495" t="str">
        <f t="shared" si="34"/>
        <v/>
      </c>
      <c r="AE150" s="499" t="s">
        <v>621</v>
      </c>
      <c r="AF150" s="500" t="s">
        <v>621</v>
      </c>
      <c r="AG150" s="556" t="s">
        <v>621</v>
      </c>
      <c r="AH150" s="503" t="str">
        <f>IF($G150="","",IF(AND($G150&gt;=30,$AT$3&lt;=AG$7),ROUND(AG150*($AP$3+#REF!),-1),""))</f>
        <v/>
      </c>
      <c r="AI150" s="506" t="s">
        <v>621</v>
      </c>
      <c r="AJ150" s="503" t="str">
        <f>IF($G150="","",IF(AND($G150&gt;=30,$AT$3&lt;=AI$7),ROUND(AI150*($AP$3+#REF!),-1),""))</f>
        <v/>
      </c>
      <c r="AK150" s="506" t="s">
        <v>621</v>
      </c>
      <c r="AL150" s="503" t="str">
        <f>IF($G150="","",IF(AND($G150&gt;=30,$AT$3&lt;=AK$7),ROUND(AK150*($AP$3+#REF!),-1),""))</f>
        <v/>
      </c>
      <c r="AM150" s="506" t="s">
        <v>621</v>
      </c>
      <c r="AN150" s="503" t="str">
        <f>IF($G150="","",IF(AND($G150&gt;=30,$AT$3&lt;=AM$7),ROUND(AM150*($AP$3+#REF!),-1),""))</f>
        <v/>
      </c>
      <c r="AO150" s="503" t="e">
        <v>#REF!</v>
      </c>
      <c r="AP150" s="503" t="str">
        <f>IF($G150="","",IF(AND($G150&gt;=30,$AT$3&lt;=AO$7),ROUND(AO150*($AP$3+#REF!),-1),""))</f>
        <v/>
      </c>
      <c r="AQ150" s="503" t="s">
        <v>621</v>
      </c>
      <c r="AR150" s="503" t="str">
        <f>IF($G150="","",IF(AND($G150&gt;=30,$AT$3&lt;=AQ$7),ROUND(AQ150*($AP$3+#REF!),-1),""))</f>
        <v/>
      </c>
      <c r="AS150" s="503" t="s">
        <v>621</v>
      </c>
      <c r="AT150" s="503" t="str">
        <f>IF($G150="","",IF(AND($G150&gt;=30,$AT$3&lt;=AS$7),ROUND(AS150*($AP$3+#REF!),-1),""))</f>
        <v/>
      </c>
      <c r="AU150" s="503" t="s">
        <v>621</v>
      </c>
      <c r="AV150" s="503" t="str">
        <f>IF($G150="","",IF(AND($G150&gt;=30,$AT$3&lt;=AU$7),ROUND(AU150*($AP$3+#REF!),-1),""))</f>
        <v/>
      </c>
      <c r="AW150" s="503" t="s">
        <v>621</v>
      </c>
      <c r="AX150" s="503" t="str">
        <f>IF($G150="","",IF(AND($G150&gt;=30,$AT$3&lt;=AW$7),ROUND(AW150*($AP$3+#REF!),-1),""))</f>
        <v/>
      </c>
      <c r="AY150" s="503" t="s">
        <v>621</v>
      </c>
      <c r="AZ150" s="503" t="str">
        <f>IF($G150="","",IF(AND($G150&gt;=30,$AT$3&lt;=AY$7),ROUND(AY150*($AP$3+#REF!),-1),""))</f>
        <v/>
      </c>
      <c r="BA150" s="503" t="s">
        <v>621</v>
      </c>
      <c r="BB150" s="503" t="str">
        <f>IF($G150="","",IF(AND($G150&gt;=30,$AT$3&lt;=BA$7),ROUND(BA150*($AP$3+#REF!),-1),""))</f>
        <v/>
      </c>
      <c r="BC150" s="517" t="e">
        <v>#REF!</v>
      </c>
      <c r="BD150" s="503" t="str">
        <f>IF($G150="","",IF(AND($G150&gt;=30,$AT$3&lt;=BC$7),ROUND(BC150*($AP$3+#REF!),-1),""))</f>
        <v/>
      </c>
      <c r="BE150" s="503"/>
      <c r="BF150" s="503" t="str">
        <f>IF($G150="","",IF(AND($G150&gt;=30,$AT$3&lt;=BE$7),ROUND(BE150*($AP$3+#REF!),-1),""))</f>
        <v/>
      </c>
      <c r="BG150" s="502"/>
      <c r="BH150" s="503" t="str">
        <f>IF($G150="","",IF(AND($G150&gt;=30,$AT$3&lt;=BG$7),ROUND(BG150*($AP$3+#REF!),-1),""))</f>
        <v/>
      </c>
      <c r="BI150" s="503"/>
      <c r="BJ150" s="503" t="str">
        <f>IF($G150="","",IF(AND($G150&gt;=30,$AT$3&lt;=BI$7),ROUND(BI150*($AP$3+#REF!),-1),""))</f>
        <v/>
      </c>
      <c r="BK150" s="502"/>
      <c r="BL150" s="503" t="str">
        <f>IF($G150="","",IF(AND($G150&gt;=30,$AT$3&lt;=BK$7),ROUND(BK150*($AP$3+#REF!),-1),""))</f>
        <v/>
      </c>
      <c r="BM150" s="503"/>
      <c r="BN150" s="503" t="str">
        <f>IF($G150="","",IF(AND($G150&gt;=30,$AT$3&lt;=BM$7),ROUND(BM150*($AP$3+#REF!),-1),""))</f>
        <v/>
      </c>
      <c r="BO150" s="502"/>
      <c r="BP150" s="503" t="str">
        <f>IF($G150="","",IF(AND($G150&gt;=30,$AT$3&lt;=BO$7),ROUND(BO150*($AP$3+#REF!),-1),""))</f>
        <v/>
      </c>
      <c r="BQ150" s="503"/>
      <c r="BR150" s="503" t="str">
        <f>IF($G150="","",IF(AND($G150&gt;=30,$AT$3&lt;=BQ$7),ROUND(BQ150*($AP$3+#REF!),-1),""))</f>
        <v/>
      </c>
      <c r="BS150" s="502"/>
      <c r="BT150" s="503" t="str">
        <f>IF($G150="","",IF(AND($G150&gt;=30,$AT$3&lt;=BS$7),ROUND(BS150*($AP$3+#REF!),-1),""))</f>
        <v/>
      </c>
      <c r="BU150" s="503"/>
      <c r="BV150" s="503" t="str">
        <f>IF($G150="","",IF(AND($G150&gt;=30,$AT$3&lt;=BU$7),ROUND(BU150*($AP$3+#REF!),-1),""))</f>
        <v/>
      </c>
      <c r="BW150" s="502"/>
      <c r="BX150" s="503" t="str">
        <f>IF($G150="","",IF(AND($G150&gt;=30,$AT$3&lt;=BW$7),ROUND(BW150*($AP$3+#REF!),-1),""))</f>
        <v/>
      </c>
      <c r="BY150" s="503"/>
      <c r="BZ150" s="503" t="str">
        <f>IF($G150="","",IF(AND($G150&gt;=30,$AT$3&lt;=BY$7),ROUND(BY150*($AP$3+#REF!),-1),""))</f>
        <v/>
      </c>
      <c r="CA150" s="502"/>
      <c r="CB150" s="503" t="str">
        <f>IF($G150="","",IF(AND($G150&gt;=30,$AT$3&lt;=CA$7),ROUND(CA150*($AP$3+#REF!),-1),""))</f>
        <v/>
      </c>
      <c r="CC150" s="503"/>
      <c r="CD150" s="503" t="str">
        <f>IF($G150="","",IF(AND($G150&gt;=30,$AT$3&lt;=CC$7),ROUND(CC150*($AP$3+#REF!),-1),""))</f>
        <v/>
      </c>
      <c r="CE150" s="502"/>
      <c r="CF150" s="503" t="str">
        <f>IF($G150="","",IF(AND($G150&gt;=30,$AT$3&lt;=CE$7),ROUND(CE150*($AP$3+#REF!),-1),""))</f>
        <v/>
      </c>
      <c r="CG150" s="503"/>
      <c r="CH150" s="503" t="str">
        <f>IF($G150="","",IF(AND($G150&gt;=30,$AT$3&lt;=CG$7),ROUND(CG150*($AP$3+#REF!),-1),""))</f>
        <v/>
      </c>
      <c r="CI150" s="502"/>
      <c r="CJ150" s="503" t="str">
        <f>IF($G150="","",IF(AND($G150&gt;=30,$AT$3&lt;=CI$7),ROUND(CI150*($AP$3+#REF!),-1),""))</f>
        <v/>
      </c>
      <c r="CK150" s="503"/>
      <c r="CL150" s="503" t="str">
        <f>IF($G150="","",IF(AND($G150&gt;=30,$AT$3&lt;=CK$7),ROUND(CK150*($AP$3+#REF!),-1),""))</f>
        <v/>
      </c>
      <c r="CM150" s="502"/>
      <c r="CN150" s="503" t="str">
        <f>IF($G150="","",IF(AND($G150&gt;=30,$AT$3&lt;=CM$7),ROUND(CM150*($AP$3+#REF!),-1),""))</f>
        <v/>
      </c>
      <c r="CO150" s="503"/>
      <c r="CP150" s="503" t="str">
        <f>IF($G150="","",IF(AND($G150&gt;=30,$AT$3&lt;=CO$7),ROUND(CO150*($AP$3+#REF!),-1),""))</f>
        <v/>
      </c>
      <c r="CQ150" s="502"/>
      <c r="CR150" s="503" t="str">
        <f>IF($G150="","",IF(AND($G150&gt;=30,$AT$3&lt;=CQ$7),ROUND(CQ150*($AP$3+#REF!),-1),""))</f>
        <v/>
      </c>
      <c r="CS150" s="503"/>
      <c r="CT150" s="503" t="str">
        <f>IF($G150="","",IF(AND($G150&gt;=30,$AT$3&lt;=CS$7),ROUND(CS150*($AP$3+#REF!),-1),""))</f>
        <v/>
      </c>
      <c r="CU150" s="502"/>
      <c r="CV150" s="503" t="str">
        <f>IF($G150="","",IF(AND($G150&gt;=30,$AT$3&lt;=CU$7),ROUND(CU150*($AP$3+#REF!),-1),""))</f>
        <v/>
      </c>
      <c r="CW150" s="503"/>
      <c r="CX150" s="503" t="str">
        <f>IF($G150="","",IF(AND($G150&gt;=30,$AT$3&lt;=CW$7),ROUND(CW150*($AP$3+#REF!),-1),""))</f>
        <v/>
      </c>
      <c r="CY150" s="502"/>
      <c r="CZ150" s="503" t="str">
        <f>IF($G150="","",IF(AND($G150&gt;=30,$AT$3&lt;=CY$7),ROUND(CY150*($AP$3+#REF!),-1),""))</f>
        <v/>
      </c>
      <c r="DA150" s="503"/>
      <c r="DB150" s="503" t="str">
        <f>IF($G150="","",IF(AND($G150&gt;=30,$AT$3&lt;=DA$7),ROUND(DA150*($AP$3+#REF!),-1),""))</f>
        <v/>
      </c>
      <c r="DC150" s="502"/>
      <c r="DD150" s="503" t="str">
        <f>IF($G150="","",IF(AND($G150&gt;=30,$AT$3&lt;=DC$7),ROUND(DC150*($AP$3+#REF!),-1),""))</f>
        <v/>
      </c>
      <c r="DE150" s="503"/>
      <c r="DF150" s="503" t="str">
        <f>IF($G150="","",IF(AND($G150&gt;=30,$AT$3&lt;=DE$7),ROUND(DE150*($AP$3+#REF!),-1),""))</f>
        <v/>
      </c>
      <c r="DG150" s="503"/>
      <c r="DH150" s="503" t="str">
        <f>IF($G150="","",IF(AND($G150&gt;=30,$AT$3&lt;=DG$7),ROUND(DG150*($AP$3+#REF!),-1),""))</f>
        <v/>
      </c>
      <c r="DI150" s="503"/>
      <c r="DJ150" s="503" t="str">
        <f>IF($G150="","",IF(AND($G150&gt;=30,$AT$3&lt;=DI$7),ROUND(DI150*($AP$3+#REF!),-1),""))</f>
        <v/>
      </c>
      <c r="DK150" s="503"/>
      <c r="DL150" s="503" t="str">
        <f>IF($G150="","",IF(AND($G150&gt;=30,$AT$3&lt;=DK$7),ROUND(DK150*($AP$3+#REF!),-1),""))</f>
        <v/>
      </c>
      <c r="DM150" s="503"/>
      <c r="DN150" s="503" t="str">
        <f>IF($G150="","",IF(AND($G150&gt;=30,$AT$3&lt;=DM$7),ROUND(DM150*($AP$3+#REF!),-1),""))</f>
        <v/>
      </c>
      <c r="DO150" s="503"/>
      <c r="DP150" s="503" t="str">
        <f>IF($G150="","",IF(AND($G150&gt;=30,$AT$3&lt;=DO$7),ROUND(DO150*($AP$3+#REF!),-1),""))</f>
        <v/>
      </c>
      <c r="DQ150" s="503"/>
      <c r="DR150" s="503" t="str">
        <f>IF($G150="","",IF(AND($G150&gt;=30,$AT$3&lt;=DQ$7),ROUND(DQ150*($AP$3+#REF!),-1),""))</f>
        <v/>
      </c>
      <c r="DS150" s="503"/>
      <c r="DT150" s="503" t="str">
        <f>IF($G150="","",IF(AND($G150&gt;=30,$AT$3&lt;=DS$7),ROUND(DS150*($AP$3+#REF!),-1),""))</f>
        <v/>
      </c>
      <c r="DU150" s="503"/>
      <c r="DV150" s="503" t="str">
        <f>IF($G150="","",IF(AND($G150&gt;=30,$AT$3&lt;=DU$7),ROUND(DU150*($AP$3+#REF!),-1),""))</f>
        <v/>
      </c>
      <c r="DW150" s="503"/>
      <c r="DX150" s="503" t="str">
        <f>IF($G150="","",IF(AND($G150&gt;=30,$AT$3&lt;=DW$7),ROUND(DW150*($AP$3+#REF!),-1),""))</f>
        <v/>
      </c>
      <c r="DY150" s="503"/>
      <c r="DZ150" s="503" t="str">
        <f>IF($G150="","",IF(AND($G150&gt;=30,$AT$3&lt;=DY$7),ROUND(DY150*($AP$3+#REF!),-1),""))</f>
        <v/>
      </c>
      <c r="EA150" s="503"/>
      <c r="EB150" s="503" t="str">
        <f>IF($G150="","",IF(AND($G150&gt;=30,$AT$3&lt;=EA$7),ROUND(EA150*($AP$3+#REF!),-1),""))</f>
        <v/>
      </c>
      <c r="EC150" s="504" t="s">
        <v>621</v>
      </c>
      <c r="ED150" s="1126"/>
      <c r="EE150" s="325">
        <v>10</v>
      </c>
    </row>
    <row r="151" spans="1:135" ht="9.75" customHeight="1">
      <c r="A151" s="321" t="str">
        <f t="shared" si="37"/>
        <v/>
      </c>
      <c r="B151" s="567">
        <f>(ii!$D$13*12+V151)+1</f>
        <v>45</v>
      </c>
      <c r="C151" s="337">
        <f t="shared" si="44"/>
        <v>46721</v>
      </c>
      <c r="D151" s="484">
        <f t="shared" si="39"/>
        <v>2027</v>
      </c>
      <c r="E151" s="484">
        <f t="shared" si="45"/>
        <v>0.91666666666666663</v>
      </c>
      <c r="F151" s="484">
        <f t="shared" si="41"/>
        <v>2027.9166666666667</v>
      </c>
      <c r="G151" s="485" t="str">
        <f>IF(OR(C151&lt;$I$2,C151&gt;$J$3),"",(ii!$D$13*12+V151+1)/12)</f>
        <v/>
      </c>
      <c r="H151" s="486"/>
      <c r="I151" s="486"/>
      <c r="J151" s="487"/>
      <c r="K151" s="488"/>
      <c r="L151" s="548"/>
      <c r="M151" s="489" t="str">
        <f t="shared" si="32"/>
        <v/>
      </c>
      <c r="N151" s="490" t="s">
        <v>621</v>
      </c>
      <c r="O151" s="490" t="str">
        <f t="shared" si="42"/>
        <v/>
      </c>
      <c r="P151" s="491"/>
      <c r="Q151" s="491"/>
      <c r="R151" s="491" t="str">
        <f t="shared" si="43"/>
        <v/>
      </c>
      <c r="S151" s="528" t="str">
        <f t="shared" si="38"/>
        <v/>
      </c>
      <c r="T151" s="528" t="str">
        <f t="shared" si="36"/>
        <v/>
      </c>
      <c r="U151" s="493" t="str">
        <f>IF(H151="","",#REF!*12+#REF!+#REF!*12+#REF!)</f>
        <v/>
      </c>
      <c r="V151" s="338">
        <f>IF(ii!$J$3&gt;gg!C151,"",IF(AND((YEAR(C151)=YEAR($I$2)),MONTH(C151)=MONTH($I$2)),ii!$B$14*12+ii!$C$14+ii!$B$15*12+ii!$C$15-1,V150+1))</f>
        <v>44</v>
      </c>
      <c r="W151" s="339">
        <f t="shared" si="46"/>
        <v>3.6666666666666665</v>
      </c>
      <c r="X151" s="494" t="s">
        <v>621</v>
      </c>
      <c r="Y151" s="495" t="s">
        <v>621</v>
      </c>
      <c r="Z151" s="496"/>
      <c r="AA151" s="497"/>
      <c r="AB151" s="498" t="e">
        <f t="shared" si="35"/>
        <v>#VALUE!</v>
      </c>
      <c r="AC151" s="484" t="str">
        <f t="shared" si="33"/>
        <v/>
      </c>
      <c r="AD151" s="495" t="str">
        <f t="shared" si="34"/>
        <v/>
      </c>
      <c r="AE151" s="499" t="s">
        <v>621</v>
      </c>
      <c r="AF151" s="500" t="s">
        <v>621</v>
      </c>
      <c r="AG151" s="556" t="s">
        <v>621</v>
      </c>
      <c r="AH151" s="503" t="str">
        <f>IF($G151="","",IF(AND($G151&gt;=30,$AT$3&lt;=AG$7),ROUND(AG151*($AP$3+#REF!),-1),""))</f>
        <v/>
      </c>
      <c r="AI151" s="506" t="s">
        <v>621</v>
      </c>
      <c r="AJ151" s="503" t="str">
        <f>IF($G151="","",IF(AND($G151&gt;=30,$AT$3&lt;=AI$7),ROUND(AI151*($AP$3+#REF!),-1),""))</f>
        <v/>
      </c>
      <c r="AK151" s="506" t="s">
        <v>621</v>
      </c>
      <c r="AL151" s="503" t="str">
        <f>IF($G151="","",IF(AND($G151&gt;=30,$AT$3&lt;=AK$7),ROUND(AK151*($AP$3+#REF!),-1),""))</f>
        <v/>
      </c>
      <c r="AM151" s="506" t="s">
        <v>621</v>
      </c>
      <c r="AN151" s="503" t="str">
        <f>IF($G151="","",IF(AND($G151&gt;=30,$AT$3&lt;=AM$7),ROUND(AM151*($AP$3+#REF!),-1),""))</f>
        <v/>
      </c>
      <c r="AO151" s="503" t="e">
        <v>#REF!</v>
      </c>
      <c r="AP151" s="503" t="str">
        <f>IF($G151="","",IF(AND($G151&gt;=30,$AT$3&lt;=AO$7),ROUND(AO151*($AP$3+#REF!),-1),""))</f>
        <v/>
      </c>
      <c r="AQ151" s="503" t="s">
        <v>621</v>
      </c>
      <c r="AR151" s="503" t="str">
        <f>IF($G151="","",IF(AND($G151&gt;=30,$AT$3&lt;=AQ$7),ROUND(AQ151*($AP$3+#REF!),-1),""))</f>
        <v/>
      </c>
      <c r="AS151" s="503" t="s">
        <v>621</v>
      </c>
      <c r="AT151" s="503" t="str">
        <f>IF($G151="","",IF(AND($G151&gt;=30,$AT$3&lt;=AS$7),ROUND(AS151*($AP$3+#REF!),-1),""))</f>
        <v/>
      </c>
      <c r="AU151" s="503" t="s">
        <v>621</v>
      </c>
      <c r="AV151" s="503" t="str">
        <f>IF($G151="","",IF(AND($G151&gt;=30,$AT$3&lt;=AU$7),ROUND(AU151*($AP$3+#REF!),-1),""))</f>
        <v/>
      </c>
      <c r="AW151" s="503" t="s">
        <v>621</v>
      </c>
      <c r="AX151" s="503" t="str">
        <f>IF($G151="","",IF(AND($G151&gt;=30,$AT$3&lt;=AW$7),ROUND(AW151*($AP$3+#REF!),-1),""))</f>
        <v/>
      </c>
      <c r="AY151" s="503" t="s">
        <v>621</v>
      </c>
      <c r="AZ151" s="503" t="str">
        <f>IF($G151="","",IF(AND($G151&gt;=30,$AT$3&lt;=AY$7),ROUND(AY151*($AP$3+#REF!),-1),""))</f>
        <v/>
      </c>
      <c r="BA151" s="503" t="s">
        <v>621</v>
      </c>
      <c r="BB151" s="503" t="str">
        <f>IF($G151="","",IF(AND($G151&gt;=30,$AT$3&lt;=BA$7),ROUND(BA151*($AP$3+#REF!),-1),""))</f>
        <v/>
      </c>
      <c r="BC151" s="517" t="e">
        <v>#REF!</v>
      </c>
      <c r="BD151" s="503" t="str">
        <f>IF($G151="","",IF(AND($G151&gt;=30,$AT$3&lt;=BC$7),ROUND(BC151*($AP$3+#REF!),-1),""))</f>
        <v/>
      </c>
      <c r="BE151" s="503"/>
      <c r="BF151" s="503" t="str">
        <f>IF($G151="","",IF(AND($G151&gt;=30,$AT$3&lt;=BE$7),ROUND(BE151*($AP$3+#REF!),-1),""))</f>
        <v/>
      </c>
      <c r="BG151" s="502"/>
      <c r="BH151" s="503" t="str">
        <f>IF($G151="","",IF(AND($G151&gt;=30,$AT$3&lt;=BG$7),ROUND(BG151*($AP$3+#REF!),-1),""))</f>
        <v/>
      </c>
      <c r="BI151" s="503"/>
      <c r="BJ151" s="503" t="str">
        <f>IF($G151="","",IF(AND($G151&gt;=30,$AT$3&lt;=BI$7),ROUND(BI151*($AP$3+#REF!),-1),""))</f>
        <v/>
      </c>
      <c r="BK151" s="502"/>
      <c r="BL151" s="503" t="str">
        <f>IF($G151="","",IF(AND($G151&gt;=30,$AT$3&lt;=BK$7),ROUND(BK151*($AP$3+#REF!),-1),""))</f>
        <v/>
      </c>
      <c r="BM151" s="503"/>
      <c r="BN151" s="503" t="str">
        <f>IF($G151="","",IF(AND($G151&gt;=30,$AT$3&lt;=BM$7),ROUND(BM151*($AP$3+#REF!),-1),""))</f>
        <v/>
      </c>
      <c r="BO151" s="502"/>
      <c r="BP151" s="503" t="str">
        <f>IF($G151="","",IF(AND($G151&gt;=30,$AT$3&lt;=BO$7),ROUND(BO151*($AP$3+#REF!),-1),""))</f>
        <v/>
      </c>
      <c r="BQ151" s="503"/>
      <c r="BR151" s="503" t="str">
        <f>IF($G151="","",IF(AND($G151&gt;=30,$AT$3&lt;=BQ$7),ROUND(BQ151*($AP$3+#REF!),-1),""))</f>
        <v/>
      </c>
      <c r="BS151" s="502"/>
      <c r="BT151" s="503" t="str">
        <f>IF($G151="","",IF(AND($G151&gt;=30,$AT$3&lt;=BS$7),ROUND(BS151*($AP$3+#REF!),-1),""))</f>
        <v/>
      </c>
      <c r="BU151" s="503"/>
      <c r="BV151" s="503" t="str">
        <f>IF($G151="","",IF(AND($G151&gt;=30,$AT$3&lt;=BU$7),ROUND(BU151*($AP$3+#REF!),-1),""))</f>
        <v/>
      </c>
      <c r="BW151" s="502"/>
      <c r="BX151" s="503" t="str">
        <f>IF($G151="","",IF(AND($G151&gt;=30,$AT$3&lt;=BW$7),ROUND(BW151*($AP$3+#REF!),-1),""))</f>
        <v/>
      </c>
      <c r="BY151" s="503"/>
      <c r="BZ151" s="503" t="str">
        <f>IF($G151="","",IF(AND($G151&gt;=30,$AT$3&lt;=BY$7),ROUND(BY151*($AP$3+#REF!),-1),""))</f>
        <v/>
      </c>
      <c r="CA151" s="502"/>
      <c r="CB151" s="503" t="str">
        <f>IF($G151="","",IF(AND($G151&gt;=30,$AT$3&lt;=CA$7),ROUND(CA151*($AP$3+#REF!),-1),""))</f>
        <v/>
      </c>
      <c r="CC151" s="503"/>
      <c r="CD151" s="503" t="str">
        <f>IF($G151="","",IF(AND($G151&gt;=30,$AT$3&lt;=CC$7),ROUND(CC151*($AP$3+#REF!),-1),""))</f>
        <v/>
      </c>
      <c r="CE151" s="502"/>
      <c r="CF151" s="503" t="str">
        <f>IF($G151="","",IF(AND($G151&gt;=30,$AT$3&lt;=CE$7),ROUND(CE151*($AP$3+#REF!),-1),""))</f>
        <v/>
      </c>
      <c r="CG151" s="503"/>
      <c r="CH151" s="503" t="str">
        <f>IF($G151="","",IF(AND($G151&gt;=30,$AT$3&lt;=CG$7),ROUND(CG151*($AP$3+#REF!),-1),""))</f>
        <v/>
      </c>
      <c r="CI151" s="502"/>
      <c r="CJ151" s="503" t="str">
        <f>IF($G151="","",IF(AND($G151&gt;=30,$AT$3&lt;=CI$7),ROUND(CI151*($AP$3+#REF!),-1),""))</f>
        <v/>
      </c>
      <c r="CK151" s="503"/>
      <c r="CL151" s="503" t="str">
        <f>IF($G151="","",IF(AND($G151&gt;=30,$AT$3&lt;=CK$7),ROUND(CK151*($AP$3+#REF!),-1),""))</f>
        <v/>
      </c>
      <c r="CM151" s="502"/>
      <c r="CN151" s="503" t="str">
        <f>IF($G151="","",IF(AND($G151&gt;=30,$AT$3&lt;=CM$7),ROUND(CM151*($AP$3+#REF!),-1),""))</f>
        <v/>
      </c>
      <c r="CO151" s="503"/>
      <c r="CP151" s="503" t="str">
        <f>IF($G151="","",IF(AND($G151&gt;=30,$AT$3&lt;=CO$7),ROUND(CO151*($AP$3+#REF!),-1),""))</f>
        <v/>
      </c>
      <c r="CQ151" s="502"/>
      <c r="CR151" s="503" t="str">
        <f>IF($G151="","",IF(AND($G151&gt;=30,$AT$3&lt;=CQ$7),ROUND(CQ151*($AP$3+#REF!),-1),""))</f>
        <v/>
      </c>
      <c r="CS151" s="503"/>
      <c r="CT151" s="503" t="str">
        <f>IF($G151="","",IF(AND($G151&gt;=30,$AT$3&lt;=CS$7),ROUND(CS151*($AP$3+#REF!),-1),""))</f>
        <v/>
      </c>
      <c r="CU151" s="502"/>
      <c r="CV151" s="503" t="str">
        <f>IF($G151="","",IF(AND($G151&gt;=30,$AT$3&lt;=CU$7),ROUND(CU151*($AP$3+#REF!),-1),""))</f>
        <v/>
      </c>
      <c r="CW151" s="503"/>
      <c r="CX151" s="503" t="str">
        <f>IF($G151="","",IF(AND($G151&gt;=30,$AT$3&lt;=CW$7),ROUND(CW151*($AP$3+#REF!),-1),""))</f>
        <v/>
      </c>
      <c r="CY151" s="502"/>
      <c r="CZ151" s="503" t="str">
        <f>IF($G151="","",IF(AND($G151&gt;=30,$AT$3&lt;=CY$7),ROUND(CY151*($AP$3+#REF!),-1),""))</f>
        <v/>
      </c>
      <c r="DA151" s="503"/>
      <c r="DB151" s="503" t="str">
        <f>IF($G151="","",IF(AND($G151&gt;=30,$AT$3&lt;=DA$7),ROUND(DA151*($AP$3+#REF!),-1),""))</f>
        <v/>
      </c>
      <c r="DC151" s="502"/>
      <c r="DD151" s="503" t="str">
        <f>IF($G151="","",IF(AND($G151&gt;=30,$AT$3&lt;=DC$7),ROUND(DC151*($AP$3+#REF!),-1),""))</f>
        <v/>
      </c>
      <c r="DE151" s="503"/>
      <c r="DF151" s="503" t="str">
        <f>IF($G151="","",IF(AND($G151&gt;=30,$AT$3&lt;=DE$7),ROUND(DE151*($AP$3+#REF!),-1),""))</f>
        <v/>
      </c>
      <c r="DG151" s="503"/>
      <c r="DH151" s="503" t="str">
        <f>IF($G151="","",IF(AND($G151&gt;=30,$AT$3&lt;=DG$7),ROUND(DG151*($AP$3+#REF!),-1),""))</f>
        <v/>
      </c>
      <c r="DI151" s="503"/>
      <c r="DJ151" s="503" t="str">
        <f>IF($G151="","",IF(AND($G151&gt;=30,$AT$3&lt;=DI$7),ROUND(DI151*($AP$3+#REF!),-1),""))</f>
        <v/>
      </c>
      <c r="DK151" s="503"/>
      <c r="DL151" s="503" t="str">
        <f>IF($G151="","",IF(AND($G151&gt;=30,$AT$3&lt;=DK$7),ROUND(DK151*($AP$3+#REF!),-1),""))</f>
        <v/>
      </c>
      <c r="DM151" s="503"/>
      <c r="DN151" s="503" t="str">
        <f>IF($G151="","",IF(AND($G151&gt;=30,$AT$3&lt;=DM$7),ROUND(DM151*($AP$3+#REF!),-1),""))</f>
        <v/>
      </c>
      <c r="DO151" s="503"/>
      <c r="DP151" s="503" t="str">
        <f>IF($G151="","",IF(AND($G151&gt;=30,$AT$3&lt;=DO$7),ROUND(DO151*($AP$3+#REF!),-1),""))</f>
        <v/>
      </c>
      <c r="DQ151" s="503"/>
      <c r="DR151" s="503" t="str">
        <f>IF($G151="","",IF(AND($G151&gt;=30,$AT$3&lt;=DQ$7),ROUND(DQ151*($AP$3+#REF!),-1),""))</f>
        <v/>
      </c>
      <c r="DS151" s="503"/>
      <c r="DT151" s="503" t="str">
        <f>IF($G151="","",IF(AND($G151&gt;=30,$AT$3&lt;=DS$7),ROUND(DS151*($AP$3+#REF!),-1),""))</f>
        <v/>
      </c>
      <c r="DU151" s="503"/>
      <c r="DV151" s="503" t="str">
        <f>IF($G151="","",IF(AND($G151&gt;=30,$AT$3&lt;=DU$7),ROUND(DU151*($AP$3+#REF!),-1),""))</f>
        <v/>
      </c>
      <c r="DW151" s="503"/>
      <c r="DX151" s="503" t="str">
        <f>IF($G151="","",IF(AND($G151&gt;=30,$AT$3&lt;=DW$7),ROUND(DW151*($AP$3+#REF!),-1),""))</f>
        <v/>
      </c>
      <c r="DY151" s="503"/>
      <c r="DZ151" s="503" t="str">
        <f>IF($G151="","",IF(AND($G151&gt;=30,$AT$3&lt;=DY$7),ROUND(DY151*($AP$3+#REF!),-1),""))</f>
        <v/>
      </c>
      <c r="EA151" s="503"/>
      <c r="EB151" s="503" t="str">
        <f>IF($G151="","",IF(AND($G151&gt;=30,$AT$3&lt;=EA$7),ROUND(EA151*($AP$3+#REF!),-1),""))</f>
        <v/>
      </c>
      <c r="EC151" s="504" t="s">
        <v>621</v>
      </c>
      <c r="ED151" s="1126"/>
      <c r="EE151" s="325">
        <v>11</v>
      </c>
    </row>
    <row r="152" spans="1:135" ht="9.75" customHeight="1">
      <c r="A152" s="321" t="str">
        <f t="shared" si="37"/>
        <v/>
      </c>
      <c r="B152" s="567">
        <f>(ii!$D$13*12+V152)+1</f>
        <v>46</v>
      </c>
      <c r="C152" s="337">
        <f t="shared" si="44"/>
        <v>46752</v>
      </c>
      <c r="D152" s="484">
        <f t="shared" si="39"/>
        <v>2027</v>
      </c>
      <c r="E152" s="484">
        <f t="shared" si="45"/>
        <v>1</v>
      </c>
      <c r="F152" s="484">
        <f t="shared" si="41"/>
        <v>2028</v>
      </c>
      <c r="G152" s="485" t="str">
        <f>IF(OR(C152&lt;$I$2,C152&gt;$J$3),"",(ii!$D$13*12+V152+1)/12)</f>
        <v/>
      </c>
      <c r="H152" s="486"/>
      <c r="I152" s="486"/>
      <c r="J152" s="487"/>
      <c r="K152" s="488"/>
      <c r="L152" s="548"/>
      <c r="M152" s="489" t="str">
        <f t="shared" si="32"/>
        <v/>
      </c>
      <c r="N152" s="490" t="s">
        <v>621</v>
      </c>
      <c r="O152" s="490" t="str">
        <f t="shared" si="42"/>
        <v/>
      </c>
      <c r="P152" s="491"/>
      <c r="Q152" s="491"/>
      <c r="R152" s="491" t="str">
        <f t="shared" si="43"/>
        <v/>
      </c>
      <c r="S152" s="528" t="str">
        <f t="shared" si="38"/>
        <v/>
      </c>
      <c r="T152" s="528" t="str">
        <f t="shared" si="36"/>
        <v/>
      </c>
      <c r="U152" s="493" t="str">
        <f>IF(H152="","",#REF!*12+#REF!+#REF!*12+#REF!)</f>
        <v/>
      </c>
      <c r="V152" s="338">
        <f>IF(ii!$J$3&gt;gg!C152,"",IF(AND((YEAR(C152)=YEAR($I$2)),MONTH(C152)=MONTH($I$2)),ii!$B$14*12+ii!$C$14+ii!$B$15*12+ii!$C$15-1,V151+1))</f>
        <v>45</v>
      </c>
      <c r="W152" s="339">
        <f t="shared" si="46"/>
        <v>3.75</v>
      </c>
      <c r="X152" s="494" t="s">
        <v>621</v>
      </c>
      <c r="Y152" s="495" t="s">
        <v>621</v>
      </c>
      <c r="Z152" s="496"/>
      <c r="AA152" s="497"/>
      <c r="AB152" s="498" t="e">
        <f t="shared" si="35"/>
        <v>#VALUE!</v>
      </c>
      <c r="AC152" s="484" t="str">
        <f t="shared" si="33"/>
        <v/>
      </c>
      <c r="AD152" s="495" t="str">
        <f t="shared" si="34"/>
        <v/>
      </c>
      <c r="AE152" s="499" t="s">
        <v>621</v>
      </c>
      <c r="AF152" s="500" t="s">
        <v>621</v>
      </c>
      <c r="AG152" s="556" t="s">
        <v>621</v>
      </c>
      <c r="AH152" s="503" t="str">
        <f>IF($G152="","",IF(AND($G152&gt;=30,$AT$3&lt;=AG$7),ROUND(AG152*($AP$3+#REF!),-1),""))</f>
        <v/>
      </c>
      <c r="AI152" s="506" t="s">
        <v>621</v>
      </c>
      <c r="AJ152" s="503" t="str">
        <f>IF($G152="","",IF(AND($G152&gt;=30,$AT$3&lt;=AI$7),ROUND(AI152*($AP$3+#REF!),-1),""))</f>
        <v/>
      </c>
      <c r="AK152" s="506" t="s">
        <v>621</v>
      </c>
      <c r="AL152" s="503" t="str">
        <f>IF($G152="","",IF(AND($G152&gt;=30,$AT$3&lt;=AK$7),ROUND(AK152*($AP$3+#REF!),-1),""))</f>
        <v/>
      </c>
      <c r="AM152" s="506" t="s">
        <v>621</v>
      </c>
      <c r="AN152" s="503" t="str">
        <f>IF($G152="","",IF(AND($G152&gt;=30,$AT$3&lt;=AM$7),ROUND(AM152*($AP$3+#REF!),-1),""))</f>
        <v/>
      </c>
      <c r="AO152" s="503" t="e">
        <v>#REF!</v>
      </c>
      <c r="AP152" s="503" t="str">
        <f>IF($G152="","",IF(AND($G152&gt;=30,$AT$3&lt;=AO$7),ROUND(AO152*($AP$3+#REF!),-1),""))</f>
        <v/>
      </c>
      <c r="AQ152" s="503" t="s">
        <v>621</v>
      </c>
      <c r="AR152" s="503" t="str">
        <f>IF($G152="","",IF(AND($G152&gt;=30,$AT$3&lt;=AQ$7),ROUND(AQ152*($AP$3+#REF!),-1),""))</f>
        <v/>
      </c>
      <c r="AS152" s="503" t="s">
        <v>621</v>
      </c>
      <c r="AT152" s="503" t="str">
        <f>IF($G152="","",IF(AND($G152&gt;=30,$AT$3&lt;=AS$7),ROUND(AS152*($AP$3+#REF!),-1),""))</f>
        <v/>
      </c>
      <c r="AU152" s="503" t="s">
        <v>621</v>
      </c>
      <c r="AV152" s="503" t="str">
        <f>IF($G152="","",IF(AND($G152&gt;=30,$AT$3&lt;=AU$7),ROUND(AU152*($AP$3+#REF!),-1),""))</f>
        <v/>
      </c>
      <c r="AW152" s="503" t="s">
        <v>621</v>
      </c>
      <c r="AX152" s="503" t="str">
        <f>IF($G152="","",IF(AND($G152&gt;=30,$AT$3&lt;=AW$7),ROUND(AW152*($AP$3+#REF!),-1),""))</f>
        <v/>
      </c>
      <c r="AY152" s="503" t="s">
        <v>621</v>
      </c>
      <c r="AZ152" s="503" t="str">
        <f>IF($G152="","",IF(AND($G152&gt;=30,$AT$3&lt;=AY$7),ROUND(AY152*($AP$3+#REF!),-1),""))</f>
        <v/>
      </c>
      <c r="BA152" s="503" t="s">
        <v>621</v>
      </c>
      <c r="BB152" s="503" t="str">
        <f>IF($G152="","",IF(AND($G152&gt;=30,$AT$3&lt;=BA$7),ROUND(BA152*($AP$3+#REF!),-1),""))</f>
        <v/>
      </c>
      <c r="BC152" s="517" t="e">
        <v>#REF!</v>
      </c>
      <c r="BD152" s="503" t="str">
        <f>IF($G152="","",IF(AND($G152&gt;=30,$AT$3&lt;=BC$7),ROUND(BC152*($AP$3+#REF!),-1),""))</f>
        <v/>
      </c>
      <c r="BE152" s="503"/>
      <c r="BF152" s="503" t="str">
        <f>IF($G152="","",IF(AND($G152&gt;=30,$AT$3&lt;=BE$7),ROUND(BE152*($AP$3+#REF!),-1),""))</f>
        <v/>
      </c>
      <c r="BG152" s="502"/>
      <c r="BH152" s="503" t="str">
        <f>IF($G152="","",IF(AND($G152&gt;=30,$AT$3&lt;=BG$7),ROUND(BG152*($AP$3+#REF!),-1),""))</f>
        <v/>
      </c>
      <c r="BI152" s="503"/>
      <c r="BJ152" s="503" t="str">
        <f>IF($G152="","",IF(AND($G152&gt;=30,$AT$3&lt;=BI$7),ROUND(BI152*($AP$3+#REF!),-1),""))</f>
        <v/>
      </c>
      <c r="BK152" s="502"/>
      <c r="BL152" s="503" t="str">
        <f>IF($G152="","",IF(AND($G152&gt;=30,$AT$3&lt;=BK$7),ROUND(BK152*($AP$3+#REF!),-1),""))</f>
        <v/>
      </c>
      <c r="BM152" s="503"/>
      <c r="BN152" s="503" t="str">
        <f>IF($G152="","",IF(AND($G152&gt;=30,$AT$3&lt;=BM$7),ROUND(BM152*($AP$3+#REF!),-1),""))</f>
        <v/>
      </c>
      <c r="BO152" s="502"/>
      <c r="BP152" s="503" t="str">
        <f>IF($G152="","",IF(AND($G152&gt;=30,$AT$3&lt;=BO$7),ROUND(BO152*($AP$3+#REF!),-1),""))</f>
        <v/>
      </c>
      <c r="BQ152" s="503"/>
      <c r="BR152" s="503" t="str">
        <f>IF($G152="","",IF(AND($G152&gt;=30,$AT$3&lt;=BQ$7),ROUND(BQ152*($AP$3+#REF!),-1),""))</f>
        <v/>
      </c>
      <c r="BS152" s="502"/>
      <c r="BT152" s="503" t="str">
        <f>IF($G152="","",IF(AND($G152&gt;=30,$AT$3&lt;=BS$7),ROUND(BS152*($AP$3+#REF!),-1),""))</f>
        <v/>
      </c>
      <c r="BU152" s="503"/>
      <c r="BV152" s="503" t="str">
        <f>IF($G152="","",IF(AND($G152&gt;=30,$AT$3&lt;=BU$7),ROUND(BU152*($AP$3+#REF!),-1),""))</f>
        <v/>
      </c>
      <c r="BW152" s="502"/>
      <c r="BX152" s="503" t="str">
        <f>IF($G152="","",IF(AND($G152&gt;=30,$AT$3&lt;=BW$7),ROUND(BW152*($AP$3+#REF!),-1),""))</f>
        <v/>
      </c>
      <c r="BY152" s="503"/>
      <c r="BZ152" s="503" t="str">
        <f>IF($G152="","",IF(AND($G152&gt;=30,$AT$3&lt;=BY$7),ROUND(BY152*($AP$3+#REF!),-1),""))</f>
        <v/>
      </c>
      <c r="CA152" s="502"/>
      <c r="CB152" s="503" t="str">
        <f>IF($G152="","",IF(AND($G152&gt;=30,$AT$3&lt;=CA$7),ROUND(CA152*($AP$3+#REF!),-1),""))</f>
        <v/>
      </c>
      <c r="CC152" s="503"/>
      <c r="CD152" s="503" t="str">
        <f>IF($G152="","",IF(AND($G152&gt;=30,$AT$3&lt;=CC$7),ROUND(CC152*($AP$3+#REF!),-1),""))</f>
        <v/>
      </c>
      <c r="CE152" s="502"/>
      <c r="CF152" s="503" t="str">
        <f>IF($G152="","",IF(AND($G152&gt;=30,$AT$3&lt;=CE$7),ROUND(CE152*($AP$3+#REF!),-1),""))</f>
        <v/>
      </c>
      <c r="CG152" s="503"/>
      <c r="CH152" s="503" t="str">
        <f>IF($G152="","",IF(AND($G152&gt;=30,$AT$3&lt;=CG$7),ROUND(CG152*($AP$3+#REF!),-1),""))</f>
        <v/>
      </c>
      <c r="CI152" s="502"/>
      <c r="CJ152" s="503" t="str">
        <f>IF($G152="","",IF(AND($G152&gt;=30,$AT$3&lt;=CI$7),ROUND(CI152*($AP$3+#REF!),-1),""))</f>
        <v/>
      </c>
      <c r="CK152" s="503"/>
      <c r="CL152" s="503" t="str">
        <f>IF($G152="","",IF(AND($G152&gt;=30,$AT$3&lt;=CK$7),ROUND(CK152*($AP$3+#REF!),-1),""))</f>
        <v/>
      </c>
      <c r="CM152" s="502"/>
      <c r="CN152" s="503" t="str">
        <f>IF($G152="","",IF(AND($G152&gt;=30,$AT$3&lt;=CM$7),ROUND(CM152*($AP$3+#REF!),-1),""))</f>
        <v/>
      </c>
      <c r="CO152" s="503"/>
      <c r="CP152" s="503" t="str">
        <f>IF($G152="","",IF(AND($G152&gt;=30,$AT$3&lt;=CO$7),ROUND(CO152*($AP$3+#REF!),-1),""))</f>
        <v/>
      </c>
      <c r="CQ152" s="502"/>
      <c r="CR152" s="503" t="str">
        <f>IF($G152="","",IF(AND($G152&gt;=30,$AT$3&lt;=CQ$7),ROUND(CQ152*($AP$3+#REF!),-1),""))</f>
        <v/>
      </c>
      <c r="CS152" s="503"/>
      <c r="CT152" s="503" t="str">
        <f>IF($G152="","",IF(AND($G152&gt;=30,$AT$3&lt;=CS$7),ROUND(CS152*($AP$3+#REF!),-1),""))</f>
        <v/>
      </c>
      <c r="CU152" s="502"/>
      <c r="CV152" s="503" t="str">
        <f>IF($G152="","",IF(AND($G152&gt;=30,$AT$3&lt;=CU$7),ROUND(CU152*($AP$3+#REF!),-1),""))</f>
        <v/>
      </c>
      <c r="CW152" s="503"/>
      <c r="CX152" s="503" t="str">
        <f>IF($G152="","",IF(AND($G152&gt;=30,$AT$3&lt;=CW$7),ROUND(CW152*($AP$3+#REF!),-1),""))</f>
        <v/>
      </c>
      <c r="CY152" s="502"/>
      <c r="CZ152" s="503" t="str">
        <f>IF($G152="","",IF(AND($G152&gt;=30,$AT$3&lt;=CY$7),ROUND(CY152*($AP$3+#REF!),-1),""))</f>
        <v/>
      </c>
      <c r="DA152" s="503"/>
      <c r="DB152" s="503" t="str">
        <f>IF($G152="","",IF(AND($G152&gt;=30,$AT$3&lt;=DA$7),ROUND(DA152*($AP$3+#REF!),-1),""))</f>
        <v/>
      </c>
      <c r="DC152" s="502"/>
      <c r="DD152" s="503" t="str">
        <f>IF($G152="","",IF(AND($G152&gt;=30,$AT$3&lt;=DC$7),ROUND(DC152*($AP$3+#REF!),-1),""))</f>
        <v/>
      </c>
      <c r="DE152" s="503"/>
      <c r="DF152" s="503" t="str">
        <f>IF($G152="","",IF(AND($G152&gt;=30,$AT$3&lt;=DE$7),ROUND(DE152*($AP$3+#REF!),-1),""))</f>
        <v/>
      </c>
      <c r="DG152" s="503"/>
      <c r="DH152" s="503" t="str">
        <f>IF($G152="","",IF(AND($G152&gt;=30,$AT$3&lt;=DG$7),ROUND(DG152*($AP$3+#REF!),-1),""))</f>
        <v/>
      </c>
      <c r="DI152" s="503"/>
      <c r="DJ152" s="503" t="str">
        <f>IF($G152="","",IF(AND($G152&gt;=30,$AT$3&lt;=DI$7),ROUND(DI152*($AP$3+#REF!),-1),""))</f>
        <v/>
      </c>
      <c r="DK152" s="503"/>
      <c r="DL152" s="503" t="str">
        <f>IF($G152="","",IF(AND($G152&gt;=30,$AT$3&lt;=DK$7),ROUND(DK152*($AP$3+#REF!),-1),""))</f>
        <v/>
      </c>
      <c r="DM152" s="503"/>
      <c r="DN152" s="503" t="str">
        <f>IF($G152="","",IF(AND($G152&gt;=30,$AT$3&lt;=DM$7),ROUND(DM152*($AP$3+#REF!),-1),""))</f>
        <v/>
      </c>
      <c r="DO152" s="503"/>
      <c r="DP152" s="503" t="str">
        <f>IF($G152="","",IF(AND($G152&gt;=30,$AT$3&lt;=DO$7),ROUND(DO152*($AP$3+#REF!),-1),""))</f>
        <v/>
      </c>
      <c r="DQ152" s="503"/>
      <c r="DR152" s="503" t="str">
        <f>IF($G152="","",IF(AND($G152&gt;=30,$AT$3&lt;=DQ$7),ROUND(DQ152*($AP$3+#REF!),-1),""))</f>
        <v/>
      </c>
      <c r="DS152" s="503"/>
      <c r="DT152" s="503" t="str">
        <f>IF($G152="","",IF(AND($G152&gt;=30,$AT$3&lt;=DS$7),ROUND(DS152*($AP$3+#REF!),-1),""))</f>
        <v/>
      </c>
      <c r="DU152" s="503"/>
      <c r="DV152" s="503" t="str">
        <f>IF($G152="","",IF(AND($G152&gt;=30,$AT$3&lt;=DU$7),ROUND(DU152*($AP$3+#REF!),-1),""))</f>
        <v/>
      </c>
      <c r="DW152" s="503"/>
      <c r="DX152" s="503" t="str">
        <f>IF($G152="","",IF(AND($G152&gt;=30,$AT$3&lt;=DW$7),ROUND(DW152*($AP$3+#REF!),-1),""))</f>
        <v/>
      </c>
      <c r="DY152" s="503"/>
      <c r="DZ152" s="503" t="str">
        <f>IF($G152="","",IF(AND($G152&gt;=30,$AT$3&lt;=DY$7),ROUND(DY152*($AP$3+#REF!),-1),""))</f>
        <v/>
      </c>
      <c r="EA152" s="503"/>
      <c r="EB152" s="503" t="str">
        <f>IF($G152="","",IF(AND($G152&gt;=30,$AT$3&lt;=EA$7),ROUND(EA152*($AP$3+#REF!),-1),""))</f>
        <v/>
      </c>
      <c r="EC152" s="504" t="s">
        <v>621</v>
      </c>
      <c r="ED152" s="1126"/>
      <c r="EE152" s="325">
        <v>12</v>
      </c>
    </row>
    <row r="153" spans="1:135" ht="9.75" customHeight="1">
      <c r="A153" s="321" t="str">
        <f t="shared" si="37"/>
        <v/>
      </c>
      <c r="B153" s="567">
        <f>(ii!$D$13*12+V153)+1</f>
        <v>47</v>
      </c>
      <c r="C153" s="345">
        <f t="shared" si="44"/>
        <v>46783</v>
      </c>
      <c r="D153" s="340">
        <f>YEAR(C153)</f>
        <v>2028</v>
      </c>
      <c r="E153" s="340">
        <f t="shared" si="45"/>
        <v>8.3333333333333329E-2</v>
      </c>
      <c r="F153" s="340">
        <f>D153+E153</f>
        <v>2028.0833333333333</v>
      </c>
      <c r="G153" s="531" t="str">
        <f>IF(OR(C153&lt;$I$2,C153&gt;$J$3),"",(ii!$D$13*12+V153+1)/12)</f>
        <v/>
      </c>
      <c r="H153" s="532"/>
      <c r="I153" s="532"/>
      <c r="J153" s="533"/>
      <c r="K153" s="553"/>
      <c r="L153" s="534"/>
      <c r="M153" s="535" t="str">
        <f t="shared" si="32"/>
        <v/>
      </c>
      <c r="N153" s="536" t="s">
        <v>621</v>
      </c>
      <c r="O153" s="536" t="str">
        <f t="shared" si="42"/>
        <v/>
      </c>
      <c r="P153" s="537"/>
      <c r="Q153" s="537"/>
      <c r="R153" s="533" t="str">
        <f t="shared" si="43"/>
        <v/>
      </c>
      <c r="S153" s="538" t="str">
        <f t="shared" si="38"/>
        <v/>
      </c>
      <c r="T153" s="538" t="str">
        <f t="shared" si="36"/>
        <v/>
      </c>
      <c r="U153" s="539" t="str">
        <f>IF(H153="","",#REF!*12+#REF!+#REF!*12+#REF!)</f>
        <v/>
      </c>
      <c r="V153" s="338">
        <f>IF(ii!$J$3&gt;gg!C153,"",IF(AND((YEAR(C153)=YEAR($I$2)),MONTH(C153)=MONTH($I$2)),ii!$B$14*12+ii!$C$14+ii!$B$15*12+ii!$C$15-1,V152+1))</f>
        <v>46</v>
      </c>
      <c r="W153" s="339">
        <f t="shared" si="46"/>
        <v>3.8333333333333335</v>
      </c>
      <c r="X153" s="540" t="s">
        <v>621</v>
      </c>
      <c r="Y153" s="538" t="s">
        <v>621</v>
      </c>
      <c r="Z153" s="541">
        <f>Z141+$Z$26</f>
        <v>0.30000000000000004</v>
      </c>
      <c r="AA153" s="542" t="str">
        <f>IF(Y153="","",(Y153-Y152)/Y152)</f>
        <v/>
      </c>
      <c r="AB153" s="543" t="e">
        <f t="shared" si="35"/>
        <v>#VALUE!</v>
      </c>
      <c r="AC153" s="544" t="str">
        <f t="shared" si="33"/>
        <v/>
      </c>
      <c r="AD153" s="538" t="str">
        <f t="shared" si="34"/>
        <v/>
      </c>
      <c r="AE153" s="545" t="s">
        <v>621</v>
      </c>
      <c r="AF153" s="546" t="s">
        <v>621</v>
      </c>
      <c r="AG153" s="558" t="s">
        <v>621</v>
      </c>
      <c r="AH153" s="547" t="str">
        <f>IF($G153="","",IF(AND($G153&gt;=30,$AT$3&lt;=AG$7),ROUND(AG153*($AP$3+#REF!),-1),""))</f>
        <v/>
      </c>
      <c r="AI153" s="558" t="s">
        <v>621</v>
      </c>
      <c r="AJ153" s="547" t="str">
        <f>IF($G153="","",IF(AND($G153&gt;=30,$AT$3&lt;=AI$7),ROUND(AI153*($AP$3+#REF!),-1),""))</f>
        <v/>
      </c>
      <c r="AK153" s="560" t="s">
        <v>621</v>
      </c>
      <c r="AL153" s="547" t="str">
        <f>IF($G153="","",IF(AND($G153&gt;=30,$AT$3&lt;=AK$7),ROUND(AK153*($AP$3+#REF!),-1),""))</f>
        <v/>
      </c>
      <c r="AM153" s="560" t="s">
        <v>621</v>
      </c>
      <c r="AN153" s="547" t="str">
        <f>IF($G153="","",IF(AND($G153&gt;=30,$AT$3&lt;=AM$7),ROUND(AM153*($AP$3+#REF!),-1),""))</f>
        <v/>
      </c>
      <c r="AO153" s="547" t="e">
        <v>#REF!</v>
      </c>
      <c r="AP153" s="547" t="str">
        <f>IF($G153="","",IF(AND($G153&gt;=30,$AT$3&lt;=AO$7),ROUND(AO153*($AP$3+#REF!),-1),""))</f>
        <v/>
      </c>
      <c r="AQ153" s="547" t="s">
        <v>621</v>
      </c>
      <c r="AR153" s="547" t="str">
        <f>IF($G153="","",IF(AND($G153&gt;=30,$AT$3&lt;=AQ$7),ROUND(AQ153*($AP$3+#REF!),-1),""))</f>
        <v/>
      </c>
      <c r="AS153" s="547" t="s">
        <v>621</v>
      </c>
      <c r="AT153" s="547" t="str">
        <f>IF($G153="","",IF(AND($G153&gt;=30,$AT$3&lt;=AS$7),ROUND(AS153*($AP$3+#REF!),-1),""))</f>
        <v/>
      </c>
      <c r="AU153" s="547" t="s">
        <v>621</v>
      </c>
      <c r="AV153" s="547" t="str">
        <f>IF($G153="","",IF(AND($G153&gt;=30,$AT$3&lt;=AU$7),ROUND(AU153*($AP$3+#REF!),-1),""))</f>
        <v/>
      </c>
      <c r="AW153" s="547" t="s">
        <v>621</v>
      </c>
      <c r="AX153" s="547" t="str">
        <f>IF($G153="","",IF(AND($G153&gt;=30,$AT$3&lt;=AW$7),ROUND(AW153*($AP$3+#REF!),-1),""))</f>
        <v/>
      </c>
      <c r="AY153" s="547" t="s">
        <v>621</v>
      </c>
      <c r="AZ153" s="547" t="str">
        <f>IF($G153="","",IF(AND($G153&gt;=30,$AT$3&lt;=AY$7),ROUND(AY153*($AP$3+#REF!),-1),""))</f>
        <v/>
      </c>
      <c r="BA153" s="547" t="s">
        <v>621</v>
      </c>
      <c r="BB153" s="547" t="str">
        <f>IF($G153="","",IF(AND($G153&gt;=30,$AT$3&lt;=BA$7),ROUND(BA153*($AP$3+#REF!),-1),""))</f>
        <v/>
      </c>
      <c r="BC153" s="547" t="s">
        <v>621</v>
      </c>
      <c r="BD153" s="547" t="str">
        <f>IF($G153="","",IF(AND($G153&gt;=30,$AT$3&lt;=BC$7),ROUND(BC153*($AP$3+#REF!),-1),""))</f>
        <v/>
      </c>
      <c r="BE153" s="533" t="e">
        <v>#REF!</v>
      </c>
      <c r="BF153" s="547" t="str">
        <f>IF($G153="","",IF(AND($G153&gt;=30,$AT$3&lt;=BE$7),ROUND(BE153*($AP$3+#REF!),-1),""))</f>
        <v/>
      </c>
      <c r="BG153" s="547"/>
      <c r="BH153" s="547" t="str">
        <f>IF($G153="","",IF(AND($G153&gt;=30,$AT$3&lt;=BG$7),ROUND(BG153*($AP$3+#REF!),-1),""))</f>
        <v/>
      </c>
      <c r="BI153" s="547"/>
      <c r="BJ153" s="547" t="str">
        <f>IF($G153="","",IF(AND($G153&gt;=30,$AT$3&lt;=BI$7),ROUND(BI153*($AP$3+#REF!),-1),""))</f>
        <v/>
      </c>
      <c r="BK153" s="547"/>
      <c r="BL153" s="547" t="str">
        <f>IF($G153="","",IF(AND($G153&gt;=30,$AT$3&lt;=BK$7),ROUND(BK153*($AP$3+#REF!),-1),""))</f>
        <v/>
      </c>
      <c r="BM153" s="547"/>
      <c r="BN153" s="547" t="str">
        <f>IF($G153="","",IF(AND($G153&gt;=30,$AT$3&lt;=BM$7),ROUND(BM153*($AP$3+#REF!),-1),""))</f>
        <v/>
      </c>
      <c r="BO153" s="547"/>
      <c r="BP153" s="547" t="str">
        <f>IF($G153="","",IF(AND($G153&gt;=30,$AT$3&lt;=BO$7),ROUND(BO153*($AP$3+#REF!),-1),""))</f>
        <v/>
      </c>
      <c r="BQ153" s="547"/>
      <c r="BR153" s="547" t="str">
        <f>IF($G153="","",IF(AND($G153&gt;=30,$AT$3&lt;=BQ$7),ROUND(BQ153*($AP$3+#REF!),-1),""))</f>
        <v/>
      </c>
      <c r="BS153" s="547"/>
      <c r="BT153" s="547" t="str">
        <f>IF($G153="","",IF(AND($G153&gt;=30,$AT$3&lt;=BS$7),ROUND(BS153*($AP$3+#REF!),-1),""))</f>
        <v/>
      </c>
      <c r="BU153" s="547"/>
      <c r="BV153" s="547" t="str">
        <f>IF($G153="","",IF(AND($G153&gt;=30,$AT$3&lt;=BU$7),ROUND(BU153*($AP$3+#REF!),-1),""))</f>
        <v/>
      </c>
      <c r="BW153" s="547"/>
      <c r="BX153" s="547" t="str">
        <f>IF($G153="","",IF(AND($G153&gt;=30,$AT$3&lt;=BW$7),ROUND(BW153*($AP$3+#REF!),-1),""))</f>
        <v/>
      </c>
      <c r="BY153" s="547"/>
      <c r="BZ153" s="547" t="str">
        <f>IF($G153="","",IF(AND($G153&gt;=30,$AT$3&lt;=BY$7),ROUND(BY153*($AP$3+#REF!),-1),""))</f>
        <v/>
      </c>
      <c r="CA153" s="547"/>
      <c r="CB153" s="547" t="str">
        <f>IF($G153="","",IF(AND($G153&gt;=30,$AT$3&lt;=CA$7),ROUND(CA153*($AP$3+#REF!),-1),""))</f>
        <v/>
      </c>
      <c r="CC153" s="547"/>
      <c r="CD153" s="547" t="str">
        <f>IF($G153="","",IF(AND($G153&gt;=30,$AT$3&lt;=CC$7),ROUND(CC153*($AP$3+#REF!),-1),""))</f>
        <v/>
      </c>
      <c r="CE153" s="547"/>
      <c r="CF153" s="547" t="str">
        <f>IF($G153="","",IF(AND($G153&gt;=30,$AT$3&lt;=CE$7),ROUND(CE153*($AP$3+#REF!),-1),""))</f>
        <v/>
      </c>
      <c r="CG153" s="547"/>
      <c r="CH153" s="547" t="str">
        <f>IF($G153="","",IF(AND($G153&gt;=30,$AT$3&lt;=CG$7),ROUND(CG153*($AP$3+#REF!),-1),""))</f>
        <v/>
      </c>
      <c r="CI153" s="547"/>
      <c r="CJ153" s="547" t="str">
        <f>IF($G153="","",IF(AND($G153&gt;=30,$AT$3&lt;=CI$7),ROUND(CI153*($AP$3+#REF!),-1),""))</f>
        <v/>
      </c>
      <c r="CK153" s="547"/>
      <c r="CL153" s="547" t="str">
        <f>IF($G153="","",IF(AND($G153&gt;=30,$AT$3&lt;=CK$7),ROUND(CK153*($AP$3+#REF!),-1),""))</f>
        <v/>
      </c>
      <c r="CM153" s="547"/>
      <c r="CN153" s="547" t="str">
        <f>IF($G153="","",IF(AND($G153&gt;=30,$AT$3&lt;=CM$7),ROUND(CM153*($AP$3+#REF!),-1),""))</f>
        <v/>
      </c>
      <c r="CO153" s="547"/>
      <c r="CP153" s="547" t="str">
        <f>IF($G153="","",IF(AND($G153&gt;=30,$AT$3&lt;=CO$7),ROUND(CO153*($AP$3+#REF!),-1),""))</f>
        <v/>
      </c>
      <c r="CQ153" s="547"/>
      <c r="CR153" s="547" t="str">
        <f>IF($G153="","",IF(AND($G153&gt;=30,$AT$3&lt;=CQ$7),ROUND(CQ153*($AP$3+#REF!),-1),""))</f>
        <v/>
      </c>
      <c r="CS153" s="547"/>
      <c r="CT153" s="547" t="str">
        <f>IF($G153="","",IF(AND($G153&gt;=30,$AT$3&lt;=CS$7),ROUND(CS153*($AP$3+#REF!),-1),""))</f>
        <v/>
      </c>
      <c r="CU153" s="547"/>
      <c r="CV153" s="547" t="str">
        <f>IF($G153="","",IF(AND($G153&gt;=30,$AT$3&lt;=CU$7),ROUND(CU153*($AP$3+#REF!),-1),""))</f>
        <v/>
      </c>
      <c r="CW153" s="547"/>
      <c r="CX153" s="547" t="str">
        <f>IF($G153="","",IF(AND($G153&gt;=30,$AT$3&lt;=CW$7),ROUND(CW153*($AP$3+#REF!),-1),""))</f>
        <v/>
      </c>
      <c r="CY153" s="547"/>
      <c r="CZ153" s="547" t="str">
        <f>IF($G153="","",IF(AND($G153&gt;=30,$AT$3&lt;=CY$7),ROUND(CY153*($AP$3+#REF!),-1),""))</f>
        <v/>
      </c>
      <c r="DA153" s="547"/>
      <c r="DB153" s="547" t="str">
        <f>IF($G153="","",IF(AND($G153&gt;=30,$AT$3&lt;=DA$7),ROUND(DA153*($AP$3+#REF!),-1),""))</f>
        <v/>
      </c>
      <c r="DC153" s="547"/>
      <c r="DD153" s="547" t="str">
        <f>IF($G153="","",IF(AND($G153&gt;=30,$AT$3&lt;=DC$7),ROUND(DC153*($AP$3+#REF!),-1),""))</f>
        <v/>
      </c>
      <c r="DE153" s="547"/>
      <c r="DF153" s="547" t="str">
        <f>IF($G153="","",IF(AND($G153&gt;=30,$AT$3&lt;=DE$7),ROUND(DE153*($AP$3+#REF!),-1),""))</f>
        <v/>
      </c>
      <c r="DG153" s="547"/>
      <c r="DH153" s="547" t="str">
        <f>IF($G153="","",IF(AND($G153&gt;=30,$AT$3&lt;=DG$7),ROUND(DG153*($AP$3+#REF!),-1),""))</f>
        <v/>
      </c>
      <c r="DI153" s="547"/>
      <c r="DJ153" s="547" t="str">
        <f>IF($G153="","",IF(AND($G153&gt;=30,$AT$3&lt;=DI$7),ROUND(DI153*($AP$3+#REF!),-1),""))</f>
        <v/>
      </c>
      <c r="DK153" s="547"/>
      <c r="DL153" s="547" t="str">
        <f>IF($G153="","",IF(AND($G153&gt;=30,$AT$3&lt;=DK$7),ROUND(DK153*($AP$3+#REF!),-1),""))</f>
        <v/>
      </c>
      <c r="DM153" s="547"/>
      <c r="DN153" s="547" t="str">
        <f>IF($G153="","",IF(AND($G153&gt;=30,$AT$3&lt;=DM$7),ROUND(DM153*($AP$3+#REF!),-1),""))</f>
        <v/>
      </c>
      <c r="DO153" s="547"/>
      <c r="DP153" s="547" t="str">
        <f>IF($G153="","",IF(AND($G153&gt;=30,$AT$3&lt;=DO$7),ROUND(DO153*($AP$3+#REF!),-1),""))</f>
        <v/>
      </c>
      <c r="DQ153" s="547"/>
      <c r="DR153" s="547" t="str">
        <f>IF($G153="","",IF(AND($G153&gt;=30,$AT$3&lt;=DQ$7),ROUND(DQ153*($AP$3+#REF!),-1),""))</f>
        <v/>
      </c>
      <c r="DS153" s="547"/>
      <c r="DT153" s="547" t="str">
        <f>IF($G153="","",IF(AND($G153&gt;=30,$AT$3&lt;=DS$7),ROUND(DS153*($AP$3+#REF!),-1),""))</f>
        <v/>
      </c>
      <c r="DU153" s="547"/>
      <c r="DV153" s="547" t="str">
        <f>IF($G153="","",IF(AND($G153&gt;=30,$AT$3&lt;=DU$7),ROUND(DU153*($AP$3+#REF!),-1),""))</f>
        <v/>
      </c>
      <c r="DW153" s="547"/>
      <c r="DX153" s="547" t="str">
        <f>IF($G153="","",IF(AND($G153&gt;=30,$AT$3&lt;=DW$7),ROUND(DW153*($AP$3+#REF!),-1),""))</f>
        <v/>
      </c>
      <c r="DY153" s="547"/>
      <c r="DZ153" s="547" t="str">
        <f>IF($G153="","",IF(AND($G153&gt;=30,$AT$3&lt;=DY$7),ROUND(DY153*($AP$3+#REF!),-1),""))</f>
        <v/>
      </c>
      <c r="EA153" s="547"/>
      <c r="EB153" s="547" t="str">
        <f>IF($G153="","",IF(AND($G153&gt;=30,$AT$3&lt;=EA$7),ROUND(EA153*($AP$3+#REF!),-1),""))</f>
        <v/>
      </c>
      <c r="EC153" s="547" t="s">
        <v>621</v>
      </c>
      <c r="ED153" s="1123">
        <f>SUM(EC153:EC164)</f>
        <v>0</v>
      </c>
      <c r="EE153" s="325">
        <v>1</v>
      </c>
    </row>
    <row r="154" spans="1:135" ht="9.75" customHeight="1">
      <c r="A154" s="321" t="str">
        <f t="shared" si="37"/>
        <v/>
      </c>
      <c r="B154" s="567">
        <f>(ii!$D$13*12+V154)+1</f>
        <v>48</v>
      </c>
      <c r="C154" s="337">
        <f t="shared" si="44"/>
        <v>46812</v>
      </c>
      <c r="D154" s="484">
        <f t="shared" ref="D154:D217" si="47">YEAR(C154)</f>
        <v>2028</v>
      </c>
      <c r="E154" s="484">
        <f t="shared" si="45"/>
        <v>0.16666666666666666</v>
      </c>
      <c r="F154" s="484">
        <f t="shared" ref="F154:F217" si="48">D154+E154</f>
        <v>2028.1666666666667</v>
      </c>
      <c r="G154" s="485" t="str">
        <f>IF(OR(C154&lt;$I$2,C154&gt;$J$3),"",(ii!$D$13*12+V154+1)/12)</f>
        <v/>
      </c>
      <c r="H154" s="486"/>
      <c r="I154" s="486"/>
      <c r="J154" s="487"/>
      <c r="K154" s="488"/>
      <c r="L154" s="548"/>
      <c r="M154" s="489" t="str">
        <f t="shared" ref="M154:M217" si="49">IF(K154="","",IF(OR(J152=0,J151=0,J152=""),"",(J154-J153)/J153))</f>
        <v/>
      </c>
      <c r="N154" s="490" t="s">
        <v>621</v>
      </c>
      <c r="O154" s="490" t="str">
        <f t="shared" si="42"/>
        <v/>
      </c>
      <c r="P154" s="491"/>
      <c r="Q154" s="491"/>
      <c r="R154" s="491" t="str">
        <f t="shared" si="43"/>
        <v/>
      </c>
      <c r="S154" s="528" t="str">
        <f t="shared" si="38"/>
        <v/>
      </c>
      <c r="T154" s="528" t="str">
        <f t="shared" si="36"/>
        <v/>
      </c>
      <c r="U154" s="493" t="str">
        <f>IF(H154="","",#REF!*12+#REF!+#REF!*12+#REF!)</f>
        <v/>
      </c>
      <c r="V154" s="338">
        <f>IF(ii!$J$3&gt;gg!C154,"",IF(AND((YEAR(C154)=YEAR($I$2)),MONTH(C154)=MONTH($I$2)),ii!$B$14*12+ii!$C$14+ii!$B$15*12+ii!$C$15-1,V153+1))</f>
        <v>47</v>
      </c>
      <c r="W154" s="339">
        <f t="shared" si="46"/>
        <v>3.9166666666666665</v>
      </c>
      <c r="X154" s="494" t="s">
        <v>621</v>
      </c>
      <c r="Y154" s="495" t="s">
        <v>621</v>
      </c>
      <c r="Z154" s="496"/>
      <c r="AA154" s="497"/>
      <c r="AB154" s="498" t="e">
        <f t="shared" si="35"/>
        <v>#VALUE!</v>
      </c>
      <c r="AC154" s="484" t="str">
        <f t="shared" si="33"/>
        <v/>
      </c>
      <c r="AD154" s="495" t="str">
        <f t="shared" si="34"/>
        <v/>
      </c>
      <c r="AE154" s="499" t="s">
        <v>621</v>
      </c>
      <c r="AF154" s="500" t="s">
        <v>621</v>
      </c>
      <c r="AG154" s="556" t="s">
        <v>621</v>
      </c>
      <c r="AH154" s="503" t="str">
        <f>IF($G154="","",IF(AND($G154&gt;=30,$AT$3&lt;=AG$7),ROUND(AG154*($AP$3+#REF!),-1),""))</f>
        <v/>
      </c>
      <c r="AI154" s="506" t="s">
        <v>621</v>
      </c>
      <c r="AJ154" s="503" t="str">
        <f>IF($G154="","",IF(AND($G154&gt;=30,$AT$3&lt;=AI$7),ROUND(AI154*($AP$3+#REF!),-1),""))</f>
        <v/>
      </c>
      <c r="AK154" s="506" t="s">
        <v>621</v>
      </c>
      <c r="AL154" s="503" t="str">
        <f>IF($G154="","",IF(AND($G154&gt;=30,$AT$3&lt;=AK$7),ROUND(AK154*($AP$3+#REF!),-1),""))</f>
        <v/>
      </c>
      <c r="AM154" s="506" t="s">
        <v>621</v>
      </c>
      <c r="AN154" s="503" t="str">
        <f>IF($G154="","",IF(AND($G154&gt;=30,$AT$3&lt;=AM$7),ROUND(AM154*($AP$3+#REF!),-1),""))</f>
        <v/>
      </c>
      <c r="AO154" s="503" t="e">
        <f>IF(AO153="","",AO153*1.001)</f>
        <v>#REF!</v>
      </c>
      <c r="AP154" s="503" t="str">
        <f>IF($G154="","",IF(AND($G154&gt;=30,$AT$3&lt;=AO$7),ROUND(AO154*($AP$3+#REF!),-1),""))</f>
        <v/>
      </c>
      <c r="AQ154" s="503" t="s">
        <v>621</v>
      </c>
      <c r="AR154" s="503" t="str">
        <f>IF($G154="","",IF(AND($G154&gt;=30,$AT$3&lt;=AQ$7),ROUND(AQ154*($AP$3+#REF!),-1),""))</f>
        <v/>
      </c>
      <c r="AS154" s="503" t="s">
        <v>621</v>
      </c>
      <c r="AT154" s="503" t="str">
        <f>IF($G154="","",IF(AND($G154&gt;=30,$AT$3&lt;=AS$7),ROUND(AS154*($AP$3+#REF!),-1),""))</f>
        <v/>
      </c>
      <c r="AU154" s="503" t="s">
        <v>621</v>
      </c>
      <c r="AV154" s="503" t="str">
        <f>IF($G154="","",IF(AND($G154&gt;=30,$AT$3&lt;=AU$7),ROUND(AU154*($AP$3+#REF!),-1),""))</f>
        <v/>
      </c>
      <c r="AW154" s="503" t="s">
        <v>621</v>
      </c>
      <c r="AX154" s="503" t="str">
        <f>IF($G154="","",IF(AND($G154&gt;=30,$AT$3&lt;=AW$7),ROUND(AW154*($AP$3+#REF!),-1),""))</f>
        <v/>
      </c>
      <c r="AY154" s="503" t="s">
        <v>621</v>
      </c>
      <c r="AZ154" s="503" t="str">
        <f>IF($G154="","",IF(AND($G154&gt;=30,$AT$3&lt;=AY$7),ROUND(AY154*($AP$3+#REF!),-1),""))</f>
        <v/>
      </c>
      <c r="BA154" s="503" t="s">
        <v>621</v>
      </c>
      <c r="BB154" s="503" t="str">
        <f>IF($G154="","",IF(AND($G154&gt;=30,$AT$3&lt;=BA$7),ROUND(BA154*($AP$3+#REF!),-1),""))</f>
        <v/>
      </c>
      <c r="BC154" s="503" t="s">
        <v>621</v>
      </c>
      <c r="BD154" s="503" t="str">
        <f>IF($G154="","",IF(AND($G154&gt;=30,$AT$3&lt;=BC$7),ROUND(BC154*($AP$3+#REF!),-1),""))</f>
        <v/>
      </c>
      <c r="BE154" s="517" t="e">
        <v>#REF!</v>
      </c>
      <c r="BF154" s="503" t="str">
        <f>IF($G154="","",IF(AND($G154&gt;=30,$AT$3&lt;=BE$7),ROUND(BE154*($AP$3+#REF!),-1),""))</f>
        <v/>
      </c>
      <c r="BG154" s="502"/>
      <c r="BH154" s="503" t="str">
        <f>IF($G154="","",IF(AND($G154&gt;=30,$AT$3&lt;=BG$7),ROUND(BG154*($AP$3+#REF!),-1),""))</f>
        <v/>
      </c>
      <c r="BI154" s="503"/>
      <c r="BJ154" s="503" t="str">
        <f>IF($G154="","",IF(AND($G154&gt;=30,$AT$3&lt;=BI$7),ROUND(BI154*($AP$3+#REF!),-1),""))</f>
        <v/>
      </c>
      <c r="BK154" s="502"/>
      <c r="BL154" s="503" t="str">
        <f>IF($G154="","",IF(AND($G154&gt;=30,$AT$3&lt;=BK$7),ROUND(BK154*($AP$3+#REF!),-1),""))</f>
        <v/>
      </c>
      <c r="BM154" s="503"/>
      <c r="BN154" s="503" t="str">
        <f>IF($G154="","",IF(AND($G154&gt;=30,$AT$3&lt;=BM$7),ROUND(BM154*($AP$3+#REF!),-1),""))</f>
        <v/>
      </c>
      <c r="BO154" s="502"/>
      <c r="BP154" s="503" t="str">
        <f>IF($G154="","",IF(AND($G154&gt;=30,$AT$3&lt;=BO$7),ROUND(BO154*($AP$3+#REF!),-1),""))</f>
        <v/>
      </c>
      <c r="BQ154" s="503"/>
      <c r="BR154" s="503" t="str">
        <f>IF($G154="","",IF(AND($G154&gt;=30,$AT$3&lt;=BQ$7),ROUND(BQ154*($AP$3+#REF!),-1),""))</f>
        <v/>
      </c>
      <c r="BS154" s="502"/>
      <c r="BT154" s="503" t="str">
        <f>IF($G154="","",IF(AND($G154&gt;=30,$AT$3&lt;=BS$7),ROUND(BS154*($AP$3+#REF!),-1),""))</f>
        <v/>
      </c>
      <c r="BU154" s="503"/>
      <c r="BV154" s="503" t="str">
        <f>IF($G154="","",IF(AND($G154&gt;=30,$AT$3&lt;=BU$7),ROUND(BU154*($AP$3+#REF!),-1),""))</f>
        <v/>
      </c>
      <c r="BW154" s="502"/>
      <c r="BX154" s="503" t="str">
        <f>IF($G154="","",IF(AND($G154&gt;=30,$AT$3&lt;=BW$7),ROUND(BW154*($AP$3+#REF!),-1),""))</f>
        <v/>
      </c>
      <c r="BY154" s="503"/>
      <c r="BZ154" s="503" t="str">
        <f>IF($G154="","",IF(AND($G154&gt;=30,$AT$3&lt;=BY$7),ROUND(BY154*($AP$3+#REF!),-1),""))</f>
        <v/>
      </c>
      <c r="CA154" s="502"/>
      <c r="CB154" s="503" t="str">
        <f>IF($G154="","",IF(AND($G154&gt;=30,$AT$3&lt;=CA$7),ROUND(CA154*($AP$3+#REF!),-1),""))</f>
        <v/>
      </c>
      <c r="CC154" s="503"/>
      <c r="CD154" s="503" t="str">
        <f>IF($G154="","",IF(AND($G154&gt;=30,$AT$3&lt;=CC$7),ROUND(CC154*($AP$3+#REF!),-1),""))</f>
        <v/>
      </c>
      <c r="CE154" s="502"/>
      <c r="CF154" s="503" t="str">
        <f>IF($G154="","",IF(AND($G154&gt;=30,$AT$3&lt;=CE$7),ROUND(CE154*($AP$3+#REF!),-1),""))</f>
        <v/>
      </c>
      <c r="CG154" s="503"/>
      <c r="CH154" s="503" t="str">
        <f>IF($G154="","",IF(AND($G154&gt;=30,$AT$3&lt;=CG$7),ROUND(CG154*($AP$3+#REF!),-1),""))</f>
        <v/>
      </c>
      <c r="CI154" s="502"/>
      <c r="CJ154" s="503" t="str">
        <f>IF($G154="","",IF(AND($G154&gt;=30,$AT$3&lt;=CI$7),ROUND(CI154*($AP$3+#REF!),-1),""))</f>
        <v/>
      </c>
      <c r="CK154" s="503"/>
      <c r="CL154" s="503" t="str">
        <f>IF($G154="","",IF(AND($G154&gt;=30,$AT$3&lt;=CK$7),ROUND(CK154*($AP$3+#REF!),-1),""))</f>
        <v/>
      </c>
      <c r="CM154" s="502"/>
      <c r="CN154" s="503" t="str">
        <f>IF($G154="","",IF(AND($G154&gt;=30,$AT$3&lt;=CM$7),ROUND(CM154*($AP$3+#REF!),-1),""))</f>
        <v/>
      </c>
      <c r="CO154" s="503"/>
      <c r="CP154" s="503" t="str">
        <f>IF($G154="","",IF(AND($G154&gt;=30,$AT$3&lt;=CO$7),ROUND(CO154*($AP$3+#REF!),-1),""))</f>
        <v/>
      </c>
      <c r="CQ154" s="502"/>
      <c r="CR154" s="503" t="str">
        <f>IF($G154="","",IF(AND($G154&gt;=30,$AT$3&lt;=CQ$7),ROUND(CQ154*($AP$3+#REF!),-1),""))</f>
        <v/>
      </c>
      <c r="CS154" s="503"/>
      <c r="CT154" s="503" t="str">
        <f>IF($G154="","",IF(AND($G154&gt;=30,$AT$3&lt;=CS$7),ROUND(CS154*($AP$3+#REF!),-1),""))</f>
        <v/>
      </c>
      <c r="CU154" s="502"/>
      <c r="CV154" s="503" t="str">
        <f>IF($G154="","",IF(AND($G154&gt;=30,$AT$3&lt;=CU$7),ROUND(CU154*($AP$3+#REF!),-1),""))</f>
        <v/>
      </c>
      <c r="CW154" s="503"/>
      <c r="CX154" s="503" t="str">
        <f>IF($G154="","",IF(AND($G154&gt;=30,$AT$3&lt;=CW$7),ROUND(CW154*($AP$3+#REF!),-1),""))</f>
        <v/>
      </c>
      <c r="CY154" s="502"/>
      <c r="CZ154" s="503" t="str">
        <f>IF($G154="","",IF(AND($G154&gt;=30,$AT$3&lt;=CY$7),ROUND(CY154*($AP$3+#REF!),-1),""))</f>
        <v/>
      </c>
      <c r="DA154" s="503"/>
      <c r="DB154" s="503" t="str">
        <f>IF($G154="","",IF(AND($G154&gt;=30,$AT$3&lt;=DA$7),ROUND(DA154*($AP$3+#REF!),-1),""))</f>
        <v/>
      </c>
      <c r="DC154" s="502"/>
      <c r="DD154" s="503" t="str">
        <f>IF($G154="","",IF(AND($G154&gt;=30,$AT$3&lt;=DC$7),ROUND(DC154*($AP$3+#REF!),-1),""))</f>
        <v/>
      </c>
      <c r="DE154" s="503"/>
      <c r="DF154" s="503" t="str">
        <f>IF($G154="","",IF(AND($G154&gt;=30,$AT$3&lt;=DE$7),ROUND(DE154*($AP$3+#REF!),-1),""))</f>
        <v/>
      </c>
      <c r="DG154" s="503"/>
      <c r="DH154" s="503" t="str">
        <f>IF($G154="","",IF(AND($G154&gt;=30,$AT$3&lt;=DG$7),ROUND(DG154*($AP$3+#REF!),-1),""))</f>
        <v/>
      </c>
      <c r="DI154" s="503"/>
      <c r="DJ154" s="503" t="str">
        <f>IF($G154="","",IF(AND($G154&gt;=30,$AT$3&lt;=DI$7),ROUND(DI154*($AP$3+#REF!),-1),""))</f>
        <v/>
      </c>
      <c r="DK154" s="503"/>
      <c r="DL154" s="503" t="str">
        <f>IF($G154="","",IF(AND($G154&gt;=30,$AT$3&lt;=DK$7),ROUND(DK154*($AP$3+#REF!),-1),""))</f>
        <v/>
      </c>
      <c r="DM154" s="503"/>
      <c r="DN154" s="503" t="str">
        <f>IF($G154="","",IF(AND($G154&gt;=30,$AT$3&lt;=DM$7),ROUND(DM154*($AP$3+#REF!),-1),""))</f>
        <v/>
      </c>
      <c r="DO154" s="503"/>
      <c r="DP154" s="503" t="str">
        <f>IF($G154="","",IF(AND($G154&gt;=30,$AT$3&lt;=DO$7),ROUND(DO154*($AP$3+#REF!),-1),""))</f>
        <v/>
      </c>
      <c r="DQ154" s="503"/>
      <c r="DR154" s="503" t="str">
        <f>IF($G154="","",IF(AND($G154&gt;=30,$AT$3&lt;=DQ$7),ROUND(DQ154*($AP$3+#REF!),-1),""))</f>
        <v/>
      </c>
      <c r="DS154" s="503"/>
      <c r="DT154" s="503" t="str">
        <f>IF($G154="","",IF(AND($G154&gt;=30,$AT$3&lt;=DS$7),ROUND(DS154*($AP$3+#REF!),-1),""))</f>
        <v/>
      </c>
      <c r="DU154" s="503"/>
      <c r="DV154" s="503" t="str">
        <f>IF($G154="","",IF(AND($G154&gt;=30,$AT$3&lt;=DU$7),ROUND(DU154*($AP$3+#REF!),-1),""))</f>
        <v/>
      </c>
      <c r="DW154" s="503"/>
      <c r="DX154" s="503" t="str">
        <f>IF($G154="","",IF(AND($G154&gt;=30,$AT$3&lt;=DW$7),ROUND(DW154*($AP$3+#REF!),-1),""))</f>
        <v/>
      </c>
      <c r="DY154" s="503"/>
      <c r="DZ154" s="503" t="str">
        <f>IF($G154="","",IF(AND($G154&gt;=30,$AT$3&lt;=DY$7),ROUND(DY154*($AP$3+#REF!),-1),""))</f>
        <v/>
      </c>
      <c r="EA154" s="503"/>
      <c r="EB154" s="503" t="str">
        <f>IF($G154="","",IF(AND($G154&gt;=30,$AT$3&lt;=EA$7),ROUND(EA154*($AP$3+#REF!),-1),""))</f>
        <v/>
      </c>
      <c r="EC154" s="504" t="s">
        <v>621</v>
      </c>
      <c r="ED154" s="1124"/>
      <c r="EE154" s="325">
        <v>2</v>
      </c>
    </row>
    <row r="155" spans="1:135" ht="9.75" customHeight="1">
      <c r="A155" s="321" t="str">
        <f t="shared" si="37"/>
        <v/>
      </c>
      <c r="B155" s="567">
        <f>(ii!$D$13*12+V155)+1</f>
        <v>49</v>
      </c>
      <c r="C155" s="337">
        <f t="shared" si="44"/>
        <v>46843</v>
      </c>
      <c r="D155" s="484">
        <f t="shared" si="47"/>
        <v>2028</v>
      </c>
      <c r="E155" s="484">
        <f t="shared" si="45"/>
        <v>0.25</v>
      </c>
      <c r="F155" s="484">
        <f t="shared" si="48"/>
        <v>2028.25</v>
      </c>
      <c r="G155" s="485" t="str">
        <f>IF(OR(C155&lt;$I$2,C155&gt;$J$3),"",(ii!$D$13*12+V155+1)/12)</f>
        <v/>
      </c>
      <c r="H155" s="486"/>
      <c r="I155" s="486"/>
      <c r="J155" s="487"/>
      <c r="K155" s="488"/>
      <c r="L155" s="548"/>
      <c r="M155" s="489" t="str">
        <f t="shared" si="49"/>
        <v/>
      </c>
      <c r="N155" s="490" t="s">
        <v>621</v>
      </c>
      <c r="O155" s="490" t="str">
        <f t="shared" si="42"/>
        <v/>
      </c>
      <c r="P155" s="491"/>
      <c r="Q155" s="491"/>
      <c r="R155" s="491" t="str">
        <f t="shared" si="43"/>
        <v/>
      </c>
      <c r="S155" s="528" t="str">
        <f t="shared" si="38"/>
        <v/>
      </c>
      <c r="T155" s="528" t="str">
        <f t="shared" si="36"/>
        <v/>
      </c>
      <c r="U155" s="493" t="str">
        <f>IF(H155="","",#REF!*12+#REF!+#REF!*12+#REF!)</f>
        <v/>
      </c>
      <c r="V155" s="338">
        <f>IF(ii!$J$3&gt;gg!C155,"",IF(AND((YEAR(C155)=YEAR($I$2)),MONTH(C155)=MONTH($I$2)),ii!$B$14*12+ii!$C$14+ii!$B$15*12+ii!$C$15-1,V154+1))</f>
        <v>48</v>
      </c>
      <c r="W155" s="339">
        <f t="shared" si="46"/>
        <v>4</v>
      </c>
      <c r="X155" s="494" t="s">
        <v>621</v>
      </c>
      <c r="Y155" s="495" t="s">
        <v>621</v>
      </c>
      <c r="Z155" s="496"/>
      <c r="AA155" s="497"/>
      <c r="AB155" s="498" t="e">
        <f t="shared" si="35"/>
        <v>#VALUE!</v>
      </c>
      <c r="AC155" s="484" t="str">
        <f t="shared" ref="AC155:AC218" si="50">IF(OR(C155&lt;$I$2,C155&gt;$J$3),"",IF(AB155&lt;0.3,300,IF(AND(AB155&gt;=0.3,AB155&lt;0.4),216.67,IF(AND(AB155&gt;=0.4,AB155&lt;0.5),175,IF(AND(AB155&gt;=0.5,AB155&lt;0.6),150,IF(AND(AB155&gt;=0.6,AB155&lt;0.7),133.33,IF(AND(AB155&gt;=0.7,AB155&lt;0.8),121.43,IF(AND(AB155&gt;=0.8,AB155&lt;0.9),112.5,IF(AND(AB155&gt;=0.9,AB155&lt;1),105.56,IF(AND(AB155&gt;=1,AB155&lt;1.1),100,IF(AND(AB155&gt;=1.1,AB155&lt;1.2),95.45,IF(AND(AB155&gt;=1.2,AB155&lt;1.3),91.67,IF(AND(AB155&gt;=1.3,AB155&lt;1.4),88.46,IF(AND(AB155&gt;=1.4,AB155&lt;1.5),85.71,IF(AND(AB155&gt;=1.5,AB155&lt;1.6),83.33,IF(AB155&gt;=1.6,81.25,"???"))))))))))))))))</f>
        <v/>
      </c>
      <c r="AD155" s="495" t="str">
        <f t="shared" ref="AD155:AD218" si="51">IF(AC155="","",P155*AC155%)</f>
        <v/>
      </c>
      <c r="AE155" s="499" t="s">
        <v>621</v>
      </c>
      <c r="AF155" s="500" t="s">
        <v>621</v>
      </c>
      <c r="AG155" s="556" t="s">
        <v>621</v>
      </c>
      <c r="AH155" s="503" t="str">
        <f>IF($G155="","",IF(AND($G155&gt;=30,$AT$3&lt;=AG$7),ROUND(AG155*($AP$3+#REF!),-1),""))</f>
        <v/>
      </c>
      <c r="AI155" s="506" t="s">
        <v>621</v>
      </c>
      <c r="AJ155" s="503" t="str">
        <f>IF($G155="","",IF(AND($G155&gt;=30,$AT$3&lt;=AI$7),ROUND(AI155*($AP$3+#REF!),-1),""))</f>
        <v/>
      </c>
      <c r="AK155" s="506" t="s">
        <v>621</v>
      </c>
      <c r="AL155" s="503" t="str">
        <f>IF($G155="","",IF(AND($G155&gt;=30,$AT$3&lt;=AK$7),ROUND(AK155*($AP$3+#REF!),-1),""))</f>
        <v/>
      </c>
      <c r="AM155" s="506" t="s">
        <v>621</v>
      </c>
      <c r="AN155" s="503" t="str">
        <f>IF($G155="","",IF(AND($G155&gt;=30,$AT$3&lt;=AM$7),ROUND(AM155*($AP$3+#REF!),-1),""))</f>
        <v/>
      </c>
      <c r="AO155" s="503" t="e">
        <v>#REF!</v>
      </c>
      <c r="AP155" s="503" t="str">
        <f>IF($G155="","",IF(AND($G155&gt;=30,$AT$3&lt;=AO$7),ROUND(AO155*($AP$3+#REF!),-1),""))</f>
        <v/>
      </c>
      <c r="AQ155" s="503" t="s">
        <v>621</v>
      </c>
      <c r="AR155" s="503" t="str">
        <f>IF($G155="","",IF(AND($G155&gt;=30,$AT$3&lt;=AQ$7),ROUND(AQ155*($AP$3+#REF!),-1),""))</f>
        <v/>
      </c>
      <c r="AS155" s="503" t="s">
        <v>621</v>
      </c>
      <c r="AT155" s="503" t="str">
        <f>IF($G155="","",IF(AND($G155&gt;=30,$AT$3&lt;=AS$7),ROUND(AS155*($AP$3+#REF!),-1),""))</f>
        <v/>
      </c>
      <c r="AU155" s="503" t="s">
        <v>621</v>
      </c>
      <c r="AV155" s="503" t="str">
        <f>IF($G155="","",IF(AND($G155&gt;=30,$AT$3&lt;=AU$7),ROUND(AU155*($AP$3+#REF!),-1),""))</f>
        <v/>
      </c>
      <c r="AW155" s="503" t="s">
        <v>621</v>
      </c>
      <c r="AX155" s="503" t="str">
        <f>IF($G155="","",IF(AND($G155&gt;=30,$AT$3&lt;=AW$7),ROUND(AW155*($AP$3+#REF!),-1),""))</f>
        <v/>
      </c>
      <c r="AY155" s="503" t="s">
        <v>621</v>
      </c>
      <c r="AZ155" s="503" t="str">
        <f>IF($G155="","",IF(AND($G155&gt;=30,$AT$3&lt;=AY$7),ROUND(AY155*($AP$3+#REF!),-1),""))</f>
        <v/>
      </c>
      <c r="BA155" s="503" t="s">
        <v>621</v>
      </c>
      <c r="BB155" s="503" t="str">
        <f>IF($G155="","",IF(AND($G155&gt;=30,$AT$3&lt;=BA$7),ROUND(BA155*($AP$3+#REF!),-1),""))</f>
        <v/>
      </c>
      <c r="BC155" s="503" t="s">
        <v>621</v>
      </c>
      <c r="BD155" s="503" t="str">
        <f>IF($G155="","",IF(AND($G155&gt;=30,$AT$3&lt;=BC$7),ROUND(BC155*($AP$3+#REF!),-1),""))</f>
        <v/>
      </c>
      <c r="BE155" s="517" t="e">
        <v>#REF!</v>
      </c>
      <c r="BF155" s="503" t="str">
        <f>IF($G155="","",IF(AND($G155&gt;=30,$AT$3&lt;=BE$7),ROUND(BE155*($AP$3+#REF!),-1),""))</f>
        <v/>
      </c>
      <c r="BG155" s="502"/>
      <c r="BH155" s="503" t="str">
        <f>IF($G155="","",IF(AND($G155&gt;=30,$AT$3&lt;=BG$7),ROUND(BG155*($AP$3+#REF!),-1),""))</f>
        <v/>
      </c>
      <c r="BI155" s="503"/>
      <c r="BJ155" s="503" t="str">
        <f>IF($G155="","",IF(AND($G155&gt;=30,$AT$3&lt;=BI$7),ROUND(BI155*($AP$3+#REF!),-1),""))</f>
        <v/>
      </c>
      <c r="BK155" s="502"/>
      <c r="BL155" s="503" t="str">
        <f>IF($G155="","",IF(AND($G155&gt;=30,$AT$3&lt;=BK$7),ROUND(BK155*($AP$3+#REF!),-1),""))</f>
        <v/>
      </c>
      <c r="BM155" s="503"/>
      <c r="BN155" s="503" t="str">
        <f>IF($G155="","",IF(AND($G155&gt;=30,$AT$3&lt;=BM$7),ROUND(BM155*($AP$3+#REF!),-1),""))</f>
        <v/>
      </c>
      <c r="BO155" s="502"/>
      <c r="BP155" s="503" t="str">
        <f>IF($G155="","",IF(AND($G155&gt;=30,$AT$3&lt;=BO$7),ROUND(BO155*($AP$3+#REF!),-1),""))</f>
        <v/>
      </c>
      <c r="BQ155" s="503"/>
      <c r="BR155" s="503" t="str">
        <f>IF($G155="","",IF(AND($G155&gt;=30,$AT$3&lt;=BQ$7),ROUND(BQ155*($AP$3+#REF!),-1),""))</f>
        <v/>
      </c>
      <c r="BS155" s="502"/>
      <c r="BT155" s="503" t="str">
        <f>IF($G155="","",IF(AND($G155&gt;=30,$AT$3&lt;=BS$7),ROUND(BS155*($AP$3+#REF!),-1),""))</f>
        <v/>
      </c>
      <c r="BU155" s="503"/>
      <c r="BV155" s="503" t="str">
        <f>IF($G155="","",IF(AND($G155&gt;=30,$AT$3&lt;=BU$7),ROUND(BU155*($AP$3+#REF!),-1),""))</f>
        <v/>
      </c>
      <c r="BW155" s="502"/>
      <c r="BX155" s="503" t="str">
        <f>IF($G155="","",IF(AND($G155&gt;=30,$AT$3&lt;=BW$7),ROUND(BW155*($AP$3+#REF!),-1),""))</f>
        <v/>
      </c>
      <c r="BY155" s="503"/>
      <c r="BZ155" s="503" t="str">
        <f>IF($G155="","",IF(AND($G155&gt;=30,$AT$3&lt;=BY$7),ROUND(BY155*($AP$3+#REF!),-1),""))</f>
        <v/>
      </c>
      <c r="CA155" s="502"/>
      <c r="CB155" s="503" t="str">
        <f>IF($G155="","",IF(AND($G155&gt;=30,$AT$3&lt;=CA$7),ROUND(CA155*($AP$3+#REF!),-1),""))</f>
        <v/>
      </c>
      <c r="CC155" s="503"/>
      <c r="CD155" s="503" t="str">
        <f>IF($G155="","",IF(AND($G155&gt;=30,$AT$3&lt;=CC$7),ROUND(CC155*($AP$3+#REF!),-1),""))</f>
        <v/>
      </c>
      <c r="CE155" s="502"/>
      <c r="CF155" s="503" t="str">
        <f>IF($G155="","",IF(AND($G155&gt;=30,$AT$3&lt;=CE$7),ROUND(CE155*($AP$3+#REF!),-1),""))</f>
        <v/>
      </c>
      <c r="CG155" s="503"/>
      <c r="CH155" s="503" t="str">
        <f>IF($G155="","",IF(AND($G155&gt;=30,$AT$3&lt;=CG$7),ROUND(CG155*($AP$3+#REF!),-1),""))</f>
        <v/>
      </c>
      <c r="CI155" s="502"/>
      <c r="CJ155" s="503" t="str">
        <f>IF($G155="","",IF(AND($G155&gt;=30,$AT$3&lt;=CI$7),ROUND(CI155*($AP$3+#REF!),-1),""))</f>
        <v/>
      </c>
      <c r="CK155" s="503"/>
      <c r="CL155" s="503" t="str">
        <f>IF($G155="","",IF(AND($G155&gt;=30,$AT$3&lt;=CK$7),ROUND(CK155*($AP$3+#REF!),-1),""))</f>
        <v/>
      </c>
      <c r="CM155" s="502"/>
      <c r="CN155" s="503" t="str">
        <f>IF($G155="","",IF(AND($G155&gt;=30,$AT$3&lt;=CM$7),ROUND(CM155*($AP$3+#REF!),-1),""))</f>
        <v/>
      </c>
      <c r="CO155" s="503"/>
      <c r="CP155" s="503" t="str">
        <f>IF($G155="","",IF(AND($G155&gt;=30,$AT$3&lt;=CO$7),ROUND(CO155*($AP$3+#REF!),-1),""))</f>
        <v/>
      </c>
      <c r="CQ155" s="502"/>
      <c r="CR155" s="503" t="str">
        <f>IF($G155="","",IF(AND($G155&gt;=30,$AT$3&lt;=CQ$7),ROUND(CQ155*($AP$3+#REF!),-1),""))</f>
        <v/>
      </c>
      <c r="CS155" s="503"/>
      <c r="CT155" s="503" t="str">
        <f>IF($G155="","",IF(AND($G155&gt;=30,$AT$3&lt;=CS$7),ROUND(CS155*($AP$3+#REF!),-1),""))</f>
        <v/>
      </c>
      <c r="CU155" s="502"/>
      <c r="CV155" s="503" t="str">
        <f>IF($G155="","",IF(AND($G155&gt;=30,$AT$3&lt;=CU$7),ROUND(CU155*($AP$3+#REF!),-1),""))</f>
        <v/>
      </c>
      <c r="CW155" s="503"/>
      <c r="CX155" s="503" t="str">
        <f>IF($G155="","",IF(AND($G155&gt;=30,$AT$3&lt;=CW$7),ROUND(CW155*($AP$3+#REF!),-1),""))</f>
        <v/>
      </c>
      <c r="CY155" s="502"/>
      <c r="CZ155" s="503" t="str">
        <f>IF($G155="","",IF(AND($G155&gt;=30,$AT$3&lt;=CY$7),ROUND(CY155*($AP$3+#REF!),-1),""))</f>
        <v/>
      </c>
      <c r="DA155" s="503"/>
      <c r="DB155" s="503" t="str">
        <f>IF($G155="","",IF(AND($G155&gt;=30,$AT$3&lt;=DA$7),ROUND(DA155*($AP$3+#REF!),-1),""))</f>
        <v/>
      </c>
      <c r="DC155" s="502"/>
      <c r="DD155" s="503" t="str">
        <f>IF($G155="","",IF(AND($G155&gt;=30,$AT$3&lt;=DC$7),ROUND(DC155*($AP$3+#REF!),-1),""))</f>
        <v/>
      </c>
      <c r="DE155" s="503"/>
      <c r="DF155" s="503" t="str">
        <f>IF($G155="","",IF(AND($G155&gt;=30,$AT$3&lt;=DE$7),ROUND(DE155*($AP$3+#REF!),-1),""))</f>
        <v/>
      </c>
      <c r="DG155" s="503"/>
      <c r="DH155" s="503" t="str">
        <f>IF($G155="","",IF(AND($G155&gt;=30,$AT$3&lt;=DG$7),ROUND(DG155*($AP$3+#REF!),-1),""))</f>
        <v/>
      </c>
      <c r="DI155" s="503"/>
      <c r="DJ155" s="503" t="str">
        <f>IF($G155="","",IF(AND($G155&gt;=30,$AT$3&lt;=DI$7),ROUND(DI155*($AP$3+#REF!),-1),""))</f>
        <v/>
      </c>
      <c r="DK155" s="503"/>
      <c r="DL155" s="503" t="str">
        <f>IF($G155="","",IF(AND($G155&gt;=30,$AT$3&lt;=DK$7),ROUND(DK155*($AP$3+#REF!),-1),""))</f>
        <v/>
      </c>
      <c r="DM155" s="503"/>
      <c r="DN155" s="503" t="str">
        <f>IF($G155="","",IF(AND($G155&gt;=30,$AT$3&lt;=DM$7),ROUND(DM155*($AP$3+#REF!),-1),""))</f>
        <v/>
      </c>
      <c r="DO155" s="503"/>
      <c r="DP155" s="503" t="str">
        <f>IF($G155="","",IF(AND($G155&gt;=30,$AT$3&lt;=DO$7),ROUND(DO155*($AP$3+#REF!),-1),""))</f>
        <v/>
      </c>
      <c r="DQ155" s="503"/>
      <c r="DR155" s="503" t="str">
        <f>IF($G155="","",IF(AND($G155&gt;=30,$AT$3&lt;=DQ$7),ROUND(DQ155*($AP$3+#REF!),-1),""))</f>
        <v/>
      </c>
      <c r="DS155" s="503"/>
      <c r="DT155" s="503" t="str">
        <f>IF($G155="","",IF(AND($G155&gt;=30,$AT$3&lt;=DS$7),ROUND(DS155*($AP$3+#REF!),-1),""))</f>
        <v/>
      </c>
      <c r="DU155" s="503"/>
      <c r="DV155" s="503" t="str">
        <f>IF($G155="","",IF(AND($G155&gt;=30,$AT$3&lt;=DU$7),ROUND(DU155*($AP$3+#REF!),-1),""))</f>
        <v/>
      </c>
      <c r="DW155" s="503"/>
      <c r="DX155" s="503" t="str">
        <f>IF($G155="","",IF(AND($G155&gt;=30,$AT$3&lt;=DW$7),ROUND(DW155*($AP$3+#REF!),-1),""))</f>
        <v/>
      </c>
      <c r="DY155" s="503"/>
      <c r="DZ155" s="503" t="str">
        <f>IF($G155="","",IF(AND($G155&gt;=30,$AT$3&lt;=DY$7),ROUND(DY155*($AP$3+#REF!),-1),""))</f>
        <v/>
      </c>
      <c r="EA155" s="503"/>
      <c r="EB155" s="503" t="str">
        <f>IF($G155="","",IF(AND($G155&gt;=30,$AT$3&lt;=EA$7),ROUND(EA155*($AP$3+#REF!),-1),""))</f>
        <v/>
      </c>
      <c r="EC155" s="504" t="s">
        <v>621</v>
      </c>
      <c r="ED155" s="1124"/>
      <c r="EE155" s="325">
        <v>3</v>
      </c>
    </row>
    <row r="156" spans="1:135" ht="9.75" customHeight="1">
      <c r="A156" s="321" t="str">
        <f t="shared" si="37"/>
        <v/>
      </c>
      <c r="B156" s="567">
        <f>(ii!$D$13*12+V156)+1</f>
        <v>50</v>
      </c>
      <c r="C156" s="337">
        <f t="shared" si="44"/>
        <v>46873</v>
      </c>
      <c r="D156" s="484">
        <f t="shared" si="47"/>
        <v>2028</v>
      </c>
      <c r="E156" s="484">
        <f t="shared" si="45"/>
        <v>0.33333333333333331</v>
      </c>
      <c r="F156" s="484">
        <f t="shared" si="48"/>
        <v>2028.3333333333333</v>
      </c>
      <c r="G156" s="485" t="str">
        <f>IF(OR(C156&lt;$I$2,C156&gt;$J$3),"",(ii!$D$13*12+V156+1)/12)</f>
        <v/>
      </c>
      <c r="H156" s="486"/>
      <c r="I156" s="486"/>
      <c r="J156" s="487"/>
      <c r="K156" s="488"/>
      <c r="L156" s="548"/>
      <c r="M156" s="489" t="str">
        <f t="shared" si="49"/>
        <v/>
      </c>
      <c r="N156" s="490" t="s">
        <v>621</v>
      </c>
      <c r="O156" s="490" t="str">
        <f t="shared" si="42"/>
        <v/>
      </c>
      <c r="P156" s="491"/>
      <c r="Q156" s="491"/>
      <c r="R156" s="491" t="str">
        <f t="shared" si="43"/>
        <v/>
      </c>
      <c r="S156" s="528" t="str">
        <f t="shared" si="38"/>
        <v/>
      </c>
      <c r="T156" s="528" t="str">
        <f t="shared" si="36"/>
        <v/>
      </c>
      <c r="U156" s="493" t="str">
        <f>IF(H156="","",#REF!*12+#REF!+#REF!*12+#REF!)</f>
        <v/>
      </c>
      <c r="V156" s="338">
        <f>IF(ii!$J$3&gt;gg!C156,"",IF(AND((YEAR(C156)=YEAR($I$2)),MONTH(C156)=MONTH($I$2)),ii!$B$14*12+ii!$C$14+ii!$B$15*12+ii!$C$15-1,V155+1))</f>
        <v>49</v>
      </c>
      <c r="W156" s="339">
        <f t="shared" si="46"/>
        <v>4.083333333333333</v>
      </c>
      <c r="X156" s="494" t="s">
        <v>621</v>
      </c>
      <c r="Y156" s="495" t="s">
        <v>621</v>
      </c>
      <c r="Z156" s="496"/>
      <c r="AA156" s="497"/>
      <c r="AB156" s="498" t="e">
        <f t="shared" si="35"/>
        <v>#VALUE!</v>
      </c>
      <c r="AC156" s="484" t="str">
        <f t="shared" si="50"/>
        <v/>
      </c>
      <c r="AD156" s="495" t="str">
        <f t="shared" si="51"/>
        <v/>
      </c>
      <c r="AE156" s="499" t="s">
        <v>621</v>
      </c>
      <c r="AF156" s="500" t="s">
        <v>621</v>
      </c>
      <c r="AG156" s="556" t="s">
        <v>621</v>
      </c>
      <c r="AH156" s="503" t="str">
        <f>IF($G156="","",IF(AND($G156&gt;=30,$AT$3&lt;=AG$7),ROUND(AG156*($AP$3+#REF!),-1),""))</f>
        <v/>
      </c>
      <c r="AI156" s="506" t="s">
        <v>621</v>
      </c>
      <c r="AJ156" s="503" t="str">
        <f>IF($G156="","",IF(AND($G156&gt;=30,$AT$3&lt;=AI$7),ROUND(AI156*($AP$3+#REF!),-1),""))</f>
        <v/>
      </c>
      <c r="AK156" s="506" t="s">
        <v>621</v>
      </c>
      <c r="AL156" s="503" t="str">
        <f>IF($G156="","",IF(AND($G156&gt;=30,$AT$3&lt;=AK$7),ROUND(AK156*($AP$3+#REF!),-1),""))</f>
        <v/>
      </c>
      <c r="AM156" s="506" t="s">
        <v>621</v>
      </c>
      <c r="AN156" s="503" t="str">
        <f>IF($G156="","",IF(AND($G156&gt;=30,$AT$3&lt;=AM$7),ROUND(AM156*($AP$3+#REF!),-1),""))</f>
        <v/>
      </c>
      <c r="AO156" s="503" t="e">
        <v>#REF!</v>
      </c>
      <c r="AP156" s="503" t="str">
        <f>IF($G156="","",IF(AND($G156&gt;=30,$AT$3&lt;=AO$7),ROUND(AO156*($AP$3+#REF!),-1),""))</f>
        <v/>
      </c>
      <c r="AQ156" s="503" t="s">
        <v>621</v>
      </c>
      <c r="AR156" s="503" t="str">
        <f>IF($G156="","",IF(AND($G156&gt;=30,$AT$3&lt;=AQ$7),ROUND(AQ156*($AP$3+#REF!),-1),""))</f>
        <v/>
      </c>
      <c r="AS156" s="503" t="s">
        <v>621</v>
      </c>
      <c r="AT156" s="503" t="str">
        <f>IF($G156="","",IF(AND($G156&gt;=30,$AT$3&lt;=AS$7),ROUND(AS156*($AP$3+#REF!),-1),""))</f>
        <v/>
      </c>
      <c r="AU156" s="503" t="s">
        <v>621</v>
      </c>
      <c r="AV156" s="503" t="str">
        <f>IF($G156="","",IF(AND($G156&gt;=30,$AT$3&lt;=AU$7),ROUND(AU156*($AP$3+#REF!),-1),""))</f>
        <v/>
      </c>
      <c r="AW156" s="503" t="s">
        <v>621</v>
      </c>
      <c r="AX156" s="503" t="str">
        <f>IF($G156="","",IF(AND($G156&gt;=30,$AT$3&lt;=AW$7),ROUND(AW156*($AP$3+#REF!),-1),""))</f>
        <v/>
      </c>
      <c r="AY156" s="503" t="s">
        <v>621</v>
      </c>
      <c r="AZ156" s="503" t="str">
        <f>IF($G156="","",IF(AND($G156&gt;=30,$AT$3&lt;=AY$7),ROUND(AY156*($AP$3+#REF!),-1),""))</f>
        <v/>
      </c>
      <c r="BA156" s="503" t="s">
        <v>621</v>
      </c>
      <c r="BB156" s="503" t="str">
        <f>IF($G156="","",IF(AND($G156&gt;=30,$AT$3&lt;=BA$7),ROUND(BA156*($AP$3+#REF!),-1),""))</f>
        <v/>
      </c>
      <c r="BC156" s="503" t="s">
        <v>621</v>
      </c>
      <c r="BD156" s="503" t="str">
        <f>IF($G156="","",IF(AND($G156&gt;=30,$AT$3&lt;=BC$7),ROUND(BC156*($AP$3+#REF!),-1),""))</f>
        <v/>
      </c>
      <c r="BE156" s="517" t="e">
        <v>#REF!</v>
      </c>
      <c r="BF156" s="503" t="str">
        <f>IF($G156="","",IF(AND($G156&gt;=30,$AT$3&lt;=BE$7),ROUND(BE156*($AP$3+#REF!),-1),""))</f>
        <v/>
      </c>
      <c r="BG156" s="502"/>
      <c r="BH156" s="503" t="str">
        <f>IF($G156="","",IF(AND($G156&gt;=30,$AT$3&lt;=BG$7),ROUND(BG156*($AP$3+#REF!),-1),""))</f>
        <v/>
      </c>
      <c r="BI156" s="503"/>
      <c r="BJ156" s="503" t="str">
        <f>IF($G156="","",IF(AND($G156&gt;=30,$AT$3&lt;=BI$7),ROUND(BI156*($AP$3+#REF!),-1),""))</f>
        <v/>
      </c>
      <c r="BK156" s="502"/>
      <c r="BL156" s="503" t="str">
        <f>IF($G156="","",IF(AND($G156&gt;=30,$AT$3&lt;=BK$7),ROUND(BK156*($AP$3+#REF!),-1),""))</f>
        <v/>
      </c>
      <c r="BM156" s="503"/>
      <c r="BN156" s="503" t="str">
        <f>IF($G156="","",IF(AND($G156&gt;=30,$AT$3&lt;=BM$7),ROUND(BM156*($AP$3+#REF!),-1),""))</f>
        <v/>
      </c>
      <c r="BO156" s="502"/>
      <c r="BP156" s="503" t="str">
        <f>IF($G156="","",IF(AND($G156&gt;=30,$AT$3&lt;=BO$7),ROUND(BO156*($AP$3+#REF!),-1),""))</f>
        <v/>
      </c>
      <c r="BQ156" s="503"/>
      <c r="BR156" s="503" t="str">
        <f>IF($G156="","",IF(AND($G156&gt;=30,$AT$3&lt;=BQ$7),ROUND(BQ156*($AP$3+#REF!),-1),""))</f>
        <v/>
      </c>
      <c r="BS156" s="502"/>
      <c r="BT156" s="503" t="str">
        <f>IF($G156="","",IF(AND($G156&gt;=30,$AT$3&lt;=BS$7),ROUND(BS156*($AP$3+#REF!),-1),""))</f>
        <v/>
      </c>
      <c r="BU156" s="503"/>
      <c r="BV156" s="503" t="str">
        <f>IF($G156="","",IF(AND($G156&gt;=30,$AT$3&lt;=BU$7),ROUND(BU156*($AP$3+#REF!),-1),""))</f>
        <v/>
      </c>
      <c r="BW156" s="502"/>
      <c r="BX156" s="503" t="str">
        <f>IF($G156="","",IF(AND($G156&gt;=30,$AT$3&lt;=BW$7),ROUND(BW156*($AP$3+#REF!),-1),""))</f>
        <v/>
      </c>
      <c r="BY156" s="503"/>
      <c r="BZ156" s="503" t="str">
        <f>IF($G156="","",IF(AND($G156&gt;=30,$AT$3&lt;=BY$7),ROUND(BY156*($AP$3+#REF!),-1),""))</f>
        <v/>
      </c>
      <c r="CA156" s="502"/>
      <c r="CB156" s="503" t="str">
        <f>IF($G156="","",IF(AND($G156&gt;=30,$AT$3&lt;=CA$7),ROUND(CA156*($AP$3+#REF!),-1),""))</f>
        <v/>
      </c>
      <c r="CC156" s="503"/>
      <c r="CD156" s="503" t="str">
        <f>IF($G156="","",IF(AND($G156&gt;=30,$AT$3&lt;=CC$7),ROUND(CC156*($AP$3+#REF!),-1),""))</f>
        <v/>
      </c>
      <c r="CE156" s="502"/>
      <c r="CF156" s="503" t="str">
        <f>IF($G156="","",IF(AND($G156&gt;=30,$AT$3&lt;=CE$7),ROUND(CE156*($AP$3+#REF!),-1),""))</f>
        <v/>
      </c>
      <c r="CG156" s="503"/>
      <c r="CH156" s="503" t="str">
        <f>IF($G156="","",IF(AND($G156&gt;=30,$AT$3&lt;=CG$7),ROUND(CG156*($AP$3+#REF!),-1),""))</f>
        <v/>
      </c>
      <c r="CI156" s="502"/>
      <c r="CJ156" s="503" t="str">
        <f>IF($G156="","",IF(AND($G156&gt;=30,$AT$3&lt;=CI$7),ROUND(CI156*($AP$3+#REF!),-1),""))</f>
        <v/>
      </c>
      <c r="CK156" s="503"/>
      <c r="CL156" s="503" t="str">
        <f>IF($G156="","",IF(AND($G156&gt;=30,$AT$3&lt;=CK$7),ROUND(CK156*($AP$3+#REF!),-1),""))</f>
        <v/>
      </c>
      <c r="CM156" s="502"/>
      <c r="CN156" s="503" t="str">
        <f>IF($G156="","",IF(AND($G156&gt;=30,$AT$3&lt;=CM$7),ROUND(CM156*($AP$3+#REF!),-1),""))</f>
        <v/>
      </c>
      <c r="CO156" s="503"/>
      <c r="CP156" s="503" t="str">
        <f>IF($G156="","",IF(AND($G156&gt;=30,$AT$3&lt;=CO$7),ROUND(CO156*($AP$3+#REF!),-1),""))</f>
        <v/>
      </c>
      <c r="CQ156" s="502"/>
      <c r="CR156" s="503" t="str">
        <f>IF($G156="","",IF(AND($G156&gt;=30,$AT$3&lt;=CQ$7),ROUND(CQ156*($AP$3+#REF!),-1),""))</f>
        <v/>
      </c>
      <c r="CS156" s="503"/>
      <c r="CT156" s="503" t="str">
        <f>IF($G156="","",IF(AND($G156&gt;=30,$AT$3&lt;=CS$7),ROUND(CS156*($AP$3+#REF!),-1),""))</f>
        <v/>
      </c>
      <c r="CU156" s="502"/>
      <c r="CV156" s="503" t="str">
        <f>IF($G156="","",IF(AND($G156&gt;=30,$AT$3&lt;=CU$7),ROUND(CU156*($AP$3+#REF!),-1),""))</f>
        <v/>
      </c>
      <c r="CW156" s="503"/>
      <c r="CX156" s="503" t="str">
        <f>IF($G156="","",IF(AND($G156&gt;=30,$AT$3&lt;=CW$7),ROUND(CW156*($AP$3+#REF!),-1),""))</f>
        <v/>
      </c>
      <c r="CY156" s="502"/>
      <c r="CZ156" s="503" t="str">
        <f>IF($G156="","",IF(AND($G156&gt;=30,$AT$3&lt;=CY$7),ROUND(CY156*($AP$3+#REF!),-1),""))</f>
        <v/>
      </c>
      <c r="DA156" s="503"/>
      <c r="DB156" s="503" t="str">
        <f>IF($G156="","",IF(AND($G156&gt;=30,$AT$3&lt;=DA$7),ROUND(DA156*($AP$3+#REF!),-1),""))</f>
        <v/>
      </c>
      <c r="DC156" s="502"/>
      <c r="DD156" s="503" t="str">
        <f>IF($G156="","",IF(AND($G156&gt;=30,$AT$3&lt;=DC$7),ROUND(DC156*($AP$3+#REF!),-1),""))</f>
        <v/>
      </c>
      <c r="DE156" s="503"/>
      <c r="DF156" s="503" t="str">
        <f>IF($G156="","",IF(AND($G156&gt;=30,$AT$3&lt;=DE$7),ROUND(DE156*($AP$3+#REF!),-1),""))</f>
        <v/>
      </c>
      <c r="DG156" s="503"/>
      <c r="DH156" s="503" t="str">
        <f>IF($G156="","",IF(AND($G156&gt;=30,$AT$3&lt;=DG$7),ROUND(DG156*($AP$3+#REF!),-1),""))</f>
        <v/>
      </c>
      <c r="DI156" s="503"/>
      <c r="DJ156" s="503" t="str">
        <f>IF($G156="","",IF(AND($G156&gt;=30,$AT$3&lt;=DI$7),ROUND(DI156*($AP$3+#REF!),-1),""))</f>
        <v/>
      </c>
      <c r="DK156" s="503"/>
      <c r="DL156" s="503" t="str">
        <f>IF($G156="","",IF(AND($G156&gt;=30,$AT$3&lt;=DK$7),ROUND(DK156*($AP$3+#REF!),-1),""))</f>
        <v/>
      </c>
      <c r="DM156" s="503"/>
      <c r="DN156" s="503" t="str">
        <f>IF($G156="","",IF(AND($G156&gt;=30,$AT$3&lt;=DM$7),ROUND(DM156*($AP$3+#REF!),-1),""))</f>
        <v/>
      </c>
      <c r="DO156" s="503"/>
      <c r="DP156" s="503" t="str">
        <f>IF($G156="","",IF(AND($G156&gt;=30,$AT$3&lt;=DO$7),ROUND(DO156*($AP$3+#REF!),-1),""))</f>
        <v/>
      </c>
      <c r="DQ156" s="503"/>
      <c r="DR156" s="503" t="str">
        <f>IF($G156="","",IF(AND($G156&gt;=30,$AT$3&lt;=DQ$7),ROUND(DQ156*($AP$3+#REF!),-1),""))</f>
        <v/>
      </c>
      <c r="DS156" s="503"/>
      <c r="DT156" s="503" t="str">
        <f>IF($G156="","",IF(AND($G156&gt;=30,$AT$3&lt;=DS$7),ROUND(DS156*($AP$3+#REF!),-1),""))</f>
        <v/>
      </c>
      <c r="DU156" s="503"/>
      <c r="DV156" s="503" t="str">
        <f>IF($G156="","",IF(AND($G156&gt;=30,$AT$3&lt;=DU$7),ROUND(DU156*($AP$3+#REF!),-1),""))</f>
        <v/>
      </c>
      <c r="DW156" s="503"/>
      <c r="DX156" s="503" t="str">
        <f>IF($G156="","",IF(AND($G156&gt;=30,$AT$3&lt;=DW$7),ROUND(DW156*($AP$3+#REF!),-1),""))</f>
        <v/>
      </c>
      <c r="DY156" s="503"/>
      <c r="DZ156" s="503" t="str">
        <f>IF($G156="","",IF(AND($G156&gt;=30,$AT$3&lt;=DY$7),ROUND(DY156*($AP$3+#REF!),-1),""))</f>
        <v/>
      </c>
      <c r="EA156" s="503"/>
      <c r="EB156" s="503" t="str">
        <f>IF($G156="","",IF(AND($G156&gt;=30,$AT$3&lt;=EA$7),ROUND(EA156*($AP$3+#REF!),-1),""))</f>
        <v/>
      </c>
      <c r="EC156" s="504" t="s">
        <v>621</v>
      </c>
      <c r="ED156" s="1124"/>
      <c r="EE156" s="325">
        <v>4</v>
      </c>
    </row>
    <row r="157" spans="1:135" ht="9.75" customHeight="1">
      <c r="A157" s="321" t="str">
        <f t="shared" si="37"/>
        <v/>
      </c>
      <c r="B157" s="567">
        <f>(ii!$D$13*12+V157)+1</f>
        <v>51</v>
      </c>
      <c r="C157" s="337">
        <f t="shared" si="44"/>
        <v>46904</v>
      </c>
      <c r="D157" s="484">
        <f t="shared" si="47"/>
        <v>2028</v>
      </c>
      <c r="E157" s="484">
        <f t="shared" si="45"/>
        <v>0.41666666666666669</v>
      </c>
      <c r="F157" s="484">
        <f t="shared" si="48"/>
        <v>2028.4166666666667</v>
      </c>
      <c r="G157" s="485" t="str">
        <f>IF(OR(C157&lt;$I$2,C157&gt;$J$3),"",(ii!$D$13*12+V157+1)/12)</f>
        <v/>
      </c>
      <c r="H157" s="486"/>
      <c r="I157" s="486"/>
      <c r="J157" s="507"/>
      <c r="K157" s="508"/>
      <c r="L157" s="548"/>
      <c r="M157" s="489" t="str">
        <f t="shared" si="49"/>
        <v/>
      </c>
      <c r="N157" s="490" t="s">
        <v>621</v>
      </c>
      <c r="O157" s="490" t="str">
        <f t="shared" si="42"/>
        <v/>
      </c>
      <c r="P157" s="507"/>
      <c r="Q157" s="507"/>
      <c r="R157" s="491" t="str">
        <f t="shared" si="43"/>
        <v/>
      </c>
      <c r="S157" s="528" t="str">
        <f t="shared" si="38"/>
        <v/>
      </c>
      <c r="T157" s="528" t="str">
        <f t="shared" si="36"/>
        <v/>
      </c>
      <c r="U157" s="493" t="str">
        <f>IF(H157="","",#REF!*12+#REF!+#REF!*12+#REF!)</f>
        <v/>
      </c>
      <c r="V157" s="338">
        <f>IF(ii!$J$3&gt;gg!C157,"",IF(AND((YEAR(C157)=YEAR($I$2)),MONTH(C157)=MONTH($I$2)),ii!$B$14*12+ii!$C$14+ii!$B$15*12+ii!$C$15-1,V156+1))</f>
        <v>50</v>
      </c>
      <c r="W157" s="339">
        <f t="shared" si="46"/>
        <v>4.166666666666667</v>
      </c>
      <c r="X157" s="494" t="s">
        <v>621</v>
      </c>
      <c r="Y157" s="495" t="s">
        <v>621</v>
      </c>
      <c r="Z157" s="496"/>
      <c r="AA157" s="497"/>
      <c r="AB157" s="498" t="e">
        <f t="shared" si="35"/>
        <v>#VALUE!</v>
      </c>
      <c r="AC157" s="484" t="str">
        <f t="shared" si="50"/>
        <v/>
      </c>
      <c r="AD157" s="495" t="str">
        <f t="shared" si="51"/>
        <v/>
      </c>
      <c r="AE157" s="499" t="s">
        <v>621</v>
      </c>
      <c r="AF157" s="500" t="s">
        <v>621</v>
      </c>
      <c r="AG157" s="556" t="s">
        <v>621</v>
      </c>
      <c r="AH157" s="503" t="str">
        <f>IF($G157="","",IF(AND($G157&gt;=30,$AT$3&lt;=AG$7),ROUND(AG157*($AP$3+#REF!),-1),""))</f>
        <v/>
      </c>
      <c r="AI157" s="506" t="s">
        <v>621</v>
      </c>
      <c r="AJ157" s="503" t="str">
        <f>IF($G157="","",IF(AND($G157&gt;=30,$AT$3&lt;=AI$7),ROUND(AI157*($AP$3+#REF!),-1),""))</f>
        <v/>
      </c>
      <c r="AK157" s="506" t="s">
        <v>621</v>
      </c>
      <c r="AL157" s="503" t="str">
        <f>IF($G157="","",IF(AND($G157&gt;=30,$AT$3&lt;=AK$7),ROUND(AK157*($AP$3+#REF!),-1),""))</f>
        <v/>
      </c>
      <c r="AM157" s="506" t="s">
        <v>621</v>
      </c>
      <c r="AN157" s="503" t="str">
        <f>IF($G157="","",IF(AND($G157&gt;=30,$AT$3&lt;=AM$7),ROUND(AM157*($AP$3+#REF!),-1),""))</f>
        <v/>
      </c>
      <c r="AO157" s="503" t="e">
        <v>#REF!</v>
      </c>
      <c r="AP157" s="503" t="str">
        <f>IF($G157="","",IF(AND($G157&gt;=30,$AT$3&lt;=AO$7),ROUND(AO157*($AP$3+#REF!),-1),""))</f>
        <v/>
      </c>
      <c r="AQ157" s="503" t="s">
        <v>621</v>
      </c>
      <c r="AR157" s="503" t="str">
        <f>IF($G157="","",IF(AND($G157&gt;=30,$AT$3&lt;=AQ$7),ROUND(AQ157*($AP$3+#REF!),-1),""))</f>
        <v/>
      </c>
      <c r="AS157" s="503" t="s">
        <v>621</v>
      </c>
      <c r="AT157" s="503" t="str">
        <f>IF($G157="","",IF(AND($G157&gt;=30,$AT$3&lt;=AS$7),ROUND(AS157*($AP$3+#REF!),-1),""))</f>
        <v/>
      </c>
      <c r="AU157" s="503" t="s">
        <v>621</v>
      </c>
      <c r="AV157" s="503" t="str">
        <f>IF($G157="","",IF(AND($G157&gt;=30,$AT$3&lt;=AU$7),ROUND(AU157*($AP$3+#REF!),-1),""))</f>
        <v/>
      </c>
      <c r="AW157" s="503" t="s">
        <v>621</v>
      </c>
      <c r="AX157" s="503" t="str">
        <f>IF($G157="","",IF(AND($G157&gt;=30,$AT$3&lt;=AW$7),ROUND(AW157*($AP$3+#REF!),-1),""))</f>
        <v/>
      </c>
      <c r="AY157" s="503" t="s">
        <v>621</v>
      </c>
      <c r="AZ157" s="503" t="str">
        <f>IF($G157="","",IF(AND($G157&gt;=30,$AT$3&lt;=AY$7),ROUND(AY157*($AP$3+#REF!),-1),""))</f>
        <v/>
      </c>
      <c r="BA157" s="503" t="s">
        <v>621</v>
      </c>
      <c r="BB157" s="503" t="str">
        <f>IF($G157="","",IF(AND($G157&gt;=30,$AT$3&lt;=BA$7),ROUND(BA157*($AP$3+#REF!),-1),""))</f>
        <v/>
      </c>
      <c r="BC157" s="503" t="s">
        <v>621</v>
      </c>
      <c r="BD157" s="503" t="str">
        <f>IF($G157="","",IF(AND($G157&gt;=30,$AT$3&lt;=BC$7),ROUND(BC157*($AP$3+#REF!),-1),""))</f>
        <v/>
      </c>
      <c r="BE157" s="517" t="e">
        <v>#REF!</v>
      </c>
      <c r="BF157" s="503" t="str">
        <f>IF($G157="","",IF(AND($G157&gt;=30,$AT$3&lt;=BE$7),ROUND(BE157*($AP$3+#REF!),-1),""))</f>
        <v/>
      </c>
      <c r="BG157" s="502"/>
      <c r="BH157" s="503" t="str">
        <f>IF($G157="","",IF(AND($G157&gt;=30,$AT$3&lt;=BG$7),ROUND(BG157*($AP$3+#REF!),-1),""))</f>
        <v/>
      </c>
      <c r="BI157" s="503"/>
      <c r="BJ157" s="503" t="str">
        <f>IF($G157="","",IF(AND($G157&gt;=30,$AT$3&lt;=BI$7),ROUND(BI157*($AP$3+#REF!),-1),""))</f>
        <v/>
      </c>
      <c r="BK157" s="502"/>
      <c r="BL157" s="503" t="str">
        <f>IF($G157="","",IF(AND($G157&gt;=30,$AT$3&lt;=BK$7),ROUND(BK157*($AP$3+#REF!),-1),""))</f>
        <v/>
      </c>
      <c r="BM157" s="503"/>
      <c r="BN157" s="503" t="str">
        <f>IF($G157="","",IF(AND($G157&gt;=30,$AT$3&lt;=BM$7),ROUND(BM157*($AP$3+#REF!),-1),""))</f>
        <v/>
      </c>
      <c r="BO157" s="502"/>
      <c r="BP157" s="503" t="str">
        <f>IF($G157="","",IF(AND($G157&gt;=30,$AT$3&lt;=BO$7),ROUND(BO157*($AP$3+#REF!),-1),""))</f>
        <v/>
      </c>
      <c r="BQ157" s="503"/>
      <c r="BR157" s="503" t="str">
        <f>IF($G157="","",IF(AND($G157&gt;=30,$AT$3&lt;=BQ$7),ROUND(BQ157*($AP$3+#REF!),-1),""))</f>
        <v/>
      </c>
      <c r="BS157" s="502"/>
      <c r="BT157" s="503" t="str">
        <f>IF($G157="","",IF(AND($G157&gt;=30,$AT$3&lt;=BS$7),ROUND(BS157*($AP$3+#REF!),-1),""))</f>
        <v/>
      </c>
      <c r="BU157" s="503"/>
      <c r="BV157" s="503" t="str">
        <f>IF($G157="","",IF(AND($G157&gt;=30,$AT$3&lt;=BU$7),ROUND(BU157*($AP$3+#REF!),-1),""))</f>
        <v/>
      </c>
      <c r="BW157" s="502"/>
      <c r="BX157" s="503" t="str">
        <f>IF($G157="","",IF(AND($G157&gt;=30,$AT$3&lt;=BW$7),ROUND(BW157*($AP$3+#REF!),-1),""))</f>
        <v/>
      </c>
      <c r="BY157" s="503"/>
      <c r="BZ157" s="503" t="str">
        <f>IF($G157="","",IF(AND($G157&gt;=30,$AT$3&lt;=BY$7),ROUND(BY157*($AP$3+#REF!),-1),""))</f>
        <v/>
      </c>
      <c r="CA157" s="502"/>
      <c r="CB157" s="503" t="str">
        <f>IF($G157="","",IF(AND($G157&gt;=30,$AT$3&lt;=CA$7),ROUND(CA157*($AP$3+#REF!),-1),""))</f>
        <v/>
      </c>
      <c r="CC157" s="503"/>
      <c r="CD157" s="503" t="str">
        <f>IF($G157="","",IF(AND($G157&gt;=30,$AT$3&lt;=CC$7),ROUND(CC157*($AP$3+#REF!),-1),""))</f>
        <v/>
      </c>
      <c r="CE157" s="502"/>
      <c r="CF157" s="503" t="str">
        <f>IF($G157="","",IF(AND($G157&gt;=30,$AT$3&lt;=CE$7),ROUND(CE157*($AP$3+#REF!),-1),""))</f>
        <v/>
      </c>
      <c r="CG157" s="503"/>
      <c r="CH157" s="503" t="str">
        <f>IF($G157="","",IF(AND($G157&gt;=30,$AT$3&lt;=CG$7),ROUND(CG157*($AP$3+#REF!),-1),""))</f>
        <v/>
      </c>
      <c r="CI157" s="502"/>
      <c r="CJ157" s="503" t="str">
        <f>IF($G157="","",IF(AND($G157&gt;=30,$AT$3&lt;=CI$7),ROUND(CI157*($AP$3+#REF!),-1),""))</f>
        <v/>
      </c>
      <c r="CK157" s="503"/>
      <c r="CL157" s="503" t="str">
        <f>IF($G157="","",IF(AND($G157&gt;=30,$AT$3&lt;=CK$7),ROUND(CK157*($AP$3+#REF!),-1),""))</f>
        <v/>
      </c>
      <c r="CM157" s="502"/>
      <c r="CN157" s="503" t="str">
        <f>IF($G157="","",IF(AND($G157&gt;=30,$AT$3&lt;=CM$7),ROUND(CM157*($AP$3+#REF!),-1),""))</f>
        <v/>
      </c>
      <c r="CO157" s="503"/>
      <c r="CP157" s="503" t="str">
        <f>IF($G157="","",IF(AND($G157&gt;=30,$AT$3&lt;=CO$7),ROUND(CO157*($AP$3+#REF!),-1),""))</f>
        <v/>
      </c>
      <c r="CQ157" s="502"/>
      <c r="CR157" s="503" t="str">
        <f>IF($G157="","",IF(AND($G157&gt;=30,$AT$3&lt;=CQ$7),ROUND(CQ157*($AP$3+#REF!),-1),""))</f>
        <v/>
      </c>
      <c r="CS157" s="503"/>
      <c r="CT157" s="503" t="str">
        <f>IF($G157="","",IF(AND($G157&gt;=30,$AT$3&lt;=CS$7),ROUND(CS157*($AP$3+#REF!),-1),""))</f>
        <v/>
      </c>
      <c r="CU157" s="502"/>
      <c r="CV157" s="503" t="str">
        <f>IF($G157="","",IF(AND($G157&gt;=30,$AT$3&lt;=CU$7),ROUND(CU157*($AP$3+#REF!),-1),""))</f>
        <v/>
      </c>
      <c r="CW157" s="503"/>
      <c r="CX157" s="503" t="str">
        <f>IF($G157="","",IF(AND($G157&gt;=30,$AT$3&lt;=CW$7),ROUND(CW157*($AP$3+#REF!),-1),""))</f>
        <v/>
      </c>
      <c r="CY157" s="502"/>
      <c r="CZ157" s="503" t="str">
        <f>IF($G157="","",IF(AND($G157&gt;=30,$AT$3&lt;=CY$7),ROUND(CY157*($AP$3+#REF!),-1),""))</f>
        <v/>
      </c>
      <c r="DA157" s="503"/>
      <c r="DB157" s="503" t="str">
        <f>IF($G157="","",IF(AND($G157&gt;=30,$AT$3&lt;=DA$7),ROUND(DA157*($AP$3+#REF!),-1),""))</f>
        <v/>
      </c>
      <c r="DC157" s="502"/>
      <c r="DD157" s="503" t="str">
        <f>IF($G157="","",IF(AND($G157&gt;=30,$AT$3&lt;=DC$7),ROUND(DC157*($AP$3+#REF!),-1),""))</f>
        <v/>
      </c>
      <c r="DE157" s="503"/>
      <c r="DF157" s="503" t="str">
        <f>IF($G157="","",IF(AND($G157&gt;=30,$AT$3&lt;=DE$7),ROUND(DE157*($AP$3+#REF!),-1),""))</f>
        <v/>
      </c>
      <c r="DG157" s="503"/>
      <c r="DH157" s="503" t="str">
        <f>IF($G157="","",IF(AND($G157&gt;=30,$AT$3&lt;=DG$7),ROUND(DG157*($AP$3+#REF!),-1),""))</f>
        <v/>
      </c>
      <c r="DI157" s="503"/>
      <c r="DJ157" s="503" t="str">
        <f>IF($G157="","",IF(AND($G157&gt;=30,$AT$3&lt;=DI$7),ROUND(DI157*($AP$3+#REF!),-1),""))</f>
        <v/>
      </c>
      <c r="DK157" s="503"/>
      <c r="DL157" s="503" t="str">
        <f>IF($G157="","",IF(AND($G157&gt;=30,$AT$3&lt;=DK$7),ROUND(DK157*($AP$3+#REF!),-1),""))</f>
        <v/>
      </c>
      <c r="DM157" s="503"/>
      <c r="DN157" s="503" t="str">
        <f>IF($G157="","",IF(AND($G157&gt;=30,$AT$3&lt;=DM$7),ROUND(DM157*($AP$3+#REF!),-1),""))</f>
        <v/>
      </c>
      <c r="DO157" s="503"/>
      <c r="DP157" s="503" t="str">
        <f>IF($G157="","",IF(AND($G157&gt;=30,$AT$3&lt;=DO$7),ROUND(DO157*($AP$3+#REF!),-1),""))</f>
        <v/>
      </c>
      <c r="DQ157" s="503"/>
      <c r="DR157" s="503" t="str">
        <f>IF($G157="","",IF(AND($G157&gt;=30,$AT$3&lt;=DQ$7),ROUND(DQ157*($AP$3+#REF!),-1),""))</f>
        <v/>
      </c>
      <c r="DS157" s="503"/>
      <c r="DT157" s="503" t="str">
        <f>IF($G157="","",IF(AND($G157&gt;=30,$AT$3&lt;=DS$7),ROUND(DS157*($AP$3+#REF!),-1),""))</f>
        <v/>
      </c>
      <c r="DU157" s="503"/>
      <c r="DV157" s="503" t="str">
        <f>IF($G157="","",IF(AND($G157&gt;=30,$AT$3&lt;=DU$7),ROUND(DU157*($AP$3+#REF!),-1),""))</f>
        <v/>
      </c>
      <c r="DW157" s="503"/>
      <c r="DX157" s="503" t="str">
        <f>IF($G157="","",IF(AND($G157&gt;=30,$AT$3&lt;=DW$7),ROUND(DW157*($AP$3+#REF!),-1),""))</f>
        <v/>
      </c>
      <c r="DY157" s="503"/>
      <c r="DZ157" s="503" t="str">
        <f>IF($G157="","",IF(AND($G157&gt;=30,$AT$3&lt;=DY$7),ROUND(DY157*($AP$3+#REF!),-1),""))</f>
        <v/>
      </c>
      <c r="EA157" s="503"/>
      <c r="EB157" s="503" t="str">
        <f>IF($G157="","",IF(AND($G157&gt;=30,$AT$3&lt;=EA$7),ROUND(EA157*($AP$3+#REF!),-1),""))</f>
        <v/>
      </c>
      <c r="EC157" s="504" t="s">
        <v>621</v>
      </c>
      <c r="ED157" s="1124"/>
      <c r="EE157" s="325">
        <v>5</v>
      </c>
    </row>
    <row r="158" spans="1:135" ht="9.75" customHeight="1">
      <c r="A158" s="321" t="str">
        <f t="shared" si="37"/>
        <v/>
      </c>
      <c r="B158" s="567">
        <f>(ii!$D$13*12+V158)+1</f>
        <v>52</v>
      </c>
      <c r="C158" s="337">
        <f t="shared" si="44"/>
        <v>46934</v>
      </c>
      <c r="D158" s="484">
        <f t="shared" si="47"/>
        <v>2028</v>
      </c>
      <c r="E158" s="484">
        <f t="shared" si="45"/>
        <v>0.5</v>
      </c>
      <c r="F158" s="484">
        <f t="shared" si="48"/>
        <v>2028.5</v>
      </c>
      <c r="G158" s="485" t="str">
        <f>IF(OR(C158&lt;$I$2,C158&gt;$J$3),"",(ii!$D$13*12+V158+1)/12)</f>
        <v/>
      </c>
      <c r="H158" s="486"/>
      <c r="I158" s="486"/>
      <c r="J158" s="487"/>
      <c r="K158" s="488"/>
      <c r="L158" s="548"/>
      <c r="M158" s="489" t="str">
        <f t="shared" si="49"/>
        <v/>
      </c>
      <c r="N158" s="490" t="s">
        <v>621</v>
      </c>
      <c r="O158" s="490" t="str">
        <f t="shared" si="42"/>
        <v/>
      </c>
      <c r="P158" s="491"/>
      <c r="Q158" s="491"/>
      <c r="R158" s="491" t="str">
        <f t="shared" si="43"/>
        <v/>
      </c>
      <c r="S158" s="528" t="str">
        <f t="shared" si="38"/>
        <v/>
      </c>
      <c r="T158" s="528" t="str">
        <f t="shared" si="36"/>
        <v/>
      </c>
      <c r="U158" s="493" t="str">
        <f>IF(H158="","",#REF!*12+#REF!+#REF!*12+#REF!)</f>
        <v/>
      </c>
      <c r="V158" s="338">
        <f>IF(ii!$J$3&gt;gg!C158,"",IF(AND((YEAR(C158)=YEAR($I$2)),MONTH(C158)=MONTH($I$2)),ii!$B$14*12+ii!$C$14+ii!$B$15*12+ii!$C$15-1,V157+1))</f>
        <v>51</v>
      </c>
      <c r="W158" s="339">
        <f t="shared" si="46"/>
        <v>4.25</v>
      </c>
      <c r="X158" s="494" t="s">
        <v>621</v>
      </c>
      <c r="Y158" s="495" t="s">
        <v>621</v>
      </c>
      <c r="Z158" s="496"/>
      <c r="AA158" s="497"/>
      <c r="AB158" s="498" t="e">
        <f t="shared" ref="AB158:AB221" si="52">IF(F158&lt;$I$3,"",IF(F158&gt;$F$3,"",(P158/Y158)))</f>
        <v>#VALUE!</v>
      </c>
      <c r="AC158" s="484" t="str">
        <f t="shared" si="50"/>
        <v/>
      </c>
      <c r="AD158" s="495" t="str">
        <f t="shared" si="51"/>
        <v/>
      </c>
      <c r="AE158" s="499" t="s">
        <v>621</v>
      </c>
      <c r="AF158" s="500" t="s">
        <v>621</v>
      </c>
      <c r="AG158" s="556" t="s">
        <v>621</v>
      </c>
      <c r="AH158" s="503" t="str">
        <f>IF($G158="","",IF(AND($G158&gt;=30,$AT$3&lt;=AG$7),ROUND(AG158*($AP$3+#REF!),-1),""))</f>
        <v/>
      </c>
      <c r="AI158" s="506" t="s">
        <v>621</v>
      </c>
      <c r="AJ158" s="503" t="str">
        <f>IF($G158="","",IF(AND($G158&gt;=30,$AT$3&lt;=AI$7),ROUND(AI158*($AP$3+#REF!),-1),""))</f>
        <v/>
      </c>
      <c r="AK158" s="506" t="s">
        <v>621</v>
      </c>
      <c r="AL158" s="503" t="str">
        <f>IF($G158="","",IF(AND($G158&gt;=30,$AT$3&lt;=AK$7),ROUND(AK158*($AP$3+#REF!),-1),""))</f>
        <v/>
      </c>
      <c r="AM158" s="506" t="s">
        <v>621</v>
      </c>
      <c r="AN158" s="503" t="str">
        <f>IF($G158="","",IF(AND($G158&gt;=30,$AT$3&lt;=AM$7),ROUND(AM158*($AP$3+#REF!),-1),""))</f>
        <v/>
      </c>
      <c r="AO158" s="503" t="e">
        <v>#REF!</v>
      </c>
      <c r="AP158" s="503" t="str">
        <f>IF($G158="","",IF(AND($G158&gt;=30,$AT$3&lt;=AO$7),ROUND(AO158*($AP$3+#REF!),-1),""))</f>
        <v/>
      </c>
      <c r="AQ158" s="503" t="s">
        <v>621</v>
      </c>
      <c r="AR158" s="503" t="str">
        <f>IF($G158="","",IF(AND($G158&gt;=30,$AT$3&lt;=AQ$7),ROUND(AQ158*($AP$3+#REF!),-1),""))</f>
        <v/>
      </c>
      <c r="AS158" s="503" t="s">
        <v>621</v>
      </c>
      <c r="AT158" s="503" t="str">
        <f>IF($G158="","",IF(AND($G158&gt;=30,$AT$3&lt;=AS$7),ROUND(AS158*($AP$3+#REF!),-1),""))</f>
        <v/>
      </c>
      <c r="AU158" s="503" t="s">
        <v>621</v>
      </c>
      <c r="AV158" s="503" t="str">
        <f>IF($G158="","",IF(AND($G158&gt;=30,$AT$3&lt;=AU$7),ROUND(AU158*($AP$3+#REF!),-1),""))</f>
        <v/>
      </c>
      <c r="AW158" s="503" t="s">
        <v>621</v>
      </c>
      <c r="AX158" s="503" t="str">
        <f>IF($G158="","",IF(AND($G158&gt;=30,$AT$3&lt;=AW$7),ROUND(AW158*($AP$3+#REF!),-1),""))</f>
        <v/>
      </c>
      <c r="AY158" s="503" t="s">
        <v>621</v>
      </c>
      <c r="AZ158" s="503" t="str">
        <f>IF($G158="","",IF(AND($G158&gt;=30,$AT$3&lt;=AY$7),ROUND(AY158*($AP$3+#REF!),-1),""))</f>
        <v/>
      </c>
      <c r="BA158" s="503" t="s">
        <v>621</v>
      </c>
      <c r="BB158" s="503" t="str">
        <f>IF($G158="","",IF(AND($G158&gt;=30,$AT$3&lt;=BA$7),ROUND(BA158*($AP$3+#REF!),-1),""))</f>
        <v/>
      </c>
      <c r="BC158" s="503" t="s">
        <v>621</v>
      </c>
      <c r="BD158" s="503" t="str">
        <f>IF($G158="","",IF(AND($G158&gt;=30,$AT$3&lt;=BC$7),ROUND(BC158*($AP$3+#REF!),-1),""))</f>
        <v/>
      </c>
      <c r="BE158" s="517" t="e">
        <v>#REF!</v>
      </c>
      <c r="BF158" s="503" t="str">
        <f>IF($G158="","",IF(AND($G158&gt;=30,$AT$3&lt;=BE$7),ROUND(BE158*($AP$3+#REF!),-1),""))</f>
        <v/>
      </c>
      <c r="BG158" s="502"/>
      <c r="BH158" s="503" t="str">
        <f>IF($G158="","",IF(AND($G158&gt;=30,$AT$3&lt;=BG$7),ROUND(BG158*($AP$3+#REF!),-1),""))</f>
        <v/>
      </c>
      <c r="BI158" s="503"/>
      <c r="BJ158" s="503" t="str">
        <f>IF($G158="","",IF(AND($G158&gt;=30,$AT$3&lt;=BI$7),ROUND(BI158*($AP$3+#REF!),-1),""))</f>
        <v/>
      </c>
      <c r="BK158" s="502"/>
      <c r="BL158" s="503" t="str">
        <f>IF($G158="","",IF(AND($G158&gt;=30,$AT$3&lt;=BK$7),ROUND(BK158*($AP$3+#REF!),-1),""))</f>
        <v/>
      </c>
      <c r="BM158" s="503"/>
      <c r="BN158" s="503" t="str">
        <f>IF($G158="","",IF(AND($G158&gt;=30,$AT$3&lt;=BM$7),ROUND(BM158*($AP$3+#REF!),-1),""))</f>
        <v/>
      </c>
      <c r="BO158" s="502"/>
      <c r="BP158" s="503" t="str">
        <f>IF($G158="","",IF(AND($G158&gt;=30,$AT$3&lt;=BO$7),ROUND(BO158*($AP$3+#REF!),-1),""))</f>
        <v/>
      </c>
      <c r="BQ158" s="503"/>
      <c r="BR158" s="503" t="str">
        <f>IF($G158="","",IF(AND($G158&gt;=30,$AT$3&lt;=BQ$7),ROUND(BQ158*($AP$3+#REF!),-1),""))</f>
        <v/>
      </c>
      <c r="BS158" s="502"/>
      <c r="BT158" s="503" t="str">
        <f>IF($G158="","",IF(AND($G158&gt;=30,$AT$3&lt;=BS$7),ROUND(BS158*($AP$3+#REF!),-1),""))</f>
        <v/>
      </c>
      <c r="BU158" s="503"/>
      <c r="BV158" s="503" t="str">
        <f>IF($G158="","",IF(AND($G158&gt;=30,$AT$3&lt;=BU$7),ROUND(BU158*($AP$3+#REF!),-1),""))</f>
        <v/>
      </c>
      <c r="BW158" s="502"/>
      <c r="BX158" s="503" t="str">
        <f>IF($G158="","",IF(AND($G158&gt;=30,$AT$3&lt;=BW$7),ROUND(BW158*($AP$3+#REF!),-1),""))</f>
        <v/>
      </c>
      <c r="BY158" s="503"/>
      <c r="BZ158" s="503" t="str">
        <f>IF($G158="","",IF(AND($G158&gt;=30,$AT$3&lt;=BY$7),ROUND(BY158*($AP$3+#REF!),-1),""))</f>
        <v/>
      </c>
      <c r="CA158" s="502"/>
      <c r="CB158" s="503" t="str">
        <f>IF($G158="","",IF(AND($G158&gt;=30,$AT$3&lt;=CA$7),ROUND(CA158*($AP$3+#REF!),-1),""))</f>
        <v/>
      </c>
      <c r="CC158" s="503"/>
      <c r="CD158" s="503" t="str">
        <f>IF($G158="","",IF(AND($G158&gt;=30,$AT$3&lt;=CC$7),ROUND(CC158*($AP$3+#REF!),-1),""))</f>
        <v/>
      </c>
      <c r="CE158" s="502"/>
      <c r="CF158" s="503" t="str">
        <f>IF($G158="","",IF(AND($G158&gt;=30,$AT$3&lt;=CE$7),ROUND(CE158*($AP$3+#REF!),-1),""))</f>
        <v/>
      </c>
      <c r="CG158" s="503"/>
      <c r="CH158" s="503" t="str">
        <f>IF($G158="","",IF(AND($G158&gt;=30,$AT$3&lt;=CG$7),ROUND(CG158*($AP$3+#REF!),-1),""))</f>
        <v/>
      </c>
      <c r="CI158" s="502"/>
      <c r="CJ158" s="503" t="str">
        <f>IF($G158="","",IF(AND($G158&gt;=30,$AT$3&lt;=CI$7),ROUND(CI158*($AP$3+#REF!),-1),""))</f>
        <v/>
      </c>
      <c r="CK158" s="503"/>
      <c r="CL158" s="503" t="str">
        <f>IF($G158="","",IF(AND($G158&gt;=30,$AT$3&lt;=CK$7),ROUND(CK158*($AP$3+#REF!),-1),""))</f>
        <v/>
      </c>
      <c r="CM158" s="502"/>
      <c r="CN158" s="503" t="str">
        <f>IF($G158="","",IF(AND($G158&gt;=30,$AT$3&lt;=CM$7),ROUND(CM158*($AP$3+#REF!),-1),""))</f>
        <v/>
      </c>
      <c r="CO158" s="503"/>
      <c r="CP158" s="503" t="str">
        <f>IF($G158="","",IF(AND($G158&gt;=30,$AT$3&lt;=CO$7),ROUND(CO158*($AP$3+#REF!),-1),""))</f>
        <v/>
      </c>
      <c r="CQ158" s="502"/>
      <c r="CR158" s="503" t="str">
        <f>IF($G158="","",IF(AND($G158&gt;=30,$AT$3&lt;=CQ$7),ROUND(CQ158*($AP$3+#REF!),-1),""))</f>
        <v/>
      </c>
      <c r="CS158" s="503"/>
      <c r="CT158" s="503" t="str">
        <f>IF($G158="","",IF(AND($G158&gt;=30,$AT$3&lt;=CS$7),ROUND(CS158*($AP$3+#REF!),-1),""))</f>
        <v/>
      </c>
      <c r="CU158" s="502"/>
      <c r="CV158" s="503" t="str">
        <f>IF($G158="","",IF(AND($G158&gt;=30,$AT$3&lt;=CU$7),ROUND(CU158*($AP$3+#REF!),-1),""))</f>
        <v/>
      </c>
      <c r="CW158" s="503"/>
      <c r="CX158" s="503" t="str">
        <f>IF($G158="","",IF(AND($G158&gt;=30,$AT$3&lt;=CW$7),ROUND(CW158*($AP$3+#REF!),-1),""))</f>
        <v/>
      </c>
      <c r="CY158" s="502"/>
      <c r="CZ158" s="503" t="str">
        <f>IF($G158="","",IF(AND($G158&gt;=30,$AT$3&lt;=CY$7),ROUND(CY158*($AP$3+#REF!),-1),""))</f>
        <v/>
      </c>
      <c r="DA158" s="503"/>
      <c r="DB158" s="503" t="str">
        <f>IF($G158="","",IF(AND($G158&gt;=30,$AT$3&lt;=DA$7),ROUND(DA158*($AP$3+#REF!),-1),""))</f>
        <v/>
      </c>
      <c r="DC158" s="502"/>
      <c r="DD158" s="503" t="str">
        <f>IF($G158="","",IF(AND($G158&gt;=30,$AT$3&lt;=DC$7),ROUND(DC158*($AP$3+#REF!),-1),""))</f>
        <v/>
      </c>
      <c r="DE158" s="503"/>
      <c r="DF158" s="503" t="str">
        <f>IF($G158="","",IF(AND($G158&gt;=30,$AT$3&lt;=DE$7),ROUND(DE158*($AP$3+#REF!),-1),""))</f>
        <v/>
      </c>
      <c r="DG158" s="503"/>
      <c r="DH158" s="503" t="str">
        <f>IF($G158="","",IF(AND($G158&gt;=30,$AT$3&lt;=DG$7),ROUND(DG158*($AP$3+#REF!),-1),""))</f>
        <v/>
      </c>
      <c r="DI158" s="503"/>
      <c r="DJ158" s="503" t="str">
        <f>IF($G158="","",IF(AND($G158&gt;=30,$AT$3&lt;=DI$7),ROUND(DI158*($AP$3+#REF!),-1),""))</f>
        <v/>
      </c>
      <c r="DK158" s="503"/>
      <c r="DL158" s="503" t="str">
        <f>IF($G158="","",IF(AND($G158&gt;=30,$AT$3&lt;=DK$7),ROUND(DK158*($AP$3+#REF!),-1),""))</f>
        <v/>
      </c>
      <c r="DM158" s="503"/>
      <c r="DN158" s="503" t="str">
        <f>IF($G158="","",IF(AND($G158&gt;=30,$AT$3&lt;=DM$7),ROUND(DM158*($AP$3+#REF!),-1),""))</f>
        <v/>
      </c>
      <c r="DO158" s="503"/>
      <c r="DP158" s="503" t="str">
        <f>IF($G158="","",IF(AND($G158&gt;=30,$AT$3&lt;=DO$7),ROUND(DO158*($AP$3+#REF!),-1),""))</f>
        <v/>
      </c>
      <c r="DQ158" s="503"/>
      <c r="DR158" s="503" t="str">
        <f>IF($G158="","",IF(AND($G158&gt;=30,$AT$3&lt;=DQ$7),ROUND(DQ158*($AP$3+#REF!),-1),""))</f>
        <v/>
      </c>
      <c r="DS158" s="503"/>
      <c r="DT158" s="503" t="str">
        <f>IF($G158="","",IF(AND($G158&gt;=30,$AT$3&lt;=DS$7),ROUND(DS158*($AP$3+#REF!),-1),""))</f>
        <v/>
      </c>
      <c r="DU158" s="503"/>
      <c r="DV158" s="503" t="str">
        <f>IF($G158="","",IF(AND($G158&gt;=30,$AT$3&lt;=DU$7),ROUND(DU158*($AP$3+#REF!),-1),""))</f>
        <v/>
      </c>
      <c r="DW158" s="503"/>
      <c r="DX158" s="503" t="str">
        <f>IF($G158="","",IF(AND($G158&gt;=30,$AT$3&lt;=DW$7),ROUND(DW158*($AP$3+#REF!),-1),""))</f>
        <v/>
      </c>
      <c r="DY158" s="503"/>
      <c r="DZ158" s="503" t="str">
        <f>IF($G158="","",IF(AND($G158&gt;=30,$AT$3&lt;=DY$7),ROUND(DY158*($AP$3+#REF!),-1),""))</f>
        <v/>
      </c>
      <c r="EA158" s="503"/>
      <c r="EB158" s="503" t="str">
        <f>IF($G158="","",IF(AND($G158&gt;=30,$AT$3&lt;=EA$7),ROUND(EA158*($AP$3+#REF!),-1),""))</f>
        <v/>
      </c>
      <c r="EC158" s="504" t="s">
        <v>621</v>
      </c>
      <c r="ED158" s="1124"/>
      <c r="EE158" s="325">
        <v>6</v>
      </c>
    </row>
    <row r="159" spans="1:135" ht="9.75" customHeight="1">
      <c r="A159" s="321" t="str">
        <f t="shared" si="37"/>
        <v/>
      </c>
      <c r="B159" s="567">
        <f>(ii!$D$13*12+V159)+1</f>
        <v>53</v>
      </c>
      <c r="C159" s="337">
        <f t="shared" si="44"/>
        <v>46965</v>
      </c>
      <c r="D159" s="484">
        <f t="shared" si="47"/>
        <v>2028</v>
      </c>
      <c r="E159" s="484">
        <f t="shared" si="45"/>
        <v>0.58333333333333337</v>
      </c>
      <c r="F159" s="484">
        <f t="shared" si="48"/>
        <v>2028.5833333333333</v>
      </c>
      <c r="G159" s="485" t="str">
        <f>IF(OR(C159&lt;$I$2,C159&gt;$J$3),"",(ii!$D$13*12+V159+1)/12)</f>
        <v/>
      </c>
      <c r="H159" s="486"/>
      <c r="I159" s="486"/>
      <c r="J159" s="487"/>
      <c r="K159" s="488"/>
      <c r="L159" s="548"/>
      <c r="M159" s="489" t="str">
        <f t="shared" si="49"/>
        <v/>
      </c>
      <c r="N159" s="490" t="s">
        <v>621</v>
      </c>
      <c r="O159" s="490" t="str">
        <f t="shared" si="42"/>
        <v/>
      </c>
      <c r="P159" s="491"/>
      <c r="Q159" s="491"/>
      <c r="R159" s="491" t="str">
        <f t="shared" si="43"/>
        <v/>
      </c>
      <c r="S159" s="528" t="str">
        <f t="shared" si="38"/>
        <v/>
      </c>
      <c r="T159" s="528" t="str">
        <f t="shared" si="36"/>
        <v/>
      </c>
      <c r="U159" s="493" t="str">
        <f>IF(H159="","",#REF!*12+#REF!+#REF!*12+#REF!)</f>
        <v/>
      </c>
      <c r="V159" s="338">
        <f>IF(ii!$J$3&gt;gg!C159,"",IF(AND((YEAR(C159)=YEAR($I$2)),MONTH(C159)=MONTH($I$2)),ii!$B$14*12+ii!$C$14+ii!$B$15*12+ii!$C$15-1,V158+1))</f>
        <v>52</v>
      </c>
      <c r="W159" s="339">
        <f t="shared" si="46"/>
        <v>4.333333333333333</v>
      </c>
      <c r="X159" s="494" t="s">
        <v>621</v>
      </c>
      <c r="Y159" s="495" t="s">
        <v>621</v>
      </c>
      <c r="Z159" s="496"/>
      <c r="AA159" s="497"/>
      <c r="AB159" s="498" t="e">
        <f t="shared" si="52"/>
        <v>#VALUE!</v>
      </c>
      <c r="AC159" s="484" t="str">
        <f t="shared" si="50"/>
        <v/>
      </c>
      <c r="AD159" s="495" t="str">
        <f t="shared" si="51"/>
        <v/>
      </c>
      <c r="AE159" s="499" t="s">
        <v>621</v>
      </c>
      <c r="AF159" s="500" t="s">
        <v>621</v>
      </c>
      <c r="AG159" s="556" t="s">
        <v>621</v>
      </c>
      <c r="AH159" s="503" t="str">
        <f>IF($G159="","",IF(AND($G159&gt;=30,$AT$3&lt;=AG$7),ROUND(AG159*($AP$3+#REF!),-1),""))</f>
        <v/>
      </c>
      <c r="AI159" s="506" t="s">
        <v>621</v>
      </c>
      <c r="AJ159" s="503" t="str">
        <f>IF($G159="","",IF(AND($G159&gt;=30,$AT$3&lt;=AI$7),ROUND(AI159*($AP$3+#REF!),-1),""))</f>
        <v/>
      </c>
      <c r="AK159" s="506" t="s">
        <v>621</v>
      </c>
      <c r="AL159" s="503" t="str">
        <f>IF($G159="","",IF(AND($G159&gt;=30,$AT$3&lt;=AK$7),ROUND(AK159*($AP$3+#REF!),-1),""))</f>
        <v/>
      </c>
      <c r="AM159" s="506" t="s">
        <v>621</v>
      </c>
      <c r="AN159" s="503" t="str">
        <f>IF($G159="","",IF(AND($G159&gt;=30,$AT$3&lt;=AM$7),ROUND(AM159*($AP$3+#REF!),-1),""))</f>
        <v/>
      </c>
      <c r="AO159" s="503" t="e">
        <v>#REF!</v>
      </c>
      <c r="AP159" s="503" t="str">
        <f>IF($G159="","",IF(AND($G159&gt;=30,$AT$3&lt;=AO$7),ROUND(AO159*($AP$3+#REF!),-1),""))</f>
        <v/>
      </c>
      <c r="AQ159" s="503" t="s">
        <v>621</v>
      </c>
      <c r="AR159" s="503" t="str">
        <f>IF($G159="","",IF(AND($G159&gt;=30,$AT$3&lt;=AQ$7),ROUND(AQ159*($AP$3+#REF!),-1),""))</f>
        <v/>
      </c>
      <c r="AS159" s="503" t="s">
        <v>621</v>
      </c>
      <c r="AT159" s="503" t="str">
        <f>IF($G159="","",IF(AND($G159&gt;=30,$AT$3&lt;=AS$7),ROUND(AS159*($AP$3+#REF!),-1),""))</f>
        <v/>
      </c>
      <c r="AU159" s="503" t="s">
        <v>621</v>
      </c>
      <c r="AV159" s="503" t="str">
        <f>IF($G159="","",IF(AND($G159&gt;=30,$AT$3&lt;=AU$7),ROUND(AU159*($AP$3+#REF!),-1),""))</f>
        <v/>
      </c>
      <c r="AW159" s="503" t="s">
        <v>621</v>
      </c>
      <c r="AX159" s="503" t="str">
        <f>IF($G159="","",IF(AND($G159&gt;=30,$AT$3&lt;=AW$7),ROUND(AW159*($AP$3+#REF!),-1),""))</f>
        <v/>
      </c>
      <c r="AY159" s="503" t="s">
        <v>621</v>
      </c>
      <c r="AZ159" s="503" t="str">
        <f>IF($G159="","",IF(AND($G159&gt;=30,$AT$3&lt;=AY$7),ROUND(AY159*($AP$3+#REF!),-1),""))</f>
        <v/>
      </c>
      <c r="BA159" s="503" t="s">
        <v>621</v>
      </c>
      <c r="BB159" s="503" t="str">
        <f>IF($G159="","",IF(AND($G159&gt;=30,$AT$3&lt;=BA$7),ROUND(BA159*($AP$3+#REF!),-1),""))</f>
        <v/>
      </c>
      <c r="BC159" s="503" t="s">
        <v>621</v>
      </c>
      <c r="BD159" s="503" t="str">
        <f>IF($G159="","",IF(AND($G159&gt;=30,$AT$3&lt;=BC$7),ROUND(BC159*($AP$3+#REF!),-1),""))</f>
        <v/>
      </c>
      <c r="BE159" s="517" t="e">
        <v>#REF!</v>
      </c>
      <c r="BF159" s="503" t="str">
        <f>IF($G159="","",IF(AND($G159&gt;=30,$AT$3&lt;=BE$7),ROUND(BE159*($AP$3+#REF!),-1),""))</f>
        <v/>
      </c>
      <c r="BG159" s="502"/>
      <c r="BH159" s="503" t="str">
        <f>IF($G159="","",IF(AND($G159&gt;=30,$AT$3&lt;=BG$7),ROUND(BG159*($AP$3+#REF!),-1),""))</f>
        <v/>
      </c>
      <c r="BI159" s="503"/>
      <c r="BJ159" s="503" t="str">
        <f>IF($G159="","",IF(AND($G159&gt;=30,$AT$3&lt;=BI$7),ROUND(BI159*($AP$3+#REF!),-1),""))</f>
        <v/>
      </c>
      <c r="BK159" s="502"/>
      <c r="BL159" s="503" t="str">
        <f>IF($G159="","",IF(AND($G159&gt;=30,$AT$3&lt;=BK$7),ROUND(BK159*($AP$3+#REF!),-1),""))</f>
        <v/>
      </c>
      <c r="BM159" s="503"/>
      <c r="BN159" s="503" t="str">
        <f>IF($G159="","",IF(AND($G159&gt;=30,$AT$3&lt;=BM$7),ROUND(BM159*($AP$3+#REF!),-1),""))</f>
        <v/>
      </c>
      <c r="BO159" s="502"/>
      <c r="BP159" s="503" t="str">
        <f>IF($G159="","",IF(AND($G159&gt;=30,$AT$3&lt;=BO$7),ROUND(BO159*($AP$3+#REF!),-1),""))</f>
        <v/>
      </c>
      <c r="BQ159" s="503"/>
      <c r="BR159" s="503" t="str">
        <f>IF($G159="","",IF(AND($G159&gt;=30,$AT$3&lt;=BQ$7),ROUND(BQ159*($AP$3+#REF!),-1),""))</f>
        <v/>
      </c>
      <c r="BS159" s="502"/>
      <c r="BT159" s="503" t="str">
        <f>IF($G159="","",IF(AND($G159&gt;=30,$AT$3&lt;=BS$7),ROUND(BS159*($AP$3+#REF!),-1),""))</f>
        <v/>
      </c>
      <c r="BU159" s="503"/>
      <c r="BV159" s="503" t="str">
        <f>IF($G159="","",IF(AND($G159&gt;=30,$AT$3&lt;=BU$7),ROUND(BU159*($AP$3+#REF!),-1),""))</f>
        <v/>
      </c>
      <c r="BW159" s="502"/>
      <c r="BX159" s="503" t="str">
        <f>IF($G159="","",IF(AND($G159&gt;=30,$AT$3&lt;=BW$7),ROUND(BW159*($AP$3+#REF!),-1),""))</f>
        <v/>
      </c>
      <c r="BY159" s="503"/>
      <c r="BZ159" s="503" t="str">
        <f>IF($G159="","",IF(AND($G159&gt;=30,$AT$3&lt;=BY$7),ROUND(BY159*($AP$3+#REF!),-1),""))</f>
        <v/>
      </c>
      <c r="CA159" s="502"/>
      <c r="CB159" s="503" t="str">
        <f>IF($G159="","",IF(AND($G159&gt;=30,$AT$3&lt;=CA$7),ROUND(CA159*($AP$3+#REF!),-1),""))</f>
        <v/>
      </c>
      <c r="CC159" s="503"/>
      <c r="CD159" s="503" t="str">
        <f>IF($G159="","",IF(AND($G159&gt;=30,$AT$3&lt;=CC$7),ROUND(CC159*($AP$3+#REF!),-1),""))</f>
        <v/>
      </c>
      <c r="CE159" s="502"/>
      <c r="CF159" s="503" t="str">
        <f>IF($G159="","",IF(AND($G159&gt;=30,$AT$3&lt;=CE$7),ROUND(CE159*($AP$3+#REF!),-1),""))</f>
        <v/>
      </c>
      <c r="CG159" s="503"/>
      <c r="CH159" s="503" t="str">
        <f>IF($G159="","",IF(AND($G159&gt;=30,$AT$3&lt;=CG$7),ROUND(CG159*($AP$3+#REF!),-1),""))</f>
        <v/>
      </c>
      <c r="CI159" s="502"/>
      <c r="CJ159" s="503" t="str">
        <f>IF($G159="","",IF(AND($G159&gt;=30,$AT$3&lt;=CI$7),ROUND(CI159*($AP$3+#REF!),-1),""))</f>
        <v/>
      </c>
      <c r="CK159" s="503"/>
      <c r="CL159" s="503" t="str">
        <f>IF($G159="","",IF(AND($G159&gt;=30,$AT$3&lt;=CK$7),ROUND(CK159*($AP$3+#REF!),-1),""))</f>
        <v/>
      </c>
      <c r="CM159" s="502"/>
      <c r="CN159" s="503" t="str">
        <f>IF($G159="","",IF(AND($G159&gt;=30,$AT$3&lt;=CM$7),ROUND(CM159*($AP$3+#REF!),-1),""))</f>
        <v/>
      </c>
      <c r="CO159" s="503"/>
      <c r="CP159" s="503" t="str">
        <f>IF($G159="","",IF(AND($G159&gt;=30,$AT$3&lt;=CO$7),ROUND(CO159*($AP$3+#REF!),-1),""))</f>
        <v/>
      </c>
      <c r="CQ159" s="502"/>
      <c r="CR159" s="503" t="str">
        <f>IF($G159="","",IF(AND($G159&gt;=30,$AT$3&lt;=CQ$7),ROUND(CQ159*($AP$3+#REF!),-1),""))</f>
        <v/>
      </c>
      <c r="CS159" s="503"/>
      <c r="CT159" s="503" t="str">
        <f>IF($G159="","",IF(AND($G159&gt;=30,$AT$3&lt;=CS$7),ROUND(CS159*($AP$3+#REF!),-1),""))</f>
        <v/>
      </c>
      <c r="CU159" s="502"/>
      <c r="CV159" s="503" t="str">
        <f>IF($G159="","",IF(AND($G159&gt;=30,$AT$3&lt;=CU$7),ROUND(CU159*($AP$3+#REF!),-1),""))</f>
        <v/>
      </c>
      <c r="CW159" s="503"/>
      <c r="CX159" s="503" t="str">
        <f>IF($G159="","",IF(AND($G159&gt;=30,$AT$3&lt;=CW$7),ROUND(CW159*($AP$3+#REF!),-1),""))</f>
        <v/>
      </c>
      <c r="CY159" s="502"/>
      <c r="CZ159" s="503" t="str">
        <f>IF($G159="","",IF(AND($G159&gt;=30,$AT$3&lt;=CY$7),ROUND(CY159*($AP$3+#REF!),-1),""))</f>
        <v/>
      </c>
      <c r="DA159" s="503"/>
      <c r="DB159" s="503" t="str">
        <f>IF($G159="","",IF(AND($G159&gt;=30,$AT$3&lt;=DA$7),ROUND(DA159*($AP$3+#REF!),-1),""))</f>
        <v/>
      </c>
      <c r="DC159" s="502"/>
      <c r="DD159" s="503" t="str">
        <f>IF($G159="","",IF(AND($G159&gt;=30,$AT$3&lt;=DC$7),ROUND(DC159*($AP$3+#REF!),-1),""))</f>
        <v/>
      </c>
      <c r="DE159" s="503"/>
      <c r="DF159" s="503" t="str">
        <f>IF($G159="","",IF(AND($G159&gt;=30,$AT$3&lt;=DE$7),ROUND(DE159*($AP$3+#REF!),-1),""))</f>
        <v/>
      </c>
      <c r="DG159" s="503"/>
      <c r="DH159" s="503" t="str">
        <f>IF($G159="","",IF(AND($G159&gt;=30,$AT$3&lt;=DG$7),ROUND(DG159*($AP$3+#REF!),-1),""))</f>
        <v/>
      </c>
      <c r="DI159" s="503"/>
      <c r="DJ159" s="503" t="str">
        <f>IF($G159="","",IF(AND($G159&gt;=30,$AT$3&lt;=DI$7),ROUND(DI159*($AP$3+#REF!),-1),""))</f>
        <v/>
      </c>
      <c r="DK159" s="503"/>
      <c r="DL159" s="503" t="str">
        <f>IF($G159="","",IF(AND($G159&gt;=30,$AT$3&lt;=DK$7),ROUND(DK159*($AP$3+#REF!),-1),""))</f>
        <v/>
      </c>
      <c r="DM159" s="503"/>
      <c r="DN159" s="503" t="str">
        <f>IF($G159="","",IF(AND($G159&gt;=30,$AT$3&lt;=DM$7),ROUND(DM159*($AP$3+#REF!),-1),""))</f>
        <v/>
      </c>
      <c r="DO159" s="503"/>
      <c r="DP159" s="503" t="str">
        <f>IF($G159="","",IF(AND($G159&gt;=30,$AT$3&lt;=DO$7),ROUND(DO159*($AP$3+#REF!),-1),""))</f>
        <v/>
      </c>
      <c r="DQ159" s="503"/>
      <c r="DR159" s="503" t="str">
        <f>IF($G159="","",IF(AND($G159&gt;=30,$AT$3&lt;=DQ$7),ROUND(DQ159*($AP$3+#REF!),-1),""))</f>
        <v/>
      </c>
      <c r="DS159" s="503"/>
      <c r="DT159" s="503" t="str">
        <f>IF($G159="","",IF(AND($G159&gt;=30,$AT$3&lt;=DS$7),ROUND(DS159*($AP$3+#REF!),-1),""))</f>
        <v/>
      </c>
      <c r="DU159" s="503"/>
      <c r="DV159" s="503" t="str">
        <f>IF($G159="","",IF(AND($G159&gt;=30,$AT$3&lt;=DU$7),ROUND(DU159*($AP$3+#REF!),-1),""))</f>
        <v/>
      </c>
      <c r="DW159" s="503"/>
      <c r="DX159" s="503" t="str">
        <f>IF($G159="","",IF(AND($G159&gt;=30,$AT$3&lt;=DW$7),ROUND(DW159*($AP$3+#REF!),-1),""))</f>
        <v/>
      </c>
      <c r="DY159" s="503"/>
      <c r="DZ159" s="503" t="str">
        <f>IF($G159="","",IF(AND($G159&gt;=30,$AT$3&lt;=DY$7),ROUND(DY159*($AP$3+#REF!),-1),""))</f>
        <v/>
      </c>
      <c r="EA159" s="503"/>
      <c r="EB159" s="503" t="str">
        <f>IF($G159="","",IF(AND($G159&gt;=30,$AT$3&lt;=EA$7),ROUND(EA159*($AP$3+#REF!),-1),""))</f>
        <v/>
      </c>
      <c r="EC159" s="504" t="s">
        <v>621</v>
      </c>
      <c r="ED159" s="1124"/>
      <c r="EE159" s="325">
        <v>7</v>
      </c>
    </row>
    <row r="160" spans="1:135" ht="9.75" customHeight="1">
      <c r="A160" s="321" t="str">
        <f t="shared" si="37"/>
        <v/>
      </c>
      <c r="B160" s="567">
        <f>(ii!$D$13*12+V160)+1</f>
        <v>54</v>
      </c>
      <c r="C160" s="337">
        <f t="shared" si="44"/>
        <v>46996</v>
      </c>
      <c r="D160" s="484">
        <f t="shared" si="47"/>
        <v>2028</v>
      </c>
      <c r="E160" s="484">
        <f t="shared" si="45"/>
        <v>0.66666666666666663</v>
      </c>
      <c r="F160" s="484">
        <f t="shared" si="48"/>
        <v>2028.6666666666667</v>
      </c>
      <c r="G160" s="485" t="str">
        <f>IF(OR(C160&lt;$I$2,C160&gt;$J$3),"",(ii!$D$13*12+V160+1)/12)</f>
        <v/>
      </c>
      <c r="H160" s="486"/>
      <c r="I160" s="486"/>
      <c r="J160" s="487"/>
      <c r="K160" s="488"/>
      <c r="L160" s="548"/>
      <c r="M160" s="489" t="str">
        <f t="shared" si="49"/>
        <v/>
      </c>
      <c r="N160" s="490" t="s">
        <v>621</v>
      </c>
      <c r="O160" s="490" t="str">
        <f t="shared" si="42"/>
        <v/>
      </c>
      <c r="P160" s="491"/>
      <c r="Q160" s="491"/>
      <c r="R160" s="491" t="str">
        <f t="shared" si="43"/>
        <v/>
      </c>
      <c r="S160" s="528" t="str">
        <f t="shared" si="38"/>
        <v/>
      </c>
      <c r="T160" s="528" t="str">
        <f t="shared" si="36"/>
        <v/>
      </c>
      <c r="U160" s="493" t="str">
        <f>IF(H160="","",#REF!*12+#REF!+#REF!*12+#REF!)</f>
        <v/>
      </c>
      <c r="V160" s="338">
        <f>IF(ii!$J$3&gt;gg!C160,"",IF(AND((YEAR(C160)=YEAR($I$2)),MONTH(C160)=MONTH($I$2)),ii!$B$14*12+ii!$C$14+ii!$B$15*12+ii!$C$15-1,V159+1))</f>
        <v>53</v>
      </c>
      <c r="W160" s="339">
        <f t="shared" si="46"/>
        <v>4.416666666666667</v>
      </c>
      <c r="X160" s="494" t="s">
        <v>621</v>
      </c>
      <c r="Y160" s="495" t="s">
        <v>621</v>
      </c>
      <c r="Z160" s="496"/>
      <c r="AA160" s="497"/>
      <c r="AB160" s="498" t="e">
        <f t="shared" si="52"/>
        <v>#VALUE!</v>
      </c>
      <c r="AC160" s="484" t="str">
        <f t="shared" si="50"/>
        <v/>
      </c>
      <c r="AD160" s="495" t="str">
        <f t="shared" si="51"/>
        <v/>
      </c>
      <c r="AE160" s="499" t="s">
        <v>621</v>
      </c>
      <c r="AF160" s="500" t="s">
        <v>621</v>
      </c>
      <c r="AG160" s="556" t="s">
        <v>621</v>
      </c>
      <c r="AH160" s="503" t="str">
        <f>IF($G160="","",IF(AND($G160&gt;=30,$AT$3&lt;=AG$7),ROUND(AG160*($AP$3+#REF!),-1),""))</f>
        <v/>
      </c>
      <c r="AI160" s="506" t="s">
        <v>621</v>
      </c>
      <c r="AJ160" s="503" t="str">
        <f>IF($G160="","",IF(AND($G160&gt;=30,$AT$3&lt;=AI$7),ROUND(AI160*($AP$3+#REF!),-1),""))</f>
        <v/>
      </c>
      <c r="AK160" s="506" t="s">
        <v>621</v>
      </c>
      <c r="AL160" s="503" t="str">
        <f>IF($G160="","",IF(AND($G160&gt;=30,$AT$3&lt;=AK$7),ROUND(AK160*($AP$3+#REF!),-1),""))</f>
        <v/>
      </c>
      <c r="AM160" s="506" t="s">
        <v>621</v>
      </c>
      <c r="AN160" s="503" t="str">
        <f>IF($G160="","",IF(AND($G160&gt;=30,$AT$3&lt;=AM$7),ROUND(AM160*($AP$3+#REF!),-1),""))</f>
        <v/>
      </c>
      <c r="AO160" s="503" t="e">
        <v>#REF!</v>
      </c>
      <c r="AP160" s="503" t="str">
        <f>IF($G160="","",IF(AND($G160&gt;=30,$AT$3&lt;=AO$7),ROUND(AO160*($AP$3+#REF!),-1),""))</f>
        <v/>
      </c>
      <c r="AQ160" s="503" t="s">
        <v>621</v>
      </c>
      <c r="AR160" s="503" t="str">
        <f>IF($G160="","",IF(AND($G160&gt;=30,$AT$3&lt;=AQ$7),ROUND(AQ160*($AP$3+#REF!),-1),""))</f>
        <v/>
      </c>
      <c r="AS160" s="503" t="s">
        <v>621</v>
      </c>
      <c r="AT160" s="503" t="str">
        <f>IF($G160="","",IF(AND($G160&gt;=30,$AT$3&lt;=AS$7),ROUND(AS160*($AP$3+#REF!),-1),""))</f>
        <v/>
      </c>
      <c r="AU160" s="503" t="s">
        <v>621</v>
      </c>
      <c r="AV160" s="503" t="str">
        <f>IF($G160="","",IF(AND($G160&gt;=30,$AT$3&lt;=AU$7),ROUND(AU160*($AP$3+#REF!),-1),""))</f>
        <v/>
      </c>
      <c r="AW160" s="503" t="s">
        <v>621</v>
      </c>
      <c r="AX160" s="503" t="str">
        <f>IF($G160="","",IF(AND($G160&gt;=30,$AT$3&lt;=AW$7),ROUND(AW160*($AP$3+#REF!),-1),""))</f>
        <v/>
      </c>
      <c r="AY160" s="503" t="s">
        <v>621</v>
      </c>
      <c r="AZ160" s="503" t="str">
        <f>IF($G160="","",IF(AND($G160&gt;=30,$AT$3&lt;=AY$7),ROUND(AY160*($AP$3+#REF!),-1),""))</f>
        <v/>
      </c>
      <c r="BA160" s="503" t="s">
        <v>621</v>
      </c>
      <c r="BB160" s="503" t="str">
        <f>IF($G160="","",IF(AND($G160&gt;=30,$AT$3&lt;=BA$7),ROUND(BA160*($AP$3+#REF!),-1),""))</f>
        <v/>
      </c>
      <c r="BC160" s="503" t="s">
        <v>621</v>
      </c>
      <c r="BD160" s="503" t="str">
        <f>IF($G160="","",IF(AND($G160&gt;=30,$AT$3&lt;=BC$7),ROUND(BC160*($AP$3+#REF!),-1),""))</f>
        <v/>
      </c>
      <c r="BE160" s="517" t="e">
        <v>#REF!</v>
      </c>
      <c r="BF160" s="503" t="str">
        <f>IF($G160="","",IF(AND($G160&gt;=30,$AT$3&lt;=BE$7),ROUND(BE160*($AP$3+#REF!),-1),""))</f>
        <v/>
      </c>
      <c r="BG160" s="502"/>
      <c r="BH160" s="503" t="str">
        <f>IF($G160="","",IF(AND($G160&gt;=30,$AT$3&lt;=BG$7),ROUND(BG160*($AP$3+#REF!),-1),""))</f>
        <v/>
      </c>
      <c r="BI160" s="503"/>
      <c r="BJ160" s="503" t="str">
        <f>IF($G160="","",IF(AND($G160&gt;=30,$AT$3&lt;=BI$7),ROUND(BI160*($AP$3+#REF!),-1),""))</f>
        <v/>
      </c>
      <c r="BK160" s="502"/>
      <c r="BL160" s="503" t="str">
        <f>IF($G160="","",IF(AND($G160&gt;=30,$AT$3&lt;=BK$7),ROUND(BK160*($AP$3+#REF!),-1),""))</f>
        <v/>
      </c>
      <c r="BM160" s="503"/>
      <c r="BN160" s="503" t="str">
        <f>IF($G160="","",IF(AND($G160&gt;=30,$AT$3&lt;=BM$7),ROUND(BM160*($AP$3+#REF!),-1),""))</f>
        <v/>
      </c>
      <c r="BO160" s="502"/>
      <c r="BP160" s="503" t="str">
        <f>IF($G160="","",IF(AND($G160&gt;=30,$AT$3&lt;=BO$7),ROUND(BO160*($AP$3+#REF!),-1),""))</f>
        <v/>
      </c>
      <c r="BQ160" s="503"/>
      <c r="BR160" s="503" t="str">
        <f>IF($G160="","",IF(AND($G160&gt;=30,$AT$3&lt;=BQ$7),ROUND(BQ160*($AP$3+#REF!),-1),""))</f>
        <v/>
      </c>
      <c r="BS160" s="502"/>
      <c r="BT160" s="503" t="str">
        <f>IF($G160="","",IF(AND($G160&gt;=30,$AT$3&lt;=BS$7),ROUND(BS160*($AP$3+#REF!),-1),""))</f>
        <v/>
      </c>
      <c r="BU160" s="503"/>
      <c r="BV160" s="503" t="str">
        <f>IF($G160="","",IF(AND($G160&gt;=30,$AT$3&lt;=BU$7),ROUND(BU160*($AP$3+#REF!),-1),""))</f>
        <v/>
      </c>
      <c r="BW160" s="502"/>
      <c r="BX160" s="503" t="str">
        <f>IF($G160="","",IF(AND($G160&gt;=30,$AT$3&lt;=BW$7),ROUND(BW160*($AP$3+#REF!),-1),""))</f>
        <v/>
      </c>
      <c r="BY160" s="503"/>
      <c r="BZ160" s="503" t="str">
        <f>IF($G160="","",IF(AND($G160&gt;=30,$AT$3&lt;=BY$7),ROUND(BY160*($AP$3+#REF!),-1),""))</f>
        <v/>
      </c>
      <c r="CA160" s="502"/>
      <c r="CB160" s="503" t="str">
        <f>IF($G160="","",IF(AND($G160&gt;=30,$AT$3&lt;=CA$7),ROUND(CA160*($AP$3+#REF!),-1),""))</f>
        <v/>
      </c>
      <c r="CC160" s="503"/>
      <c r="CD160" s="503" t="str">
        <f>IF($G160="","",IF(AND($G160&gt;=30,$AT$3&lt;=CC$7),ROUND(CC160*($AP$3+#REF!),-1),""))</f>
        <v/>
      </c>
      <c r="CE160" s="502"/>
      <c r="CF160" s="503" t="str">
        <f>IF($G160="","",IF(AND($G160&gt;=30,$AT$3&lt;=CE$7),ROUND(CE160*($AP$3+#REF!),-1),""))</f>
        <v/>
      </c>
      <c r="CG160" s="503"/>
      <c r="CH160" s="503" t="str">
        <f>IF($G160="","",IF(AND($G160&gt;=30,$AT$3&lt;=CG$7),ROUND(CG160*($AP$3+#REF!),-1),""))</f>
        <v/>
      </c>
      <c r="CI160" s="502"/>
      <c r="CJ160" s="503" t="str">
        <f>IF($G160="","",IF(AND($G160&gt;=30,$AT$3&lt;=CI$7),ROUND(CI160*($AP$3+#REF!),-1),""))</f>
        <v/>
      </c>
      <c r="CK160" s="503"/>
      <c r="CL160" s="503" t="str">
        <f>IF($G160="","",IF(AND($G160&gt;=30,$AT$3&lt;=CK$7),ROUND(CK160*($AP$3+#REF!),-1),""))</f>
        <v/>
      </c>
      <c r="CM160" s="502"/>
      <c r="CN160" s="503" t="str">
        <f>IF($G160="","",IF(AND($G160&gt;=30,$AT$3&lt;=CM$7),ROUND(CM160*($AP$3+#REF!),-1),""))</f>
        <v/>
      </c>
      <c r="CO160" s="503"/>
      <c r="CP160" s="503" t="str">
        <f>IF($G160="","",IF(AND($G160&gt;=30,$AT$3&lt;=CO$7),ROUND(CO160*($AP$3+#REF!),-1),""))</f>
        <v/>
      </c>
      <c r="CQ160" s="502"/>
      <c r="CR160" s="503" t="str">
        <f>IF($G160="","",IF(AND($G160&gt;=30,$AT$3&lt;=CQ$7),ROUND(CQ160*($AP$3+#REF!),-1),""))</f>
        <v/>
      </c>
      <c r="CS160" s="503"/>
      <c r="CT160" s="503" t="str">
        <f>IF($G160="","",IF(AND($G160&gt;=30,$AT$3&lt;=CS$7),ROUND(CS160*($AP$3+#REF!),-1),""))</f>
        <v/>
      </c>
      <c r="CU160" s="502"/>
      <c r="CV160" s="503" t="str">
        <f>IF($G160="","",IF(AND($G160&gt;=30,$AT$3&lt;=CU$7),ROUND(CU160*($AP$3+#REF!),-1),""))</f>
        <v/>
      </c>
      <c r="CW160" s="503"/>
      <c r="CX160" s="503" t="str">
        <f>IF($G160="","",IF(AND($G160&gt;=30,$AT$3&lt;=CW$7),ROUND(CW160*($AP$3+#REF!),-1),""))</f>
        <v/>
      </c>
      <c r="CY160" s="502"/>
      <c r="CZ160" s="503" t="str">
        <f>IF($G160="","",IF(AND($G160&gt;=30,$AT$3&lt;=CY$7),ROUND(CY160*($AP$3+#REF!),-1),""))</f>
        <v/>
      </c>
      <c r="DA160" s="503"/>
      <c r="DB160" s="503" t="str">
        <f>IF($G160="","",IF(AND($G160&gt;=30,$AT$3&lt;=DA$7),ROUND(DA160*($AP$3+#REF!),-1),""))</f>
        <v/>
      </c>
      <c r="DC160" s="502"/>
      <c r="DD160" s="503" t="str">
        <f>IF($G160="","",IF(AND($G160&gt;=30,$AT$3&lt;=DC$7),ROUND(DC160*($AP$3+#REF!),-1),""))</f>
        <v/>
      </c>
      <c r="DE160" s="503"/>
      <c r="DF160" s="503" t="str">
        <f>IF($G160="","",IF(AND($G160&gt;=30,$AT$3&lt;=DE$7),ROUND(DE160*($AP$3+#REF!),-1),""))</f>
        <v/>
      </c>
      <c r="DG160" s="503"/>
      <c r="DH160" s="503" t="str">
        <f>IF($G160="","",IF(AND($G160&gt;=30,$AT$3&lt;=DG$7),ROUND(DG160*($AP$3+#REF!),-1),""))</f>
        <v/>
      </c>
      <c r="DI160" s="503"/>
      <c r="DJ160" s="503" t="str">
        <f>IF($G160="","",IF(AND($G160&gt;=30,$AT$3&lt;=DI$7),ROUND(DI160*($AP$3+#REF!),-1),""))</f>
        <v/>
      </c>
      <c r="DK160" s="503"/>
      <c r="DL160" s="503" t="str">
        <f>IF($G160="","",IF(AND($G160&gt;=30,$AT$3&lt;=DK$7),ROUND(DK160*($AP$3+#REF!),-1),""))</f>
        <v/>
      </c>
      <c r="DM160" s="503"/>
      <c r="DN160" s="503" t="str">
        <f>IF($G160="","",IF(AND($G160&gt;=30,$AT$3&lt;=DM$7),ROUND(DM160*($AP$3+#REF!),-1),""))</f>
        <v/>
      </c>
      <c r="DO160" s="503"/>
      <c r="DP160" s="503" t="str">
        <f>IF($G160="","",IF(AND($G160&gt;=30,$AT$3&lt;=DO$7),ROUND(DO160*($AP$3+#REF!),-1),""))</f>
        <v/>
      </c>
      <c r="DQ160" s="503"/>
      <c r="DR160" s="503" t="str">
        <f>IF($G160="","",IF(AND($G160&gt;=30,$AT$3&lt;=DQ$7),ROUND(DQ160*($AP$3+#REF!),-1),""))</f>
        <v/>
      </c>
      <c r="DS160" s="503"/>
      <c r="DT160" s="503" t="str">
        <f>IF($G160="","",IF(AND($G160&gt;=30,$AT$3&lt;=DS$7),ROUND(DS160*($AP$3+#REF!),-1),""))</f>
        <v/>
      </c>
      <c r="DU160" s="503"/>
      <c r="DV160" s="503" t="str">
        <f>IF($G160="","",IF(AND($G160&gt;=30,$AT$3&lt;=DU$7),ROUND(DU160*($AP$3+#REF!),-1),""))</f>
        <v/>
      </c>
      <c r="DW160" s="503"/>
      <c r="DX160" s="503" t="str">
        <f>IF($G160="","",IF(AND($G160&gt;=30,$AT$3&lt;=DW$7),ROUND(DW160*($AP$3+#REF!),-1),""))</f>
        <v/>
      </c>
      <c r="DY160" s="503"/>
      <c r="DZ160" s="503" t="str">
        <f>IF($G160="","",IF(AND($G160&gt;=30,$AT$3&lt;=DY$7),ROUND(DY160*($AP$3+#REF!),-1),""))</f>
        <v/>
      </c>
      <c r="EA160" s="503"/>
      <c r="EB160" s="503" t="str">
        <f>IF($G160="","",IF(AND($G160&gt;=30,$AT$3&lt;=EA$7),ROUND(EA160*($AP$3+#REF!),-1),""))</f>
        <v/>
      </c>
      <c r="EC160" s="504" t="s">
        <v>621</v>
      </c>
      <c r="ED160" s="1124"/>
      <c r="EE160" s="325">
        <v>8</v>
      </c>
    </row>
    <row r="161" spans="1:135" ht="9.75" customHeight="1">
      <c r="A161" s="321" t="str">
        <f t="shared" si="37"/>
        <v/>
      </c>
      <c r="B161" s="567">
        <f>(ii!$D$13*12+V161)+1</f>
        <v>55</v>
      </c>
      <c r="C161" s="337">
        <f t="shared" si="44"/>
        <v>47026</v>
      </c>
      <c r="D161" s="484">
        <f t="shared" si="47"/>
        <v>2028</v>
      </c>
      <c r="E161" s="484">
        <f t="shared" si="45"/>
        <v>0.75</v>
      </c>
      <c r="F161" s="484">
        <f t="shared" si="48"/>
        <v>2028.75</v>
      </c>
      <c r="G161" s="485" t="str">
        <f>IF(OR(C161&lt;$I$2,C161&gt;$J$3),"",(ii!$D$13*12+V161+1)/12)</f>
        <v/>
      </c>
      <c r="H161" s="486"/>
      <c r="I161" s="486"/>
      <c r="J161" s="487"/>
      <c r="K161" s="488"/>
      <c r="L161" s="548"/>
      <c r="M161" s="489" t="str">
        <f t="shared" si="49"/>
        <v/>
      </c>
      <c r="N161" s="490" t="s">
        <v>621</v>
      </c>
      <c r="O161" s="490" t="str">
        <f t="shared" si="42"/>
        <v/>
      </c>
      <c r="P161" s="491"/>
      <c r="Q161" s="491"/>
      <c r="R161" s="491" t="str">
        <f t="shared" si="43"/>
        <v/>
      </c>
      <c r="S161" s="528" t="str">
        <f t="shared" si="38"/>
        <v/>
      </c>
      <c r="T161" s="528" t="str">
        <f t="shared" si="36"/>
        <v/>
      </c>
      <c r="U161" s="493" t="str">
        <f>IF(H161="","",#REF!*12+#REF!+#REF!*12+#REF!)</f>
        <v/>
      </c>
      <c r="V161" s="338">
        <f>IF(ii!$J$3&gt;gg!C161,"",IF(AND((YEAR(C161)=YEAR($I$2)),MONTH(C161)=MONTH($I$2)),ii!$B$14*12+ii!$C$14+ii!$B$15*12+ii!$C$15-1,V160+1))</f>
        <v>54</v>
      </c>
      <c r="W161" s="339">
        <f t="shared" si="46"/>
        <v>4.5</v>
      </c>
      <c r="X161" s="494" t="s">
        <v>621</v>
      </c>
      <c r="Y161" s="495" t="s">
        <v>621</v>
      </c>
      <c r="Z161" s="496"/>
      <c r="AA161" s="497"/>
      <c r="AB161" s="498" t="e">
        <f t="shared" si="52"/>
        <v>#VALUE!</v>
      </c>
      <c r="AC161" s="484" t="str">
        <f t="shared" si="50"/>
        <v/>
      </c>
      <c r="AD161" s="495" t="str">
        <f t="shared" si="51"/>
        <v/>
      </c>
      <c r="AE161" s="499" t="s">
        <v>621</v>
      </c>
      <c r="AF161" s="500" t="s">
        <v>621</v>
      </c>
      <c r="AG161" s="556" t="s">
        <v>621</v>
      </c>
      <c r="AH161" s="503" t="str">
        <f>IF($G161="","",IF(AND($G161&gt;=30,$AT$3&lt;=AG$7),ROUND(AG161*($AP$3+#REF!),-1),""))</f>
        <v/>
      </c>
      <c r="AI161" s="506" t="s">
        <v>621</v>
      </c>
      <c r="AJ161" s="503" t="str">
        <f>IF($G161="","",IF(AND($G161&gt;=30,$AT$3&lt;=AI$7),ROUND(AI161*($AP$3+#REF!),-1),""))</f>
        <v/>
      </c>
      <c r="AK161" s="506" t="s">
        <v>621</v>
      </c>
      <c r="AL161" s="503" t="str">
        <f>IF($G161="","",IF(AND($G161&gt;=30,$AT$3&lt;=AK$7),ROUND(AK161*($AP$3+#REF!),-1),""))</f>
        <v/>
      </c>
      <c r="AM161" s="506" t="s">
        <v>621</v>
      </c>
      <c r="AN161" s="503" t="str">
        <f>IF($G161="","",IF(AND($G161&gt;=30,$AT$3&lt;=AM$7),ROUND(AM161*($AP$3+#REF!),-1),""))</f>
        <v/>
      </c>
      <c r="AO161" s="503" t="e">
        <v>#REF!</v>
      </c>
      <c r="AP161" s="503" t="str">
        <f>IF($G161="","",IF(AND($G161&gt;=30,$AT$3&lt;=AO$7),ROUND(AO161*($AP$3+#REF!),-1),""))</f>
        <v/>
      </c>
      <c r="AQ161" s="503" t="s">
        <v>621</v>
      </c>
      <c r="AR161" s="503" t="str">
        <f>IF($G161="","",IF(AND($G161&gt;=30,$AT$3&lt;=AQ$7),ROUND(AQ161*($AP$3+#REF!),-1),""))</f>
        <v/>
      </c>
      <c r="AS161" s="503" t="s">
        <v>621</v>
      </c>
      <c r="AT161" s="503" t="str">
        <f>IF($G161="","",IF(AND($G161&gt;=30,$AT$3&lt;=AS$7),ROUND(AS161*($AP$3+#REF!),-1),""))</f>
        <v/>
      </c>
      <c r="AU161" s="503" t="s">
        <v>621</v>
      </c>
      <c r="AV161" s="503" t="str">
        <f>IF($G161="","",IF(AND($G161&gt;=30,$AT$3&lt;=AU$7),ROUND(AU161*($AP$3+#REF!),-1),""))</f>
        <v/>
      </c>
      <c r="AW161" s="503" t="s">
        <v>621</v>
      </c>
      <c r="AX161" s="503" t="str">
        <f>IF($G161="","",IF(AND($G161&gt;=30,$AT$3&lt;=AW$7),ROUND(AW161*($AP$3+#REF!),-1),""))</f>
        <v/>
      </c>
      <c r="AY161" s="503" t="s">
        <v>621</v>
      </c>
      <c r="AZ161" s="503" t="str">
        <f>IF($G161="","",IF(AND($G161&gt;=30,$AT$3&lt;=AY$7),ROUND(AY161*($AP$3+#REF!),-1),""))</f>
        <v/>
      </c>
      <c r="BA161" s="503" t="s">
        <v>621</v>
      </c>
      <c r="BB161" s="503" t="str">
        <f>IF($G161="","",IF(AND($G161&gt;=30,$AT$3&lt;=BA$7),ROUND(BA161*($AP$3+#REF!),-1),""))</f>
        <v/>
      </c>
      <c r="BC161" s="503" t="s">
        <v>621</v>
      </c>
      <c r="BD161" s="503" t="str">
        <f>IF($G161="","",IF(AND($G161&gt;=30,$AT$3&lt;=BC$7),ROUND(BC161*($AP$3+#REF!),-1),""))</f>
        <v/>
      </c>
      <c r="BE161" s="517" t="e">
        <v>#REF!</v>
      </c>
      <c r="BF161" s="503" t="str">
        <f>IF($G161="","",IF(AND($G161&gt;=30,$AT$3&lt;=BE$7),ROUND(BE161*($AP$3+#REF!),-1),""))</f>
        <v/>
      </c>
      <c r="BG161" s="502"/>
      <c r="BH161" s="503" t="str">
        <f>IF($G161="","",IF(AND($G161&gt;=30,$AT$3&lt;=BG$7),ROUND(BG161*($AP$3+#REF!),-1),""))</f>
        <v/>
      </c>
      <c r="BI161" s="503"/>
      <c r="BJ161" s="503" t="str">
        <f>IF($G161="","",IF(AND($G161&gt;=30,$AT$3&lt;=BI$7),ROUND(BI161*($AP$3+#REF!),-1),""))</f>
        <v/>
      </c>
      <c r="BK161" s="502"/>
      <c r="BL161" s="503" t="str">
        <f>IF($G161="","",IF(AND($G161&gt;=30,$AT$3&lt;=BK$7),ROUND(BK161*($AP$3+#REF!),-1),""))</f>
        <v/>
      </c>
      <c r="BM161" s="503"/>
      <c r="BN161" s="503" t="str">
        <f>IF($G161="","",IF(AND($G161&gt;=30,$AT$3&lt;=BM$7),ROUND(BM161*($AP$3+#REF!),-1),""))</f>
        <v/>
      </c>
      <c r="BO161" s="502"/>
      <c r="BP161" s="503" t="str">
        <f>IF($G161="","",IF(AND($G161&gt;=30,$AT$3&lt;=BO$7),ROUND(BO161*($AP$3+#REF!),-1),""))</f>
        <v/>
      </c>
      <c r="BQ161" s="503"/>
      <c r="BR161" s="503" t="str">
        <f>IF($G161="","",IF(AND($G161&gt;=30,$AT$3&lt;=BQ$7),ROUND(BQ161*($AP$3+#REF!),-1),""))</f>
        <v/>
      </c>
      <c r="BS161" s="502"/>
      <c r="BT161" s="503" t="str">
        <f>IF($G161="","",IF(AND($G161&gt;=30,$AT$3&lt;=BS$7),ROUND(BS161*($AP$3+#REF!),-1),""))</f>
        <v/>
      </c>
      <c r="BU161" s="503"/>
      <c r="BV161" s="503" t="str">
        <f>IF($G161="","",IF(AND($G161&gt;=30,$AT$3&lt;=BU$7),ROUND(BU161*($AP$3+#REF!),-1),""))</f>
        <v/>
      </c>
      <c r="BW161" s="502"/>
      <c r="BX161" s="503" t="str">
        <f>IF($G161="","",IF(AND($G161&gt;=30,$AT$3&lt;=BW$7),ROUND(BW161*($AP$3+#REF!),-1),""))</f>
        <v/>
      </c>
      <c r="BY161" s="503"/>
      <c r="BZ161" s="503" t="str">
        <f>IF($G161="","",IF(AND($G161&gt;=30,$AT$3&lt;=BY$7),ROUND(BY161*($AP$3+#REF!),-1),""))</f>
        <v/>
      </c>
      <c r="CA161" s="502"/>
      <c r="CB161" s="503" t="str">
        <f>IF($G161="","",IF(AND($G161&gt;=30,$AT$3&lt;=CA$7),ROUND(CA161*($AP$3+#REF!),-1),""))</f>
        <v/>
      </c>
      <c r="CC161" s="503"/>
      <c r="CD161" s="503" t="str">
        <f>IF($G161="","",IF(AND($G161&gt;=30,$AT$3&lt;=CC$7),ROUND(CC161*($AP$3+#REF!),-1),""))</f>
        <v/>
      </c>
      <c r="CE161" s="502"/>
      <c r="CF161" s="503" t="str">
        <f>IF($G161="","",IF(AND($G161&gt;=30,$AT$3&lt;=CE$7),ROUND(CE161*($AP$3+#REF!),-1),""))</f>
        <v/>
      </c>
      <c r="CG161" s="503"/>
      <c r="CH161" s="503" t="str">
        <f>IF($G161="","",IF(AND($G161&gt;=30,$AT$3&lt;=CG$7),ROUND(CG161*($AP$3+#REF!),-1),""))</f>
        <v/>
      </c>
      <c r="CI161" s="502"/>
      <c r="CJ161" s="503" t="str">
        <f>IF($G161="","",IF(AND($G161&gt;=30,$AT$3&lt;=CI$7),ROUND(CI161*($AP$3+#REF!),-1),""))</f>
        <v/>
      </c>
      <c r="CK161" s="503"/>
      <c r="CL161" s="503" t="str">
        <f>IF($G161="","",IF(AND($G161&gt;=30,$AT$3&lt;=CK$7),ROUND(CK161*($AP$3+#REF!),-1),""))</f>
        <v/>
      </c>
      <c r="CM161" s="502"/>
      <c r="CN161" s="503" t="str">
        <f>IF($G161="","",IF(AND($G161&gt;=30,$AT$3&lt;=CM$7),ROUND(CM161*($AP$3+#REF!),-1),""))</f>
        <v/>
      </c>
      <c r="CO161" s="503"/>
      <c r="CP161" s="503" t="str">
        <f>IF($G161="","",IF(AND($G161&gt;=30,$AT$3&lt;=CO$7),ROUND(CO161*($AP$3+#REF!),-1),""))</f>
        <v/>
      </c>
      <c r="CQ161" s="502"/>
      <c r="CR161" s="503" t="str">
        <f>IF($G161="","",IF(AND($G161&gt;=30,$AT$3&lt;=CQ$7),ROUND(CQ161*($AP$3+#REF!),-1),""))</f>
        <v/>
      </c>
      <c r="CS161" s="503"/>
      <c r="CT161" s="503" t="str">
        <f>IF($G161="","",IF(AND($G161&gt;=30,$AT$3&lt;=CS$7),ROUND(CS161*($AP$3+#REF!),-1),""))</f>
        <v/>
      </c>
      <c r="CU161" s="502"/>
      <c r="CV161" s="503" t="str">
        <f>IF($G161="","",IF(AND($G161&gt;=30,$AT$3&lt;=CU$7),ROUND(CU161*($AP$3+#REF!),-1),""))</f>
        <v/>
      </c>
      <c r="CW161" s="503"/>
      <c r="CX161" s="503" t="str">
        <f>IF($G161="","",IF(AND($G161&gt;=30,$AT$3&lt;=CW$7),ROUND(CW161*($AP$3+#REF!),-1),""))</f>
        <v/>
      </c>
      <c r="CY161" s="502"/>
      <c r="CZ161" s="503" t="str">
        <f>IF($G161="","",IF(AND($G161&gt;=30,$AT$3&lt;=CY$7),ROUND(CY161*($AP$3+#REF!),-1),""))</f>
        <v/>
      </c>
      <c r="DA161" s="503"/>
      <c r="DB161" s="503" t="str">
        <f>IF($G161="","",IF(AND($G161&gt;=30,$AT$3&lt;=DA$7),ROUND(DA161*($AP$3+#REF!),-1),""))</f>
        <v/>
      </c>
      <c r="DC161" s="502"/>
      <c r="DD161" s="503" t="str">
        <f>IF($G161="","",IF(AND($G161&gt;=30,$AT$3&lt;=DC$7),ROUND(DC161*($AP$3+#REF!),-1),""))</f>
        <v/>
      </c>
      <c r="DE161" s="503"/>
      <c r="DF161" s="503" t="str">
        <f>IF($G161="","",IF(AND($G161&gt;=30,$AT$3&lt;=DE$7),ROUND(DE161*($AP$3+#REF!),-1),""))</f>
        <v/>
      </c>
      <c r="DG161" s="503"/>
      <c r="DH161" s="503" t="str">
        <f>IF($G161="","",IF(AND($G161&gt;=30,$AT$3&lt;=DG$7),ROUND(DG161*($AP$3+#REF!),-1),""))</f>
        <v/>
      </c>
      <c r="DI161" s="503"/>
      <c r="DJ161" s="503" t="str">
        <f>IF($G161="","",IF(AND($G161&gt;=30,$AT$3&lt;=DI$7),ROUND(DI161*($AP$3+#REF!),-1),""))</f>
        <v/>
      </c>
      <c r="DK161" s="503"/>
      <c r="DL161" s="503" t="str">
        <f>IF($G161="","",IF(AND($G161&gt;=30,$AT$3&lt;=DK$7),ROUND(DK161*($AP$3+#REF!),-1),""))</f>
        <v/>
      </c>
      <c r="DM161" s="503"/>
      <c r="DN161" s="503" t="str">
        <f>IF($G161="","",IF(AND($G161&gt;=30,$AT$3&lt;=DM$7),ROUND(DM161*($AP$3+#REF!),-1),""))</f>
        <v/>
      </c>
      <c r="DO161" s="503"/>
      <c r="DP161" s="503" t="str">
        <f>IF($G161="","",IF(AND($G161&gt;=30,$AT$3&lt;=DO$7),ROUND(DO161*($AP$3+#REF!),-1),""))</f>
        <v/>
      </c>
      <c r="DQ161" s="503"/>
      <c r="DR161" s="503" t="str">
        <f>IF($G161="","",IF(AND($G161&gt;=30,$AT$3&lt;=DQ$7),ROUND(DQ161*($AP$3+#REF!),-1),""))</f>
        <v/>
      </c>
      <c r="DS161" s="503"/>
      <c r="DT161" s="503" t="str">
        <f>IF($G161="","",IF(AND($G161&gt;=30,$AT$3&lt;=DS$7),ROUND(DS161*($AP$3+#REF!),-1),""))</f>
        <v/>
      </c>
      <c r="DU161" s="503"/>
      <c r="DV161" s="503" t="str">
        <f>IF($G161="","",IF(AND($G161&gt;=30,$AT$3&lt;=DU$7),ROUND(DU161*($AP$3+#REF!),-1),""))</f>
        <v/>
      </c>
      <c r="DW161" s="503"/>
      <c r="DX161" s="503" t="str">
        <f>IF($G161="","",IF(AND($G161&gt;=30,$AT$3&lt;=DW$7),ROUND(DW161*($AP$3+#REF!),-1),""))</f>
        <v/>
      </c>
      <c r="DY161" s="503"/>
      <c r="DZ161" s="503" t="str">
        <f>IF($G161="","",IF(AND($G161&gt;=30,$AT$3&lt;=DY$7),ROUND(DY161*($AP$3+#REF!),-1),""))</f>
        <v/>
      </c>
      <c r="EA161" s="503"/>
      <c r="EB161" s="503" t="str">
        <f>IF($G161="","",IF(AND($G161&gt;=30,$AT$3&lt;=EA$7),ROUND(EA161*($AP$3+#REF!),-1),""))</f>
        <v/>
      </c>
      <c r="EC161" s="504" t="s">
        <v>621</v>
      </c>
      <c r="ED161" s="1124"/>
      <c r="EE161" s="325">
        <v>9</v>
      </c>
    </row>
    <row r="162" spans="1:135" ht="9.75" customHeight="1">
      <c r="A162" s="321" t="str">
        <f t="shared" si="37"/>
        <v/>
      </c>
      <c r="B162" s="567">
        <f>(ii!$D$13*12+V162)+1</f>
        <v>56</v>
      </c>
      <c r="C162" s="337">
        <f t="shared" si="44"/>
        <v>47057</v>
      </c>
      <c r="D162" s="484">
        <f t="shared" si="47"/>
        <v>2028</v>
      </c>
      <c r="E162" s="484">
        <f t="shared" si="45"/>
        <v>0.83333333333333337</v>
      </c>
      <c r="F162" s="484">
        <f t="shared" si="48"/>
        <v>2028.8333333333333</v>
      </c>
      <c r="G162" s="485" t="str">
        <f>IF(OR(C162&lt;$I$2,C162&gt;$J$3),"",(ii!$D$13*12+V162+1)/12)</f>
        <v/>
      </c>
      <c r="H162" s="486"/>
      <c r="I162" s="486"/>
      <c r="J162" s="487"/>
      <c r="K162" s="488"/>
      <c r="L162" s="548"/>
      <c r="M162" s="489" t="str">
        <f t="shared" si="49"/>
        <v/>
      </c>
      <c r="N162" s="490" t="s">
        <v>621</v>
      </c>
      <c r="O162" s="490" t="str">
        <f t="shared" si="42"/>
        <v/>
      </c>
      <c r="P162" s="491"/>
      <c r="Q162" s="491"/>
      <c r="R162" s="491" t="str">
        <f t="shared" si="43"/>
        <v/>
      </c>
      <c r="S162" s="528" t="str">
        <f t="shared" si="38"/>
        <v/>
      </c>
      <c r="T162" s="528" t="str">
        <f t="shared" si="36"/>
        <v/>
      </c>
      <c r="U162" s="493" t="str">
        <f>IF(H162="","",#REF!*12+#REF!+#REF!*12+#REF!)</f>
        <v/>
      </c>
      <c r="V162" s="338">
        <f>IF(ii!$J$3&gt;gg!C162,"",IF(AND((YEAR(C162)=YEAR($I$2)),MONTH(C162)=MONTH($I$2)),ii!$B$14*12+ii!$C$14+ii!$B$15*12+ii!$C$15-1,V161+1))</f>
        <v>55</v>
      </c>
      <c r="W162" s="339">
        <f t="shared" si="46"/>
        <v>4.583333333333333</v>
      </c>
      <c r="X162" s="494" t="s">
        <v>621</v>
      </c>
      <c r="Y162" s="495" t="s">
        <v>621</v>
      </c>
      <c r="Z162" s="496"/>
      <c r="AA162" s="497"/>
      <c r="AB162" s="498" t="e">
        <f t="shared" si="52"/>
        <v>#VALUE!</v>
      </c>
      <c r="AC162" s="484" t="str">
        <f t="shared" si="50"/>
        <v/>
      </c>
      <c r="AD162" s="495" t="str">
        <f t="shared" si="51"/>
        <v/>
      </c>
      <c r="AE162" s="499" t="s">
        <v>621</v>
      </c>
      <c r="AF162" s="500" t="s">
        <v>621</v>
      </c>
      <c r="AG162" s="556" t="s">
        <v>621</v>
      </c>
      <c r="AH162" s="503" t="str">
        <f>IF($G162="","",IF(AND($G162&gt;=30,$AT$3&lt;=AG$7),ROUND(AG162*($AP$3+#REF!),-1),""))</f>
        <v/>
      </c>
      <c r="AI162" s="506" t="s">
        <v>621</v>
      </c>
      <c r="AJ162" s="503" t="str">
        <f>IF($G162="","",IF(AND($G162&gt;=30,$AT$3&lt;=AI$7),ROUND(AI162*($AP$3+#REF!),-1),""))</f>
        <v/>
      </c>
      <c r="AK162" s="506" t="s">
        <v>621</v>
      </c>
      <c r="AL162" s="503" t="str">
        <f>IF($G162="","",IF(AND($G162&gt;=30,$AT$3&lt;=AK$7),ROUND(AK162*($AP$3+#REF!),-1),""))</f>
        <v/>
      </c>
      <c r="AM162" s="506" t="s">
        <v>621</v>
      </c>
      <c r="AN162" s="503" t="str">
        <f>IF($G162="","",IF(AND($G162&gt;=30,$AT$3&lt;=AM$7),ROUND(AM162*($AP$3+#REF!),-1),""))</f>
        <v/>
      </c>
      <c r="AO162" s="503" t="e">
        <v>#REF!</v>
      </c>
      <c r="AP162" s="503" t="str">
        <f>IF($G162="","",IF(AND($G162&gt;=30,$AT$3&lt;=AO$7),ROUND(AO162*($AP$3+#REF!),-1),""))</f>
        <v/>
      </c>
      <c r="AQ162" s="503" t="s">
        <v>621</v>
      </c>
      <c r="AR162" s="503" t="str">
        <f>IF($G162="","",IF(AND($G162&gt;=30,$AT$3&lt;=AQ$7),ROUND(AQ162*($AP$3+#REF!),-1),""))</f>
        <v/>
      </c>
      <c r="AS162" s="503" t="s">
        <v>621</v>
      </c>
      <c r="AT162" s="503" t="str">
        <f>IF($G162="","",IF(AND($G162&gt;=30,$AT$3&lt;=AS$7),ROUND(AS162*($AP$3+#REF!),-1),""))</f>
        <v/>
      </c>
      <c r="AU162" s="503" t="s">
        <v>621</v>
      </c>
      <c r="AV162" s="503" t="str">
        <f>IF($G162="","",IF(AND($G162&gt;=30,$AT$3&lt;=AU$7),ROUND(AU162*($AP$3+#REF!),-1),""))</f>
        <v/>
      </c>
      <c r="AW162" s="503" t="s">
        <v>621</v>
      </c>
      <c r="AX162" s="503" t="str">
        <f>IF($G162="","",IF(AND($G162&gt;=30,$AT$3&lt;=AW$7),ROUND(AW162*($AP$3+#REF!),-1),""))</f>
        <v/>
      </c>
      <c r="AY162" s="503" t="s">
        <v>621</v>
      </c>
      <c r="AZ162" s="503" t="str">
        <f>IF($G162="","",IF(AND($G162&gt;=30,$AT$3&lt;=AY$7),ROUND(AY162*($AP$3+#REF!),-1),""))</f>
        <v/>
      </c>
      <c r="BA162" s="503" t="s">
        <v>621</v>
      </c>
      <c r="BB162" s="503" t="str">
        <f>IF($G162="","",IF(AND($G162&gt;=30,$AT$3&lt;=BA$7),ROUND(BA162*($AP$3+#REF!),-1),""))</f>
        <v/>
      </c>
      <c r="BC162" s="503" t="s">
        <v>621</v>
      </c>
      <c r="BD162" s="503" t="str">
        <f>IF($G162="","",IF(AND($G162&gt;=30,$AT$3&lt;=BC$7),ROUND(BC162*($AP$3+#REF!),-1),""))</f>
        <v/>
      </c>
      <c r="BE162" s="517" t="e">
        <v>#REF!</v>
      </c>
      <c r="BF162" s="503" t="str">
        <f>IF($G162="","",IF(AND($G162&gt;=30,$AT$3&lt;=BE$7),ROUND(BE162*($AP$3+#REF!),-1),""))</f>
        <v/>
      </c>
      <c r="BG162" s="502"/>
      <c r="BH162" s="503" t="str">
        <f>IF($G162="","",IF(AND($G162&gt;=30,$AT$3&lt;=BG$7),ROUND(BG162*($AP$3+#REF!),-1),""))</f>
        <v/>
      </c>
      <c r="BI162" s="503"/>
      <c r="BJ162" s="503" t="str">
        <f>IF($G162="","",IF(AND($G162&gt;=30,$AT$3&lt;=BI$7),ROUND(BI162*($AP$3+#REF!),-1),""))</f>
        <v/>
      </c>
      <c r="BK162" s="502"/>
      <c r="BL162" s="503" t="str">
        <f>IF($G162="","",IF(AND($G162&gt;=30,$AT$3&lt;=BK$7),ROUND(BK162*($AP$3+#REF!),-1),""))</f>
        <v/>
      </c>
      <c r="BM162" s="503"/>
      <c r="BN162" s="503" t="str">
        <f>IF($G162="","",IF(AND($G162&gt;=30,$AT$3&lt;=BM$7),ROUND(BM162*($AP$3+#REF!),-1),""))</f>
        <v/>
      </c>
      <c r="BO162" s="502"/>
      <c r="BP162" s="503" t="str">
        <f>IF($G162="","",IF(AND($G162&gt;=30,$AT$3&lt;=BO$7),ROUND(BO162*($AP$3+#REF!),-1),""))</f>
        <v/>
      </c>
      <c r="BQ162" s="503"/>
      <c r="BR162" s="503" t="str">
        <f>IF($G162="","",IF(AND($G162&gt;=30,$AT$3&lt;=BQ$7),ROUND(BQ162*($AP$3+#REF!),-1),""))</f>
        <v/>
      </c>
      <c r="BS162" s="502"/>
      <c r="BT162" s="503" t="str">
        <f>IF($G162="","",IF(AND($G162&gt;=30,$AT$3&lt;=BS$7),ROUND(BS162*($AP$3+#REF!),-1),""))</f>
        <v/>
      </c>
      <c r="BU162" s="503"/>
      <c r="BV162" s="503" t="str">
        <f>IF($G162="","",IF(AND($G162&gt;=30,$AT$3&lt;=BU$7),ROUND(BU162*($AP$3+#REF!),-1),""))</f>
        <v/>
      </c>
      <c r="BW162" s="502"/>
      <c r="BX162" s="503" t="str">
        <f>IF($G162="","",IF(AND($G162&gt;=30,$AT$3&lt;=BW$7),ROUND(BW162*($AP$3+#REF!),-1),""))</f>
        <v/>
      </c>
      <c r="BY162" s="503"/>
      <c r="BZ162" s="503" t="str">
        <f>IF($G162="","",IF(AND($G162&gt;=30,$AT$3&lt;=BY$7),ROUND(BY162*($AP$3+#REF!),-1),""))</f>
        <v/>
      </c>
      <c r="CA162" s="502"/>
      <c r="CB162" s="503" t="str">
        <f>IF($G162="","",IF(AND($G162&gt;=30,$AT$3&lt;=CA$7),ROUND(CA162*($AP$3+#REF!),-1),""))</f>
        <v/>
      </c>
      <c r="CC162" s="503"/>
      <c r="CD162" s="503" t="str">
        <f>IF($G162="","",IF(AND($G162&gt;=30,$AT$3&lt;=CC$7),ROUND(CC162*($AP$3+#REF!),-1),""))</f>
        <v/>
      </c>
      <c r="CE162" s="502"/>
      <c r="CF162" s="503" t="str">
        <f>IF($G162="","",IF(AND($G162&gt;=30,$AT$3&lt;=CE$7),ROUND(CE162*($AP$3+#REF!),-1),""))</f>
        <v/>
      </c>
      <c r="CG162" s="503"/>
      <c r="CH162" s="503" t="str">
        <f>IF($G162="","",IF(AND($G162&gt;=30,$AT$3&lt;=CG$7),ROUND(CG162*($AP$3+#REF!),-1),""))</f>
        <v/>
      </c>
      <c r="CI162" s="502"/>
      <c r="CJ162" s="503" t="str">
        <f>IF($G162="","",IF(AND($G162&gt;=30,$AT$3&lt;=CI$7),ROUND(CI162*($AP$3+#REF!),-1),""))</f>
        <v/>
      </c>
      <c r="CK162" s="503"/>
      <c r="CL162" s="503" t="str">
        <f>IF($G162="","",IF(AND($G162&gt;=30,$AT$3&lt;=CK$7),ROUND(CK162*($AP$3+#REF!),-1),""))</f>
        <v/>
      </c>
      <c r="CM162" s="502"/>
      <c r="CN162" s="503" t="str">
        <f>IF($G162="","",IF(AND($G162&gt;=30,$AT$3&lt;=CM$7),ROUND(CM162*($AP$3+#REF!),-1),""))</f>
        <v/>
      </c>
      <c r="CO162" s="503"/>
      <c r="CP162" s="503" t="str">
        <f>IF($G162="","",IF(AND($G162&gt;=30,$AT$3&lt;=CO$7),ROUND(CO162*($AP$3+#REF!),-1),""))</f>
        <v/>
      </c>
      <c r="CQ162" s="502"/>
      <c r="CR162" s="503" t="str">
        <f>IF($G162="","",IF(AND($G162&gt;=30,$AT$3&lt;=CQ$7),ROUND(CQ162*($AP$3+#REF!),-1),""))</f>
        <v/>
      </c>
      <c r="CS162" s="503"/>
      <c r="CT162" s="503" t="str">
        <f>IF($G162="","",IF(AND($G162&gt;=30,$AT$3&lt;=CS$7),ROUND(CS162*($AP$3+#REF!),-1),""))</f>
        <v/>
      </c>
      <c r="CU162" s="502"/>
      <c r="CV162" s="503" t="str">
        <f>IF($G162="","",IF(AND($G162&gt;=30,$AT$3&lt;=CU$7),ROUND(CU162*($AP$3+#REF!),-1),""))</f>
        <v/>
      </c>
      <c r="CW162" s="503"/>
      <c r="CX162" s="503" t="str">
        <f>IF($G162="","",IF(AND($G162&gt;=30,$AT$3&lt;=CW$7),ROUND(CW162*($AP$3+#REF!),-1),""))</f>
        <v/>
      </c>
      <c r="CY162" s="502"/>
      <c r="CZ162" s="503" t="str">
        <f>IF($G162="","",IF(AND($G162&gt;=30,$AT$3&lt;=CY$7),ROUND(CY162*($AP$3+#REF!),-1),""))</f>
        <v/>
      </c>
      <c r="DA162" s="503"/>
      <c r="DB162" s="503" t="str">
        <f>IF($G162="","",IF(AND($G162&gt;=30,$AT$3&lt;=DA$7),ROUND(DA162*($AP$3+#REF!),-1),""))</f>
        <v/>
      </c>
      <c r="DC162" s="502"/>
      <c r="DD162" s="503" t="str">
        <f>IF($G162="","",IF(AND($G162&gt;=30,$AT$3&lt;=DC$7),ROUND(DC162*($AP$3+#REF!),-1),""))</f>
        <v/>
      </c>
      <c r="DE162" s="503"/>
      <c r="DF162" s="503" t="str">
        <f>IF($G162="","",IF(AND($G162&gt;=30,$AT$3&lt;=DE$7),ROUND(DE162*($AP$3+#REF!),-1),""))</f>
        <v/>
      </c>
      <c r="DG162" s="503"/>
      <c r="DH162" s="503" t="str">
        <f>IF($G162="","",IF(AND($G162&gt;=30,$AT$3&lt;=DG$7),ROUND(DG162*($AP$3+#REF!),-1),""))</f>
        <v/>
      </c>
      <c r="DI162" s="503"/>
      <c r="DJ162" s="503" t="str">
        <f>IF($G162="","",IF(AND($G162&gt;=30,$AT$3&lt;=DI$7),ROUND(DI162*($AP$3+#REF!),-1),""))</f>
        <v/>
      </c>
      <c r="DK162" s="503"/>
      <c r="DL162" s="503" t="str">
        <f>IF($G162="","",IF(AND($G162&gt;=30,$AT$3&lt;=DK$7),ROUND(DK162*($AP$3+#REF!),-1),""))</f>
        <v/>
      </c>
      <c r="DM162" s="503"/>
      <c r="DN162" s="503" t="str">
        <f>IF($G162="","",IF(AND($G162&gt;=30,$AT$3&lt;=DM$7),ROUND(DM162*($AP$3+#REF!),-1),""))</f>
        <v/>
      </c>
      <c r="DO162" s="503"/>
      <c r="DP162" s="503" t="str">
        <f>IF($G162="","",IF(AND($G162&gt;=30,$AT$3&lt;=DO$7),ROUND(DO162*($AP$3+#REF!),-1),""))</f>
        <v/>
      </c>
      <c r="DQ162" s="503"/>
      <c r="DR162" s="503" t="str">
        <f>IF($G162="","",IF(AND($G162&gt;=30,$AT$3&lt;=DQ$7),ROUND(DQ162*($AP$3+#REF!),-1),""))</f>
        <v/>
      </c>
      <c r="DS162" s="503"/>
      <c r="DT162" s="503" t="str">
        <f>IF($G162="","",IF(AND($G162&gt;=30,$AT$3&lt;=DS$7),ROUND(DS162*($AP$3+#REF!),-1),""))</f>
        <v/>
      </c>
      <c r="DU162" s="503"/>
      <c r="DV162" s="503" t="str">
        <f>IF($G162="","",IF(AND($G162&gt;=30,$AT$3&lt;=DU$7),ROUND(DU162*($AP$3+#REF!),-1),""))</f>
        <v/>
      </c>
      <c r="DW162" s="503"/>
      <c r="DX162" s="503" t="str">
        <f>IF($G162="","",IF(AND($G162&gt;=30,$AT$3&lt;=DW$7),ROUND(DW162*($AP$3+#REF!),-1),""))</f>
        <v/>
      </c>
      <c r="DY162" s="503"/>
      <c r="DZ162" s="503" t="str">
        <f>IF($G162="","",IF(AND($G162&gt;=30,$AT$3&lt;=DY$7),ROUND(DY162*($AP$3+#REF!),-1),""))</f>
        <v/>
      </c>
      <c r="EA162" s="503"/>
      <c r="EB162" s="503" t="str">
        <f>IF($G162="","",IF(AND($G162&gt;=30,$AT$3&lt;=EA$7),ROUND(EA162*($AP$3+#REF!),-1),""))</f>
        <v/>
      </c>
      <c r="EC162" s="504" t="s">
        <v>621</v>
      </c>
      <c r="ED162" s="1124"/>
      <c r="EE162" s="325">
        <v>10</v>
      </c>
    </row>
    <row r="163" spans="1:135" ht="9.75" customHeight="1">
      <c r="A163" s="321" t="str">
        <f t="shared" si="37"/>
        <v/>
      </c>
      <c r="B163" s="567">
        <f>(ii!$D$13*12+V163)+1</f>
        <v>57</v>
      </c>
      <c r="C163" s="337">
        <f t="shared" si="44"/>
        <v>47087</v>
      </c>
      <c r="D163" s="484">
        <f t="shared" si="47"/>
        <v>2028</v>
      </c>
      <c r="E163" s="484">
        <f t="shared" si="45"/>
        <v>0.91666666666666663</v>
      </c>
      <c r="F163" s="484">
        <f t="shared" si="48"/>
        <v>2028.9166666666667</v>
      </c>
      <c r="G163" s="485" t="str">
        <f>IF(OR(C163&lt;$I$2,C163&gt;$J$3),"",(ii!$D$13*12+V163+1)/12)</f>
        <v/>
      </c>
      <c r="H163" s="486"/>
      <c r="I163" s="486"/>
      <c r="J163" s="487"/>
      <c r="K163" s="488"/>
      <c r="L163" s="548"/>
      <c r="M163" s="489" t="str">
        <f t="shared" si="49"/>
        <v/>
      </c>
      <c r="N163" s="490" t="s">
        <v>621</v>
      </c>
      <c r="O163" s="490" t="str">
        <f t="shared" si="42"/>
        <v/>
      </c>
      <c r="P163" s="491"/>
      <c r="Q163" s="491"/>
      <c r="R163" s="491" t="str">
        <f t="shared" si="43"/>
        <v/>
      </c>
      <c r="S163" s="528" t="str">
        <f t="shared" si="38"/>
        <v/>
      </c>
      <c r="T163" s="528" t="str">
        <f t="shared" si="36"/>
        <v/>
      </c>
      <c r="U163" s="493" t="str">
        <f>IF(H163="","",#REF!*12+#REF!+#REF!*12+#REF!)</f>
        <v/>
      </c>
      <c r="V163" s="338">
        <f>IF(ii!$J$3&gt;gg!C163,"",IF(AND((YEAR(C163)=YEAR($I$2)),MONTH(C163)=MONTH($I$2)),ii!$B$14*12+ii!$C$14+ii!$B$15*12+ii!$C$15-1,V162+1))</f>
        <v>56</v>
      </c>
      <c r="W163" s="339">
        <f t="shared" si="46"/>
        <v>4.666666666666667</v>
      </c>
      <c r="X163" s="494" t="s">
        <v>621</v>
      </c>
      <c r="Y163" s="495" t="s">
        <v>621</v>
      </c>
      <c r="Z163" s="496"/>
      <c r="AA163" s="497"/>
      <c r="AB163" s="498" t="e">
        <f t="shared" si="52"/>
        <v>#VALUE!</v>
      </c>
      <c r="AC163" s="484" t="str">
        <f t="shared" si="50"/>
        <v/>
      </c>
      <c r="AD163" s="495" t="str">
        <f t="shared" si="51"/>
        <v/>
      </c>
      <c r="AE163" s="499" t="s">
        <v>621</v>
      </c>
      <c r="AF163" s="500" t="s">
        <v>621</v>
      </c>
      <c r="AG163" s="556" t="s">
        <v>621</v>
      </c>
      <c r="AH163" s="503" t="str">
        <f>IF($G163="","",IF(AND($G163&gt;=30,$AT$3&lt;=AG$7),ROUND(AG163*($AP$3+#REF!),-1),""))</f>
        <v/>
      </c>
      <c r="AI163" s="506" t="s">
        <v>621</v>
      </c>
      <c r="AJ163" s="503" t="str">
        <f>IF($G163="","",IF(AND($G163&gt;=30,$AT$3&lt;=AI$7),ROUND(AI163*($AP$3+#REF!),-1),""))</f>
        <v/>
      </c>
      <c r="AK163" s="506" t="s">
        <v>621</v>
      </c>
      <c r="AL163" s="503" t="str">
        <f>IF($G163="","",IF(AND($G163&gt;=30,$AT$3&lt;=AK$7),ROUND(AK163*($AP$3+#REF!),-1),""))</f>
        <v/>
      </c>
      <c r="AM163" s="506" t="s">
        <v>621</v>
      </c>
      <c r="AN163" s="503" t="str">
        <f>IF($G163="","",IF(AND($G163&gt;=30,$AT$3&lt;=AM$7),ROUND(AM163*($AP$3+#REF!),-1),""))</f>
        <v/>
      </c>
      <c r="AO163" s="503" t="e">
        <v>#REF!</v>
      </c>
      <c r="AP163" s="503" t="str">
        <f>IF($G163="","",IF(AND($G163&gt;=30,$AT$3&lt;=AO$7),ROUND(AO163*($AP$3+#REF!),-1),""))</f>
        <v/>
      </c>
      <c r="AQ163" s="503" t="s">
        <v>621</v>
      </c>
      <c r="AR163" s="503" t="str">
        <f>IF($G163="","",IF(AND($G163&gt;=30,$AT$3&lt;=AQ$7),ROUND(AQ163*($AP$3+#REF!),-1),""))</f>
        <v/>
      </c>
      <c r="AS163" s="503" t="s">
        <v>621</v>
      </c>
      <c r="AT163" s="503" t="str">
        <f>IF($G163="","",IF(AND($G163&gt;=30,$AT$3&lt;=AS$7),ROUND(AS163*($AP$3+#REF!),-1),""))</f>
        <v/>
      </c>
      <c r="AU163" s="503" t="s">
        <v>621</v>
      </c>
      <c r="AV163" s="503" t="str">
        <f>IF($G163="","",IF(AND($G163&gt;=30,$AT$3&lt;=AU$7),ROUND(AU163*($AP$3+#REF!),-1),""))</f>
        <v/>
      </c>
      <c r="AW163" s="503" t="s">
        <v>621</v>
      </c>
      <c r="AX163" s="503" t="str">
        <f>IF($G163="","",IF(AND($G163&gt;=30,$AT$3&lt;=AW$7),ROUND(AW163*($AP$3+#REF!),-1),""))</f>
        <v/>
      </c>
      <c r="AY163" s="503" t="s">
        <v>621</v>
      </c>
      <c r="AZ163" s="503" t="str">
        <f>IF($G163="","",IF(AND($G163&gt;=30,$AT$3&lt;=AY$7),ROUND(AY163*($AP$3+#REF!),-1),""))</f>
        <v/>
      </c>
      <c r="BA163" s="503" t="s">
        <v>621</v>
      </c>
      <c r="BB163" s="503" t="str">
        <f>IF($G163="","",IF(AND($G163&gt;=30,$AT$3&lt;=BA$7),ROUND(BA163*($AP$3+#REF!),-1),""))</f>
        <v/>
      </c>
      <c r="BC163" s="503" t="s">
        <v>621</v>
      </c>
      <c r="BD163" s="503" t="str">
        <f>IF($G163="","",IF(AND($G163&gt;=30,$AT$3&lt;=BC$7),ROUND(BC163*($AP$3+#REF!),-1),""))</f>
        <v/>
      </c>
      <c r="BE163" s="517" t="e">
        <v>#REF!</v>
      </c>
      <c r="BF163" s="503" t="str">
        <f>IF($G163="","",IF(AND($G163&gt;=30,$AT$3&lt;=BE$7),ROUND(BE163*($AP$3+#REF!),-1),""))</f>
        <v/>
      </c>
      <c r="BG163" s="502"/>
      <c r="BH163" s="503" t="str">
        <f>IF($G163="","",IF(AND($G163&gt;=30,$AT$3&lt;=BG$7),ROUND(BG163*($AP$3+#REF!),-1),""))</f>
        <v/>
      </c>
      <c r="BI163" s="503"/>
      <c r="BJ163" s="503" t="str">
        <f>IF($G163="","",IF(AND($G163&gt;=30,$AT$3&lt;=BI$7),ROUND(BI163*($AP$3+#REF!),-1),""))</f>
        <v/>
      </c>
      <c r="BK163" s="502"/>
      <c r="BL163" s="503" t="str">
        <f>IF($G163="","",IF(AND($G163&gt;=30,$AT$3&lt;=BK$7),ROUND(BK163*($AP$3+#REF!),-1),""))</f>
        <v/>
      </c>
      <c r="BM163" s="503"/>
      <c r="BN163" s="503" t="str">
        <f>IF($G163="","",IF(AND($G163&gt;=30,$AT$3&lt;=BM$7),ROUND(BM163*($AP$3+#REF!),-1),""))</f>
        <v/>
      </c>
      <c r="BO163" s="502"/>
      <c r="BP163" s="503" t="str">
        <f>IF($G163="","",IF(AND($G163&gt;=30,$AT$3&lt;=BO$7),ROUND(BO163*($AP$3+#REF!),-1),""))</f>
        <v/>
      </c>
      <c r="BQ163" s="503"/>
      <c r="BR163" s="503" t="str">
        <f>IF($G163="","",IF(AND($G163&gt;=30,$AT$3&lt;=BQ$7),ROUND(BQ163*($AP$3+#REF!),-1),""))</f>
        <v/>
      </c>
      <c r="BS163" s="502"/>
      <c r="BT163" s="503" t="str">
        <f>IF($G163="","",IF(AND($G163&gt;=30,$AT$3&lt;=BS$7),ROUND(BS163*($AP$3+#REF!),-1),""))</f>
        <v/>
      </c>
      <c r="BU163" s="503"/>
      <c r="BV163" s="503" t="str">
        <f>IF($G163="","",IF(AND($G163&gt;=30,$AT$3&lt;=BU$7),ROUND(BU163*($AP$3+#REF!),-1),""))</f>
        <v/>
      </c>
      <c r="BW163" s="502"/>
      <c r="BX163" s="503" t="str">
        <f>IF($G163="","",IF(AND($G163&gt;=30,$AT$3&lt;=BW$7),ROUND(BW163*($AP$3+#REF!),-1),""))</f>
        <v/>
      </c>
      <c r="BY163" s="503"/>
      <c r="BZ163" s="503" t="str">
        <f>IF($G163="","",IF(AND($G163&gt;=30,$AT$3&lt;=BY$7),ROUND(BY163*($AP$3+#REF!),-1),""))</f>
        <v/>
      </c>
      <c r="CA163" s="502"/>
      <c r="CB163" s="503" t="str">
        <f>IF($G163="","",IF(AND($G163&gt;=30,$AT$3&lt;=CA$7),ROUND(CA163*($AP$3+#REF!),-1),""))</f>
        <v/>
      </c>
      <c r="CC163" s="503"/>
      <c r="CD163" s="503" t="str">
        <f>IF($G163="","",IF(AND($G163&gt;=30,$AT$3&lt;=CC$7),ROUND(CC163*($AP$3+#REF!),-1),""))</f>
        <v/>
      </c>
      <c r="CE163" s="502"/>
      <c r="CF163" s="503" t="str">
        <f>IF($G163="","",IF(AND($G163&gt;=30,$AT$3&lt;=CE$7),ROUND(CE163*($AP$3+#REF!),-1),""))</f>
        <v/>
      </c>
      <c r="CG163" s="503"/>
      <c r="CH163" s="503" t="str">
        <f>IF($G163="","",IF(AND($G163&gt;=30,$AT$3&lt;=CG$7),ROUND(CG163*($AP$3+#REF!),-1),""))</f>
        <v/>
      </c>
      <c r="CI163" s="502"/>
      <c r="CJ163" s="503" t="str">
        <f>IF($G163="","",IF(AND($G163&gt;=30,$AT$3&lt;=CI$7),ROUND(CI163*($AP$3+#REF!),-1),""))</f>
        <v/>
      </c>
      <c r="CK163" s="503"/>
      <c r="CL163" s="503" t="str">
        <f>IF($G163="","",IF(AND($G163&gt;=30,$AT$3&lt;=CK$7),ROUND(CK163*($AP$3+#REF!),-1),""))</f>
        <v/>
      </c>
      <c r="CM163" s="502"/>
      <c r="CN163" s="503" t="str">
        <f>IF($G163="","",IF(AND($G163&gt;=30,$AT$3&lt;=CM$7),ROUND(CM163*($AP$3+#REF!),-1),""))</f>
        <v/>
      </c>
      <c r="CO163" s="503"/>
      <c r="CP163" s="503" t="str">
        <f>IF($G163="","",IF(AND($G163&gt;=30,$AT$3&lt;=CO$7),ROUND(CO163*($AP$3+#REF!),-1),""))</f>
        <v/>
      </c>
      <c r="CQ163" s="502"/>
      <c r="CR163" s="503" t="str">
        <f>IF($G163="","",IF(AND($G163&gt;=30,$AT$3&lt;=CQ$7),ROUND(CQ163*($AP$3+#REF!),-1),""))</f>
        <v/>
      </c>
      <c r="CS163" s="503"/>
      <c r="CT163" s="503" t="str">
        <f>IF($G163="","",IF(AND($G163&gt;=30,$AT$3&lt;=CS$7),ROUND(CS163*($AP$3+#REF!),-1),""))</f>
        <v/>
      </c>
      <c r="CU163" s="502"/>
      <c r="CV163" s="503" t="str">
        <f>IF($G163="","",IF(AND($G163&gt;=30,$AT$3&lt;=CU$7),ROUND(CU163*($AP$3+#REF!),-1),""))</f>
        <v/>
      </c>
      <c r="CW163" s="503"/>
      <c r="CX163" s="503" t="str">
        <f>IF($G163="","",IF(AND($G163&gt;=30,$AT$3&lt;=CW$7),ROUND(CW163*($AP$3+#REF!),-1),""))</f>
        <v/>
      </c>
      <c r="CY163" s="502"/>
      <c r="CZ163" s="503" t="str">
        <f>IF($G163="","",IF(AND($G163&gt;=30,$AT$3&lt;=CY$7),ROUND(CY163*($AP$3+#REF!),-1),""))</f>
        <v/>
      </c>
      <c r="DA163" s="503"/>
      <c r="DB163" s="503" t="str">
        <f>IF($G163="","",IF(AND($G163&gt;=30,$AT$3&lt;=DA$7),ROUND(DA163*($AP$3+#REF!),-1),""))</f>
        <v/>
      </c>
      <c r="DC163" s="502"/>
      <c r="DD163" s="503" t="str">
        <f>IF($G163="","",IF(AND($G163&gt;=30,$AT$3&lt;=DC$7),ROUND(DC163*($AP$3+#REF!),-1),""))</f>
        <v/>
      </c>
      <c r="DE163" s="503"/>
      <c r="DF163" s="503" t="str">
        <f>IF($G163="","",IF(AND($G163&gt;=30,$AT$3&lt;=DE$7),ROUND(DE163*($AP$3+#REF!),-1),""))</f>
        <v/>
      </c>
      <c r="DG163" s="503"/>
      <c r="DH163" s="503" t="str">
        <f>IF($G163="","",IF(AND($G163&gt;=30,$AT$3&lt;=DG$7),ROUND(DG163*($AP$3+#REF!),-1),""))</f>
        <v/>
      </c>
      <c r="DI163" s="503"/>
      <c r="DJ163" s="503" t="str">
        <f>IF($G163="","",IF(AND($G163&gt;=30,$AT$3&lt;=DI$7),ROUND(DI163*($AP$3+#REF!),-1),""))</f>
        <v/>
      </c>
      <c r="DK163" s="503"/>
      <c r="DL163" s="503" t="str">
        <f>IF($G163="","",IF(AND($G163&gt;=30,$AT$3&lt;=DK$7),ROUND(DK163*($AP$3+#REF!),-1),""))</f>
        <v/>
      </c>
      <c r="DM163" s="503"/>
      <c r="DN163" s="503" t="str">
        <f>IF($G163="","",IF(AND($G163&gt;=30,$AT$3&lt;=DM$7),ROUND(DM163*($AP$3+#REF!),-1),""))</f>
        <v/>
      </c>
      <c r="DO163" s="503"/>
      <c r="DP163" s="503" t="str">
        <f>IF($G163="","",IF(AND($G163&gt;=30,$AT$3&lt;=DO$7),ROUND(DO163*($AP$3+#REF!),-1),""))</f>
        <v/>
      </c>
      <c r="DQ163" s="503"/>
      <c r="DR163" s="503" t="str">
        <f>IF($G163="","",IF(AND($G163&gt;=30,$AT$3&lt;=DQ$7),ROUND(DQ163*($AP$3+#REF!),-1),""))</f>
        <v/>
      </c>
      <c r="DS163" s="503"/>
      <c r="DT163" s="503" t="str">
        <f>IF($G163="","",IF(AND($G163&gt;=30,$AT$3&lt;=DS$7),ROUND(DS163*($AP$3+#REF!),-1),""))</f>
        <v/>
      </c>
      <c r="DU163" s="503"/>
      <c r="DV163" s="503" t="str">
        <f>IF($G163="","",IF(AND($G163&gt;=30,$AT$3&lt;=DU$7),ROUND(DU163*($AP$3+#REF!),-1),""))</f>
        <v/>
      </c>
      <c r="DW163" s="503"/>
      <c r="DX163" s="503" t="str">
        <f>IF($G163="","",IF(AND($G163&gt;=30,$AT$3&lt;=DW$7),ROUND(DW163*($AP$3+#REF!),-1),""))</f>
        <v/>
      </c>
      <c r="DY163" s="503"/>
      <c r="DZ163" s="503" t="str">
        <f>IF($G163="","",IF(AND($G163&gt;=30,$AT$3&lt;=DY$7),ROUND(DY163*($AP$3+#REF!),-1),""))</f>
        <v/>
      </c>
      <c r="EA163" s="503"/>
      <c r="EB163" s="503" t="str">
        <f>IF($G163="","",IF(AND($G163&gt;=30,$AT$3&lt;=EA$7),ROUND(EA163*($AP$3+#REF!),-1),""))</f>
        <v/>
      </c>
      <c r="EC163" s="504" t="s">
        <v>621</v>
      </c>
      <c r="ED163" s="1124"/>
      <c r="EE163" s="325">
        <v>11</v>
      </c>
    </row>
    <row r="164" spans="1:135" ht="9.75" customHeight="1">
      <c r="A164" s="321" t="str">
        <f t="shared" si="37"/>
        <v/>
      </c>
      <c r="B164" s="567">
        <f>(ii!$D$13*12+V164)+1</f>
        <v>58</v>
      </c>
      <c r="C164" s="337">
        <f t="shared" si="44"/>
        <v>47118</v>
      </c>
      <c r="D164" s="484">
        <f t="shared" si="47"/>
        <v>2028</v>
      </c>
      <c r="E164" s="484">
        <f t="shared" si="45"/>
        <v>1</v>
      </c>
      <c r="F164" s="484">
        <f t="shared" si="48"/>
        <v>2029</v>
      </c>
      <c r="G164" s="485" t="str">
        <f>IF(OR(C164&lt;$I$2,C164&gt;$J$3),"",(ii!$D$13*12+V164+1)/12)</f>
        <v/>
      </c>
      <c r="H164" s="486"/>
      <c r="I164" s="486"/>
      <c r="J164" s="487"/>
      <c r="K164" s="488"/>
      <c r="L164" s="548"/>
      <c r="M164" s="489" t="str">
        <f t="shared" si="49"/>
        <v/>
      </c>
      <c r="N164" s="490" t="s">
        <v>621</v>
      </c>
      <c r="O164" s="490" t="str">
        <f t="shared" si="42"/>
        <v/>
      </c>
      <c r="P164" s="491"/>
      <c r="Q164" s="491"/>
      <c r="R164" s="491" t="str">
        <f t="shared" si="43"/>
        <v/>
      </c>
      <c r="S164" s="528" t="str">
        <f t="shared" si="38"/>
        <v/>
      </c>
      <c r="T164" s="528" t="str">
        <f t="shared" si="36"/>
        <v/>
      </c>
      <c r="U164" s="493" t="str">
        <f>IF(H164="","",#REF!*12+#REF!+#REF!*12+#REF!)</f>
        <v/>
      </c>
      <c r="V164" s="338">
        <f>IF(ii!$J$3&gt;gg!C164,"",IF(AND((YEAR(C164)=YEAR($I$2)),MONTH(C164)=MONTH($I$2)),ii!$B$14*12+ii!$C$14+ii!$B$15*12+ii!$C$15-1,V163+1))</f>
        <v>57</v>
      </c>
      <c r="W164" s="339">
        <f t="shared" si="46"/>
        <v>4.75</v>
      </c>
      <c r="X164" s="494" t="s">
        <v>621</v>
      </c>
      <c r="Y164" s="495" t="s">
        <v>621</v>
      </c>
      <c r="Z164" s="496"/>
      <c r="AA164" s="497"/>
      <c r="AB164" s="498" t="e">
        <f t="shared" si="52"/>
        <v>#VALUE!</v>
      </c>
      <c r="AC164" s="484" t="str">
        <f t="shared" si="50"/>
        <v/>
      </c>
      <c r="AD164" s="495" t="str">
        <f t="shared" si="51"/>
        <v/>
      </c>
      <c r="AE164" s="499" t="s">
        <v>621</v>
      </c>
      <c r="AF164" s="500" t="s">
        <v>621</v>
      </c>
      <c r="AG164" s="556" t="s">
        <v>621</v>
      </c>
      <c r="AH164" s="503" t="str">
        <f>IF($G164="","",IF(AND($G164&gt;=30,$AT$3&lt;=AG$7),ROUND(AG164*($AP$3+#REF!),-1),""))</f>
        <v/>
      </c>
      <c r="AI164" s="506" t="s">
        <v>621</v>
      </c>
      <c r="AJ164" s="503" t="str">
        <f>IF($G164="","",IF(AND($G164&gt;=30,$AT$3&lt;=AI$7),ROUND(AI164*($AP$3+#REF!),-1),""))</f>
        <v/>
      </c>
      <c r="AK164" s="506" t="s">
        <v>621</v>
      </c>
      <c r="AL164" s="503" t="str">
        <f>IF($G164="","",IF(AND($G164&gt;=30,$AT$3&lt;=AK$7),ROUND(AK164*($AP$3+#REF!),-1),""))</f>
        <v/>
      </c>
      <c r="AM164" s="506" t="s">
        <v>621</v>
      </c>
      <c r="AN164" s="503" t="str">
        <f>IF($G164="","",IF(AND($G164&gt;=30,$AT$3&lt;=AM$7),ROUND(AM164*($AP$3+#REF!),-1),""))</f>
        <v/>
      </c>
      <c r="AO164" s="503" t="e">
        <v>#REF!</v>
      </c>
      <c r="AP164" s="503" t="str">
        <f>IF($G164="","",IF(AND($G164&gt;=30,$AT$3&lt;=AO$7),ROUND(AO164*($AP$3+#REF!),-1),""))</f>
        <v/>
      </c>
      <c r="AQ164" s="503" t="s">
        <v>621</v>
      </c>
      <c r="AR164" s="503" t="str">
        <f>IF($G164="","",IF(AND($G164&gt;=30,$AT$3&lt;=AQ$7),ROUND(AQ164*($AP$3+#REF!),-1),""))</f>
        <v/>
      </c>
      <c r="AS164" s="503" t="s">
        <v>621</v>
      </c>
      <c r="AT164" s="503" t="str">
        <f>IF($G164="","",IF(AND($G164&gt;=30,$AT$3&lt;=AS$7),ROUND(AS164*($AP$3+#REF!),-1),""))</f>
        <v/>
      </c>
      <c r="AU164" s="503" t="s">
        <v>621</v>
      </c>
      <c r="AV164" s="503" t="str">
        <f>IF($G164="","",IF(AND($G164&gt;=30,$AT$3&lt;=AU$7),ROUND(AU164*($AP$3+#REF!),-1),""))</f>
        <v/>
      </c>
      <c r="AW164" s="503" t="s">
        <v>621</v>
      </c>
      <c r="AX164" s="503" t="str">
        <f>IF($G164="","",IF(AND($G164&gt;=30,$AT$3&lt;=AW$7),ROUND(AW164*($AP$3+#REF!),-1),""))</f>
        <v/>
      </c>
      <c r="AY164" s="503" t="s">
        <v>621</v>
      </c>
      <c r="AZ164" s="503" t="str">
        <f>IF($G164="","",IF(AND($G164&gt;=30,$AT$3&lt;=AY$7),ROUND(AY164*($AP$3+#REF!),-1),""))</f>
        <v/>
      </c>
      <c r="BA164" s="503" t="s">
        <v>621</v>
      </c>
      <c r="BB164" s="503" t="str">
        <f>IF($G164="","",IF(AND($G164&gt;=30,$AT$3&lt;=BA$7),ROUND(BA164*($AP$3+#REF!),-1),""))</f>
        <v/>
      </c>
      <c r="BC164" s="503" t="s">
        <v>621</v>
      </c>
      <c r="BD164" s="503" t="str">
        <f>IF($G164="","",IF(AND($G164&gt;=30,$AT$3&lt;=BC$7),ROUND(BC164*($AP$3+#REF!),-1),""))</f>
        <v/>
      </c>
      <c r="BE164" s="517" t="e">
        <v>#REF!</v>
      </c>
      <c r="BF164" s="503" t="str">
        <f>IF($G164="","",IF(AND($G164&gt;=30,$AT$3&lt;=BE$7),ROUND(BE164*($AP$3+#REF!),-1),""))</f>
        <v/>
      </c>
      <c r="BG164" s="502"/>
      <c r="BH164" s="503" t="str">
        <f>IF($G164="","",IF(AND($G164&gt;=30,$AT$3&lt;=BG$7),ROUND(BG164*($AP$3+#REF!),-1),""))</f>
        <v/>
      </c>
      <c r="BI164" s="503"/>
      <c r="BJ164" s="503" t="str">
        <f>IF($G164="","",IF(AND($G164&gt;=30,$AT$3&lt;=BI$7),ROUND(BI164*($AP$3+#REF!),-1),""))</f>
        <v/>
      </c>
      <c r="BK164" s="502"/>
      <c r="BL164" s="503" t="str">
        <f>IF($G164="","",IF(AND($G164&gt;=30,$AT$3&lt;=BK$7),ROUND(BK164*($AP$3+#REF!),-1),""))</f>
        <v/>
      </c>
      <c r="BM164" s="503"/>
      <c r="BN164" s="503" t="str">
        <f>IF($G164="","",IF(AND($G164&gt;=30,$AT$3&lt;=BM$7),ROUND(BM164*($AP$3+#REF!),-1),""))</f>
        <v/>
      </c>
      <c r="BO164" s="502"/>
      <c r="BP164" s="503" t="str">
        <f>IF($G164="","",IF(AND($G164&gt;=30,$AT$3&lt;=BO$7),ROUND(BO164*($AP$3+#REF!),-1),""))</f>
        <v/>
      </c>
      <c r="BQ164" s="503"/>
      <c r="BR164" s="503" t="str">
        <f>IF($G164="","",IF(AND($G164&gt;=30,$AT$3&lt;=BQ$7),ROUND(BQ164*($AP$3+#REF!),-1),""))</f>
        <v/>
      </c>
      <c r="BS164" s="502"/>
      <c r="BT164" s="503" t="str">
        <f>IF($G164="","",IF(AND($G164&gt;=30,$AT$3&lt;=BS$7),ROUND(BS164*($AP$3+#REF!),-1),""))</f>
        <v/>
      </c>
      <c r="BU164" s="503"/>
      <c r="BV164" s="503" t="str">
        <f>IF($G164="","",IF(AND($G164&gt;=30,$AT$3&lt;=BU$7),ROUND(BU164*($AP$3+#REF!),-1),""))</f>
        <v/>
      </c>
      <c r="BW164" s="502"/>
      <c r="BX164" s="503" t="str">
        <f>IF($G164="","",IF(AND($G164&gt;=30,$AT$3&lt;=BW$7),ROUND(BW164*($AP$3+#REF!),-1),""))</f>
        <v/>
      </c>
      <c r="BY164" s="503"/>
      <c r="BZ164" s="503" t="str">
        <f>IF($G164="","",IF(AND($G164&gt;=30,$AT$3&lt;=BY$7),ROUND(BY164*($AP$3+#REF!),-1),""))</f>
        <v/>
      </c>
      <c r="CA164" s="502"/>
      <c r="CB164" s="503" t="str">
        <f>IF($G164="","",IF(AND($G164&gt;=30,$AT$3&lt;=CA$7),ROUND(CA164*($AP$3+#REF!),-1),""))</f>
        <v/>
      </c>
      <c r="CC164" s="503"/>
      <c r="CD164" s="503" t="str">
        <f>IF($G164="","",IF(AND($G164&gt;=30,$AT$3&lt;=CC$7),ROUND(CC164*($AP$3+#REF!),-1),""))</f>
        <v/>
      </c>
      <c r="CE164" s="502"/>
      <c r="CF164" s="503" t="str">
        <f>IF($G164="","",IF(AND($G164&gt;=30,$AT$3&lt;=CE$7),ROUND(CE164*($AP$3+#REF!),-1),""))</f>
        <v/>
      </c>
      <c r="CG164" s="503"/>
      <c r="CH164" s="503" t="str">
        <f>IF($G164="","",IF(AND($G164&gt;=30,$AT$3&lt;=CG$7),ROUND(CG164*($AP$3+#REF!),-1),""))</f>
        <v/>
      </c>
      <c r="CI164" s="502"/>
      <c r="CJ164" s="503" t="str">
        <f>IF($G164="","",IF(AND($G164&gt;=30,$AT$3&lt;=CI$7),ROUND(CI164*($AP$3+#REF!),-1),""))</f>
        <v/>
      </c>
      <c r="CK164" s="503"/>
      <c r="CL164" s="503" t="str">
        <f>IF($G164="","",IF(AND($G164&gt;=30,$AT$3&lt;=CK$7),ROUND(CK164*($AP$3+#REF!),-1),""))</f>
        <v/>
      </c>
      <c r="CM164" s="502"/>
      <c r="CN164" s="503" t="str">
        <f>IF($G164="","",IF(AND($G164&gt;=30,$AT$3&lt;=CM$7),ROUND(CM164*($AP$3+#REF!),-1),""))</f>
        <v/>
      </c>
      <c r="CO164" s="503"/>
      <c r="CP164" s="503" t="str">
        <f>IF($G164="","",IF(AND($G164&gt;=30,$AT$3&lt;=CO$7),ROUND(CO164*($AP$3+#REF!),-1),""))</f>
        <v/>
      </c>
      <c r="CQ164" s="502"/>
      <c r="CR164" s="503" t="str">
        <f>IF($G164="","",IF(AND($G164&gt;=30,$AT$3&lt;=CQ$7),ROUND(CQ164*($AP$3+#REF!),-1),""))</f>
        <v/>
      </c>
      <c r="CS164" s="503"/>
      <c r="CT164" s="503" t="str">
        <f>IF($G164="","",IF(AND($G164&gt;=30,$AT$3&lt;=CS$7),ROUND(CS164*($AP$3+#REF!),-1),""))</f>
        <v/>
      </c>
      <c r="CU164" s="502"/>
      <c r="CV164" s="503" t="str">
        <f>IF($G164="","",IF(AND($G164&gt;=30,$AT$3&lt;=CU$7),ROUND(CU164*($AP$3+#REF!),-1),""))</f>
        <v/>
      </c>
      <c r="CW164" s="503"/>
      <c r="CX164" s="503" t="str">
        <f>IF($G164="","",IF(AND($G164&gt;=30,$AT$3&lt;=CW$7),ROUND(CW164*($AP$3+#REF!),-1),""))</f>
        <v/>
      </c>
      <c r="CY164" s="502"/>
      <c r="CZ164" s="503" t="str">
        <f>IF($G164="","",IF(AND($G164&gt;=30,$AT$3&lt;=CY$7),ROUND(CY164*($AP$3+#REF!),-1),""))</f>
        <v/>
      </c>
      <c r="DA164" s="503"/>
      <c r="DB164" s="503" t="str">
        <f>IF($G164="","",IF(AND($G164&gt;=30,$AT$3&lt;=DA$7),ROUND(DA164*($AP$3+#REF!),-1),""))</f>
        <v/>
      </c>
      <c r="DC164" s="502"/>
      <c r="DD164" s="503" t="str">
        <f>IF($G164="","",IF(AND($G164&gt;=30,$AT$3&lt;=DC$7),ROUND(DC164*($AP$3+#REF!),-1),""))</f>
        <v/>
      </c>
      <c r="DE164" s="503"/>
      <c r="DF164" s="503" t="str">
        <f>IF($G164="","",IF(AND($G164&gt;=30,$AT$3&lt;=DE$7),ROUND(DE164*($AP$3+#REF!),-1),""))</f>
        <v/>
      </c>
      <c r="DG164" s="503"/>
      <c r="DH164" s="503" t="str">
        <f>IF($G164="","",IF(AND($G164&gt;=30,$AT$3&lt;=DG$7),ROUND(DG164*($AP$3+#REF!),-1),""))</f>
        <v/>
      </c>
      <c r="DI164" s="503"/>
      <c r="DJ164" s="503" t="str">
        <f>IF($G164="","",IF(AND($G164&gt;=30,$AT$3&lt;=DI$7),ROUND(DI164*($AP$3+#REF!),-1),""))</f>
        <v/>
      </c>
      <c r="DK164" s="503"/>
      <c r="DL164" s="503" t="str">
        <f>IF($G164="","",IF(AND($G164&gt;=30,$AT$3&lt;=DK$7),ROUND(DK164*($AP$3+#REF!),-1),""))</f>
        <v/>
      </c>
      <c r="DM164" s="503"/>
      <c r="DN164" s="503" t="str">
        <f>IF($G164="","",IF(AND($G164&gt;=30,$AT$3&lt;=DM$7),ROUND(DM164*($AP$3+#REF!),-1),""))</f>
        <v/>
      </c>
      <c r="DO164" s="503"/>
      <c r="DP164" s="503" t="str">
        <f>IF($G164="","",IF(AND($G164&gt;=30,$AT$3&lt;=DO$7),ROUND(DO164*($AP$3+#REF!),-1),""))</f>
        <v/>
      </c>
      <c r="DQ164" s="503"/>
      <c r="DR164" s="503" t="str">
        <f>IF($G164="","",IF(AND($G164&gt;=30,$AT$3&lt;=DQ$7),ROUND(DQ164*($AP$3+#REF!),-1),""))</f>
        <v/>
      </c>
      <c r="DS164" s="503"/>
      <c r="DT164" s="503" t="str">
        <f>IF($G164="","",IF(AND($G164&gt;=30,$AT$3&lt;=DS$7),ROUND(DS164*($AP$3+#REF!),-1),""))</f>
        <v/>
      </c>
      <c r="DU164" s="503"/>
      <c r="DV164" s="503" t="str">
        <f>IF($G164="","",IF(AND($G164&gt;=30,$AT$3&lt;=DU$7),ROUND(DU164*($AP$3+#REF!),-1),""))</f>
        <v/>
      </c>
      <c r="DW164" s="503"/>
      <c r="DX164" s="503" t="str">
        <f>IF($G164="","",IF(AND($G164&gt;=30,$AT$3&lt;=DW$7),ROUND(DW164*($AP$3+#REF!),-1),""))</f>
        <v/>
      </c>
      <c r="DY164" s="503"/>
      <c r="DZ164" s="503" t="str">
        <f>IF($G164="","",IF(AND($G164&gt;=30,$AT$3&lt;=DY$7),ROUND(DY164*($AP$3+#REF!),-1),""))</f>
        <v/>
      </c>
      <c r="EA164" s="503"/>
      <c r="EB164" s="503" t="str">
        <f>IF($G164="","",IF(AND($G164&gt;=30,$AT$3&lt;=EA$7),ROUND(EA164*($AP$3+#REF!),-1),""))</f>
        <v/>
      </c>
      <c r="EC164" s="504" t="s">
        <v>621</v>
      </c>
      <c r="ED164" s="1125"/>
      <c r="EE164" s="325">
        <v>12</v>
      </c>
    </row>
    <row r="165" spans="1:135" ht="9.75" customHeight="1">
      <c r="A165" s="321" t="str">
        <f t="shared" si="37"/>
        <v/>
      </c>
      <c r="B165" s="567">
        <f>(ii!$D$13*12+V165)+1</f>
        <v>59</v>
      </c>
      <c r="C165" s="345">
        <f t="shared" si="44"/>
        <v>47149</v>
      </c>
      <c r="D165" s="340">
        <f t="shared" si="47"/>
        <v>2029</v>
      </c>
      <c r="E165" s="340">
        <f t="shared" si="45"/>
        <v>8.3333333333333329E-2</v>
      </c>
      <c r="F165" s="340">
        <f t="shared" si="48"/>
        <v>2029.0833333333333</v>
      </c>
      <c r="G165" s="531" t="str">
        <f>IF(OR(C165&lt;$I$2,C165&gt;$J$3),"",(ii!$D$13*12+V165+1)/12)</f>
        <v/>
      </c>
      <c r="H165" s="532"/>
      <c r="I165" s="532"/>
      <c r="J165" s="533"/>
      <c r="K165" s="553"/>
      <c r="L165" s="534"/>
      <c r="M165" s="489" t="str">
        <f t="shared" si="49"/>
        <v/>
      </c>
      <c r="N165" s="536" t="s">
        <v>621</v>
      </c>
      <c r="O165" s="490" t="str">
        <f t="shared" si="42"/>
        <v/>
      </c>
      <c r="P165" s="537"/>
      <c r="Q165" s="537"/>
      <c r="R165" s="533" t="str">
        <f t="shared" si="43"/>
        <v/>
      </c>
      <c r="S165" s="538" t="str">
        <f t="shared" si="38"/>
        <v/>
      </c>
      <c r="T165" s="538" t="str">
        <f t="shared" si="36"/>
        <v/>
      </c>
      <c r="U165" s="539" t="str">
        <f>IF(H165="","",#REF!*12+#REF!+#REF!*12+#REF!)</f>
        <v/>
      </c>
      <c r="V165" s="338">
        <f>IF(ii!$J$3&gt;gg!C165,"",IF(AND((YEAR(C165)=YEAR($I$2)),MONTH(C165)=MONTH($I$2)),ii!$B$14*12+ii!$C$14+ii!$B$15*12+ii!$C$15-1,V164+1))</f>
        <v>58</v>
      </c>
      <c r="W165" s="339">
        <f t="shared" si="46"/>
        <v>4.833333333333333</v>
      </c>
      <c r="X165" s="540" t="s">
        <v>621</v>
      </c>
      <c r="Y165" s="538" t="s">
        <v>621</v>
      </c>
      <c r="Z165" s="541">
        <f>Z153+$Z$26</f>
        <v>0.33000000000000007</v>
      </c>
      <c r="AA165" s="542" t="str">
        <f>IF(Y165="","",(Y165-Y164)/Y164)</f>
        <v/>
      </c>
      <c r="AB165" s="543" t="e">
        <f t="shared" si="52"/>
        <v>#VALUE!</v>
      </c>
      <c r="AC165" s="544" t="str">
        <f t="shared" si="50"/>
        <v/>
      </c>
      <c r="AD165" s="538" t="str">
        <f t="shared" si="51"/>
        <v/>
      </c>
      <c r="AE165" s="545" t="s">
        <v>621</v>
      </c>
      <c r="AF165" s="546" t="s">
        <v>621</v>
      </c>
      <c r="AG165" s="558" t="s">
        <v>621</v>
      </c>
      <c r="AH165" s="547" t="str">
        <f>IF($G165="","",IF(AND($G165&gt;=30,$AT$3&lt;=AG$7),ROUND(AG165*($AP$3+#REF!),-1),""))</f>
        <v/>
      </c>
      <c r="AI165" s="558" t="s">
        <v>621</v>
      </c>
      <c r="AJ165" s="547" t="str">
        <f>IF($G165="","",IF(AND($G165&gt;=30,$AT$3&lt;=AI$7),ROUND(AI165*($AP$3+#REF!),-1),""))</f>
        <v/>
      </c>
      <c r="AK165" s="560" t="s">
        <v>621</v>
      </c>
      <c r="AL165" s="547" t="str">
        <f>IF($G165="","",IF(AND($G165&gt;=30,$AT$3&lt;=AK$7),ROUND(AK165*($AP$3+#REF!),-1),""))</f>
        <v/>
      </c>
      <c r="AM165" s="560" t="s">
        <v>621</v>
      </c>
      <c r="AN165" s="547" t="str">
        <f>IF($G165="","",IF(AND($G165&gt;=30,$AT$3&lt;=AM$7),ROUND(AM165*($AP$3+#REF!),-1),""))</f>
        <v/>
      </c>
      <c r="AO165" s="547" t="e">
        <v>#REF!</v>
      </c>
      <c r="AP165" s="547" t="str">
        <f>IF($G165="","",IF(AND($G165&gt;=30,$AT$3&lt;=AO$7),ROUND(AO165*($AP$3+#REF!),-1),""))</f>
        <v/>
      </c>
      <c r="AQ165" s="547" t="s">
        <v>621</v>
      </c>
      <c r="AR165" s="547" t="str">
        <f>IF($G165="","",IF(AND($G165&gt;=30,$AT$3&lt;=AQ$7),ROUND(AQ165*($AP$3+#REF!),-1),""))</f>
        <v/>
      </c>
      <c r="AS165" s="547" t="s">
        <v>621</v>
      </c>
      <c r="AT165" s="547" t="str">
        <f>IF($G165="","",IF(AND($G165&gt;=30,$AT$3&lt;=AS$7),ROUND(AS165*($AP$3+#REF!),-1),""))</f>
        <v/>
      </c>
      <c r="AU165" s="547" t="s">
        <v>621</v>
      </c>
      <c r="AV165" s="547" t="str">
        <f>IF($G165="","",IF(AND($G165&gt;=30,$AT$3&lt;=AU$7),ROUND(AU165*($AP$3+#REF!),-1),""))</f>
        <v/>
      </c>
      <c r="AW165" s="547" t="s">
        <v>621</v>
      </c>
      <c r="AX165" s="547" t="str">
        <f>IF($G165="","",IF(AND($G165&gt;=30,$AT$3&lt;=AW$7),ROUND(AW165*($AP$3+#REF!),-1),""))</f>
        <v/>
      </c>
      <c r="AY165" s="547" t="s">
        <v>621</v>
      </c>
      <c r="AZ165" s="547" t="str">
        <f>IF($G165="","",IF(AND($G165&gt;=30,$AT$3&lt;=AY$7),ROUND(AY165*($AP$3+#REF!),-1),""))</f>
        <v/>
      </c>
      <c r="BA165" s="547" t="s">
        <v>621</v>
      </c>
      <c r="BB165" s="547" t="str">
        <f>IF($G165="","",IF(AND($G165&gt;=30,$AT$3&lt;=BA$7),ROUND(BA165*($AP$3+#REF!),-1),""))</f>
        <v/>
      </c>
      <c r="BC165" s="547" t="s">
        <v>621</v>
      </c>
      <c r="BD165" s="547" t="str">
        <f>IF($G165="","",IF(AND($G165&gt;=30,$AT$3&lt;=BC$7),ROUND(BC165*($AP$3+#REF!),-1),""))</f>
        <v/>
      </c>
      <c r="BE165" s="547" t="s">
        <v>621</v>
      </c>
      <c r="BF165" s="547" t="str">
        <f>IF($G165="","",IF(AND($G165&gt;=30,$AT$3&lt;=BE$7),ROUND(BE165*($AP$3+#REF!),-1),""))</f>
        <v/>
      </c>
      <c r="BG165" s="533" t="e">
        <v>#REF!</v>
      </c>
      <c r="BH165" s="547" t="str">
        <f>IF($G165="","",IF(AND($G165&gt;=30,$AT$3&lt;=BG$7),ROUND(BG165*($AP$3+#REF!),-1),""))</f>
        <v/>
      </c>
      <c r="BI165" s="547"/>
      <c r="BJ165" s="547" t="str">
        <f>IF($G165="","",IF(AND($G165&gt;=30,$AT$3&lt;=BI$7),ROUND(BI165*($AP$3+#REF!),-1),""))</f>
        <v/>
      </c>
      <c r="BK165" s="547"/>
      <c r="BL165" s="547" t="str">
        <f>IF($G165="","",IF(AND($G165&gt;=30,$AT$3&lt;=BK$7),ROUND(BK165*($AP$3+#REF!),-1),""))</f>
        <v/>
      </c>
      <c r="BM165" s="547"/>
      <c r="BN165" s="547" t="str">
        <f>IF($G165="","",IF(AND($G165&gt;=30,$AT$3&lt;=BM$7),ROUND(BM165*($AP$3+#REF!),-1),""))</f>
        <v/>
      </c>
      <c r="BO165" s="547"/>
      <c r="BP165" s="547" t="str">
        <f>IF($G165="","",IF(AND($G165&gt;=30,$AT$3&lt;=BO$7),ROUND(BO165*($AP$3+#REF!),-1),""))</f>
        <v/>
      </c>
      <c r="BQ165" s="547"/>
      <c r="BR165" s="547" t="str">
        <f>IF($G165="","",IF(AND($G165&gt;=30,$AT$3&lt;=BQ$7),ROUND(BQ165*($AP$3+#REF!),-1),""))</f>
        <v/>
      </c>
      <c r="BS165" s="547"/>
      <c r="BT165" s="547" t="str">
        <f>IF($G165="","",IF(AND($G165&gt;=30,$AT$3&lt;=BS$7),ROUND(BS165*($AP$3+#REF!),-1),""))</f>
        <v/>
      </c>
      <c r="BU165" s="547"/>
      <c r="BV165" s="547" t="str">
        <f>IF($G165="","",IF(AND($G165&gt;=30,$AT$3&lt;=BU$7),ROUND(BU165*($AP$3+#REF!),-1),""))</f>
        <v/>
      </c>
      <c r="BW165" s="547"/>
      <c r="BX165" s="547" t="str">
        <f>IF($G165="","",IF(AND($G165&gt;=30,$AT$3&lt;=BW$7),ROUND(BW165*($AP$3+#REF!),-1),""))</f>
        <v/>
      </c>
      <c r="BY165" s="547"/>
      <c r="BZ165" s="547" t="str">
        <f>IF($G165="","",IF(AND($G165&gt;=30,$AT$3&lt;=BY$7),ROUND(BY165*($AP$3+#REF!),-1),""))</f>
        <v/>
      </c>
      <c r="CA165" s="547"/>
      <c r="CB165" s="547" t="str">
        <f>IF($G165="","",IF(AND($G165&gt;=30,$AT$3&lt;=CA$7),ROUND(CA165*($AP$3+#REF!),-1),""))</f>
        <v/>
      </c>
      <c r="CC165" s="547"/>
      <c r="CD165" s="547" t="str">
        <f>IF($G165="","",IF(AND($G165&gt;=30,$AT$3&lt;=CC$7),ROUND(CC165*($AP$3+#REF!),-1),""))</f>
        <v/>
      </c>
      <c r="CE165" s="547"/>
      <c r="CF165" s="547" t="str">
        <f>IF($G165="","",IF(AND($G165&gt;=30,$AT$3&lt;=CE$7),ROUND(CE165*($AP$3+#REF!),-1),""))</f>
        <v/>
      </c>
      <c r="CG165" s="547"/>
      <c r="CH165" s="547" t="str">
        <f>IF($G165="","",IF(AND($G165&gt;=30,$AT$3&lt;=CG$7),ROUND(CG165*($AP$3+#REF!),-1),""))</f>
        <v/>
      </c>
      <c r="CI165" s="547"/>
      <c r="CJ165" s="547" t="str">
        <f>IF($G165="","",IF(AND($G165&gt;=30,$AT$3&lt;=CI$7),ROUND(CI165*($AP$3+#REF!),-1),""))</f>
        <v/>
      </c>
      <c r="CK165" s="547"/>
      <c r="CL165" s="547" t="str">
        <f>IF($G165="","",IF(AND($G165&gt;=30,$AT$3&lt;=CK$7),ROUND(CK165*($AP$3+#REF!),-1),""))</f>
        <v/>
      </c>
      <c r="CM165" s="547"/>
      <c r="CN165" s="547" t="str">
        <f>IF($G165="","",IF(AND($G165&gt;=30,$AT$3&lt;=CM$7),ROUND(CM165*($AP$3+#REF!),-1),""))</f>
        <v/>
      </c>
      <c r="CO165" s="547"/>
      <c r="CP165" s="547" t="str">
        <f>IF($G165="","",IF(AND($G165&gt;=30,$AT$3&lt;=CO$7),ROUND(CO165*($AP$3+#REF!),-1),""))</f>
        <v/>
      </c>
      <c r="CQ165" s="547"/>
      <c r="CR165" s="547" t="str">
        <f>IF($G165="","",IF(AND($G165&gt;=30,$AT$3&lt;=CQ$7),ROUND(CQ165*($AP$3+#REF!),-1),""))</f>
        <v/>
      </c>
      <c r="CS165" s="547"/>
      <c r="CT165" s="547" t="str">
        <f>IF($G165="","",IF(AND($G165&gt;=30,$AT$3&lt;=CS$7),ROUND(CS165*($AP$3+#REF!),-1),""))</f>
        <v/>
      </c>
      <c r="CU165" s="547"/>
      <c r="CV165" s="547" t="str">
        <f>IF($G165="","",IF(AND($G165&gt;=30,$AT$3&lt;=CU$7),ROUND(CU165*($AP$3+#REF!),-1),""))</f>
        <v/>
      </c>
      <c r="CW165" s="547"/>
      <c r="CX165" s="547" t="str">
        <f>IF($G165="","",IF(AND($G165&gt;=30,$AT$3&lt;=CW$7),ROUND(CW165*($AP$3+#REF!),-1),""))</f>
        <v/>
      </c>
      <c r="CY165" s="547"/>
      <c r="CZ165" s="547" t="str">
        <f>IF($G165="","",IF(AND($G165&gt;=30,$AT$3&lt;=CY$7),ROUND(CY165*($AP$3+#REF!),-1),""))</f>
        <v/>
      </c>
      <c r="DA165" s="547"/>
      <c r="DB165" s="547" t="str">
        <f>IF($G165="","",IF(AND($G165&gt;=30,$AT$3&lt;=DA$7),ROUND(DA165*($AP$3+#REF!),-1),""))</f>
        <v/>
      </c>
      <c r="DC165" s="547"/>
      <c r="DD165" s="547" t="str">
        <f>IF($G165="","",IF(AND($G165&gt;=30,$AT$3&lt;=DC$7),ROUND(DC165*($AP$3+#REF!),-1),""))</f>
        <v/>
      </c>
      <c r="DE165" s="547"/>
      <c r="DF165" s="547" t="str">
        <f>IF($G165="","",IF(AND($G165&gt;=30,$AT$3&lt;=DE$7),ROUND(DE165*($AP$3+#REF!),-1),""))</f>
        <v/>
      </c>
      <c r="DG165" s="547"/>
      <c r="DH165" s="547" t="str">
        <f>IF($G165="","",IF(AND($G165&gt;=30,$AT$3&lt;=DG$7),ROUND(DG165*($AP$3+#REF!),-1),""))</f>
        <v/>
      </c>
      <c r="DI165" s="547"/>
      <c r="DJ165" s="547" t="str">
        <f>IF($G165="","",IF(AND($G165&gt;=30,$AT$3&lt;=DI$7),ROUND(DI165*($AP$3+#REF!),-1),""))</f>
        <v/>
      </c>
      <c r="DK165" s="547"/>
      <c r="DL165" s="547" t="str">
        <f>IF($G165="","",IF(AND($G165&gt;=30,$AT$3&lt;=DK$7),ROUND(DK165*($AP$3+#REF!),-1),""))</f>
        <v/>
      </c>
      <c r="DM165" s="547"/>
      <c r="DN165" s="547" t="str">
        <f>IF($G165="","",IF(AND($G165&gt;=30,$AT$3&lt;=DM$7),ROUND(DM165*($AP$3+#REF!),-1),""))</f>
        <v/>
      </c>
      <c r="DO165" s="547"/>
      <c r="DP165" s="547" t="str">
        <f>IF($G165="","",IF(AND($G165&gt;=30,$AT$3&lt;=DO$7),ROUND(DO165*($AP$3+#REF!),-1),""))</f>
        <v/>
      </c>
      <c r="DQ165" s="547"/>
      <c r="DR165" s="547" t="str">
        <f>IF($G165="","",IF(AND($G165&gt;=30,$AT$3&lt;=DQ$7),ROUND(DQ165*($AP$3+#REF!),-1),""))</f>
        <v/>
      </c>
      <c r="DS165" s="547"/>
      <c r="DT165" s="547" t="str">
        <f>IF($G165="","",IF(AND($G165&gt;=30,$AT$3&lt;=DS$7),ROUND(DS165*($AP$3+#REF!),-1),""))</f>
        <v/>
      </c>
      <c r="DU165" s="547"/>
      <c r="DV165" s="547" t="str">
        <f>IF($G165="","",IF(AND($G165&gt;=30,$AT$3&lt;=DU$7),ROUND(DU165*($AP$3+#REF!),-1),""))</f>
        <v/>
      </c>
      <c r="DW165" s="547"/>
      <c r="DX165" s="547" t="str">
        <f>IF($G165="","",IF(AND($G165&gt;=30,$AT$3&lt;=DW$7),ROUND(DW165*($AP$3+#REF!),-1),""))</f>
        <v/>
      </c>
      <c r="DY165" s="547"/>
      <c r="DZ165" s="547" t="str">
        <f>IF($G165="","",IF(AND($G165&gt;=30,$AT$3&lt;=DY$7),ROUND(DY165*($AP$3+#REF!),-1),""))</f>
        <v/>
      </c>
      <c r="EA165" s="547"/>
      <c r="EB165" s="547" t="str">
        <f>IF($G165="","",IF(AND($G165&gt;=30,$AT$3&lt;=EA$7),ROUND(EA165*($AP$3+#REF!),-1),""))</f>
        <v/>
      </c>
      <c r="EC165" s="547" t="s">
        <v>621</v>
      </c>
      <c r="ED165" s="1123">
        <f>SUM(EC165:EC176)</f>
        <v>0</v>
      </c>
      <c r="EE165" s="325">
        <v>1</v>
      </c>
    </row>
    <row r="166" spans="1:135" ht="9.75" customHeight="1">
      <c r="A166" s="321" t="str">
        <f t="shared" si="37"/>
        <v/>
      </c>
      <c r="B166" s="567">
        <f>(ii!$D$13*12+V166)+1</f>
        <v>60</v>
      </c>
      <c r="C166" s="337">
        <f t="shared" si="44"/>
        <v>47177</v>
      </c>
      <c r="D166" s="484">
        <f t="shared" si="47"/>
        <v>2029</v>
      </c>
      <c r="E166" s="484">
        <f t="shared" si="45"/>
        <v>0.16666666666666666</v>
      </c>
      <c r="F166" s="484">
        <f t="shared" si="48"/>
        <v>2029.1666666666667</v>
      </c>
      <c r="G166" s="485" t="str">
        <f>IF(OR(C166&lt;$I$2,C166&gt;$J$3),"",(ii!$D$13*12+V166+1)/12)</f>
        <v/>
      </c>
      <c r="H166" s="486"/>
      <c r="I166" s="486"/>
      <c r="J166" s="487"/>
      <c r="K166" s="488"/>
      <c r="L166" s="548"/>
      <c r="M166" s="489" t="str">
        <f t="shared" si="49"/>
        <v/>
      </c>
      <c r="N166" s="490" t="s">
        <v>621</v>
      </c>
      <c r="O166" s="490" t="str">
        <f t="shared" si="42"/>
        <v/>
      </c>
      <c r="P166" s="491"/>
      <c r="Q166" s="491"/>
      <c r="R166" s="491" t="str">
        <f t="shared" si="43"/>
        <v/>
      </c>
      <c r="S166" s="528" t="str">
        <f t="shared" si="38"/>
        <v/>
      </c>
      <c r="T166" s="528" t="str">
        <f t="shared" si="36"/>
        <v/>
      </c>
      <c r="U166" s="493" t="str">
        <f>IF(H166="","",#REF!*12+#REF!+#REF!*12+#REF!)</f>
        <v/>
      </c>
      <c r="V166" s="338">
        <f>IF(ii!$J$3&gt;gg!C166,"",IF(AND((YEAR(C166)=YEAR($I$2)),MONTH(C166)=MONTH($I$2)),ii!$B$14*12+ii!$C$14+ii!$B$15*12+ii!$C$15-1,V165+1))</f>
        <v>59</v>
      </c>
      <c r="W166" s="339">
        <f t="shared" si="46"/>
        <v>4.916666666666667</v>
      </c>
      <c r="X166" s="494" t="s">
        <v>621</v>
      </c>
      <c r="Y166" s="495" t="s">
        <v>621</v>
      </c>
      <c r="Z166" s="496"/>
      <c r="AA166" s="497"/>
      <c r="AB166" s="498" t="e">
        <f t="shared" si="52"/>
        <v>#VALUE!</v>
      </c>
      <c r="AC166" s="484" t="str">
        <f t="shared" si="50"/>
        <v/>
      </c>
      <c r="AD166" s="495" t="str">
        <f t="shared" si="51"/>
        <v/>
      </c>
      <c r="AE166" s="499" t="s">
        <v>621</v>
      </c>
      <c r="AF166" s="500" t="s">
        <v>621</v>
      </c>
      <c r="AG166" s="556" t="s">
        <v>621</v>
      </c>
      <c r="AH166" s="503" t="str">
        <f>IF($G166="","",IF(AND($G166&gt;=30,$AT$3&lt;=AG$7),ROUND(AG166*($AP$3+#REF!),-1),""))</f>
        <v/>
      </c>
      <c r="AI166" s="506" t="s">
        <v>621</v>
      </c>
      <c r="AJ166" s="503" t="str">
        <f>IF($G166="","",IF(AND($G166&gt;=30,$AT$3&lt;=AI$7),ROUND(AI166*($AP$3+#REF!),-1),""))</f>
        <v/>
      </c>
      <c r="AK166" s="506" t="s">
        <v>621</v>
      </c>
      <c r="AL166" s="503" t="str">
        <f>IF($G166="","",IF(AND($G166&gt;=30,$AT$3&lt;=AK$7),ROUND(AK166*($AP$3+#REF!),-1),""))</f>
        <v/>
      </c>
      <c r="AM166" s="506" t="s">
        <v>621</v>
      </c>
      <c r="AN166" s="503" t="str">
        <f>IF($G166="","",IF(AND($G166&gt;=30,$AT$3&lt;=AM$7),ROUND(AM166*($AP$3+#REF!),-1),""))</f>
        <v/>
      </c>
      <c r="AO166" s="503" t="e">
        <f>IF(AO165="","",AO165*1.001)</f>
        <v>#REF!</v>
      </c>
      <c r="AP166" s="503" t="str">
        <f>IF($G166="","",IF(AND($G166&gt;=30,$AT$3&lt;=AO$7),ROUND(AO166*($AP$3+#REF!),-1),""))</f>
        <v/>
      </c>
      <c r="AQ166" s="503" t="s">
        <v>621</v>
      </c>
      <c r="AR166" s="503" t="str">
        <f>IF($G166="","",IF(AND($G166&gt;=30,$AT$3&lt;=AQ$7),ROUND(AQ166*($AP$3+#REF!),-1),""))</f>
        <v/>
      </c>
      <c r="AS166" s="503" t="s">
        <v>621</v>
      </c>
      <c r="AT166" s="503" t="str">
        <f>IF($G166="","",IF(AND($G166&gt;=30,$AT$3&lt;=AS$7),ROUND(AS166*($AP$3+#REF!),-1),""))</f>
        <v/>
      </c>
      <c r="AU166" s="503" t="s">
        <v>621</v>
      </c>
      <c r="AV166" s="503" t="str">
        <f>IF($G166="","",IF(AND($G166&gt;=30,$AT$3&lt;=AU$7),ROUND(AU166*($AP$3+#REF!),-1),""))</f>
        <v/>
      </c>
      <c r="AW166" s="503" t="s">
        <v>621</v>
      </c>
      <c r="AX166" s="503" t="str">
        <f>IF($G166="","",IF(AND($G166&gt;=30,$AT$3&lt;=AW$7),ROUND(AW166*($AP$3+#REF!),-1),""))</f>
        <v/>
      </c>
      <c r="AY166" s="503" t="s">
        <v>621</v>
      </c>
      <c r="AZ166" s="503" t="str">
        <f>IF($G166="","",IF(AND($G166&gt;=30,$AT$3&lt;=AY$7),ROUND(AY166*($AP$3+#REF!),-1),""))</f>
        <v/>
      </c>
      <c r="BA166" s="503" t="s">
        <v>621</v>
      </c>
      <c r="BB166" s="503" t="str">
        <f>IF($G166="","",IF(AND($G166&gt;=30,$AT$3&lt;=BA$7),ROUND(BA166*($AP$3+#REF!),-1),""))</f>
        <v/>
      </c>
      <c r="BC166" s="503" t="s">
        <v>621</v>
      </c>
      <c r="BD166" s="503" t="str">
        <f>IF($G166="","",IF(AND($G166&gt;=30,$AT$3&lt;=BC$7),ROUND(BC166*($AP$3+#REF!),-1),""))</f>
        <v/>
      </c>
      <c r="BE166" s="503" t="s">
        <v>621</v>
      </c>
      <c r="BF166" s="503" t="str">
        <f>IF($G166="","",IF(AND($G166&gt;=30,$AT$3&lt;=BE$7),ROUND(BE166*($AP$3+#REF!),-1),""))</f>
        <v/>
      </c>
      <c r="BG166" s="517" t="e">
        <v>#REF!</v>
      </c>
      <c r="BH166" s="503" t="str">
        <f>IF($G166="","",IF(AND($G166&gt;=30,$AT$3&lt;=BG$7),ROUND(BG166*($AP$3+#REF!),-1),""))</f>
        <v/>
      </c>
      <c r="BI166" s="503"/>
      <c r="BJ166" s="503" t="str">
        <f>IF($G166="","",IF(AND($G166&gt;=30,$AT$3&lt;=BI$7),ROUND(BI166*($AP$3+#REF!),-1),""))</f>
        <v/>
      </c>
      <c r="BK166" s="502"/>
      <c r="BL166" s="503" t="str">
        <f>IF($G166="","",IF(AND($G166&gt;=30,$AT$3&lt;=BK$7),ROUND(BK166*($AP$3+#REF!),-1),""))</f>
        <v/>
      </c>
      <c r="BM166" s="503"/>
      <c r="BN166" s="503" t="str">
        <f>IF($G166="","",IF(AND($G166&gt;=30,$AT$3&lt;=BM$7),ROUND(BM166*($AP$3+#REF!),-1),""))</f>
        <v/>
      </c>
      <c r="BO166" s="502"/>
      <c r="BP166" s="503" t="str">
        <f>IF($G166="","",IF(AND($G166&gt;=30,$AT$3&lt;=BO$7),ROUND(BO166*($AP$3+#REF!),-1),""))</f>
        <v/>
      </c>
      <c r="BQ166" s="503"/>
      <c r="BR166" s="503" t="str">
        <f>IF($G166="","",IF(AND($G166&gt;=30,$AT$3&lt;=BQ$7),ROUND(BQ166*($AP$3+#REF!),-1),""))</f>
        <v/>
      </c>
      <c r="BS166" s="502"/>
      <c r="BT166" s="503" t="str">
        <f>IF($G166="","",IF(AND($G166&gt;=30,$AT$3&lt;=BS$7),ROUND(BS166*($AP$3+#REF!),-1),""))</f>
        <v/>
      </c>
      <c r="BU166" s="503"/>
      <c r="BV166" s="503" t="str">
        <f>IF($G166="","",IF(AND($G166&gt;=30,$AT$3&lt;=BU$7),ROUND(BU166*($AP$3+#REF!),-1),""))</f>
        <v/>
      </c>
      <c r="BW166" s="502"/>
      <c r="BX166" s="503" t="str">
        <f>IF($G166="","",IF(AND($G166&gt;=30,$AT$3&lt;=BW$7),ROUND(BW166*($AP$3+#REF!),-1),""))</f>
        <v/>
      </c>
      <c r="BY166" s="503"/>
      <c r="BZ166" s="503" t="str">
        <f>IF($G166="","",IF(AND($G166&gt;=30,$AT$3&lt;=BY$7),ROUND(BY166*($AP$3+#REF!),-1),""))</f>
        <v/>
      </c>
      <c r="CA166" s="502"/>
      <c r="CB166" s="503" t="str">
        <f>IF($G166="","",IF(AND($G166&gt;=30,$AT$3&lt;=CA$7),ROUND(CA166*($AP$3+#REF!),-1),""))</f>
        <v/>
      </c>
      <c r="CC166" s="503"/>
      <c r="CD166" s="503" t="str">
        <f>IF($G166="","",IF(AND($G166&gt;=30,$AT$3&lt;=CC$7),ROUND(CC166*($AP$3+#REF!),-1),""))</f>
        <v/>
      </c>
      <c r="CE166" s="502"/>
      <c r="CF166" s="503" t="str">
        <f>IF($G166="","",IF(AND($G166&gt;=30,$AT$3&lt;=CE$7),ROUND(CE166*($AP$3+#REF!),-1),""))</f>
        <v/>
      </c>
      <c r="CG166" s="503"/>
      <c r="CH166" s="503" t="str">
        <f>IF($G166="","",IF(AND($G166&gt;=30,$AT$3&lt;=CG$7),ROUND(CG166*($AP$3+#REF!),-1),""))</f>
        <v/>
      </c>
      <c r="CI166" s="502"/>
      <c r="CJ166" s="503" t="str">
        <f>IF($G166="","",IF(AND($G166&gt;=30,$AT$3&lt;=CI$7),ROUND(CI166*($AP$3+#REF!),-1),""))</f>
        <v/>
      </c>
      <c r="CK166" s="503"/>
      <c r="CL166" s="503" t="str">
        <f>IF($G166="","",IF(AND($G166&gt;=30,$AT$3&lt;=CK$7),ROUND(CK166*($AP$3+#REF!),-1),""))</f>
        <v/>
      </c>
      <c r="CM166" s="502"/>
      <c r="CN166" s="503" t="str">
        <f>IF($G166="","",IF(AND($G166&gt;=30,$AT$3&lt;=CM$7),ROUND(CM166*($AP$3+#REF!),-1),""))</f>
        <v/>
      </c>
      <c r="CO166" s="503"/>
      <c r="CP166" s="503" t="str">
        <f>IF($G166="","",IF(AND($G166&gt;=30,$AT$3&lt;=CO$7),ROUND(CO166*($AP$3+#REF!),-1),""))</f>
        <v/>
      </c>
      <c r="CQ166" s="502"/>
      <c r="CR166" s="503" t="str">
        <f>IF($G166="","",IF(AND($G166&gt;=30,$AT$3&lt;=CQ$7),ROUND(CQ166*($AP$3+#REF!),-1),""))</f>
        <v/>
      </c>
      <c r="CS166" s="503"/>
      <c r="CT166" s="503" t="str">
        <f>IF($G166="","",IF(AND($G166&gt;=30,$AT$3&lt;=CS$7),ROUND(CS166*($AP$3+#REF!),-1),""))</f>
        <v/>
      </c>
      <c r="CU166" s="502"/>
      <c r="CV166" s="503" t="str">
        <f>IF($G166="","",IF(AND($G166&gt;=30,$AT$3&lt;=CU$7),ROUND(CU166*($AP$3+#REF!),-1),""))</f>
        <v/>
      </c>
      <c r="CW166" s="503"/>
      <c r="CX166" s="503" t="str">
        <f>IF($G166="","",IF(AND($G166&gt;=30,$AT$3&lt;=CW$7),ROUND(CW166*($AP$3+#REF!),-1),""))</f>
        <v/>
      </c>
      <c r="CY166" s="502"/>
      <c r="CZ166" s="503" t="str">
        <f>IF($G166="","",IF(AND($G166&gt;=30,$AT$3&lt;=CY$7),ROUND(CY166*($AP$3+#REF!),-1),""))</f>
        <v/>
      </c>
      <c r="DA166" s="503"/>
      <c r="DB166" s="503" t="str">
        <f>IF($G166="","",IF(AND($G166&gt;=30,$AT$3&lt;=DA$7),ROUND(DA166*($AP$3+#REF!),-1),""))</f>
        <v/>
      </c>
      <c r="DC166" s="502"/>
      <c r="DD166" s="503" t="str">
        <f>IF($G166="","",IF(AND($G166&gt;=30,$AT$3&lt;=DC$7),ROUND(DC166*($AP$3+#REF!),-1),""))</f>
        <v/>
      </c>
      <c r="DE166" s="503"/>
      <c r="DF166" s="503" t="str">
        <f>IF($G166="","",IF(AND($G166&gt;=30,$AT$3&lt;=DE$7),ROUND(DE166*($AP$3+#REF!),-1),""))</f>
        <v/>
      </c>
      <c r="DG166" s="503"/>
      <c r="DH166" s="503" t="str">
        <f>IF($G166="","",IF(AND($G166&gt;=30,$AT$3&lt;=DG$7),ROUND(DG166*($AP$3+#REF!),-1),""))</f>
        <v/>
      </c>
      <c r="DI166" s="503"/>
      <c r="DJ166" s="503" t="str">
        <f>IF($G166="","",IF(AND($G166&gt;=30,$AT$3&lt;=DI$7),ROUND(DI166*($AP$3+#REF!),-1),""))</f>
        <v/>
      </c>
      <c r="DK166" s="503"/>
      <c r="DL166" s="503" t="str">
        <f>IF($G166="","",IF(AND($G166&gt;=30,$AT$3&lt;=DK$7),ROUND(DK166*($AP$3+#REF!),-1),""))</f>
        <v/>
      </c>
      <c r="DM166" s="503"/>
      <c r="DN166" s="503" t="str">
        <f>IF($G166="","",IF(AND($G166&gt;=30,$AT$3&lt;=DM$7),ROUND(DM166*($AP$3+#REF!),-1),""))</f>
        <v/>
      </c>
      <c r="DO166" s="503"/>
      <c r="DP166" s="503" t="str">
        <f>IF($G166="","",IF(AND($G166&gt;=30,$AT$3&lt;=DO$7),ROUND(DO166*($AP$3+#REF!),-1),""))</f>
        <v/>
      </c>
      <c r="DQ166" s="503"/>
      <c r="DR166" s="503" t="str">
        <f>IF($G166="","",IF(AND($G166&gt;=30,$AT$3&lt;=DQ$7),ROUND(DQ166*($AP$3+#REF!),-1),""))</f>
        <v/>
      </c>
      <c r="DS166" s="503"/>
      <c r="DT166" s="503" t="str">
        <f>IF($G166="","",IF(AND($G166&gt;=30,$AT$3&lt;=DS$7),ROUND(DS166*($AP$3+#REF!),-1),""))</f>
        <v/>
      </c>
      <c r="DU166" s="503"/>
      <c r="DV166" s="503" t="str">
        <f>IF($G166="","",IF(AND($G166&gt;=30,$AT$3&lt;=DU$7),ROUND(DU166*($AP$3+#REF!),-1),""))</f>
        <v/>
      </c>
      <c r="DW166" s="503"/>
      <c r="DX166" s="503" t="str">
        <f>IF($G166="","",IF(AND($G166&gt;=30,$AT$3&lt;=DW$7),ROUND(DW166*($AP$3+#REF!),-1),""))</f>
        <v/>
      </c>
      <c r="DY166" s="503"/>
      <c r="DZ166" s="503" t="str">
        <f>IF($G166="","",IF(AND($G166&gt;=30,$AT$3&lt;=DY$7),ROUND(DY166*($AP$3+#REF!),-1),""))</f>
        <v/>
      </c>
      <c r="EA166" s="503"/>
      <c r="EB166" s="503" t="str">
        <f>IF($G166="","",IF(AND($G166&gt;=30,$AT$3&lt;=EA$7),ROUND(EA166*($AP$3+#REF!),-1),""))</f>
        <v/>
      </c>
      <c r="EC166" s="504" t="s">
        <v>621</v>
      </c>
      <c r="ED166" s="1124"/>
      <c r="EE166" s="325">
        <v>2</v>
      </c>
    </row>
    <row r="167" spans="1:135" ht="9.75" customHeight="1">
      <c r="A167" s="321" t="str">
        <f t="shared" si="37"/>
        <v/>
      </c>
      <c r="B167" s="567">
        <f>(ii!$D$13*12+V167)+1</f>
        <v>61</v>
      </c>
      <c r="C167" s="337">
        <f t="shared" si="44"/>
        <v>47208</v>
      </c>
      <c r="D167" s="484">
        <f t="shared" si="47"/>
        <v>2029</v>
      </c>
      <c r="E167" s="484">
        <f t="shared" si="45"/>
        <v>0.25</v>
      </c>
      <c r="F167" s="484">
        <f t="shared" si="48"/>
        <v>2029.25</v>
      </c>
      <c r="G167" s="485" t="str">
        <f>IF(OR(C167&lt;$I$2,C167&gt;$J$3),"",(ii!$D$13*12+V167+1)/12)</f>
        <v/>
      </c>
      <c r="H167" s="486"/>
      <c r="I167" s="486"/>
      <c r="J167" s="487"/>
      <c r="K167" s="488"/>
      <c r="L167" s="548"/>
      <c r="M167" s="489" t="str">
        <f t="shared" si="49"/>
        <v/>
      </c>
      <c r="N167" s="490" t="s">
        <v>621</v>
      </c>
      <c r="O167" s="490" t="str">
        <f t="shared" si="42"/>
        <v/>
      </c>
      <c r="P167" s="491"/>
      <c r="Q167" s="491"/>
      <c r="R167" s="491" t="str">
        <f t="shared" si="43"/>
        <v/>
      </c>
      <c r="S167" s="528" t="str">
        <f t="shared" si="38"/>
        <v/>
      </c>
      <c r="T167" s="528" t="str">
        <f t="shared" si="36"/>
        <v/>
      </c>
      <c r="U167" s="493" t="str">
        <f>IF(H167="","",#REF!*12+#REF!+#REF!*12+#REF!)</f>
        <v/>
      </c>
      <c r="V167" s="338">
        <f>IF(ii!$J$3&gt;gg!C167,"",IF(AND((YEAR(C167)=YEAR($I$2)),MONTH(C167)=MONTH($I$2)),ii!$B$14*12+ii!$C$14+ii!$B$15*12+ii!$C$15-1,V166+1))</f>
        <v>60</v>
      </c>
      <c r="W167" s="339">
        <f t="shared" si="46"/>
        <v>5</v>
      </c>
      <c r="X167" s="494" t="s">
        <v>621</v>
      </c>
      <c r="Y167" s="495" t="s">
        <v>621</v>
      </c>
      <c r="Z167" s="496"/>
      <c r="AA167" s="497"/>
      <c r="AB167" s="498" t="e">
        <f t="shared" si="52"/>
        <v>#VALUE!</v>
      </c>
      <c r="AC167" s="484" t="str">
        <f t="shared" si="50"/>
        <v/>
      </c>
      <c r="AD167" s="495" t="str">
        <f t="shared" si="51"/>
        <v/>
      </c>
      <c r="AE167" s="499" t="s">
        <v>621</v>
      </c>
      <c r="AF167" s="500" t="s">
        <v>621</v>
      </c>
      <c r="AG167" s="556" t="s">
        <v>621</v>
      </c>
      <c r="AH167" s="503" t="str">
        <f>IF($G167="","",IF(AND($G167&gt;=30,$AT$3&lt;=AG$7),ROUND(AG167*($AP$3+#REF!),-1),""))</f>
        <v/>
      </c>
      <c r="AI167" s="506" t="s">
        <v>621</v>
      </c>
      <c r="AJ167" s="503" t="str">
        <f>IF($G167="","",IF(AND($G167&gt;=30,$AT$3&lt;=AI$7),ROUND(AI167*($AP$3+#REF!),-1),""))</f>
        <v/>
      </c>
      <c r="AK167" s="506" t="s">
        <v>621</v>
      </c>
      <c r="AL167" s="503" t="str">
        <f>IF($G167="","",IF(AND($G167&gt;=30,$AT$3&lt;=AK$7),ROUND(AK167*($AP$3+#REF!),-1),""))</f>
        <v/>
      </c>
      <c r="AM167" s="506" t="s">
        <v>621</v>
      </c>
      <c r="AN167" s="503" t="str">
        <f>IF($G167="","",IF(AND($G167&gt;=30,$AT$3&lt;=AM$7),ROUND(AM167*($AP$3+#REF!),-1),""))</f>
        <v/>
      </c>
      <c r="AO167" s="503" t="e">
        <v>#REF!</v>
      </c>
      <c r="AP167" s="503" t="str">
        <f>IF($G167="","",IF(AND($G167&gt;=30,$AT$3&lt;=AO$7),ROUND(AO167*($AP$3+#REF!),-1),""))</f>
        <v/>
      </c>
      <c r="AQ167" s="503" t="s">
        <v>621</v>
      </c>
      <c r="AR167" s="503" t="str">
        <f>IF($G167="","",IF(AND($G167&gt;=30,$AT$3&lt;=AQ$7),ROUND(AQ167*($AP$3+#REF!),-1),""))</f>
        <v/>
      </c>
      <c r="AS167" s="503" t="s">
        <v>621</v>
      </c>
      <c r="AT167" s="503" t="str">
        <f>IF($G167="","",IF(AND($G167&gt;=30,$AT$3&lt;=AS$7),ROUND(AS167*($AP$3+#REF!),-1),""))</f>
        <v/>
      </c>
      <c r="AU167" s="503" t="s">
        <v>621</v>
      </c>
      <c r="AV167" s="503" t="str">
        <f>IF($G167="","",IF(AND($G167&gt;=30,$AT$3&lt;=AU$7),ROUND(AU167*($AP$3+#REF!),-1),""))</f>
        <v/>
      </c>
      <c r="AW167" s="503" t="s">
        <v>621</v>
      </c>
      <c r="AX167" s="503" t="str">
        <f>IF($G167="","",IF(AND($G167&gt;=30,$AT$3&lt;=AW$7),ROUND(AW167*($AP$3+#REF!),-1),""))</f>
        <v/>
      </c>
      <c r="AY167" s="503" t="s">
        <v>621</v>
      </c>
      <c r="AZ167" s="503" t="str">
        <f>IF($G167="","",IF(AND($G167&gt;=30,$AT$3&lt;=AY$7),ROUND(AY167*($AP$3+#REF!),-1),""))</f>
        <v/>
      </c>
      <c r="BA167" s="503" t="s">
        <v>621</v>
      </c>
      <c r="BB167" s="503" t="str">
        <f>IF($G167="","",IF(AND($G167&gt;=30,$AT$3&lt;=BA$7),ROUND(BA167*($AP$3+#REF!),-1),""))</f>
        <v/>
      </c>
      <c r="BC167" s="503" t="s">
        <v>621</v>
      </c>
      <c r="BD167" s="503" t="str">
        <f>IF($G167="","",IF(AND($G167&gt;=30,$AT$3&lt;=BC$7),ROUND(BC167*($AP$3+#REF!),-1),""))</f>
        <v/>
      </c>
      <c r="BE167" s="503" t="s">
        <v>621</v>
      </c>
      <c r="BF167" s="503" t="str">
        <f>IF($G167="","",IF(AND($G167&gt;=30,$AT$3&lt;=BE$7),ROUND(BE167*($AP$3+#REF!),-1),""))</f>
        <v/>
      </c>
      <c r="BG167" s="517" t="e">
        <v>#REF!</v>
      </c>
      <c r="BH167" s="503" t="str">
        <f>IF($G167="","",IF(AND($G167&gt;=30,$AT$3&lt;=BG$7),ROUND(BG167*($AP$3+#REF!),-1),""))</f>
        <v/>
      </c>
      <c r="BI167" s="503"/>
      <c r="BJ167" s="503" t="str">
        <f>IF($G167="","",IF(AND($G167&gt;=30,$AT$3&lt;=BI$7),ROUND(BI167*($AP$3+#REF!),-1),""))</f>
        <v/>
      </c>
      <c r="BK167" s="502"/>
      <c r="BL167" s="503" t="str">
        <f>IF($G167="","",IF(AND($G167&gt;=30,$AT$3&lt;=BK$7),ROUND(BK167*($AP$3+#REF!),-1),""))</f>
        <v/>
      </c>
      <c r="BM167" s="503"/>
      <c r="BN167" s="503" t="str">
        <f>IF($G167="","",IF(AND($G167&gt;=30,$AT$3&lt;=BM$7),ROUND(BM167*($AP$3+#REF!),-1),""))</f>
        <v/>
      </c>
      <c r="BO167" s="502"/>
      <c r="BP167" s="503" t="str">
        <f>IF($G167="","",IF(AND($G167&gt;=30,$AT$3&lt;=BO$7),ROUND(BO167*($AP$3+#REF!),-1),""))</f>
        <v/>
      </c>
      <c r="BQ167" s="503"/>
      <c r="BR167" s="503" t="str">
        <f>IF($G167="","",IF(AND($G167&gt;=30,$AT$3&lt;=BQ$7),ROUND(BQ167*($AP$3+#REF!),-1),""))</f>
        <v/>
      </c>
      <c r="BS167" s="502"/>
      <c r="BT167" s="503" t="str">
        <f>IF($G167="","",IF(AND($G167&gt;=30,$AT$3&lt;=BS$7),ROUND(BS167*($AP$3+#REF!),-1),""))</f>
        <v/>
      </c>
      <c r="BU167" s="503"/>
      <c r="BV167" s="503" t="str">
        <f>IF($G167="","",IF(AND($G167&gt;=30,$AT$3&lt;=BU$7),ROUND(BU167*($AP$3+#REF!),-1),""))</f>
        <v/>
      </c>
      <c r="BW167" s="502"/>
      <c r="BX167" s="503" t="str">
        <f>IF($G167="","",IF(AND($G167&gt;=30,$AT$3&lt;=BW$7),ROUND(BW167*($AP$3+#REF!),-1),""))</f>
        <v/>
      </c>
      <c r="BY167" s="503"/>
      <c r="BZ167" s="503" t="str">
        <f>IF($G167="","",IF(AND($G167&gt;=30,$AT$3&lt;=BY$7),ROUND(BY167*($AP$3+#REF!),-1),""))</f>
        <v/>
      </c>
      <c r="CA167" s="502"/>
      <c r="CB167" s="503" t="str">
        <f>IF($G167="","",IF(AND($G167&gt;=30,$AT$3&lt;=CA$7),ROUND(CA167*($AP$3+#REF!),-1),""))</f>
        <v/>
      </c>
      <c r="CC167" s="503"/>
      <c r="CD167" s="503" t="str">
        <f>IF($G167="","",IF(AND($G167&gt;=30,$AT$3&lt;=CC$7),ROUND(CC167*($AP$3+#REF!),-1),""))</f>
        <v/>
      </c>
      <c r="CE167" s="502"/>
      <c r="CF167" s="503" t="str">
        <f>IF($G167="","",IF(AND($G167&gt;=30,$AT$3&lt;=CE$7),ROUND(CE167*($AP$3+#REF!),-1),""))</f>
        <v/>
      </c>
      <c r="CG167" s="503"/>
      <c r="CH167" s="503" t="str">
        <f>IF($G167="","",IF(AND($G167&gt;=30,$AT$3&lt;=CG$7),ROUND(CG167*($AP$3+#REF!),-1),""))</f>
        <v/>
      </c>
      <c r="CI167" s="502"/>
      <c r="CJ167" s="503" t="str">
        <f>IF($G167="","",IF(AND($G167&gt;=30,$AT$3&lt;=CI$7),ROUND(CI167*($AP$3+#REF!),-1),""))</f>
        <v/>
      </c>
      <c r="CK167" s="503"/>
      <c r="CL167" s="503" t="str">
        <f>IF($G167="","",IF(AND($G167&gt;=30,$AT$3&lt;=CK$7),ROUND(CK167*($AP$3+#REF!),-1),""))</f>
        <v/>
      </c>
      <c r="CM167" s="502"/>
      <c r="CN167" s="503" t="str">
        <f>IF($G167="","",IF(AND($G167&gt;=30,$AT$3&lt;=CM$7),ROUND(CM167*($AP$3+#REF!),-1),""))</f>
        <v/>
      </c>
      <c r="CO167" s="503"/>
      <c r="CP167" s="503" t="str">
        <f>IF($G167="","",IF(AND($G167&gt;=30,$AT$3&lt;=CO$7),ROUND(CO167*($AP$3+#REF!),-1),""))</f>
        <v/>
      </c>
      <c r="CQ167" s="502"/>
      <c r="CR167" s="503" t="str">
        <f>IF($G167="","",IF(AND($G167&gt;=30,$AT$3&lt;=CQ$7),ROUND(CQ167*($AP$3+#REF!),-1),""))</f>
        <v/>
      </c>
      <c r="CS167" s="503"/>
      <c r="CT167" s="503" t="str">
        <f>IF($G167="","",IF(AND($G167&gt;=30,$AT$3&lt;=CS$7),ROUND(CS167*($AP$3+#REF!),-1),""))</f>
        <v/>
      </c>
      <c r="CU167" s="502"/>
      <c r="CV167" s="503" t="str">
        <f>IF($G167="","",IF(AND($G167&gt;=30,$AT$3&lt;=CU$7),ROUND(CU167*($AP$3+#REF!),-1),""))</f>
        <v/>
      </c>
      <c r="CW167" s="503"/>
      <c r="CX167" s="503" t="str">
        <f>IF($G167="","",IF(AND($G167&gt;=30,$AT$3&lt;=CW$7),ROUND(CW167*($AP$3+#REF!),-1),""))</f>
        <v/>
      </c>
      <c r="CY167" s="502"/>
      <c r="CZ167" s="503" t="str">
        <f>IF($G167="","",IF(AND($G167&gt;=30,$AT$3&lt;=CY$7),ROUND(CY167*($AP$3+#REF!),-1),""))</f>
        <v/>
      </c>
      <c r="DA167" s="503"/>
      <c r="DB167" s="503" t="str">
        <f>IF($G167="","",IF(AND($G167&gt;=30,$AT$3&lt;=DA$7),ROUND(DA167*($AP$3+#REF!),-1),""))</f>
        <v/>
      </c>
      <c r="DC167" s="502"/>
      <c r="DD167" s="503" t="str">
        <f>IF($G167="","",IF(AND($G167&gt;=30,$AT$3&lt;=DC$7),ROUND(DC167*($AP$3+#REF!),-1),""))</f>
        <v/>
      </c>
      <c r="DE167" s="503"/>
      <c r="DF167" s="503" t="str">
        <f>IF($G167="","",IF(AND($G167&gt;=30,$AT$3&lt;=DE$7),ROUND(DE167*($AP$3+#REF!),-1),""))</f>
        <v/>
      </c>
      <c r="DG167" s="503"/>
      <c r="DH167" s="503" t="str">
        <f>IF($G167="","",IF(AND($G167&gt;=30,$AT$3&lt;=DG$7),ROUND(DG167*($AP$3+#REF!),-1),""))</f>
        <v/>
      </c>
      <c r="DI167" s="503"/>
      <c r="DJ167" s="503" t="str">
        <f>IF($G167="","",IF(AND($G167&gt;=30,$AT$3&lt;=DI$7),ROUND(DI167*($AP$3+#REF!),-1),""))</f>
        <v/>
      </c>
      <c r="DK167" s="503"/>
      <c r="DL167" s="503" t="str">
        <f>IF($G167="","",IF(AND($G167&gt;=30,$AT$3&lt;=DK$7),ROUND(DK167*($AP$3+#REF!),-1),""))</f>
        <v/>
      </c>
      <c r="DM167" s="503"/>
      <c r="DN167" s="503" t="str">
        <f>IF($G167="","",IF(AND($G167&gt;=30,$AT$3&lt;=DM$7),ROUND(DM167*($AP$3+#REF!),-1),""))</f>
        <v/>
      </c>
      <c r="DO167" s="503"/>
      <c r="DP167" s="503" t="str">
        <f>IF($G167="","",IF(AND($G167&gt;=30,$AT$3&lt;=DO$7),ROUND(DO167*($AP$3+#REF!),-1),""))</f>
        <v/>
      </c>
      <c r="DQ167" s="503"/>
      <c r="DR167" s="503" t="str">
        <f>IF($G167="","",IF(AND($G167&gt;=30,$AT$3&lt;=DQ$7),ROUND(DQ167*($AP$3+#REF!),-1),""))</f>
        <v/>
      </c>
      <c r="DS167" s="503"/>
      <c r="DT167" s="503" t="str">
        <f>IF($G167="","",IF(AND($G167&gt;=30,$AT$3&lt;=DS$7),ROUND(DS167*($AP$3+#REF!),-1),""))</f>
        <v/>
      </c>
      <c r="DU167" s="503"/>
      <c r="DV167" s="503" t="str">
        <f>IF($G167="","",IF(AND($G167&gt;=30,$AT$3&lt;=DU$7),ROUND(DU167*($AP$3+#REF!),-1),""))</f>
        <v/>
      </c>
      <c r="DW167" s="503"/>
      <c r="DX167" s="503" t="str">
        <f>IF($G167="","",IF(AND($G167&gt;=30,$AT$3&lt;=DW$7),ROUND(DW167*($AP$3+#REF!),-1),""))</f>
        <v/>
      </c>
      <c r="DY167" s="503"/>
      <c r="DZ167" s="503" t="str">
        <f>IF($G167="","",IF(AND($G167&gt;=30,$AT$3&lt;=DY$7),ROUND(DY167*($AP$3+#REF!),-1),""))</f>
        <v/>
      </c>
      <c r="EA167" s="503"/>
      <c r="EB167" s="503" t="str">
        <f>IF($G167="","",IF(AND($G167&gt;=30,$AT$3&lt;=EA$7),ROUND(EA167*($AP$3+#REF!),-1),""))</f>
        <v/>
      </c>
      <c r="EC167" s="504" t="s">
        <v>621</v>
      </c>
      <c r="ED167" s="1124"/>
      <c r="EE167" s="325">
        <v>3</v>
      </c>
    </row>
    <row r="168" spans="1:135" ht="9.75" customHeight="1">
      <c r="A168" s="321" t="str">
        <f t="shared" si="37"/>
        <v/>
      </c>
      <c r="B168" s="567">
        <f>(ii!$D$13*12+V168)+1</f>
        <v>62</v>
      </c>
      <c r="C168" s="337">
        <f t="shared" si="44"/>
        <v>47238</v>
      </c>
      <c r="D168" s="484">
        <f t="shared" si="47"/>
        <v>2029</v>
      </c>
      <c r="E168" s="484">
        <f t="shared" si="45"/>
        <v>0.33333333333333331</v>
      </c>
      <c r="F168" s="484">
        <f t="shared" si="48"/>
        <v>2029.3333333333333</v>
      </c>
      <c r="G168" s="485" t="str">
        <f>IF(OR(C168&lt;$I$2,C168&gt;$J$3),"",(ii!$D$13*12+V168+1)/12)</f>
        <v/>
      </c>
      <c r="H168" s="486"/>
      <c r="I168" s="486"/>
      <c r="J168" s="487"/>
      <c r="K168" s="488"/>
      <c r="L168" s="548"/>
      <c r="M168" s="489" t="str">
        <f t="shared" si="49"/>
        <v/>
      </c>
      <c r="N168" s="490" t="s">
        <v>621</v>
      </c>
      <c r="O168" s="490" t="str">
        <f t="shared" si="42"/>
        <v/>
      </c>
      <c r="P168" s="491"/>
      <c r="Q168" s="491"/>
      <c r="R168" s="491" t="str">
        <f t="shared" si="43"/>
        <v/>
      </c>
      <c r="S168" s="528" t="str">
        <f t="shared" si="38"/>
        <v/>
      </c>
      <c r="T168" s="528" t="str">
        <f t="shared" si="36"/>
        <v/>
      </c>
      <c r="U168" s="493" t="str">
        <f>IF(H168="","",#REF!*12+#REF!+#REF!*12+#REF!)</f>
        <v/>
      </c>
      <c r="V168" s="338">
        <f>IF(ii!$J$3&gt;gg!C168,"",IF(AND((YEAR(C168)=YEAR($I$2)),MONTH(C168)=MONTH($I$2)),ii!$B$14*12+ii!$C$14+ii!$B$15*12+ii!$C$15-1,V167+1))</f>
        <v>61</v>
      </c>
      <c r="W168" s="339">
        <f t="shared" si="46"/>
        <v>5.083333333333333</v>
      </c>
      <c r="X168" s="494" t="s">
        <v>621</v>
      </c>
      <c r="Y168" s="495" t="s">
        <v>621</v>
      </c>
      <c r="Z168" s="496"/>
      <c r="AA168" s="497"/>
      <c r="AB168" s="498" t="e">
        <f t="shared" si="52"/>
        <v>#VALUE!</v>
      </c>
      <c r="AC168" s="484" t="str">
        <f t="shared" si="50"/>
        <v/>
      </c>
      <c r="AD168" s="495" t="str">
        <f t="shared" si="51"/>
        <v/>
      </c>
      <c r="AE168" s="499" t="s">
        <v>621</v>
      </c>
      <c r="AF168" s="500" t="s">
        <v>621</v>
      </c>
      <c r="AG168" s="556" t="s">
        <v>621</v>
      </c>
      <c r="AH168" s="503" t="str">
        <f>IF($G168="","",IF(AND($G168&gt;=30,$AT$3&lt;=AG$7),ROUND(AG168*($AP$3+#REF!),-1),""))</f>
        <v/>
      </c>
      <c r="AI168" s="506" t="s">
        <v>621</v>
      </c>
      <c r="AJ168" s="503" t="str">
        <f>IF($G168="","",IF(AND($G168&gt;=30,$AT$3&lt;=AI$7),ROUND(AI168*($AP$3+#REF!),-1),""))</f>
        <v/>
      </c>
      <c r="AK168" s="506" t="s">
        <v>621</v>
      </c>
      <c r="AL168" s="503" t="str">
        <f>IF($G168="","",IF(AND($G168&gt;=30,$AT$3&lt;=AK$7),ROUND(AK168*($AP$3+#REF!),-1),""))</f>
        <v/>
      </c>
      <c r="AM168" s="506" t="s">
        <v>621</v>
      </c>
      <c r="AN168" s="503" t="str">
        <f>IF($G168="","",IF(AND($G168&gt;=30,$AT$3&lt;=AM$7),ROUND(AM168*($AP$3+#REF!),-1),""))</f>
        <v/>
      </c>
      <c r="AO168" s="503" t="e">
        <v>#REF!</v>
      </c>
      <c r="AP168" s="503" t="str">
        <f>IF($G168="","",IF(AND($G168&gt;=30,$AT$3&lt;=AO$7),ROUND(AO168*($AP$3+#REF!),-1),""))</f>
        <v/>
      </c>
      <c r="AQ168" s="503" t="s">
        <v>621</v>
      </c>
      <c r="AR168" s="503" t="str">
        <f>IF($G168="","",IF(AND($G168&gt;=30,$AT$3&lt;=AQ$7),ROUND(AQ168*($AP$3+#REF!),-1),""))</f>
        <v/>
      </c>
      <c r="AS168" s="503" t="s">
        <v>621</v>
      </c>
      <c r="AT168" s="503" t="str">
        <f>IF($G168="","",IF(AND($G168&gt;=30,$AT$3&lt;=AS$7),ROUND(AS168*($AP$3+#REF!),-1),""))</f>
        <v/>
      </c>
      <c r="AU168" s="503" t="s">
        <v>621</v>
      </c>
      <c r="AV168" s="503" t="str">
        <f>IF($G168="","",IF(AND($G168&gt;=30,$AT$3&lt;=AU$7),ROUND(AU168*($AP$3+#REF!),-1),""))</f>
        <v/>
      </c>
      <c r="AW168" s="503" t="s">
        <v>621</v>
      </c>
      <c r="AX168" s="503" t="str">
        <f>IF($G168="","",IF(AND($G168&gt;=30,$AT$3&lt;=AW$7),ROUND(AW168*($AP$3+#REF!),-1),""))</f>
        <v/>
      </c>
      <c r="AY168" s="503" t="s">
        <v>621</v>
      </c>
      <c r="AZ168" s="503" t="str">
        <f>IF($G168="","",IF(AND($G168&gt;=30,$AT$3&lt;=AY$7),ROUND(AY168*($AP$3+#REF!),-1),""))</f>
        <v/>
      </c>
      <c r="BA168" s="503" t="s">
        <v>621</v>
      </c>
      <c r="BB168" s="503" t="str">
        <f>IF($G168="","",IF(AND($G168&gt;=30,$AT$3&lt;=BA$7),ROUND(BA168*($AP$3+#REF!),-1),""))</f>
        <v/>
      </c>
      <c r="BC168" s="503" t="s">
        <v>621</v>
      </c>
      <c r="BD168" s="503" t="str">
        <f>IF($G168="","",IF(AND($G168&gt;=30,$AT$3&lt;=BC$7),ROUND(BC168*($AP$3+#REF!),-1),""))</f>
        <v/>
      </c>
      <c r="BE168" s="503" t="s">
        <v>621</v>
      </c>
      <c r="BF168" s="503" t="str">
        <f>IF($G168="","",IF(AND($G168&gt;=30,$AT$3&lt;=BE$7),ROUND(BE168*($AP$3+#REF!),-1),""))</f>
        <v/>
      </c>
      <c r="BG168" s="517" t="e">
        <v>#REF!</v>
      </c>
      <c r="BH168" s="503" t="str">
        <f>IF($G168="","",IF(AND($G168&gt;=30,$AT$3&lt;=BG$7),ROUND(BG168*($AP$3+#REF!),-1),""))</f>
        <v/>
      </c>
      <c r="BI168" s="503"/>
      <c r="BJ168" s="503" t="str">
        <f>IF($G168="","",IF(AND($G168&gt;=30,$AT$3&lt;=BI$7),ROUND(BI168*($AP$3+#REF!),-1),""))</f>
        <v/>
      </c>
      <c r="BK168" s="502"/>
      <c r="BL168" s="503" t="str">
        <f>IF($G168="","",IF(AND($G168&gt;=30,$AT$3&lt;=BK$7),ROUND(BK168*($AP$3+#REF!),-1),""))</f>
        <v/>
      </c>
      <c r="BM168" s="503"/>
      <c r="BN168" s="503" t="str">
        <f>IF($G168="","",IF(AND($G168&gt;=30,$AT$3&lt;=BM$7),ROUND(BM168*($AP$3+#REF!),-1),""))</f>
        <v/>
      </c>
      <c r="BO168" s="502"/>
      <c r="BP168" s="503" t="str">
        <f>IF($G168="","",IF(AND($G168&gt;=30,$AT$3&lt;=BO$7),ROUND(BO168*($AP$3+#REF!),-1),""))</f>
        <v/>
      </c>
      <c r="BQ168" s="503"/>
      <c r="BR168" s="503" t="str">
        <f>IF($G168="","",IF(AND($G168&gt;=30,$AT$3&lt;=BQ$7),ROUND(BQ168*($AP$3+#REF!),-1),""))</f>
        <v/>
      </c>
      <c r="BS168" s="502"/>
      <c r="BT168" s="503" t="str">
        <f>IF($G168="","",IF(AND($G168&gt;=30,$AT$3&lt;=BS$7),ROUND(BS168*($AP$3+#REF!),-1),""))</f>
        <v/>
      </c>
      <c r="BU168" s="503"/>
      <c r="BV168" s="503" t="str">
        <f>IF($G168="","",IF(AND($G168&gt;=30,$AT$3&lt;=BU$7),ROUND(BU168*($AP$3+#REF!),-1),""))</f>
        <v/>
      </c>
      <c r="BW168" s="502"/>
      <c r="BX168" s="503" t="str">
        <f>IF($G168="","",IF(AND($G168&gt;=30,$AT$3&lt;=BW$7),ROUND(BW168*($AP$3+#REF!),-1),""))</f>
        <v/>
      </c>
      <c r="BY168" s="503"/>
      <c r="BZ168" s="503" t="str">
        <f>IF($G168="","",IF(AND($G168&gt;=30,$AT$3&lt;=BY$7),ROUND(BY168*($AP$3+#REF!),-1),""))</f>
        <v/>
      </c>
      <c r="CA168" s="502"/>
      <c r="CB168" s="503" t="str">
        <f>IF($G168="","",IF(AND($G168&gt;=30,$AT$3&lt;=CA$7),ROUND(CA168*($AP$3+#REF!),-1),""))</f>
        <v/>
      </c>
      <c r="CC168" s="503"/>
      <c r="CD168" s="503" t="str">
        <f>IF($G168="","",IF(AND($G168&gt;=30,$AT$3&lt;=CC$7),ROUND(CC168*($AP$3+#REF!),-1),""))</f>
        <v/>
      </c>
      <c r="CE168" s="502"/>
      <c r="CF168" s="503" t="str">
        <f>IF($G168="","",IF(AND($G168&gt;=30,$AT$3&lt;=CE$7),ROUND(CE168*($AP$3+#REF!),-1),""))</f>
        <v/>
      </c>
      <c r="CG168" s="503"/>
      <c r="CH168" s="503" t="str">
        <f>IF($G168="","",IF(AND($G168&gt;=30,$AT$3&lt;=CG$7),ROUND(CG168*($AP$3+#REF!),-1),""))</f>
        <v/>
      </c>
      <c r="CI168" s="502"/>
      <c r="CJ168" s="503" t="str">
        <f>IF($G168="","",IF(AND($G168&gt;=30,$AT$3&lt;=CI$7),ROUND(CI168*($AP$3+#REF!),-1),""))</f>
        <v/>
      </c>
      <c r="CK168" s="503"/>
      <c r="CL168" s="503" t="str">
        <f>IF($G168="","",IF(AND($G168&gt;=30,$AT$3&lt;=CK$7),ROUND(CK168*($AP$3+#REF!),-1),""))</f>
        <v/>
      </c>
      <c r="CM168" s="502"/>
      <c r="CN168" s="503" t="str">
        <f>IF($G168="","",IF(AND($G168&gt;=30,$AT$3&lt;=CM$7),ROUND(CM168*($AP$3+#REF!),-1),""))</f>
        <v/>
      </c>
      <c r="CO168" s="503"/>
      <c r="CP168" s="503" t="str">
        <f>IF($G168="","",IF(AND($G168&gt;=30,$AT$3&lt;=CO$7),ROUND(CO168*($AP$3+#REF!),-1),""))</f>
        <v/>
      </c>
      <c r="CQ168" s="502"/>
      <c r="CR168" s="503" t="str">
        <f>IF($G168="","",IF(AND($G168&gt;=30,$AT$3&lt;=CQ$7),ROUND(CQ168*($AP$3+#REF!),-1),""))</f>
        <v/>
      </c>
      <c r="CS168" s="503"/>
      <c r="CT168" s="503" t="str">
        <f>IF($G168="","",IF(AND($G168&gt;=30,$AT$3&lt;=CS$7),ROUND(CS168*($AP$3+#REF!),-1),""))</f>
        <v/>
      </c>
      <c r="CU168" s="502"/>
      <c r="CV168" s="503" t="str">
        <f>IF($G168="","",IF(AND($G168&gt;=30,$AT$3&lt;=CU$7),ROUND(CU168*($AP$3+#REF!),-1),""))</f>
        <v/>
      </c>
      <c r="CW168" s="503"/>
      <c r="CX168" s="503" t="str">
        <f>IF($G168="","",IF(AND($G168&gt;=30,$AT$3&lt;=CW$7),ROUND(CW168*($AP$3+#REF!),-1),""))</f>
        <v/>
      </c>
      <c r="CY168" s="502"/>
      <c r="CZ168" s="503" t="str">
        <f>IF($G168="","",IF(AND($G168&gt;=30,$AT$3&lt;=CY$7),ROUND(CY168*($AP$3+#REF!),-1),""))</f>
        <v/>
      </c>
      <c r="DA168" s="503"/>
      <c r="DB168" s="503" t="str">
        <f>IF($G168="","",IF(AND($G168&gt;=30,$AT$3&lt;=DA$7),ROUND(DA168*($AP$3+#REF!),-1),""))</f>
        <v/>
      </c>
      <c r="DC168" s="502"/>
      <c r="DD168" s="503" t="str">
        <f>IF($G168="","",IF(AND($G168&gt;=30,$AT$3&lt;=DC$7),ROUND(DC168*($AP$3+#REF!),-1),""))</f>
        <v/>
      </c>
      <c r="DE168" s="503"/>
      <c r="DF168" s="503" t="str">
        <f>IF($G168="","",IF(AND($G168&gt;=30,$AT$3&lt;=DE$7),ROUND(DE168*($AP$3+#REF!),-1),""))</f>
        <v/>
      </c>
      <c r="DG168" s="503"/>
      <c r="DH168" s="503" t="str">
        <f>IF($G168="","",IF(AND($G168&gt;=30,$AT$3&lt;=DG$7),ROUND(DG168*($AP$3+#REF!),-1),""))</f>
        <v/>
      </c>
      <c r="DI168" s="503"/>
      <c r="DJ168" s="503" t="str">
        <f>IF($G168="","",IF(AND($G168&gt;=30,$AT$3&lt;=DI$7),ROUND(DI168*($AP$3+#REF!),-1),""))</f>
        <v/>
      </c>
      <c r="DK168" s="503"/>
      <c r="DL168" s="503" t="str">
        <f>IF($G168="","",IF(AND($G168&gt;=30,$AT$3&lt;=DK$7),ROUND(DK168*($AP$3+#REF!),-1),""))</f>
        <v/>
      </c>
      <c r="DM168" s="503"/>
      <c r="DN168" s="503" t="str">
        <f>IF($G168="","",IF(AND($G168&gt;=30,$AT$3&lt;=DM$7),ROUND(DM168*($AP$3+#REF!),-1),""))</f>
        <v/>
      </c>
      <c r="DO168" s="503"/>
      <c r="DP168" s="503" t="str">
        <f>IF($G168="","",IF(AND($G168&gt;=30,$AT$3&lt;=DO$7),ROUND(DO168*($AP$3+#REF!),-1),""))</f>
        <v/>
      </c>
      <c r="DQ168" s="503"/>
      <c r="DR168" s="503" t="str">
        <f>IF($G168="","",IF(AND($G168&gt;=30,$AT$3&lt;=DQ$7),ROUND(DQ168*($AP$3+#REF!),-1),""))</f>
        <v/>
      </c>
      <c r="DS168" s="503"/>
      <c r="DT168" s="503" t="str">
        <f>IF($G168="","",IF(AND($G168&gt;=30,$AT$3&lt;=DS$7),ROUND(DS168*($AP$3+#REF!),-1),""))</f>
        <v/>
      </c>
      <c r="DU168" s="503"/>
      <c r="DV168" s="503" t="str">
        <f>IF($G168="","",IF(AND($G168&gt;=30,$AT$3&lt;=DU$7),ROUND(DU168*($AP$3+#REF!),-1),""))</f>
        <v/>
      </c>
      <c r="DW168" s="503"/>
      <c r="DX168" s="503" t="str">
        <f>IF($G168="","",IF(AND($G168&gt;=30,$AT$3&lt;=DW$7),ROUND(DW168*($AP$3+#REF!),-1),""))</f>
        <v/>
      </c>
      <c r="DY168" s="503"/>
      <c r="DZ168" s="503" t="str">
        <f>IF($G168="","",IF(AND($G168&gt;=30,$AT$3&lt;=DY$7),ROUND(DY168*($AP$3+#REF!),-1),""))</f>
        <v/>
      </c>
      <c r="EA168" s="503"/>
      <c r="EB168" s="503" t="str">
        <f>IF($G168="","",IF(AND($G168&gt;=30,$AT$3&lt;=EA$7),ROUND(EA168*($AP$3+#REF!),-1),""))</f>
        <v/>
      </c>
      <c r="EC168" s="504" t="s">
        <v>621</v>
      </c>
      <c r="ED168" s="1124"/>
      <c r="EE168" s="325">
        <v>4</v>
      </c>
    </row>
    <row r="169" spans="1:135" ht="9.75" customHeight="1">
      <c r="A169" s="321" t="str">
        <f t="shared" si="37"/>
        <v/>
      </c>
      <c r="B169" s="567">
        <f>(ii!$D$13*12+V169)+1</f>
        <v>63</v>
      </c>
      <c r="C169" s="337">
        <f t="shared" si="44"/>
        <v>47269</v>
      </c>
      <c r="D169" s="484">
        <f t="shared" si="47"/>
        <v>2029</v>
      </c>
      <c r="E169" s="484">
        <f t="shared" si="45"/>
        <v>0.41666666666666669</v>
      </c>
      <c r="F169" s="484">
        <f t="shared" si="48"/>
        <v>2029.4166666666667</v>
      </c>
      <c r="G169" s="485" t="str">
        <f>IF(OR(C169&lt;$I$2,C169&gt;$J$3),"",(ii!$D$13*12+V169+1)/12)</f>
        <v/>
      </c>
      <c r="H169" s="486"/>
      <c r="I169" s="486"/>
      <c r="J169" s="507"/>
      <c r="K169" s="508"/>
      <c r="L169" s="548"/>
      <c r="M169" s="489" t="str">
        <f t="shared" si="49"/>
        <v/>
      </c>
      <c r="N169" s="490" t="s">
        <v>621</v>
      </c>
      <c r="O169" s="490" t="str">
        <f t="shared" si="42"/>
        <v/>
      </c>
      <c r="P169" s="507"/>
      <c r="Q169" s="507"/>
      <c r="R169" s="491" t="str">
        <f t="shared" si="43"/>
        <v/>
      </c>
      <c r="S169" s="528" t="str">
        <f t="shared" si="38"/>
        <v/>
      </c>
      <c r="T169" s="528" t="str">
        <f t="shared" si="36"/>
        <v/>
      </c>
      <c r="U169" s="493" t="str">
        <f>IF(H169="","",#REF!*12+#REF!+#REF!*12+#REF!)</f>
        <v/>
      </c>
      <c r="V169" s="338">
        <f>IF(ii!$J$3&gt;gg!C169,"",IF(AND((YEAR(C169)=YEAR($I$2)),MONTH(C169)=MONTH($I$2)),ii!$B$14*12+ii!$C$14+ii!$B$15*12+ii!$C$15-1,V168+1))</f>
        <v>62</v>
      </c>
      <c r="W169" s="339">
        <f t="shared" si="46"/>
        <v>5.166666666666667</v>
      </c>
      <c r="X169" s="494" t="s">
        <v>621</v>
      </c>
      <c r="Y169" s="495" t="s">
        <v>621</v>
      </c>
      <c r="Z169" s="496"/>
      <c r="AA169" s="497"/>
      <c r="AB169" s="498" t="e">
        <f t="shared" si="52"/>
        <v>#VALUE!</v>
      </c>
      <c r="AC169" s="484" t="str">
        <f t="shared" si="50"/>
        <v/>
      </c>
      <c r="AD169" s="495" t="str">
        <f t="shared" si="51"/>
        <v/>
      </c>
      <c r="AE169" s="499" t="s">
        <v>621</v>
      </c>
      <c r="AF169" s="500" t="s">
        <v>621</v>
      </c>
      <c r="AG169" s="556" t="s">
        <v>621</v>
      </c>
      <c r="AH169" s="503" t="str">
        <f>IF($G169="","",IF(AND($G169&gt;=30,$AT$3&lt;=AG$7),ROUND(AG169*($AP$3+#REF!),-1),""))</f>
        <v/>
      </c>
      <c r="AI169" s="506" t="s">
        <v>621</v>
      </c>
      <c r="AJ169" s="503" t="str">
        <f>IF($G169="","",IF(AND($G169&gt;=30,$AT$3&lt;=AI$7),ROUND(AI169*($AP$3+#REF!),-1),""))</f>
        <v/>
      </c>
      <c r="AK169" s="506" t="s">
        <v>621</v>
      </c>
      <c r="AL169" s="503" t="str">
        <f>IF($G169="","",IF(AND($G169&gt;=30,$AT$3&lt;=AK$7),ROUND(AK169*($AP$3+#REF!),-1),""))</f>
        <v/>
      </c>
      <c r="AM169" s="506" t="s">
        <v>621</v>
      </c>
      <c r="AN169" s="503" t="str">
        <f>IF($G169="","",IF(AND($G169&gt;=30,$AT$3&lt;=AM$7),ROUND(AM169*($AP$3+#REF!),-1),""))</f>
        <v/>
      </c>
      <c r="AO169" s="503" t="e">
        <v>#REF!</v>
      </c>
      <c r="AP169" s="503" t="str">
        <f>IF($G169="","",IF(AND($G169&gt;=30,$AT$3&lt;=AO$7),ROUND(AO169*($AP$3+#REF!),-1),""))</f>
        <v/>
      </c>
      <c r="AQ169" s="503" t="s">
        <v>621</v>
      </c>
      <c r="AR169" s="503" t="str">
        <f>IF($G169="","",IF(AND($G169&gt;=30,$AT$3&lt;=AQ$7),ROUND(AQ169*($AP$3+#REF!),-1),""))</f>
        <v/>
      </c>
      <c r="AS169" s="503" t="s">
        <v>621</v>
      </c>
      <c r="AT169" s="503" t="str">
        <f>IF($G169="","",IF(AND($G169&gt;=30,$AT$3&lt;=AS$7),ROUND(AS169*($AP$3+#REF!),-1),""))</f>
        <v/>
      </c>
      <c r="AU169" s="503" t="s">
        <v>621</v>
      </c>
      <c r="AV169" s="503" t="str">
        <f>IF($G169="","",IF(AND($G169&gt;=30,$AT$3&lt;=AU$7),ROUND(AU169*($AP$3+#REF!),-1),""))</f>
        <v/>
      </c>
      <c r="AW169" s="503" t="s">
        <v>621</v>
      </c>
      <c r="AX169" s="503" t="str">
        <f>IF($G169="","",IF(AND($G169&gt;=30,$AT$3&lt;=AW$7),ROUND(AW169*($AP$3+#REF!),-1),""))</f>
        <v/>
      </c>
      <c r="AY169" s="503" t="s">
        <v>621</v>
      </c>
      <c r="AZ169" s="503" t="str">
        <f>IF($G169="","",IF(AND($G169&gt;=30,$AT$3&lt;=AY$7),ROUND(AY169*($AP$3+#REF!),-1),""))</f>
        <v/>
      </c>
      <c r="BA169" s="503" t="s">
        <v>621</v>
      </c>
      <c r="BB169" s="503" t="str">
        <f>IF($G169="","",IF(AND($G169&gt;=30,$AT$3&lt;=BA$7),ROUND(BA169*($AP$3+#REF!),-1),""))</f>
        <v/>
      </c>
      <c r="BC169" s="503" t="s">
        <v>621</v>
      </c>
      <c r="BD169" s="503" t="str">
        <f>IF($G169="","",IF(AND($G169&gt;=30,$AT$3&lt;=BC$7),ROUND(BC169*($AP$3+#REF!),-1),""))</f>
        <v/>
      </c>
      <c r="BE169" s="503" t="s">
        <v>621</v>
      </c>
      <c r="BF169" s="503" t="str">
        <f>IF($G169="","",IF(AND($G169&gt;=30,$AT$3&lt;=BE$7),ROUND(BE169*($AP$3+#REF!),-1),""))</f>
        <v/>
      </c>
      <c r="BG169" s="517" t="e">
        <v>#REF!</v>
      </c>
      <c r="BH169" s="503" t="str">
        <f>IF($G169="","",IF(AND($G169&gt;=30,$AT$3&lt;=BG$7),ROUND(BG169*($AP$3+#REF!),-1),""))</f>
        <v/>
      </c>
      <c r="BI169" s="503"/>
      <c r="BJ169" s="503" t="str">
        <f>IF($G169="","",IF(AND($G169&gt;=30,$AT$3&lt;=BI$7),ROUND(BI169*($AP$3+#REF!),-1),""))</f>
        <v/>
      </c>
      <c r="BK169" s="502"/>
      <c r="BL169" s="503" t="str">
        <f>IF($G169="","",IF(AND($G169&gt;=30,$AT$3&lt;=BK$7),ROUND(BK169*($AP$3+#REF!),-1),""))</f>
        <v/>
      </c>
      <c r="BM169" s="503"/>
      <c r="BN169" s="503" t="str">
        <f>IF($G169="","",IF(AND($G169&gt;=30,$AT$3&lt;=BM$7),ROUND(BM169*($AP$3+#REF!),-1),""))</f>
        <v/>
      </c>
      <c r="BO169" s="502"/>
      <c r="BP169" s="503" t="str">
        <f>IF($G169="","",IF(AND($G169&gt;=30,$AT$3&lt;=BO$7),ROUND(BO169*($AP$3+#REF!),-1),""))</f>
        <v/>
      </c>
      <c r="BQ169" s="503"/>
      <c r="BR169" s="503" t="str">
        <f>IF($G169="","",IF(AND($G169&gt;=30,$AT$3&lt;=BQ$7),ROUND(BQ169*($AP$3+#REF!),-1),""))</f>
        <v/>
      </c>
      <c r="BS169" s="502"/>
      <c r="BT169" s="503" t="str">
        <f>IF($G169="","",IF(AND($G169&gt;=30,$AT$3&lt;=BS$7),ROUND(BS169*($AP$3+#REF!),-1),""))</f>
        <v/>
      </c>
      <c r="BU169" s="503"/>
      <c r="BV169" s="503" t="str">
        <f>IF($G169="","",IF(AND($G169&gt;=30,$AT$3&lt;=BU$7),ROUND(BU169*($AP$3+#REF!),-1),""))</f>
        <v/>
      </c>
      <c r="BW169" s="502"/>
      <c r="BX169" s="503" t="str">
        <f>IF($G169="","",IF(AND($G169&gt;=30,$AT$3&lt;=BW$7),ROUND(BW169*($AP$3+#REF!),-1),""))</f>
        <v/>
      </c>
      <c r="BY169" s="503"/>
      <c r="BZ169" s="503" t="str">
        <f>IF($G169="","",IF(AND($G169&gt;=30,$AT$3&lt;=BY$7),ROUND(BY169*($AP$3+#REF!),-1),""))</f>
        <v/>
      </c>
      <c r="CA169" s="502"/>
      <c r="CB169" s="503" t="str">
        <f>IF($G169="","",IF(AND($G169&gt;=30,$AT$3&lt;=CA$7),ROUND(CA169*($AP$3+#REF!),-1),""))</f>
        <v/>
      </c>
      <c r="CC169" s="503"/>
      <c r="CD169" s="503" t="str">
        <f>IF($G169="","",IF(AND($G169&gt;=30,$AT$3&lt;=CC$7),ROUND(CC169*($AP$3+#REF!),-1),""))</f>
        <v/>
      </c>
      <c r="CE169" s="502"/>
      <c r="CF169" s="503" t="str">
        <f>IF($G169="","",IF(AND($G169&gt;=30,$AT$3&lt;=CE$7),ROUND(CE169*($AP$3+#REF!),-1),""))</f>
        <v/>
      </c>
      <c r="CG169" s="503"/>
      <c r="CH169" s="503" t="str">
        <f>IF($G169="","",IF(AND($G169&gt;=30,$AT$3&lt;=CG$7),ROUND(CG169*($AP$3+#REF!),-1),""))</f>
        <v/>
      </c>
      <c r="CI169" s="502"/>
      <c r="CJ169" s="503" t="str">
        <f>IF($G169="","",IF(AND($G169&gt;=30,$AT$3&lt;=CI$7),ROUND(CI169*($AP$3+#REF!),-1),""))</f>
        <v/>
      </c>
      <c r="CK169" s="503"/>
      <c r="CL169" s="503" t="str">
        <f>IF($G169="","",IF(AND($G169&gt;=30,$AT$3&lt;=CK$7),ROUND(CK169*($AP$3+#REF!),-1),""))</f>
        <v/>
      </c>
      <c r="CM169" s="502"/>
      <c r="CN169" s="503" t="str">
        <f>IF($G169="","",IF(AND($G169&gt;=30,$AT$3&lt;=CM$7),ROUND(CM169*($AP$3+#REF!),-1),""))</f>
        <v/>
      </c>
      <c r="CO169" s="503"/>
      <c r="CP169" s="503" t="str">
        <f>IF($G169="","",IF(AND($G169&gt;=30,$AT$3&lt;=CO$7),ROUND(CO169*($AP$3+#REF!),-1),""))</f>
        <v/>
      </c>
      <c r="CQ169" s="502"/>
      <c r="CR169" s="503" t="str">
        <f>IF($G169="","",IF(AND($G169&gt;=30,$AT$3&lt;=CQ$7),ROUND(CQ169*($AP$3+#REF!),-1),""))</f>
        <v/>
      </c>
      <c r="CS169" s="503"/>
      <c r="CT169" s="503" t="str">
        <f>IF($G169="","",IF(AND($G169&gt;=30,$AT$3&lt;=CS$7),ROUND(CS169*($AP$3+#REF!),-1),""))</f>
        <v/>
      </c>
      <c r="CU169" s="502"/>
      <c r="CV169" s="503" t="str">
        <f>IF($G169="","",IF(AND($G169&gt;=30,$AT$3&lt;=CU$7),ROUND(CU169*($AP$3+#REF!),-1),""))</f>
        <v/>
      </c>
      <c r="CW169" s="503"/>
      <c r="CX169" s="503" t="str">
        <f>IF($G169="","",IF(AND($G169&gt;=30,$AT$3&lt;=CW$7),ROUND(CW169*($AP$3+#REF!),-1),""))</f>
        <v/>
      </c>
      <c r="CY169" s="502"/>
      <c r="CZ169" s="503" t="str">
        <f>IF($G169="","",IF(AND($G169&gt;=30,$AT$3&lt;=CY$7),ROUND(CY169*($AP$3+#REF!),-1),""))</f>
        <v/>
      </c>
      <c r="DA169" s="503"/>
      <c r="DB169" s="503" t="str">
        <f>IF($G169="","",IF(AND($G169&gt;=30,$AT$3&lt;=DA$7),ROUND(DA169*($AP$3+#REF!),-1),""))</f>
        <v/>
      </c>
      <c r="DC169" s="502"/>
      <c r="DD169" s="503" t="str">
        <f>IF($G169="","",IF(AND($G169&gt;=30,$AT$3&lt;=DC$7),ROUND(DC169*($AP$3+#REF!),-1),""))</f>
        <v/>
      </c>
      <c r="DE169" s="503"/>
      <c r="DF169" s="503" t="str">
        <f>IF($G169="","",IF(AND($G169&gt;=30,$AT$3&lt;=DE$7),ROUND(DE169*($AP$3+#REF!),-1),""))</f>
        <v/>
      </c>
      <c r="DG169" s="503"/>
      <c r="DH169" s="503" t="str">
        <f>IF($G169="","",IF(AND($G169&gt;=30,$AT$3&lt;=DG$7),ROUND(DG169*($AP$3+#REF!),-1),""))</f>
        <v/>
      </c>
      <c r="DI169" s="503"/>
      <c r="DJ169" s="503" t="str">
        <f>IF($G169="","",IF(AND($G169&gt;=30,$AT$3&lt;=DI$7),ROUND(DI169*($AP$3+#REF!),-1),""))</f>
        <v/>
      </c>
      <c r="DK169" s="503"/>
      <c r="DL169" s="503" t="str">
        <f>IF($G169="","",IF(AND($G169&gt;=30,$AT$3&lt;=DK$7),ROUND(DK169*($AP$3+#REF!),-1),""))</f>
        <v/>
      </c>
      <c r="DM169" s="503"/>
      <c r="DN169" s="503" t="str">
        <f>IF($G169="","",IF(AND($G169&gt;=30,$AT$3&lt;=DM$7),ROUND(DM169*($AP$3+#REF!),-1),""))</f>
        <v/>
      </c>
      <c r="DO169" s="503"/>
      <c r="DP169" s="503" t="str">
        <f>IF($G169="","",IF(AND($G169&gt;=30,$AT$3&lt;=DO$7),ROUND(DO169*($AP$3+#REF!),-1),""))</f>
        <v/>
      </c>
      <c r="DQ169" s="503"/>
      <c r="DR169" s="503" t="str">
        <f>IF($G169="","",IF(AND($G169&gt;=30,$AT$3&lt;=DQ$7),ROUND(DQ169*($AP$3+#REF!),-1),""))</f>
        <v/>
      </c>
      <c r="DS169" s="503"/>
      <c r="DT169" s="503" t="str">
        <f>IF($G169="","",IF(AND($G169&gt;=30,$AT$3&lt;=DS$7),ROUND(DS169*($AP$3+#REF!),-1),""))</f>
        <v/>
      </c>
      <c r="DU169" s="503"/>
      <c r="DV169" s="503" t="str">
        <f>IF($G169="","",IF(AND($G169&gt;=30,$AT$3&lt;=DU$7),ROUND(DU169*($AP$3+#REF!),-1),""))</f>
        <v/>
      </c>
      <c r="DW169" s="503"/>
      <c r="DX169" s="503" t="str">
        <f>IF($G169="","",IF(AND($G169&gt;=30,$AT$3&lt;=DW$7),ROUND(DW169*($AP$3+#REF!),-1),""))</f>
        <v/>
      </c>
      <c r="DY169" s="503"/>
      <c r="DZ169" s="503" t="str">
        <f>IF($G169="","",IF(AND($G169&gt;=30,$AT$3&lt;=DY$7),ROUND(DY169*($AP$3+#REF!),-1),""))</f>
        <v/>
      </c>
      <c r="EA169" s="503"/>
      <c r="EB169" s="503" t="str">
        <f>IF($G169="","",IF(AND($G169&gt;=30,$AT$3&lt;=EA$7),ROUND(EA169*($AP$3+#REF!),-1),""))</f>
        <v/>
      </c>
      <c r="EC169" s="504" t="s">
        <v>621</v>
      </c>
      <c r="ED169" s="1124"/>
      <c r="EE169" s="325">
        <v>5</v>
      </c>
    </row>
    <row r="170" spans="1:135" ht="9.75" customHeight="1">
      <c r="A170" s="321" t="str">
        <f t="shared" si="37"/>
        <v/>
      </c>
      <c r="B170" s="567">
        <f>(ii!$D$13*12+V170)+1</f>
        <v>64</v>
      </c>
      <c r="C170" s="337">
        <f t="shared" si="44"/>
        <v>47299</v>
      </c>
      <c r="D170" s="484">
        <f t="shared" si="47"/>
        <v>2029</v>
      </c>
      <c r="E170" s="484">
        <f t="shared" si="45"/>
        <v>0.5</v>
      </c>
      <c r="F170" s="484">
        <f t="shared" si="48"/>
        <v>2029.5</v>
      </c>
      <c r="G170" s="485" t="str">
        <f>IF(OR(C170&lt;$I$2,C170&gt;$J$3),"",(ii!$D$13*12+V170+1)/12)</f>
        <v/>
      </c>
      <c r="H170" s="486"/>
      <c r="I170" s="486"/>
      <c r="J170" s="487"/>
      <c r="K170" s="488"/>
      <c r="L170" s="548"/>
      <c r="M170" s="489" t="str">
        <f t="shared" si="49"/>
        <v/>
      </c>
      <c r="N170" s="490" t="s">
        <v>621</v>
      </c>
      <c r="O170" s="490" t="str">
        <f t="shared" si="42"/>
        <v/>
      </c>
      <c r="P170" s="491"/>
      <c r="Q170" s="491"/>
      <c r="R170" s="491" t="str">
        <f t="shared" si="43"/>
        <v/>
      </c>
      <c r="S170" s="528" t="str">
        <f t="shared" si="38"/>
        <v/>
      </c>
      <c r="T170" s="528" t="str">
        <f t="shared" si="36"/>
        <v/>
      </c>
      <c r="U170" s="493" t="str">
        <f>IF(H170="","",#REF!*12+#REF!+#REF!*12+#REF!)</f>
        <v/>
      </c>
      <c r="V170" s="338">
        <f>IF(ii!$J$3&gt;gg!C170,"",IF(AND((YEAR(C170)=YEAR($I$2)),MONTH(C170)=MONTH($I$2)),ii!$B$14*12+ii!$C$14+ii!$B$15*12+ii!$C$15-1,V169+1))</f>
        <v>63</v>
      </c>
      <c r="W170" s="339">
        <f t="shared" si="46"/>
        <v>5.25</v>
      </c>
      <c r="X170" s="494" t="s">
        <v>621</v>
      </c>
      <c r="Y170" s="495" t="s">
        <v>621</v>
      </c>
      <c r="Z170" s="496"/>
      <c r="AA170" s="497"/>
      <c r="AB170" s="498" t="e">
        <f t="shared" si="52"/>
        <v>#VALUE!</v>
      </c>
      <c r="AC170" s="484" t="str">
        <f t="shared" si="50"/>
        <v/>
      </c>
      <c r="AD170" s="495" t="str">
        <f t="shared" si="51"/>
        <v/>
      </c>
      <c r="AE170" s="499" t="s">
        <v>621</v>
      </c>
      <c r="AF170" s="500" t="s">
        <v>621</v>
      </c>
      <c r="AG170" s="556" t="s">
        <v>621</v>
      </c>
      <c r="AH170" s="503" t="str">
        <f>IF($G170="","",IF(AND($G170&gt;=30,$AT$3&lt;=AG$7),ROUND(AG170*($AP$3+#REF!),-1),""))</f>
        <v/>
      </c>
      <c r="AI170" s="506" t="s">
        <v>621</v>
      </c>
      <c r="AJ170" s="503" t="str">
        <f>IF($G170="","",IF(AND($G170&gt;=30,$AT$3&lt;=AI$7),ROUND(AI170*($AP$3+#REF!),-1),""))</f>
        <v/>
      </c>
      <c r="AK170" s="506" t="s">
        <v>621</v>
      </c>
      <c r="AL170" s="503" t="str">
        <f>IF($G170="","",IF(AND($G170&gt;=30,$AT$3&lt;=AK$7),ROUND(AK170*($AP$3+#REF!),-1),""))</f>
        <v/>
      </c>
      <c r="AM170" s="506" t="s">
        <v>621</v>
      </c>
      <c r="AN170" s="503" t="str">
        <f>IF($G170="","",IF(AND($G170&gt;=30,$AT$3&lt;=AM$7),ROUND(AM170*($AP$3+#REF!),-1),""))</f>
        <v/>
      </c>
      <c r="AO170" s="503" t="e">
        <v>#REF!</v>
      </c>
      <c r="AP170" s="503" t="str">
        <f>IF($G170="","",IF(AND($G170&gt;=30,$AT$3&lt;=AO$7),ROUND(AO170*($AP$3+#REF!),-1),""))</f>
        <v/>
      </c>
      <c r="AQ170" s="503" t="s">
        <v>621</v>
      </c>
      <c r="AR170" s="503" t="str">
        <f>IF($G170="","",IF(AND($G170&gt;=30,$AT$3&lt;=AQ$7),ROUND(AQ170*($AP$3+#REF!),-1),""))</f>
        <v/>
      </c>
      <c r="AS170" s="503" t="s">
        <v>621</v>
      </c>
      <c r="AT170" s="503" t="str">
        <f>IF($G170="","",IF(AND($G170&gt;=30,$AT$3&lt;=AS$7),ROUND(AS170*($AP$3+#REF!),-1),""))</f>
        <v/>
      </c>
      <c r="AU170" s="503" t="s">
        <v>621</v>
      </c>
      <c r="AV170" s="503" t="str">
        <f>IF($G170="","",IF(AND($G170&gt;=30,$AT$3&lt;=AU$7),ROUND(AU170*($AP$3+#REF!),-1),""))</f>
        <v/>
      </c>
      <c r="AW170" s="503" t="s">
        <v>621</v>
      </c>
      <c r="AX170" s="503" t="str">
        <f>IF($G170="","",IF(AND($G170&gt;=30,$AT$3&lt;=AW$7),ROUND(AW170*($AP$3+#REF!),-1),""))</f>
        <v/>
      </c>
      <c r="AY170" s="503" t="s">
        <v>621</v>
      </c>
      <c r="AZ170" s="503" t="str">
        <f>IF($G170="","",IF(AND($G170&gt;=30,$AT$3&lt;=AY$7),ROUND(AY170*($AP$3+#REF!),-1),""))</f>
        <v/>
      </c>
      <c r="BA170" s="503" t="s">
        <v>621</v>
      </c>
      <c r="BB170" s="503" t="str">
        <f>IF($G170="","",IF(AND($G170&gt;=30,$AT$3&lt;=BA$7),ROUND(BA170*($AP$3+#REF!),-1),""))</f>
        <v/>
      </c>
      <c r="BC170" s="503" t="s">
        <v>621</v>
      </c>
      <c r="BD170" s="503" t="str">
        <f>IF($G170="","",IF(AND($G170&gt;=30,$AT$3&lt;=BC$7),ROUND(BC170*($AP$3+#REF!),-1),""))</f>
        <v/>
      </c>
      <c r="BE170" s="503" t="s">
        <v>621</v>
      </c>
      <c r="BF170" s="503" t="str">
        <f>IF($G170="","",IF(AND($G170&gt;=30,$AT$3&lt;=BE$7),ROUND(BE170*($AP$3+#REF!),-1),""))</f>
        <v/>
      </c>
      <c r="BG170" s="517" t="e">
        <v>#REF!</v>
      </c>
      <c r="BH170" s="503" t="str">
        <f>IF($G170="","",IF(AND($G170&gt;=30,$AT$3&lt;=BG$7),ROUND(BG170*($AP$3+#REF!),-1),""))</f>
        <v/>
      </c>
      <c r="BI170" s="503"/>
      <c r="BJ170" s="503" t="str">
        <f>IF($G170="","",IF(AND($G170&gt;=30,$AT$3&lt;=BI$7),ROUND(BI170*($AP$3+#REF!),-1),""))</f>
        <v/>
      </c>
      <c r="BK170" s="502"/>
      <c r="BL170" s="503" t="str">
        <f>IF($G170="","",IF(AND($G170&gt;=30,$AT$3&lt;=BK$7),ROUND(BK170*($AP$3+#REF!),-1),""))</f>
        <v/>
      </c>
      <c r="BM170" s="503"/>
      <c r="BN170" s="503" t="str">
        <f>IF($G170="","",IF(AND($G170&gt;=30,$AT$3&lt;=BM$7),ROUND(BM170*($AP$3+#REF!),-1),""))</f>
        <v/>
      </c>
      <c r="BO170" s="502"/>
      <c r="BP170" s="503" t="str">
        <f>IF($G170="","",IF(AND($G170&gt;=30,$AT$3&lt;=BO$7),ROUND(BO170*($AP$3+#REF!),-1),""))</f>
        <v/>
      </c>
      <c r="BQ170" s="503"/>
      <c r="BR170" s="503" t="str">
        <f>IF($G170="","",IF(AND($G170&gt;=30,$AT$3&lt;=BQ$7),ROUND(BQ170*($AP$3+#REF!),-1),""))</f>
        <v/>
      </c>
      <c r="BS170" s="502"/>
      <c r="BT170" s="503" t="str">
        <f>IF($G170="","",IF(AND($G170&gt;=30,$AT$3&lt;=BS$7),ROUND(BS170*($AP$3+#REF!),-1),""))</f>
        <v/>
      </c>
      <c r="BU170" s="503"/>
      <c r="BV170" s="503" t="str">
        <f>IF($G170="","",IF(AND($G170&gt;=30,$AT$3&lt;=BU$7),ROUND(BU170*($AP$3+#REF!),-1),""))</f>
        <v/>
      </c>
      <c r="BW170" s="502"/>
      <c r="BX170" s="503" t="str">
        <f>IF($G170="","",IF(AND($G170&gt;=30,$AT$3&lt;=BW$7),ROUND(BW170*($AP$3+#REF!),-1),""))</f>
        <v/>
      </c>
      <c r="BY170" s="503"/>
      <c r="BZ170" s="503" t="str">
        <f>IF($G170="","",IF(AND($G170&gt;=30,$AT$3&lt;=BY$7),ROUND(BY170*($AP$3+#REF!),-1),""))</f>
        <v/>
      </c>
      <c r="CA170" s="502"/>
      <c r="CB170" s="503" t="str">
        <f>IF($G170="","",IF(AND($G170&gt;=30,$AT$3&lt;=CA$7),ROUND(CA170*($AP$3+#REF!),-1),""))</f>
        <v/>
      </c>
      <c r="CC170" s="503"/>
      <c r="CD170" s="503" t="str">
        <f>IF($G170="","",IF(AND($G170&gt;=30,$AT$3&lt;=CC$7),ROUND(CC170*($AP$3+#REF!),-1),""))</f>
        <v/>
      </c>
      <c r="CE170" s="502"/>
      <c r="CF170" s="503" t="str">
        <f>IF($G170="","",IF(AND($G170&gt;=30,$AT$3&lt;=CE$7),ROUND(CE170*($AP$3+#REF!),-1),""))</f>
        <v/>
      </c>
      <c r="CG170" s="503"/>
      <c r="CH170" s="503" t="str">
        <f>IF($G170="","",IF(AND($G170&gt;=30,$AT$3&lt;=CG$7),ROUND(CG170*($AP$3+#REF!),-1),""))</f>
        <v/>
      </c>
      <c r="CI170" s="502"/>
      <c r="CJ170" s="503" t="str">
        <f>IF($G170="","",IF(AND($G170&gt;=30,$AT$3&lt;=CI$7),ROUND(CI170*($AP$3+#REF!),-1),""))</f>
        <v/>
      </c>
      <c r="CK170" s="503"/>
      <c r="CL170" s="503" t="str">
        <f>IF($G170="","",IF(AND($G170&gt;=30,$AT$3&lt;=CK$7),ROUND(CK170*($AP$3+#REF!),-1),""))</f>
        <v/>
      </c>
      <c r="CM170" s="502"/>
      <c r="CN170" s="503" t="str">
        <f>IF($G170="","",IF(AND($G170&gt;=30,$AT$3&lt;=CM$7),ROUND(CM170*($AP$3+#REF!),-1),""))</f>
        <v/>
      </c>
      <c r="CO170" s="503"/>
      <c r="CP170" s="503" t="str">
        <f>IF($G170="","",IF(AND($G170&gt;=30,$AT$3&lt;=CO$7),ROUND(CO170*($AP$3+#REF!),-1),""))</f>
        <v/>
      </c>
      <c r="CQ170" s="502"/>
      <c r="CR170" s="503" t="str">
        <f>IF($G170="","",IF(AND($G170&gt;=30,$AT$3&lt;=CQ$7),ROUND(CQ170*($AP$3+#REF!),-1),""))</f>
        <v/>
      </c>
      <c r="CS170" s="503"/>
      <c r="CT170" s="503" t="str">
        <f>IF($G170="","",IF(AND($G170&gt;=30,$AT$3&lt;=CS$7),ROUND(CS170*($AP$3+#REF!),-1),""))</f>
        <v/>
      </c>
      <c r="CU170" s="502"/>
      <c r="CV170" s="503" t="str">
        <f>IF($G170="","",IF(AND($G170&gt;=30,$AT$3&lt;=CU$7),ROUND(CU170*($AP$3+#REF!),-1),""))</f>
        <v/>
      </c>
      <c r="CW170" s="503"/>
      <c r="CX170" s="503" t="str">
        <f>IF($G170="","",IF(AND($G170&gt;=30,$AT$3&lt;=CW$7),ROUND(CW170*($AP$3+#REF!),-1),""))</f>
        <v/>
      </c>
      <c r="CY170" s="502"/>
      <c r="CZ170" s="503" t="str">
        <f>IF($G170="","",IF(AND($G170&gt;=30,$AT$3&lt;=CY$7),ROUND(CY170*($AP$3+#REF!),-1),""))</f>
        <v/>
      </c>
      <c r="DA170" s="503"/>
      <c r="DB170" s="503" t="str">
        <f>IF($G170="","",IF(AND($G170&gt;=30,$AT$3&lt;=DA$7),ROUND(DA170*($AP$3+#REF!),-1),""))</f>
        <v/>
      </c>
      <c r="DC170" s="502"/>
      <c r="DD170" s="503" t="str">
        <f>IF($G170="","",IF(AND($G170&gt;=30,$AT$3&lt;=DC$7),ROUND(DC170*($AP$3+#REF!),-1),""))</f>
        <v/>
      </c>
      <c r="DE170" s="503"/>
      <c r="DF170" s="503" t="str">
        <f>IF($G170="","",IF(AND($G170&gt;=30,$AT$3&lt;=DE$7),ROUND(DE170*($AP$3+#REF!),-1),""))</f>
        <v/>
      </c>
      <c r="DG170" s="503"/>
      <c r="DH170" s="503" t="str">
        <f>IF($G170="","",IF(AND($G170&gt;=30,$AT$3&lt;=DG$7),ROUND(DG170*($AP$3+#REF!),-1),""))</f>
        <v/>
      </c>
      <c r="DI170" s="503"/>
      <c r="DJ170" s="503" t="str">
        <f>IF($G170="","",IF(AND($G170&gt;=30,$AT$3&lt;=DI$7),ROUND(DI170*($AP$3+#REF!),-1),""))</f>
        <v/>
      </c>
      <c r="DK170" s="503"/>
      <c r="DL170" s="503" t="str">
        <f>IF($G170="","",IF(AND($G170&gt;=30,$AT$3&lt;=DK$7),ROUND(DK170*($AP$3+#REF!),-1),""))</f>
        <v/>
      </c>
      <c r="DM170" s="503"/>
      <c r="DN170" s="503" t="str">
        <f>IF($G170="","",IF(AND($G170&gt;=30,$AT$3&lt;=DM$7),ROUND(DM170*($AP$3+#REF!),-1),""))</f>
        <v/>
      </c>
      <c r="DO170" s="503"/>
      <c r="DP170" s="503" t="str">
        <f>IF($G170="","",IF(AND($G170&gt;=30,$AT$3&lt;=DO$7),ROUND(DO170*($AP$3+#REF!),-1),""))</f>
        <v/>
      </c>
      <c r="DQ170" s="503"/>
      <c r="DR170" s="503" t="str">
        <f>IF($G170="","",IF(AND($G170&gt;=30,$AT$3&lt;=DQ$7),ROUND(DQ170*($AP$3+#REF!),-1),""))</f>
        <v/>
      </c>
      <c r="DS170" s="503"/>
      <c r="DT170" s="503" t="str">
        <f>IF($G170="","",IF(AND($G170&gt;=30,$AT$3&lt;=DS$7),ROUND(DS170*($AP$3+#REF!),-1),""))</f>
        <v/>
      </c>
      <c r="DU170" s="503"/>
      <c r="DV170" s="503" t="str">
        <f>IF($G170="","",IF(AND($G170&gt;=30,$AT$3&lt;=DU$7),ROUND(DU170*($AP$3+#REF!),-1),""))</f>
        <v/>
      </c>
      <c r="DW170" s="503"/>
      <c r="DX170" s="503" t="str">
        <f>IF($G170="","",IF(AND($G170&gt;=30,$AT$3&lt;=DW$7),ROUND(DW170*($AP$3+#REF!),-1),""))</f>
        <v/>
      </c>
      <c r="DY170" s="503"/>
      <c r="DZ170" s="503" t="str">
        <f>IF($G170="","",IF(AND($G170&gt;=30,$AT$3&lt;=DY$7),ROUND(DY170*($AP$3+#REF!),-1),""))</f>
        <v/>
      </c>
      <c r="EA170" s="503"/>
      <c r="EB170" s="503" t="str">
        <f>IF($G170="","",IF(AND($G170&gt;=30,$AT$3&lt;=EA$7),ROUND(EA170*($AP$3+#REF!),-1),""))</f>
        <v/>
      </c>
      <c r="EC170" s="504" t="s">
        <v>621</v>
      </c>
      <c r="ED170" s="1124"/>
      <c r="EE170" s="325">
        <v>6</v>
      </c>
    </row>
    <row r="171" spans="1:135" ht="9.75" customHeight="1">
      <c r="A171" s="321" t="str">
        <f t="shared" si="37"/>
        <v/>
      </c>
      <c r="B171" s="567">
        <f>(ii!$D$13*12+V171)+1</f>
        <v>65</v>
      </c>
      <c r="C171" s="337">
        <f t="shared" si="44"/>
        <v>47330</v>
      </c>
      <c r="D171" s="484">
        <f t="shared" si="47"/>
        <v>2029</v>
      </c>
      <c r="E171" s="484">
        <f t="shared" si="45"/>
        <v>0.58333333333333337</v>
      </c>
      <c r="F171" s="484">
        <f t="shared" si="48"/>
        <v>2029.5833333333333</v>
      </c>
      <c r="G171" s="485" t="str">
        <f>IF(OR(C171&lt;$I$2,C171&gt;$J$3),"",(ii!$D$13*12+V171+1)/12)</f>
        <v/>
      </c>
      <c r="H171" s="486"/>
      <c r="I171" s="486"/>
      <c r="J171" s="487"/>
      <c r="K171" s="488"/>
      <c r="L171" s="548"/>
      <c r="M171" s="489" t="str">
        <f t="shared" si="49"/>
        <v/>
      </c>
      <c r="N171" s="490" t="s">
        <v>621</v>
      </c>
      <c r="O171" s="490" t="str">
        <f t="shared" si="42"/>
        <v/>
      </c>
      <c r="P171" s="491"/>
      <c r="Q171" s="491"/>
      <c r="R171" s="491" t="str">
        <f t="shared" si="43"/>
        <v/>
      </c>
      <c r="S171" s="528" t="str">
        <f t="shared" si="38"/>
        <v/>
      </c>
      <c r="T171" s="528" t="str">
        <f t="shared" si="36"/>
        <v/>
      </c>
      <c r="U171" s="493" t="str">
        <f>IF(H171="","",#REF!*12+#REF!+#REF!*12+#REF!)</f>
        <v/>
      </c>
      <c r="V171" s="338">
        <f>IF(ii!$J$3&gt;gg!C171,"",IF(AND((YEAR(C171)=YEAR($I$2)),MONTH(C171)=MONTH($I$2)),ii!$B$14*12+ii!$C$14+ii!$B$15*12+ii!$C$15-1,V170+1))</f>
        <v>64</v>
      </c>
      <c r="W171" s="339">
        <f t="shared" si="46"/>
        <v>5.333333333333333</v>
      </c>
      <c r="X171" s="494" t="s">
        <v>621</v>
      </c>
      <c r="Y171" s="495" t="s">
        <v>621</v>
      </c>
      <c r="Z171" s="496"/>
      <c r="AA171" s="497"/>
      <c r="AB171" s="498" t="e">
        <f t="shared" si="52"/>
        <v>#VALUE!</v>
      </c>
      <c r="AC171" s="484" t="str">
        <f t="shared" si="50"/>
        <v/>
      </c>
      <c r="AD171" s="495" t="str">
        <f t="shared" si="51"/>
        <v/>
      </c>
      <c r="AE171" s="499" t="s">
        <v>621</v>
      </c>
      <c r="AF171" s="500" t="s">
        <v>621</v>
      </c>
      <c r="AG171" s="556" t="s">
        <v>621</v>
      </c>
      <c r="AH171" s="503" t="str">
        <f>IF($G171="","",IF(AND($G171&gt;=30,$AT$3&lt;=AG$7),ROUND(AG171*($AP$3+#REF!),-1),""))</f>
        <v/>
      </c>
      <c r="AI171" s="506" t="s">
        <v>621</v>
      </c>
      <c r="AJ171" s="503" t="str">
        <f>IF($G171="","",IF(AND($G171&gt;=30,$AT$3&lt;=AI$7),ROUND(AI171*($AP$3+#REF!),-1),""))</f>
        <v/>
      </c>
      <c r="AK171" s="506" t="s">
        <v>621</v>
      </c>
      <c r="AL171" s="503" t="str">
        <f>IF($G171="","",IF(AND($G171&gt;=30,$AT$3&lt;=AK$7),ROUND(AK171*($AP$3+#REF!),-1),""))</f>
        <v/>
      </c>
      <c r="AM171" s="506" t="s">
        <v>621</v>
      </c>
      <c r="AN171" s="503" t="str">
        <f>IF($G171="","",IF(AND($G171&gt;=30,$AT$3&lt;=AM$7),ROUND(AM171*($AP$3+#REF!),-1),""))</f>
        <v/>
      </c>
      <c r="AO171" s="503" t="e">
        <v>#REF!</v>
      </c>
      <c r="AP171" s="503" t="str">
        <f>IF($G171="","",IF(AND($G171&gt;=30,$AT$3&lt;=AO$7),ROUND(AO171*($AP$3+#REF!),-1),""))</f>
        <v/>
      </c>
      <c r="AQ171" s="503" t="s">
        <v>621</v>
      </c>
      <c r="AR171" s="503" t="str">
        <f>IF($G171="","",IF(AND($G171&gt;=30,$AT$3&lt;=AQ$7),ROUND(AQ171*($AP$3+#REF!),-1),""))</f>
        <v/>
      </c>
      <c r="AS171" s="503" t="s">
        <v>621</v>
      </c>
      <c r="AT171" s="503" t="str">
        <f>IF($G171="","",IF(AND($G171&gt;=30,$AT$3&lt;=AS$7),ROUND(AS171*($AP$3+#REF!),-1),""))</f>
        <v/>
      </c>
      <c r="AU171" s="503" t="s">
        <v>621</v>
      </c>
      <c r="AV171" s="503" t="str">
        <f>IF($G171="","",IF(AND($G171&gt;=30,$AT$3&lt;=AU$7),ROUND(AU171*($AP$3+#REF!),-1),""))</f>
        <v/>
      </c>
      <c r="AW171" s="503" t="s">
        <v>621</v>
      </c>
      <c r="AX171" s="503" t="str">
        <f>IF($G171="","",IF(AND($G171&gt;=30,$AT$3&lt;=AW$7),ROUND(AW171*($AP$3+#REF!),-1),""))</f>
        <v/>
      </c>
      <c r="AY171" s="503" t="s">
        <v>621</v>
      </c>
      <c r="AZ171" s="503" t="str">
        <f>IF($G171="","",IF(AND($G171&gt;=30,$AT$3&lt;=AY$7),ROUND(AY171*($AP$3+#REF!),-1),""))</f>
        <v/>
      </c>
      <c r="BA171" s="503" t="s">
        <v>621</v>
      </c>
      <c r="BB171" s="503" t="str">
        <f>IF($G171="","",IF(AND($G171&gt;=30,$AT$3&lt;=BA$7),ROUND(BA171*($AP$3+#REF!),-1),""))</f>
        <v/>
      </c>
      <c r="BC171" s="503" t="s">
        <v>621</v>
      </c>
      <c r="BD171" s="503" t="str">
        <f>IF($G171="","",IF(AND($G171&gt;=30,$AT$3&lt;=BC$7),ROUND(BC171*($AP$3+#REF!),-1),""))</f>
        <v/>
      </c>
      <c r="BE171" s="503" t="s">
        <v>621</v>
      </c>
      <c r="BF171" s="503" t="str">
        <f>IF($G171="","",IF(AND($G171&gt;=30,$AT$3&lt;=BE$7),ROUND(BE171*($AP$3+#REF!),-1),""))</f>
        <v/>
      </c>
      <c r="BG171" s="517" t="e">
        <v>#REF!</v>
      </c>
      <c r="BH171" s="503" t="str">
        <f>IF($G171="","",IF(AND($G171&gt;=30,$AT$3&lt;=BG$7),ROUND(BG171*($AP$3+#REF!),-1),""))</f>
        <v/>
      </c>
      <c r="BI171" s="503"/>
      <c r="BJ171" s="503" t="str">
        <f>IF($G171="","",IF(AND($G171&gt;=30,$AT$3&lt;=BI$7),ROUND(BI171*($AP$3+#REF!),-1),""))</f>
        <v/>
      </c>
      <c r="BK171" s="502"/>
      <c r="BL171" s="503" t="str">
        <f>IF($G171="","",IF(AND($G171&gt;=30,$AT$3&lt;=BK$7),ROUND(BK171*($AP$3+#REF!),-1),""))</f>
        <v/>
      </c>
      <c r="BM171" s="503"/>
      <c r="BN171" s="503" t="str">
        <f>IF($G171="","",IF(AND($G171&gt;=30,$AT$3&lt;=BM$7),ROUND(BM171*($AP$3+#REF!),-1),""))</f>
        <v/>
      </c>
      <c r="BO171" s="502"/>
      <c r="BP171" s="503" t="str">
        <f>IF($G171="","",IF(AND($G171&gt;=30,$AT$3&lt;=BO$7),ROUND(BO171*($AP$3+#REF!),-1),""))</f>
        <v/>
      </c>
      <c r="BQ171" s="503"/>
      <c r="BR171" s="503" t="str">
        <f>IF($G171="","",IF(AND($G171&gt;=30,$AT$3&lt;=BQ$7),ROUND(BQ171*($AP$3+#REF!),-1),""))</f>
        <v/>
      </c>
      <c r="BS171" s="502"/>
      <c r="BT171" s="503" t="str">
        <f>IF($G171="","",IF(AND($G171&gt;=30,$AT$3&lt;=BS$7),ROUND(BS171*($AP$3+#REF!),-1),""))</f>
        <v/>
      </c>
      <c r="BU171" s="503"/>
      <c r="BV171" s="503" t="str">
        <f>IF($G171="","",IF(AND($G171&gt;=30,$AT$3&lt;=BU$7),ROUND(BU171*($AP$3+#REF!),-1),""))</f>
        <v/>
      </c>
      <c r="BW171" s="502"/>
      <c r="BX171" s="503" t="str">
        <f>IF($G171="","",IF(AND($G171&gt;=30,$AT$3&lt;=BW$7),ROUND(BW171*($AP$3+#REF!),-1),""))</f>
        <v/>
      </c>
      <c r="BY171" s="503"/>
      <c r="BZ171" s="503" t="str">
        <f>IF($G171="","",IF(AND($G171&gt;=30,$AT$3&lt;=BY$7),ROUND(BY171*($AP$3+#REF!),-1),""))</f>
        <v/>
      </c>
      <c r="CA171" s="502"/>
      <c r="CB171" s="503" t="str">
        <f>IF($G171="","",IF(AND($G171&gt;=30,$AT$3&lt;=CA$7),ROUND(CA171*($AP$3+#REF!),-1),""))</f>
        <v/>
      </c>
      <c r="CC171" s="503"/>
      <c r="CD171" s="503" t="str">
        <f>IF($G171="","",IF(AND($G171&gt;=30,$AT$3&lt;=CC$7),ROUND(CC171*($AP$3+#REF!),-1),""))</f>
        <v/>
      </c>
      <c r="CE171" s="502"/>
      <c r="CF171" s="503" t="str">
        <f>IF($G171="","",IF(AND($G171&gt;=30,$AT$3&lt;=CE$7),ROUND(CE171*($AP$3+#REF!),-1),""))</f>
        <v/>
      </c>
      <c r="CG171" s="503"/>
      <c r="CH171" s="503" t="str">
        <f>IF($G171="","",IF(AND($G171&gt;=30,$AT$3&lt;=CG$7),ROUND(CG171*($AP$3+#REF!),-1),""))</f>
        <v/>
      </c>
      <c r="CI171" s="502"/>
      <c r="CJ171" s="503" t="str">
        <f>IF($G171="","",IF(AND($G171&gt;=30,$AT$3&lt;=CI$7),ROUND(CI171*($AP$3+#REF!),-1),""))</f>
        <v/>
      </c>
      <c r="CK171" s="503"/>
      <c r="CL171" s="503" t="str">
        <f>IF($G171="","",IF(AND($G171&gt;=30,$AT$3&lt;=CK$7),ROUND(CK171*($AP$3+#REF!),-1),""))</f>
        <v/>
      </c>
      <c r="CM171" s="502"/>
      <c r="CN171" s="503" t="str">
        <f>IF($G171="","",IF(AND($G171&gt;=30,$AT$3&lt;=CM$7),ROUND(CM171*($AP$3+#REF!),-1),""))</f>
        <v/>
      </c>
      <c r="CO171" s="503"/>
      <c r="CP171" s="503" t="str">
        <f>IF($G171="","",IF(AND($G171&gt;=30,$AT$3&lt;=CO$7),ROUND(CO171*($AP$3+#REF!),-1),""))</f>
        <v/>
      </c>
      <c r="CQ171" s="502"/>
      <c r="CR171" s="503" t="str">
        <f>IF($G171="","",IF(AND($G171&gt;=30,$AT$3&lt;=CQ$7),ROUND(CQ171*($AP$3+#REF!),-1),""))</f>
        <v/>
      </c>
      <c r="CS171" s="503"/>
      <c r="CT171" s="503" t="str">
        <f>IF($G171="","",IF(AND($G171&gt;=30,$AT$3&lt;=CS$7),ROUND(CS171*($AP$3+#REF!),-1),""))</f>
        <v/>
      </c>
      <c r="CU171" s="502"/>
      <c r="CV171" s="503" t="str">
        <f>IF($G171="","",IF(AND($G171&gt;=30,$AT$3&lt;=CU$7),ROUND(CU171*($AP$3+#REF!),-1),""))</f>
        <v/>
      </c>
      <c r="CW171" s="503"/>
      <c r="CX171" s="503" t="str">
        <f>IF($G171="","",IF(AND($G171&gt;=30,$AT$3&lt;=CW$7),ROUND(CW171*($AP$3+#REF!),-1),""))</f>
        <v/>
      </c>
      <c r="CY171" s="502"/>
      <c r="CZ171" s="503" t="str">
        <f>IF($G171="","",IF(AND($G171&gt;=30,$AT$3&lt;=CY$7),ROUND(CY171*($AP$3+#REF!),-1),""))</f>
        <v/>
      </c>
      <c r="DA171" s="503"/>
      <c r="DB171" s="503" t="str">
        <f>IF($G171="","",IF(AND($G171&gt;=30,$AT$3&lt;=DA$7),ROUND(DA171*($AP$3+#REF!),-1),""))</f>
        <v/>
      </c>
      <c r="DC171" s="502"/>
      <c r="DD171" s="503" t="str">
        <f>IF($G171="","",IF(AND($G171&gt;=30,$AT$3&lt;=DC$7),ROUND(DC171*($AP$3+#REF!),-1),""))</f>
        <v/>
      </c>
      <c r="DE171" s="503"/>
      <c r="DF171" s="503" t="str">
        <f>IF($G171="","",IF(AND($G171&gt;=30,$AT$3&lt;=DE$7),ROUND(DE171*($AP$3+#REF!),-1),""))</f>
        <v/>
      </c>
      <c r="DG171" s="503"/>
      <c r="DH171" s="503" t="str">
        <f>IF($G171="","",IF(AND($G171&gt;=30,$AT$3&lt;=DG$7),ROUND(DG171*($AP$3+#REF!),-1),""))</f>
        <v/>
      </c>
      <c r="DI171" s="503"/>
      <c r="DJ171" s="503" t="str">
        <f>IF($G171="","",IF(AND($G171&gt;=30,$AT$3&lt;=DI$7),ROUND(DI171*($AP$3+#REF!),-1),""))</f>
        <v/>
      </c>
      <c r="DK171" s="503"/>
      <c r="DL171" s="503" t="str">
        <f>IF($G171="","",IF(AND($G171&gt;=30,$AT$3&lt;=DK$7),ROUND(DK171*($AP$3+#REF!),-1),""))</f>
        <v/>
      </c>
      <c r="DM171" s="503"/>
      <c r="DN171" s="503" t="str">
        <f>IF($G171="","",IF(AND($G171&gt;=30,$AT$3&lt;=DM$7),ROUND(DM171*($AP$3+#REF!),-1),""))</f>
        <v/>
      </c>
      <c r="DO171" s="503"/>
      <c r="DP171" s="503" t="str">
        <f>IF($G171="","",IF(AND($G171&gt;=30,$AT$3&lt;=DO$7),ROUND(DO171*($AP$3+#REF!),-1),""))</f>
        <v/>
      </c>
      <c r="DQ171" s="503"/>
      <c r="DR171" s="503" t="str">
        <f>IF($G171="","",IF(AND($G171&gt;=30,$AT$3&lt;=DQ$7),ROUND(DQ171*($AP$3+#REF!),-1),""))</f>
        <v/>
      </c>
      <c r="DS171" s="503"/>
      <c r="DT171" s="503" t="str">
        <f>IF($G171="","",IF(AND($G171&gt;=30,$AT$3&lt;=DS$7),ROUND(DS171*($AP$3+#REF!),-1),""))</f>
        <v/>
      </c>
      <c r="DU171" s="503"/>
      <c r="DV171" s="503" t="str">
        <f>IF($G171="","",IF(AND($G171&gt;=30,$AT$3&lt;=DU$7),ROUND(DU171*($AP$3+#REF!),-1),""))</f>
        <v/>
      </c>
      <c r="DW171" s="503"/>
      <c r="DX171" s="503" t="str">
        <f>IF($G171="","",IF(AND($G171&gt;=30,$AT$3&lt;=DW$7),ROUND(DW171*($AP$3+#REF!),-1),""))</f>
        <v/>
      </c>
      <c r="DY171" s="503"/>
      <c r="DZ171" s="503" t="str">
        <f>IF($G171="","",IF(AND($G171&gt;=30,$AT$3&lt;=DY$7),ROUND(DY171*($AP$3+#REF!),-1),""))</f>
        <v/>
      </c>
      <c r="EA171" s="503"/>
      <c r="EB171" s="503" t="str">
        <f>IF($G171="","",IF(AND($G171&gt;=30,$AT$3&lt;=EA$7),ROUND(EA171*($AP$3+#REF!),-1),""))</f>
        <v/>
      </c>
      <c r="EC171" s="504" t="s">
        <v>621</v>
      </c>
      <c r="ED171" s="1124"/>
      <c r="EE171" s="325">
        <v>7</v>
      </c>
    </row>
    <row r="172" spans="1:135" ht="9.75" customHeight="1">
      <c r="A172" s="321" t="str">
        <f t="shared" si="37"/>
        <v/>
      </c>
      <c r="B172" s="567">
        <f>(ii!$D$13*12+V172)+1</f>
        <v>66</v>
      </c>
      <c r="C172" s="337">
        <f t="shared" si="44"/>
        <v>47361</v>
      </c>
      <c r="D172" s="484">
        <f t="shared" si="47"/>
        <v>2029</v>
      </c>
      <c r="E172" s="484">
        <f t="shared" si="45"/>
        <v>0.66666666666666663</v>
      </c>
      <c r="F172" s="484">
        <f t="shared" si="48"/>
        <v>2029.6666666666667</v>
      </c>
      <c r="G172" s="485" t="str">
        <f>IF(OR(C172&lt;$I$2,C172&gt;$J$3),"",(ii!$D$13*12+V172+1)/12)</f>
        <v/>
      </c>
      <c r="H172" s="486"/>
      <c r="I172" s="486"/>
      <c r="J172" s="487"/>
      <c r="K172" s="488"/>
      <c r="L172" s="548"/>
      <c r="M172" s="489" t="str">
        <f t="shared" si="49"/>
        <v/>
      </c>
      <c r="N172" s="490" t="s">
        <v>621</v>
      </c>
      <c r="O172" s="490" t="str">
        <f t="shared" si="42"/>
        <v/>
      </c>
      <c r="P172" s="491"/>
      <c r="Q172" s="491"/>
      <c r="R172" s="491" t="str">
        <f t="shared" si="43"/>
        <v/>
      </c>
      <c r="S172" s="528" t="str">
        <f t="shared" si="38"/>
        <v/>
      </c>
      <c r="T172" s="528" t="str">
        <f t="shared" si="36"/>
        <v/>
      </c>
      <c r="U172" s="493" t="str">
        <f>IF(H172="","",#REF!*12+#REF!+#REF!*12+#REF!)</f>
        <v/>
      </c>
      <c r="V172" s="338">
        <f>IF(ii!$J$3&gt;gg!C172,"",IF(AND((YEAR(C172)=YEAR($I$2)),MONTH(C172)=MONTH($I$2)),ii!$B$14*12+ii!$C$14+ii!$B$15*12+ii!$C$15-1,V171+1))</f>
        <v>65</v>
      </c>
      <c r="W172" s="339">
        <f t="shared" si="46"/>
        <v>5.416666666666667</v>
      </c>
      <c r="X172" s="494" t="s">
        <v>621</v>
      </c>
      <c r="Y172" s="495" t="s">
        <v>621</v>
      </c>
      <c r="Z172" s="496"/>
      <c r="AA172" s="497"/>
      <c r="AB172" s="498" t="e">
        <f t="shared" si="52"/>
        <v>#VALUE!</v>
      </c>
      <c r="AC172" s="484" t="str">
        <f t="shared" si="50"/>
        <v/>
      </c>
      <c r="AD172" s="495" t="str">
        <f t="shared" si="51"/>
        <v/>
      </c>
      <c r="AE172" s="499" t="s">
        <v>621</v>
      </c>
      <c r="AF172" s="500" t="s">
        <v>621</v>
      </c>
      <c r="AG172" s="556" t="s">
        <v>621</v>
      </c>
      <c r="AH172" s="503" t="str">
        <f>IF($G172="","",IF(AND($G172&gt;=30,$AT$3&lt;=AG$7),ROUND(AG172*($AP$3+#REF!),-1),""))</f>
        <v/>
      </c>
      <c r="AI172" s="506" t="s">
        <v>621</v>
      </c>
      <c r="AJ172" s="503" t="str">
        <f>IF($G172="","",IF(AND($G172&gt;=30,$AT$3&lt;=AI$7),ROUND(AI172*($AP$3+#REF!),-1),""))</f>
        <v/>
      </c>
      <c r="AK172" s="506" t="s">
        <v>621</v>
      </c>
      <c r="AL172" s="503" t="str">
        <f>IF($G172="","",IF(AND($G172&gt;=30,$AT$3&lt;=AK$7),ROUND(AK172*($AP$3+#REF!),-1),""))</f>
        <v/>
      </c>
      <c r="AM172" s="506" t="s">
        <v>621</v>
      </c>
      <c r="AN172" s="503" t="str">
        <f>IF($G172="","",IF(AND($G172&gt;=30,$AT$3&lt;=AM$7),ROUND(AM172*($AP$3+#REF!),-1),""))</f>
        <v/>
      </c>
      <c r="AO172" s="503" t="e">
        <v>#REF!</v>
      </c>
      <c r="AP172" s="503" t="str">
        <f>IF($G172="","",IF(AND($G172&gt;=30,$AT$3&lt;=AO$7),ROUND(AO172*($AP$3+#REF!),-1),""))</f>
        <v/>
      </c>
      <c r="AQ172" s="503" t="s">
        <v>621</v>
      </c>
      <c r="AR172" s="503" t="str">
        <f>IF($G172="","",IF(AND($G172&gt;=30,$AT$3&lt;=AQ$7),ROUND(AQ172*($AP$3+#REF!),-1),""))</f>
        <v/>
      </c>
      <c r="AS172" s="503" t="s">
        <v>621</v>
      </c>
      <c r="AT172" s="503" t="str">
        <f>IF($G172="","",IF(AND($G172&gt;=30,$AT$3&lt;=AS$7),ROUND(AS172*($AP$3+#REF!),-1),""))</f>
        <v/>
      </c>
      <c r="AU172" s="503" t="s">
        <v>621</v>
      </c>
      <c r="AV172" s="503" t="str">
        <f>IF($G172="","",IF(AND($G172&gt;=30,$AT$3&lt;=AU$7),ROUND(AU172*($AP$3+#REF!),-1),""))</f>
        <v/>
      </c>
      <c r="AW172" s="503" t="s">
        <v>621</v>
      </c>
      <c r="AX172" s="503" t="str">
        <f>IF($G172="","",IF(AND($G172&gt;=30,$AT$3&lt;=AW$7),ROUND(AW172*($AP$3+#REF!),-1),""))</f>
        <v/>
      </c>
      <c r="AY172" s="503" t="s">
        <v>621</v>
      </c>
      <c r="AZ172" s="503" t="str">
        <f>IF($G172="","",IF(AND($G172&gt;=30,$AT$3&lt;=AY$7),ROUND(AY172*($AP$3+#REF!),-1),""))</f>
        <v/>
      </c>
      <c r="BA172" s="503" t="s">
        <v>621</v>
      </c>
      <c r="BB172" s="503" t="str">
        <f>IF($G172="","",IF(AND($G172&gt;=30,$AT$3&lt;=BA$7),ROUND(BA172*($AP$3+#REF!),-1),""))</f>
        <v/>
      </c>
      <c r="BC172" s="503" t="s">
        <v>621</v>
      </c>
      <c r="BD172" s="503" t="str">
        <f>IF($G172="","",IF(AND($G172&gt;=30,$AT$3&lt;=BC$7),ROUND(BC172*($AP$3+#REF!),-1),""))</f>
        <v/>
      </c>
      <c r="BE172" s="503" t="s">
        <v>621</v>
      </c>
      <c r="BF172" s="503" t="str">
        <f>IF($G172="","",IF(AND($G172&gt;=30,$AT$3&lt;=BE$7),ROUND(BE172*($AP$3+#REF!),-1),""))</f>
        <v/>
      </c>
      <c r="BG172" s="517" t="e">
        <v>#REF!</v>
      </c>
      <c r="BH172" s="503" t="str">
        <f>IF($G172="","",IF(AND($G172&gt;=30,$AT$3&lt;=BG$7),ROUND(BG172*($AP$3+#REF!),-1),""))</f>
        <v/>
      </c>
      <c r="BI172" s="503"/>
      <c r="BJ172" s="503" t="str">
        <f>IF($G172="","",IF(AND($G172&gt;=30,$AT$3&lt;=BI$7),ROUND(BI172*($AP$3+#REF!),-1),""))</f>
        <v/>
      </c>
      <c r="BK172" s="502"/>
      <c r="BL172" s="503" t="str">
        <f>IF($G172="","",IF(AND($G172&gt;=30,$AT$3&lt;=BK$7),ROUND(BK172*($AP$3+#REF!),-1),""))</f>
        <v/>
      </c>
      <c r="BM172" s="503"/>
      <c r="BN172" s="503" t="str">
        <f>IF($G172="","",IF(AND($G172&gt;=30,$AT$3&lt;=BM$7),ROUND(BM172*($AP$3+#REF!),-1),""))</f>
        <v/>
      </c>
      <c r="BO172" s="502"/>
      <c r="BP172" s="503" t="str">
        <f>IF($G172="","",IF(AND($G172&gt;=30,$AT$3&lt;=BO$7),ROUND(BO172*($AP$3+#REF!),-1),""))</f>
        <v/>
      </c>
      <c r="BQ172" s="503"/>
      <c r="BR172" s="503" t="str">
        <f>IF($G172="","",IF(AND($G172&gt;=30,$AT$3&lt;=BQ$7),ROUND(BQ172*($AP$3+#REF!),-1),""))</f>
        <v/>
      </c>
      <c r="BS172" s="502"/>
      <c r="BT172" s="503" t="str">
        <f>IF($G172="","",IF(AND($G172&gt;=30,$AT$3&lt;=BS$7),ROUND(BS172*($AP$3+#REF!),-1),""))</f>
        <v/>
      </c>
      <c r="BU172" s="503"/>
      <c r="BV172" s="503" t="str">
        <f>IF($G172="","",IF(AND($G172&gt;=30,$AT$3&lt;=BU$7),ROUND(BU172*($AP$3+#REF!),-1),""))</f>
        <v/>
      </c>
      <c r="BW172" s="502"/>
      <c r="BX172" s="503" t="str">
        <f>IF($G172="","",IF(AND($G172&gt;=30,$AT$3&lt;=BW$7),ROUND(BW172*($AP$3+#REF!),-1),""))</f>
        <v/>
      </c>
      <c r="BY172" s="503"/>
      <c r="BZ172" s="503" t="str">
        <f>IF($G172="","",IF(AND($G172&gt;=30,$AT$3&lt;=BY$7),ROUND(BY172*($AP$3+#REF!),-1),""))</f>
        <v/>
      </c>
      <c r="CA172" s="502"/>
      <c r="CB172" s="503" t="str">
        <f>IF($G172="","",IF(AND($G172&gt;=30,$AT$3&lt;=CA$7),ROUND(CA172*($AP$3+#REF!),-1),""))</f>
        <v/>
      </c>
      <c r="CC172" s="503"/>
      <c r="CD172" s="503" t="str">
        <f>IF($G172="","",IF(AND($G172&gt;=30,$AT$3&lt;=CC$7),ROUND(CC172*($AP$3+#REF!),-1),""))</f>
        <v/>
      </c>
      <c r="CE172" s="502"/>
      <c r="CF172" s="503" t="str">
        <f>IF($G172="","",IF(AND($G172&gt;=30,$AT$3&lt;=CE$7),ROUND(CE172*($AP$3+#REF!),-1),""))</f>
        <v/>
      </c>
      <c r="CG172" s="503"/>
      <c r="CH172" s="503" t="str">
        <f>IF($G172="","",IF(AND($G172&gt;=30,$AT$3&lt;=CG$7),ROUND(CG172*($AP$3+#REF!),-1),""))</f>
        <v/>
      </c>
      <c r="CI172" s="502"/>
      <c r="CJ172" s="503" t="str">
        <f>IF($G172="","",IF(AND($G172&gt;=30,$AT$3&lt;=CI$7),ROUND(CI172*($AP$3+#REF!),-1),""))</f>
        <v/>
      </c>
      <c r="CK172" s="503"/>
      <c r="CL172" s="503" t="str">
        <f>IF($G172="","",IF(AND($G172&gt;=30,$AT$3&lt;=CK$7),ROUND(CK172*($AP$3+#REF!),-1),""))</f>
        <v/>
      </c>
      <c r="CM172" s="502"/>
      <c r="CN172" s="503" t="str">
        <f>IF($G172="","",IF(AND($G172&gt;=30,$AT$3&lt;=CM$7),ROUND(CM172*($AP$3+#REF!),-1),""))</f>
        <v/>
      </c>
      <c r="CO172" s="503"/>
      <c r="CP172" s="503" t="str">
        <f>IF($G172="","",IF(AND($G172&gt;=30,$AT$3&lt;=CO$7),ROUND(CO172*($AP$3+#REF!),-1),""))</f>
        <v/>
      </c>
      <c r="CQ172" s="502"/>
      <c r="CR172" s="503" t="str">
        <f>IF($G172="","",IF(AND($G172&gt;=30,$AT$3&lt;=CQ$7),ROUND(CQ172*($AP$3+#REF!),-1),""))</f>
        <v/>
      </c>
      <c r="CS172" s="503"/>
      <c r="CT172" s="503" t="str">
        <f>IF($G172="","",IF(AND($G172&gt;=30,$AT$3&lt;=CS$7),ROUND(CS172*($AP$3+#REF!),-1),""))</f>
        <v/>
      </c>
      <c r="CU172" s="502"/>
      <c r="CV172" s="503" t="str">
        <f>IF($G172="","",IF(AND($G172&gt;=30,$AT$3&lt;=CU$7),ROUND(CU172*($AP$3+#REF!),-1),""))</f>
        <v/>
      </c>
      <c r="CW172" s="503"/>
      <c r="CX172" s="503" t="str">
        <f>IF($G172="","",IF(AND($G172&gt;=30,$AT$3&lt;=CW$7),ROUND(CW172*($AP$3+#REF!),-1),""))</f>
        <v/>
      </c>
      <c r="CY172" s="502"/>
      <c r="CZ172" s="503" t="str">
        <f>IF($G172="","",IF(AND($G172&gt;=30,$AT$3&lt;=CY$7),ROUND(CY172*($AP$3+#REF!),-1),""))</f>
        <v/>
      </c>
      <c r="DA172" s="503"/>
      <c r="DB172" s="503" t="str">
        <f>IF($G172="","",IF(AND($G172&gt;=30,$AT$3&lt;=DA$7),ROUND(DA172*($AP$3+#REF!),-1),""))</f>
        <v/>
      </c>
      <c r="DC172" s="502"/>
      <c r="DD172" s="503" t="str">
        <f>IF($G172="","",IF(AND($G172&gt;=30,$AT$3&lt;=DC$7),ROUND(DC172*($AP$3+#REF!),-1),""))</f>
        <v/>
      </c>
      <c r="DE172" s="503"/>
      <c r="DF172" s="503" t="str">
        <f>IF($G172="","",IF(AND($G172&gt;=30,$AT$3&lt;=DE$7),ROUND(DE172*($AP$3+#REF!),-1),""))</f>
        <v/>
      </c>
      <c r="DG172" s="503"/>
      <c r="DH172" s="503" t="str">
        <f>IF($G172="","",IF(AND($G172&gt;=30,$AT$3&lt;=DG$7),ROUND(DG172*($AP$3+#REF!),-1),""))</f>
        <v/>
      </c>
      <c r="DI172" s="503"/>
      <c r="DJ172" s="503" t="str">
        <f>IF($G172="","",IF(AND($G172&gt;=30,$AT$3&lt;=DI$7),ROUND(DI172*($AP$3+#REF!),-1),""))</f>
        <v/>
      </c>
      <c r="DK172" s="503"/>
      <c r="DL172" s="503" t="str">
        <f>IF($G172="","",IF(AND($G172&gt;=30,$AT$3&lt;=DK$7),ROUND(DK172*($AP$3+#REF!),-1),""))</f>
        <v/>
      </c>
      <c r="DM172" s="503"/>
      <c r="DN172" s="503" t="str">
        <f>IF($G172="","",IF(AND($G172&gt;=30,$AT$3&lt;=DM$7),ROUND(DM172*($AP$3+#REF!),-1),""))</f>
        <v/>
      </c>
      <c r="DO172" s="503"/>
      <c r="DP172" s="503" t="str">
        <f>IF($G172="","",IF(AND($G172&gt;=30,$AT$3&lt;=DO$7),ROUND(DO172*($AP$3+#REF!),-1),""))</f>
        <v/>
      </c>
      <c r="DQ172" s="503"/>
      <c r="DR172" s="503" t="str">
        <f>IF($G172="","",IF(AND($G172&gt;=30,$AT$3&lt;=DQ$7),ROUND(DQ172*($AP$3+#REF!),-1),""))</f>
        <v/>
      </c>
      <c r="DS172" s="503"/>
      <c r="DT172" s="503" t="str">
        <f>IF($G172="","",IF(AND($G172&gt;=30,$AT$3&lt;=DS$7),ROUND(DS172*($AP$3+#REF!),-1),""))</f>
        <v/>
      </c>
      <c r="DU172" s="503"/>
      <c r="DV172" s="503" t="str">
        <f>IF($G172="","",IF(AND($G172&gt;=30,$AT$3&lt;=DU$7),ROUND(DU172*($AP$3+#REF!),-1),""))</f>
        <v/>
      </c>
      <c r="DW172" s="503"/>
      <c r="DX172" s="503" t="str">
        <f>IF($G172="","",IF(AND($G172&gt;=30,$AT$3&lt;=DW$7),ROUND(DW172*($AP$3+#REF!),-1),""))</f>
        <v/>
      </c>
      <c r="DY172" s="503"/>
      <c r="DZ172" s="503" t="str">
        <f>IF($G172="","",IF(AND($G172&gt;=30,$AT$3&lt;=DY$7),ROUND(DY172*($AP$3+#REF!),-1),""))</f>
        <v/>
      </c>
      <c r="EA172" s="503"/>
      <c r="EB172" s="503" t="str">
        <f>IF($G172="","",IF(AND($G172&gt;=30,$AT$3&lt;=EA$7),ROUND(EA172*($AP$3+#REF!),-1),""))</f>
        <v/>
      </c>
      <c r="EC172" s="504" t="s">
        <v>621</v>
      </c>
      <c r="ED172" s="1124"/>
      <c r="EE172" s="325">
        <v>8</v>
      </c>
    </row>
    <row r="173" spans="1:135" ht="9.75" customHeight="1">
      <c r="A173" s="321" t="str">
        <f t="shared" si="37"/>
        <v/>
      </c>
      <c r="B173" s="567">
        <f>(ii!$D$13*12+V173)+1</f>
        <v>67</v>
      </c>
      <c r="C173" s="337">
        <f t="shared" si="44"/>
        <v>47391</v>
      </c>
      <c r="D173" s="484">
        <f t="shared" si="47"/>
        <v>2029</v>
      </c>
      <c r="E173" s="484">
        <f t="shared" si="45"/>
        <v>0.75</v>
      </c>
      <c r="F173" s="484">
        <f t="shared" si="48"/>
        <v>2029.75</v>
      </c>
      <c r="G173" s="485" t="str">
        <f>IF(OR(C173&lt;$I$2,C173&gt;$J$3),"",(ii!$D$13*12+V173+1)/12)</f>
        <v/>
      </c>
      <c r="H173" s="486"/>
      <c r="I173" s="486"/>
      <c r="J173" s="487"/>
      <c r="K173" s="488"/>
      <c r="L173" s="548"/>
      <c r="M173" s="489" t="str">
        <f t="shared" si="49"/>
        <v/>
      </c>
      <c r="N173" s="490" t="s">
        <v>621</v>
      </c>
      <c r="O173" s="490" t="str">
        <f t="shared" si="42"/>
        <v/>
      </c>
      <c r="P173" s="491"/>
      <c r="Q173" s="491"/>
      <c r="R173" s="491" t="str">
        <f t="shared" si="43"/>
        <v/>
      </c>
      <c r="S173" s="528" t="str">
        <f t="shared" si="38"/>
        <v/>
      </c>
      <c r="T173" s="528" t="str">
        <f t="shared" si="36"/>
        <v/>
      </c>
      <c r="U173" s="493" t="str">
        <f>IF(H173="","",#REF!*12+#REF!+#REF!*12+#REF!)</f>
        <v/>
      </c>
      <c r="V173" s="338">
        <f>IF(ii!$J$3&gt;gg!C173,"",IF(AND((YEAR(C173)=YEAR($I$2)),MONTH(C173)=MONTH($I$2)),ii!$B$14*12+ii!$C$14+ii!$B$15*12+ii!$C$15-1,V172+1))</f>
        <v>66</v>
      </c>
      <c r="W173" s="339">
        <f t="shared" si="46"/>
        <v>5.5</v>
      </c>
      <c r="X173" s="494" t="s">
        <v>621</v>
      </c>
      <c r="Y173" s="495" t="s">
        <v>621</v>
      </c>
      <c r="Z173" s="496"/>
      <c r="AA173" s="497"/>
      <c r="AB173" s="498" t="e">
        <f t="shared" si="52"/>
        <v>#VALUE!</v>
      </c>
      <c r="AC173" s="484" t="str">
        <f t="shared" si="50"/>
        <v/>
      </c>
      <c r="AD173" s="495" t="str">
        <f t="shared" si="51"/>
        <v/>
      </c>
      <c r="AE173" s="499" t="s">
        <v>621</v>
      </c>
      <c r="AF173" s="500" t="s">
        <v>621</v>
      </c>
      <c r="AG173" s="556" t="s">
        <v>621</v>
      </c>
      <c r="AH173" s="503" t="str">
        <f>IF($G173="","",IF(AND($G173&gt;=30,$AT$3&lt;=AG$7),ROUND(AG173*($AP$3+#REF!),-1),""))</f>
        <v/>
      </c>
      <c r="AI173" s="506" t="s">
        <v>621</v>
      </c>
      <c r="AJ173" s="503" t="str">
        <f>IF($G173="","",IF(AND($G173&gt;=30,$AT$3&lt;=AI$7),ROUND(AI173*($AP$3+#REF!),-1),""))</f>
        <v/>
      </c>
      <c r="AK173" s="506" t="s">
        <v>621</v>
      </c>
      <c r="AL173" s="503" t="str">
        <f>IF($G173="","",IF(AND($G173&gt;=30,$AT$3&lt;=AK$7),ROUND(AK173*($AP$3+#REF!),-1),""))</f>
        <v/>
      </c>
      <c r="AM173" s="506" t="s">
        <v>621</v>
      </c>
      <c r="AN173" s="503" t="str">
        <f>IF($G173="","",IF(AND($G173&gt;=30,$AT$3&lt;=AM$7),ROUND(AM173*($AP$3+#REF!),-1),""))</f>
        <v/>
      </c>
      <c r="AO173" s="503" t="e">
        <v>#REF!</v>
      </c>
      <c r="AP173" s="503" t="str">
        <f>IF($G173="","",IF(AND($G173&gt;=30,$AT$3&lt;=AO$7),ROUND(AO173*($AP$3+#REF!),-1),""))</f>
        <v/>
      </c>
      <c r="AQ173" s="503" t="s">
        <v>621</v>
      </c>
      <c r="AR173" s="503" t="str">
        <f>IF($G173="","",IF(AND($G173&gt;=30,$AT$3&lt;=AQ$7),ROUND(AQ173*($AP$3+#REF!),-1),""))</f>
        <v/>
      </c>
      <c r="AS173" s="503" t="s">
        <v>621</v>
      </c>
      <c r="AT173" s="503" t="str">
        <f>IF($G173="","",IF(AND($G173&gt;=30,$AT$3&lt;=AS$7),ROUND(AS173*($AP$3+#REF!),-1),""))</f>
        <v/>
      </c>
      <c r="AU173" s="503" t="s">
        <v>621</v>
      </c>
      <c r="AV173" s="503" t="str">
        <f>IF($G173="","",IF(AND($G173&gt;=30,$AT$3&lt;=AU$7),ROUND(AU173*($AP$3+#REF!),-1),""))</f>
        <v/>
      </c>
      <c r="AW173" s="503" t="s">
        <v>621</v>
      </c>
      <c r="AX173" s="503" t="str">
        <f>IF($G173="","",IF(AND($G173&gt;=30,$AT$3&lt;=AW$7),ROUND(AW173*($AP$3+#REF!),-1),""))</f>
        <v/>
      </c>
      <c r="AY173" s="503" t="s">
        <v>621</v>
      </c>
      <c r="AZ173" s="503" t="str">
        <f>IF($G173="","",IF(AND($G173&gt;=30,$AT$3&lt;=AY$7),ROUND(AY173*($AP$3+#REF!),-1),""))</f>
        <v/>
      </c>
      <c r="BA173" s="503" t="s">
        <v>621</v>
      </c>
      <c r="BB173" s="503" t="str">
        <f>IF($G173="","",IF(AND($G173&gt;=30,$AT$3&lt;=BA$7),ROUND(BA173*($AP$3+#REF!),-1),""))</f>
        <v/>
      </c>
      <c r="BC173" s="503" t="s">
        <v>621</v>
      </c>
      <c r="BD173" s="503" t="str">
        <f>IF($G173="","",IF(AND($G173&gt;=30,$AT$3&lt;=BC$7),ROUND(BC173*($AP$3+#REF!),-1),""))</f>
        <v/>
      </c>
      <c r="BE173" s="503" t="s">
        <v>621</v>
      </c>
      <c r="BF173" s="503" t="str">
        <f>IF($G173="","",IF(AND($G173&gt;=30,$AT$3&lt;=BE$7),ROUND(BE173*($AP$3+#REF!),-1),""))</f>
        <v/>
      </c>
      <c r="BG173" s="517" t="e">
        <v>#REF!</v>
      </c>
      <c r="BH173" s="503" t="str">
        <f>IF($G173="","",IF(AND($G173&gt;=30,$AT$3&lt;=BG$7),ROUND(BG173*($AP$3+#REF!),-1),""))</f>
        <v/>
      </c>
      <c r="BI173" s="503"/>
      <c r="BJ173" s="503" t="str">
        <f>IF($G173="","",IF(AND($G173&gt;=30,$AT$3&lt;=BI$7),ROUND(BI173*($AP$3+#REF!),-1),""))</f>
        <v/>
      </c>
      <c r="BK173" s="502"/>
      <c r="BL173" s="503" t="str">
        <f>IF($G173="","",IF(AND($G173&gt;=30,$AT$3&lt;=BK$7),ROUND(BK173*($AP$3+#REF!),-1),""))</f>
        <v/>
      </c>
      <c r="BM173" s="503"/>
      <c r="BN173" s="503" t="str">
        <f>IF($G173="","",IF(AND($G173&gt;=30,$AT$3&lt;=BM$7),ROUND(BM173*($AP$3+#REF!),-1),""))</f>
        <v/>
      </c>
      <c r="BO173" s="502"/>
      <c r="BP173" s="503" t="str">
        <f>IF($G173="","",IF(AND($G173&gt;=30,$AT$3&lt;=BO$7),ROUND(BO173*($AP$3+#REF!),-1),""))</f>
        <v/>
      </c>
      <c r="BQ173" s="503"/>
      <c r="BR173" s="503" t="str">
        <f>IF($G173="","",IF(AND($G173&gt;=30,$AT$3&lt;=BQ$7),ROUND(BQ173*($AP$3+#REF!),-1),""))</f>
        <v/>
      </c>
      <c r="BS173" s="502"/>
      <c r="BT173" s="503" t="str">
        <f>IF($G173="","",IF(AND($G173&gt;=30,$AT$3&lt;=BS$7),ROUND(BS173*($AP$3+#REF!),-1),""))</f>
        <v/>
      </c>
      <c r="BU173" s="503"/>
      <c r="BV173" s="503" t="str">
        <f>IF($G173="","",IF(AND($G173&gt;=30,$AT$3&lt;=BU$7),ROUND(BU173*($AP$3+#REF!),-1),""))</f>
        <v/>
      </c>
      <c r="BW173" s="502"/>
      <c r="BX173" s="503" t="str">
        <f>IF($G173="","",IF(AND($G173&gt;=30,$AT$3&lt;=BW$7),ROUND(BW173*($AP$3+#REF!),-1),""))</f>
        <v/>
      </c>
      <c r="BY173" s="503"/>
      <c r="BZ173" s="503" t="str">
        <f>IF($G173="","",IF(AND($G173&gt;=30,$AT$3&lt;=BY$7),ROUND(BY173*($AP$3+#REF!),-1),""))</f>
        <v/>
      </c>
      <c r="CA173" s="502"/>
      <c r="CB173" s="503" t="str">
        <f>IF($G173="","",IF(AND($G173&gt;=30,$AT$3&lt;=CA$7),ROUND(CA173*($AP$3+#REF!),-1),""))</f>
        <v/>
      </c>
      <c r="CC173" s="503"/>
      <c r="CD173" s="503" t="str">
        <f>IF($G173="","",IF(AND($G173&gt;=30,$AT$3&lt;=CC$7),ROUND(CC173*($AP$3+#REF!),-1),""))</f>
        <v/>
      </c>
      <c r="CE173" s="502"/>
      <c r="CF173" s="503" t="str">
        <f>IF($G173="","",IF(AND($G173&gt;=30,$AT$3&lt;=CE$7),ROUND(CE173*($AP$3+#REF!),-1),""))</f>
        <v/>
      </c>
      <c r="CG173" s="503"/>
      <c r="CH173" s="503" t="str">
        <f>IF($G173="","",IF(AND($G173&gt;=30,$AT$3&lt;=CG$7),ROUND(CG173*($AP$3+#REF!),-1),""))</f>
        <v/>
      </c>
      <c r="CI173" s="502"/>
      <c r="CJ173" s="503" t="str">
        <f>IF($G173="","",IF(AND($G173&gt;=30,$AT$3&lt;=CI$7),ROUND(CI173*($AP$3+#REF!),-1),""))</f>
        <v/>
      </c>
      <c r="CK173" s="503"/>
      <c r="CL173" s="503" t="str">
        <f>IF($G173="","",IF(AND($G173&gt;=30,$AT$3&lt;=CK$7),ROUND(CK173*($AP$3+#REF!),-1),""))</f>
        <v/>
      </c>
      <c r="CM173" s="502"/>
      <c r="CN173" s="503" t="str">
        <f>IF($G173="","",IF(AND($G173&gt;=30,$AT$3&lt;=CM$7),ROUND(CM173*($AP$3+#REF!),-1),""))</f>
        <v/>
      </c>
      <c r="CO173" s="503"/>
      <c r="CP173" s="503" t="str">
        <f>IF($G173="","",IF(AND($G173&gt;=30,$AT$3&lt;=CO$7),ROUND(CO173*($AP$3+#REF!),-1),""))</f>
        <v/>
      </c>
      <c r="CQ173" s="502"/>
      <c r="CR173" s="503" t="str">
        <f>IF($G173="","",IF(AND($G173&gt;=30,$AT$3&lt;=CQ$7),ROUND(CQ173*($AP$3+#REF!),-1),""))</f>
        <v/>
      </c>
      <c r="CS173" s="503"/>
      <c r="CT173" s="503" t="str">
        <f>IF($G173="","",IF(AND($G173&gt;=30,$AT$3&lt;=CS$7),ROUND(CS173*($AP$3+#REF!),-1),""))</f>
        <v/>
      </c>
      <c r="CU173" s="502"/>
      <c r="CV173" s="503" t="str">
        <f>IF($G173="","",IF(AND($G173&gt;=30,$AT$3&lt;=CU$7),ROUND(CU173*($AP$3+#REF!),-1),""))</f>
        <v/>
      </c>
      <c r="CW173" s="503"/>
      <c r="CX173" s="503" t="str">
        <f>IF($G173="","",IF(AND($G173&gt;=30,$AT$3&lt;=CW$7),ROUND(CW173*($AP$3+#REF!),-1),""))</f>
        <v/>
      </c>
      <c r="CY173" s="502"/>
      <c r="CZ173" s="503" t="str">
        <f>IF($G173="","",IF(AND($G173&gt;=30,$AT$3&lt;=CY$7),ROUND(CY173*($AP$3+#REF!),-1),""))</f>
        <v/>
      </c>
      <c r="DA173" s="503"/>
      <c r="DB173" s="503" t="str">
        <f>IF($G173="","",IF(AND($G173&gt;=30,$AT$3&lt;=DA$7),ROUND(DA173*($AP$3+#REF!),-1),""))</f>
        <v/>
      </c>
      <c r="DC173" s="502"/>
      <c r="DD173" s="503" t="str">
        <f>IF($G173="","",IF(AND($G173&gt;=30,$AT$3&lt;=DC$7),ROUND(DC173*($AP$3+#REF!),-1),""))</f>
        <v/>
      </c>
      <c r="DE173" s="503"/>
      <c r="DF173" s="503" t="str">
        <f>IF($G173="","",IF(AND($G173&gt;=30,$AT$3&lt;=DE$7),ROUND(DE173*($AP$3+#REF!),-1),""))</f>
        <v/>
      </c>
      <c r="DG173" s="503"/>
      <c r="DH173" s="503" t="str">
        <f>IF($G173="","",IF(AND($G173&gt;=30,$AT$3&lt;=DG$7),ROUND(DG173*($AP$3+#REF!),-1),""))</f>
        <v/>
      </c>
      <c r="DI173" s="503"/>
      <c r="DJ173" s="503" t="str">
        <f>IF($G173="","",IF(AND($G173&gt;=30,$AT$3&lt;=DI$7),ROUND(DI173*($AP$3+#REF!),-1),""))</f>
        <v/>
      </c>
      <c r="DK173" s="503"/>
      <c r="DL173" s="503" t="str">
        <f>IF($G173="","",IF(AND($G173&gt;=30,$AT$3&lt;=DK$7),ROUND(DK173*($AP$3+#REF!),-1),""))</f>
        <v/>
      </c>
      <c r="DM173" s="503"/>
      <c r="DN173" s="503" t="str">
        <f>IF($G173="","",IF(AND($G173&gt;=30,$AT$3&lt;=DM$7),ROUND(DM173*($AP$3+#REF!),-1),""))</f>
        <v/>
      </c>
      <c r="DO173" s="503"/>
      <c r="DP173" s="503" t="str">
        <f>IF($G173="","",IF(AND($G173&gt;=30,$AT$3&lt;=DO$7),ROUND(DO173*($AP$3+#REF!),-1),""))</f>
        <v/>
      </c>
      <c r="DQ173" s="503"/>
      <c r="DR173" s="503" t="str">
        <f>IF($G173="","",IF(AND($G173&gt;=30,$AT$3&lt;=DQ$7),ROUND(DQ173*($AP$3+#REF!),-1),""))</f>
        <v/>
      </c>
      <c r="DS173" s="503"/>
      <c r="DT173" s="503" t="str">
        <f>IF($G173="","",IF(AND($G173&gt;=30,$AT$3&lt;=DS$7),ROUND(DS173*($AP$3+#REF!),-1),""))</f>
        <v/>
      </c>
      <c r="DU173" s="503"/>
      <c r="DV173" s="503" t="str">
        <f>IF($G173="","",IF(AND($G173&gt;=30,$AT$3&lt;=DU$7),ROUND(DU173*($AP$3+#REF!),-1),""))</f>
        <v/>
      </c>
      <c r="DW173" s="503"/>
      <c r="DX173" s="503" t="str">
        <f>IF($G173="","",IF(AND($G173&gt;=30,$AT$3&lt;=DW$7),ROUND(DW173*($AP$3+#REF!),-1),""))</f>
        <v/>
      </c>
      <c r="DY173" s="503"/>
      <c r="DZ173" s="503" t="str">
        <f>IF($G173="","",IF(AND($G173&gt;=30,$AT$3&lt;=DY$7),ROUND(DY173*($AP$3+#REF!),-1),""))</f>
        <v/>
      </c>
      <c r="EA173" s="503"/>
      <c r="EB173" s="503" t="str">
        <f>IF($G173="","",IF(AND($G173&gt;=30,$AT$3&lt;=EA$7),ROUND(EA173*($AP$3+#REF!),-1),""))</f>
        <v/>
      </c>
      <c r="EC173" s="504" t="s">
        <v>621</v>
      </c>
      <c r="ED173" s="1124"/>
      <c r="EE173" s="325">
        <v>9</v>
      </c>
    </row>
    <row r="174" spans="1:135" ht="9.75" customHeight="1">
      <c r="A174" s="321" t="str">
        <f t="shared" si="37"/>
        <v/>
      </c>
      <c r="B174" s="567">
        <f>(ii!$D$13*12+V174)+1</f>
        <v>68</v>
      </c>
      <c r="C174" s="337">
        <f t="shared" si="44"/>
        <v>47422</v>
      </c>
      <c r="D174" s="484">
        <f t="shared" si="47"/>
        <v>2029</v>
      </c>
      <c r="E174" s="484">
        <f t="shared" si="45"/>
        <v>0.83333333333333337</v>
      </c>
      <c r="F174" s="484">
        <f t="shared" si="48"/>
        <v>2029.8333333333333</v>
      </c>
      <c r="G174" s="485" t="str">
        <f>IF(OR(C174&lt;$I$2,C174&gt;$J$3),"",(ii!$D$13*12+V174+1)/12)</f>
        <v/>
      </c>
      <c r="H174" s="486"/>
      <c r="I174" s="486"/>
      <c r="J174" s="487"/>
      <c r="K174" s="488"/>
      <c r="L174" s="548"/>
      <c r="M174" s="489" t="str">
        <f t="shared" si="49"/>
        <v/>
      </c>
      <c r="N174" s="490" t="s">
        <v>621</v>
      </c>
      <c r="O174" s="490" t="str">
        <f t="shared" si="42"/>
        <v/>
      </c>
      <c r="P174" s="491"/>
      <c r="Q174" s="491"/>
      <c r="R174" s="491" t="str">
        <f t="shared" si="43"/>
        <v/>
      </c>
      <c r="S174" s="528" t="str">
        <f t="shared" si="38"/>
        <v/>
      </c>
      <c r="T174" s="528" t="str">
        <f t="shared" si="36"/>
        <v/>
      </c>
      <c r="U174" s="493" t="str">
        <f>IF(H174="","",#REF!*12+#REF!+#REF!*12+#REF!)</f>
        <v/>
      </c>
      <c r="V174" s="338">
        <f>IF(ii!$J$3&gt;gg!C174,"",IF(AND((YEAR(C174)=YEAR($I$2)),MONTH(C174)=MONTH($I$2)),ii!$B$14*12+ii!$C$14+ii!$B$15*12+ii!$C$15-1,V173+1))</f>
        <v>67</v>
      </c>
      <c r="W174" s="339">
        <f t="shared" si="46"/>
        <v>5.583333333333333</v>
      </c>
      <c r="X174" s="494" t="s">
        <v>621</v>
      </c>
      <c r="Y174" s="495" t="s">
        <v>621</v>
      </c>
      <c r="Z174" s="496"/>
      <c r="AA174" s="497"/>
      <c r="AB174" s="498" t="e">
        <f t="shared" si="52"/>
        <v>#VALUE!</v>
      </c>
      <c r="AC174" s="484" t="str">
        <f t="shared" si="50"/>
        <v/>
      </c>
      <c r="AD174" s="495" t="str">
        <f t="shared" si="51"/>
        <v/>
      </c>
      <c r="AE174" s="499" t="s">
        <v>621</v>
      </c>
      <c r="AF174" s="500" t="s">
        <v>621</v>
      </c>
      <c r="AG174" s="556" t="s">
        <v>621</v>
      </c>
      <c r="AH174" s="503" t="str">
        <f>IF($G174="","",IF(AND($G174&gt;=30,$AT$3&lt;=AG$7),ROUND(AG174*($AP$3+#REF!),-1),""))</f>
        <v/>
      </c>
      <c r="AI174" s="506" t="s">
        <v>621</v>
      </c>
      <c r="AJ174" s="503" t="str">
        <f>IF($G174="","",IF(AND($G174&gt;=30,$AT$3&lt;=AI$7),ROUND(AI174*($AP$3+#REF!),-1),""))</f>
        <v/>
      </c>
      <c r="AK174" s="506" t="s">
        <v>621</v>
      </c>
      <c r="AL174" s="503" t="str">
        <f>IF($G174="","",IF(AND($G174&gt;=30,$AT$3&lt;=AK$7),ROUND(AK174*($AP$3+#REF!),-1),""))</f>
        <v/>
      </c>
      <c r="AM174" s="506" t="s">
        <v>621</v>
      </c>
      <c r="AN174" s="503" t="str">
        <f>IF($G174="","",IF(AND($G174&gt;=30,$AT$3&lt;=AM$7),ROUND(AM174*($AP$3+#REF!),-1),""))</f>
        <v/>
      </c>
      <c r="AO174" s="503" t="e">
        <v>#REF!</v>
      </c>
      <c r="AP174" s="503" t="str">
        <f>IF($G174="","",IF(AND($G174&gt;=30,$AT$3&lt;=AO$7),ROUND(AO174*($AP$3+#REF!),-1),""))</f>
        <v/>
      </c>
      <c r="AQ174" s="503" t="s">
        <v>621</v>
      </c>
      <c r="AR174" s="503" t="str">
        <f>IF($G174="","",IF(AND($G174&gt;=30,$AT$3&lt;=AQ$7),ROUND(AQ174*($AP$3+#REF!),-1),""))</f>
        <v/>
      </c>
      <c r="AS174" s="503" t="s">
        <v>621</v>
      </c>
      <c r="AT174" s="503" t="str">
        <f>IF($G174="","",IF(AND($G174&gt;=30,$AT$3&lt;=AS$7),ROUND(AS174*($AP$3+#REF!),-1),""))</f>
        <v/>
      </c>
      <c r="AU174" s="503" t="s">
        <v>621</v>
      </c>
      <c r="AV174" s="503" t="str">
        <f>IF($G174="","",IF(AND($G174&gt;=30,$AT$3&lt;=AU$7),ROUND(AU174*($AP$3+#REF!),-1),""))</f>
        <v/>
      </c>
      <c r="AW174" s="503" t="s">
        <v>621</v>
      </c>
      <c r="AX174" s="503" t="str">
        <f>IF($G174="","",IF(AND($G174&gt;=30,$AT$3&lt;=AW$7),ROUND(AW174*($AP$3+#REF!),-1),""))</f>
        <v/>
      </c>
      <c r="AY174" s="503" t="s">
        <v>621</v>
      </c>
      <c r="AZ174" s="503" t="str">
        <f>IF($G174="","",IF(AND($G174&gt;=30,$AT$3&lt;=AY$7),ROUND(AY174*($AP$3+#REF!),-1),""))</f>
        <v/>
      </c>
      <c r="BA174" s="503" t="s">
        <v>621</v>
      </c>
      <c r="BB174" s="503" t="str">
        <f>IF($G174="","",IF(AND($G174&gt;=30,$AT$3&lt;=BA$7),ROUND(BA174*($AP$3+#REF!),-1),""))</f>
        <v/>
      </c>
      <c r="BC174" s="503" t="s">
        <v>621</v>
      </c>
      <c r="BD174" s="503" t="str">
        <f>IF($G174="","",IF(AND($G174&gt;=30,$AT$3&lt;=BC$7),ROUND(BC174*($AP$3+#REF!),-1),""))</f>
        <v/>
      </c>
      <c r="BE174" s="503" t="s">
        <v>621</v>
      </c>
      <c r="BF174" s="503" t="str">
        <f>IF($G174="","",IF(AND($G174&gt;=30,$AT$3&lt;=BE$7),ROUND(BE174*($AP$3+#REF!),-1),""))</f>
        <v/>
      </c>
      <c r="BG174" s="517" t="e">
        <v>#REF!</v>
      </c>
      <c r="BH174" s="503" t="str">
        <f>IF($G174="","",IF(AND($G174&gt;=30,$AT$3&lt;=BG$7),ROUND(BG174*($AP$3+#REF!),-1),""))</f>
        <v/>
      </c>
      <c r="BI174" s="503"/>
      <c r="BJ174" s="503" t="str">
        <f>IF($G174="","",IF(AND($G174&gt;=30,$AT$3&lt;=BI$7),ROUND(BI174*($AP$3+#REF!),-1),""))</f>
        <v/>
      </c>
      <c r="BK174" s="502"/>
      <c r="BL174" s="503" t="str">
        <f>IF($G174="","",IF(AND($G174&gt;=30,$AT$3&lt;=BK$7),ROUND(BK174*($AP$3+#REF!),-1),""))</f>
        <v/>
      </c>
      <c r="BM174" s="503"/>
      <c r="BN174" s="503" t="str">
        <f>IF($G174="","",IF(AND($G174&gt;=30,$AT$3&lt;=BM$7),ROUND(BM174*($AP$3+#REF!),-1),""))</f>
        <v/>
      </c>
      <c r="BO174" s="502"/>
      <c r="BP174" s="503" t="str">
        <f>IF($G174="","",IF(AND($G174&gt;=30,$AT$3&lt;=BO$7),ROUND(BO174*($AP$3+#REF!),-1),""))</f>
        <v/>
      </c>
      <c r="BQ174" s="503"/>
      <c r="BR174" s="503" t="str">
        <f>IF($G174="","",IF(AND($G174&gt;=30,$AT$3&lt;=BQ$7),ROUND(BQ174*($AP$3+#REF!),-1),""))</f>
        <v/>
      </c>
      <c r="BS174" s="502"/>
      <c r="BT174" s="503" t="str">
        <f>IF($G174="","",IF(AND($G174&gt;=30,$AT$3&lt;=BS$7),ROUND(BS174*($AP$3+#REF!),-1),""))</f>
        <v/>
      </c>
      <c r="BU174" s="503"/>
      <c r="BV174" s="503" t="str">
        <f>IF($G174="","",IF(AND($G174&gt;=30,$AT$3&lt;=BU$7),ROUND(BU174*($AP$3+#REF!),-1),""))</f>
        <v/>
      </c>
      <c r="BW174" s="502"/>
      <c r="BX174" s="503" t="str">
        <f>IF($G174="","",IF(AND($G174&gt;=30,$AT$3&lt;=BW$7),ROUND(BW174*($AP$3+#REF!),-1),""))</f>
        <v/>
      </c>
      <c r="BY174" s="503"/>
      <c r="BZ174" s="503" t="str">
        <f>IF($G174="","",IF(AND($G174&gt;=30,$AT$3&lt;=BY$7),ROUND(BY174*($AP$3+#REF!),-1),""))</f>
        <v/>
      </c>
      <c r="CA174" s="502"/>
      <c r="CB174" s="503" t="str">
        <f>IF($G174="","",IF(AND($G174&gt;=30,$AT$3&lt;=CA$7),ROUND(CA174*($AP$3+#REF!),-1),""))</f>
        <v/>
      </c>
      <c r="CC174" s="503"/>
      <c r="CD174" s="503" t="str">
        <f>IF($G174="","",IF(AND($G174&gt;=30,$AT$3&lt;=CC$7),ROUND(CC174*($AP$3+#REF!),-1),""))</f>
        <v/>
      </c>
      <c r="CE174" s="502"/>
      <c r="CF174" s="503" t="str">
        <f>IF($G174="","",IF(AND($G174&gt;=30,$AT$3&lt;=CE$7),ROUND(CE174*($AP$3+#REF!),-1),""))</f>
        <v/>
      </c>
      <c r="CG174" s="503"/>
      <c r="CH174" s="503" t="str">
        <f>IF($G174="","",IF(AND($G174&gt;=30,$AT$3&lt;=CG$7),ROUND(CG174*($AP$3+#REF!),-1),""))</f>
        <v/>
      </c>
      <c r="CI174" s="502"/>
      <c r="CJ174" s="503" t="str">
        <f>IF($G174="","",IF(AND($G174&gt;=30,$AT$3&lt;=CI$7),ROUND(CI174*($AP$3+#REF!),-1),""))</f>
        <v/>
      </c>
      <c r="CK174" s="503"/>
      <c r="CL174" s="503" t="str">
        <f>IF($G174="","",IF(AND($G174&gt;=30,$AT$3&lt;=CK$7),ROUND(CK174*($AP$3+#REF!),-1),""))</f>
        <v/>
      </c>
      <c r="CM174" s="502"/>
      <c r="CN174" s="503" t="str">
        <f>IF($G174="","",IF(AND($G174&gt;=30,$AT$3&lt;=CM$7),ROUND(CM174*($AP$3+#REF!),-1),""))</f>
        <v/>
      </c>
      <c r="CO174" s="503"/>
      <c r="CP174" s="503" t="str">
        <f>IF($G174="","",IF(AND($G174&gt;=30,$AT$3&lt;=CO$7),ROUND(CO174*($AP$3+#REF!),-1),""))</f>
        <v/>
      </c>
      <c r="CQ174" s="502"/>
      <c r="CR174" s="503" t="str">
        <f>IF($G174="","",IF(AND($G174&gt;=30,$AT$3&lt;=CQ$7),ROUND(CQ174*($AP$3+#REF!),-1),""))</f>
        <v/>
      </c>
      <c r="CS174" s="503"/>
      <c r="CT174" s="503" t="str">
        <f>IF($G174="","",IF(AND($G174&gt;=30,$AT$3&lt;=CS$7),ROUND(CS174*($AP$3+#REF!),-1),""))</f>
        <v/>
      </c>
      <c r="CU174" s="502"/>
      <c r="CV174" s="503" t="str">
        <f>IF($G174="","",IF(AND($G174&gt;=30,$AT$3&lt;=CU$7),ROUND(CU174*($AP$3+#REF!),-1),""))</f>
        <v/>
      </c>
      <c r="CW174" s="503"/>
      <c r="CX174" s="503" t="str">
        <f>IF($G174="","",IF(AND($G174&gt;=30,$AT$3&lt;=CW$7),ROUND(CW174*($AP$3+#REF!),-1),""))</f>
        <v/>
      </c>
      <c r="CY174" s="502"/>
      <c r="CZ174" s="503" t="str">
        <f>IF($G174="","",IF(AND($G174&gt;=30,$AT$3&lt;=CY$7),ROUND(CY174*($AP$3+#REF!),-1),""))</f>
        <v/>
      </c>
      <c r="DA174" s="503"/>
      <c r="DB174" s="503" t="str">
        <f>IF($G174="","",IF(AND($G174&gt;=30,$AT$3&lt;=DA$7),ROUND(DA174*($AP$3+#REF!),-1),""))</f>
        <v/>
      </c>
      <c r="DC174" s="502"/>
      <c r="DD174" s="503" t="str">
        <f>IF($G174="","",IF(AND($G174&gt;=30,$AT$3&lt;=DC$7),ROUND(DC174*($AP$3+#REF!),-1),""))</f>
        <v/>
      </c>
      <c r="DE174" s="503"/>
      <c r="DF174" s="503" t="str">
        <f>IF($G174="","",IF(AND($G174&gt;=30,$AT$3&lt;=DE$7),ROUND(DE174*($AP$3+#REF!),-1),""))</f>
        <v/>
      </c>
      <c r="DG174" s="503"/>
      <c r="DH174" s="503" t="str">
        <f>IF($G174="","",IF(AND($G174&gt;=30,$AT$3&lt;=DG$7),ROUND(DG174*($AP$3+#REF!),-1),""))</f>
        <v/>
      </c>
      <c r="DI174" s="503"/>
      <c r="DJ174" s="503" t="str">
        <f>IF($G174="","",IF(AND($G174&gt;=30,$AT$3&lt;=DI$7),ROUND(DI174*($AP$3+#REF!),-1),""))</f>
        <v/>
      </c>
      <c r="DK174" s="503"/>
      <c r="DL174" s="503" t="str">
        <f>IF($G174="","",IF(AND($G174&gt;=30,$AT$3&lt;=DK$7),ROUND(DK174*($AP$3+#REF!),-1),""))</f>
        <v/>
      </c>
      <c r="DM174" s="503"/>
      <c r="DN174" s="503" t="str">
        <f>IF($G174="","",IF(AND($G174&gt;=30,$AT$3&lt;=DM$7),ROUND(DM174*($AP$3+#REF!),-1),""))</f>
        <v/>
      </c>
      <c r="DO174" s="503"/>
      <c r="DP174" s="503" t="str">
        <f>IF($G174="","",IF(AND($G174&gt;=30,$AT$3&lt;=DO$7),ROUND(DO174*($AP$3+#REF!),-1),""))</f>
        <v/>
      </c>
      <c r="DQ174" s="503"/>
      <c r="DR174" s="503" t="str">
        <f>IF($G174="","",IF(AND($G174&gt;=30,$AT$3&lt;=DQ$7),ROUND(DQ174*($AP$3+#REF!),-1),""))</f>
        <v/>
      </c>
      <c r="DS174" s="503"/>
      <c r="DT174" s="503" t="str">
        <f>IF($G174="","",IF(AND($G174&gt;=30,$AT$3&lt;=DS$7),ROUND(DS174*($AP$3+#REF!),-1),""))</f>
        <v/>
      </c>
      <c r="DU174" s="503"/>
      <c r="DV174" s="503" t="str">
        <f>IF($G174="","",IF(AND($G174&gt;=30,$AT$3&lt;=DU$7),ROUND(DU174*($AP$3+#REF!),-1),""))</f>
        <v/>
      </c>
      <c r="DW174" s="503"/>
      <c r="DX174" s="503" t="str">
        <f>IF($G174="","",IF(AND($G174&gt;=30,$AT$3&lt;=DW$7),ROUND(DW174*($AP$3+#REF!),-1),""))</f>
        <v/>
      </c>
      <c r="DY174" s="503"/>
      <c r="DZ174" s="503" t="str">
        <f>IF($G174="","",IF(AND($G174&gt;=30,$AT$3&lt;=DY$7),ROUND(DY174*($AP$3+#REF!),-1),""))</f>
        <v/>
      </c>
      <c r="EA174" s="503"/>
      <c r="EB174" s="503" t="str">
        <f>IF($G174="","",IF(AND($G174&gt;=30,$AT$3&lt;=EA$7),ROUND(EA174*($AP$3+#REF!),-1),""))</f>
        <v/>
      </c>
      <c r="EC174" s="504" t="s">
        <v>621</v>
      </c>
      <c r="ED174" s="1124"/>
      <c r="EE174" s="325">
        <v>10</v>
      </c>
    </row>
    <row r="175" spans="1:135" ht="9.75" customHeight="1">
      <c r="A175" s="321" t="str">
        <f t="shared" si="37"/>
        <v/>
      </c>
      <c r="B175" s="567">
        <f>(ii!$D$13*12+V175)+1</f>
        <v>69</v>
      </c>
      <c r="C175" s="337">
        <f t="shared" si="44"/>
        <v>47452</v>
      </c>
      <c r="D175" s="484">
        <f t="shared" si="47"/>
        <v>2029</v>
      </c>
      <c r="E175" s="484">
        <f t="shared" si="45"/>
        <v>0.91666666666666663</v>
      </c>
      <c r="F175" s="484">
        <f t="shared" si="48"/>
        <v>2029.9166666666667</v>
      </c>
      <c r="G175" s="485" t="str">
        <f>IF(OR(C175&lt;$I$2,C175&gt;$J$3),"",(ii!$D$13*12+V175+1)/12)</f>
        <v/>
      </c>
      <c r="H175" s="486"/>
      <c r="I175" s="486"/>
      <c r="J175" s="487"/>
      <c r="K175" s="488"/>
      <c r="L175" s="548"/>
      <c r="M175" s="489" t="str">
        <f t="shared" si="49"/>
        <v/>
      </c>
      <c r="N175" s="490" t="s">
        <v>621</v>
      </c>
      <c r="O175" s="490" t="str">
        <f t="shared" si="42"/>
        <v/>
      </c>
      <c r="P175" s="491"/>
      <c r="Q175" s="491"/>
      <c r="R175" s="491" t="str">
        <f t="shared" si="43"/>
        <v/>
      </c>
      <c r="S175" s="528" t="str">
        <f t="shared" si="38"/>
        <v/>
      </c>
      <c r="T175" s="528" t="str">
        <f t="shared" si="36"/>
        <v/>
      </c>
      <c r="U175" s="493" t="str">
        <f>IF(H175="","",#REF!*12+#REF!+#REF!*12+#REF!)</f>
        <v/>
      </c>
      <c r="V175" s="338">
        <f>IF(ii!$J$3&gt;gg!C175,"",IF(AND((YEAR(C175)=YEAR($I$2)),MONTH(C175)=MONTH($I$2)),ii!$B$14*12+ii!$C$14+ii!$B$15*12+ii!$C$15-1,V174+1))</f>
        <v>68</v>
      </c>
      <c r="W175" s="339">
        <f t="shared" si="46"/>
        <v>5.666666666666667</v>
      </c>
      <c r="X175" s="494" t="s">
        <v>621</v>
      </c>
      <c r="Y175" s="495" t="s">
        <v>621</v>
      </c>
      <c r="Z175" s="496"/>
      <c r="AA175" s="497"/>
      <c r="AB175" s="498" t="e">
        <f t="shared" si="52"/>
        <v>#VALUE!</v>
      </c>
      <c r="AC175" s="484" t="str">
        <f t="shared" si="50"/>
        <v/>
      </c>
      <c r="AD175" s="495" t="str">
        <f t="shared" si="51"/>
        <v/>
      </c>
      <c r="AE175" s="499" t="s">
        <v>621</v>
      </c>
      <c r="AF175" s="500" t="s">
        <v>621</v>
      </c>
      <c r="AG175" s="556" t="s">
        <v>621</v>
      </c>
      <c r="AH175" s="503" t="str">
        <f>IF($G175="","",IF(AND($G175&gt;=30,$AT$3&lt;=AG$7),ROUND(AG175*($AP$3+#REF!),-1),""))</f>
        <v/>
      </c>
      <c r="AI175" s="506" t="s">
        <v>621</v>
      </c>
      <c r="AJ175" s="503" t="str">
        <f>IF($G175="","",IF(AND($G175&gt;=30,$AT$3&lt;=AI$7),ROUND(AI175*($AP$3+#REF!),-1),""))</f>
        <v/>
      </c>
      <c r="AK175" s="506" t="s">
        <v>621</v>
      </c>
      <c r="AL175" s="503" t="str">
        <f>IF($G175="","",IF(AND($G175&gt;=30,$AT$3&lt;=AK$7),ROUND(AK175*($AP$3+#REF!),-1),""))</f>
        <v/>
      </c>
      <c r="AM175" s="506" t="s">
        <v>621</v>
      </c>
      <c r="AN175" s="503" t="str">
        <f>IF($G175="","",IF(AND($G175&gt;=30,$AT$3&lt;=AM$7),ROUND(AM175*($AP$3+#REF!),-1),""))</f>
        <v/>
      </c>
      <c r="AO175" s="503" t="e">
        <v>#REF!</v>
      </c>
      <c r="AP175" s="503" t="str">
        <f>IF($G175="","",IF(AND($G175&gt;=30,$AT$3&lt;=AO$7),ROUND(AO175*($AP$3+#REF!),-1),""))</f>
        <v/>
      </c>
      <c r="AQ175" s="503" t="s">
        <v>621</v>
      </c>
      <c r="AR175" s="503" t="str">
        <f>IF($G175="","",IF(AND($G175&gt;=30,$AT$3&lt;=AQ$7),ROUND(AQ175*($AP$3+#REF!),-1),""))</f>
        <v/>
      </c>
      <c r="AS175" s="503" t="s">
        <v>621</v>
      </c>
      <c r="AT175" s="503" t="str">
        <f>IF($G175="","",IF(AND($G175&gt;=30,$AT$3&lt;=AS$7),ROUND(AS175*($AP$3+#REF!),-1),""))</f>
        <v/>
      </c>
      <c r="AU175" s="503" t="s">
        <v>621</v>
      </c>
      <c r="AV175" s="503" t="str">
        <f>IF($G175="","",IF(AND($G175&gt;=30,$AT$3&lt;=AU$7),ROUND(AU175*($AP$3+#REF!),-1),""))</f>
        <v/>
      </c>
      <c r="AW175" s="503" t="s">
        <v>621</v>
      </c>
      <c r="AX175" s="503" t="str">
        <f>IF($G175="","",IF(AND($G175&gt;=30,$AT$3&lt;=AW$7),ROUND(AW175*($AP$3+#REF!),-1),""))</f>
        <v/>
      </c>
      <c r="AY175" s="503" t="s">
        <v>621</v>
      </c>
      <c r="AZ175" s="503" t="str">
        <f>IF($G175="","",IF(AND($G175&gt;=30,$AT$3&lt;=AY$7),ROUND(AY175*($AP$3+#REF!),-1),""))</f>
        <v/>
      </c>
      <c r="BA175" s="503" t="s">
        <v>621</v>
      </c>
      <c r="BB175" s="503" t="str">
        <f>IF($G175="","",IF(AND($G175&gt;=30,$AT$3&lt;=BA$7),ROUND(BA175*($AP$3+#REF!),-1),""))</f>
        <v/>
      </c>
      <c r="BC175" s="503" t="s">
        <v>621</v>
      </c>
      <c r="BD175" s="503" t="str">
        <f>IF($G175="","",IF(AND($G175&gt;=30,$AT$3&lt;=BC$7),ROUND(BC175*($AP$3+#REF!),-1),""))</f>
        <v/>
      </c>
      <c r="BE175" s="503" t="s">
        <v>621</v>
      </c>
      <c r="BF175" s="503" t="str">
        <f>IF($G175="","",IF(AND($G175&gt;=30,$AT$3&lt;=BE$7),ROUND(BE175*($AP$3+#REF!),-1),""))</f>
        <v/>
      </c>
      <c r="BG175" s="517" t="e">
        <v>#REF!</v>
      </c>
      <c r="BH175" s="503" t="str">
        <f>IF($G175="","",IF(AND($G175&gt;=30,$AT$3&lt;=BG$7),ROUND(BG175*($AP$3+#REF!),-1),""))</f>
        <v/>
      </c>
      <c r="BI175" s="503"/>
      <c r="BJ175" s="503" t="str">
        <f>IF($G175="","",IF(AND($G175&gt;=30,$AT$3&lt;=BI$7),ROUND(BI175*($AP$3+#REF!),-1),""))</f>
        <v/>
      </c>
      <c r="BK175" s="502"/>
      <c r="BL175" s="503" t="str">
        <f>IF($G175="","",IF(AND($G175&gt;=30,$AT$3&lt;=BK$7),ROUND(BK175*($AP$3+#REF!),-1),""))</f>
        <v/>
      </c>
      <c r="BM175" s="503"/>
      <c r="BN175" s="503" t="str">
        <f>IF($G175="","",IF(AND($G175&gt;=30,$AT$3&lt;=BM$7),ROUND(BM175*($AP$3+#REF!),-1),""))</f>
        <v/>
      </c>
      <c r="BO175" s="502"/>
      <c r="BP175" s="503" t="str">
        <f>IF($G175="","",IF(AND($G175&gt;=30,$AT$3&lt;=BO$7),ROUND(BO175*($AP$3+#REF!),-1),""))</f>
        <v/>
      </c>
      <c r="BQ175" s="503"/>
      <c r="BR175" s="503" t="str">
        <f>IF($G175="","",IF(AND($G175&gt;=30,$AT$3&lt;=BQ$7),ROUND(BQ175*($AP$3+#REF!),-1),""))</f>
        <v/>
      </c>
      <c r="BS175" s="502"/>
      <c r="BT175" s="503" t="str">
        <f>IF($G175="","",IF(AND($G175&gt;=30,$AT$3&lt;=BS$7),ROUND(BS175*($AP$3+#REF!),-1),""))</f>
        <v/>
      </c>
      <c r="BU175" s="503"/>
      <c r="BV175" s="503" t="str">
        <f>IF($G175="","",IF(AND($G175&gt;=30,$AT$3&lt;=BU$7),ROUND(BU175*($AP$3+#REF!),-1),""))</f>
        <v/>
      </c>
      <c r="BW175" s="502"/>
      <c r="BX175" s="503" t="str">
        <f>IF($G175="","",IF(AND($G175&gt;=30,$AT$3&lt;=BW$7),ROUND(BW175*($AP$3+#REF!),-1),""))</f>
        <v/>
      </c>
      <c r="BY175" s="503"/>
      <c r="BZ175" s="503" t="str">
        <f>IF($G175="","",IF(AND($G175&gt;=30,$AT$3&lt;=BY$7),ROUND(BY175*($AP$3+#REF!),-1),""))</f>
        <v/>
      </c>
      <c r="CA175" s="502"/>
      <c r="CB175" s="503" t="str">
        <f>IF($G175="","",IF(AND($G175&gt;=30,$AT$3&lt;=CA$7),ROUND(CA175*($AP$3+#REF!),-1),""))</f>
        <v/>
      </c>
      <c r="CC175" s="503"/>
      <c r="CD175" s="503" t="str">
        <f>IF($G175="","",IF(AND($G175&gt;=30,$AT$3&lt;=CC$7),ROUND(CC175*($AP$3+#REF!),-1),""))</f>
        <v/>
      </c>
      <c r="CE175" s="502"/>
      <c r="CF175" s="503" t="str">
        <f>IF($G175="","",IF(AND($G175&gt;=30,$AT$3&lt;=CE$7),ROUND(CE175*($AP$3+#REF!),-1),""))</f>
        <v/>
      </c>
      <c r="CG175" s="503"/>
      <c r="CH175" s="503" t="str">
        <f>IF($G175="","",IF(AND($G175&gt;=30,$AT$3&lt;=CG$7),ROUND(CG175*($AP$3+#REF!),-1),""))</f>
        <v/>
      </c>
      <c r="CI175" s="502"/>
      <c r="CJ175" s="503" t="str">
        <f>IF($G175="","",IF(AND($G175&gt;=30,$AT$3&lt;=CI$7),ROUND(CI175*($AP$3+#REF!),-1),""))</f>
        <v/>
      </c>
      <c r="CK175" s="503"/>
      <c r="CL175" s="503" t="str">
        <f>IF($G175="","",IF(AND($G175&gt;=30,$AT$3&lt;=CK$7),ROUND(CK175*($AP$3+#REF!),-1),""))</f>
        <v/>
      </c>
      <c r="CM175" s="502"/>
      <c r="CN175" s="503" t="str">
        <f>IF($G175="","",IF(AND($G175&gt;=30,$AT$3&lt;=CM$7),ROUND(CM175*($AP$3+#REF!),-1),""))</f>
        <v/>
      </c>
      <c r="CO175" s="503"/>
      <c r="CP175" s="503" t="str">
        <f>IF($G175="","",IF(AND($G175&gt;=30,$AT$3&lt;=CO$7),ROUND(CO175*($AP$3+#REF!),-1),""))</f>
        <v/>
      </c>
      <c r="CQ175" s="502"/>
      <c r="CR175" s="503" t="str">
        <f>IF($G175="","",IF(AND($G175&gt;=30,$AT$3&lt;=CQ$7),ROUND(CQ175*($AP$3+#REF!),-1),""))</f>
        <v/>
      </c>
      <c r="CS175" s="503"/>
      <c r="CT175" s="503" t="str">
        <f>IF($G175="","",IF(AND($G175&gt;=30,$AT$3&lt;=CS$7),ROUND(CS175*($AP$3+#REF!),-1),""))</f>
        <v/>
      </c>
      <c r="CU175" s="502"/>
      <c r="CV175" s="503" t="str">
        <f>IF($G175="","",IF(AND($G175&gt;=30,$AT$3&lt;=CU$7),ROUND(CU175*($AP$3+#REF!),-1),""))</f>
        <v/>
      </c>
      <c r="CW175" s="503"/>
      <c r="CX175" s="503" t="str">
        <f>IF($G175="","",IF(AND($G175&gt;=30,$AT$3&lt;=CW$7),ROUND(CW175*($AP$3+#REF!),-1),""))</f>
        <v/>
      </c>
      <c r="CY175" s="502"/>
      <c r="CZ175" s="503" t="str">
        <f>IF($G175="","",IF(AND($G175&gt;=30,$AT$3&lt;=CY$7),ROUND(CY175*($AP$3+#REF!),-1),""))</f>
        <v/>
      </c>
      <c r="DA175" s="503"/>
      <c r="DB175" s="503" t="str">
        <f>IF($G175="","",IF(AND($G175&gt;=30,$AT$3&lt;=DA$7),ROUND(DA175*($AP$3+#REF!),-1),""))</f>
        <v/>
      </c>
      <c r="DC175" s="502"/>
      <c r="DD175" s="503" t="str">
        <f>IF($G175="","",IF(AND($G175&gt;=30,$AT$3&lt;=DC$7),ROUND(DC175*($AP$3+#REF!),-1),""))</f>
        <v/>
      </c>
      <c r="DE175" s="503"/>
      <c r="DF175" s="503" t="str">
        <f>IF($G175="","",IF(AND($G175&gt;=30,$AT$3&lt;=DE$7),ROUND(DE175*($AP$3+#REF!),-1),""))</f>
        <v/>
      </c>
      <c r="DG175" s="503"/>
      <c r="DH175" s="503" t="str">
        <f>IF($G175="","",IF(AND($G175&gt;=30,$AT$3&lt;=DG$7),ROUND(DG175*($AP$3+#REF!),-1),""))</f>
        <v/>
      </c>
      <c r="DI175" s="503"/>
      <c r="DJ175" s="503" t="str">
        <f>IF($G175="","",IF(AND($G175&gt;=30,$AT$3&lt;=DI$7),ROUND(DI175*($AP$3+#REF!),-1),""))</f>
        <v/>
      </c>
      <c r="DK175" s="503"/>
      <c r="DL175" s="503" t="str">
        <f>IF($G175="","",IF(AND($G175&gt;=30,$AT$3&lt;=DK$7),ROUND(DK175*($AP$3+#REF!),-1),""))</f>
        <v/>
      </c>
      <c r="DM175" s="503"/>
      <c r="DN175" s="503" t="str">
        <f>IF($G175="","",IF(AND($G175&gt;=30,$AT$3&lt;=DM$7),ROUND(DM175*($AP$3+#REF!),-1),""))</f>
        <v/>
      </c>
      <c r="DO175" s="503"/>
      <c r="DP175" s="503" t="str">
        <f>IF($G175="","",IF(AND($G175&gt;=30,$AT$3&lt;=DO$7),ROUND(DO175*($AP$3+#REF!),-1),""))</f>
        <v/>
      </c>
      <c r="DQ175" s="503"/>
      <c r="DR175" s="503" t="str">
        <f>IF($G175="","",IF(AND($G175&gt;=30,$AT$3&lt;=DQ$7),ROUND(DQ175*($AP$3+#REF!),-1),""))</f>
        <v/>
      </c>
      <c r="DS175" s="503"/>
      <c r="DT175" s="503" t="str">
        <f>IF($G175="","",IF(AND($G175&gt;=30,$AT$3&lt;=DS$7),ROUND(DS175*($AP$3+#REF!),-1),""))</f>
        <v/>
      </c>
      <c r="DU175" s="503"/>
      <c r="DV175" s="503" t="str">
        <f>IF($G175="","",IF(AND($G175&gt;=30,$AT$3&lt;=DU$7),ROUND(DU175*($AP$3+#REF!),-1),""))</f>
        <v/>
      </c>
      <c r="DW175" s="503"/>
      <c r="DX175" s="503" t="str">
        <f>IF($G175="","",IF(AND($G175&gt;=30,$AT$3&lt;=DW$7),ROUND(DW175*($AP$3+#REF!),-1),""))</f>
        <v/>
      </c>
      <c r="DY175" s="503"/>
      <c r="DZ175" s="503" t="str">
        <f>IF($G175="","",IF(AND($G175&gt;=30,$AT$3&lt;=DY$7),ROUND(DY175*($AP$3+#REF!),-1),""))</f>
        <v/>
      </c>
      <c r="EA175" s="503"/>
      <c r="EB175" s="503" t="str">
        <f>IF($G175="","",IF(AND($G175&gt;=30,$AT$3&lt;=EA$7),ROUND(EA175*($AP$3+#REF!),-1),""))</f>
        <v/>
      </c>
      <c r="EC175" s="504" t="s">
        <v>621</v>
      </c>
      <c r="ED175" s="1124"/>
      <c r="EE175" s="325">
        <v>11</v>
      </c>
    </row>
    <row r="176" spans="1:135" ht="9.75" customHeight="1">
      <c r="A176" s="321" t="str">
        <f t="shared" si="37"/>
        <v/>
      </c>
      <c r="B176" s="567">
        <f>(ii!$D$13*12+V176)+1</f>
        <v>70</v>
      </c>
      <c r="C176" s="337">
        <f t="shared" si="44"/>
        <v>47483</v>
      </c>
      <c r="D176" s="484">
        <f t="shared" si="47"/>
        <v>2029</v>
      </c>
      <c r="E176" s="484">
        <f t="shared" si="45"/>
        <v>1</v>
      </c>
      <c r="F176" s="484">
        <f t="shared" si="48"/>
        <v>2030</v>
      </c>
      <c r="G176" s="485" t="str">
        <f>IF(OR(C176&lt;$I$2,C176&gt;$J$3),"",(ii!$D$13*12+V176+1)/12)</f>
        <v/>
      </c>
      <c r="H176" s="486"/>
      <c r="I176" s="486"/>
      <c r="J176" s="487"/>
      <c r="K176" s="488"/>
      <c r="L176" s="548"/>
      <c r="M176" s="489" t="str">
        <f t="shared" si="49"/>
        <v/>
      </c>
      <c r="N176" s="490" t="s">
        <v>621</v>
      </c>
      <c r="O176" s="490" t="str">
        <f t="shared" si="42"/>
        <v/>
      </c>
      <c r="P176" s="491"/>
      <c r="Q176" s="491"/>
      <c r="R176" s="491" t="str">
        <f t="shared" si="43"/>
        <v/>
      </c>
      <c r="S176" s="528" t="str">
        <f t="shared" si="38"/>
        <v/>
      </c>
      <c r="T176" s="528" t="str">
        <f t="shared" si="36"/>
        <v/>
      </c>
      <c r="U176" s="493" t="str">
        <f>IF(H176="","",#REF!*12+#REF!+#REF!*12+#REF!)</f>
        <v/>
      </c>
      <c r="V176" s="338">
        <f>IF(ii!$J$3&gt;gg!C176,"",IF(AND((YEAR(C176)=YEAR($I$2)),MONTH(C176)=MONTH($I$2)),ii!$B$14*12+ii!$C$14+ii!$B$15*12+ii!$C$15-1,V175+1))</f>
        <v>69</v>
      </c>
      <c r="W176" s="339">
        <f t="shared" si="46"/>
        <v>5.75</v>
      </c>
      <c r="X176" s="494" t="s">
        <v>621</v>
      </c>
      <c r="Y176" s="495" t="s">
        <v>621</v>
      </c>
      <c r="Z176" s="496"/>
      <c r="AA176" s="497"/>
      <c r="AB176" s="498" t="e">
        <f t="shared" si="52"/>
        <v>#VALUE!</v>
      </c>
      <c r="AC176" s="484" t="str">
        <f t="shared" si="50"/>
        <v/>
      </c>
      <c r="AD176" s="495" t="str">
        <f t="shared" si="51"/>
        <v/>
      </c>
      <c r="AE176" s="499" t="s">
        <v>621</v>
      </c>
      <c r="AF176" s="500" t="s">
        <v>621</v>
      </c>
      <c r="AG176" s="556" t="s">
        <v>621</v>
      </c>
      <c r="AH176" s="503" t="str">
        <f>IF($G176="","",IF(AND($G176&gt;=30,$AT$3&lt;=AG$7),ROUND(AG176*($AP$3+#REF!),-1),""))</f>
        <v/>
      </c>
      <c r="AI176" s="506" t="s">
        <v>621</v>
      </c>
      <c r="AJ176" s="503" t="str">
        <f>IF($G176="","",IF(AND($G176&gt;=30,$AT$3&lt;=AI$7),ROUND(AI176*($AP$3+#REF!),-1),""))</f>
        <v/>
      </c>
      <c r="AK176" s="506" t="s">
        <v>621</v>
      </c>
      <c r="AL176" s="503" t="str">
        <f>IF($G176="","",IF(AND($G176&gt;=30,$AT$3&lt;=AK$7),ROUND(AK176*($AP$3+#REF!),-1),""))</f>
        <v/>
      </c>
      <c r="AM176" s="506" t="s">
        <v>621</v>
      </c>
      <c r="AN176" s="503" t="str">
        <f>IF($G176="","",IF(AND($G176&gt;=30,$AT$3&lt;=AM$7),ROUND(AM176*($AP$3+#REF!),-1),""))</f>
        <v/>
      </c>
      <c r="AO176" s="503" t="e">
        <v>#REF!</v>
      </c>
      <c r="AP176" s="503" t="str">
        <f>IF($G176="","",IF(AND($G176&gt;=30,$AT$3&lt;=AO$7),ROUND(AO176*($AP$3+#REF!),-1),""))</f>
        <v/>
      </c>
      <c r="AQ176" s="503" t="s">
        <v>621</v>
      </c>
      <c r="AR176" s="503" t="str">
        <f>IF($G176="","",IF(AND($G176&gt;=30,$AT$3&lt;=AQ$7),ROUND(AQ176*($AP$3+#REF!),-1),""))</f>
        <v/>
      </c>
      <c r="AS176" s="503" t="s">
        <v>621</v>
      </c>
      <c r="AT176" s="503" t="str">
        <f>IF($G176="","",IF(AND($G176&gt;=30,$AT$3&lt;=AS$7),ROUND(AS176*($AP$3+#REF!),-1),""))</f>
        <v/>
      </c>
      <c r="AU176" s="503" t="s">
        <v>621</v>
      </c>
      <c r="AV176" s="503" t="str">
        <f>IF($G176="","",IF(AND($G176&gt;=30,$AT$3&lt;=AU$7),ROUND(AU176*($AP$3+#REF!),-1),""))</f>
        <v/>
      </c>
      <c r="AW176" s="503" t="s">
        <v>621</v>
      </c>
      <c r="AX176" s="503" t="str">
        <f>IF($G176="","",IF(AND($G176&gt;=30,$AT$3&lt;=AW$7),ROUND(AW176*($AP$3+#REF!),-1),""))</f>
        <v/>
      </c>
      <c r="AY176" s="503" t="s">
        <v>621</v>
      </c>
      <c r="AZ176" s="503" t="str">
        <f>IF($G176="","",IF(AND($G176&gt;=30,$AT$3&lt;=AY$7),ROUND(AY176*($AP$3+#REF!),-1),""))</f>
        <v/>
      </c>
      <c r="BA176" s="503" t="s">
        <v>621</v>
      </c>
      <c r="BB176" s="503" t="str">
        <f>IF($G176="","",IF(AND($G176&gt;=30,$AT$3&lt;=BA$7),ROUND(BA176*($AP$3+#REF!),-1),""))</f>
        <v/>
      </c>
      <c r="BC176" s="503" t="s">
        <v>621</v>
      </c>
      <c r="BD176" s="503" t="str">
        <f>IF($G176="","",IF(AND($G176&gt;=30,$AT$3&lt;=BC$7),ROUND(BC176*($AP$3+#REF!),-1),""))</f>
        <v/>
      </c>
      <c r="BE176" s="503" t="s">
        <v>621</v>
      </c>
      <c r="BF176" s="503" t="str">
        <f>IF($G176="","",IF(AND($G176&gt;=30,$AT$3&lt;=BE$7),ROUND(BE176*($AP$3+#REF!),-1),""))</f>
        <v/>
      </c>
      <c r="BG176" s="517" t="e">
        <v>#REF!</v>
      </c>
      <c r="BH176" s="503" t="str">
        <f>IF($G176="","",IF(AND($G176&gt;=30,$AT$3&lt;=BG$7),ROUND(BG176*($AP$3+#REF!),-1),""))</f>
        <v/>
      </c>
      <c r="BI176" s="503"/>
      <c r="BJ176" s="503" t="str">
        <f>IF($G176="","",IF(AND($G176&gt;=30,$AT$3&lt;=BI$7),ROUND(BI176*($AP$3+#REF!),-1),""))</f>
        <v/>
      </c>
      <c r="BK176" s="502"/>
      <c r="BL176" s="503" t="str">
        <f>IF($G176="","",IF(AND($G176&gt;=30,$AT$3&lt;=BK$7),ROUND(BK176*($AP$3+#REF!),-1),""))</f>
        <v/>
      </c>
      <c r="BM176" s="503"/>
      <c r="BN176" s="503" t="str">
        <f>IF($G176="","",IF(AND($G176&gt;=30,$AT$3&lt;=BM$7),ROUND(BM176*($AP$3+#REF!),-1),""))</f>
        <v/>
      </c>
      <c r="BO176" s="502"/>
      <c r="BP176" s="503" t="str">
        <f>IF($G176="","",IF(AND($G176&gt;=30,$AT$3&lt;=BO$7),ROUND(BO176*($AP$3+#REF!),-1),""))</f>
        <v/>
      </c>
      <c r="BQ176" s="503"/>
      <c r="BR176" s="503" t="str">
        <f>IF($G176="","",IF(AND($G176&gt;=30,$AT$3&lt;=BQ$7),ROUND(BQ176*($AP$3+#REF!),-1),""))</f>
        <v/>
      </c>
      <c r="BS176" s="502"/>
      <c r="BT176" s="503" t="str">
        <f>IF($G176="","",IF(AND($G176&gt;=30,$AT$3&lt;=BS$7),ROUND(BS176*($AP$3+#REF!),-1),""))</f>
        <v/>
      </c>
      <c r="BU176" s="503"/>
      <c r="BV176" s="503" t="str">
        <f>IF($G176="","",IF(AND($G176&gt;=30,$AT$3&lt;=BU$7),ROUND(BU176*($AP$3+#REF!),-1),""))</f>
        <v/>
      </c>
      <c r="BW176" s="502"/>
      <c r="BX176" s="503" t="str">
        <f>IF($G176="","",IF(AND($G176&gt;=30,$AT$3&lt;=BW$7),ROUND(BW176*($AP$3+#REF!),-1),""))</f>
        <v/>
      </c>
      <c r="BY176" s="503"/>
      <c r="BZ176" s="503" t="str">
        <f>IF($G176="","",IF(AND($G176&gt;=30,$AT$3&lt;=BY$7),ROUND(BY176*($AP$3+#REF!),-1),""))</f>
        <v/>
      </c>
      <c r="CA176" s="502"/>
      <c r="CB176" s="503" t="str">
        <f>IF($G176="","",IF(AND($G176&gt;=30,$AT$3&lt;=CA$7),ROUND(CA176*($AP$3+#REF!),-1),""))</f>
        <v/>
      </c>
      <c r="CC176" s="503"/>
      <c r="CD176" s="503" t="str">
        <f>IF($G176="","",IF(AND($G176&gt;=30,$AT$3&lt;=CC$7),ROUND(CC176*($AP$3+#REF!),-1),""))</f>
        <v/>
      </c>
      <c r="CE176" s="502"/>
      <c r="CF176" s="503" t="str">
        <f>IF($G176="","",IF(AND($G176&gt;=30,$AT$3&lt;=CE$7),ROUND(CE176*($AP$3+#REF!),-1),""))</f>
        <v/>
      </c>
      <c r="CG176" s="503"/>
      <c r="CH176" s="503" t="str">
        <f>IF($G176="","",IF(AND($G176&gt;=30,$AT$3&lt;=CG$7),ROUND(CG176*($AP$3+#REF!),-1),""))</f>
        <v/>
      </c>
      <c r="CI176" s="502"/>
      <c r="CJ176" s="503" t="str">
        <f>IF($G176="","",IF(AND($G176&gt;=30,$AT$3&lt;=CI$7),ROUND(CI176*($AP$3+#REF!),-1),""))</f>
        <v/>
      </c>
      <c r="CK176" s="503"/>
      <c r="CL176" s="503" t="str">
        <f>IF($G176="","",IF(AND($G176&gt;=30,$AT$3&lt;=CK$7),ROUND(CK176*($AP$3+#REF!),-1),""))</f>
        <v/>
      </c>
      <c r="CM176" s="502"/>
      <c r="CN176" s="503" t="str">
        <f>IF($G176="","",IF(AND($G176&gt;=30,$AT$3&lt;=CM$7),ROUND(CM176*($AP$3+#REF!),-1),""))</f>
        <v/>
      </c>
      <c r="CO176" s="503"/>
      <c r="CP176" s="503" t="str">
        <f>IF($G176="","",IF(AND($G176&gt;=30,$AT$3&lt;=CO$7),ROUND(CO176*($AP$3+#REF!),-1),""))</f>
        <v/>
      </c>
      <c r="CQ176" s="502"/>
      <c r="CR176" s="503" t="str">
        <f>IF($G176="","",IF(AND($G176&gt;=30,$AT$3&lt;=CQ$7),ROUND(CQ176*($AP$3+#REF!),-1),""))</f>
        <v/>
      </c>
      <c r="CS176" s="503"/>
      <c r="CT176" s="503" t="str">
        <f>IF($G176="","",IF(AND($G176&gt;=30,$AT$3&lt;=CS$7),ROUND(CS176*($AP$3+#REF!),-1),""))</f>
        <v/>
      </c>
      <c r="CU176" s="502"/>
      <c r="CV176" s="503" t="str">
        <f>IF($G176="","",IF(AND($G176&gt;=30,$AT$3&lt;=CU$7),ROUND(CU176*($AP$3+#REF!),-1),""))</f>
        <v/>
      </c>
      <c r="CW176" s="503"/>
      <c r="CX176" s="503" t="str">
        <f>IF($G176="","",IF(AND($G176&gt;=30,$AT$3&lt;=CW$7),ROUND(CW176*($AP$3+#REF!),-1),""))</f>
        <v/>
      </c>
      <c r="CY176" s="502"/>
      <c r="CZ176" s="503" t="str">
        <f>IF($G176="","",IF(AND($G176&gt;=30,$AT$3&lt;=CY$7),ROUND(CY176*($AP$3+#REF!),-1),""))</f>
        <v/>
      </c>
      <c r="DA176" s="503"/>
      <c r="DB176" s="503" t="str">
        <f>IF($G176="","",IF(AND($G176&gt;=30,$AT$3&lt;=DA$7),ROUND(DA176*($AP$3+#REF!),-1),""))</f>
        <v/>
      </c>
      <c r="DC176" s="502"/>
      <c r="DD176" s="503" t="str">
        <f>IF($G176="","",IF(AND($G176&gt;=30,$AT$3&lt;=DC$7),ROUND(DC176*($AP$3+#REF!),-1),""))</f>
        <v/>
      </c>
      <c r="DE176" s="503"/>
      <c r="DF176" s="503" t="str">
        <f>IF($G176="","",IF(AND($G176&gt;=30,$AT$3&lt;=DE$7),ROUND(DE176*($AP$3+#REF!),-1),""))</f>
        <v/>
      </c>
      <c r="DG176" s="503"/>
      <c r="DH176" s="503" t="str">
        <f>IF($G176="","",IF(AND($G176&gt;=30,$AT$3&lt;=DG$7),ROUND(DG176*($AP$3+#REF!),-1),""))</f>
        <v/>
      </c>
      <c r="DI176" s="503"/>
      <c r="DJ176" s="503" t="str">
        <f>IF($G176="","",IF(AND($G176&gt;=30,$AT$3&lt;=DI$7),ROUND(DI176*($AP$3+#REF!),-1),""))</f>
        <v/>
      </c>
      <c r="DK176" s="503"/>
      <c r="DL176" s="503" t="str">
        <f>IF($G176="","",IF(AND($G176&gt;=30,$AT$3&lt;=DK$7),ROUND(DK176*($AP$3+#REF!),-1),""))</f>
        <v/>
      </c>
      <c r="DM176" s="503"/>
      <c r="DN176" s="503" t="str">
        <f>IF($G176="","",IF(AND($G176&gt;=30,$AT$3&lt;=DM$7),ROUND(DM176*($AP$3+#REF!),-1),""))</f>
        <v/>
      </c>
      <c r="DO176" s="503"/>
      <c r="DP176" s="503" t="str">
        <f>IF($G176="","",IF(AND($G176&gt;=30,$AT$3&lt;=DO$7),ROUND(DO176*($AP$3+#REF!),-1),""))</f>
        <v/>
      </c>
      <c r="DQ176" s="503"/>
      <c r="DR176" s="503" t="str">
        <f>IF($G176="","",IF(AND($G176&gt;=30,$AT$3&lt;=DQ$7),ROUND(DQ176*($AP$3+#REF!),-1),""))</f>
        <v/>
      </c>
      <c r="DS176" s="503"/>
      <c r="DT176" s="503" t="str">
        <f>IF($G176="","",IF(AND($G176&gt;=30,$AT$3&lt;=DS$7),ROUND(DS176*($AP$3+#REF!),-1),""))</f>
        <v/>
      </c>
      <c r="DU176" s="503"/>
      <c r="DV176" s="503" t="str">
        <f>IF($G176="","",IF(AND($G176&gt;=30,$AT$3&lt;=DU$7),ROUND(DU176*($AP$3+#REF!),-1),""))</f>
        <v/>
      </c>
      <c r="DW176" s="503"/>
      <c r="DX176" s="503" t="str">
        <f>IF($G176="","",IF(AND($G176&gt;=30,$AT$3&lt;=DW$7),ROUND(DW176*($AP$3+#REF!),-1),""))</f>
        <v/>
      </c>
      <c r="DY176" s="503"/>
      <c r="DZ176" s="503" t="str">
        <f>IF($G176="","",IF(AND($G176&gt;=30,$AT$3&lt;=DY$7),ROUND(DY176*($AP$3+#REF!),-1),""))</f>
        <v/>
      </c>
      <c r="EA176" s="503"/>
      <c r="EB176" s="503" t="str">
        <f>IF($G176="","",IF(AND($G176&gt;=30,$AT$3&lt;=EA$7),ROUND(EA176*($AP$3+#REF!),-1),""))</f>
        <v/>
      </c>
      <c r="EC176" s="504" t="s">
        <v>621</v>
      </c>
      <c r="ED176" s="1125"/>
      <c r="EE176" s="325">
        <v>12</v>
      </c>
    </row>
    <row r="177" spans="1:135" ht="9.75" customHeight="1">
      <c r="A177" s="321" t="str">
        <f t="shared" si="37"/>
        <v/>
      </c>
      <c r="B177" s="569">
        <f>(ii!$D$13*12+V177)+1</f>
        <v>71</v>
      </c>
      <c r="C177" s="345">
        <f t="shared" si="44"/>
        <v>47514</v>
      </c>
      <c r="D177" s="340">
        <f t="shared" si="47"/>
        <v>2030</v>
      </c>
      <c r="E177" s="340">
        <f t="shared" si="45"/>
        <v>8.3333333333333329E-2</v>
      </c>
      <c r="F177" s="340">
        <f t="shared" si="48"/>
        <v>2030.0833333333333</v>
      </c>
      <c r="G177" s="531" t="str">
        <f>IF(OR(C177&lt;$I$2,C177&gt;$J$3),"",(ii!$D$13*12+V177+1)/12)</f>
        <v/>
      </c>
      <c r="H177" s="532"/>
      <c r="I177" s="532"/>
      <c r="J177" s="533"/>
      <c r="K177" s="553"/>
      <c r="L177" s="534"/>
      <c r="M177" s="489" t="str">
        <f t="shared" si="49"/>
        <v/>
      </c>
      <c r="N177" s="536" t="s">
        <v>621</v>
      </c>
      <c r="O177" s="490" t="str">
        <f t="shared" si="42"/>
        <v/>
      </c>
      <c r="P177" s="537"/>
      <c r="Q177" s="537"/>
      <c r="R177" s="533" t="str">
        <f t="shared" si="43"/>
        <v/>
      </c>
      <c r="S177" s="538" t="str">
        <f t="shared" si="38"/>
        <v/>
      </c>
      <c r="T177" s="538" t="str">
        <f t="shared" si="36"/>
        <v/>
      </c>
      <c r="U177" s="539" t="str">
        <f>IF(H177="","",#REF!*12+#REF!+#REF!*12+#REF!)</f>
        <v/>
      </c>
      <c r="V177" s="338">
        <f>IF(ii!$J$3&gt;gg!C177,"",IF(AND((YEAR(C177)=YEAR($I$2)),MONTH(C177)=MONTH($I$2)),ii!$B$14*12+ii!$C$14+ii!$B$15*12+ii!$C$15-1,V176+1))</f>
        <v>70</v>
      </c>
      <c r="W177" s="339">
        <f t="shared" si="46"/>
        <v>5.833333333333333</v>
      </c>
      <c r="X177" s="540" t="s">
        <v>621</v>
      </c>
      <c r="Y177" s="538" t="s">
        <v>621</v>
      </c>
      <c r="Z177" s="541">
        <f>Z165+$Z$26</f>
        <v>0.3600000000000001</v>
      </c>
      <c r="AA177" s="542" t="str">
        <f>IF(Y177="","",(Y177-Y176)/Y176)</f>
        <v/>
      </c>
      <c r="AB177" s="543" t="e">
        <f t="shared" si="52"/>
        <v>#VALUE!</v>
      </c>
      <c r="AC177" s="544" t="str">
        <f t="shared" si="50"/>
        <v/>
      </c>
      <c r="AD177" s="538" t="str">
        <f t="shared" si="51"/>
        <v/>
      </c>
      <c r="AE177" s="545" t="s">
        <v>621</v>
      </c>
      <c r="AF177" s="546" t="s">
        <v>621</v>
      </c>
      <c r="AG177" s="558" t="s">
        <v>621</v>
      </c>
      <c r="AH177" s="547" t="str">
        <f>IF($G177="","",IF(AND($G177&gt;=30,$AT$3&lt;=AG$7),ROUND(AG177*($AP$3+#REF!),-1),""))</f>
        <v/>
      </c>
      <c r="AI177" s="558" t="s">
        <v>621</v>
      </c>
      <c r="AJ177" s="547" t="str">
        <f>IF($G177="","",IF(AND($G177&gt;=30,$AT$3&lt;=AI$7),ROUND(AI177*($AP$3+#REF!),-1),""))</f>
        <v/>
      </c>
      <c r="AK177" s="560" t="s">
        <v>621</v>
      </c>
      <c r="AL177" s="547" t="str">
        <f>IF($G177="","",IF(AND($G177&gt;=30,$AT$3&lt;=AK$7),ROUND(AK177*($AP$3+#REF!),-1),""))</f>
        <v/>
      </c>
      <c r="AM177" s="560" t="s">
        <v>621</v>
      </c>
      <c r="AN177" s="547" t="str">
        <f>IF($G177="","",IF(AND($G177&gt;=30,$AT$3&lt;=AM$7),ROUND(AM177*($AP$3+#REF!),-1),""))</f>
        <v/>
      </c>
      <c r="AO177" s="547" t="e">
        <v>#REF!</v>
      </c>
      <c r="AP177" s="547" t="str">
        <f>IF($G177="","",IF(AND($G177&gt;=30,$AT$3&lt;=AO$7),ROUND(AO177*($AP$3+#REF!),-1),""))</f>
        <v/>
      </c>
      <c r="AQ177" s="547" t="s">
        <v>621</v>
      </c>
      <c r="AR177" s="547" t="str">
        <f>IF($G177="","",IF(AND($G177&gt;=30,$AT$3&lt;=AQ$7),ROUND(AQ177*($AP$3+#REF!),-1),""))</f>
        <v/>
      </c>
      <c r="AS177" s="547" t="s">
        <v>621</v>
      </c>
      <c r="AT177" s="547" t="str">
        <f>IF($G177="","",IF(AND($G177&gt;=30,$AT$3&lt;=AS$7),ROUND(AS177*($AP$3+#REF!),-1),""))</f>
        <v/>
      </c>
      <c r="AU177" s="547" t="s">
        <v>621</v>
      </c>
      <c r="AV177" s="547" t="str">
        <f>IF($G177="","",IF(AND($G177&gt;=30,$AT$3&lt;=AU$7),ROUND(AU177*($AP$3+#REF!),-1),""))</f>
        <v/>
      </c>
      <c r="AW177" s="547" t="s">
        <v>621</v>
      </c>
      <c r="AX177" s="547" t="str">
        <f>IF($G177="","",IF(AND($G177&gt;=30,$AT$3&lt;=AW$7),ROUND(AW177*($AP$3+#REF!),-1),""))</f>
        <v/>
      </c>
      <c r="AY177" s="547" t="s">
        <v>621</v>
      </c>
      <c r="AZ177" s="547" t="str">
        <f>IF($G177="","",IF(AND($G177&gt;=30,$AT$3&lt;=AY$7),ROUND(AY177*($AP$3+#REF!),-1),""))</f>
        <v/>
      </c>
      <c r="BA177" s="547" t="s">
        <v>621</v>
      </c>
      <c r="BB177" s="547" t="str">
        <f>IF($G177="","",IF(AND($G177&gt;=30,$AT$3&lt;=BA$7),ROUND(BA177*($AP$3+#REF!),-1),""))</f>
        <v/>
      </c>
      <c r="BC177" s="547" t="s">
        <v>621</v>
      </c>
      <c r="BD177" s="547" t="str">
        <f>IF($G177="","",IF(AND($G177&gt;=30,$AT$3&lt;=BC$7),ROUND(BC177*($AP$3+#REF!),-1),""))</f>
        <v/>
      </c>
      <c r="BE177" s="547" t="s">
        <v>621</v>
      </c>
      <c r="BF177" s="547" t="str">
        <f>IF($G177="","",IF(AND($G177&gt;=30,$AT$3&lt;=BE$7),ROUND(BE177*($AP$3+#REF!),-1),""))</f>
        <v/>
      </c>
      <c r="BG177" s="547" t="s">
        <v>621</v>
      </c>
      <c r="BH177" s="547" t="str">
        <f>IF($G177="","",IF(AND($G177&gt;=30,$AT$3&lt;=BG$7),ROUND(BG177*($AP$3+#REF!),-1),""))</f>
        <v/>
      </c>
      <c r="BI177" s="533" t="e">
        <v>#REF!</v>
      </c>
      <c r="BJ177" s="547" t="str">
        <f>IF($G177="","",IF(AND($G177&gt;=30,$AT$3&lt;=BI$7),ROUND(BI177*($AP$3+#REF!),-1),""))</f>
        <v/>
      </c>
      <c r="BK177" s="547"/>
      <c r="BL177" s="547" t="str">
        <f>IF($G177="","",IF(AND($G177&gt;=30,$AT$3&lt;=BK$7),ROUND(BK177*($AP$3+#REF!),-1),""))</f>
        <v/>
      </c>
      <c r="BM177" s="547"/>
      <c r="BN177" s="547" t="str">
        <f>IF($G177="","",IF(AND($G177&gt;=30,$AT$3&lt;=BM$7),ROUND(BM177*($AP$3+#REF!),-1),""))</f>
        <v/>
      </c>
      <c r="BO177" s="547"/>
      <c r="BP177" s="547" t="str">
        <f>IF($G177="","",IF(AND($G177&gt;=30,$AT$3&lt;=BO$7),ROUND(BO177*($AP$3+#REF!),-1),""))</f>
        <v/>
      </c>
      <c r="BQ177" s="547"/>
      <c r="BR177" s="547" t="str">
        <f>IF($G177="","",IF(AND($G177&gt;=30,$AT$3&lt;=BQ$7),ROUND(BQ177*($AP$3+#REF!),-1),""))</f>
        <v/>
      </c>
      <c r="BS177" s="547"/>
      <c r="BT177" s="547" t="str">
        <f>IF($G177="","",IF(AND($G177&gt;=30,$AT$3&lt;=BS$7),ROUND(BS177*($AP$3+#REF!),-1),""))</f>
        <v/>
      </c>
      <c r="BU177" s="547"/>
      <c r="BV177" s="547" t="str">
        <f>IF($G177="","",IF(AND($G177&gt;=30,$AT$3&lt;=BU$7),ROUND(BU177*($AP$3+#REF!),-1),""))</f>
        <v/>
      </c>
      <c r="BW177" s="547"/>
      <c r="BX177" s="547" t="str">
        <f>IF($G177="","",IF(AND($G177&gt;=30,$AT$3&lt;=BW$7),ROUND(BW177*($AP$3+#REF!),-1),""))</f>
        <v/>
      </c>
      <c r="BY177" s="547"/>
      <c r="BZ177" s="547" t="str">
        <f>IF($G177="","",IF(AND($G177&gt;=30,$AT$3&lt;=BY$7),ROUND(BY177*($AP$3+#REF!),-1),""))</f>
        <v/>
      </c>
      <c r="CA177" s="547"/>
      <c r="CB177" s="547" t="str">
        <f>IF($G177="","",IF(AND($G177&gt;=30,$AT$3&lt;=CA$7),ROUND(CA177*($AP$3+#REF!),-1),""))</f>
        <v/>
      </c>
      <c r="CC177" s="547"/>
      <c r="CD177" s="547" t="str">
        <f>IF($G177="","",IF(AND($G177&gt;=30,$AT$3&lt;=CC$7),ROUND(CC177*($AP$3+#REF!),-1),""))</f>
        <v/>
      </c>
      <c r="CE177" s="547"/>
      <c r="CF177" s="547" t="str">
        <f>IF($G177="","",IF(AND($G177&gt;=30,$AT$3&lt;=CE$7),ROUND(CE177*($AP$3+#REF!),-1),""))</f>
        <v/>
      </c>
      <c r="CG177" s="547"/>
      <c r="CH177" s="547" t="str">
        <f>IF($G177="","",IF(AND($G177&gt;=30,$AT$3&lt;=CG$7),ROUND(CG177*($AP$3+#REF!),-1),""))</f>
        <v/>
      </c>
      <c r="CI177" s="547"/>
      <c r="CJ177" s="547" t="str">
        <f>IF($G177="","",IF(AND($G177&gt;=30,$AT$3&lt;=CI$7),ROUND(CI177*($AP$3+#REF!),-1),""))</f>
        <v/>
      </c>
      <c r="CK177" s="547"/>
      <c r="CL177" s="547" t="str">
        <f>IF($G177="","",IF(AND($G177&gt;=30,$AT$3&lt;=CK$7),ROUND(CK177*($AP$3+#REF!),-1),""))</f>
        <v/>
      </c>
      <c r="CM177" s="547"/>
      <c r="CN177" s="547" t="str">
        <f>IF($G177="","",IF(AND($G177&gt;=30,$AT$3&lt;=CM$7),ROUND(CM177*($AP$3+#REF!),-1),""))</f>
        <v/>
      </c>
      <c r="CO177" s="547"/>
      <c r="CP177" s="547" t="str">
        <f>IF($G177="","",IF(AND($G177&gt;=30,$AT$3&lt;=CO$7),ROUND(CO177*($AP$3+#REF!),-1),""))</f>
        <v/>
      </c>
      <c r="CQ177" s="547"/>
      <c r="CR177" s="547" t="str">
        <f>IF($G177="","",IF(AND($G177&gt;=30,$AT$3&lt;=CQ$7),ROUND(CQ177*($AP$3+#REF!),-1),""))</f>
        <v/>
      </c>
      <c r="CS177" s="547"/>
      <c r="CT177" s="547" t="str">
        <f>IF($G177="","",IF(AND($G177&gt;=30,$AT$3&lt;=CS$7),ROUND(CS177*($AP$3+#REF!),-1),""))</f>
        <v/>
      </c>
      <c r="CU177" s="547"/>
      <c r="CV177" s="547" t="str">
        <f>IF($G177="","",IF(AND($G177&gt;=30,$AT$3&lt;=CU$7),ROUND(CU177*($AP$3+#REF!),-1),""))</f>
        <v/>
      </c>
      <c r="CW177" s="547"/>
      <c r="CX177" s="547" t="str">
        <f>IF($G177="","",IF(AND($G177&gt;=30,$AT$3&lt;=CW$7),ROUND(CW177*($AP$3+#REF!),-1),""))</f>
        <v/>
      </c>
      <c r="CY177" s="547"/>
      <c r="CZ177" s="547" t="str">
        <f>IF($G177="","",IF(AND($G177&gt;=30,$AT$3&lt;=CY$7),ROUND(CY177*($AP$3+#REF!),-1),""))</f>
        <v/>
      </c>
      <c r="DA177" s="547"/>
      <c r="DB177" s="547" t="str">
        <f>IF($G177="","",IF(AND($G177&gt;=30,$AT$3&lt;=DA$7),ROUND(DA177*($AP$3+#REF!),-1),""))</f>
        <v/>
      </c>
      <c r="DC177" s="547"/>
      <c r="DD177" s="547" t="str">
        <f>IF($G177="","",IF(AND($G177&gt;=30,$AT$3&lt;=DC$7),ROUND(DC177*($AP$3+#REF!),-1),""))</f>
        <v/>
      </c>
      <c r="DE177" s="547"/>
      <c r="DF177" s="547" t="str">
        <f>IF($G177="","",IF(AND($G177&gt;=30,$AT$3&lt;=DE$7),ROUND(DE177*($AP$3+#REF!),-1),""))</f>
        <v/>
      </c>
      <c r="DG177" s="547"/>
      <c r="DH177" s="547" t="str">
        <f>IF($G177="","",IF(AND($G177&gt;=30,$AT$3&lt;=DG$7),ROUND(DG177*($AP$3+#REF!),-1),""))</f>
        <v/>
      </c>
      <c r="DI177" s="547"/>
      <c r="DJ177" s="547" t="str">
        <f>IF($G177="","",IF(AND($G177&gt;=30,$AT$3&lt;=DI$7),ROUND(DI177*($AP$3+#REF!),-1),""))</f>
        <v/>
      </c>
      <c r="DK177" s="547"/>
      <c r="DL177" s="547" t="str">
        <f>IF($G177="","",IF(AND($G177&gt;=30,$AT$3&lt;=DK$7),ROUND(DK177*($AP$3+#REF!),-1),""))</f>
        <v/>
      </c>
      <c r="DM177" s="547"/>
      <c r="DN177" s="547" t="str">
        <f>IF($G177="","",IF(AND($G177&gt;=30,$AT$3&lt;=DM$7),ROUND(DM177*($AP$3+#REF!),-1),""))</f>
        <v/>
      </c>
      <c r="DO177" s="547"/>
      <c r="DP177" s="547" t="str">
        <f>IF($G177="","",IF(AND($G177&gt;=30,$AT$3&lt;=DO$7),ROUND(DO177*($AP$3+#REF!),-1),""))</f>
        <v/>
      </c>
      <c r="DQ177" s="547"/>
      <c r="DR177" s="547" t="str">
        <f>IF($G177="","",IF(AND($G177&gt;=30,$AT$3&lt;=DQ$7),ROUND(DQ177*($AP$3+#REF!),-1),""))</f>
        <v/>
      </c>
      <c r="DS177" s="547"/>
      <c r="DT177" s="547" t="str">
        <f>IF($G177="","",IF(AND($G177&gt;=30,$AT$3&lt;=DS$7),ROUND(DS177*($AP$3+#REF!),-1),""))</f>
        <v/>
      </c>
      <c r="DU177" s="547"/>
      <c r="DV177" s="547" t="str">
        <f>IF($G177="","",IF(AND($G177&gt;=30,$AT$3&lt;=DU$7),ROUND(DU177*($AP$3+#REF!),-1),""))</f>
        <v/>
      </c>
      <c r="DW177" s="547"/>
      <c r="DX177" s="547" t="str">
        <f>IF($G177="","",IF(AND($G177&gt;=30,$AT$3&lt;=DW$7),ROUND(DW177*($AP$3+#REF!),-1),""))</f>
        <v/>
      </c>
      <c r="DY177" s="547"/>
      <c r="DZ177" s="547" t="str">
        <f>IF($G177="","",IF(AND($G177&gt;=30,$AT$3&lt;=DY$7),ROUND(DY177*($AP$3+#REF!),-1),""))</f>
        <v/>
      </c>
      <c r="EA177" s="547"/>
      <c r="EB177" s="547" t="str">
        <f>IF($G177="","",IF(AND($G177&gt;=30,$AT$3&lt;=EA$7),ROUND(EA177*($AP$3+#REF!),-1),""))</f>
        <v/>
      </c>
      <c r="EC177" s="547" t="s">
        <v>621</v>
      </c>
      <c r="ED177" s="1123">
        <f>SUM(EC177:EC188)</f>
        <v>0</v>
      </c>
      <c r="EE177" s="325">
        <v>1</v>
      </c>
    </row>
    <row r="178" spans="1:135" ht="9.75" customHeight="1">
      <c r="A178" s="321" t="str">
        <f t="shared" si="37"/>
        <v/>
      </c>
      <c r="B178" s="567">
        <f>(ii!$D$13*12+V178)+1</f>
        <v>72</v>
      </c>
      <c r="C178" s="337">
        <f t="shared" si="44"/>
        <v>47542</v>
      </c>
      <c r="D178" s="484">
        <f t="shared" si="47"/>
        <v>2030</v>
      </c>
      <c r="E178" s="484">
        <f t="shared" si="45"/>
        <v>0.16666666666666666</v>
      </c>
      <c r="F178" s="484">
        <f t="shared" si="48"/>
        <v>2030.1666666666667</v>
      </c>
      <c r="G178" s="485" t="str">
        <f>IF(OR(C178&lt;$I$2,C178&gt;$J$3),"",(ii!$D$13*12+V178+1)/12)</f>
        <v/>
      </c>
      <c r="H178" s="486"/>
      <c r="I178" s="486"/>
      <c r="J178" s="487"/>
      <c r="K178" s="488"/>
      <c r="L178" s="548"/>
      <c r="M178" s="489" t="str">
        <f t="shared" si="49"/>
        <v/>
      </c>
      <c r="N178" s="490" t="s">
        <v>621</v>
      </c>
      <c r="O178" s="490" t="str">
        <f t="shared" si="42"/>
        <v/>
      </c>
      <c r="P178" s="491"/>
      <c r="Q178" s="491"/>
      <c r="R178" s="491" t="str">
        <f t="shared" si="43"/>
        <v/>
      </c>
      <c r="S178" s="528" t="str">
        <f t="shared" si="38"/>
        <v/>
      </c>
      <c r="T178" s="528" t="str">
        <f t="shared" si="36"/>
        <v/>
      </c>
      <c r="U178" s="493" t="str">
        <f>IF(H178="","",#REF!*12+#REF!+#REF!*12+#REF!)</f>
        <v/>
      </c>
      <c r="V178" s="338">
        <f>IF(ii!$J$3&gt;gg!C178,"",IF(AND((YEAR(C178)=YEAR($I$2)),MONTH(C178)=MONTH($I$2)),ii!$B$14*12+ii!$C$14+ii!$B$15*12+ii!$C$15-1,V177+1))</f>
        <v>71</v>
      </c>
      <c r="W178" s="339">
        <f t="shared" si="46"/>
        <v>5.916666666666667</v>
      </c>
      <c r="X178" s="494" t="s">
        <v>621</v>
      </c>
      <c r="Y178" s="495" t="s">
        <v>621</v>
      </c>
      <c r="Z178" s="496"/>
      <c r="AA178" s="497"/>
      <c r="AB178" s="498" t="e">
        <f t="shared" si="52"/>
        <v>#VALUE!</v>
      </c>
      <c r="AC178" s="484" t="str">
        <f t="shared" si="50"/>
        <v/>
      </c>
      <c r="AD178" s="495" t="str">
        <f t="shared" si="51"/>
        <v/>
      </c>
      <c r="AE178" s="499" t="s">
        <v>621</v>
      </c>
      <c r="AF178" s="500" t="s">
        <v>621</v>
      </c>
      <c r="AG178" s="556" t="s">
        <v>621</v>
      </c>
      <c r="AH178" s="503" t="str">
        <f>IF($G178="","",IF(AND($G178&gt;=30,$AT$3&lt;=AG$7),ROUND(AG178*($AP$3+#REF!),-1),""))</f>
        <v/>
      </c>
      <c r="AI178" s="506" t="s">
        <v>621</v>
      </c>
      <c r="AJ178" s="503" t="str">
        <f>IF($G178="","",IF(AND($G178&gt;=30,$AT$3&lt;=AI$7),ROUND(AI178*($AP$3+#REF!),-1),""))</f>
        <v/>
      </c>
      <c r="AK178" s="506" t="s">
        <v>621</v>
      </c>
      <c r="AL178" s="503" t="str">
        <f>IF($G178="","",IF(AND($G178&gt;=30,$AT$3&lt;=AK$7),ROUND(AK178*($AP$3+#REF!),-1),""))</f>
        <v/>
      </c>
      <c r="AM178" s="506" t="s">
        <v>621</v>
      </c>
      <c r="AN178" s="503" t="str">
        <f>IF($G178="","",IF(AND($G178&gt;=30,$AT$3&lt;=AM$7),ROUND(AM178*($AP$3+#REF!),-1),""))</f>
        <v/>
      </c>
      <c r="AO178" s="503" t="e">
        <f>IF(AO177="","",AO177*1.001)</f>
        <v>#REF!</v>
      </c>
      <c r="AP178" s="503" t="str">
        <f>IF($G178="","",IF(AND($G178&gt;=30,$AT$3&lt;=AO$7),ROUND(AO178*($AP$3+#REF!),-1),""))</f>
        <v/>
      </c>
      <c r="AQ178" s="503" t="s">
        <v>621</v>
      </c>
      <c r="AR178" s="503" t="str">
        <f>IF($G178="","",IF(AND($G178&gt;=30,$AT$3&lt;=AQ$7),ROUND(AQ178*($AP$3+#REF!),-1),""))</f>
        <v/>
      </c>
      <c r="AS178" s="503" t="s">
        <v>621</v>
      </c>
      <c r="AT178" s="503" t="str">
        <f>IF($G178="","",IF(AND($G178&gt;=30,$AT$3&lt;=AS$7),ROUND(AS178*($AP$3+#REF!),-1),""))</f>
        <v/>
      </c>
      <c r="AU178" s="503" t="s">
        <v>621</v>
      </c>
      <c r="AV178" s="503" t="str">
        <f>IF($G178="","",IF(AND($G178&gt;=30,$AT$3&lt;=AU$7),ROUND(AU178*($AP$3+#REF!),-1),""))</f>
        <v/>
      </c>
      <c r="AW178" s="503" t="s">
        <v>621</v>
      </c>
      <c r="AX178" s="503" t="str">
        <f>IF($G178="","",IF(AND($G178&gt;=30,$AT$3&lt;=AW$7),ROUND(AW178*($AP$3+#REF!),-1),""))</f>
        <v/>
      </c>
      <c r="AY178" s="503" t="s">
        <v>621</v>
      </c>
      <c r="AZ178" s="503" t="str">
        <f>IF($G178="","",IF(AND($G178&gt;=30,$AT$3&lt;=AY$7),ROUND(AY178*($AP$3+#REF!),-1),""))</f>
        <v/>
      </c>
      <c r="BA178" s="503" t="s">
        <v>621</v>
      </c>
      <c r="BB178" s="503" t="str">
        <f>IF($G178="","",IF(AND($G178&gt;=30,$AT$3&lt;=BA$7),ROUND(BA178*($AP$3+#REF!),-1),""))</f>
        <v/>
      </c>
      <c r="BC178" s="503" t="s">
        <v>621</v>
      </c>
      <c r="BD178" s="503" t="str">
        <f>IF($G178="","",IF(AND($G178&gt;=30,$AT$3&lt;=BC$7),ROUND(BC178*($AP$3+#REF!),-1),""))</f>
        <v/>
      </c>
      <c r="BE178" s="503" t="s">
        <v>621</v>
      </c>
      <c r="BF178" s="503" t="str">
        <f>IF($G178="","",IF(AND($G178&gt;=30,$AT$3&lt;=BE$7),ROUND(BE178*($AP$3+#REF!),-1),""))</f>
        <v/>
      </c>
      <c r="BG178" s="503" t="s">
        <v>621</v>
      </c>
      <c r="BH178" s="503" t="str">
        <f>IF($G178="","",IF(AND($G178&gt;=30,$AT$3&lt;=BG$7),ROUND(BG178*($AP$3+#REF!),-1),""))</f>
        <v/>
      </c>
      <c r="BI178" s="517" t="e">
        <v>#REF!</v>
      </c>
      <c r="BJ178" s="503" t="str">
        <f>IF($G178="","",IF(AND($G178&gt;=30,$AT$3&lt;=BI$7),ROUND(BI178*($AP$3+#REF!),-1),""))</f>
        <v/>
      </c>
      <c r="BK178" s="502"/>
      <c r="BL178" s="503" t="str">
        <f>IF($G178="","",IF(AND($G178&gt;=30,$AT$3&lt;=BK$7),ROUND(BK178*($AP$3+#REF!),-1),""))</f>
        <v/>
      </c>
      <c r="BM178" s="503"/>
      <c r="BN178" s="503" t="str">
        <f>IF($G178="","",IF(AND($G178&gt;=30,$AT$3&lt;=BM$7),ROUND(BM178*($AP$3+#REF!),-1),""))</f>
        <v/>
      </c>
      <c r="BO178" s="502"/>
      <c r="BP178" s="503" t="str">
        <f>IF($G178="","",IF(AND($G178&gt;=30,$AT$3&lt;=BO$7),ROUND(BO178*($AP$3+#REF!),-1),""))</f>
        <v/>
      </c>
      <c r="BQ178" s="503"/>
      <c r="BR178" s="503" t="str">
        <f>IF($G178="","",IF(AND($G178&gt;=30,$AT$3&lt;=BQ$7),ROUND(BQ178*($AP$3+#REF!),-1),""))</f>
        <v/>
      </c>
      <c r="BS178" s="502"/>
      <c r="BT178" s="503" t="str">
        <f>IF($G178="","",IF(AND($G178&gt;=30,$AT$3&lt;=BS$7),ROUND(BS178*($AP$3+#REF!),-1),""))</f>
        <v/>
      </c>
      <c r="BU178" s="503"/>
      <c r="BV178" s="503" t="str">
        <f>IF($G178="","",IF(AND($G178&gt;=30,$AT$3&lt;=BU$7),ROUND(BU178*($AP$3+#REF!),-1),""))</f>
        <v/>
      </c>
      <c r="BW178" s="502"/>
      <c r="BX178" s="503" t="str">
        <f>IF($G178="","",IF(AND($G178&gt;=30,$AT$3&lt;=BW$7),ROUND(BW178*($AP$3+#REF!),-1),""))</f>
        <v/>
      </c>
      <c r="BY178" s="503"/>
      <c r="BZ178" s="503" t="str">
        <f>IF($G178="","",IF(AND($G178&gt;=30,$AT$3&lt;=BY$7),ROUND(BY178*($AP$3+#REF!),-1),""))</f>
        <v/>
      </c>
      <c r="CA178" s="502"/>
      <c r="CB178" s="503" t="str">
        <f>IF($G178="","",IF(AND($G178&gt;=30,$AT$3&lt;=CA$7),ROUND(CA178*($AP$3+#REF!),-1),""))</f>
        <v/>
      </c>
      <c r="CC178" s="503"/>
      <c r="CD178" s="503" t="str">
        <f>IF($G178="","",IF(AND($G178&gt;=30,$AT$3&lt;=CC$7),ROUND(CC178*($AP$3+#REF!),-1),""))</f>
        <v/>
      </c>
      <c r="CE178" s="502"/>
      <c r="CF178" s="503" t="str">
        <f>IF($G178="","",IF(AND($G178&gt;=30,$AT$3&lt;=CE$7),ROUND(CE178*($AP$3+#REF!),-1),""))</f>
        <v/>
      </c>
      <c r="CG178" s="503"/>
      <c r="CH178" s="503" t="str">
        <f>IF($G178="","",IF(AND($G178&gt;=30,$AT$3&lt;=CG$7),ROUND(CG178*($AP$3+#REF!),-1),""))</f>
        <v/>
      </c>
      <c r="CI178" s="502"/>
      <c r="CJ178" s="503" t="str">
        <f>IF($G178="","",IF(AND($G178&gt;=30,$AT$3&lt;=CI$7),ROUND(CI178*($AP$3+#REF!),-1),""))</f>
        <v/>
      </c>
      <c r="CK178" s="503"/>
      <c r="CL178" s="503" t="str">
        <f>IF($G178="","",IF(AND($G178&gt;=30,$AT$3&lt;=CK$7),ROUND(CK178*($AP$3+#REF!),-1),""))</f>
        <v/>
      </c>
      <c r="CM178" s="502"/>
      <c r="CN178" s="503" t="str">
        <f>IF($G178="","",IF(AND($G178&gt;=30,$AT$3&lt;=CM$7),ROUND(CM178*($AP$3+#REF!),-1),""))</f>
        <v/>
      </c>
      <c r="CO178" s="503"/>
      <c r="CP178" s="503" t="str">
        <f>IF($G178="","",IF(AND($G178&gt;=30,$AT$3&lt;=CO$7),ROUND(CO178*($AP$3+#REF!),-1),""))</f>
        <v/>
      </c>
      <c r="CQ178" s="502"/>
      <c r="CR178" s="503" t="str">
        <f>IF($G178="","",IF(AND($G178&gt;=30,$AT$3&lt;=CQ$7),ROUND(CQ178*($AP$3+#REF!),-1),""))</f>
        <v/>
      </c>
      <c r="CS178" s="503"/>
      <c r="CT178" s="503" t="str">
        <f>IF($G178="","",IF(AND($G178&gt;=30,$AT$3&lt;=CS$7),ROUND(CS178*($AP$3+#REF!),-1),""))</f>
        <v/>
      </c>
      <c r="CU178" s="502"/>
      <c r="CV178" s="503" t="str">
        <f>IF($G178="","",IF(AND($G178&gt;=30,$AT$3&lt;=CU$7),ROUND(CU178*($AP$3+#REF!),-1),""))</f>
        <v/>
      </c>
      <c r="CW178" s="503"/>
      <c r="CX178" s="503" t="str">
        <f>IF($G178="","",IF(AND($G178&gt;=30,$AT$3&lt;=CW$7),ROUND(CW178*($AP$3+#REF!),-1),""))</f>
        <v/>
      </c>
      <c r="CY178" s="502"/>
      <c r="CZ178" s="503" t="str">
        <f>IF($G178="","",IF(AND($G178&gt;=30,$AT$3&lt;=CY$7),ROUND(CY178*($AP$3+#REF!),-1),""))</f>
        <v/>
      </c>
      <c r="DA178" s="503"/>
      <c r="DB178" s="503" t="str">
        <f>IF($G178="","",IF(AND($G178&gt;=30,$AT$3&lt;=DA$7),ROUND(DA178*($AP$3+#REF!),-1),""))</f>
        <v/>
      </c>
      <c r="DC178" s="502"/>
      <c r="DD178" s="503" t="str">
        <f>IF($G178="","",IF(AND($G178&gt;=30,$AT$3&lt;=DC$7),ROUND(DC178*($AP$3+#REF!),-1),""))</f>
        <v/>
      </c>
      <c r="DE178" s="503"/>
      <c r="DF178" s="503" t="str">
        <f>IF($G178="","",IF(AND($G178&gt;=30,$AT$3&lt;=DE$7),ROUND(DE178*($AP$3+#REF!),-1),""))</f>
        <v/>
      </c>
      <c r="DG178" s="503"/>
      <c r="DH178" s="503" t="str">
        <f>IF($G178="","",IF(AND($G178&gt;=30,$AT$3&lt;=DG$7),ROUND(DG178*($AP$3+#REF!),-1),""))</f>
        <v/>
      </c>
      <c r="DI178" s="503"/>
      <c r="DJ178" s="503" t="str">
        <f>IF($G178="","",IF(AND($G178&gt;=30,$AT$3&lt;=DI$7),ROUND(DI178*($AP$3+#REF!),-1),""))</f>
        <v/>
      </c>
      <c r="DK178" s="503"/>
      <c r="DL178" s="503" t="str">
        <f>IF($G178="","",IF(AND($G178&gt;=30,$AT$3&lt;=DK$7),ROUND(DK178*($AP$3+#REF!),-1),""))</f>
        <v/>
      </c>
      <c r="DM178" s="503"/>
      <c r="DN178" s="503" t="str">
        <f>IF($G178="","",IF(AND($G178&gt;=30,$AT$3&lt;=DM$7),ROUND(DM178*($AP$3+#REF!),-1),""))</f>
        <v/>
      </c>
      <c r="DO178" s="503"/>
      <c r="DP178" s="503" t="str">
        <f>IF($G178="","",IF(AND($G178&gt;=30,$AT$3&lt;=DO$7),ROUND(DO178*($AP$3+#REF!),-1),""))</f>
        <v/>
      </c>
      <c r="DQ178" s="503"/>
      <c r="DR178" s="503" t="str">
        <f>IF($G178="","",IF(AND($G178&gt;=30,$AT$3&lt;=DQ$7),ROUND(DQ178*($AP$3+#REF!),-1),""))</f>
        <v/>
      </c>
      <c r="DS178" s="503"/>
      <c r="DT178" s="503" t="str">
        <f>IF($G178="","",IF(AND($G178&gt;=30,$AT$3&lt;=DS$7),ROUND(DS178*($AP$3+#REF!),-1),""))</f>
        <v/>
      </c>
      <c r="DU178" s="503"/>
      <c r="DV178" s="503" t="str">
        <f>IF($G178="","",IF(AND($G178&gt;=30,$AT$3&lt;=DU$7),ROUND(DU178*($AP$3+#REF!),-1),""))</f>
        <v/>
      </c>
      <c r="DW178" s="503"/>
      <c r="DX178" s="503" t="str">
        <f>IF($G178="","",IF(AND($G178&gt;=30,$AT$3&lt;=DW$7),ROUND(DW178*($AP$3+#REF!),-1),""))</f>
        <v/>
      </c>
      <c r="DY178" s="503"/>
      <c r="DZ178" s="503" t="str">
        <f>IF($G178="","",IF(AND($G178&gt;=30,$AT$3&lt;=DY$7),ROUND(DY178*($AP$3+#REF!),-1),""))</f>
        <v/>
      </c>
      <c r="EA178" s="503"/>
      <c r="EB178" s="503" t="str">
        <f>IF($G178="","",IF(AND($G178&gt;=30,$AT$3&lt;=EA$7),ROUND(EA178*($AP$3+#REF!),-1),""))</f>
        <v/>
      </c>
      <c r="EC178" s="504" t="s">
        <v>621</v>
      </c>
      <c r="ED178" s="1124"/>
      <c r="EE178" s="325">
        <v>2</v>
      </c>
    </row>
    <row r="179" spans="1:135" ht="9.75" customHeight="1">
      <c r="A179" s="321" t="str">
        <f t="shared" si="37"/>
        <v/>
      </c>
      <c r="B179" s="567">
        <f>(ii!$D$13*12+V179)+1</f>
        <v>73</v>
      </c>
      <c r="C179" s="337">
        <f t="shared" si="44"/>
        <v>47573</v>
      </c>
      <c r="D179" s="484">
        <f t="shared" si="47"/>
        <v>2030</v>
      </c>
      <c r="E179" s="484">
        <f t="shared" si="45"/>
        <v>0.25</v>
      </c>
      <c r="F179" s="484">
        <f t="shared" si="48"/>
        <v>2030.25</v>
      </c>
      <c r="G179" s="485" t="str">
        <f>IF(OR(C179&lt;$I$2,C179&gt;$J$3),"",(ii!$D$13*12+V179+1)/12)</f>
        <v/>
      </c>
      <c r="H179" s="486"/>
      <c r="I179" s="486"/>
      <c r="J179" s="487"/>
      <c r="K179" s="488"/>
      <c r="L179" s="548"/>
      <c r="M179" s="489" t="str">
        <f t="shared" si="49"/>
        <v/>
      </c>
      <c r="N179" s="490" t="s">
        <v>621</v>
      </c>
      <c r="O179" s="490" t="str">
        <f t="shared" si="42"/>
        <v/>
      </c>
      <c r="P179" s="491"/>
      <c r="Q179" s="491"/>
      <c r="R179" s="491" t="str">
        <f t="shared" si="43"/>
        <v/>
      </c>
      <c r="S179" s="528" t="str">
        <f t="shared" si="38"/>
        <v/>
      </c>
      <c r="T179" s="528" t="str">
        <f t="shared" si="36"/>
        <v/>
      </c>
      <c r="U179" s="493" t="str">
        <f>IF(H179="","",#REF!*12+#REF!+#REF!*12+#REF!)</f>
        <v/>
      </c>
      <c r="V179" s="338">
        <f>IF(ii!$J$3&gt;gg!C179,"",IF(AND((YEAR(C179)=YEAR($I$2)),MONTH(C179)=MONTH($I$2)),ii!$B$14*12+ii!$C$14+ii!$B$15*12+ii!$C$15-1,V178+1))</f>
        <v>72</v>
      </c>
      <c r="W179" s="339">
        <f t="shared" si="46"/>
        <v>6</v>
      </c>
      <c r="X179" s="494" t="s">
        <v>621</v>
      </c>
      <c r="Y179" s="495" t="s">
        <v>621</v>
      </c>
      <c r="Z179" s="496"/>
      <c r="AA179" s="497"/>
      <c r="AB179" s="498" t="e">
        <f t="shared" si="52"/>
        <v>#VALUE!</v>
      </c>
      <c r="AC179" s="484" t="str">
        <f t="shared" si="50"/>
        <v/>
      </c>
      <c r="AD179" s="495" t="str">
        <f t="shared" si="51"/>
        <v/>
      </c>
      <c r="AE179" s="499" t="s">
        <v>621</v>
      </c>
      <c r="AF179" s="500" t="s">
        <v>621</v>
      </c>
      <c r="AG179" s="556" t="s">
        <v>621</v>
      </c>
      <c r="AH179" s="503" t="str">
        <f>IF($G179="","",IF(AND($G179&gt;=30,$AT$3&lt;=AG$7),ROUND(AG179*($AP$3+#REF!),-1),""))</f>
        <v/>
      </c>
      <c r="AI179" s="506" t="s">
        <v>621</v>
      </c>
      <c r="AJ179" s="503" t="str">
        <f>IF($G179="","",IF(AND($G179&gt;=30,$AT$3&lt;=AI$7),ROUND(AI179*($AP$3+#REF!),-1),""))</f>
        <v/>
      </c>
      <c r="AK179" s="506" t="s">
        <v>621</v>
      </c>
      <c r="AL179" s="503" t="str">
        <f>IF($G179="","",IF(AND($G179&gt;=30,$AT$3&lt;=AK$7),ROUND(AK179*($AP$3+#REF!),-1),""))</f>
        <v/>
      </c>
      <c r="AM179" s="506" t="s">
        <v>621</v>
      </c>
      <c r="AN179" s="503" t="str">
        <f>IF($G179="","",IF(AND($G179&gt;=30,$AT$3&lt;=AM$7),ROUND(AM179*($AP$3+#REF!),-1),""))</f>
        <v/>
      </c>
      <c r="AO179" s="503" t="e">
        <v>#REF!</v>
      </c>
      <c r="AP179" s="503" t="str">
        <f>IF($G179="","",IF(AND($G179&gt;=30,$AT$3&lt;=AO$7),ROUND(AO179*($AP$3+#REF!),-1),""))</f>
        <v/>
      </c>
      <c r="AQ179" s="503" t="s">
        <v>621</v>
      </c>
      <c r="AR179" s="503" t="str">
        <f>IF($G179="","",IF(AND($G179&gt;=30,$AT$3&lt;=AQ$7),ROUND(AQ179*($AP$3+#REF!),-1),""))</f>
        <v/>
      </c>
      <c r="AS179" s="503" t="s">
        <v>621</v>
      </c>
      <c r="AT179" s="503" t="str">
        <f>IF($G179="","",IF(AND($G179&gt;=30,$AT$3&lt;=AS$7),ROUND(AS179*($AP$3+#REF!),-1),""))</f>
        <v/>
      </c>
      <c r="AU179" s="503" t="s">
        <v>621</v>
      </c>
      <c r="AV179" s="503" t="str">
        <f>IF($G179="","",IF(AND($G179&gt;=30,$AT$3&lt;=AU$7),ROUND(AU179*($AP$3+#REF!),-1),""))</f>
        <v/>
      </c>
      <c r="AW179" s="503" t="s">
        <v>621</v>
      </c>
      <c r="AX179" s="503" t="str">
        <f>IF($G179="","",IF(AND($G179&gt;=30,$AT$3&lt;=AW$7),ROUND(AW179*($AP$3+#REF!),-1),""))</f>
        <v/>
      </c>
      <c r="AY179" s="503" t="s">
        <v>621</v>
      </c>
      <c r="AZ179" s="503" t="str">
        <f>IF($G179="","",IF(AND($G179&gt;=30,$AT$3&lt;=AY$7),ROUND(AY179*($AP$3+#REF!),-1),""))</f>
        <v/>
      </c>
      <c r="BA179" s="503" t="s">
        <v>621</v>
      </c>
      <c r="BB179" s="503" t="str">
        <f>IF($G179="","",IF(AND($G179&gt;=30,$AT$3&lt;=BA$7),ROUND(BA179*($AP$3+#REF!),-1),""))</f>
        <v/>
      </c>
      <c r="BC179" s="503" t="s">
        <v>621</v>
      </c>
      <c r="BD179" s="503" t="str">
        <f>IF($G179="","",IF(AND($G179&gt;=30,$AT$3&lt;=BC$7),ROUND(BC179*($AP$3+#REF!),-1),""))</f>
        <v/>
      </c>
      <c r="BE179" s="503" t="s">
        <v>621</v>
      </c>
      <c r="BF179" s="503" t="str">
        <f>IF($G179="","",IF(AND($G179&gt;=30,$AT$3&lt;=BE$7),ROUND(BE179*($AP$3+#REF!),-1),""))</f>
        <v/>
      </c>
      <c r="BG179" s="503" t="s">
        <v>621</v>
      </c>
      <c r="BH179" s="503" t="str">
        <f>IF($G179="","",IF(AND($G179&gt;=30,$AT$3&lt;=BG$7),ROUND(BG179*($AP$3+#REF!),-1),""))</f>
        <v/>
      </c>
      <c r="BI179" s="517" t="e">
        <v>#REF!</v>
      </c>
      <c r="BJ179" s="503" t="str">
        <f>IF($G179="","",IF(AND($G179&gt;=30,$AT$3&lt;=BI$7),ROUND(BI179*($AP$3+#REF!),-1),""))</f>
        <v/>
      </c>
      <c r="BK179" s="502"/>
      <c r="BL179" s="503" t="str">
        <f>IF($G179="","",IF(AND($G179&gt;=30,$AT$3&lt;=BK$7),ROUND(BK179*($AP$3+#REF!),-1),""))</f>
        <v/>
      </c>
      <c r="BM179" s="503"/>
      <c r="BN179" s="503" t="str">
        <f>IF($G179="","",IF(AND($G179&gt;=30,$AT$3&lt;=BM$7),ROUND(BM179*($AP$3+#REF!),-1),""))</f>
        <v/>
      </c>
      <c r="BO179" s="502"/>
      <c r="BP179" s="503" t="str">
        <f>IF($G179="","",IF(AND($G179&gt;=30,$AT$3&lt;=BO$7),ROUND(BO179*($AP$3+#REF!),-1),""))</f>
        <v/>
      </c>
      <c r="BQ179" s="503"/>
      <c r="BR179" s="503" t="str">
        <f>IF($G179="","",IF(AND($G179&gt;=30,$AT$3&lt;=BQ$7),ROUND(BQ179*($AP$3+#REF!),-1),""))</f>
        <v/>
      </c>
      <c r="BS179" s="502"/>
      <c r="BT179" s="503" t="str">
        <f>IF($G179="","",IF(AND($G179&gt;=30,$AT$3&lt;=BS$7),ROUND(BS179*($AP$3+#REF!),-1),""))</f>
        <v/>
      </c>
      <c r="BU179" s="503"/>
      <c r="BV179" s="503" t="str">
        <f>IF($G179="","",IF(AND($G179&gt;=30,$AT$3&lt;=BU$7),ROUND(BU179*($AP$3+#REF!),-1),""))</f>
        <v/>
      </c>
      <c r="BW179" s="502"/>
      <c r="BX179" s="503" t="str">
        <f>IF($G179="","",IF(AND($G179&gt;=30,$AT$3&lt;=BW$7),ROUND(BW179*($AP$3+#REF!),-1),""))</f>
        <v/>
      </c>
      <c r="BY179" s="503"/>
      <c r="BZ179" s="503" t="str">
        <f>IF($G179="","",IF(AND($G179&gt;=30,$AT$3&lt;=BY$7),ROUND(BY179*($AP$3+#REF!),-1),""))</f>
        <v/>
      </c>
      <c r="CA179" s="502"/>
      <c r="CB179" s="503" t="str">
        <f>IF($G179="","",IF(AND($G179&gt;=30,$AT$3&lt;=CA$7),ROUND(CA179*($AP$3+#REF!),-1),""))</f>
        <v/>
      </c>
      <c r="CC179" s="503"/>
      <c r="CD179" s="503" t="str">
        <f>IF($G179="","",IF(AND($G179&gt;=30,$AT$3&lt;=CC$7),ROUND(CC179*($AP$3+#REF!),-1),""))</f>
        <v/>
      </c>
      <c r="CE179" s="502"/>
      <c r="CF179" s="503" t="str">
        <f>IF($G179="","",IF(AND($G179&gt;=30,$AT$3&lt;=CE$7),ROUND(CE179*($AP$3+#REF!),-1),""))</f>
        <v/>
      </c>
      <c r="CG179" s="503"/>
      <c r="CH179" s="503" t="str">
        <f>IF($G179="","",IF(AND($G179&gt;=30,$AT$3&lt;=CG$7),ROUND(CG179*($AP$3+#REF!),-1),""))</f>
        <v/>
      </c>
      <c r="CI179" s="502"/>
      <c r="CJ179" s="503" t="str">
        <f>IF($G179="","",IF(AND($G179&gt;=30,$AT$3&lt;=CI$7),ROUND(CI179*($AP$3+#REF!),-1),""))</f>
        <v/>
      </c>
      <c r="CK179" s="503"/>
      <c r="CL179" s="503" t="str">
        <f>IF($G179="","",IF(AND($G179&gt;=30,$AT$3&lt;=CK$7),ROUND(CK179*($AP$3+#REF!),-1),""))</f>
        <v/>
      </c>
      <c r="CM179" s="502"/>
      <c r="CN179" s="503" t="str">
        <f>IF($G179="","",IF(AND($G179&gt;=30,$AT$3&lt;=CM$7),ROUND(CM179*($AP$3+#REF!),-1),""))</f>
        <v/>
      </c>
      <c r="CO179" s="503"/>
      <c r="CP179" s="503" t="str">
        <f>IF($G179="","",IF(AND($G179&gt;=30,$AT$3&lt;=CO$7),ROUND(CO179*($AP$3+#REF!),-1),""))</f>
        <v/>
      </c>
      <c r="CQ179" s="502"/>
      <c r="CR179" s="503" t="str">
        <f>IF($G179="","",IF(AND($G179&gt;=30,$AT$3&lt;=CQ$7),ROUND(CQ179*($AP$3+#REF!),-1),""))</f>
        <v/>
      </c>
      <c r="CS179" s="503"/>
      <c r="CT179" s="503" t="str">
        <f>IF($G179="","",IF(AND($G179&gt;=30,$AT$3&lt;=CS$7),ROUND(CS179*($AP$3+#REF!),-1),""))</f>
        <v/>
      </c>
      <c r="CU179" s="502"/>
      <c r="CV179" s="503" t="str">
        <f>IF($G179="","",IF(AND($G179&gt;=30,$AT$3&lt;=CU$7),ROUND(CU179*($AP$3+#REF!),-1),""))</f>
        <v/>
      </c>
      <c r="CW179" s="503"/>
      <c r="CX179" s="503" t="str">
        <f>IF($G179="","",IF(AND($G179&gt;=30,$AT$3&lt;=CW$7),ROUND(CW179*($AP$3+#REF!),-1),""))</f>
        <v/>
      </c>
      <c r="CY179" s="502"/>
      <c r="CZ179" s="503" t="str">
        <f>IF($G179="","",IF(AND($G179&gt;=30,$AT$3&lt;=CY$7),ROUND(CY179*($AP$3+#REF!),-1),""))</f>
        <v/>
      </c>
      <c r="DA179" s="503"/>
      <c r="DB179" s="503" t="str">
        <f>IF($G179="","",IF(AND($G179&gt;=30,$AT$3&lt;=DA$7),ROUND(DA179*($AP$3+#REF!),-1),""))</f>
        <v/>
      </c>
      <c r="DC179" s="502"/>
      <c r="DD179" s="503" t="str">
        <f>IF($G179="","",IF(AND($G179&gt;=30,$AT$3&lt;=DC$7),ROUND(DC179*($AP$3+#REF!),-1),""))</f>
        <v/>
      </c>
      <c r="DE179" s="503"/>
      <c r="DF179" s="503" t="str">
        <f>IF($G179="","",IF(AND($G179&gt;=30,$AT$3&lt;=DE$7),ROUND(DE179*($AP$3+#REF!),-1),""))</f>
        <v/>
      </c>
      <c r="DG179" s="503"/>
      <c r="DH179" s="503" t="str">
        <f>IF($G179="","",IF(AND($G179&gt;=30,$AT$3&lt;=DG$7),ROUND(DG179*($AP$3+#REF!),-1),""))</f>
        <v/>
      </c>
      <c r="DI179" s="503"/>
      <c r="DJ179" s="503" t="str">
        <f>IF($G179="","",IF(AND($G179&gt;=30,$AT$3&lt;=DI$7),ROUND(DI179*($AP$3+#REF!),-1),""))</f>
        <v/>
      </c>
      <c r="DK179" s="503"/>
      <c r="DL179" s="503" t="str">
        <f>IF($G179="","",IF(AND($G179&gt;=30,$AT$3&lt;=DK$7),ROUND(DK179*($AP$3+#REF!),-1),""))</f>
        <v/>
      </c>
      <c r="DM179" s="503"/>
      <c r="DN179" s="503" t="str">
        <f>IF($G179="","",IF(AND($G179&gt;=30,$AT$3&lt;=DM$7),ROUND(DM179*($AP$3+#REF!),-1),""))</f>
        <v/>
      </c>
      <c r="DO179" s="503"/>
      <c r="DP179" s="503" t="str">
        <f>IF($G179="","",IF(AND($G179&gt;=30,$AT$3&lt;=DO$7),ROUND(DO179*($AP$3+#REF!),-1),""))</f>
        <v/>
      </c>
      <c r="DQ179" s="503"/>
      <c r="DR179" s="503" t="str">
        <f>IF($G179="","",IF(AND($G179&gt;=30,$AT$3&lt;=DQ$7),ROUND(DQ179*($AP$3+#REF!),-1),""))</f>
        <v/>
      </c>
      <c r="DS179" s="503"/>
      <c r="DT179" s="503" t="str">
        <f>IF($G179="","",IF(AND($G179&gt;=30,$AT$3&lt;=DS$7),ROUND(DS179*($AP$3+#REF!),-1),""))</f>
        <v/>
      </c>
      <c r="DU179" s="503"/>
      <c r="DV179" s="503" t="str">
        <f>IF($G179="","",IF(AND($G179&gt;=30,$AT$3&lt;=DU$7),ROUND(DU179*($AP$3+#REF!),-1),""))</f>
        <v/>
      </c>
      <c r="DW179" s="503"/>
      <c r="DX179" s="503" t="str">
        <f>IF($G179="","",IF(AND($G179&gt;=30,$AT$3&lt;=DW$7),ROUND(DW179*($AP$3+#REF!),-1),""))</f>
        <v/>
      </c>
      <c r="DY179" s="503"/>
      <c r="DZ179" s="503" t="str">
        <f>IF($G179="","",IF(AND($G179&gt;=30,$AT$3&lt;=DY$7),ROUND(DY179*($AP$3+#REF!),-1),""))</f>
        <v/>
      </c>
      <c r="EA179" s="503"/>
      <c r="EB179" s="503" t="str">
        <f>IF($G179="","",IF(AND($G179&gt;=30,$AT$3&lt;=EA$7),ROUND(EA179*($AP$3+#REF!),-1),""))</f>
        <v/>
      </c>
      <c r="EC179" s="504" t="s">
        <v>621</v>
      </c>
      <c r="ED179" s="1124"/>
      <c r="EE179" s="325">
        <v>3</v>
      </c>
    </row>
    <row r="180" spans="1:135" ht="9.75" customHeight="1">
      <c r="A180" s="321" t="str">
        <f t="shared" si="37"/>
        <v/>
      </c>
      <c r="B180" s="567">
        <f>(ii!$D$13*12+V180)+1</f>
        <v>74</v>
      </c>
      <c r="C180" s="337">
        <f t="shared" si="44"/>
        <v>47603</v>
      </c>
      <c r="D180" s="484">
        <f t="shared" si="47"/>
        <v>2030</v>
      </c>
      <c r="E180" s="484">
        <f t="shared" si="45"/>
        <v>0.33333333333333331</v>
      </c>
      <c r="F180" s="484">
        <f t="shared" si="48"/>
        <v>2030.3333333333333</v>
      </c>
      <c r="G180" s="485" t="str">
        <f>IF(OR(C180&lt;$I$2,C180&gt;$J$3),"",(ii!$D$13*12+V180+1)/12)</f>
        <v/>
      </c>
      <c r="H180" s="486"/>
      <c r="I180" s="486"/>
      <c r="J180" s="487"/>
      <c r="K180" s="488"/>
      <c r="L180" s="548"/>
      <c r="M180" s="489" t="str">
        <f t="shared" si="49"/>
        <v/>
      </c>
      <c r="N180" s="490" t="s">
        <v>621</v>
      </c>
      <c r="O180" s="490" t="str">
        <f t="shared" si="42"/>
        <v/>
      </c>
      <c r="P180" s="491"/>
      <c r="Q180" s="491"/>
      <c r="R180" s="491" t="str">
        <f t="shared" si="43"/>
        <v/>
      </c>
      <c r="S180" s="528" t="str">
        <f t="shared" si="38"/>
        <v/>
      </c>
      <c r="T180" s="528" t="str">
        <f t="shared" si="36"/>
        <v/>
      </c>
      <c r="U180" s="493" t="str">
        <f>IF(H180="","",#REF!*12+#REF!+#REF!*12+#REF!)</f>
        <v/>
      </c>
      <c r="V180" s="338">
        <f>IF(ii!$J$3&gt;gg!C180,"",IF(AND((YEAR(C180)=YEAR($I$2)),MONTH(C180)=MONTH($I$2)),ii!$B$14*12+ii!$C$14+ii!$B$15*12+ii!$C$15-1,V179+1))</f>
        <v>73</v>
      </c>
      <c r="W180" s="339">
        <f t="shared" si="46"/>
        <v>6.083333333333333</v>
      </c>
      <c r="X180" s="494" t="s">
        <v>621</v>
      </c>
      <c r="Y180" s="495" t="s">
        <v>621</v>
      </c>
      <c r="Z180" s="496"/>
      <c r="AA180" s="497"/>
      <c r="AB180" s="498" t="e">
        <f t="shared" si="52"/>
        <v>#VALUE!</v>
      </c>
      <c r="AC180" s="484" t="str">
        <f t="shared" si="50"/>
        <v/>
      </c>
      <c r="AD180" s="495" t="str">
        <f t="shared" si="51"/>
        <v/>
      </c>
      <c r="AE180" s="499" t="s">
        <v>621</v>
      </c>
      <c r="AF180" s="500" t="s">
        <v>621</v>
      </c>
      <c r="AG180" s="556" t="s">
        <v>621</v>
      </c>
      <c r="AH180" s="503" t="str">
        <f>IF($G180="","",IF(AND($G180&gt;=30,$AT$3&lt;=AG$7),ROUND(AG180*($AP$3+#REF!),-1),""))</f>
        <v/>
      </c>
      <c r="AI180" s="506" t="s">
        <v>621</v>
      </c>
      <c r="AJ180" s="503" t="str">
        <f>IF($G180="","",IF(AND($G180&gt;=30,$AT$3&lt;=AI$7),ROUND(AI180*($AP$3+#REF!),-1),""))</f>
        <v/>
      </c>
      <c r="AK180" s="506" t="s">
        <v>621</v>
      </c>
      <c r="AL180" s="503" t="str">
        <f>IF($G180="","",IF(AND($G180&gt;=30,$AT$3&lt;=AK$7),ROUND(AK180*($AP$3+#REF!),-1),""))</f>
        <v/>
      </c>
      <c r="AM180" s="506" t="s">
        <v>621</v>
      </c>
      <c r="AN180" s="503" t="str">
        <f>IF($G180="","",IF(AND($G180&gt;=30,$AT$3&lt;=AM$7),ROUND(AM180*($AP$3+#REF!),-1),""))</f>
        <v/>
      </c>
      <c r="AO180" s="503" t="e">
        <v>#REF!</v>
      </c>
      <c r="AP180" s="503" t="str">
        <f>IF($G180="","",IF(AND($G180&gt;=30,$AT$3&lt;=AO$7),ROUND(AO180*($AP$3+#REF!),-1),""))</f>
        <v/>
      </c>
      <c r="AQ180" s="503" t="s">
        <v>621</v>
      </c>
      <c r="AR180" s="503" t="str">
        <f>IF($G180="","",IF(AND($G180&gt;=30,$AT$3&lt;=AQ$7),ROUND(AQ180*($AP$3+#REF!),-1),""))</f>
        <v/>
      </c>
      <c r="AS180" s="503" t="s">
        <v>621</v>
      </c>
      <c r="AT180" s="503" t="str">
        <f>IF($G180="","",IF(AND($G180&gt;=30,$AT$3&lt;=AS$7),ROUND(AS180*($AP$3+#REF!),-1),""))</f>
        <v/>
      </c>
      <c r="AU180" s="503" t="s">
        <v>621</v>
      </c>
      <c r="AV180" s="503" t="str">
        <f>IF($G180="","",IF(AND($G180&gt;=30,$AT$3&lt;=AU$7),ROUND(AU180*($AP$3+#REF!),-1),""))</f>
        <v/>
      </c>
      <c r="AW180" s="503" t="s">
        <v>621</v>
      </c>
      <c r="AX180" s="503" t="str">
        <f>IF($G180="","",IF(AND($G180&gt;=30,$AT$3&lt;=AW$7),ROUND(AW180*($AP$3+#REF!),-1),""))</f>
        <v/>
      </c>
      <c r="AY180" s="503" t="s">
        <v>621</v>
      </c>
      <c r="AZ180" s="503" t="str">
        <f>IF($G180="","",IF(AND($G180&gt;=30,$AT$3&lt;=AY$7),ROUND(AY180*($AP$3+#REF!),-1),""))</f>
        <v/>
      </c>
      <c r="BA180" s="503" t="s">
        <v>621</v>
      </c>
      <c r="BB180" s="503" t="str">
        <f>IF($G180="","",IF(AND($G180&gt;=30,$AT$3&lt;=BA$7),ROUND(BA180*($AP$3+#REF!),-1),""))</f>
        <v/>
      </c>
      <c r="BC180" s="503" t="s">
        <v>621</v>
      </c>
      <c r="BD180" s="503" t="str">
        <f>IF($G180="","",IF(AND($G180&gt;=30,$AT$3&lt;=BC$7),ROUND(BC180*($AP$3+#REF!),-1),""))</f>
        <v/>
      </c>
      <c r="BE180" s="503" t="s">
        <v>621</v>
      </c>
      <c r="BF180" s="503" t="str">
        <f>IF($G180="","",IF(AND($G180&gt;=30,$AT$3&lt;=BE$7),ROUND(BE180*($AP$3+#REF!),-1),""))</f>
        <v/>
      </c>
      <c r="BG180" s="503" t="s">
        <v>621</v>
      </c>
      <c r="BH180" s="503" t="str">
        <f>IF($G180="","",IF(AND($G180&gt;=30,$AT$3&lt;=BG$7),ROUND(BG180*($AP$3+#REF!),-1),""))</f>
        <v/>
      </c>
      <c r="BI180" s="517" t="e">
        <v>#REF!</v>
      </c>
      <c r="BJ180" s="503" t="str">
        <f>IF($G180="","",IF(AND($G180&gt;=30,$AT$3&lt;=BI$7),ROUND(BI180*($AP$3+#REF!),-1),""))</f>
        <v/>
      </c>
      <c r="BK180" s="502"/>
      <c r="BL180" s="503" t="str">
        <f>IF($G180="","",IF(AND($G180&gt;=30,$AT$3&lt;=BK$7),ROUND(BK180*($AP$3+#REF!),-1),""))</f>
        <v/>
      </c>
      <c r="BM180" s="503"/>
      <c r="BN180" s="503" t="str">
        <f>IF($G180="","",IF(AND($G180&gt;=30,$AT$3&lt;=BM$7),ROUND(BM180*($AP$3+#REF!),-1),""))</f>
        <v/>
      </c>
      <c r="BO180" s="502"/>
      <c r="BP180" s="503" t="str">
        <f>IF($G180="","",IF(AND($G180&gt;=30,$AT$3&lt;=BO$7),ROUND(BO180*($AP$3+#REF!),-1),""))</f>
        <v/>
      </c>
      <c r="BQ180" s="503"/>
      <c r="BR180" s="503" t="str">
        <f>IF($G180="","",IF(AND($G180&gt;=30,$AT$3&lt;=BQ$7),ROUND(BQ180*($AP$3+#REF!),-1),""))</f>
        <v/>
      </c>
      <c r="BS180" s="502"/>
      <c r="BT180" s="503" t="str">
        <f>IF($G180="","",IF(AND($G180&gt;=30,$AT$3&lt;=BS$7),ROUND(BS180*($AP$3+#REF!),-1),""))</f>
        <v/>
      </c>
      <c r="BU180" s="503"/>
      <c r="BV180" s="503" t="str">
        <f>IF($G180="","",IF(AND($G180&gt;=30,$AT$3&lt;=BU$7),ROUND(BU180*($AP$3+#REF!),-1),""))</f>
        <v/>
      </c>
      <c r="BW180" s="502"/>
      <c r="BX180" s="503" t="str">
        <f>IF($G180="","",IF(AND($G180&gt;=30,$AT$3&lt;=BW$7),ROUND(BW180*($AP$3+#REF!),-1),""))</f>
        <v/>
      </c>
      <c r="BY180" s="503"/>
      <c r="BZ180" s="503" t="str">
        <f>IF($G180="","",IF(AND($G180&gt;=30,$AT$3&lt;=BY$7),ROUND(BY180*($AP$3+#REF!),-1),""))</f>
        <v/>
      </c>
      <c r="CA180" s="502"/>
      <c r="CB180" s="503" t="str">
        <f>IF($G180="","",IF(AND($G180&gt;=30,$AT$3&lt;=CA$7),ROUND(CA180*($AP$3+#REF!),-1),""))</f>
        <v/>
      </c>
      <c r="CC180" s="503"/>
      <c r="CD180" s="503" t="str">
        <f>IF($G180="","",IF(AND($G180&gt;=30,$AT$3&lt;=CC$7),ROUND(CC180*($AP$3+#REF!),-1),""))</f>
        <v/>
      </c>
      <c r="CE180" s="502"/>
      <c r="CF180" s="503" t="str">
        <f>IF($G180="","",IF(AND($G180&gt;=30,$AT$3&lt;=CE$7),ROUND(CE180*($AP$3+#REF!),-1),""))</f>
        <v/>
      </c>
      <c r="CG180" s="503"/>
      <c r="CH180" s="503" t="str">
        <f>IF($G180="","",IF(AND($G180&gt;=30,$AT$3&lt;=CG$7),ROUND(CG180*($AP$3+#REF!),-1),""))</f>
        <v/>
      </c>
      <c r="CI180" s="502"/>
      <c r="CJ180" s="503" t="str">
        <f>IF($G180="","",IF(AND($G180&gt;=30,$AT$3&lt;=CI$7),ROUND(CI180*($AP$3+#REF!),-1),""))</f>
        <v/>
      </c>
      <c r="CK180" s="503"/>
      <c r="CL180" s="503" t="str">
        <f>IF($G180="","",IF(AND($G180&gt;=30,$AT$3&lt;=CK$7),ROUND(CK180*($AP$3+#REF!),-1),""))</f>
        <v/>
      </c>
      <c r="CM180" s="502"/>
      <c r="CN180" s="503" t="str">
        <f>IF($G180="","",IF(AND($G180&gt;=30,$AT$3&lt;=CM$7),ROUND(CM180*($AP$3+#REF!),-1),""))</f>
        <v/>
      </c>
      <c r="CO180" s="503"/>
      <c r="CP180" s="503" t="str">
        <f>IF($G180="","",IF(AND($G180&gt;=30,$AT$3&lt;=CO$7),ROUND(CO180*($AP$3+#REF!),-1),""))</f>
        <v/>
      </c>
      <c r="CQ180" s="502"/>
      <c r="CR180" s="503" t="str">
        <f>IF($G180="","",IF(AND($G180&gt;=30,$AT$3&lt;=CQ$7),ROUND(CQ180*($AP$3+#REF!),-1),""))</f>
        <v/>
      </c>
      <c r="CS180" s="503"/>
      <c r="CT180" s="503" t="str">
        <f>IF($G180="","",IF(AND($G180&gt;=30,$AT$3&lt;=CS$7),ROUND(CS180*($AP$3+#REF!),-1),""))</f>
        <v/>
      </c>
      <c r="CU180" s="502"/>
      <c r="CV180" s="503" t="str">
        <f>IF($G180="","",IF(AND($G180&gt;=30,$AT$3&lt;=CU$7),ROUND(CU180*($AP$3+#REF!),-1),""))</f>
        <v/>
      </c>
      <c r="CW180" s="503"/>
      <c r="CX180" s="503" t="str">
        <f>IF($G180="","",IF(AND($G180&gt;=30,$AT$3&lt;=CW$7),ROUND(CW180*($AP$3+#REF!),-1),""))</f>
        <v/>
      </c>
      <c r="CY180" s="502"/>
      <c r="CZ180" s="503" t="str">
        <f>IF($G180="","",IF(AND($G180&gt;=30,$AT$3&lt;=CY$7),ROUND(CY180*($AP$3+#REF!),-1),""))</f>
        <v/>
      </c>
      <c r="DA180" s="503"/>
      <c r="DB180" s="503" t="str">
        <f>IF($G180="","",IF(AND($G180&gt;=30,$AT$3&lt;=DA$7),ROUND(DA180*($AP$3+#REF!),-1),""))</f>
        <v/>
      </c>
      <c r="DC180" s="502"/>
      <c r="DD180" s="503" t="str">
        <f>IF($G180="","",IF(AND($G180&gt;=30,$AT$3&lt;=DC$7),ROUND(DC180*($AP$3+#REF!),-1),""))</f>
        <v/>
      </c>
      <c r="DE180" s="503"/>
      <c r="DF180" s="503" t="str">
        <f>IF($G180="","",IF(AND($G180&gt;=30,$AT$3&lt;=DE$7),ROUND(DE180*($AP$3+#REF!),-1),""))</f>
        <v/>
      </c>
      <c r="DG180" s="503"/>
      <c r="DH180" s="503" t="str">
        <f>IF($G180="","",IF(AND($G180&gt;=30,$AT$3&lt;=DG$7),ROUND(DG180*($AP$3+#REF!),-1),""))</f>
        <v/>
      </c>
      <c r="DI180" s="503"/>
      <c r="DJ180" s="503" t="str">
        <f>IF($G180="","",IF(AND($G180&gt;=30,$AT$3&lt;=DI$7),ROUND(DI180*($AP$3+#REF!),-1),""))</f>
        <v/>
      </c>
      <c r="DK180" s="503"/>
      <c r="DL180" s="503" t="str">
        <f>IF($G180="","",IF(AND($G180&gt;=30,$AT$3&lt;=DK$7),ROUND(DK180*($AP$3+#REF!),-1),""))</f>
        <v/>
      </c>
      <c r="DM180" s="503"/>
      <c r="DN180" s="503" t="str">
        <f>IF($G180="","",IF(AND($G180&gt;=30,$AT$3&lt;=DM$7),ROUND(DM180*($AP$3+#REF!),-1),""))</f>
        <v/>
      </c>
      <c r="DO180" s="503"/>
      <c r="DP180" s="503" t="str">
        <f>IF($G180="","",IF(AND($G180&gt;=30,$AT$3&lt;=DO$7),ROUND(DO180*($AP$3+#REF!),-1),""))</f>
        <v/>
      </c>
      <c r="DQ180" s="503"/>
      <c r="DR180" s="503" t="str">
        <f>IF($G180="","",IF(AND($G180&gt;=30,$AT$3&lt;=DQ$7),ROUND(DQ180*($AP$3+#REF!),-1),""))</f>
        <v/>
      </c>
      <c r="DS180" s="503"/>
      <c r="DT180" s="503" t="str">
        <f>IF($G180="","",IF(AND($G180&gt;=30,$AT$3&lt;=DS$7),ROUND(DS180*($AP$3+#REF!),-1),""))</f>
        <v/>
      </c>
      <c r="DU180" s="503"/>
      <c r="DV180" s="503" t="str">
        <f>IF($G180="","",IF(AND($G180&gt;=30,$AT$3&lt;=DU$7),ROUND(DU180*($AP$3+#REF!),-1),""))</f>
        <v/>
      </c>
      <c r="DW180" s="503"/>
      <c r="DX180" s="503" t="str">
        <f>IF($G180="","",IF(AND($G180&gt;=30,$AT$3&lt;=DW$7),ROUND(DW180*($AP$3+#REF!),-1),""))</f>
        <v/>
      </c>
      <c r="DY180" s="503"/>
      <c r="DZ180" s="503" t="str">
        <f>IF($G180="","",IF(AND($G180&gt;=30,$AT$3&lt;=DY$7),ROUND(DY180*($AP$3+#REF!),-1),""))</f>
        <v/>
      </c>
      <c r="EA180" s="503"/>
      <c r="EB180" s="503" t="str">
        <f>IF($G180="","",IF(AND($G180&gt;=30,$AT$3&lt;=EA$7),ROUND(EA180*($AP$3+#REF!),-1),""))</f>
        <v/>
      </c>
      <c r="EC180" s="504" t="s">
        <v>621</v>
      </c>
      <c r="ED180" s="1124"/>
      <c r="EE180" s="325">
        <v>4</v>
      </c>
    </row>
    <row r="181" spans="1:135" ht="9.75" customHeight="1">
      <c r="A181" s="321" t="str">
        <f t="shared" si="37"/>
        <v/>
      </c>
      <c r="B181" s="567">
        <f>(ii!$D$13*12+V181)+1</f>
        <v>75</v>
      </c>
      <c r="C181" s="337">
        <f t="shared" si="44"/>
        <v>47634</v>
      </c>
      <c r="D181" s="484">
        <f t="shared" si="47"/>
        <v>2030</v>
      </c>
      <c r="E181" s="484">
        <f t="shared" si="45"/>
        <v>0.41666666666666669</v>
      </c>
      <c r="F181" s="484">
        <f t="shared" si="48"/>
        <v>2030.4166666666667</v>
      </c>
      <c r="G181" s="485" t="str">
        <f>IF(OR(C181&lt;$I$2,C181&gt;$J$3),"",(ii!$D$13*12+V181+1)/12)</f>
        <v/>
      </c>
      <c r="H181" s="486"/>
      <c r="I181" s="486"/>
      <c r="J181" s="507"/>
      <c r="K181" s="508"/>
      <c r="L181" s="548"/>
      <c r="M181" s="489" t="str">
        <f t="shared" si="49"/>
        <v/>
      </c>
      <c r="N181" s="490" t="s">
        <v>621</v>
      </c>
      <c r="O181" s="490" t="str">
        <f t="shared" si="42"/>
        <v/>
      </c>
      <c r="P181" s="507"/>
      <c r="Q181" s="507"/>
      <c r="R181" s="491" t="str">
        <f t="shared" si="43"/>
        <v/>
      </c>
      <c r="S181" s="528" t="str">
        <f t="shared" si="38"/>
        <v/>
      </c>
      <c r="T181" s="528" t="str">
        <f t="shared" si="36"/>
        <v/>
      </c>
      <c r="U181" s="493" t="str">
        <f>IF(H181="","",#REF!*12+#REF!+#REF!*12+#REF!)</f>
        <v/>
      </c>
      <c r="V181" s="338">
        <f>IF(ii!$J$3&gt;gg!C181,"",IF(AND((YEAR(C181)=YEAR($I$2)),MONTH(C181)=MONTH($I$2)),ii!$B$14*12+ii!$C$14+ii!$B$15*12+ii!$C$15-1,V180+1))</f>
        <v>74</v>
      </c>
      <c r="W181" s="339">
        <f t="shared" si="46"/>
        <v>6.166666666666667</v>
      </c>
      <c r="X181" s="494" t="s">
        <v>621</v>
      </c>
      <c r="Y181" s="495" t="s">
        <v>621</v>
      </c>
      <c r="Z181" s="496"/>
      <c r="AA181" s="497"/>
      <c r="AB181" s="498" t="e">
        <f t="shared" si="52"/>
        <v>#VALUE!</v>
      </c>
      <c r="AC181" s="484" t="str">
        <f t="shared" si="50"/>
        <v/>
      </c>
      <c r="AD181" s="495" t="str">
        <f t="shared" si="51"/>
        <v/>
      </c>
      <c r="AE181" s="499" t="s">
        <v>621</v>
      </c>
      <c r="AF181" s="500" t="s">
        <v>621</v>
      </c>
      <c r="AG181" s="556" t="s">
        <v>621</v>
      </c>
      <c r="AH181" s="503" t="str">
        <f>IF($G181="","",IF(AND($G181&gt;=30,$AT$3&lt;=AG$7),ROUND(AG181*($AP$3+#REF!),-1),""))</f>
        <v/>
      </c>
      <c r="AI181" s="506" t="s">
        <v>621</v>
      </c>
      <c r="AJ181" s="503" t="str">
        <f>IF($G181="","",IF(AND($G181&gt;=30,$AT$3&lt;=AI$7),ROUND(AI181*($AP$3+#REF!),-1),""))</f>
        <v/>
      </c>
      <c r="AK181" s="506" t="s">
        <v>621</v>
      </c>
      <c r="AL181" s="503" t="str">
        <f>IF($G181="","",IF(AND($G181&gt;=30,$AT$3&lt;=AK$7),ROUND(AK181*($AP$3+#REF!),-1),""))</f>
        <v/>
      </c>
      <c r="AM181" s="506" t="s">
        <v>621</v>
      </c>
      <c r="AN181" s="503" t="str">
        <f>IF($G181="","",IF(AND($G181&gt;=30,$AT$3&lt;=AM$7),ROUND(AM181*($AP$3+#REF!),-1),""))</f>
        <v/>
      </c>
      <c r="AO181" s="503" t="e">
        <v>#REF!</v>
      </c>
      <c r="AP181" s="503" t="str">
        <f>IF($G181="","",IF(AND($G181&gt;=30,$AT$3&lt;=AO$7),ROUND(AO181*($AP$3+#REF!),-1),""))</f>
        <v/>
      </c>
      <c r="AQ181" s="503" t="s">
        <v>621</v>
      </c>
      <c r="AR181" s="503" t="str">
        <f>IF($G181="","",IF(AND($G181&gt;=30,$AT$3&lt;=AQ$7),ROUND(AQ181*($AP$3+#REF!),-1),""))</f>
        <v/>
      </c>
      <c r="AS181" s="503" t="s">
        <v>621</v>
      </c>
      <c r="AT181" s="503" t="str">
        <f>IF($G181="","",IF(AND($G181&gt;=30,$AT$3&lt;=AS$7),ROUND(AS181*($AP$3+#REF!),-1),""))</f>
        <v/>
      </c>
      <c r="AU181" s="503" t="s">
        <v>621</v>
      </c>
      <c r="AV181" s="503" t="str">
        <f>IF($G181="","",IF(AND($G181&gt;=30,$AT$3&lt;=AU$7),ROUND(AU181*($AP$3+#REF!),-1),""))</f>
        <v/>
      </c>
      <c r="AW181" s="503" t="s">
        <v>621</v>
      </c>
      <c r="AX181" s="503" t="str">
        <f>IF($G181="","",IF(AND($G181&gt;=30,$AT$3&lt;=AW$7),ROUND(AW181*($AP$3+#REF!),-1),""))</f>
        <v/>
      </c>
      <c r="AY181" s="503" t="s">
        <v>621</v>
      </c>
      <c r="AZ181" s="503" t="str">
        <f>IF($G181="","",IF(AND($G181&gt;=30,$AT$3&lt;=AY$7),ROUND(AY181*($AP$3+#REF!),-1),""))</f>
        <v/>
      </c>
      <c r="BA181" s="503" t="s">
        <v>621</v>
      </c>
      <c r="BB181" s="503" t="str">
        <f>IF($G181="","",IF(AND($G181&gt;=30,$AT$3&lt;=BA$7),ROUND(BA181*($AP$3+#REF!),-1),""))</f>
        <v/>
      </c>
      <c r="BC181" s="503" t="s">
        <v>621</v>
      </c>
      <c r="BD181" s="503" t="str">
        <f>IF($G181="","",IF(AND($G181&gt;=30,$AT$3&lt;=BC$7),ROUND(BC181*($AP$3+#REF!),-1),""))</f>
        <v/>
      </c>
      <c r="BE181" s="503" t="s">
        <v>621</v>
      </c>
      <c r="BF181" s="503" t="str">
        <f>IF($G181="","",IF(AND($G181&gt;=30,$AT$3&lt;=BE$7),ROUND(BE181*($AP$3+#REF!),-1),""))</f>
        <v/>
      </c>
      <c r="BG181" s="503" t="s">
        <v>621</v>
      </c>
      <c r="BH181" s="503" t="str">
        <f>IF($G181="","",IF(AND($G181&gt;=30,$AT$3&lt;=BG$7),ROUND(BG181*($AP$3+#REF!),-1),""))</f>
        <v/>
      </c>
      <c r="BI181" s="517" t="e">
        <v>#REF!</v>
      </c>
      <c r="BJ181" s="503" t="str">
        <f>IF($G181="","",IF(AND($G181&gt;=30,$AT$3&lt;=BI$7),ROUND(BI181*($AP$3+#REF!),-1),""))</f>
        <v/>
      </c>
      <c r="BK181" s="502"/>
      <c r="BL181" s="503" t="str">
        <f>IF($G181="","",IF(AND($G181&gt;=30,$AT$3&lt;=BK$7),ROUND(BK181*($AP$3+#REF!),-1),""))</f>
        <v/>
      </c>
      <c r="BM181" s="503"/>
      <c r="BN181" s="503" t="str">
        <f>IF($G181="","",IF(AND($G181&gt;=30,$AT$3&lt;=BM$7),ROUND(BM181*($AP$3+#REF!),-1),""))</f>
        <v/>
      </c>
      <c r="BO181" s="502"/>
      <c r="BP181" s="503" t="str">
        <f>IF($G181="","",IF(AND($G181&gt;=30,$AT$3&lt;=BO$7),ROUND(BO181*($AP$3+#REF!),-1),""))</f>
        <v/>
      </c>
      <c r="BQ181" s="503"/>
      <c r="BR181" s="503" t="str">
        <f>IF($G181="","",IF(AND($G181&gt;=30,$AT$3&lt;=BQ$7),ROUND(BQ181*($AP$3+#REF!),-1),""))</f>
        <v/>
      </c>
      <c r="BS181" s="502"/>
      <c r="BT181" s="503" t="str">
        <f>IF($G181="","",IF(AND($G181&gt;=30,$AT$3&lt;=BS$7),ROUND(BS181*($AP$3+#REF!),-1),""))</f>
        <v/>
      </c>
      <c r="BU181" s="503"/>
      <c r="BV181" s="503" t="str">
        <f>IF($G181="","",IF(AND($G181&gt;=30,$AT$3&lt;=BU$7),ROUND(BU181*($AP$3+#REF!),-1),""))</f>
        <v/>
      </c>
      <c r="BW181" s="502"/>
      <c r="BX181" s="503" t="str">
        <f>IF($G181="","",IF(AND($G181&gt;=30,$AT$3&lt;=BW$7),ROUND(BW181*($AP$3+#REF!),-1),""))</f>
        <v/>
      </c>
      <c r="BY181" s="503"/>
      <c r="BZ181" s="503" t="str">
        <f>IF($G181="","",IF(AND($G181&gt;=30,$AT$3&lt;=BY$7),ROUND(BY181*($AP$3+#REF!),-1),""))</f>
        <v/>
      </c>
      <c r="CA181" s="502"/>
      <c r="CB181" s="503" t="str">
        <f>IF($G181="","",IF(AND($G181&gt;=30,$AT$3&lt;=CA$7),ROUND(CA181*($AP$3+#REF!),-1),""))</f>
        <v/>
      </c>
      <c r="CC181" s="503"/>
      <c r="CD181" s="503" t="str">
        <f>IF($G181="","",IF(AND($G181&gt;=30,$AT$3&lt;=CC$7),ROUND(CC181*($AP$3+#REF!),-1),""))</f>
        <v/>
      </c>
      <c r="CE181" s="502"/>
      <c r="CF181" s="503" t="str">
        <f>IF($G181="","",IF(AND($G181&gt;=30,$AT$3&lt;=CE$7),ROUND(CE181*($AP$3+#REF!),-1),""))</f>
        <v/>
      </c>
      <c r="CG181" s="503"/>
      <c r="CH181" s="503" t="str">
        <f>IF($G181="","",IF(AND($G181&gt;=30,$AT$3&lt;=CG$7),ROUND(CG181*($AP$3+#REF!),-1),""))</f>
        <v/>
      </c>
      <c r="CI181" s="502"/>
      <c r="CJ181" s="503" t="str">
        <f>IF($G181="","",IF(AND($G181&gt;=30,$AT$3&lt;=CI$7),ROUND(CI181*($AP$3+#REF!),-1),""))</f>
        <v/>
      </c>
      <c r="CK181" s="503"/>
      <c r="CL181" s="503" t="str">
        <f>IF($G181="","",IF(AND($G181&gt;=30,$AT$3&lt;=CK$7),ROUND(CK181*($AP$3+#REF!),-1),""))</f>
        <v/>
      </c>
      <c r="CM181" s="502"/>
      <c r="CN181" s="503" t="str">
        <f>IF($G181="","",IF(AND($G181&gt;=30,$AT$3&lt;=CM$7),ROUND(CM181*($AP$3+#REF!),-1),""))</f>
        <v/>
      </c>
      <c r="CO181" s="503"/>
      <c r="CP181" s="503" t="str">
        <f>IF($G181="","",IF(AND($G181&gt;=30,$AT$3&lt;=CO$7),ROUND(CO181*($AP$3+#REF!),-1),""))</f>
        <v/>
      </c>
      <c r="CQ181" s="502"/>
      <c r="CR181" s="503" t="str">
        <f>IF($G181="","",IF(AND($G181&gt;=30,$AT$3&lt;=CQ$7),ROUND(CQ181*($AP$3+#REF!),-1),""))</f>
        <v/>
      </c>
      <c r="CS181" s="503"/>
      <c r="CT181" s="503" t="str">
        <f>IF($G181="","",IF(AND($G181&gt;=30,$AT$3&lt;=CS$7),ROUND(CS181*($AP$3+#REF!),-1),""))</f>
        <v/>
      </c>
      <c r="CU181" s="502"/>
      <c r="CV181" s="503" t="str">
        <f>IF($G181="","",IF(AND($G181&gt;=30,$AT$3&lt;=CU$7),ROUND(CU181*($AP$3+#REF!),-1),""))</f>
        <v/>
      </c>
      <c r="CW181" s="503"/>
      <c r="CX181" s="503" t="str">
        <f>IF($G181="","",IF(AND($G181&gt;=30,$AT$3&lt;=CW$7),ROUND(CW181*($AP$3+#REF!),-1),""))</f>
        <v/>
      </c>
      <c r="CY181" s="502"/>
      <c r="CZ181" s="503" t="str">
        <f>IF($G181="","",IF(AND($G181&gt;=30,$AT$3&lt;=CY$7),ROUND(CY181*($AP$3+#REF!),-1),""))</f>
        <v/>
      </c>
      <c r="DA181" s="503"/>
      <c r="DB181" s="503" t="str">
        <f>IF($G181="","",IF(AND($G181&gt;=30,$AT$3&lt;=DA$7),ROUND(DA181*($AP$3+#REF!),-1),""))</f>
        <v/>
      </c>
      <c r="DC181" s="502"/>
      <c r="DD181" s="503" t="str">
        <f>IF($G181="","",IF(AND($G181&gt;=30,$AT$3&lt;=DC$7),ROUND(DC181*($AP$3+#REF!),-1),""))</f>
        <v/>
      </c>
      <c r="DE181" s="503"/>
      <c r="DF181" s="503" t="str">
        <f>IF($G181="","",IF(AND($G181&gt;=30,$AT$3&lt;=DE$7),ROUND(DE181*($AP$3+#REF!),-1),""))</f>
        <v/>
      </c>
      <c r="DG181" s="503"/>
      <c r="DH181" s="503" t="str">
        <f>IF($G181="","",IF(AND($G181&gt;=30,$AT$3&lt;=DG$7),ROUND(DG181*($AP$3+#REF!),-1),""))</f>
        <v/>
      </c>
      <c r="DI181" s="503"/>
      <c r="DJ181" s="503" t="str">
        <f>IF($G181="","",IF(AND($G181&gt;=30,$AT$3&lt;=DI$7),ROUND(DI181*($AP$3+#REF!),-1),""))</f>
        <v/>
      </c>
      <c r="DK181" s="503"/>
      <c r="DL181" s="503" t="str">
        <f>IF($G181="","",IF(AND($G181&gt;=30,$AT$3&lt;=DK$7),ROUND(DK181*($AP$3+#REF!),-1),""))</f>
        <v/>
      </c>
      <c r="DM181" s="503"/>
      <c r="DN181" s="503" t="str">
        <f>IF($G181="","",IF(AND($G181&gt;=30,$AT$3&lt;=DM$7),ROUND(DM181*($AP$3+#REF!),-1),""))</f>
        <v/>
      </c>
      <c r="DO181" s="503"/>
      <c r="DP181" s="503" t="str">
        <f>IF($G181="","",IF(AND($G181&gt;=30,$AT$3&lt;=DO$7),ROUND(DO181*($AP$3+#REF!),-1),""))</f>
        <v/>
      </c>
      <c r="DQ181" s="503"/>
      <c r="DR181" s="503" t="str">
        <f>IF($G181="","",IF(AND($G181&gt;=30,$AT$3&lt;=DQ$7),ROUND(DQ181*($AP$3+#REF!),-1),""))</f>
        <v/>
      </c>
      <c r="DS181" s="503"/>
      <c r="DT181" s="503" t="str">
        <f>IF($G181="","",IF(AND($G181&gt;=30,$AT$3&lt;=DS$7),ROUND(DS181*($AP$3+#REF!),-1),""))</f>
        <v/>
      </c>
      <c r="DU181" s="503"/>
      <c r="DV181" s="503" t="str">
        <f>IF($G181="","",IF(AND($G181&gt;=30,$AT$3&lt;=DU$7),ROUND(DU181*($AP$3+#REF!),-1),""))</f>
        <v/>
      </c>
      <c r="DW181" s="503"/>
      <c r="DX181" s="503" t="str">
        <f>IF($G181="","",IF(AND($G181&gt;=30,$AT$3&lt;=DW$7),ROUND(DW181*($AP$3+#REF!),-1),""))</f>
        <v/>
      </c>
      <c r="DY181" s="503"/>
      <c r="DZ181" s="503" t="str">
        <f>IF($G181="","",IF(AND($G181&gt;=30,$AT$3&lt;=DY$7),ROUND(DY181*($AP$3+#REF!),-1),""))</f>
        <v/>
      </c>
      <c r="EA181" s="503"/>
      <c r="EB181" s="503" t="str">
        <f>IF($G181="","",IF(AND($G181&gt;=30,$AT$3&lt;=EA$7),ROUND(EA181*($AP$3+#REF!),-1),""))</f>
        <v/>
      </c>
      <c r="EC181" s="504" t="s">
        <v>621</v>
      </c>
      <c r="ED181" s="1124"/>
      <c r="EE181" s="325">
        <v>5</v>
      </c>
    </row>
    <row r="182" spans="1:135" ht="9.75" customHeight="1">
      <c r="A182" s="321" t="str">
        <f t="shared" si="37"/>
        <v/>
      </c>
      <c r="B182" s="567">
        <f>(ii!$D$13*12+V182)+1</f>
        <v>76</v>
      </c>
      <c r="C182" s="337">
        <f t="shared" si="44"/>
        <v>47664</v>
      </c>
      <c r="D182" s="484">
        <f t="shared" si="47"/>
        <v>2030</v>
      </c>
      <c r="E182" s="484">
        <f t="shared" si="45"/>
        <v>0.5</v>
      </c>
      <c r="F182" s="484">
        <f t="shared" si="48"/>
        <v>2030.5</v>
      </c>
      <c r="G182" s="485" t="str">
        <f>IF(OR(C182&lt;$I$2,C182&gt;$J$3),"",(ii!$D$13*12+V182+1)/12)</f>
        <v/>
      </c>
      <c r="H182" s="486"/>
      <c r="I182" s="486"/>
      <c r="J182" s="487"/>
      <c r="K182" s="488"/>
      <c r="L182" s="548"/>
      <c r="M182" s="489" t="str">
        <f t="shared" si="49"/>
        <v/>
      </c>
      <c r="N182" s="490" t="s">
        <v>621</v>
      </c>
      <c r="O182" s="490" t="str">
        <f t="shared" si="42"/>
        <v/>
      </c>
      <c r="P182" s="491"/>
      <c r="Q182" s="491"/>
      <c r="R182" s="491" t="str">
        <f t="shared" si="43"/>
        <v/>
      </c>
      <c r="S182" s="528" t="str">
        <f t="shared" si="38"/>
        <v/>
      </c>
      <c r="T182" s="528" t="str">
        <f t="shared" si="36"/>
        <v/>
      </c>
      <c r="U182" s="493" t="str">
        <f>IF(H182="","",#REF!*12+#REF!+#REF!*12+#REF!)</f>
        <v/>
      </c>
      <c r="V182" s="338">
        <f>IF(ii!$J$3&gt;gg!C182,"",IF(AND((YEAR(C182)=YEAR($I$2)),MONTH(C182)=MONTH($I$2)),ii!$B$14*12+ii!$C$14+ii!$B$15*12+ii!$C$15-1,V181+1))</f>
        <v>75</v>
      </c>
      <c r="W182" s="339">
        <f t="shared" si="46"/>
        <v>6.25</v>
      </c>
      <c r="X182" s="494" t="s">
        <v>621</v>
      </c>
      <c r="Y182" s="495" t="s">
        <v>621</v>
      </c>
      <c r="Z182" s="496"/>
      <c r="AA182" s="497"/>
      <c r="AB182" s="498" t="e">
        <f t="shared" si="52"/>
        <v>#VALUE!</v>
      </c>
      <c r="AC182" s="484" t="str">
        <f t="shared" si="50"/>
        <v/>
      </c>
      <c r="AD182" s="495" t="str">
        <f t="shared" si="51"/>
        <v/>
      </c>
      <c r="AE182" s="499" t="s">
        <v>621</v>
      </c>
      <c r="AF182" s="500" t="s">
        <v>621</v>
      </c>
      <c r="AG182" s="556" t="s">
        <v>621</v>
      </c>
      <c r="AH182" s="503" t="str">
        <f>IF($G182="","",IF(AND($G182&gt;=30,$AT$3&lt;=AG$7),ROUND(AG182*($AP$3+#REF!),-1),""))</f>
        <v/>
      </c>
      <c r="AI182" s="506" t="s">
        <v>621</v>
      </c>
      <c r="AJ182" s="503" t="str">
        <f>IF($G182="","",IF(AND($G182&gt;=30,$AT$3&lt;=AI$7),ROUND(AI182*($AP$3+#REF!),-1),""))</f>
        <v/>
      </c>
      <c r="AK182" s="506" t="s">
        <v>621</v>
      </c>
      <c r="AL182" s="503" t="str">
        <f>IF($G182="","",IF(AND($G182&gt;=30,$AT$3&lt;=AK$7),ROUND(AK182*($AP$3+#REF!),-1),""))</f>
        <v/>
      </c>
      <c r="AM182" s="506" t="s">
        <v>621</v>
      </c>
      <c r="AN182" s="503" t="str">
        <f>IF($G182="","",IF(AND($G182&gt;=30,$AT$3&lt;=AM$7),ROUND(AM182*($AP$3+#REF!),-1),""))</f>
        <v/>
      </c>
      <c r="AO182" s="503" t="e">
        <v>#REF!</v>
      </c>
      <c r="AP182" s="503" t="str">
        <f>IF($G182="","",IF(AND($G182&gt;=30,$AT$3&lt;=AO$7),ROUND(AO182*($AP$3+#REF!),-1),""))</f>
        <v/>
      </c>
      <c r="AQ182" s="503" t="s">
        <v>621</v>
      </c>
      <c r="AR182" s="503" t="str">
        <f>IF($G182="","",IF(AND($G182&gt;=30,$AT$3&lt;=AQ$7),ROUND(AQ182*($AP$3+#REF!),-1),""))</f>
        <v/>
      </c>
      <c r="AS182" s="503" t="s">
        <v>621</v>
      </c>
      <c r="AT182" s="503" t="str">
        <f>IF($G182="","",IF(AND($G182&gt;=30,$AT$3&lt;=AS$7),ROUND(AS182*($AP$3+#REF!),-1),""))</f>
        <v/>
      </c>
      <c r="AU182" s="503" t="s">
        <v>621</v>
      </c>
      <c r="AV182" s="503" t="str">
        <f>IF($G182="","",IF(AND($G182&gt;=30,$AT$3&lt;=AU$7),ROUND(AU182*($AP$3+#REF!),-1),""))</f>
        <v/>
      </c>
      <c r="AW182" s="503" t="s">
        <v>621</v>
      </c>
      <c r="AX182" s="503" t="str">
        <f>IF($G182="","",IF(AND($G182&gt;=30,$AT$3&lt;=AW$7),ROUND(AW182*($AP$3+#REF!),-1),""))</f>
        <v/>
      </c>
      <c r="AY182" s="503" t="s">
        <v>621</v>
      </c>
      <c r="AZ182" s="503" t="str">
        <f>IF($G182="","",IF(AND($G182&gt;=30,$AT$3&lt;=AY$7),ROUND(AY182*($AP$3+#REF!),-1),""))</f>
        <v/>
      </c>
      <c r="BA182" s="503" t="s">
        <v>621</v>
      </c>
      <c r="BB182" s="503" t="str">
        <f>IF($G182="","",IF(AND($G182&gt;=30,$AT$3&lt;=BA$7),ROUND(BA182*($AP$3+#REF!),-1),""))</f>
        <v/>
      </c>
      <c r="BC182" s="503" t="s">
        <v>621</v>
      </c>
      <c r="BD182" s="503" t="str">
        <f>IF($G182="","",IF(AND($G182&gt;=30,$AT$3&lt;=BC$7),ROUND(BC182*($AP$3+#REF!),-1),""))</f>
        <v/>
      </c>
      <c r="BE182" s="503" t="s">
        <v>621</v>
      </c>
      <c r="BF182" s="503" t="str">
        <f>IF($G182="","",IF(AND($G182&gt;=30,$AT$3&lt;=BE$7),ROUND(BE182*($AP$3+#REF!),-1),""))</f>
        <v/>
      </c>
      <c r="BG182" s="503" t="s">
        <v>621</v>
      </c>
      <c r="BH182" s="503" t="str">
        <f>IF($G182="","",IF(AND($G182&gt;=30,$AT$3&lt;=BG$7),ROUND(BG182*($AP$3+#REF!),-1),""))</f>
        <v/>
      </c>
      <c r="BI182" s="517" t="e">
        <v>#REF!</v>
      </c>
      <c r="BJ182" s="503" t="str">
        <f>IF($G182="","",IF(AND($G182&gt;=30,$AT$3&lt;=BI$7),ROUND(BI182*($AP$3+#REF!),-1),""))</f>
        <v/>
      </c>
      <c r="BK182" s="502"/>
      <c r="BL182" s="503" t="str">
        <f>IF($G182="","",IF(AND($G182&gt;=30,$AT$3&lt;=BK$7),ROUND(BK182*($AP$3+#REF!),-1),""))</f>
        <v/>
      </c>
      <c r="BM182" s="503"/>
      <c r="BN182" s="503" t="str">
        <f>IF($G182="","",IF(AND($G182&gt;=30,$AT$3&lt;=BM$7),ROUND(BM182*($AP$3+#REF!),-1),""))</f>
        <v/>
      </c>
      <c r="BO182" s="502"/>
      <c r="BP182" s="503" t="str">
        <f>IF($G182="","",IF(AND($G182&gt;=30,$AT$3&lt;=BO$7),ROUND(BO182*($AP$3+#REF!),-1),""))</f>
        <v/>
      </c>
      <c r="BQ182" s="503"/>
      <c r="BR182" s="503" t="str">
        <f>IF($G182="","",IF(AND($G182&gt;=30,$AT$3&lt;=BQ$7),ROUND(BQ182*($AP$3+#REF!),-1),""))</f>
        <v/>
      </c>
      <c r="BS182" s="502"/>
      <c r="BT182" s="503" t="str">
        <f>IF($G182="","",IF(AND($G182&gt;=30,$AT$3&lt;=BS$7),ROUND(BS182*($AP$3+#REF!),-1),""))</f>
        <v/>
      </c>
      <c r="BU182" s="503"/>
      <c r="BV182" s="503" t="str">
        <f>IF($G182="","",IF(AND($G182&gt;=30,$AT$3&lt;=BU$7),ROUND(BU182*($AP$3+#REF!),-1),""))</f>
        <v/>
      </c>
      <c r="BW182" s="502"/>
      <c r="BX182" s="503" t="str">
        <f>IF($G182="","",IF(AND($G182&gt;=30,$AT$3&lt;=BW$7),ROUND(BW182*($AP$3+#REF!),-1),""))</f>
        <v/>
      </c>
      <c r="BY182" s="503"/>
      <c r="BZ182" s="503" t="str">
        <f>IF($G182="","",IF(AND($G182&gt;=30,$AT$3&lt;=BY$7),ROUND(BY182*($AP$3+#REF!),-1),""))</f>
        <v/>
      </c>
      <c r="CA182" s="502"/>
      <c r="CB182" s="503" t="str">
        <f>IF($G182="","",IF(AND($G182&gt;=30,$AT$3&lt;=CA$7),ROUND(CA182*($AP$3+#REF!),-1),""))</f>
        <v/>
      </c>
      <c r="CC182" s="503"/>
      <c r="CD182" s="503" t="str">
        <f>IF($G182="","",IF(AND($G182&gt;=30,$AT$3&lt;=CC$7),ROUND(CC182*($AP$3+#REF!),-1),""))</f>
        <v/>
      </c>
      <c r="CE182" s="502"/>
      <c r="CF182" s="503" t="str">
        <f>IF($G182="","",IF(AND($G182&gt;=30,$AT$3&lt;=CE$7),ROUND(CE182*($AP$3+#REF!),-1),""))</f>
        <v/>
      </c>
      <c r="CG182" s="503"/>
      <c r="CH182" s="503" t="str">
        <f>IF($G182="","",IF(AND($G182&gt;=30,$AT$3&lt;=CG$7),ROUND(CG182*($AP$3+#REF!),-1),""))</f>
        <v/>
      </c>
      <c r="CI182" s="502"/>
      <c r="CJ182" s="503" t="str">
        <f>IF($G182="","",IF(AND($G182&gt;=30,$AT$3&lt;=CI$7),ROUND(CI182*($AP$3+#REF!),-1),""))</f>
        <v/>
      </c>
      <c r="CK182" s="503"/>
      <c r="CL182" s="503" t="str">
        <f>IF($G182="","",IF(AND($G182&gt;=30,$AT$3&lt;=CK$7),ROUND(CK182*($AP$3+#REF!),-1),""))</f>
        <v/>
      </c>
      <c r="CM182" s="502"/>
      <c r="CN182" s="503" t="str">
        <f>IF($G182="","",IF(AND($G182&gt;=30,$AT$3&lt;=CM$7),ROUND(CM182*($AP$3+#REF!),-1),""))</f>
        <v/>
      </c>
      <c r="CO182" s="503"/>
      <c r="CP182" s="503" t="str">
        <f>IF($G182="","",IF(AND($G182&gt;=30,$AT$3&lt;=CO$7),ROUND(CO182*($AP$3+#REF!),-1),""))</f>
        <v/>
      </c>
      <c r="CQ182" s="502"/>
      <c r="CR182" s="503" t="str">
        <f>IF($G182="","",IF(AND($G182&gt;=30,$AT$3&lt;=CQ$7),ROUND(CQ182*($AP$3+#REF!),-1),""))</f>
        <v/>
      </c>
      <c r="CS182" s="503"/>
      <c r="CT182" s="503" t="str">
        <f>IF($G182="","",IF(AND($G182&gt;=30,$AT$3&lt;=CS$7),ROUND(CS182*($AP$3+#REF!),-1),""))</f>
        <v/>
      </c>
      <c r="CU182" s="502"/>
      <c r="CV182" s="503" t="str">
        <f>IF($G182="","",IF(AND($G182&gt;=30,$AT$3&lt;=CU$7),ROUND(CU182*($AP$3+#REF!),-1),""))</f>
        <v/>
      </c>
      <c r="CW182" s="503"/>
      <c r="CX182" s="503" t="str">
        <f>IF($G182="","",IF(AND($G182&gt;=30,$AT$3&lt;=CW$7),ROUND(CW182*($AP$3+#REF!),-1),""))</f>
        <v/>
      </c>
      <c r="CY182" s="502"/>
      <c r="CZ182" s="503" t="str">
        <f>IF($G182="","",IF(AND($G182&gt;=30,$AT$3&lt;=CY$7),ROUND(CY182*($AP$3+#REF!),-1),""))</f>
        <v/>
      </c>
      <c r="DA182" s="503"/>
      <c r="DB182" s="503" t="str">
        <f>IF($G182="","",IF(AND($G182&gt;=30,$AT$3&lt;=DA$7),ROUND(DA182*($AP$3+#REF!),-1),""))</f>
        <v/>
      </c>
      <c r="DC182" s="502"/>
      <c r="DD182" s="503" t="str">
        <f>IF($G182="","",IF(AND($G182&gt;=30,$AT$3&lt;=DC$7),ROUND(DC182*($AP$3+#REF!),-1),""))</f>
        <v/>
      </c>
      <c r="DE182" s="503"/>
      <c r="DF182" s="503" t="str">
        <f>IF($G182="","",IF(AND($G182&gt;=30,$AT$3&lt;=DE$7),ROUND(DE182*($AP$3+#REF!),-1),""))</f>
        <v/>
      </c>
      <c r="DG182" s="503"/>
      <c r="DH182" s="503" t="str">
        <f>IF($G182="","",IF(AND($G182&gt;=30,$AT$3&lt;=DG$7),ROUND(DG182*($AP$3+#REF!),-1),""))</f>
        <v/>
      </c>
      <c r="DI182" s="503"/>
      <c r="DJ182" s="503" t="str">
        <f>IF($G182="","",IF(AND($G182&gt;=30,$AT$3&lt;=DI$7),ROUND(DI182*($AP$3+#REF!),-1),""))</f>
        <v/>
      </c>
      <c r="DK182" s="503"/>
      <c r="DL182" s="503" t="str">
        <f>IF($G182="","",IF(AND($G182&gt;=30,$AT$3&lt;=DK$7),ROUND(DK182*($AP$3+#REF!),-1),""))</f>
        <v/>
      </c>
      <c r="DM182" s="503"/>
      <c r="DN182" s="503" t="str">
        <f>IF($G182="","",IF(AND($G182&gt;=30,$AT$3&lt;=DM$7),ROUND(DM182*($AP$3+#REF!),-1),""))</f>
        <v/>
      </c>
      <c r="DO182" s="503"/>
      <c r="DP182" s="503" t="str">
        <f>IF($G182="","",IF(AND($G182&gt;=30,$AT$3&lt;=DO$7),ROUND(DO182*($AP$3+#REF!),-1),""))</f>
        <v/>
      </c>
      <c r="DQ182" s="503"/>
      <c r="DR182" s="503" t="str">
        <f>IF($G182="","",IF(AND($G182&gt;=30,$AT$3&lt;=DQ$7),ROUND(DQ182*($AP$3+#REF!),-1),""))</f>
        <v/>
      </c>
      <c r="DS182" s="503"/>
      <c r="DT182" s="503" t="str">
        <f>IF($G182="","",IF(AND($G182&gt;=30,$AT$3&lt;=DS$7),ROUND(DS182*($AP$3+#REF!),-1),""))</f>
        <v/>
      </c>
      <c r="DU182" s="503"/>
      <c r="DV182" s="503" t="str">
        <f>IF($G182="","",IF(AND($G182&gt;=30,$AT$3&lt;=DU$7),ROUND(DU182*($AP$3+#REF!),-1),""))</f>
        <v/>
      </c>
      <c r="DW182" s="503"/>
      <c r="DX182" s="503" t="str">
        <f>IF($G182="","",IF(AND($G182&gt;=30,$AT$3&lt;=DW$7),ROUND(DW182*($AP$3+#REF!),-1),""))</f>
        <v/>
      </c>
      <c r="DY182" s="503"/>
      <c r="DZ182" s="503" t="str">
        <f>IF($G182="","",IF(AND($G182&gt;=30,$AT$3&lt;=DY$7),ROUND(DY182*($AP$3+#REF!),-1),""))</f>
        <v/>
      </c>
      <c r="EA182" s="503"/>
      <c r="EB182" s="503" t="str">
        <f>IF($G182="","",IF(AND($G182&gt;=30,$AT$3&lt;=EA$7),ROUND(EA182*($AP$3+#REF!),-1),""))</f>
        <v/>
      </c>
      <c r="EC182" s="504" t="s">
        <v>621</v>
      </c>
      <c r="ED182" s="1124"/>
      <c r="EE182" s="325">
        <v>6</v>
      </c>
    </row>
    <row r="183" spans="1:135" ht="9.75" customHeight="1">
      <c r="A183" s="321" t="str">
        <f t="shared" si="37"/>
        <v/>
      </c>
      <c r="B183" s="567">
        <f>(ii!$D$13*12+V183)+1</f>
        <v>77</v>
      </c>
      <c r="C183" s="337">
        <f t="shared" si="44"/>
        <v>47695</v>
      </c>
      <c r="D183" s="484">
        <f t="shared" si="47"/>
        <v>2030</v>
      </c>
      <c r="E183" s="484">
        <f t="shared" si="45"/>
        <v>0.58333333333333337</v>
      </c>
      <c r="F183" s="484">
        <f t="shared" si="48"/>
        <v>2030.5833333333333</v>
      </c>
      <c r="G183" s="485" t="str">
        <f>IF(OR(C183&lt;$I$2,C183&gt;$J$3),"",(ii!$D$13*12+V183+1)/12)</f>
        <v/>
      </c>
      <c r="H183" s="486"/>
      <c r="I183" s="486"/>
      <c r="J183" s="487"/>
      <c r="K183" s="488"/>
      <c r="L183" s="548"/>
      <c r="M183" s="489" t="str">
        <f t="shared" si="49"/>
        <v/>
      </c>
      <c r="N183" s="490" t="s">
        <v>621</v>
      </c>
      <c r="O183" s="490" t="str">
        <f t="shared" si="42"/>
        <v/>
      </c>
      <c r="P183" s="491"/>
      <c r="Q183" s="491"/>
      <c r="R183" s="491" t="str">
        <f t="shared" si="43"/>
        <v/>
      </c>
      <c r="S183" s="528" t="str">
        <f t="shared" si="38"/>
        <v/>
      </c>
      <c r="T183" s="528" t="str">
        <f t="shared" si="36"/>
        <v/>
      </c>
      <c r="U183" s="493" t="str">
        <f>IF(H183="","",#REF!*12+#REF!+#REF!*12+#REF!)</f>
        <v/>
      </c>
      <c r="V183" s="338">
        <f>IF(ii!$J$3&gt;gg!C183,"",IF(AND((YEAR(C183)=YEAR($I$2)),MONTH(C183)=MONTH($I$2)),ii!$B$14*12+ii!$C$14+ii!$B$15*12+ii!$C$15-1,V182+1))</f>
        <v>76</v>
      </c>
      <c r="W183" s="339">
        <f t="shared" si="46"/>
        <v>6.333333333333333</v>
      </c>
      <c r="X183" s="494" t="s">
        <v>621</v>
      </c>
      <c r="Y183" s="495" t="s">
        <v>621</v>
      </c>
      <c r="Z183" s="496"/>
      <c r="AA183" s="497"/>
      <c r="AB183" s="498" t="e">
        <f t="shared" si="52"/>
        <v>#VALUE!</v>
      </c>
      <c r="AC183" s="484" t="str">
        <f t="shared" si="50"/>
        <v/>
      </c>
      <c r="AD183" s="495" t="str">
        <f t="shared" si="51"/>
        <v/>
      </c>
      <c r="AE183" s="499" t="s">
        <v>621</v>
      </c>
      <c r="AF183" s="500" t="s">
        <v>621</v>
      </c>
      <c r="AG183" s="556" t="s">
        <v>621</v>
      </c>
      <c r="AH183" s="503" t="str">
        <f>IF($G183="","",IF(AND($G183&gt;=30,$AT$3&lt;=AG$7),ROUND(AG183*($AP$3+#REF!),-1),""))</f>
        <v/>
      </c>
      <c r="AI183" s="506" t="s">
        <v>621</v>
      </c>
      <c r="AJ183" s="503" t="str">
        <f>IF($G183="","",IF(AND($G183&gt;=30,$AT$3&lt;=AI$7),ROUND(AI183*($AP$3+#REF!),-1),""))</f>
        <v/>
      </c>
      <c r="AK183" s="506" t="s">
        <v>621</v>
      </c>
      <c r="AL183" s="503" t="str">
        <f>IF($G183="","",IF(AND($G183&gt;=30,$AT$3&lt;=AK$7),ROUND(AK183*($AP$3+#REF!),-1),""))</f>
        <v/>
      </c>
      <c r="AM183" s="506" t="s">
        <v>621</v>
      </c>
      <c r="AN183" s="503" t="str">
        <f>IF($G183="","",IF(AND($G183&gt;=30,$AT$3&lt;=AM$7),ROUND(AM183*($AP$3+#REF!),-1),""))</f>
        <v/>
      </c>
      <c r="AO183" s="503" t="e">
        <v>#REF!</v>
      </c>
      <c r="AP183" s="503" t="str">
        <f>IF($G183="","",IF(AND($G183&gt;=30,$AT$3&lt;=AO$7),ROUND(AO183*($AP$3+#REF!),-1),""))</f>
        <v/>
      </c>
      <c r="AQ183" s="503" t="s">
        <v>621</v>
      </c>
      <c r="AR183" s="503" t="str">
        <f>IF($G183="","",IF(AND($G183&gt;=30,$AT$3&lt;=AQ$7),ROUND(AQ183*($AP$3+#REF!),-1),""))</f>
        <v/>
      </c>
      <c r="AS183" s="503" t="s">
        <v>621</v>
      </c>
      <c r="AT183" s="503" t="str">
        <f>IF($G183="","",IF(AND($G183&gt;=30,$AT$3&lt;=AS$7),ROUND(AS183*($AP$3+#REF!),-1),""))</f>
        <v/>
      </c>
      <c r="AU183" s="503" t="s">
        <v>621</v>
      </c>
      <c r="AV183" s="503" t="str">
        <f>IF($G183="","",IF(AND($G183&gt;=30,$AT$3&lt;=AU$7),ROUND(AU183*($AP$3+#REF!),-1),""))</f>
        <v/>
      </c>
      <c r="AW183" s="503" t="s">
        <v>621</v>
      </c>
      <c r="AX183" s="503" t="str">
        <f>IF($G183="","",IF(AND($G183&gt;=30,$AT$3&lt;=AW$7),ROUND(AW183*($AP$3+#REF!),-1),""))</f>
        <v/>
      </c>
      <c r="AY183" s="503" t="s">
        <v>621</v>
      </c>
      <c r="AZ183" s="503" t="str">
        <f>IF($G183="","",IF(AND($G183&gt;=30,$AT$3&lt;=AY$7),ROUND(AY183*($AP$3+#REF!),-1),""))</f>
        <v/>
      </c>
      <c r="BA183" s="503" t="s">
        <v>621</v>
      </c>
      <c r="BB183" s="503" t="str">
        <f>IF($G183="","",IF(AND($G183&gt;=30,$AT$3&lt;=BA$7),ROUND(BA183*($AP$3+#REF!),-1),""))</f>
        <v/>
      </c>
      <c r="BC183" s="503" t="s">
        <v>621</v>
      </c>
      <c r="BD183" s="503" t="str">
        <f>IF($G183="","",IF(AND($G183&gt;=30,$AT$3&lt;=BC$7),ROUND(BC183*($AP$3+#REF!),-1),""))</f>
        <v/>
      </c>
      <c r="BE183" s="503" t="s">
        <v>621</v>
      </c>
      <c r="BF183" s="503" t="str">
        <f>IF($G183="","",IF(AND($G183&gt;=30,$AT$3&lt;=BE$7),ROUND(BE183*($AP$3+#REF!),-1),""))</f>
        <v/>
      </c>
      <c r="BG183" s="503" t="s">
        <v>621</v>
      </c>
      <c r="BH183" s="503" t="str">
        <f>IF($G183="","",IF(AND($G183&gt;=30,$AT$3&lt;=BG$7),ROUND(BG183*($AP$3+#REF!),-1),""))</f>
        <v/>
      </c>
      <c r="BI183" s="517" t="e">
        <v>#REF!</v>
      </c>
      <c r="BJ183" s="503" t="str">
        <f>IF($G183="","",IF(AND($G183&gt;=30,$AT$3&lt;=BI$7),ROUND(BI183*($AP$3+#REF!),-1),""))</f>
        <v/>
      </c>
      <c r="BK183" s="502"/>
      <c r="BL183" s="503" t="str">
        <f>IF($G183="","",IF(AND($G183&gt;=30,$AT$3&lt;=BK$7),ROUND(BK183*($AP$3+#REF!),-1),""))</f>
        <v/>
      </c>
      <c r="BM183" s="503"/>
      <c r="BN183" s="503" t="str">
        <f>IF($G183="","",IF(AND($G183&gt;=30,$AT$3&lt;=BM$7),ROUND(BM183*($AP$3+#REF!),-1),""))</f>
        <v/>
      </c>
      <c r="BO183" s="502"/>
      <c r="BP183" s="503" t="str">
        <f>IF($G183="","",IF(AND($G183&gt;=30,$AT$3&lt;=BO$7),ROUND(BO183*($AP$3+#REF!),-1),""))</f>
        <v/>
      </c>
      <c r="BQ183" s="503"/>
      <c r="BR183" s="503" t="str">
        <f>IF($G183="","",IF(AND($G183&gt;=30,$AT$3&lt;=BQ$7),ROUND(BQ183*($AP$3+#REF!),-1),""))</f>
        <v/>
      </c>
      <c r="BS183" s="502"/>
      <c r="BT183" s="503" t="str">
        <f>IF($G183="","",IF(AND($G183&gt;=30,$AT$3&lt;=BS$7),ROUND(BS183*($AP$3+#REF!),-1),""))</f>
        <v/>
      </c>
      <c r="BU183" s="503"/>
      <c r="BV183" s="503" t="str">
        <f>IF($G183="","",IF(AND($G183&gt;=30,$AT$3&lt;=BU$7),ROUND(BU183*($AP$3+#REF!),-1),""))</f>
        <v/>
      </c>
      <c r="BW183" s="502"/>
      <c r="BX183" s="503" t="str">
        <f>IF($G183="","",IF(AND($G183&gt;=30,$AT$3&lt;=BW$7),ROUND(BW183*($AP$3+#REF!),-1),""))</f>
        <v/>
      </c>
      <c r="BY183" s="503"/>
      <c r="BZ183" s="503" t="str">
        <f>IF($G183="","",IF(AND($G183&gt;=30,$AT$3&lt;=BY$7),ROUND(BY183*($AP$3+#REF!),-1),""))</f>
        <v/>
      </c>
      <c r="CA183" s="502"/>
      <c r="CB183" s="503" t="str">
        <f>IF($G183="","",IF(AND($G183&gt;=30,$AT$3&lt;=CA$7),ROUND(CA183*($AP$3+#REF!),-1),""))</f>
        <v/>
      </c>
      <c r="CC183" s="503"/>
      <c r="CD183" s="503" t="str">
        <f>IF($G183="","",IF(AND($G183&gt;=30,$AT$3&lt;=CC$7),ROUND(CC183*($AP$3+#REF!),-1),""))</f>
        <v/>
      </c>
      <c r="CE183" s="502"/>
      <c r="CF183" s="503" t="str">
        <f>IF($G183="","",IF(AND($G183&gt;=30,$AT$3&lt;=CE$7),ROUND(CE183*($AP$3+#REF!),-1),""))</f>
        <v/>
      </c>
      <c r="CG183" s="503"/>
      <c r="CH183" s="503" t="str">
        <f>IF($G183="","",IF(AND($G183&gt;=30,$AT$3&lt;=CG$7),ROUND(CG183*($AP$3+#REF!),-1),""))</f>
        <v/>
      </c>
      <c r="CI183" s="502"/>
      <c r="CJ183" s="503" t="str">
        <f>IF($G183="","",IF(AND($G183&gt;=30,$AT$3&lt;=CI$7),ROUND(CI183*($AP$3+#REF!),-1),""))</f>
        <v/>
      </c>
      <c r="CK183" s="503"/>
      <c r="CL183" s="503" t="str">
        <f>IF($G183="","",IF(AND($G183&gt;=30,$AT$3&lt;=CK$7),ROUND(CK183*($AP$3+#REF!),-1),""))</f>
        <v/>
      </c>
      <c r="CM183" s="502"/>
      <c r="CN183" s="503" t="str">
        <f>IF($G183="","",IF(AND($G183&gt;=30,$AT$3&lt;=CM$7),ROUND(CM183*($AP$3+#REF!),-1),""))</f>
        <v/>
      </c>
      <c r="CO183" s="503"/>
      <c r="CP183" s="503" t="str">
        <f>IF($G183="","",IF(AND($G183&gt;=30,$AT$3&lt;=CO$7),ROUND(CO183*($AP$3+#REF!),-1),""))</f>
        <v/>
      </c>
      <c r="CQ183" s="502"/>
      <c r="CR183" s="503" t="str">
        <f>IF($G183="","",IF(AND($G183&gt;=30,$AT$3&lt;=CQ$7),ROUND(CQ183*($AP$3+#REF!),-1),""))</f>
        <v/>
      </c>
      <c r="CS183" s="503"/>
      <c r="CT183" s="503" t="str">
        <f>IF($G183="","",IF(AND($G183&gt;=30,$AT$3&lt;=CS$7),ROUND(CS183*($AP$3+#REF!),-1),""))</f>
        <v/>
      </c>
      <c r="CU183" s="502"/>
      <c r="CV183" s="503" t="str">
        <f>IF($G183="","",IF(AND($G183&gt;=30,$AT$3&lt;=CU$7),ROUND(CU183*($AP$3+#REF!),-1),""))</f>
        <v/>
      </c>
      <c r="CW183" s="503"/>
      <c r="CX183" s="503" t="str">
        <f>IF($G183="","",IF(AND($G183&gt;=30,$AT$3&lt;=CW$7),ROUND(CW183*($AP$3+#REF!),-1),""))</f>
        <v/>
      </c>
      <c r="CY183" s="502"/>
      <c r="CZ183" s="503" t="str">
        <f>IF($G183="","",IF(AND($G183&gt;=30,$AT$3&lt;=CY$7),ROUND(CY183*($AP$3+#REF!),-1),""))</f>
        <v/>
      </c>
      <c r="DA183" s="503"/>
      <c r="DB183" s="503" t="str">
        <f>IF($G183="","",IF(AND($G183&gt;=30,$AT$3&lt;=DA$7),ROUND(DA183*($AP$3+#REF!),-1),""))</f>
        <v/>
      </c>
      <c r="DC183" s="502"/>
      <c r="DD183" s="503" t="str">
        <f>IF($G183="","",IF(AND($G183&gt;=30,$AT$3&lt;=DC$7),ROUND(DC183*($AP$3+#REF!),-1),""))</f>
        <v/>
      </c>
      <c r="DE183" s="503"/>
      <c r="DF183" s="503" t="str">
        <f>IF($G183="","",IF(AND($G183&gt;=30,$AT$3&lt;=DE$7),ROUND(DE183*($AP$3+#REF!),-1),""))</f>
        <v/>
      </c>
      <c r="DG183" s="503"/>
      <c r="DH183" s="503" t="str">
        <f>IF($G183="","",IF(AND($G183&gt;=30,$AT$3&lt;=DG$7),ROUND(DG183*($AP$3+#REF!),-1),""))</f>
        <v/>
      </c>
      <c r="DI183" s="503"/>
      <c r="DJ183" s="503" t="str">
        <f>IF($G183="","",IF(AND($G183&gt;=30,$AT$3&lt;=DI$7),ROUND(DI183*($AP$3+#REF!),-1),""))</f>
        <v/>
      </c>
      <c r="DK183" s="503"/>
      <c r="DL183" s="503" t="str">
        <f>IF($G183="","",IF(AND($G183&gt;=30,$AT$3&lt;=DK$7),ROUND(DK183*($AP$3+#REF!),-1),""))</f>
        <v/>
      </c>
      <c r="DM183" s="503"/>
      <c r="DN183" s="503" t="str">
        <f>IF($G183="","",IF(AND($G183&gt;=30,$AT$3&lt;=DM$7),ROUND(DM183*($AP$3+#REF!),-1),""))</f>
        <v/>
      </c>
      <c r="DO183" s="503"/>
      <c r="DP183" s="503" t="str">
        <f>IF($G183="","",IF(AND($G183&gt;=30,$AT$3&lt;=DO$7),ROUND(DO183*($AP$3+#REF!),-1),""))</f>
        <v/>
      </c>
      <c r="DQ183" s="503"/>
      <c r="DR183" s="503" t="str">
        <f>IF($G183="","",IF(AND($G183&gt;=30,$AT$3&lt;=DQ$7),ROUND(DQ183*($AP$3+#REF!),-1),""))</f>
        <v/>
      </c>
      <c r="DS183" s="503"/>
      <c r="DT183" s="503" t="str">
        <f>IF($G183="","",IF(AND($G183&gt;=30,$AT$3&lt;=DS$7),ROUND(DS183*($AP$3+#REF!),-1),""))</f>
        <v/>
      </c>
      <c r="DU183" s="503"/>
      <c r="DV183" s="503" t="str">
        <f>IF($G183="","",IF(AND($G183&gt;=30,$AT$3&lt;=DU$7),ROUND(DU183*($AP$3+#REF!),-1),""))</f>
        <v/>
      </c>
      <c r="DW183" s="503"/>
      <c r="DX183" s="503" t="str">
        <f>IF($G183="","",IF(AND($G183&gt;=30,$AT$3&lt;=DW$7),ROUND(DW183*($AP$3+#REF!),-1),""))</f>
        <v/>
      </c>
      <c r="DY183" s="503"/>
      <c r="DZ183" s="503" t="str">
        <f>IF($G183="","",IF(AND($G183&gt;=30,$AT$3&lt;=DY$7),ROUND(DY183*($AP$3+#REF!),-1),""))</f>
        <v/>
      </c>
      <c r="EA183" s="503"/>
      <c r="EB183" s="503" t="str">
        <f>IF($G183="","",IF(AND($G183&gt;=30,$AT$3&lt;=EA$7),ROUND(EA183*($AP$3+#REF!),-1),""))</f>
        <v/>
      </c>
      <c r="EC183" s="504" t="s">
        <v>621</v>
      </c>
      <c r="ED183" s="1124"/>
      <c r="EE183" s="325">
        <v>7</v>
      </c>
    </row>
    <row r="184" spans="1:135" ht="9.75" customHeight="1">
      <c r="A184" s="321" t="str">
        <f t="shared" si="37"/>
        <v/>
      </c>
      <c r="B184" s="567">
        <f>(ii!$D$13*12+V184)+1</f>
        <v>78</v>
      </c>
      <c r="C184" s="337">
        <f t="shared" si="44"/>
        <v>47726</v>
      </c>
      <c r="D184" s="484">
        <f t="shared" si="47"/>
        <v>2030</v>
      </c>
      <c r="E184" s="484">
        <f t="shared" si="45"/>
        <v>0.66666666666666663</v>
      </c>
      <c r="F184" s="484">
        <f t="shared" si="48"/>
        <v>2030.6666666666667</v>
      </c>
      <c r="G184" s="485" t="str">
        <f>IF(OR(C184&lt;$I$2,C184&gt;$J$3),"",(ii!$D$13*12+V184+1)/12)</f>
        <v/>
      </c>
      <c r="H184" s="486"/>
      <c r="I184" s="486"/>
      <c r="J184" s="487"/>
      <c r="K184" s="488"/>
      <c r="L184" s="548"/>
      <c r="M184" s="489" t="str">
        <f t="shared" si="49"/>
        <v/>
      </c>
      <c r="N184" s="490" t="s">
        <v>621</v>
      </c>
      <c r="O184" s="490" t="str">
        <f t="shared" si="42"/>
        <v/>
      </c>
      <c r="P184" s="491"/>
      <c r="Q184" s="491"/>
      <c r="R184" s="491" t="str">
        <f t="shared" si="43"/>
        <v/>
      </c>
      <c r="S184" s="528" t="str">
        <f t="shared" si="38"/>
        <v/>
      </c>
      <c r="T184" s="528" t="str">
        <f t="shared" si="36"/>
        <v/>
      </c>
      <c r="U184" s="493" t="str">
        <f>IF(H184="","",#REF!*12+#REF!+#REF!*12+#REF!)</f>
        <v/>
      </c>
      <c r="V184" s="338">
        <f>IF(ii!$J$3&gt;gg!C184,"",IF(AND((YEAR(C184)=YEAR($I$2)),MONTH(C184)=MONTH($I$2)),ii!$B$14*12+ii!$C$14+ii!$B$15*12+ii!$C$15-1,V183+1))</f>
        <v>77</v>
      </c>
      <c r="W184" s="339">
        <f t="shared" si="46"/>
        <v>6.416666666666667</v>
      </c>
      <c r="X184" s="494" t="s">
        <v>621</v>
      </c>
      <c r="Y184" s="495" t="s">
        <v>621</v>
      </c>
      <c r="Z184" s="496"/>
      <c r="AA184" s="497"/>
      <c r="AB184" s="498" t="e">
        <f t="shared" si="52"/>
        <v>#VALUE!</v>
      </c>
      <c r="AC184" s="484" t="str">
        <f t="shared" si="50"/>
        <v/>
      </c>
      <c r="AD184" s="495" t="str">
        <f t="shared" si="51"/>
        <v/>
      </c>
      <c r="AE184" s="499" t="s">
        <v>621</v>
      </c>
      <c r="AF184" s="500" t="s">
        <v>621</v>
      </c>
      <c r="AG184" s="556" t="s">
        <v>621</v>
      </c>
      <c r="AH184" s="503" t="str">
        <f>IF($G184="","",IF(AND($G184&gt;=30,$AT$3&lt;=AG$7),ROUND(AG184*($AP$3+#REF!),-1),""))</f>
        <v/>
      </c>
      <c r="AI184" s="506" t="s">
        <v>621</v>
      </c>
      <c r="AJ184" s="503" t="str">
        <f>IF($G184="","",IF(AND($G184&gt;=30,$AT$3&lt;=AI$7),ROUND(AI184*($AP$3+#REF!),-1),""))</f>
        <v/>
      </c>
      <c r="AK184" s="506" t="s">
        <v>621</v>
      </c>
      <c r="AL184" s="503" t="str">
        <f>IF($G184="","",IF(AND($G184&gt;=30,$AT$3&lt;=AK$7),ROUND(AK184*($AP$3+#REF!),-1),""))</f>
        <v/>
      </c>
      <c r="AM184" s="506" t="s">
        <v>621</v>
      </c>
      <c r="AN184" s="503" t="str">
        <f>IF($G184="","",IF(AND($G184&gt;=30,$AT$3&lt;=AM$7),ROUND(AM184*($AP$3+#REF!),-1),""))</f>
        <v/>
      </c>
      <c r="AO184" s="503" t="e">
        <v>#REF!</v>
      </c>
      <c r="AP184" s="503" t="str">
        <f>IF($G184="","",IF(AND($G184&gt;=30,$AT$3&lt;=AO$7),ROUND(AO184*($AP$3+#REF!),-1),""))</f>
        <v/>
      </c>
      <c r="AQ184" s="503" t="s">
        <v>621</v>
      </c>
      <c r="AR184" s="503" t="str">
        <f>IF($G184="","",IF(AND($G184&gt;=30,$AT$3&lt;=AQ$7),ROUND(AQ184*($AP$3+#REF!),-1),""))</f>
        <v/>
      </c>
      <c r="AS184" s="503" t="s">
        <v>621</v>
      </c>
      <c r="AT184" s="503" t="str">
        <f>IF($G184="","",IF(AND($G184&gt;=30,$AT$3&lt;=AS$7),ROUND(AS184*($AP$3+#REF!),-1),""))</f>
        <v/>
      </c>
      <c r="AU184" s="503" t="s">
        <v>621</v>
      </c>
      <c r="AV184" s="503" t="str">
        <f>IF($G184="","",IF(AND($G184&gt;=30,$AT$3&lt;=AU$7),ROUND(AU184*($AP$3+#REF!),-1),""))</f>
        <v/>
      </c>
      <c r="AW184" s="503" t="s">
        <v>621</v>
      </c>
      <c r="AX184" s="503" t="str">
        <f>IF($G184="","",IF(AND($G184&gt;=30,$AT$3&lt;=AW$7),ROUND(AW184*($AP$3+#REF!),-1),""))</f>
        <v/>
      </c>
      <c r="AY184" s="503" t="s">
        <v>621</v>
      </c>
      <c r="AZ184" s="503" t="str">
        <f>IF($G184="","",IF(AND($G184&gt;=30,$AT$3&lt;=AY$7),ROUND(AY184*($AP$3+#REF!),-1),""))</f>
        <v/>
      </c>
      <c r="BA184" s="503" t="s">
        <v>621</v>
      </c>
      <c r="BB184" s="503" t="str">
        <f>IF($G184="","",IF(AND($G184&gt;=30,$AT$3&lt;=BA$7),ROUND(BA184*($AP$3+#REF!),-1),""))</f>
        <v/>
      </c>
      <c r="BC184" s="503" t="s">
        <v>621</v>
      </c>
      <c r="BD184" s="503" t="str">
        <f>IF($G184="","",IF(AND($G184&gt;=30,$AT$3&lt;=BC$7),ROUND(BC184*($AP$3+#REF!),-1),""))</f>
        <v/>
      </c>
      <c r="BE184" s="503" t="s">
        <v>621</v>
      </c>
      <c r="BF184" s="503" t="str">
        <f>IF($G184="","",IF(AND($G184&gt;=30,$AT$3&lt;=BE$7),ROUND(BE184*($AP$3+#REF!),-1),""))</f>
        <v/>
      </c>
      <c r="BG184" s="503" t="s">
        <v>621</v>
      </c>
      <c r="BH184" s="503" t="str">
        <f>IF($G184="","",IF(AND($G184&gt;=30,$AT$3&lt;=BG$7),ROUND(BG184*($AP$3+#REF!),-1),""))</f>
        <v/>
      </c>
      <c r="BI184" s="517" t="e">
        <v>#REF!</v>
      </c>
      <c r="BJ184" s="503" t="str">
        <f>IF($G184="","",IF(AND($G184&gt;=30,$AT$3&lt;=BI$7),ROUND(BI184*($AP$3+#REF!),-1),""))</f>
        <v/>
      </c>
      <c r="BK184" s="502"/>
      <c r="BL184" s="503" t="str">
        <f>IF($G184="","",IF(AND($G184&gt;=30,$AT$3&lt;=BK$7),ROUND(BK184*($AP$3+#REF!),-1),""))</f>
        <v/>
      </c>
      <c r="BM184" s="503"/>
      <c r="BN184" s="503" t="str">
        <f>IF($G184="","",IF(AND($G184&gt;=30,$AT$3&lt;=BM$7),ROUND(BM184*($AP$3+#REF!),-1),""))</f>
        <v/>
      </c>
      <c r="BO184" s="502"/>
      <c r="BP184" s="503" t="str">
        <f>IF($G184="","",IF(AND($G184&gt;=30,$AT$3&lt;=BO$7),ROUND(BO184*($AP$3+#REF!),-1),""))</f>
        <v/>
      </c>
      <c r="BQ184" s="503"/>
      <c r="BR184" s="503" t="str">
        <f>IF($G184="","",IF(AND($G184&gt;=30,$AT$3&lt;=BQ$7),ROUND(BQ184*($AP$3+#REF!),-1),""))</f>
        <v/>
      </c>
      <c r="BS184" s="502"/>
      <c r="BT184" s="503" t="str">
        <f>IF($G184="","",IF(AND($G184&gt;=30,$AT$3&lt;=BS$7),ROUND(BS184*($AP$3+#REF!),-1),""))</f>
        <v/>
      </c>
      <c r="BU184" s="503"/>
      <c r="BV184" s="503" t="str">
        <f>IF($G184="","",IF(AND($G184&gt;=30,$AT$3&lt;=BU$7),ROUND(BU184*($AP$3+#REF!),-1),""))</f>
        <v/>
      </c>
      <c r="BW184" s="502"/>
      <c r="BX184" s="503" t="str">
        <f>IF($G184="","",IF(AND($G184&gt;=30,$AT$3&lt;=BW$7),ROUND(BW184*($AP$3+#REF!),-1),""))</f>
        <v/>
      </c>
      <c r="BY184" s="503"/>
      <c r="BZ184" s="503" t="str">
        <f>IF($G184="","",IF(AND($G184&gt;=30,$AT$3&lt;=BY$7),ROUND(BY184*($AP$3+#REF!),-1),""))</f>
        <v/>
      </c>
      <c r="CA184" s="502"/>
      <c r="CB184" s="503" t="str">
        <f>IF($G184="","",IF(AND($G184&gt;=30,$AT$3&lt;=CA$7),ROUND(CA184*($AP$3+#REF!),-1),""))</f>
        <v/>
      </c>
      <c r="CC184" s="503"/>
      <c r="CD184" s="503" t="str">
        <f>IF($G184="","",IF(AND($G184&gt;=30,$AT$3&lt;=CC$7),ROUND(CC184*($AP$3+#REF!),-1),""))</f>
        <v/>
      </c>
      <c r="CE184" s="502"/>
      <c r="CF184" s="503" t="str">
        <f>IF($G184="","",IF(AND($G184&gt;=30,$AT$3&lt;=CE$7),ROUND(CE184*($AP$3+#REF!),-1),""))</f>
        <v/>
      </c>
      <c r="CG184" s="503"/>
      <c r="CH184" s="503" t="str">
        <f>IF($G184="","",IF(AND($G184&gt;=30,$AT$3&lt;=CG$7),ROUND(CG184*($AP$3+#REF!),-1),""))</f>
        <v/>
      </c>
      <c r="CI184" s="502"/>
      <c r="CJ184" s="503" t="str">
        <f>IF($G184="","",IF(AND($G184&gt;=30,$AT$3&lt;=CI$7),ROUND(CI184*($AP$3+#REF!),-1),""))</f>
        <v/>
      </c>
      <c r="CK184" s="503"/>
      <c r="CL184" s="503" t="str">
        <f>IF($G184="","",IF(AND($G184&gt;=30,$AT$3&lt;=CK$7),ROUND(CK184*($AP$3+#REF!),-1),""))</f>
        <v/>
      </c>
      <c r="CM184" s="502"/>
      <c r="CN184" s="503" t="str">
        <f>IF($G184="","",IF(AND($G184&gt;=30,$AT$3&lt;=CM$7),ROUND(CM184*($AP$3+#REF!),-1),""))</f>
        <v/>
      </c>
      <c r="CO184" s="503"/>
      <c r="CP184" s="503" t="str">
        <f>IF($G184="","",IF(AND($G184&gt;=30,$AT$3&lt;=CO$7),ROUND(CO184*($AP$3+#REF!),-1),""))</f>
        <v/>
      </c>
      <c r="CQ184" s="502"/>
      <c r="CR184" s="503" t="str">
        <f>IF($G184="","",IF(AND($G184&gt;=30,$AT$3&lt;=CQ$7),ROUND(CQ184*($AP$3+#REF!),-1),""))</f>
        <v/>
      </c>
      <c r="CS184" s="503"/>
      <c r="CT184" s="503" t="str">
        <f>IF($G184="","",IF(AND($G184&gt;=30,$AT$3&lt;=CS$7),ROUND(CS184*($AP$3+#REF!),-1),""))</f>
        <v/>
      </c>
      <c r="CU184" s="502"/>
      <c r="CV184" s="503" t="str">
        <f>IF($G184="","",IF(AND($G184&gt;=30,$AT$3&lt;=CU$7),ROUND(CU184*($AP$3+#REF!),-1),""))</f>
        <v/>
      </c>
      <c r="CW184" s="503"/>
      <c r="CX184" s="503" t="str">
        <f>IF($G184="","",IF(AND($G184&gt;=30,$AT$3&lt;=CW$7),ROUND(CW184*($AP$3+#REF!),-1),""))</f>
        <v/>
      </c>
      <c r="CY184" s="502"/>
      <c r="CZ184" s="503" t="str">
        <f>IF($G184="","",IF(AND($G184&gt;=30,$AT$3&lt;=CY$7),ROUND(CY184*($AP$3+#REF!),-1),""))</f>
        <v/>
      </c>
      <c r="DA184" s="503"/>
      <c r="DB184" s="503" t="str">
        <f>IF($G184="","",IF(AND($G184&gt;=30,$AT$3&lt;=DA$7),ROUND(DA184*($AP$3+#REF!),-1),""))</f>
        <v/>
      </c>
      <c r="DC184" s="502"/>
      <c r="DD184" s="503" t="str">
        <f>IF($G184="","",IF(AND($G184&gt;=30,$AT$3&lt;=DC$7),ROUND(DC184*($AP$3+#REF!),-1),""))</f>
        <v/>
      </c>
      <c r="DE184" s="503"/>
      <c r="DF184" s="503" t="str">
        <f>IF($G184="","",IF(AND($G184&gt;=30,$AT$3&lt;=DE$7),ROUND(DE184*($AP$3+#REF!),-1),""))</f>
        <v/>
      </c>
      <c r="DG184" s="503"/>
      <c r="DH184" s="503" t="str">
        <f>IF($G184="","",IF(AND($G184&gt;=30,$AT$3&lt;=DG$7),ROUND(DG184*($AP$3+#REF!),-1),""))</f>
        <v/>
      </c>
      <c r="DI184" s="503"/>
      <c r="DJ184" s="503" t="str">
        <f>IF($G184="","",IF(AND($G184&gt;=30,$AT$3&lt;=DI$7),ROUND(DI184*($AP$3+#REF!),-1),""))</f>
        <v/>
      </c>
      <c r="DK184" s="503"/>
      <c r="DL184" s="503" t="str">
        <f>IF($G184="","",IF(AND($G184&gt;=30,$AT$3&lt;=DK$7),ROUND(DK184*($AP$3+#REF!),-1),""))</f>
        <v/>
      </c>
      <c r="DM184" s="503"/>
      <c r="DN184" s="503" t="str">
        <f>IF($G184="","",IF(AND($G184&gt;=30,$AT$3&lt;=DM$7),ROUND(DM184*($AP$3+#REF!),-1),""))</f>
        <v/>
      </c>
      <c r="DO184" s="503"/>
      <c r="DP184" s="503" t="str">
        <f>IF($G184="","",IF(AND($G184&gt;=30,$AT$3&lt;=DO$7),ROUND(DO184*($AP$3+#REF!),-1),""))</f>
        <v/>
      </c>
      <c r="DQ184" s="503"/>
      <c r="DR184" s="503" t="str">
        <f>IF($G184="","",IF(AND($G184&gt;=30,$AT$3&lt;=DQ$7),ROUND(DQ184*($AP$3+#REF!),-1),""))</f>
        <v/>
      </c>
      <c r="DS184" s="503"/>
      <c r="DT184" s="503" t="str">
        <f>IF($G184="","",IF(AND($G184&gt;=30,$AT$3&lt;=DS$7),ROUND(DS184*($AP$3+#REF!),-1),""))</f>
        <v/>
      </c>
      <c r="DU184" s="503"/>
      <c r="DV184" s="503" t="str">
        <f>IF($G184="","",IF(AND($G184&gt;=30,$AT$3&lt;=DU$7),ROUND(DU184*($AP$3+#REF!),-1),""))</f>
        <v/>
      </c>
      <c r="DW184" s="503"/>
      <c r="DX184" s="503" t="str">
        <f>IF($G184="","",IF(AND($G184&gt;=30,$AT$3&lt;=DW$7),ROUND(DW184*($AP$3+#REF!),-1),""))</f>
        <v/>
      </c>
      <c r="DY184" s="503"/>
      <c r="DZ184" s="503" t="str">
        <f>IF($G184="","",IF(AND($G184&gt;=30,$AT$3&lt;=DY$7),ROUND(DY184*($AP$3+#REF!),-1),""))</f>
        <v/>
      </c>
      <c r="EA184" s="503"/>
      <c r="EB184" s="503" t="str">
        <f>IF($G184="","",IF(AND($G184&gt;=30,$AT$3&lt;=EA$7),ROUND(EA184*($AP$3+#REF!),-1),""))</f>
        <v/>
      </c>
      <c r="EC184" s="504" t="s">
        <v>621</v>
      </c>
      <c r="ED184" s="1124"/>
      <c r="EE184" s="325">
        <v>8</v>
      </c>
    </row>
    <row r="185" spans="1:135" ht="9.75" customHeight="1">
      <c r="A185" s="321" t="str">
        <f t="shared" si="37"/>
        <v/>
      </c>
      <c r="B185" s="567">
        <f>(ii!$D$13*12+V185)+1</f>
        <v>79</v>
      </c>
      <c r="C185" s="337">
        <f t="shared" si="44"/>
        <v>47756</v>
      </c>
      <c r="D185" s="484">
        <f t="shared" si="47"/>
        <v>2030</v>
      </c>
      <c r="E185" s="484">
        <f t="shared" si="45"/>
        <v>0.75</v>
      </c>
      <c r="F185" s="484">
        <f t="shared" si="48"/>
        <v>2030.75</v>
      </c>
      <c r="G185" s="485" t="str">
        <f>IF(OR(C185&lt;$I$2,C185&gt;$J$3),"",(ii!$D$13*12+V185+1)/12)</f>
        <v/>
      </c>
      <c r="H185" s="486"/>
      <c r="I185" s="486"/>
      <c r="J185" s="487"/>
      <c r="K185" s="488"/>
      <c r="L185" s="548"/>
      <c r="M185" s="489" t="str">
        <f t="shared" si="49"/>
        <v/>
      </c>
      <c r="N185" s="490" t="s">
        <v>621</v>
      </c>
      <c r="O185" s="490" t="str">
        <f t="shared" si="42"/>
        <v/>
      </c>
      <c r="P185" s="491"/>
      <c r="Q185" s="491"/>
      <c r="R185" s="491" t="str">
        <f t="shared" si="43"/>
        <v/>
      </c>
      <c r="S185" s="528" t="str">
        <f t="shared" si="38"/>
        <v/>
      </c>
      <c r="T185" s="528" t="str">
        <f t="shared" ref="T185:T248" si="53">IF(OR(S185="",S184=""),"",S185-S184)</f>
        <v/>
      </c>
      <c r="U185" s="493" t="str">
        <f>IF(H185="","",#REF!*12+#REF!+#REF!*12+#REF!)</f>
        <v/>
      </c>
      <c r="V185" s="338">
        <f>IF(ii!$J$3&gt;gg!C185,"",IF(AND((YEAR(C185)=YEAR($I$2)),MONTH(C185)=MONTH($I$2)),ii!$B$14*12+ii!$C$14+ii!$B$15*12+ii!$C$15-1,V184+1))</f>
        <v>78</v>
      </c>
      <c r="W185" s="339">
        <f t="shared" si="46"/>
        <v>6.5</v>
      </c>
      <c r="X185" s="494" t="s">
        <v>621</v>
      </c>
      <c r="Y185" s="495" t="s">
        <v>621</v>
      </c>
      <c r="Z185" s="496"/>
      <c r="AA185" s="497"/>
      <c r="AB185" s="498" t="e">
        <f t="shared" si="52"/>
        <v>#VALUE!</v>
      </c>
      <c r="AC185" s="484" t="str">
        <f t="shared" si="50"/>
        <v/>
      </c>
      <c r="AD185" s="495" t="str">
        <f t="shared" si="51"/>
        <v/>
      </c>
      <c r="AE185" s="499" t="s">
        <v>621</v>
      </c>
      <c r="AF185" s="500" t="s">
        <v>621</v>
      </c>
      <c r="AG185" s="556" t="s">
        <v>621</v>
      </c>
      <c r="AH185" s="503" t="str">
        <f>IF($G185="","",IF(AND($G185&gt;=30,$AT$3&lt;=AG$7),ROUND(AG185*($AP$3+#REF!),-1),""))</f>
        <v/>
      </c>
      <c r="AI185" s="506" t="s">
        <v>621</v>
      </c>
      <c r="AJ185" s="503" t="str">
        <f>IF($G185="","",IF(AND($G185&gt;=30,$AT$3&lt;=AI$7),ROUND(AI185*($AP$3+#REF!),-1),""))</f>
        <v/>
      </c>
      <c r="AK185" s="506" t="s">
        <v>621</v>
      </c>
      <c r="AL185" s="503" t="str">
        <f>IF($G185="","",IF(AND($G185&gt;=30,$AT$3&lt;=AK$7),ROUND(AK185*($AP$3+#REF!),-1),""))</f>
        <v/>
      </c>
      <c r="AM185" s="506" t="s">
        <v>621</v>
      </c>
      <c r="AN185" s="503" t="str">
        <f>IF($G185="","",IF(AND($G185&gt;=30,$AT$3&lt;=AM$7),ROUND(AM185*($AP$3+#REF!),-1),""))</f>
        <v/>
      </c>
      <c r="AO185" s="503" t="e">
        <v>#REF!</v>
      </c>
      <c r="AP185" s="503" t="str">
        <f>IF($G185="","",IF(AND($G185&gt;=30,$AT$3&lt;=AO$7),ROUND(AO185*($AP$3+#REF!),-1),""))</f>
        <v/>
      </c>
      <c r="AQ185" s="503" t="s">
        <v>621</v>
      </c>
      <c r="AR185" s="503" t="str">
        <f>IF($G185="","",IF(AND($G185&gt;=30,$AT$3&lt;=AQ$7),ROUND(AQ185*($AP$3+#REF!),-1),""))</f>
        <v/>
      </c>
      <c r="AS185" s="503" t="s">
        <v>621</v>
      </c>
      <c r="AT185" s="503" t="str">
        <f>IF($G185="","",IF(AND($G185&gt;=30,$AT$3&lt;=AS$7),ROUND(AS185*($AP$3+#REF!),-1),""))</f>
        <v/>
      </c>
      <c r="AU185" s="503" t="s">
        <v>621</v>
      </c>
      <c r="AV185" s="503" t="str">
        <f>IF($G185="","",IF(AND($G185&gt;=30,$AT$3&lt;=AU$7),ROUND(AU185*($AP$3+#REF!),-1),""))</f>
        <v/>
      </c>
      <c r="AW185" s="503" t="s">
        <v>621</v>
      </c>
      <c r="AX185" s="503" t="str">
        <f>IF($G185="","",IF(AND($G185&gt;=30,$AT$3&lt;=AW$7),ROUND(AW185*($AP$3+#REF!),-1),""))</f>
        <v/>
      </c>
      <c r="AY185" s="503" t="s">
        <v>621</v>
      </c>
      <c r="AZ185" s="503" t="str">
        <f>IF($G185="","",IF(AND($G185&gt;=30,$AT$3&lt;=AY$7),ROUND(AY185*($AP$3+#REF!),-1),""))</f>
        <v/>
      </c>
      <c r="BA185" s="503" t="s">
        <v>621</v>
      </c>
      <c r="BB185" s="503" t="str">
        <f>IF($G185="","",IF(AND($G185&gt;=30,$AT$3&lt;=BA$7),ROUND(BA185*($AP$3+#REF!),-1),""))</f>
        <v/>
      </c>
      <c r="BC185" s="503" t="s">
        <v>621</v>
      </c>
      <c r="BD185" s="503" t="str">
        <f>IF($G185="","",IF(AND($G185&gt;=30,$AT$3&lt;=BC$7),ROUND(BC185*($AP$3+#REF!),-1),""))</f>
        <v/>
      </c>
      <c r="BE185" s="503" t="s">
        <v>621</v>
      </c>
      <c r="BF185" s="503" t="str">
        <f>IF($G185="","",IF(AND($G185&gt;=30,$AT$3&lt;=BE$7),ROUND(BE185*($AP$3+#REF!),-1),""))</f>
        <v/>
      </c>
      <c r="BG185" s="503" t="s">
        <v>621</v>
      </c>
      <c r="BH185" s="503" t="str">
        <f>IF($G185="","",IF(AND($G185&gt;=30,$AT$3&lt;=BG$7),ROUND(BG185*($AP$3+#REF!),-1),""))</f>
        <v/>
      </c>
      <c r="BI185" s="517" t="e">
        <v>#REF!</v>
      </c>
      <c r="BJ185" s="503" t="str">
        <f>IF($G185="","",IF(AND($G185&gt;=30,$AT$3&lt;=BI$7),ROUND(BI185*($AP$3+#REF!),-1),""))</f>
        <v/>
      </c>
      <c r="BK185" s="502"/>
      <c r="BL185" s="503" t="str">
        <f>IF($G185="","",IF(AND($G185&gt;=30,$AT$3&lt;=BK$7),ROUND(BK185*($AP$3+#REF!),-1),""))</f>
        <v/>
      </c>
      <c r="BM185" s="503"/>
      <c r="BN185" s="503" t="str">
        <f>IF($G185="","",IF(AND($G185&gt;=30,$AT$3&lt;=BM$7),ROUND(BM185*($AP$3+#REF!),-1),""))</f>
        <v/>
      </c>
      <c r="BO185" s="502"/>
      <c r="BP185" s="503" t="str">
        <f>IF($G185="","",IF(AND($G185&gt;=30,$AT$3&lt;=BO$7),ROUND(BO185*($AP$3+#REF!),-1),""))</f>
        <v/>
      </c>
      <c r="BQ185" s="503"/>
      <c r="BR185" s="503" t="str">
        <f>IF($G185="","",IF(AND($G185&gt;=30,$AT$3&lt;=BQ$7),ROUND(BQ185*($AP$3+#REF!),-1),""))</f>
        <v/>
      </c>
      <c r="BS185" s="502"/>
      <c r="BT185" s="503" t="str">
        <f>IF($G185="","",IF(AND($G185&gt;=30,$AT$3&lt;=BS$7),ROUND(BS185*($AP$3+#REF!),-1),""))</f>
        <v/>
      </c>
      <c r="BU185" s="503"/>
      <c r="BV185" s="503" t="str">
        <f>IF($G185="","",IF(AND($G185&gt;=30,$AT$3&lt;=BU$7),ROUND(BU185*($AP$3+#REF!),-1),""))</f>
        <v/>
      </c>
      <c r="BW185" s="502"/>
      <c r="BX185" s="503" t="str">
        <f>IF($G185="","",IF(AND($G185&gt;=30,$AT$3&lt;=BW$7),ROUND(BW185*($AP$3+#REF!),-1),""))</f>
        <v/>
      </c>
      <c r="BY185" s="503"/>
      <c r="BZ185" s="503" t="str">
        <f>IF($G185="","",IF(AND($G185&gt;=30,$AT$3&lt;=BY$7),ROUND(BY185*($AP$3+#REF!),-1),""))</f>
        <v/>
      </c>
      <c r="CA185" s="502"/>
      <c r="CB185" s="503" t="str">
        <f>IF($G185="","",IF(AND($G185&gt;=30,$AT$3&lt;=CA$7),ROUND(CA185*($AP$3+#REF!),-1),""))</f>
        <v/>
      </c>
      <c r="CC185" s="503"/>
      <c r="CD185" s="503" t="str">
        <f>IF($G185="","",IF(AND($G185&gt;=30,$AT$3&lt;=CC$7),ROUND(CC185*($AP$3+#REF!),-1),""))</f>
        <v/>
      </c>
      <c r="CE185" s="502"/>
      <c r="CF185" s="503" t="str">
        <f>IF($G185="","",IF(AND($G185&gt;=30,$AT$3&lt;=CE$7),ROUND(CE185*($AP$3+#REF!),-1),""))</f>
        <v/>
      </c>
      <c r="CG185" s="503"/>
      <c r="CH185" s="503" t="str">
        <f>IF($G185="","",IF(AND($G185&gt;=30,$AT$3&lt;=CG$7),ROUND(CG185*($AP$3+#REF!),-1),""))</f>
        <v/>
      </c>
      <c r="CI185" s="502"/>
      <c r="CJ185" s="503" t="str">
        <f>IF($G185="","",IF(AND($G185&gt;=30,$AT$3&lt;=CI$7),ROUND(CI185*($AP$3+#REF!),-1),""))</f>
        <v/>
      </c>
      <c r="CK185" s="503"/>
      <c r="CL185" s="503" t="str">
        <f>IF($G185="","",IF(AND($G185&gt;=30,$AT$3&lt;=CK$7),ROUND(CK185*($AP$3+#REF!),-1),""))</f>
        <v/>
      </c>
      <c r="CM185" s="502"/>
      <c r="CN185" s="503" t="str">
        <f>IF($G185="","",IF(AND($G185&gt;=30,$AT$3&lt;=CM$7),ROUND(CM185*($AP$3+#REF!),-1),""))</f>
        <v/>
      </c>
      <c r="CO185" s="503"/>
      <c r="CP185" s="503" t="str">
        <f>IF($G185="","",IF(AND($G185&gt;=30,$AT$3&lt;=CO$7),ROUND(CO185*($AP$3+#REF!),-1),""))</f>
        <v/>
      </c>
      <c r="CQ185" s="502"/>
      <c r="CR185" s="503" t="str">
        <f>IF($G185="","",IF(AND($G185&gt;=30,$AT$3&lt;=CQ$7),ROUND(CQ185*($AP$3+#REF!),-1),""))</f>
        <v/>
      </c>
      <c r="CS185" s="503"/>
      <c r="CT185" s="503" t="str">
        <f>IF($G185="","",IF(AND($G185&gt;=30,$AT$3&lt;=CS$7),ROUND(CS185*($AP$3+#REF!),-1),""))</f>
        <v/>
      </c>
      <c r="CU185" s="502"/>
      <c r="CV185" s="503" t="str">
        <f>IF($G185="","",IF(AND($G185&gt;=30,$AT$3&lt;=CU$7),ROUND(CU185*($AP$3+#REF!),-1),""))</f>
        <v/>
      </c>
      <c r="CW185" s="503"/>
      <c r="CX185" s="503" t="str">
        <f>IF($G185="","",IF(AND($G185&gt;=30,$AT$3&lt;=CW$7),ROUND(CW185*($AP$3+#REF!),-1),""))</f>
        <v/>
      </c>
      <c r="CY185" s="502"/>
      <c r="CZ185" s="503" t="str">
        <f>IF($G185="","",IF(AND($G185&gt;=30,$AT$3&lt;=CY$7),ROUND(CY185*($AP$3+#REF!),-1),""))</f>
        <v/>
      </c>
      <c r="DA185" s="503"/>
      <c r="DB185" s="503" t="str">
        <f>IF($G185="","",IF(AND($G185&gt;=30,$AT$3&lt;=DA$7),ROUND(DA185*($AP$3+#REF!),-1),""))</f>
        <v/>
      </c>
      <c r="DC185" s="502"/>
      <c r="DD185" s="503" t="str">
        <f>IF($G185="","",IF(AND($G185&gt;=30,$AT$3&lt;=DC$7),ROUND(DC185*($AP$3+#REF!),-1),""))</f>
        <v/>
      </c>
      <c r="DE185" s="503"/>
      <c r="DF185" s="503" t="str">
        <f>IF($G185="","",IF(AND($G185&gt;=30,$AT$3&lt;=DE$7),ROUND(DE185*($AP$3+#REF!),-1),""))</f>
        <v/>
      </c>
      <c r="DG185" s="503"/>
      <c r="DH185" s="503" t="str">
        <f>IF($G185="","",IF(AND($G185&gt;=30,$AT$3&lt;=DG$7),ROUND(DG185*($AP$3+#REF!),-1),""))</f>
        <v/>
      </c>
      <c r="DI185" s="503"/>
      <c r="DJ185" s="503" t="str">
        <f>IF($G185="","",IF(AND($G185&gt;=30,$AT$3&lt;=DI$7),ROUND(DI185*($AP$3+#REF!),-1),""))</f>
        <v/>
      </c>
      <c r="DK185" s="503"/>
      <c r="DL185" s="503" t="str">
        <f>IF($G185="","",IF(AND($G185&gt;=30,$AT$3&lt;=DK$7),ROUND(DK185*($AP$3+#REF!),-1),""))</f>
        <v/>
      </c>
      <c r="DM185" s="503"/>
      <c r="DN185" s="503" t="str">
        <f>IF($G185="","",IF(AND($G185&gt;=30,$AT$3&lt;=DM$7),ROUND(DM185*($AP$3+#REF!),-1),""))</f>
        <v/>
      </c>
      <c r="DO185" s="503"/>
      <c r="DP185" s="503" t="str">
        <f>IF($G185="","",IF(AND($G185&gt;=30,$AT$3&lt;=DO$7),ROUND(DO185*($AP$3+#REF!),-1),""))</f>
        <v/>
      </c>
      <c r="DQ185" s="503"/>
      <c r="DR185" s="503" t="str">
        <f>IF($G185="","",IF(AND($G185&gt;=30,$AT$3&lt;=DQ$7),ROUND(DQ185*($AP$3+#REF!),-1),""))</f>
        <v/>
      </c>
      <c r="DS185" s="503"/>
      <c r="DT185" s="503" t="str">
        <f>IF($G185="","",IF(AND($G185&gt;=30,$AT$3&lt;=DS$7),ROUND(DS185*($AP$3+#REF!),-1),""))</f>
        <v/>
      </c>
      <c r="DU185" s="503"/>
      <c r="DV185" s="503" t="str">
        <f>IF($G185="","",IF(AND($G185&gt;=30,$AT$3&lt;=DU$7),ROUND(DU185*($AP$3+#REF!),-1),""))</f>
        <v/>
      </c>
      <c r="DW185" s="503"/>
      <c r="DX185" s="503" t="str">
        <f>IF($G185="","",IF(AND($G185&gt;=30,$AT$3&lt;=DW$7),ROUND(DW185*($AP$3+#REF!),-1),""))</f>
        <v/>
      </c>
      <c r="DY185" s="503"/>
      <c r="DZ185" s="503" t="str">
        <f>IF($G185="","",IF(AND($G185&gt;=30,$AT$3&lt;=DY$7),ROUND(DY185*($AP$3+#REF!),-1),""))</f>
        <v/>
      </c>
      <c r="EA185" s="503"/>
      <c r="EB185" s="503" t="str">
        <f>IF($G185="","",IF(AND($G185&gt;=30,$AT$3&lt;=EA$7),ROUND(EA185*($AP$3+#REF!),-1),""))</f>
        <v/>
      </c>
      <c r="EC185" s="504" t="s">
        <v>621</v>
      </c>
      <c r="ED185" s="1124"/>
      <c r="EE185" s="325">
        <v>9</v>
      </c>
    </row>
    <row r="186" spans="1:135" ht="9.75" customHeight="1">
      <c r="A186" s="321" t="str">
        <f t="shared" ref="A186:A249" si="54">G186</f>
        <v/>
      </c>
      <c r="B186" s="567">
        <f>(ii!$D$13*12+V186)+1</f>
        <v>80</v>
      </c>
      <c r="C186" s="337">
        <f t="shared" si="44"/>
        <v>47787</v>
      </c>
      <c r="D186" s="484">
        <f t="shared" si="47"/>
        <v>2030</v>
      </c>
      <c r="E186" s="484">
        <f t="shared" si="45"/>
        <v>0.83333333333333337</v>
      </c>
      <c r="F186" s="484">
        <f t="shared" si="48"/>
        <v>2030.8333333333333</v>
      </c>
      <c r="G186" s="485" t="str">
        <f>IF(OR(C186&lt;$I$2,C186&gt;$J$3),"",(ii!$D$13*12+V186+1)/12)</f>
        <v/>
      </c>
      <c r="H186" s="486"/>
      <c r="I186" s="486"/>
      <c r="J186" s="487"/>
      <c r="K186" s="488"/>
      <c r="L186" s="548"/>
      <c r="M186" s="489" t="str">
        <f t="shared" si="49"/>
        <v/>
      </c>
      <c r="N186" s="490" t="s">
        <v>621</v>
      </c>
      <c r="O186" s="490" t="str">
        <f t="shared" si="42"/>
        <v/>
      </c>
      <c r="P186" s="491"/>
      <c r="Q186" s="491"/>
      <c r="R186" s="491" t="str">
        <f t="shared" si="43"/>
        <v/>
      </c>
      <c r="S186" s="528" t="str">
        <f t="shared" si="38"/>
        <v/>
      </c>
      <c r="T186" s="528" t="str">
        <f t="shared" si="53"/>
        <v/>
      </c>
      <c r="U186" s="493" t="str">
        <f>IF(H186="","",#REF!*12+#REF!+#REF!*12+#REF!)</f>
        <v/>
      </c>
      <c r="V186" s="338">
        <f>IF(ii!$J$3&gt;gg!C186,"",IF(AND((YEAR(C186)=YEAR($I$2)),MONTH(C186)=MONTH($I$2)),ii!$B$14*12+ii!$C$14+ii!$B$15*12+ii!$C$15-1,V185+1))</f>
        <v>79</v>
      </c>
      <c r="W186" s="339">
        <f t="shared" si="46"/>
        <v>6.583333333333333</v>
      </c>
      <c r="X186" s="494" t="s">
        <v>621</v>
      </c>
      <c r="Y186" s="495" t="s">
        <v>621</v>
      </c>
      <c r="Z186" s="496"/>
      <c r="AA186" s="497"/>
      <c r="AB186" s="498" t="e">
        <f t="shared" si="52"/>
        <v>#VALUE!</v>
      </c>
      <c r="AC186" s="484" t="str">
        <f t="shared" si="50"/>
        <v/>
      </c>
      <c r="AD186" s="495" t="str">
        <f t="shared" si="51"/>
        <v/>
      </c>
      <c r="AE186" s="499" t="s">
        <v>621</v>
      </c>
      <c r="AF186" s="500" t="s">
        <v>621</v>
      </c>
      <c r="AG186" s="556" t="s">
        <v>621</v>
      </c>
      <c r="AH186" s="503" t="str">
        <f>IF($G186="","",IF(AND($G186&gt;=30,$AT$3&lt;=AG$7),ROUND(AG186*($AP$3+#REF!),-1),""))</f>
        <v/>
      </c>
      <c r="AI186" s="506" t="s">
        <v>621</v>
      </c>
      <c r="AJ186" s="503" t="str">
        <f>IF($G186="","",IF(AND($G186&gt;=30,$AT$3&lt;=AI$7),ROUND(AI186*($AP$3+#REF!),-1),""))</f>
        <v/>
      </c>
      <c r="AK186" s="506" t="s">
        <v>621</v>
      </c>
      <c r="AL186" s="503" t="str">
        <f>IF($G186="","",IF(AND($G186&gt;=30,$AT$3&lt;=AK$7),ROUND(AK186*($AP$3+#REF!),-1),""))</f>
        <v/>
      </c>
      <c r="AM186" s="506" t="s">
        <v>621</v>
      </c>
      <c r="AN186" s="503" t="str">
        <f>IF($G186="","",IF(AND($G186&gt;=30,$AT$3&lt;=AM$7),ROUND(AM186*($AP$3+#REF!),-1),""))</f>
        <v/>
      </c>
      <c r="AO186" s="503" t="e">
        <v>#REF!</v>
      </c>
      <c r="AP186" s="503" t="str">
        <f>IF($G186="","",IF(AND($G186&gt;=30,$AT$3&lt;=AO$7),ROUND(AO186*($AP$3+#REF!),-1),""))</f>
        <v/>
      </c>
      <c r="AQ186" s="503" t="s">
        <v>621</v>
      </c>
      <c r="AR186" s="503" t="str">
        <f>IF($G186="","",IF(AND($G186&gt;=30,$AT$3&lt;=AQ$7),ROUND(AQ186*($AP$3+#REF!),-1),""))</f>
        <v/>
      </c>
      <c r="AS186" s="503" t="s">
        <v>621</v>
      </c>
      <c r="AT186" s="503" t="str">
        <f>IF($G186="","",IF(AND($G186&gt;=30,$AT$3&lt;=AS$7),ROUND(AS186*($AP$3+#REF!),-1),""))</f>
        <v/>
      </c>
      <c r="AU186" s="503" t="s">
        <v>621</v>
      </c>
      <c r="AV186" s="503" t="str">
        <f>IF($G186="","",IF(AND($G186&gt;=30,$AT$3&lt;=AU$7),ROUND(AU186*($AP$3+#REF!),-1),""))</f>
        <v/>
      </c>
      <c r="AW186" s="503" t="s">
        <v>621</v>
      </c>
      <c r="AX186" s="503" t="str">
        <f>IF($G186="","",IF(AND($G186&gt;=30,$AT$3&lt;=AW$7),ROUND(AW186*($AP$3+#REF!),-1),""))</f>
        <v/>
      </c>
      <c r="AY186" s="503" t="s">
        <v>621</v>
      </c>
      <c r="AZ186" s="503" t="str">
        <f>IF($G186="","",IF(AND($G186&gt;=30,$AT$3&lt;=AY$7),ROUND(AY186*($AP$3+#REF!),-1),""))</f>
        <v/>
      </c>
      <c r="BA186" s="503" t="s">
        <v>621</v>
      </c>
      <c r="BB186" s="503" t="str">
        <f>IF($G186="","",IF(AND($G186&gt;=30,$AT$3&lt;=BA$7),ROUND(BA186*($AP$3+#REF!),-1),""))</f>
        <v/>
      </c>
      <c r="BC186" s="503" t="s">
        <v>621</v>
      </c>
      <c r="BD186" s="503" t="str">
        <f>IF($G186="","",IF(AND($G186&gt;=30,$AT$3&lt;=BC$7),ROUND(BC186*($AP$3+#REF!),-1),""))</f>
        <v/>
      </c>
      <c r="BE186" s="503" t="s">
        <v>621</v>
      </c>
      <c r="BF186" s="503" t="str">
        <f>IF($G186="","",IF(AND($G186&gt;=30,$AT$3&lt;=BE$7),ROUND(BE186*($AP$3+#REF!),-1),""))</f>
        <v/>
      </c>
      <c r="BG186" s="503" t="s">
        <v>621</v>
      </c>
      <c r="BH186" s="503" t="str">
        <f>IF($G186="","",IF(AND($G186&gt;=30,$AT$3&lt;=BG$7),ROUND(BG186*($AP$3+#REF!),-1),""))</f>
        <v/>
      </c>
      <c r="BI186" s="517" t="e">
        <v>#REF!</v>
      </c>
      <c r="BJ186" s="503" t="str">
        <f>IF($G186="","",IF(AND($G186&gt;=30,$AT$3&lt;=BI$7),ROUND(BI186*($AP$3+#REF!),-1),""))</f>
        <v/>
      </c>
      <c r="BK186" s="502"/>
      <c r="BL186" s="503" t="str">
        <f>IF($G186="","",IF(AND($G186&gt;=30,$AT$3&lt;=BK$7),ROUND(BK186*($AP$3+#REF!),-1),""))</f>
        <v/>
      </c>
      <c r="BM186" s="503"/>
      <c r="BN186" s="503" t="str">
        <f>IF($G186="","",IF(AND($G186&gt;=30,$AT$3&lt;=BM$7),ROUND(BM186*($AP$3+#REF!),-1),""))</f>
        <v/>
      </c>
      <c r="BO186" s="502"/>
      <c r="BP186" s="503" t="str">
        <f>IF($G186="","",IF(AND($G186&gt;=30,$AT$3&lt;=BO$7),ROUND(BO186*($AP$3+#REF!),-1),""))</f>
        <v/>
      </c>
      <c r="BQ186" s="503"/>
      <c r="BR186" s="503" t="str">
        <f>IF($G186="","",IF(AND($G186&gt;=30,$AT$3&lt;=BQ$7),ROUND(BQ186*($AP$3+#REF!),-1),""))</f>
        <v/>
      </c>
      <c r="BS186" s="502"/>
      <c r="BT186" s="503" t="str">
        <f>IF($G186="","",IF(AND($G186&gt;=30,$AT$3&lt;=BS$7),ROUND(BS186*($AP$3+#REF!),-1),""))</f>
        <v/>
      </c>
      <c r="BU186" s="503"/>
      <c r="BV186" s="503" t="str">
        <f>IF($G186="","",IF(AND($G186&gt;=30,$AT$3&lt;=BU$7),ROUND(BU186*($AP$3+#REF!),-1),""))</f>
        <v/>
      </c>
      <c r="BW186" s="502"/>
      <c r="BX186" s="503" t="str">
        <f>IF($G186="","",IF(AND($G186&gt;=30,$AT$3&lt;=BW$7),ROUND(BW186*($AP$3+#REF!),-1),""))</f>
        <v/>
      </c>
      <c r="BY186" s="503"/>
      <c r="BZ186" s="503" t="str">
        <f>IF($G186="","",IF(AND($G186&gt;=30,$AT$3&lt;=BY$7),ROUND(BY186*($AP$3+#REF!),-1),""))</f>
        <v/>
      </c>
      <c r="CA186" s="502"/>
      <c r="CB186" s="503" t="str">
        <f>IF($G186="","",IF(AND($G186&gt;=30,$AT$3&lt;=CA$7),ROUND(CA186*($AP$3+#REF!),-1),""))</f>
        <v/>
      </c>
      <c r="CC186" s="503"/>
      <c r="CD186" s="503" t="str">
        <f>IF($G186="","",IF(AND($G186&gt;=30,$AT$3&lt;=CC$7),ROUND(CC186*($AP$3+#REF!),-1),""))</f>
        <v/>
      </c>
      <c r="CE186" s="502"/>
      <c r="CF186" s="503" t="str">
        <f>IF($G186="","",IF(AND($G186&gt;=30,$AT$3&lt;=CE$7),ROUND(CE186*($AP$3+#REF!),-1),""))</f>
        <v/>
      </c>
      <c r="CG186" s="503"/>
      <c r="CH186" s="503" t="str">
        <f>IF($G186="","",IF(AND($G186&gt;=30,$AT$3&lt;=CG$7),ROUND(CG186*($AP$3+#REF!),-1),""))</f>
        <v/>
      </c>
      <c r="CI186" s="502"/>
      <c r="CJ186" s="503" t="str">
        <f>IF($G186="","",IF(AND($G186&gt;=30,$AT$3&lt;=CI$7),ROUND(CI186*($AP$3+#REF!),-1),""))</f>
        <v/>
      </c>
      <c r="CK186" s="503"/>
      <c r="CL186" s="503" t="str">
        <f>IF($G186="","",IF(AND($G186&gt;=30,$AT$3&lt;=CK$7),ROUND(CK186*($AP$3+#REF!),-1),""))</f>
        <v/>
      </c>
      <c r="CM186" s="502"/>
      <c r="CN186" s="503" t="str">
        <f>IF($G186="","",IF(AND($G186&gt;=30,$AT$3&lt;=CM$7),ROUND(CM186*($AP$3+#REF!),-1),""))</f>
        <v/>
      </c>
      <c r="CO186" s="503"/>
      <c r="CP186" s="503" t="str">
        <f>IF($G186="","",IF(AND($G186&gt;=30,$AT$3&lt;=CO$7),ROUND(CO186*($AP$3+#REF!),-1),""))</f>
        <v/>
      </c>
      <c r="CQ186" s="502"/>
      <c r="CR186" s="503" t="str">
        <f>IF($G186="","",IF(AND($G186&gt;=30,$AT$3&lt;=CQ$7),ROUND(CQ186*($AP$3+#REF!),-1),""))</f>
        <v/>
      </c>
      <c r="CS186" s="503"/>
      <c r="CT186" s="503" t="str">
        <f>IF($G186="","",IF(AND($G186&gt;=30,$AT$3&lt;=CS$7),ROUND(CS186*($AP$3+#REF!),-1),""))</f>
        <v/>
      </c>
      <c r="CU186" s="502"/>
      <c r="CV186" s="503" t="str">
        <f>IF($G186="","",IF(AND($G186&gt;=30,$AT$3&lt;=CU$7),ROUND(CU186*($AP$3+#REF!),-1),""))</f>
        <v/>
      </c>
      <c r="CW186" s="503"/>
      <c r="CX186" s="503" t="str">
        <f>IF($G186="","",IF(AND($G186&gt;=30,$AT$3&lt;=CW$7),ROUND(CW186*($AP$3+#REF!),-1),""))</f>
        <v/>
      </c>
      <c r="CY186" s="502"/>
      <c r="CZ186" s="503" t="str">
        <f>IF($G186="","",IF(AND($G186&gt;=30,$AT$3&lt;=CY$7),ROUND(CY186*($AP$3+#REF!),-1),""))</f>
        <v/>
      </c>
      <c r="DA186" s="503"/>
      <c r="DB186" s="503" t="str">
        <f>IF($G186="","",IF(AND($G186&gt;=30,$AT$3&lt;=DA$7),ROUND(DA186*($AP$3+#REF!),-1),""))</f>
        <v/>
      </c>
      <c r="DC186" s="502"/>
      <c r="DD186" s="503" t="str">
        <f>IF($G186="","",IF(AND($G186&gt;=30,$AT$3&lt;=DC$7),ROUND(DC186*($AP$3+#REF!),-1),""))</f>
        <v/>
      </c>
      <c r="DE186" s="503"/>
      <c r="DF186" s="503" t="str">
        <f>IF($G186="","",IF(AND($G186&gt;=30,$AT$3&lt;=DE$7),ROUND(DE186*($AP$3+#REF!),-1),""))</f>
        <v/>
      </c>
      <c r="DG186" s="503"/>
      <c r="DH186" s="503" t="str">
        <f>IF($G186="","",IF(AND($G186&gt;=30,$AT$3&lt;=DG$7),ROUND(DG186*($AP$3+#REF!),-1),""))</f>
        <v/>
      </c>
      <c r="DI186" s="503"/>
      <c r="DJ186" s="503" t="str">
        <f>IF($G186="","",IF(AND($G186&gt;=30,$AT$3&lt;=DI$7),ROUND(DI186*($AP$3+#REF!),-1),""))</f>
        <v/>
      </c>
      <c r="DK186" s="503"/>
      <c r="DL186" s="503" t="str">
        <f>IF($G186="","",IF(AND($G186&gt;=30,$AT$3&lt;=DK$7),ROUND(DK186*($AP$3+#REF!),-1),""))</f>
        <v/>
      </c>
      <c r="DM186" s="503"/>
      <c r="DN186" s="503" t="str">
        <f>IF($G186="","",IF(AND($G186&gt;=30,$AT$3&lt;=DM$7),ROUND(DM186*($AP$3+#REF!),-1),""))</f>
        <v/>
      </c>
      <c r="DO186" s="503"/>
      <c r="DP186" s="503" t="str">
        <f>IF($G186="","",IF(AND($G186&gt;=30,$AT$3&lt;=DO$7),ROUND(DO186*($AP$3+#REF!),-1),""))</f>
        <v/>
      </c>
      <c r="DQ186" s="503"/>
      <c r="DR186" s="503" t="str">
        <f>IF($G186="","",IF(AND($G186&gt;=30,$AT$3&lt;=DQ$7),ROUND(DQ186*($AP$3+#REF!),-1),""))</f>
        <v/>
      </c>
      <c r="DS186" s="503"/>
      <c r="DT186" s="503" t="str">
        <f>IF($G186="","",IF(AND($G186&gt;=30,$AT$3&lt;=DS$7),ROUND(DS186*($AP$3+#REF!),-1),""))</f>
        <v/>
      </c>
      <c r="DU186" s="503"/>
      <c r="DV186" s="503" t="str">
        <f>IF($G186="","",IF(AND($G186&gt;=30,$AT$3&lt;=DU$7),ROUND(DU186*($AP$3+#REF!),-1),""))</f>
        <v/>
      </c>
      <c r="DW186" s="503"/>
      <c r="DX186" s="503" t="str">
        <f>IF($G186="","",IF(AND($G186&gt;=30,$AT$3&lt;=DW$7),ROUND(DW186*($AP$3+#REF!),-1),""))</f>
        <v/>
      </c>
      <c r="DY186" s="503"/>
      <c r="DZ186" s="503" t="str">
        <f>IF($G186="","",IF(AND($G186&gt;=30,$AT$3&lt;=DY$7),ROUND(DY186*($AP$3+#REF!),-1),""))</f>
        <v/>
      </c>
      <c r="EA186" s="503"/>
      <c r="EB186" s="503" t="str">
        <f>IF($G186="","",IF(AND($G186&gt;=30,$AT$3&lt;=EA$7),ROUND(EA186*($AP$3+#REF!),-1),""))</f>
        <v/>
      </c>
      <c r="EC186" s="504" t="s">
        <v>621</v>
      </c>
      <c r="ED186" s="1124"/>
      <c r="EE186" s="325">
        <v>10</v>
      </c>
    </row>
    <row r="187" spans="1:135" ht="9.75" customHeight="1">
      <c r="A187" s="321" t="str">
        <f t="shared" si="54"/>
        <v/>
      </c>
      <c r="B187" s="567">
        <f>(ii!$D$13*12+V187)+1</f>
        <v>81</v>
      </c>
      <c r="C187" s="337">
        <f t="shared" si="44"/>
        <v>47817</v>
      </c>
      <c r="D187" s="484">
        <f t="shared" si="47"/>
        <v>2030</v>
      </c>
      <c r="E187" s="484">
        <f t="shared" si="45"/>
        <v>0.91666666666666663</v>
      </c>
      <c r="F187" s="484">
        <f t="shared" si="48"/>
        <v>2030.9166666666667</v>
      </c>
      <c r="G187" s="485" t="str">
        <f>IF(OR(C187&lt;$I$2,C187&gt;$J$3),"",(ii!$D$13*12+V187+1)/12)</f>
        <v/>
      </c>
      <c r="H187" s="486"/>
      <c r="I187" s="486"/>
      <c r="J187" s="487"/>
      <c r="K187" s="488"/>
      <c r="L187" s="548"/>
      <c r="M187" s="489" t="str">
        <f t="shared" si="49"/>
        <v/>
      </c>
      <c r="N187" s="490" t="s">
        <v>621</v>
      </c>
      <c r="O187" s="490" t="str">
        <f t="shared" si="42"/>
        <v/>
      </c>
      <c r="P187" s="491"/>
      <c r="Q187" s="491"/>
      <c r="R187" s="491" t="str">
        <f t="shared" si="43"/>
        <v/>
      </c>
      <c r="S187" s="528" t="str">
        <f t="shared" si="38"/>
        <v/>
      </c>
      <c r="T187" s="528" t="str">
        <f t="shared" si="53"/>
        <v/>
      </c>
      <c r="U187" s="493" t="str">
        <f>IF(H187="","",#REF!*12+#REF!+#REF!*12+#REF!)</f>
        <v/>
      </c>
      <c r="V187" s="338">
        <f>IF(ii!$J$3&gt;gg!C187,"",IF(AND((YEAR(C187)=YEAR($I$2)),MONTH(C187)=MONTH($I$2)),ii!$B$14*12+ii!$C$14+ii!$B$15*12+ii!$C$15-1,V186+1))</f>
        <v>80</v>
      </c>
      <c r="W187" s="339">
        <f t="shared" si="46"/>
        <v>6.666666666666667</v>
      </c>
      <c r="X187" s="494" t="s">
        <v>621</v>
      </c>
      <c r="Y187" s="495" t="s">
        <v>621</v>
      </c>
      <c r="Z187" s="496"/>
      <c r="AA187" s="497"/>
      <c r="AB187" s="498" t="e">
        <f t="shared" si="52"/>
        <v>#VALUE!</v>
      </c>
      <c r="AC187" s="484" t="str">
        <f t="shared" si="50"/>
        <v/>
      </c>
      <c r="AD187" s="495" t="str">
        <f t="shared" si="51"/>
        <v/>
      </c>
      <c r="AE187" s="499" t="s">
        <v>621</v>
      </c>
      <c r="AF187" s="500" t="s">
        <v>621</v>
      </c>
      <c r="AG187" s="556" t="s">
        <v>621</v>
      </c>
      <c r="AH187" s="503" t="str">
        <f>IF($G187="","",IF(AND($G187&gt;=30,$AT$3&lt;=AG$7),ROUND(AG187*($AP$3+#REF!),-1),""))</f>
        <v/>
      </c>
      <c r="AI187" s="506" t="s">
        <v>621</v>
      </c>
      <c r="AJ187" s="503" t="str">
        <f>IF($G187="","",IF(AND($G187&gt;=30,$AT$3&lt;=AI$7),ROUND(AI187*($AP$3+#REF!),-1),""))</f>
        <v/>
      </c>
      <c r="AK187" s="506" t="s">
        <v>621</v>
      </c>
      <c r="AL187" s="503" t="str">
        <f>IF($G187="","",IF(AND($G187&gt;=30,$AT$3&lt;=AK$7),ROUND(AK187*($AP$3+#REF!),-1),""))</f>
        <v/>
      </c>
      <c r="AM187" s="506" t="s">
        <v>621</v>
      </c>
      <c r="AN187" s="503" t="str">
        <f>IF($G187="","",IF(AND($G187&gt;=30,$AT$3&lt;=AM$7),ROUND(AM187*($AP$3+#REF!),-1),""))</f>
        <v/>
      </c>
      <c r="AO187" s="503" t="e">
        <v>#REF!</v>
      </c>
      <c r="AP187" s="503" t="str">
        <f>IF($G187="","",IF(AND($G187&gt;=30,$AT$3&lt;=AO$7),ROUND(AO187*($AP$3+#REF!),-1),""))</f>
        <v/>
      </c>
      <c r="AQ187" s="503" t="s">
        <v>621</v>
      </c>
      <c r="AR187" s="503" t="str">
        <f>IF($G187="","",IF(AND($G187&gt;=30,$AT$3&lt;=AQ$7),ROUND(AQ187*($AP$3+#REF!),-1),""))</f>
        <v/>
      </c>
      <c r="AS187" s="503" t="s">
        <v>621</v>
      </c>
      <c r="AT187" s="503" t="str">
        <f>IF($G187="","",IF(AND($G187&gt;=30,$AT$3&lt;=AS$7),ROUND(AS187*($AP$3+#REF!),-1),""))</f>
        <v/>
      </c>
      <c r="AU187" s="503" t="s">
        <v>621</v>
      </c>
      <c r="AV187" s="503" t="str">
        <f>IF($G187="","",IF(AND($G187&gt;=30,$AT$3&lt;=AU$7),ROUND(AU187*($AP$3+#REF!),-1),""))</f>
        <v/>
      </c>
      <c r="AW187" s="503" t="s">
        <v>621</v>
      </c>
      <c r="AX187" s="503" t="str">
        <f>IF($G187="","",IF(AND($G187&gt;=30,$AT$3&lt;=AW$7),ROUND(AW187*($AP$3+#REF!),-1),""))</f>
        <v/>
      </c>
      <c r="AY187" s="503" t="s">
        <v>621</v>
      </c>
      <c r="AZ187" s="503" t="str">
        <f>IF($G187="","",IF(AND($G187&gt;=30,$AT$3&lt;=AY$7),ROUND(AY187*($AP$3+#REF!),-1),""))</f>
        <v/>
      </c>
      <c r="BA187" s="503" t="s">
        <v>621</v>
      </c>
      <c r="BB187" s="503" t="str">
        <f>IF($G187="","",IF(AND($G187&gt;=30,$AT$3&lt;=BA$7),ROUND(BA187*($AP$3+#REF!),-1),""))</f>
        <v/>
      </c>
      <c r="BC187" s="503" t="s">
        <v>621</v>
      </c>
      <c r="BD187" s="503" t="str">
        <f>IF($G187="","",IF(AND($G187&gt;=30,$AT$3&lt;=BC$7),ROUND(BC187*($AP$3+#REF!),-1),""))</f>
        <v/>
      </c>
      <c r="BE187" s="503" t="s">
        <v>621</v>
      </c>
      <c r="BF187" s="503" t="str">
        <f>IF($G187="","",IF(AND($G187&gt;=30,$AT$3&lt;=BE$7),ROUND(BE187*($AP$3+#REF!),-1),""))</f>
        <v/>
      </c>
      <c r="BG187" s="503" t="s">
        <v>621</v>
      </c>
      <c r="BH187" s="503" t="str">
        <f>IF($G187="","",IF(AND($G187&gt;=30,$AT$3&lt;=BG$7),ROUND(BG187*($AP$3+#REF!),-1),""))</f>
        <v/>
      </c>
      <c r="BI187" s="517" t="e">
        <v>#REF!</v>
      </c>
      <c r="BJ187" s="503" t="str">
        <f>IF($G187="","",IF(AND($G187&gt;=30,$AT$3&lt;=BI$7),ROUND(BI187*($AP$3+#REF!),-1),""))</f>
        <v/>
      </c>
      <c r="BK187" s="502"/>
      <c r="BL187" s="503" t="str">
        <f>IF($G187="","",IF(AND($G187&gt;=30,$AT$3&lt;=BK$7),ROUND(BK187*($AP$3+#REF!),-1),""))</f>
        <v/>
      </c>
      <c r="BM187" s="503"/>
      <c r="BN187" s="503" t="str">
        <f>IF($G187="","",IF(AND($G187&gt;=30,$AT$3&lt;=BM$7),ROUND(BM187*($AP$3+#REF!),-1),""))</f>
        <v/>
      </c>
      <c r="BO187" s="502"/>
      <c r="BP187" s="503" t="str">
        <f>IF($G187="","",IF(AND($G187&gt;=30,$AT$3&lt;=BO$7),ROUND(BO187*($AP$3+#REF!),-1),""))</f>
        <v/>
      </c>
      <c r="BQ187" s="503"/>
      <c r="BR187" s="503" t="str">
        <f>IF($G187="","",IF(AND($G187&gt;=30,$AT$3&lt;=BQ$7),ROUND(BQ187*($AP$3+#REF!),-1),""))</f>
        <v/>
      </c>
      <c r="BS187" s="502"/>
      <c r="BT187" s="503" t="str">
        <f>IF($G187="","",IF(AND($G187&gt;=30,$AT$3&lt;=BS$7),ROUND(BS187*($AP$3+#REF!),-1),""))</f>
        <v/>
      </c>
      <c r="BU187" s="503"/>
      <c r="BV187" s="503" t="str">
        <f>IF($G187="","",IF(AND($G187&gt;=30,$AT$3&lt;=BU$7),ROUND(BU187*($AP$3+#REF!),-1),""))</f>
        <v/>
      </c>
      <c r="BW187" s="502"/>
      <c r="BX187" s="503" t="str">
        <f>IF($G187="","",IF(AND($G187&gt;=30,$AT$3&lt;=BW$7),ROUND(BW187*($AP$3+#REF!),-1),""))</f>
        <v/>
      </c>
      <c r="BY187" s="503"/>
      <c r="BZ187" s="503" t="str">
        <f>IF($G187="","",IF(AND($G187&gt;=30,$AT$3&lt;=BY$7),ROUND(BY187*($AP$3+#REF!),-1),""))</f>
        <v/>
      </c>
      <c r="CA187" s="502"/>
      <c r="CB187" s="503" t="str">
        <f>IF($G187="","",IF(AND($G187&gt;=30,$AT$3&lt;=CA$7),ROUND(CA187*($AP$3+#REF!),-1),""))</f>
        <v/>
      </c>
      <c r="CC187" s="503"/>
      <c r="CD187" s="503" t="str">
        <f>IF($G187="","",IF(AND($G187&gt;=30,$AT$3&lt;=CC$7),ROUND(CC187*($AP$3+#REF!),-1),""))</f>
        <v/>
      </c>
      <c r="CE187" s="502"/>
      <c r="CF187" s="503" t="str">
        <f>IF($G187="","",IF(AND($G187&gt;=30,$AT$3&lt;=CE$7),ROUND(CE187*($AP$3+#REF!),-1),""))</f>
        <v/>
      </c>
      <c r="CG187" s="503"/>
      <c r="CH187" s="503" t="str">
        <f>IF($G187="","",IF(AND($G187&gt;=30,$AT$3&lt;=CG$7),ROUND(CG187*($AP$3+#REF!),-1),""))</f>
        <v/>
      </c>
      <c r="CI187" s="502"/>
      <c r="CJ187" s="503" t="str">
        <f>IF($G187="","",IF(AND($G187&gt;=30,$AT$3&lt;=CI$7),ROUND(CI187*($AP$3+#REF!),-1),""))</f>
        <v/>
      </c>
      <c r="CK187" s="503"/>
      <c r="CL187" s="503" t="str">
        <f>IF($G187="","",IF(AND($G187&gt;=30,$AT$3&lt;=CK$7),ROUND(CK187*($AP$3+#REF!),-1),""))</f>
        <v/>
      </c>
      <c r="CM187" s="502"/>
      <c r="CN187" s="503" t="str">
        <f>IF($G187="","",IF(AND($G187&gt;=30,$AT$3&lt;=CM$7),ROUND(CM187*($AP$3+#REF!),-1),""))</f>
        <v/>
      </c>
      <c r="CO187" s="503"/>
      <c r="CP187" s="503" t="str">
        <f>IF($G187="","",IF(AND($G187&gt;=30,$AT$3&lt;=CO$7),ROUND(CO187*($AP$3+#REF!),-1),""))</f>
        <v/>
      </c>
      <c r="CQ187" s="502"/>
      <c r="CR187" s="503" t="str">
        <f>IF($G187="","",IF(AND($G187&gt;=30,$AT$3&lt;=CQ$7),ROUND(CQ187*($AP$3+#REF!),-1),""))</f>
        <v/>
      </c>
      <c r="CS187" s="503"/>
      <c r="CT187" s="503" t="str">
        <f>IF($G187="","",IF(AND($G187&gt;=30,$AT$3&lt;=CS$7),ROUND(CS187*($AP$3+#REF!),-1),""))</f>
        <v/>
      </c>
      <c r="CU187" s="502"/>
      <c r="CV187" s="503" t="str">
        <f>IF($G187="","",IF(AND($G187&gt;=30,$AT$3&lt;=CU$7),ROUND(CU187*($AP$3+#REF!),-1),""))</f>
        <v/>
      </c>
      <c r="CW187" s="503"/>
      <c r="CX187" s="503" t="str">
        <f>IF($G187="","",IF(AND($G187&gt;=30,$AT$3&lt;=CW$7),ROUND(CW187*($AP$3+#REF!),-1),""))</f>
        <v/>
      </c>
      <c r="CY187" s="502"/>
      <c r="CZ187" s="503" t="str">
        <f>IF($G187="","",IF(AND($G187&gt;=30,$AT$3&lt;=CY$7),ROUND(CY187*($AP$3+#REF!),-1),""))</f>
        <v/>
      </c>
      <c r="DA187" s="503"/>
      <c r="DB187" s="503" t="str">
        <f>IF($G187="","",IF(AND($G187&gt;=30,$AT$3&lt;=DA$7),ROUND(DA187*($AP$3+#REF!),-1),""))</f>
        <v/>
      </c>
      <c r="DC187" s="502"/>
      <c r="DD187" s="503" t="str">
        <f>IF($G187="","",IF(AND($G187&gt;=30,$AT$3&lt;=DC$7),ROUND(DC187*($AP$3+#REF!),-1),""))</f>
        <v/>
      </c>
      <c r="DE187" s="503"/>
      <c r="DF187" s="503" t="str">
        <f>IF($G187="","",IF(AND($G187&gt;=30,$AT$3&lt;=DE$7),ROUND(DE187*($AP$3+#REF!),-1),""))</f>
        <v/>
      </c>
      <c r="DG187" s="503"/>
      <c r="DH187" s="503" t="str">
        <f>IF($G187="","",IF(AND($G187&gt;=30,$AT$3&lt;=DG$7),ROUND(DG187*($AP$3+#REF!),-1),""))</f>
        <v/>
      </c>
      <c r="DI187" s="503"/>
      <c r="DJ187" s="503" t="str">
        <f>IF($G187="","",IF(AND($G187&gt;=30,$AT$3&lt;=DI$7),ROUND(DI187*($AP$3+#REF!),-1),""))</f>
        <v/>
      </c>
      <c r="DK187" s="503"/>
      <c r="DL187" s="503" t="str">
        <f>IF($G187="","",IF(AND($G187&gt;=30,$AT$3&lt;=DK$7),ROUND(DK187*($AP$3+#REF!),-1),""))</f>
        <v/>
      </c>
      <c r="DM187" s="503"/>
      <c r="DN187" s="503" t="str">
        <f>IF($G187="","",IF(AND($G187&gt;=30,$AT$3&lt;=DM$7),ROUND(DM187*($AP$3+#REF!),-1),""))</f>
        <v/>
      </c>
      <c r="DO187" s="503"/>
      <c r="DP187" s="503" t="str">
        <f>IF($G187="","",IF(AND($G187&gt;=30,$AT$3&lt;=DO$7),ROUND(DO187*($AP$3+#REF!),-1),""))</f>
        <v/>
      </c>
      <c r="DQ187" s="503"/>
      <c r="DR187" s="503" t="str">
        <f>IF($G187="","",IF(AND($G187&gt;=30,$AT$3&lt;=DQ$7),ROUND(DQ187*($AP$3+#REF!),-1),""))</f>
        <v/>
      </c>
      <c r="DS187" s="503"/>
      <c r="DT187" s="503" t="str">
        <f>IF($G187="","",IF(AND($G187&gt;=30,$AT$3&lt;=DS$7),ROUND(DS187*($AP$3+#REF!),-1),""))</f>
        <v/>
      </c>
      <c r="DU187" s="503"/>
      <c r="DV187" s="503" t="str">
        <f>IF($G187="","",IF(AND($G187&gt;=30,$AT$3&lt;=DU$7),ROUND(DU187*($AP$3+#REF!),-1),""))</f>
        <v/>
      </c>
      <c r="DW187" s="503"/>
      <c r="DX187" s="503" t="str">
        <f>IF($G187="","",IF(AND($G187&gt;=30,$AT$3&lt;=DW$7),ROUND(DW187*($AP$3+#REF!),-1),""))</f>
        <v/>
      </c>
      <c r="DY187" s="503"/>
      <c r="DZ187" s="503" t="str">
        <f>IF($G187="","",IF(AND($G187&gt;=30,$AT$3&lt;=DY$7),ROUND(DY187*($AP$3+#REF!),-1),""))</f>
        <v/>
      </c>
      <c r="EA187" s="503"/>
      <c r="EB187" s="503" t="str">
        <f>IF($G187="","",IF(AND($G187&gt;=30,$AT$3&lt;=EA$7),ROUND(EA187*($AP$3+#REF!),-1),""))</f>
        <v/>
      </c>
      <c r="EC187" s="504" t="s">
        <v>621</v>
      </c>
      <c r="ED187" s="1124"/>
      <c r="EE187" s="325">
        <v>11</v>
      </c>
    </row>
    <row r="188" spans="1:135" ht="9.75" customHeight="1">
      <c r="A188" s="321" t="str">
        <f t="shared" si="54"/>
        <v/>
      </c>
      <c r="B188" s="567">
        <f>(ii!$D$13*12+V188)+1</f>
        <v>82</v>
      </c>
      <c r="C188" s="337">
        <f t="shared" si="44"/>
        <v>47848</v>
      </c>
      <c r="D188" s="484">
        <f t="shared" si="47"/>
        <v>2030</v>
      </c>
      <c r="E188" s="484">
        <f t="shared" si="45"/>
        <v>1</v>
      </c>
      <c r="F188" s="484">
        <f t="shared" si="48"/>
        <v>2031</v>
      </c>
      <c r="G188" s="485" t="str">
        <f>IF(OR(C188&lt;$I$2,C188&gt;$J$3),"",(ii!$D$13*12+V188+1)/12)</f>
        <v/>
      </c>
      <c r="H188" s="486"/>
      <c r="I188" s="486"/>
      <c r="J188" s="487"/>
      <c r="K188" s="488"/>
      <c r="L188" s="548"/>
      <c r="M188" s="489" t="str">
        <f t="shared" si="49"/>
        <v/>
      </c>
      <c r="N188" s="490" t="s">
        <v>621</v>
      </c>
      <c r="O188" s="490" t="str">
        <f t="shared" si="42"/>
        <v/>
      </c>
      <c r="P188" s="491"/>
      <c r="Q188" s="491"/>
      <c r="R188" s="491" t="str">
        <f t="shared" si="43"/>
        <v/>
      </c>
      <c r="S188" s="528" t="str">
        <f t="shared" si="38"/>
        <v/>
      </c>
      <c r="T188" s="528" t="str">
        <f t="shared" si="53"/>
        <v/>
      </c>
      <c r="U188" s="493" t="str">
        <f>IF(H188="","",#REF!*12+#REF!+#REF!*12+#REF!)</f>
        <v/>
      </c>
      <c r="V188" s="338">
        <f>IF(ii!$J$3&gt;gg!C188,"",IF(AND((YEAR(C188)=YEAR($I$2)),MONTH(C188)=MONTH($I$2)),ii!$B$14*12+ii!$C$14+ii!$B$15*12+ii!$C$15-1,V187+1))</f>
        <v>81</v>
      </c>
      <c r="W188" s="339">
        <f t="shared" si="46"/>
        <v>6.75</v>
      </c>
      <c r="X188" s="494" t="s">
        <v>621</v>
      </c>
      <c r="Y188" s="495" t="s">
        <v>621</v>
      </c>
      <c r="Z188" s="496"/>
      <c r="AA188" s="497"/>
      <c r="AB188" s="498" t="e">
        <f t="shared" si="52"/>
        <v>#VALUE!</v>
      </c>
      <c r="AC188" s="484" t="str">
        <f t="shared" si="50"/>
        <v/>
      </c>
      <c r="AD188" s="495" t="str">
        <f t="shared" si="51"/>
        <v/>
      </c>
      <c r="AE188" s="499" t="s">
        <v>621</v>
      </c>
      <c r="AF188" s="500" t="s">
        <v>621</v>
      </c>
      <c r="AG188" s="556" t="s">
        <v>621</v>
      </c>
      <c r="AH188" s="503" t="str">
        <f>IF($G188="","",IF(AND($G188&gt;=30,$AT$3&lt;=AG$7),ROUND(AG188*($AP$3+#REF!),-1),""))</f>
        <v/>
      </c>
      <c r="AI188" s="506" t="s">
        <v>621</v>
      </c>
      <c r="AJ188" s="503" t="str">
        <f>IF($G188="","",IF(AND($G188&gt;=30,$AT$3&lt;=AI$7),ROUND(AI188*($AP$3+#REF!),-1),""))</f>
        <v/>
      </c>
      <c r="AK188" s="506" t="s">
        <v>621</v>
      </c>
      <c r="AL188" s="503" t="str">
        <f>IF($G188="","",IF(AND($G188&gt;=30,$AT$3&lt;=AK$7),ROUND(AK188*($AP$3+#REF!),-1),""))</f>
        <v/>
      </c>
      <c r="AM188" s="506" t="s">
        <v>621</v>
      </c>
      <c r="AN188" s="503" t="str">
        <f>IF($G188="","",IF(AND($G188&gt;=30,$AT$3&lt;=AM$7),ROUND(AM188*($AP$3+#REF!),-1),""))</f>
        <v/>
      </c>
      <c r="AO188" s="503" t="e">
        <v>#REF!</v>
      </c>
      <c r="AP188" s="503" t="str">
        <f>IF($G188="","",IF(AND($G188&gt;=30,$AT$3&lt;=AO$7),ROUND(AO188*($AP$3+#REF!),-1),""))</f>
        <v/>
      </c>
      <c r="AQ188" s="503" t="s">
        <v>621</v>
      </c>
      <c r="AR188" s="503" t="str">
        <f>IF($G188="","",IF(AND($G188&gt;=30,$AT$3&lt;=AQ$7),ROUND(AQ188*($AP$3+#REF!),-1),""))</f>
        <v/>
      </c>
      <c r="AS188" s="503" t="s">
        <v>621</v>
      </c>
      <c r="AT188" s="503" t="str">
        <f>IF($G188="","",IF(AND($G188&gt;=30,$AT$3&lt;=AS$7),ROUND(AS188*($AP$3+#REF!),-1),""))</f>
        <v/>
      </c>
      <c r="AU188" s="503" t="s">
        <v>621</v>
      </c>
      <c r="AV188" s="503" t="str">
        <f>IF($G188="","",IF(AND($G188&gt;=30,$AT$3&lt;=AU$7),ROUND(AU188*($AP$3+#REF!),-1),""))</f>
        <v/>
      </c>
      <c r="AW188" s="503" t="s">
        <v>621</v>
      </c>
      <c r="AX188" s="503" t="str">
        <f>IF($G188="","",IF(AND($G188&gt;=30,$AT$3&lt;=AW$7),ROUND(AW188*($AP$3+#REF!),-1),""))</f>
        <v/>
      </c>
      <c r="AY188" s="503" t="s">
        <v>621</v>
      </c>
      <c r="AZ188" s="503" t="str">
        <f>IF($G188="","",IF(AND($G188&gt;=30,$AT$3&lt;=AY$7),ROUND(AY188*($AP$3+#REF!),-1),""))</f>
        <v/>
      </c>
      <c r="BA188" s="503" t="s">
        <v>621</v>
      </c>
      <c r="BB188" s="503" t="str">
        <f>IF($G188="","",IF(AND($G188&gt;=30,$AT$3&lt;=BA$7),ROUND(BA188*($AP$3+#REF!),-1),""))</f>
        <v/>
      </c>
      <c r="BC188" s="503" t="s">
        <v>621</v>
      </c>
      <c r="BD188" s="503" t="str">
        <f>IF($G188="","",IF(AND($G188&gt;=30,$AT$3&lt;=BC$7),ROUND(BC188*($AP$3+#REF!),-1),""))</f>
        <v/>
      </c>
      <c r="BE188" s="503" t="s">
        <v>621</v>
      </c>
      <c r="BF188" s="503" t="str">
        <f>IF($G188="","",IF(AND($G188&gt;=30,$AT$3&lt;=BE$7),ROUND(BE188*($AP$3+#REF!),-1),""))</f>
        <v/>
      </c>
      <c r="BG188" s="503" t="s">
        <v>621</v>
      </c>
      <c r="BH188" s="503" t="str">
        <f>IF($G188="","",IF(AND($G188&gt;=30,$AT$3&lt;=BG$7),ROUND(BG188*($AP$3+#REF!),-1),""))</f>
        <v/>
      </c>
      <c r="BI188" s="517" t="e">
        <v>#REF!</v>
      </c>
      <c r="BJ188" s="503" t="str">
        <f>IF($G188="","",IF(AND($G188&gt;=30,$AT$3&lt;=BI$7),ROUND(BI188*($AP$3+#REF!),-1),""))</f>
        <v/>
      </c>
      <c r="BK188" s="502"/>
      <c r="BL188" s="503" t="str">
        <f>IF($G188="","",IF(AND($G188&gt;=30,$AT$3&lt;=BK$7),ROUND(BK188*($AP$3+#REF!),-1),""))</f>
        <v/>
      </c>
      <c r="BM188" s="503"/>
      <c r="BN188" s="503" t="str">
        <f>IF($G188="","",IF(AND($G188&gt;=30,$AT$3&lt;=BM$7),ROUND(BM188*($AP$3+#REF!),-1),""))</f>
        <v/>
      </c>
      <c r="BO188" s="502"/>
      <c r="BP188" s="503" t="str">
        <f>IF($G188="","",IF(AND($G188&gt;=30,$AT$3&lt;=BO$7),ROUND(BO188*($AP$3+#REF!),-1),""))</f>
        <v/>
      </c>
      <c r="BQ188" s="503"/>
      <c r="BR188" s="503" t="str">
        <f>IF($G188="","",IF(AND($G188&gt;=30,$AT$3&lt;=BQ$7),ROUND(BQ188*($AP$3+#REF!),-1),""))</f>
        <v/>
      </c>
      <c r="BS188" s="502"/>
      <c r="BT188" s="503" t="str">
        <f>IF($G188="","",IF(AND($G188&gt;=30,$AT$3&lt;=BS$7),ROUND(BS188*($AP$3+#REF!),-1),""))</f>
        <v/>
      </c>
      <c r="BU188" s="503"/>
      <c r="BV188" s="503" t="str">
        <f>IF($G188="","",IF(AND($G188&gt;=30,$AT$3&lt;=BU$7),ROUND(BU188*($AP$3+#REF!),-1),""))</f>
        <v/>
      </c>
      <c r="BW188" s="502"/>
      <c r="BX188" s="503" t="str">
        <f>IF($G188="","",IF(AND($G188&gt;=30,$AT$3&lt;=BW$7),ROUND(BW188*($AP$3+#REF!),-1),""))</f>
        <v/>
      </c>
      <c r="BY188" s="503"/>
      <c r="BZ188" s="503" t="str">
        <f>IF($G188="","",IF(AND($G188&gt;=30,$AT$3&lt;=BY$7),ROUND(BY188*($AP$3+#REF!),-1),""))</f>
        <v/>
      </c>
      <c r="CA188" s="502"/>
      <c r="CB188" s="503" t="str">
        <f>IF($G188="","",IF(AND($G188&gt;=30,$AT$3&lt;=CA$7),ROUND(CA188*($AP$3+#REF!),-1),""))</f>
        <v/>
      </c>
      <c r="CC188" s="503"/>
      <c r="CD188" s="503" t="str">
        <f>IF($G188="","",IF(AND($G188&gt;=30,$AT$3&lt;=CC$7),ROUND(CC188*($AP$3+#REF!),-1),""))</f>
        <v/>
      </c>
      <c r="CE188" s="502"/>
      <c r="CF188" s="503" t="str">
        <f>IF($G188="","",IF(AND($G188&gt;=30,$AT$3&lt;=CE$7),ROUND(CE188*($AP$3+#REF!),-1),""))</f>
        <v/>
      </c>
      <c r="CG188" s="503"/>
      <c r="CH188" s="503" t="str">
        <f>IF($G188="","",IF(AND($G188&gt;=30,$AT$3&lt;=CG$7),ROUND(CG188*($AP$3+#REF!),-1),""))</f>
        <v/>
      </c>
      <c r="CI188" s="502"/>
      <c r="CJ188" s="503" t="str">
        <f>IF($G188="","",IF(AND($G188&gt;=30,$AT$3&lt;=CI$7),ROUND(CI188*($AP$3+#REF!),-1),""))</f>
        <v/>
      </c>
      <c r="CK188" s="503"/>
      <c r="CL188" s="503" t="str">
        <f>IF($G188="","",IF(AND($G188&gt;=30,$AT$3&lt;=CK$7),ROUND(CK188*($AP$3+#REF!),-1),""))</f>
        <v/>
      </c>
      <c r="CM188" s="502"/>
      <c r="CN188" s="503" t="str">
        <f>IF($G188="","",IF(AND($G188&gt;=30,$AT$3&lt;=CM$7),ROUND(CM188*($AP$3+#REF!),-1),""))</f>
        <v/>
      </c>
      <c r="CO188" s="503"/>
      <c r="CP188" s="503" t="str">
        <f>IF($G188="","",IF(AND($G188&gt;=30,$AT$3&lt;=CO$7),ROUND(CO188*($AP$3+#REF!),-1),""))</f>
        <v/>
      </c>
      <c r="CQ188" s="502"/>
      <c r="CR188" s="503" t="str">
        <f>IF($G188="","",IF(AND($G188&gt;=30,$AT$3&lt;=CQ$7),ROUND(CQ188*($AP$3+#REF!),-1),""))</f>
        <v/>
      </c>
      <c r="CS188" s="503"/>
      <c r="CT188" s="503" t="str">
        <f>IF($G188="","",IF(AND($G188&gt;=30,$AT$3&lt;=CS$7),ROUND(CS188*($AP$3+#REF!),-1),""))</f>
        <v/>
      </c>
      <c r="CU188" s="502"/>
      <c r="CV188" s="503" t="str">
        <f>IF($G188="","",IF(AND($G188&gt;=30,$AT$3&lt;=CU$7),ROUND(CU188*($AP$3+#REF!),-1),""))</f>
        <v/>
      </c>
      <c r="CW188" s="503"/>
      <c r="CX188" s="503" t="str">
        <f>IF($G188="","",IF(AND($G188&gt;=30,$AT$3&lt;=CW$7),ROUND(CW188*($AP$3+#REF!),-1),""))</f>
        <v/>
      </c>
      <c r="CY188" s="502"/>
      <c r="CZ188" s="503" t="str">
        <f>IF($G188="","",IF(AND($G188&gt;=30,$AT$3&lt;=CY$7),ROUND(CY188*($AP$3+#REF!),-1),""))</f>
        <v/>
      </c>
      <c r="DA188" s="503"/>
      <c r="DB188" s="503" t="str">
        <f>IF($G188="","",IF(AND($G188&gt;=30,$AT$3&lt;=DA$7),ROUND(DA188*($AP$3+#REF!),-1),""))</f>
        <v/>
      </c>
      <c r="DC188" s="502"/>
      <c r="DD188" s="503" t="str">
        <f>IF($G188="","",IF(AND($G188&gt;=30,$AT$3&lt;=DC$7),ROUND(DC188*($AP$3+#REF!),-1),""))</f>
        <v/>
      </c>
      <c r="DE188" s="503"/>
      <c r="DF188" s="503" t="str">
        <f>IF($G188="","",IF(AND($G188&gt;=30,$AT$3&lt;=DE$7),ROUND(DE188*($AP$3+#REF!),-1),""))</f>
        <v/>
      </c>
      <c r="DG188" s="503"/>
      <c r="DH188" s="503" t="str">
        <f>IF($G188="","",IF(AND($G188&gt;=30,$AT$3&lt;=DG$7),ROUND(DG188*($AP$3+#REF!),-1),""))</f>
        <v/>
      </c>
      <c r="DI188" s="503"/>
      <c r="DJ188" s="503" t="str">
        <f>IF($G188="","",IF(AND($G188&gt;=30,$AT$3&lt;=DI$7),ROUND(DI188*($AP$3+#REF!),-1),""))</f>
        <v/>
      </c>
      <c r="DK188" s="503"/>
      <c r="DL188" s="503" t="str">
        <f>IF($G188="","",IF(AND($G188&gt;=30,$AT$3&lt;=DK$7),ROUND(DK188*($AP$3+#REF!),-1),""))</f>
        <v/>
      </c>
      <c r="DM188" s="503"/>
      <c r="DN188" s="503" t="str">
        <f>IF($G188="","",IF(AND($G188&gt;=30,$AT$3&lt;=DM$7),ROUND(DM188*($AP$3+#REF!),-1),""))</f>
        <v/>
      </c>
      <c r="DO188" s="503"/>
      <c r="DP188" s="503" t="str">
        <f>IF($G188="","",IF(AND($G188&gt;=30,$AT$3&lt;=DO$7),ROUND(DO188*($AP$3+#REF!),-1),""))</f>
        <v/>
      </c>
      <c r="DQ188" s="503"/>
      <c r="DR188" s="503" t="str">
        <f>IF($G188="","",IF(AND($G188&gt;=30,$AT$3&lt;=DQ$7),ROUND(DQ188*($AP$3+#REF!),-1),""))</f>
        <v/>
      </c>
      <c r="DS188" s="503"/>
      <c r="DT188" s="503" t="str">
        <f>IF($G188="","",IF(AND($G188&gt;=30,$AT$3&lt;=DS$7),ROUND(DS188*($AP$3+#REF!),-1),""))</f>
        <v/>
      </c>
      <c r="DU188" s="503"/>
      <c r="DV188" s="503" t="str">
        <f>IF($G188="","",IF(AND($G188&gt;=30,$AT$3&lt;=DU$7),ROUND(DU188*($AP$3+#REF!),-1),""))</f>
        <v/>
      </c>
      <c r="DW188" s="503"/>
      <c r="DX188" s="503" t="str">
        <f>IF($G188="","",IF(AND($G188&gt;=30,$AT$3&lt;=DW$7),ROUND(DW188*($AP$3+#REF!),-1),""))</f>
        <v/>
      </c>
      <c r="DY188" s="503"/>
      <c r="DZ188" s="503" t="str">
        <f>IF($G188="","",IF(AND($G188&gt;=30,$AT$3&lt;=DY$7),ROUND(DY188*($AP$3+#REF!),-1),""))</f>
        <v/>
      </c>
      <c r="EA188" s="503"/>
      <c r="EB188" s="503" t="str">
        <f>IF($G188="","",IF(AND($G188&gt;=30,$AT$3&lt;=EA$7),ROUND(EA188*($AP$3+#REF!),-1),""))</f>
        <v/>
      </c>
      <c r="EC188" s="504" t="s">
        <v>621</v>
      </c>
      <c r="ED188" s="1125"/>
      <c r="EE188" s="325">
        <v>12</v>
      </c>
    </row>
    <row r="189" spans="1:135" ht="9.75" customHeight="1">
      <c r="A189" s="321" t="str">
        <f t="shared" si="54"/>
        <v/>
      </c>
      <c r="B189" s="567">
        <f>(ii!$D$13*12+V189)+1</f>
        <v>83</v>
      </c>
      <c r="C189" s="345">
        <f t="shared" si="44"/>
        <v>47879</v>
      </c>
      <c r="D189" s="340">
        <f t="shared" si="47"/>
        <v>2031</v>
      </c>
      <c r="E189" s="340">
        <f t="shared" si="45"/>
        <v>8.3333333333333329E-2</v>
      </c>
      <c r="F189" s="340">
        <f t="shared" si="48"/>
        <v>2031.0833333333333</v>
      </c>
      <c r="G189" s="531" t="str">
        <f>IF(OR(C189&lt;$I$2,C189&gt;$J$3),"",(ii!$D$13*12+V189+1)/12)</f>
        <v/>
      </c>
      <c r="H189" s="532"/>
      <c r="I189" s="532"/>
      <c r="J189" s="533"/>
      <c r="K189" s="553"/>
      <c r="L189" s="534"/>
      <c r="M189" s="489" t="str">
        <f t="shared" si="49"/>
        <v/>
      </c>
      <c r="N189" s="536" t="s">
        <v>621</v>
      </c>
      <c r="O189" s="490" t="str">
        <f t="shared" si="42"/>
        <v/>
      </c>
      <c r="P189" s="537"/>
      <c r="Q189" s="537"/>
      <c r="R189" s="533" t="str">
        <f t="shared" si="43"/>
        <v/>
      </c>
      <c r="S189" s="538" t="str">
        <f t="shared" si="38"/>
        <v/>
      </c>
      <c r="T189" s="538" t="str">
        <f t="shared" si="53"/>
        <v/>
      </c>
      <c r="U189" s="539" t="str">
        <f>IF(H189="","",#REF!*12+#REF!+#REF!*12+#REF!)</f>
        <v/>
      </c>
      <c r="V189" s="338">
        <f>IF(ii!$J$3&gt;gg!C189,"",IF(AND((YEAR(C189)=YEAR($I$2)),MONTH(C189)=MONTH($I$2)),ii!$B$14*12+ii!$C$14+ii!$B$15*12+ii!$C$15-1,V188+1))</f>
        <v>82</v>
      </c>
      <c r="W189" s="339">
        <f t="shared" si="46"/>
        <v>6.833333333333333</v>
      </c>
      <c r="X189" s="540" t="s">
        <v>621</v>
      </c>
      <c r="Y189" s="538" t="s">
        <v>621</v>
      </c>
      <c r="Z189" s="541">
        <f>Z177+$Z$26</f>
        <v>0.39000000000000012</v>
      </c>
      <c r="AA189" s="542" t="str">
        <f>IF(Y189="","",(Y189-Y188)/Y188)</f>
        <v/>
      </c>
      <c r="AB189" s="543" t="e">
        <f t="shared" si="52"/>
        <v>#VALUE!</v>
      </c>
      <c r="AC189" s="544" t="str">
        <f t="shared" si="50"/>
        <v/>
      </c>
      <c r="AD189" s="538" t="str">
        <f t="shared" si="51"/>
        <v/>
      </c>
      <c r="AE189" s="545" t="s">
        <v>621</v>
      </c>
      <c r="AF189" s="546" t="s">
        <v>621</v>
      </c>
      <c r="AG189" s="558" t="s">
        <v>621</v>
      </c>
      <c r="AH189" s="547" t="str">
        <f>IF($G189="","",IF(AND($G189&gt;=30,$AT$3&lt;=AG$7),ROUND(AG189*($AP$3+#REF!),-1),""))</f>
        <v/>
      </c>
      <c r="AI189" s="558" t="s">
        <v>621</v>
      </c>
      <c r="AJ189" s="547" t="str">
        <f>IF($G189="","",IF(AND($G189&gt;=30,$AT$3&lt;=AI$7),ROUND(AI189*($AP$3+#REF!),-1),""))</f>
        <v/>
      </c>
      <c r="AK189" s="560" t="s">
        <v>621</v>
      </c>
      <c r="AL189" s="547" t="str">
        <f>IF($G189="","",IF(AND($G189&gt;=30,$AT$3&lt;=AK$7),ROUND(AK189*($AP$3+#REF!),-1),""))</f>
        <v/>
      </c>
      <c r="AM189" s="560" t="s">
        <v>621</v>
      </c>
      <c r="AN189" s="547" t="str">
        <f>IF($G189="","",IF(AND($G189&gt;=30,$AT$3&lt;=AM$7),ROUND(AM189*($AP$3+#REF!),-1),""))</f>
        <v/>
      </c>
      <c r="AO189" s="547" t="e">
        <v>#REF!</v>
      </c>
      <c r="AP189" s="547" t="str">
        <f>IF($G189="","",IF(AND($G189&gt;=30,$AT$3&lt;=AO$7),ROUND(AO189*($AP$3+#REF!),-1),""))</f>
        <v/>
      </c>
      <c r="AQ189" s="547" t="s">
        <v>621</v>
      </c>
      <c r="AR189" s="547" t="str">
        <f>IF($G189="","",IF(AND($G189&gt;=30,$AT$3&lt;=AQ$7),ROUND(AQ189*($AP$3+#REF!),-1),""))</f>
        <v/>
      </c>
      <c r="AS189" s="547" t="s">
        <v>621</v>
      </c>
      <c r="AT189" s="547" t="str">
        <f>IF($G189="","",IF(AND($G189&gt;=30,$AT$3&lt;=AS$7),ROUND(AS189*($AP$3+#REF!),-1),""))</f>
        <v/>
      </c>
      <c r="AU189" s="547" t="s">
        <v>621</v>
      </c>
      <c r="AV189" s="547" t="str">
        <f>IF($G189="","",IF(AND($G189&gt;=30,$AT$3&lt;=AU$7),ROUND(AU189*($AP$3+#REF!),-1),""))</f>
        <v/>
      </c>
      <c r="AW189" s="547" t="s">
        <v>621</v>
      </c>
      <c r="AX189" s="547" t="str">
        <f>IF($G189="","",IF(AND($G189&gt;=30,$AT$3&lt;=AW$7),ROUND(AW189*($AP$3+#REF!),-1),""))</f>
        <v/>
      </c>
      <c r="AY189" s="547" t="s">
        <v>621</v>
      </c>
      <c r="AZ189" s="547" t="str">
        <f>IF($G189="","",IF(AND($G189&gt;=30,$AT$3&lt;=AY$7),ROUND(AY189*($AP$3+#REF!),-1),""))</f>
        <v/>
      </c>
      <c r="BA189" s="547" t="s">
        <v>621</v>
      </c>
      <c r="BB189" s="547" t="str">
        <f>IF($G189="","",IF(AND($G189&gt;=30,$AT$3&lt;=BA$7),ROUND(BA189*($AP$3+#REF!),-1),""))</f>
        <v/>
      </c>
      <c r="BC189" s="547" t="s">
        <v>621</v>
      </c>
      <c r="BD189" s="547" t="str">
        <f>IF($G189="","",IF(AND($G189&gt;=30,$AT$3&lt;=BC$7),ROUND(BC189*($AP$3+#REF!),-1),""))</f>
        <v/>
      </c>
      <c r="BE189" s="547" t="s">
        <v>621</v>
      </c>
      <c r="BF189" s="547" t="str">
        <f>IF($G189="","",IF(AND($G189&gt;=30,$AT$3&lt;=BE$7),ROUND(BE189*($AP$3+#REF!),-1),""))</f>
        <v/>
      </c>
      <c r="BG189" s="547" t="s">
        <v>621</v>
      </c>
      <c r="BH189" s="547" t="str">
        <f>IF($G189="","",IF(AND($G189&gt;=30,$AT$3&lt;=BG$7),ROUND(BG189*($AP$3+#REF!),-1),""))</f>
        <v/>
      </c>
      <c r="BI189" s="547" t="s">
        <v>621</v>
      </c>
      <c r="BJ189" s="547" t="str">
        <f>IF($G189="","",IF(AND($G189&gt;=30,$AT$3&lt;=BI$7),ROUND(BI189*($AP$3+#REF!),-1),""))</f>
        <v/>
      </c>
      <c r="BK189" s="533" t="e">
        <v>#REF!</v>
      </c>
      <c r="BL189" s="547" t="str">
        <f>IF($G189="","",IF(AND($G189&gt;=30,$AT$3&lt;=BK$7),ROUND(BK189*($AP$3+#REF!),-1),""))</f>
        <v/>
      </c>
      <c r="BM189" s="547"/>
      <c r="BN189" s="547" t="str">
        <f>IF($G189="","",IF(AND($G189&gt;=30,$AT$3&lt;=BM$7),ROUND(BM189*($AP$3+#REF!),-1),""))</f>
        <v/>
      </c>
      <c r="BO189" s="547"/>
      <c r="BP189" s="547" t="str">
        <f>IF($G189="","",IF(AND($G189&gt;=30,$AT$3&lt;=BO$7),ROUND(BO189*($AP$3+#REF!),-1),""))</f>
        <v/>
      </c>
      <c r="BQ189" s="547"/>
      <c r="BR189" s="547" t="str">
        <f>IF($G189="","",IF(AND($G189&gt;=30,$AT$3&lt;=BQ$7),ROUND(BQ189*($AP$3+#REF!),-1),""))</f>
        <v/>
      </c>
      <c r="BS189" s="547"/>
      <c r="BT189" s="547" t="str">
        <f>IF($G189="","",IF(AND($G189&gt;=30,$AT$3&lt;=BS$7),ROUND(BS189*($AP$3+#REF!),-1),""))</f>
        <v/>
      </c>
      <c r="BU189" s="547"/>
      <c r="BV189" s="547" t="str">
        <f>IF($G189="","",IF(AND($G189&gt;=30,$AT$3&lt;=BU$7),ROUND(BU189*($AP$3+#REF!),-1),""))</f>
        <v/>
      </c>
      <c r="BW189" s="547"/>
      <c r="BX189" s="547" t="str">
        <f>IF($G189="","",IF(AND($G189&gt;=30,$AT$3&lt;=BW$7),ROUND(BW189*($AP$3+#REF!),-1),""))</f>
        <v/>
      </c>
      <c r="BY189" s="547"/>
      <c r="BZ189" s="547" t="str">
        <f>IF($G189="","",IF(AND($G189&gt;=30,$AT$3&lt;=BY$7),ROUND(BY189*($AP$3+#REF!),-1),""))</f>
        <v/>
      </c>
      <c r="CA189" s="547"/>
      <c r="CB189" s="547" t="str">
        <f>IF($G189="","",IF(AND($G189&gt;=30,$AT$3&lt;=CA$7),ROUND(CA189*($AP$3+#REF!),-1),""))</f>
        <v/>
      </c>
      <c r="CC189" s="547"/>
      <c r="CD189" s="547" t="str">
        <f>IF($G189="","",IF(AND($G189&gt;=30,$AT$3&lt;=CC$7),ROUND(CC189*($AP$3+#REF!),-1),""))</f>
        <v/>
      </c>
      <c r="CE189" s="547"/>
      <c r="CF189" s="547" t="str">
        <f>IF($G189="","",IF(AND($G189&gt;=30,$AT$3&lt;=CE$7),ROUND(CE189*($AP$3+#REF!),-1),""))</f>
        <v/>
      </c>
      <c r="CG189" s="547"/>
      <c r="CH189" s="547" t="str">
        <f>IF($G189="","",IF(AND($G189&gt;=30,$AT$3&lt;=CG$7),ROUND(CG189*($AP$3+#REF!),-1),""))</f>
        <v/>
      </c>
      <c r="CI189" s="547"/>
      <c r="CJ189" s="547" t="str">
        <f>IF($G189="","",IF(AND($G189&gt;=30,$AT$3&lt;=CI$7),ROUND(CI189*($AP$3+#REF!),-1),""))</f>
        <v/>
      </c>
      <c r="CK189" s="547"/>
      <c r="CL189" s="547" t="str">
        <f>IF($G189="","",IF(AND($G189&gt;=30,$AT$3&lt;=CK$7),ROUND(CK189*($AP$3+#REF!),-1),""))</f>
        <v/>
      </c>
      <c r="CM189" s="547"/>
      <c r="CN189" s="547" t="str">
        <f>IF($G189="","",IF(AND($G189&gt;=30,$AT$3&lt;=CM$7),ROUND(CM189*($AP$3+#REF!),-1),""))</f>
        <v/>
      </c>
      <c r="CO189" s="547"/>
      <c r="CP189" s="547" t="str">
        <f>IF($G189="","",IF(AND($G189&gt;=30,$AT$3&lt;=CO$7),ROUND(CO189*($AP$3+#REF!),-1),""))</f>
        <v/>
      </c>
      <c r="CQ189" s="547"/>
      <c r="CR189" s="547" t="str">
        <f>IF($G189="","",IF(AND($G189&gt;=30,$AT$3&lt;=CQ$7),ROUND(CQ189*($AP$3+#REF!),-1),""))</f>
        <v/>
      </c>
      <c r="CS189" s="547"/>
      <c r="CT189" s="547" t="str">
        <f>IF($G189="","",IF(AND($G189&gt;=30,$AT$3&lt;=CS$7),ROUND(CS189*($AP$3+#REF!),-1),""))</f>
        <v/>
      </c>
      <c r="CU189" s="547"/>
      <c r="CV189" s="547" t="str">
        <f>IF($G189="","",IF(AND($G189&gt;=30,$AT$3&lt;=CU$7),ROUND(CU189*($AP$3+#REF!),-1),""))</f>
        <v/>
      </c>
      <c r="CW189" s="547"/>
      <c r="CX189" s="547" t="str">
        <f>IF($G189="","",IF(AND($G189&gt;=30,$AT$3&lt;=CW$7),ROUND(CW189*($AP$3+#REF!),-1),""))</f>
        <v/>
      </c>
      <c r="CY189" s="547"/>
      <c r="CZ189" s="547" t="str">
        <f>IF($G189="","",IF(AND($G189&gt;=30,$AT$3&lt;=CY$7),ROUND(CY189*($AP$3+#REF!),-1),""))</f>
        <v/>
      </c>
      <c r="DA189" s="547"/>
      <c r="DB189" s="547" t="str">
        <f>IF($G189="","",IF(AND($G189&gt;=30,$AT$3&lt;=DA$7),ROUND(DA189*($AP$3+#REF!),-1),""))</f>
        <v/>
      </c>
      <c r="DC189" s="547"/>
      <c r="DD189" s="547" t="str">
        <f>IF($G189="","",IF(AND($G189&gt;=30,$AT$3&lt;=DC$7),ROUND(DC189*($AP$3+#REF!),-1),""))</f>
        <v/>
      </c>
      <c r="DE189" s="547"/>
      <c r="DF189" s="547" t="str">
        <f>IF($G189="","",IF(AND($G189&gt;=30,$AT$3&lt;=DE$7),ROUND(DE189*($AP$3+#REF!),-1),""))</f>
        <v/>
      </c>
      <c r="DG189" s="547"/>
      <c r="DH189" s="547" t="str">
        <f>IF($G189="","",IF(AND($G189&gt;=30,$AT$3&lt;=DG$7),ROUND(DG189*($AP$3+#REF!),-1),""))</f>
        <v/>
      </c>
      <c r="DI189" s="547"/>
      <c r="DJ189" s="547" t="str">
        <f>IF($G189="","",IF(AND($G189&gt;=30,$AT$3&lt;=DI$7),ROUND(DI189*($AP$3+#REF!),-1),""))</f>
        <v/>
      </c>
      <c r="DK189" s="547"/>
      <c r="DL189" s="547" t="str">
        <f>IF($G189="","",IF(AND($G189&gt;=30,$AT$3&lt;=DK$7),ROUND(DK189*($AP$3+#REF!),-1),""))</f>
        <v/>
      </c>
      <c r="DM189" s="547"/>
      <c r="DN189" s="547" t="str">
        <f>IF($G189="","",IF(AND($G189&gt;=30,$AT$3&lt;=DM$7),ROUND(DM189*($AP$3+#REF!),-1),""))</f>
        <v/>
      </c>
      <c r="DO189" s="547"/>
      <c r="DP189" s="547" t="str">
        <f>IF($G189="","",IF(AND($G189&gt;=30,$AT$3&lt;=DO$7),ROUND(DO189*($AP$3+#REF!),-1),""))</f>
        <v/>
      </c>
      <c r="DQ189" s="547"/>
      <c r="DR189" s="547" t="str">
        <f>IF($G189="","",IF(AND($G189&gt;=30,$AT$3&lt;=DQ$7),ROUND(DQ189*($AP$3+#REF!),-1),""))</f>
        <v/>
      </c>
      <c r="DS189" s="547"/>
      <c r="DT189" s="547" t="str">
        <f>IF($G189="","",IF(AND($G189&gt;=30,$AT$3&lt;=DS$7),ROUND(DS189*($AP$3+#REF!),-1),""))</f>
        <v/>
      </c>
      <c r="DU189" s="547"/>
      <c r="DV189" s="547" t="str">
        <f>IF($G189="","",IF(AND($G189&gt;=30,$AT$3&lt;=DU$7),ROUND(DU189*($AP$3+#REF!),-1),""))</f>
        <v/>
      </c>
      <c r="DW189" s="547"/>
      <c r="DX189" s="547" t="str">
        <f>IF($G189="","",IF(AND($G189&gt;=30,$AT$3&lt;=DW$7),ROUND(DW189*($AP$3+#REF!),-1),""))</f>
        <v/>
      </c>
      <c r="DY189" s="547"/>
      <c r="DZ189" s="547" t="str">
        <f>IF($G189="","",IF(AND($G189&gt;=30,$AT$3&lt;=DY$7),ROUND(DY189*($AP$3+#REF!),-1),""))</f>
        <v/>
      </c>
      <c r="EA189" s="547"/>
      <c r="EB189" s="547" t="str">
        <f>IF($G189="","",IF(AND($G189&gt;=30,$AT$3&lt;=EA$7),ROUND(EA189*($AP$3+#REF!),-1),""))</f>
        <v/>
      </c>
      <c r="EC189" s="547" t="s">
        <v>621</v>
      </c>
      <c r="ED189" s="1123">
        <f>SUM(EC189:EC200)</f>
        <v>0</v>
      </c>
      <c r="EE189" s="325">
        <v>1</v>
      </c>
    </row>
    <row r="190" spans="1:135" ht="9.75" customHeight="1">
      <c r="A190" s="321" t="str">
        <f t="shared" si="54"/>
        <v/>
      </c>
      <c r="B190" s="567">
        <f>(ii!$D$13*12+V190)+1</f>
        <v>84</v>
      </c>
      <c r="C190" s="337">
        <f t="shared" si="44"/>
        <v>47907</v>
      </c>
      <c r="D190" s="484">
        <f t="shared" si="47"/>
        <v>2031</v>
      </c>
      <c r="E190" s="484">
        <f t="shared" si="45"/>
        <v>0.16666666666666666</v>
      </c>
      <c r="F190" s="484">
        <f t="shared" si="48"/>
        <v>2031.1666666666667</v>
      </c>
      <c r="G190" s="485" t="str">
        <f>IF(OR(C190&lt;$I$2,C190&gt;$J$3),"",(ii!$D$13*12+V190+1)/12)</f>
        <v/>
      </c>
      <c r="H190" s="486"/>
      <c r="I190" s="486"/>
      <c r="J190" s="487"/>
      <c r="K190" s="488"/>
      <c r="L190" s="548"/>
      <c r="M190" s="489" t="str">
        <f t="shared" si="49"/>
        <v/>
      </c>
      <c r="N190" s="490" t="s">
        <v>621</v>
      </c>
      <c r="O190" s="490" t="str">
        <f t="shared" si="42"/>
        <v/>
      </c>
      <c r="P190" s="491"/>
      <c r="Q190" s="491"/>
      <c r="R190" s="491" t="str">
        <f t="shared" si="43"/>
        <v/>
      </c>
      <c r="S190" s="528" t="str">
        <f t="shared" si="38"/>
        <v/>
      </c>
      <c r="T190" s="528" t="str">
        <f t="shared" si="53"/>
        <v/>
      </c>
      <c r="U190" s="493" t="str">
        <f>IF(H190="","",#REF!*12+#REF!+#REF!*12+#REF!)</f>
        <v/>
      </c>
      <c r="V190" s="338">
        <f>IF(ii!$J$3&gt;gg!C190,"",IF(AND((YEAR(C190)=YEAR($I$2)),MONTH(C190)=MONTH($I$2)),ii!$B$14*12+ii!$C$14+ii!$B$15*12+ii!$C$15-1,V189+1))</f>
        <v>83</v>
      </c>
      <c r="W190" s="339">
        <f t="shared" si="46"/>
        <v>6.916666666666667</v>
      </c>
      <c r="X190" s="494" t="s">
        <v>621</v>
      </c>
      <c r="Y190" s="495" t="s">
        <v>621</v>
      </c>
      <c r="Z190" s="496"/>
      <c r="AA190" s="497"/>
      <c r="AB190" s="498" t="e">
        <f t="shared" si="52"/>
        <v>#VALUE!</v>
      </c>
      <c r="AC190" s="484" t="str">
        <f t="shared" si="50"/>
        <v/>
      </c>
      <c r="AD190" s="495" t="str">
        <f t="shared" si="51"/>
        <v/>
      </c>
      <c r="AE190" s="499" t="s">
        <v>621</v>
      </c>
      <c r="AF190" s="500" t="s">
        <v>621</v>
      </c>
      <c r="AG190" s="556" t="s">
        <v>621</v>
      </c>
      <c r="AH190" s="503" t="str">
        <f>IF($G190="","",IF(AND($G190&gt;=30,$AT$3&lt;=AG$7),ROUND(AG190*($AP$3+#REF!),-1),""))</f>
        <v/>
      </c>
      <c r="AI190" s="506" t="s">
        <v>621</v>
      </c>
      <c r="AJ190" s="503" t="str">
        <f>IF($G190="","",IF(AND($G190&gt;=30,$AT$3&lt;=AI$7),ROUND(AI190*($AP$3+#REF!),-1),""))</f>
        <v/>
      </c>
      <c r="AK190" s="506" t="s">
        <v>621</v>
      </c>
      <c r="AL190" s="503" t="str">
        <f>IF($G190="","",IF(AND($G190&gt;=30,$AT$3&lt;=AK$7),ROUND(AK190*($AP$3+#REF!),-1),""))</f>
        <v/>
      </c>
      <c r="AM190" s="506" t="s">
        <v>621</v>
      </c>
      <c r="AN190" s="503" t="str">
        <f>IF($G190="","",IF(AND($G190&gt;=30,$AT$3&lt;=AM$7),ROUND(AM190*($AP$3+#REF!),-1),""))</f>
        <v/>
      </c>
      <c r="AO190" s="503" t="e">
        <f>IF(AO189="","",AO189*1.001)</f>
        <v>#REF!</v>
      </c>
      <c r="AP190" s="503" t="str">
        <f>IF($G190="","",IF(AND($G190&gt;=30,$AT$3&lt;=AO$7),ROUND(AO190*($AP$3+#REF!),-1),""))</f>
        <v/>
      </c>
      <c r="AQ190" s="503" t="s">
        <v>621</v>
      </c>
      <c r="AR190" s="503" t="str">
        <f>IF($G190="","",IF(AND($G190&gt;=30,$AT$3&lt;=AQ$7),ROUND(AQ190*($AP$3+#REF!),-1),""))</f>
        <v/>
      </c>
      <c r="AS190" s="503" t="s">
        <v>621</v>
      </c>
      <c r="AT190" s="503" t="str">
        <f>IF($G190="","",IF(AND($G190&gt;=30,$AT$3&lt;=AS$7),ROUND(AS190*($AP$3+#REF!),-1),""))</f>
        <v/>
      </c>
      <c r="AU190" s="503" t="s">
        <v>621</v>
      </c>
      <c r="AV190" s="503" t="str">
        <f>IF($G190="","",IF(AND($G190&gt;=30,$AT$3&lt;=AU$7),ROUND(AU190*($AP$3+#REF!),-1),""))</f>
        <v/>
      </c>
      <c r="AW190" s="503" t="s">
        <v>621</v>
      </c>
      <c r="AX190" s="503" t="str">
        <f>IF($G190="","",IF(AND($G190&gt;=30,$AT$3&lt;=AW$7),ROUND(AW190*($AP$3+#REF!),-1),""))</f>
        <v/>
      </c>
      <c r="AY190" s="503" t="s">
        <v>621</v>
      </c>
      <c r="AZ190" s="503" t="str">
        <f>IF($G190="","",IF(AND($G190&gt;=30,$AT$3&lt;=AY$7),ROUND(AY190*($AP$3+#REF!),-1),""))</f>
        <v/>
      </c>
      <c r="BA190" s="503" t="s">
        <v>621</v>
      </c>
      <c r="BB190" s="503" t="str">
        <f>IF($G190="","",IF(AND($G190&gt;=30,$AT$3&lt;=BA$7),ROUND(BA190*($AP$3+#REF!),-1),""))</f>
        <v/>
      </c>
      <c r="BC190" s="503" t="s">
        <v>621</v>
      </c>
      <c r="BD190" s="503" t="str">
        <f>IF($G190="","",IF(AND($G190&gt;=30,$AT$3&lt;=BC$7),ROUND(BC190*($AP$3+#REF!),-1),""))</f>
        <v/>
      </c>
      <c r="BE190" s="503" t="s">
        <v>621</v>
      </c>
      <c r="BF190" s="503" t="str">
        <f>IF($G190="","",IF(AND($G190&gt;=30,$AT$3&lt;=BE$7),ROUND(BE190*($AP$3+#REF!),-1),""))</f>
        <v/>
      </c>
      <c r="BG190" s="503" t="s">
        <v>621</v>
      </c>
      <c r="BH190" s="503" t="str">
        <f>IF($G190="","",IF(AND($G190&gt;=30,$AT$3&lt;=BG$7),ROUND(BG190*($AP$3+#REF!),-1),""))</f>
        <v/>
      </c>
      <c r="BI190" s="503" t="s">
        <v>621</v>
      </c>
      <c r="BJ190" s="503" t="str">
        <f>IF($G190="","",IF(AND($G190&gt;=30,$AT$3&lt;=BI$7),ROUND(BI190*($AP$3+#REF!),-1),""))</f>
        <v/>
      </c>
      <c r="BK190" s="517" t="e">
        <v>#REF!</v>
      </c>
      <c r="BL190" s="503" t="str">
        <f>IF($G190="","",IF(AND($G190&gt;=30,$AT$3&lt;=BK$7),ROUND(BK190*($AP$3+#REF!),-1),""))</f>
        <v/>
      </c>
      <c r="BM190" s="503"/>
      <c r="BN190" s="503" t="str">
        <f>IF($G190="","",IF(AND($G190&gt;=30,$AT$3&lt;=BM$7),ROUND(BM190*($AP$3+#REF!),-1),""))</f>
        <v/>
      </c>
      <c r="BO190" s="502"/>
      <c r="BP190" s="503" t="str">
        <f>IF($G190="","",IF(AND($G190&gt;=30,$AT$3&lt;=BO$7),ROUND(BO190*($AP$3+#REF!),-1),""))</f>
        <v/>
      </c>
      <c r="BQ190" s="503"/>
      <c r="BR190" s="503" t="str">
        <f>IF($G190="","",IF(AND($G190&gt;=30,$AT$3&lt;=BQ$7),ROUND(BQ190*($AP$3+#REF!),-1),""))</f>
        <v/>
      </c>
      <c r="BS190" s="502"/>
      <c r="BT190" s="503" t="str">
        <f>IF($G190="","",IF(AND($G190&gt;=30,$AT$3&lt;=BS$7),ROUND(BS190*($AP$3+#REF!),-1),""))</f>
        <v/>
      </c>
      <c r="BU190" s="503"/>
      <c r="BV190" s="503" t="str">
        <f>IF($G190="","",IF(AND($G190&gt;=30,$AT$3&lt;=BU$7),ROUND(BU190*($AP$3+#REF!),-1),""))</f>
        <v/>
      </c>
      <c r="BW190" s="502"/>
      <c r="BX190" s="503" t="str">
        <f>IF($G190="","",IF(AND($G190&gt;=30,$AT$3&lt;=BW$7),ROUND(BW190*($AP$3+#REF!),-1),""))</f>
        <v/>
      </c>
      <c r="BY190" s="503"/>
      <c r="BZ190" s="503" t="str">
        <f>IF($G190="","",IF(AND($G190&gt;=30,$AT$3&lt;=BY$7),ROUND(BY190*($AP$3+#REF!),-1),""))</f>
        <v/>
      </c>
      <c r="CA190" s="502"/>
      <c r="CB190" s="503" t="str">
        <f>IF($G190="","",IF(AND($G190&gt;=30,$AT$3&lt;=CA$7),ROUND(CA190*($AP$3+#REF!),-1),""))</f>
        <v/>
      </c>
      <c r="CC190" s="503"/>
      <c r="CD190" s="503" t="str">
        <f>IF($G190="","",IF(AND($G190&gt;=30,$AT$3&lt;=CC$7),ROUND(CC190*($AP$3+#REF!),-1),""))</f>
        <v/>
      </c>
      <c r="CE190" s="502"/>
      <c r="CF190" s="503" t="str">
        <f>IF($G190="","",IF(AND($G190&gt;=30,$AT$3&lt;=CE$7),ROUND(CE190*($AP$3+#REF!),-1),""))</f>
        <v/>
      </c>
      <c r="CG190" s="503"/>
      <c r="CH190" s="503" t="str">
        <f>IF($G190="","",IF(AND($G190&gt;=30,$AT$3&lt;=CG$7),ROUND(CG190*($AP$3+#REF!),-1),""))</f>
        <v/>
      </c>
      <c r="CI190" s="502"/>
      <c r="CJ190" s="503" t="str">
        <f>IF($G190="","",IF(AND($G190&gt;=30,$AT$3&lt;=CI$7),ROUND(CI190*($AP$3+#REF!),-1),""))</f>
        <v/>
      </c>
      <c r="CK190" s="503"/>
      <c r="CL190" s="503" t="str">
        <f>IF($G190="","",IF(AND($G190&gt;=30,$AT$3&lt;=CK$7),ROUND(CK190*($AP$3+#REF!),-1),""))</f>
        <v/>
      </c>
      <c r="CM190" s="502"/>
      <c r="CN190" s="503" t="str">
        <f>IF($G190="","",IF(AND($G190&gt;=30,$AT$3&lt;=CM$7),ROUND(CM190*($AP$3+#REF!),-1),""))</f>
        <v/>
      </c>
      <c r="CO190" s="503"/>
      <c r="CP190" s="503" t="str">
        <f>IF($G190="","",IF(AND($G190&gt;=30,$AT$3&lt;=CO$7),ROUND(CO190*($AP$3+#REF!),-1),""))</f>
        <v/>
      </c>
      <c r="CQ190" s="502"/>
      <c r="CR190" s="503" t="str">
        <f>IF($G190="","",IF(AND($G190&gt;=30,$AT$3&lt;=CQ$7),ROUND(CQ190*($AP$3+#REF!),-1),""))</f>
        <v/>
      </c>
      <c r="CS190" s="503"/>
      <c r="CT190" s="503" t="str">
        <f>IF($G190="","",IF(AND($G190&gt;=30,$AT$3&lt;=CS$7),ROUND(CS190*($AP$3+#REF!),-1),""))</f>
        <v/>
      </c>
      <c r="CU190" s="502"/>
      <c r="CV190" s="503" t="str">
        <f>IF($G190="","",IF(AND($G190&gt;=30,$AT$3&lt;=CU$7),ROUND(CU190*($AP$3+#REF!),-1),""))</f>
        <v/>
      </c>
      <c r="CW190" s="503"/>
      <c r="CX190" s="503" t="str">
        <f>IF($G190="","",IF(AND($G190&gt;=30,$AT$3&lt;=CW$7),ROUND(CW190*($AP$3+#REF!),-1),""))</f>
        <v/>
      </c>
      <c r="CY190" s="502"/>
      <c r="CZ190" s="503" t="str">
        <f>IF($G190="","",IF(AND($G190&gt;=30,$AT$3&lt;=CY$7),ROUND(CY190*($AP$3+#REF!),-1),""))</f>
        <v/>
      </c>
      <c r="DA190" s="503"/>
      <c r="DB190" s="503" t="str">
        <f>IF($G190="","",IF(AND($G190&gt;=30,$AT$3&lt;=DA$7),ROUND(DA190*($AP$3+#REF!),-1),""))</f>
        <v/>
      </c>
      <c r="DC190" s="502"/>
      <c r="DD190" s="503" t="str">
        <f>IF($G190="","",IF(AND($G190&gt;=30,$AT$3&lt;=DC$7),ROUND(DC190*($AP$3+#REF!),-1),""))</f>
        <v/>
      </c>
      <c r="DE190" s="503"/>
      <c r="DF190" s="503" t="str">
        <f>IF($G190="","",IF(AND($G190&gt;=30,$AT$3&lt;=DE$7),ROUND(DE190*($AP$3+#REF!),-1),""))</f>
        <v/>
      </c>
      <c r="DG190" s="503"/>
      <c r="DH190" s="503" t="str">
        <f>IF($G190="","",IF(AND($G190&gt;=30,$AT$3&lt;=DG$7),ROUND(DG190*($AP$3+#REF!),-1),""))</f>
        <v/>
      </c>
      <c r="DI190" s="503"/>
      <c r="DJ190" s="503" t="str">
        <f>IF($G190="","",IF(AND($G190&gt;=30,$AT$3&lt;=DI$7),ROUND(DI190*($AP$3+#REF!),-1),""))</f>
        <v/>
      </c>
      <c r="DK190" s="503"/>
      <c r="DL190" s="503" t="str">
        <f>IF($G190="","",IF(AND($G190&gt;=30,$AT$3&lt;=DK$7),ROUND(DK190*($AP$3+#REF!),-1),""))</f>
        <v/>
      </c>
      <c r="DM190" s="503"/>
      <c r="DN190" s="503" t="str">
        <f>IF($G190="","",IF(AND($G190&gt;=30,$AT$3&lt;=DM$7),ROUND(DM190*($AP$3+#REF!),-1),""))</f>
        <v/>
      </c>
      <c r="DO190" s="503"/>
      <c r="DP190" s="503" t="str">
        <f>IF($G190="","",IF(AND($G190&gt;=30,$AT$3&lt;=DO$7),ROUND(DO190*($AP$3+#REF!),-1),""))</f>
        <v/>
      </c>
      <c r="DQ190" s="503"/>
      <c r="DR190" s="503" t="str">
        <f>IF($G190="","",IF(AND($G190&gt;=30,$AT$3&lt;=DQ$7),ROUND(DQ190*($AP$3+#REF!),-1),""))</f>
        <v/>
      </c>
      <c r="DS190" s="503"/>
      <c r="DT190" s="503" t="str">
        <f>IF($G190="","",IF(AND($G190&gt;=30,$AT$3&lt;=DS$7),ROUND(DS190*($AP$3+#REF!),-1),""))</f>
        <v/>
      </c>
      <c r="DU190" s="503"/>
      <c r="DV190" s="503" t="str">
        <f>IF($G190="","",IF(AND($G190&gt;=30,$AT$3&lt;=DU$7),ROUND(DU190*($AP$3+#REF!),-1),""))</f>
        <v/>
      </c>
      <c r="DW190" s="503"/>
      <c r="DX190" s="503" t="str">
        <f>IF($G190="","",IF(AND($G190&gt;=30,$AT$3&lt;=DW$7),ROUND(DW190*($AP$3+#REF!),-1),""))</f>
        <v/>
      </c>
      <c r="DY190" s="503"/>
      <c r="DZ190" s="503" t="str">
        <f>IF($G190="","",IF(AND($G190&gt;=30,$AT$3&lt;=DY$7),ROUND(DY190*($AP$3+#REF!),-1),""))</f>
        <v/>
      </c>
      <c r="EA190" s="503"/>
      <c r="EB190" s="503" t="str">
        <f>IF($G190="","",IF(AND($G190&gt;=30,$AT$3&lt;=EA$7),ROUND(EA190*($AP$3+#REF!),-1),""))</f>
        <v/>
      </c>
      <c r="EC190" s="504" t="s">
        <v>621</v>
      </c>
      <c r="ED190" s="1124"/>
      <c r="EE190" s="325">
        <v>2</v>
      </c>
    </row>
    <row r="191" spans="1:135" ht="9.75" customHeight="1">
      <c r="A191" s="321" t="str">
        <f t="shared" si="54"/>
        <v/>
      </c>
      <c r="B191" s="567">
        <f>(ii!$D$13*12+V191)+1</f>
        <v>85</v>
      </c>
      <c r="C191" s="337">
        <f t="shared" si="44"/>
        <v>47938</v>
      </c>
      <c r="D191" s="484">
        <f t="shared" si="47"/>
        <v>2031</v>
      </c>
      <c r="E191" s="484">
        <f t="shared" si="45"/>
        <v>0.25</v>
      </c>
      <c r="F191" s="484">
        <f t="shared" si="48"/>
        <v>2031.25</v>
      </c>
      <c r="G191" s="485" t="str">
        <f>IF(OR(C191&lt;$I$2,C191&gt;$J$3),"",(ii!$D$13*12+V191+1)/12)</f>
        <v/>
      </c>
      <c r="H191" s="486"/>
      <c r="I191" s="486"/>
      <c r="J191" s="487"/>
      <c r="K191" s="488"/>
      <c r="L191" s="548"/>
      <c r="M191" s="489" t="str">
        <f t="shared" si="49"/>
        <v/>
      </c>
      <c r="N191" s="490" t="s">
        <v>621</v>
      </c>
      <c r="O191" s="490" t="str">
        <f t="shared" si="42"/>
        <v/>
      </c>
      <c r="P191" s="491"/>
      <c r="Q191" s="491"/>
      <c r="R191" s="491" t="str">
        <f t="shared" si="43"/>
        <v/>
      </c>
      <c r="S191" s="528" t="str">
        <f t="shared" si="38"/>
        <v/>
      </c>
      <c r="T191" s="528" t="str">
        <f t="shared" si="53"/>
        <v/>
      </c>
      <c r="U191" s="493" t="str">
        <f>IF(H191="","",#REF!*12+#REF!+#REF!*12+#REF!)</f>
        <v/>
      </c>
      <c r="V191" s="338">
        <f>IF(ii!$J$3&gt;gg!C191,"",IF(AND((YEAR(C191)=YEAR($I$2)),MONTH(C191)=MONTH($I$2)),ii!$B$14*12+ii!$C$14+ii!$B$15*12+ii!$C$15-1,V190+1))</f>
        <v>84</v>
      </c>
      <c r="W191" s="339">
        <f t="shared" si="46"/>
        <v>7</v>
      </c>
      <c r="X191" s="494" t="s">
        <v>621</v>
      </c>
      <c r="Y191" s="495" t="s">
        <v>621</v>
      </c>
      <c r="Z191" s="496"/>
      <c r="AA191" s="497"/>
      <c r="AB191" s="498" t="e">
        <f t="shared" si="52"/>
        <v>#VALUE!</v>
      </c>
      <c r="AC191" s="484" t="str">
        <f t="shared" si="50"/>
        <v/>
      </c>
      <c r="AD191" s="495" t="str">
        <f t="shared" si="51"/>
        <v/>
      </c>
      <c r="AE191" s="499" t="s">
        <v>621</v>
      </c>
      <c r="AF191" s="500" t="s">
        <v>621</v>
      </c>
      <c r="AG191" s="556" t="s">
        <v>621</v>
      </c>
      <c r="AH191" s="503" t="str">
        <f>IF($G191="","",IF(AND($G191&gt;=30,$AT$3&lt;=AG$7),ROUND(AG191*($AP$3+#REF!),-1),""))</f>
        <v/>
      </c>
      <c r="AI191" s="506" t="s">
        <v>621</v>
      </c>
      <c r="AJ191" s="503" t="str">
        <f>IF($G191="","",IF(AND($G191&gt;=30,$AT$3&lt;=AI$7),ROUND(AI191*($AP$3+#REF!),-1),""))</f>
        <v/>
      </c>
      <c r="AK191" s="506" t="s">
        <v>621</v>
      </c>
      <c r="AL191" s="503" t="str">
        <f>IF($G191="","",IF(AND($G191&gt;=30,$AT$3&lt;=AK$7),ROUND(AK191*($AP$3+#REF!),-1),""))</f>
        <v/>
      </c>
      <c r="AM191" s="506" t="s">
        <v>621</v>
      </c>
      <c r="AN191" s="503" t="str">
        <f>IF($G191="","",IF(AND($G191&gt;=30,$AT$3&lt;=AM$7),ROUND(AM191*($AP$3+#REF!),-1),""))</f>
        <v/>
      </c>
      <c r="AO191" s="503" t="e">
        <v>#REF!</v>
      </c>
      <c r="AP191" s="503" t="str">
        <f>IF($G191="","",IF(AND($G191&gt;=30,$AT$3&lt;=AO$7),ROUND(AO191*($AP$3+#REF!),-1),""))</f>
        <v/>
      </c>
      <c r="AQ191" s="503" t="s">
        <v>621</v>
      </c>
      <c r="AR191" s="503" t="str">
        <f>IF($G191="","",IF(AND($G191&gt;=30,$AT$3&lt;=AQ$7),ROUND(AQ191*($AP$3+#REF!),-1),""))</f>
        <v/>
      </c>
      <c r="AS191" s="503" t="s">
        <v>621</v>
      </c>
      <c r="AT191" s="503" t="str">
        <f>IF($G191="","",IF(AND($G191&gt;=30,$AT$3&lt;=AS$7),ROUND(AS191*($AP$3+#REF!),-1),""))</f>
        <v/>
      </c>
      <c r="AU191" s="503" t="s">
        <v>621</v>
      </c>
      <c r="AV191" s="503" t="str">
        <f>IF($G191="","",IF(AND($G191&gt;=30,$AT$3&lt;=AU$7),ROUND(AU191*($AP$3+#REF!),-1),""))</f>
        <v/>
      </c>
      <c r="AW191" s="503" t="s">
        <v>621</v>
      </c>
      <c r="AX191" s="503" t="str">
        <f>IF($G191="","",IF(AND($G191&gt;=30,$AT$3&lt;=AW$7),ROUND(AW191*($AP$3+#REF!),-1),""))</f>
        <v/>
      </c>
      <c r="AY191" s="503" t="s">
        <v>621</v>
      </c>
      <c r="AZ191" s="503" t="str">
        <f>IF($G191="","",IF(AND($G191&gt;=30,$AT$3&lt;=AY$7),ROUND(AY191*($AP$3+#REF!),-1),""))</f>
        <v/>
      </c>
      <c r="BA191" s="503" t="s">
        <v>621</v>
      </c>
      <c r="BB191" s="503" t="str">
        <f>IF($G191="","",IF(AND($G191&gt;=30,$AT$3&lt;=BA$7),ROUND(BA191*($AP$3+#REF!),-1),""))</f>
        <v/>
      </c>
      <c r="BC191" s="503" t="s">
        <v>621</v>
      </c>
      <c r="BD191" s="503" t="str">
        <f>IF($G191="","",IF(AND($G191&gt;=30,$AT$3&lt;=BC$7),ROUND(BC191*($AP$3+#REF!),-1),""))</f>
        <v/>
      </c>
      <c r="BE191" s="503" t="s">
        <v>621</v>
      </c>
      <c r="BF191" s="503" t="str">
        <f>IF($G191="","",IF(AND($G191&gt;=30,$AT$3&lt;=BE$7),ROUND(BE191*($AP$3+#REF!),-1),""))</f>
        <v/>
      </c>
      <c r="BG191" s="503" t="s">
        <v>621</v>
      </c>
      <c r="BH191" s="503" t="str">
        <f>IF($G191="","",IF(AND($G191&gt;=30,$AT$3&lt;=BG$7),ROUND(BG191*($AP$3+#REF!),-1),""))</f>
        <v/>
      </c>
      <c r="BI191" s="503" t="s">
        <v>621</v>
      </c>
      <c r="BJ191" s="503" t="str">
        <f>IF($G191="","",IF(AND($G191&gt;=30,$AT$3&lt;=BI$7),ROUND(BI191*($AP$3+#REF!),-1),""))</f>
        <v/>
      </c>
      <c r="BK191" s="517" t="e">
        <v>#REF!</v>
      </c>
      <c r="BL191" s="503" t="str">
        <f>IF($G191="","",IF(AND($G191&gt;=30,$AT$3&lt;=BK$7),ROUND(BK191*($AP$3+#REF!),-1),""))</f>
        <v/>
      </c>
      <c r="BM191" s="503"/>
      <c r="BN191" s="503" t="str">
        <f>IF($G191="","",IF(AND($G191&gt;=30,$AT$3&lt;=BM$7),ROUND(BM191*($AP$3+#REF!),-1),""))</f>
        <v/>
      </c>
      <c r="BO191" s="502"/>
      <c r="BP191" s="503" t="str">
        <f>IF($G191="","",IF(AND($G191&gt;=30,$AT$3&lt;=BO$7),ROUND(BO191*($AP$3+#REF!),-1),""))</f>
        <v/>
      </c>
      <c r="BQ191" s="503"/>
      <c r="BR191" s="503" t="str">
        <f>IF($G191="","",IF(AND($G191&gt;=30,$AT$3&lt;=BQ$7),ROUND(BQ191*($AP$3+#REF!),-1),""))</f>
        <v/>
      </c>
      <c r="BS191" s="502"/>
      <c r="BT191" s="503" t="str">
        <f>IF($G191="","",IF(AND($G191&gt;=30,$AT$3&lt;=BS$7),ROUND(BS191*($AP$3+#REF!),-1),""))</f>
        <v/>
      </c>
      <c r="BU191" s="503"/>
      <c r="BV191" s="503" t="str">
        <f>IF($G191="","",IF(AND($G191&gt;=30,$AT$3&lt;=BU$7),ROUND(BU191*($AP$3+#REF!),-1),""))</f>
        <v/>
      </c>
      <c r="BW191" s="502"/>
      <c r="BX191" s="503" t="str">
        <f>IF($G191="","",IF(AND($G191&gt;=30,$AT$3&lt;=BW$7),ROUND(BW191*($AP$3+#REF!),-1),""))</f>
        <v/>
      </c>
      <c r="BY191" s="503"/>
      <c r="BZ191" s="503" t="str">
        <f>IF($G191="","",IF(AND($G191&gt;=30,$AT$3&lt;=BY$7),ROUND(BY191*($AP$3+#REF!),-1),""))</f>
        <v/>
      </c>
      <c r="CA191" s="502"/>
      <c r="CB191" s="503" t="str">
        <f>IF($G191="","",IF(AND($G191&gt;=30,$AT$3&lt;=CA$7),ROUND(CA191*($AP$3+#REF!),-1),""))</f>
        <v/>
      </c>
      <c r="CC191" s="503"/>
      <c r="CD191" s="503" t="str">
        <f>IF($G191="","",IF(AND($G191&gt;=30,$AT$3&lt;=CC$7),ROUND(CC191*($AP$3+#REF!),-1),""))</f>
        <v/>
      </c>
      <c r="CE191" s="502"/>
      <c r="CF191" s="503" t="str">
        <f>IF($G191="","",IF(AND($G191&gt;=30,$AT$3&lt;=CE$7),ROUND(CE191*($AP$3+#REF!),-1),""))</f>
        <v/>
      </c>
      <c r="CG191" s="503"/>
      <c r="CH191" s="503" t="str">
        <f>IF($G191="","",IF(AND($G191&gt;=30,$AT$3&lt;=CG$7),ROUND(CG191*($AP$3+#REF!),-1),""))</f>
        <v/>
      </c>
      <c r="CI191" s="502"/>
      <c r="CJ191" s="503" t="str">
        <f>IF($G191="","",IF(AND($G191&gt;=30,$AT$3&lt;=CI$7),ROUND(CI191*($AP$3+#REF!),-1),""))</f>
        <v/>
      </c>
      <c r="CK191" s="503"/>
      <c r="CL191" s="503" t="str">
        <f>IF($G191="","",IF(AND($G191&gt;=30,$AT$3&lt;=CK$7),ROUND(CK191*($AP$3+#REF!),-1),""))</f>
        <v/>
      </c>
      <c r="CM191" s="502"/>
      <c r="CN191" s="503" t="str">
        <f>IF($G191="","",IF(AND($G191&gt;=30,$AT$3&lt;=CM$7),ROUND(CM191*($AP$3+#REF!),-1),""))</f>
        <v/>
      </c>
      <c r="CO191" s="503"/>
      <c r="CP191" s="503" t="str">
        <f>IF($G191="","",IF(AND($G191&gt;=30,$AT$3&lt;=CO$7),ROUND(CO191*($AP$3+#REF!),-1),""))</f>
        <v/>
      </c>
      <c r="CQ191" s="502"/>
      <c r="CR191" s="503" t="str">
        <f>IF($G191="","",IF(AND($G191&gt;=30,$AT$3&lt;=CQ$7),ROUND(CQ191*($AP$3+#REF!),-1),""))</f>
        <v/>
      </c>
      <c r="CS191" s="503"/>
      <c r="CT191" s="503" t="str">
        <f>IF($G191="","",IF(AND($G191&gt;=30,$AT$3&lt;=CS$7),ROUND(CS191*($AP$3+#REF!),-1),""))</f>
        <v/>
      </c>
      <c r="CU191" s="502"/>
      <c r="CV191" s="503" t="str">
        <f>IF($G191="","",IF(AND($G191&gt;=30,$AT$3&lt;=CU$7),ROUND(CU191*($AP$3+#REF!),-1),""))</f>
        <v/>
      </c>
      <c r="CW191" s="503"/>
      <c r="CX191" s="503" t="str">
        <f>IF($G191="","",IF(AND($G191&gt;=30,$AT$3&lt;=CW$7),ROUND(CW191*($AP$3+#REF!),-1),""))</f>
        <v/>
      </c>
      <c r="CY191" s="502"/>
      <c r="CZ191" s="503" t="str">
        <f>IF($G191="","",IF(AND($G191&gt;=30,$AT$3&lt;=CY$7),ROUND(CY191*($AP$3+#REF!),-1),""))</f>
        <v/>
      </c>
      <c r="DA191" s="503"/>
      <c r="DB191" s="503" t="str">
        <f>IF($G191="","",IF(AND($G191&gt;=30,$AT$3&lt;=DA$7),ROUND(DA191*($AP$3+#REF!),-1),""))</f>
        <v/>
      </c>
      <c r="DC191" s="502"/>
      <c r="DD191" s="503" t="str">
        <f>IF($G191="","",IF(AND($G191&gt;=30,$AT$3&lt;=DC$7),ROUND(DC191*($AP$3+#REF!),-1),""))</f>
        <v/>
      </c>
      <c r="DE191" s="503"/>
      <c r="DF191" s="503" t="str">
        <f>IF($G191="","",IF(AND($G191&gt;=30,$AT$3&lt;=DE$7),ROUND(DE191*($AP$3+#REF!),-1),""))</f>
        <v/>
      </c>
      <c r="DG191" s="503"/>
      <c r="DH191" s="503" t="str">
        <f>IF($G191="","",IF(AND($G191&gt;=30,$AT$3&lt;=DG$7),ROUND(DG191*($AP$3+#REF!),-1),""))</f>
        <v/>
      </c>
      <c r="DI191" s="503"/>
      <c r="DJ191" s="503" t="str">
        <f>IF($G191="","",IF(AND($G191&gt;=30,$AT$3&lt;=DI$7),ROUND(DI191*($AP$3+#REF!),-1),""))</f>
        <v/>
      </c>
      <c r="DK191" s="503"/>
      <c r="DL191" s="503" t="str">
        <f>IF($G191="","",IF(AND($G191&gt;=30,$AT$3&lt;=DK$7),ROUND(DK191*($AP$3+#REF!),-1),""))</f>
        <v/>
      </c>
      <c r="DM191" s="503"/>
      <c r="DN191" s="503" t="str">
        <f>IF($G191="","",IF(AND($G191&gt;=30,$AT$3&lt;=DM$7),ROUND(DM191*($AP$3+#REF!),-1),""))</f>
        <v/>
      </c>
      <c r="DO191" s="503"/>
      <c r="DP191" s="503" t="str">
        <f>IF($G191="","",IF(AND($G191&gt;=30,$AT$3&lt;=DO$7),ROUND(DO191*($AP$3+#REF!),-1),""))</f>
        <v/>
      </c>
      <c r="DQ191" s="503"/>
      <c r="DR191" s="503" t="str">
        <f>IF($G191="","",IF(AND($G191&gt;=30,$AT$3&lt;=DQ$7),ROUND(DQ191*($AP$3+#REF!),-1),""))</f>
        <v/>
      </c>
      <c r="DS191" s="503"/>
      <c r="DT191" s="503" t="str">
        <f>IF($G191="","",IF(AND($G191&gt;=30,$AT$3&lt;=DS$7),ROUND(DS191*($AP$3+#REF!),-1),""))</f>
        <v/>
      </c>
      <c r="DU191" s="503"/>
      <c r="DV191" s="503" t="str">
        <f>IF($G191="","",IF(AND($G191&gt;=30,$AT$3&lt;=DU$7),ROUND(DU191*($AP$3+#REF!),-1),""))</f>
        <v/>
      </c>
      <c r="DW191" s="503"/>
      <c r="DX191" s="503" t="str">
        <f>IF($G191="","",IF(AND($G191&gt;=30,$AT$3&lt;=DW$7),ROUND(DW191*($AP$3+#REF!),-1),""))</f>
        <v/>
      </c>
      <c r="DY191" s="503"/>
      <c r="DZ191" s="503" t="str">
        <f>IF($G191="","",IF(AND($G191&gt;=30,$AT$3&lt;=DY$7),ROUND(DY191*($AP$3+#REF!),-1),""))</f>
        <v/>
      </c>
      <c r="EA191" s="503"/>
      <c r="EB191" s="503" t="str">
        <f>IF($G191="","",IF(AND($G191&gt;=30,$AT$3&lt;=EA$7),ROUND(EA191*($AP$3+#REF!),-1),""))</f>
        <v/>
      </c>
      <c r="EC191" s="504" t="s">
        <v>621</v>
      </c>
      <c r="ED191" s="1124"/>
      <c r="EE191" s="325">
        <v>3</v>
      </c>
    </row>
    <row r="192" spans="1:135" ht="9.75" customHeight="1">
      <c r="A192" s="321" t="str">
        <f t="shared" si="54"/>
        <v/>
      </c>
      <c r="B192" s="567">
        <f>(ii!$D$13*12+V192)+1</f>
        <v>86</v>
      </c>
      <c r="C192" s="337">
        <f t="shared" si="44"/>
        <v>47968</v>
      </c>
      <c r="D192" s="484">
        <f t="shared" si="47"/>
        <v>2031</v>
      </c>
      <c r="E192" s="484">
        <f t="shared" si="45"/>
        <v>0.33333333333333331</v>
      </c>
      <c r="F192" s="484">
        <f t="shared" si="48"/>
        <v>2031.3333333333333</v>
      </c>
      <c r="G192" s="485" t="str">
        <f>IF(OR(C192&lt;$I$2,C192&gt;$J$3),"",(ii!$D$13*12+V192+1)/12)</f>
        <v/>
      </c>
      <c r="H192" s="486"/>
      <c r="I192" s="486"/>
      <c r="J192" s="487"/>
      <c r="K192" s="488"/>
      <c r="L192" s="548"/>
      <c r="M192" s="489" t="str">
        <f t="shared" si="49"/>
        <v/>
      </c>
      <c r="N192" s="490" t="s">
        <v>621</v>
      </c>
      <c r="O192" s="490" t="str">
        <f t="shared" si="42"/>
        <v/>
      </c>
      <c r="P192" s="491"/>
      <c r="Q192" s="491"/>
      <c r="R192" s="491" t="str">
        <f t="shared" si="43"/>
        <v/>
      </c>
      <c r="S192" s="528" t="str">
        <f t="shared" ref="S192:S255" si="55">IF(G192="","",SUM(AF192:EB192))</f>
        <v/>
      </c>
      <c r="T192" s="528" t="str">
        <f t="shared" si="53"/>
        <v/>
      </c>
      <c r="U192" s="493" t="str">
        <f>IF(H192="","",#REF!*12+#REF!+#REF!*12+#REF!)</f>
        <v/>
      </c>
      <c r="V192" s="338">
        <f>IF(ii!$J$3&gt;gg!C192,"",IF(AND((YEAR(C192)=YEAR($I$2)),MONTH(C192)=MONTH($I$2)),ii!$B$14*12+ii!$C$14+ii!$B$15*12+ii!$C$15-1,V191+1))</f>
        <v>85</v>
      </c>
      <c r="W192" s="339">
        <f t="shared" si="46"/>
        <v>7.083333333333333</v>
      </c>
      <c r="X192" s="494" t="s">
        <v>621</v>
      </c>
      <c r="Y192" s="495" t="s">
        <v>621</v>
      </c>
      <c r="Z192" s="496"/>
      <c r="AA192" s="497"/>
      <c r="AB192" s="498" t="e">
        <f t="shared" si="52"/>
        <v>#VALUE!</v>
      </c>
      <c r="AC192" s="484" t="str">
        <f t="shared" si="50"/>
        <v/>
      </c>
      <c r="AD192" s="495" t="str">
        <f t="shared" si="51"/>
        <v/>
      </c>
      <c r="AE192" s="499" t="s">
        <v>621</v>
      </c>
      <c r="AF192" s="500" t="s">
        <v>621</v>
      </c>
      <c r="AG192" s="556" t="s">
        <v>621</v>
      </c>
      <c r="AH192" s="503" t="str">
        <f>IF($G192="","",IF(AND($G192&gt;=30,$AT$3&lt;=AG$7),ROUND(AG192*($AP$3+#REF!),-1),""))</f>
        <v/>
      </c>
      <c r="AI192" s="506" t="s">
        <v>621</v>
      </c>
      <c r="AJ192" s="503" t="str">
        <f>IF($G192="","",IF(AND($G192&gt;=30,$AT$3&lt;=AI$7),ROUND(AI192*($AP$3+#REF!),-1),""))</f>
        <v/>
      </c>
      <c r="AK192" s="506" t="s">
        <v>621</v>
      </c>
      <c r="AL192" s="503" t="str">
        <f>IF($G192="","",IF(AND($G192&gt;=30,$AT$3&lt;=AK$7),ROUND(AK192*($AP$3+#REF!),-1),""))</f>
        <v/>
      </c>
      <c r="AM192" s="506" t="s">
        <v>621</v>
      </c>
      <c r="AN192" s="503" t="str">
        <f>IF($G192="","",IF(AND($G192&gt;=30,$AT$3&lt;=AM$7),ROUND(AM192*($AP$3+#REF!),-1),""))</f>
        <v/>
      </c>
      <c r="AO192" s="503" t="e">
        <v>#REF!</v>
      </c>
      <c r="AP192" s="503" t="str">
        <f>IF($G192="","",IF(AND($G192&gt;=30,$AT$3&lt;=AO$7),ROUND(AO192*($AP$3+#REF!),-1),""))</f>
        <v/>
      </c>
      <c r="AQ192" s="503" t="s">
        <v>621</v>
      </c>
      <c r="AR192" s="503" t="str">
        <f>IF($G192="","",IF(AND($G192&gt;=30,$AT$3&lt;=AQ$7),ROUND(AQ192*($AP$3+#REF!),-1),""))</f>
        <v/>
      </c>
      <c r="AS192" s="503" t="s">
        <v>621</v>
      </c>
      <c r="AT192" s="503" t="str">
        <f>IF($G192="","",IF(AND($G192&gt;=30,$AT$3&lt;=AS$7),ROUND(AS192*($AP$3+#REF!),-1),""))</f>
        <v/>
      </c>
      <c r="AU192" s="503" t="s">
        <v>621</v>
      </c>
      <c r="AV192" s="503" t="str">
        <f>IF($G192="","",IF(AND($G192&gt;=30,$AT$3&lt;=AU$7),ROUND(AU192*($AP$3+#REF!),-1),""))</f>
        <v/>
      </c>
      <c r="AW192" s="503" t="s">
        <v>621</v>
      </c>
      <c r="AX192" s="503" t="str">
        <f>IF($G192="","",IF(AND($G192&gt;=30,$AT$3&lt;=AW$7),ROUND(AW192*($AP$3+#REF!),-1),""))</f>
        <v/>
      </c>
      <c r="AY192" s="503" t="s">
        <v>621</v>
      </c>
      <c r="AZ192" s="503" t="str">
        <f>IF($G192="","",IF(AND($G192&gt;=30,$AT$3&lt;=AY$7),ROUND(AY192*($AP$3+#REF!),-1),""))</f>
        <v/>
      </c>
      <c r="BA192" s="503" t="s">
        <v>621</v>
      </c>
      <c r="BB192" s="503" t="str">
        <f>IF($G192="","",IF(AND($G192&gt;=30,$AT$3&lt;=BA$7),ROUND(BA192*($AP$3+#REF!),-1),""))</f>
        <v/>
      </c>
      <c r="BC192" s="503" t="s">
        <v>621</v>
      </c>
      <c r="BD192" s="503" t="str">
        <f>IF($G192="","",IF(AND($G192&gt;=30,$AT$3&lt;=BC$7),ROUND(BC192*($AP$3+#REF!),-1),""))</f>
        <v/>
      </c>
      <c r="BE192" s="503" t="s">
        <v>621</v>
      </c>
      <c r="BF192" s="503" t="str">
        <f>IF($G192="","",IF(AND($G192&gt;=30,$AT$3&lt;=BE$7),ROUND(BE192*($AP$3+#REF!),-1),""))</f>
        <v/>
      </c>
      <c r="BG192" s="503" t="s">
        <v>621</v>
      </c>
      <c r="BH192" s="503" t="str">
        <f>IF($G192="","",IF(AND($G192&gt;=30,$AT$3&lt;=BG$7),ROUND(BG192*($AP$3+#REF!),-1),""))</f>
        <v/>
      </c>
      <c r="BI192" s="503" t="s">
        <v>621</v>
      </c>
      <c r="BJ192" s="503" t="str">
        <f>IF($G192="","",IF(AND($G192&gt;=30,$AT$3&lt;=BI$7),ROUND(BI192*($AP$3+#REF!),-1),""))</f>
        <v/>
      </c>
      <c r="BK192" s="517" t="e">
        <v>#REF!</v>
      </c>
      <c r="BL192" s="503" t="str">
        <f>IF($G192="","",IF(AND($G192&gt;=30,$AT$3&lt;=BK$7),ROUND(BK192*($AP$3+#REF!),-1),""))</f>
        <v/>
      </c>
      <c r="BM192" s="503"/>
      <c r="BN192" s="503" t="str">
        <f>IF($G192="","",IF(AND($G192&gt;=30,$AT$3&lt;=BM$7),ROUND(BM192*($AP$3+#REF!),-1),""))</f>
        <v/>
      </c>
      <c r="BO192" s="502"/>
      <c r="BP192" s="503" t="str">
        <f>IF($G192="","",IF(AND($G192&gt;=30,$AT$3&lt;=BO$7),ROUND(BO192*($AP$3+#REF!),-1),""))</f>
        <v/>
      </c>
      <c r="BQ192" s="503"/>
      <c r="BR192" s="503" t="str">
        <f>IF($G192="","",IF(AND($G192&gt;=30,$AT$3&lt;=BQ$7),ROUND(BQ192*($AP$3+#REF!),-1),""))</f>
        <v/>
      </c>
      <c r="BS192" s="502"/>
      <c r="BT192" s="503" t="str">
        <f>IF($G192="","",IF(AND($G192&gt;=30,$AT$3&lt;=BS$7),ROUND(BS192*($AP$3+#REF!),-1),""))</f>
        <v/>
      </c>
      <c r="BU192" s="503"/>
      <c r="BV192" s="503" t="str">
        <f>IF($G192="","",IF(AND($G192&gt;=30,$AT$3&lt;=BU$7),ROUND(BU192*($AP$3+#REF!),-1),""))</f>
        <v/>
      </c>
      <c r="BW192" s="502"/>
      <c r="BX192" s="503" t="str">
        <f>IF($G192="","",IF(AND($G192&gt;=30,$AT$3&lt;=BW$7),ROUND(BW192*($AP$3+#REF!),-1),""))</f>
        <v/>
      </c>
      <c r="BY192" s="503"/>
      <c r="BZ192" s="503" t="str">
        <f>IF($G192="","",IF(AND($G192&gt;=30,$AT$3&lt;=BY$7),ROUND(BY192*($AP$3+#REF!),-1),""))</f>
        <v/>
      </c>
      <c r="CA192" s="502"/>
      <c r="CB192" s="503" t="str">
        <f>IF($G192="","",IF(AND($G192&gt;=30,$AT$3&lt;=CA$7),ROUND(CA192*($AP$3+#REF!),-1),""))</f>
        <v/>
      </c>
      <c r="CC192" s="503"/>
      <c r="CD192" s="503" t="str">
        <f>IF($G192="","",IF(AND($G192&gt;=30,$AT$3&lt;=CC$7),ROUND(CC192*($AP$3+#REF!),-1),""))</f>
        <v/>
      </c>
      <c r="CE192" s="502"/>
      <c r="CF192" s="503" t="str">
        <f>IF($G192="","",IF(AND($G192&gt;=30,$AT$3&lt;=CE$7),ROUND(CE192*($AP$3+#REF!),-1),""))</f>
        <v/>
      </c>
      <c r="CG192" s="503"/>
      <c r="CH192" s="503" t="str">
        <f>IF($G192="","",IF(AND($G192&gt;=30,$AT$3&lt;=CG$7),ROUND(CG192*($AP$3+#REF!),-1),""))</f>
        <v/>
      </c>
      <c r="CI192" s="502"/>
      <c r="CJ192" s="503" t="str">
        <f>IF($G192="","",IF(AND($G192&gt;=30,$AT$3&lt;=CI$7),ROUND(CI192*($AP$3+#REF!),-1),""))</f>
        <v/>
      </c>
      <c r="CK192" s="503"/>
      <c r="CL192" s="503" t="str">
        <f>IF($G192="","",IF(AND($G192&gt;=30,$AT$3&lt;=CK$7),ROUND(CK192*($AP$3+#REF!),-1),""))</f>
        <v/>
      </c>
      <c r="CM192" s="502"/>
      <c r="CN192" s="503" t="str">
        <f>IF($G192="","",IF(AND($G192&gt;=30,$AT$3&lt;=CM$7),ROUND(CM192*($AP$3+#REF!),-1),""))</f>
        <v/>
      </c>
      <c r="CO192" s="503"/>
      <c r="CP192" s="503" t="str">
        <f>IF($G192="","",IF(AND($G192&gt;=30,$AT$3&lt;=CO$7),ROUND(CO192*($AP$3+#REF!),-1),""))</f>
        <v/>
      </c>
      <c r="CQ192" s="502"/>
      <c r="CR192" s="503" t="str">
        <f>IF($G192="","",IF(AND($G192&gt;=30,$AT$3&lt;=CQ$7),ROUND(CQ192*($AP$3+#REF!),-1),""))</f>
        <v/>
      </c>
      <c r="CS192" s="503"/>
      <c r="CT192" s="503" t="str">
        <f>IF($G192="","",IF(AND($G192&gt;=30,$AT$3&lt;=CS$7),ROUND(CS192*($AP$3+#REF!),-1),""))</f>
        <v/>
      </c>
      <c r="CU192" s="502"/>
      <c r="CV192" s="503" t="str">
        <f>IF($G192="","",IF(AND($G192&gt;=30,$AT$3&lt;=CU$7),ROUND(CU192*($AP$3+#REF!),-1),""))</f>
        <v/>
      </c>
      <c r="CW192" s="503"/>
      <c r="CX192" s="503" t="str">
        <f>IF($G192="","",IF(AND($G192&gt;=30,$AT$3&lt;=CW$7),ROUND(CW192*($AP$3+#REF!),-1),""))</f>
        <v/>
      </c>
      <c r="CY192" s="502"/>
      <c r="CZ192" s="503" t="str">
        <f>IF($G192="","",IF(AND($G192&gt;=30,$AT$3&lt;=CY$7),ROUND(CY192*($AP$3+#REF!),-1),""))</f>
        <v/>
      </c>
      <c r="DA192" s="503"/>
      <c r="DB192" s="503" t="str">
        <f>IF($G192="","",IF(AND($G192&gt;=30,$AT$3&lt;=DA$7),ROUND(DA192*($AP$3+#REF!),-1),""))</f>
        <v/>
      </c>
      <c r="DC192" s="502"/>
      <c r="DD192" s="503" t="str">
        <f>IF($G192="","",IF(AND($G192&gt;=30,$AT$3&lt;=DC$7),ROUND(DC192*($AP$3+#REF!),-1),""))</f>
        <v/>
      </c>
      <c r="DE192" s="503"/>
      <c r="DF192" s="503" t="str">
        <f>IF($G192="","",IF(AND($G192&gt;=30,$AT$3&lt;=DE$7),ROUND(DE192*($AP$3+#REF!),-1),""))</f>
        <v/>
      </c>
      <c r="DG192" s="503"/>
      <c r="DH192" s="503" t="str">
        <f>IF($G192="","",IF(AND($G192&gt;=30,$AT$3&lt;=DG$7),ROUND(DG192*($AP$3+#REF!),-1),""))</f>
        <v/>
      </c>
      <c r="DI192" s="503"/>
      <c r="DJ192" s="503" t="str">
        <f>IF($G192="","",IF(AND($G192&gt;=30,$AT$3&lt;=DI$7),ROUND(DI192*($AP$3+#REF!),-1),""))</f>
        <v/>
      </c>
      <c r="DK192" s="503"/>
      <c r="DL192" s="503" t="str">
        <f>IF($G192="","",IF(AND($G192&gt;=30,$AT$3&lt;=DK$7),ROUND(DK192*($AP$3+#REF!),-1),""))</f>
        <v/>
      </c>
      <c r="DM192" s="503"/>
      <c r="DN192" s="503" t="str">
        <f>IF($G192="","",IF(AND($G192&gt;=30,$AT$3&lt;=DM$7),ROUND(DM192*($AP$3+#REF!),-1),""))</f>
        <v/>
      </c>
      <c r="DO192" s="503"/>
      <c r="DP192" s="503" t="str">
        <f>IF($G192="","",IF(AND($G192&gt;=30,$AT$3&lt;=DO$7),ROUND(DO192*($AP$3+#REF!),-1),""))</f>
        <v/>
      </c>
      <c r="DQ192" s="503"/>
      <c r="DR192" s="503" t="str">
        <f>IF($G192="","",IF(AND($G192&gt;=30,$AT$3&lt;=DQ$7),ROUND(DQ192*($AP$3+#REF!),-1),""))</f>
        <v/>
      </c>
      <c r="DS192" s="503"/>
      <c r="DT192" s="503" t="str">
        <f>IF($G192="","",IF(AND($G192&gt;=30,$AT$3&lt;=DS$7),ROUND(DS192*($AP$3+#REF!),-1),""))</f>
        <v/>
      </c>
      <c r="DU192" s="503"/>
      <c r="DV192" s="503" t="str">
        <f>IF($G192="","",IF(AND($G192&gt;=30,$AT$3&lt;=DU$7),ROUND(DU192*($AP$3+#REF!),-1),""))</f>
        <v/>
      </c>
      <c r="DW192" s="503"/>
      <c r="DX192" s="503" t="str">
        <f>IF($G192="","",IF(AND($G192&gt;=30,$AT$3&lt;=DW$7),ROUND(DW192*($AP$3+#REF!),-1),""))</f>
        <v/>
      </c>
      <c r="DY192" s="503"/>
      <c r="DZ192" s="503" t="str">
        <f>IF($G192="","",IF(AND($G192&gt;=30,$AT$3&lt;=DY$7),ROUND(DY192*($AP$3+#REF!),-1),""))</f>
        <v/>
      </c>
      <c r="EA192" s="503"/>
      <c r="EB192" s="503" t="str">
        <f>IF($G192="","",IF(AND($G192&gt;=30,$AT$3&lt;=EA$7),ROUND(EA192*($AP$3+#REF!),-1),""))</f>
        <v/>
      </c>
      <c r="EC192" s="504" t="s">
        <v>621</v>
      </c>
      <c r="ED192" s="1124"/>
      <c r="EE192" s="325">
        <v>4</v>
      </c>
    </row>
    <row r="193" spans="1:135" ht="9.75" customHeight="1">
      <c r="A193" s="321" t="str">
        <f t="shared" si="54"/>
        <v/>
      </c>
      <c r="B193" s="567">
        <f>(ii!$D$13*12+V193)+1</f>
        <v>87</v>
      </c>
      <c r="C193" s="337">
        <f t="shared" si="44"/>
        <v>47999</v>
      </c>
      <c r="D193" s="484">
        <f t="shared" si="47"/>
        <v>2031</v>
      </c>
      <c r="E193" s="484">
        <f t="shared" si="45"/>
        <v>0.41666666666666669</v>
      </c>
      <c r="F193" s="484">
        <f t="shared" si="48"/>
        <v>2031.4166666666667</v>
      </c>
      <c r="G193" s="485" t="str">
        <f>IF(OR(C193&lt;$I$2,C193&gt;$J$3),"",(ii!$D$13*12+V193+1)/12)</f>
        <v/>
      </c>
      <c r="H193" s="486"/>
      <c r="I193" s="486"/>
      <c r="J193" s="507"/>
      <c r="K193" s="508"/>
      <c r="L193" s="548"/>
      <c r="M193" s="489" t="str">
        <f t="shared" si="49"/>
        <v/>
      </c>
      <c r="N193" s="490" t="s">
        <v>621</v>
      </c>
      <c r="O193" s="490" t="str">
        <f t="shared" si="42"/>
        <v/>
      </c>
      <c r="P193" s="507"/>
      <c r="Q193" s="507"/>
      <c r="R193" s="491" t="str">
        <f t="shared" si="43"/>
        <v/>
      </c>
      <c r="S193" s="528" t="str">
        <f t="shared" si="55"/>
        <v/>
      </c>
      <c r="T193" s="528" t="str">
        <f t="shared" si="53"/>
        <v/>
      </c>
      <c r="U193" s="493" t="str">
        <f>IF(H193="","",#REF!*12+#REF!+#REF!*12+#REF!)</f>
        <v/>
      </c>
      <c r="V193" s="338">
        <f>IF(ii!$J$3&gt;gg!C193,"",IF(AND((YEAR(C193)=YEAR($I$2)),MONTH(C193)=MONTH($I$2)),ii!$B$14*12+ii!$C$14+ii!$B$15*12+ii!$C$15-1,V192+1))</f>
        <v>86</v>
      </c>
      <c r="W193" s="339">
        <f t="shared" si="46"/>
        <v>7.166666666666667</v>
      </c>
      <c r="X193" s="494" t="s">
        <v>621</v>
      </c>
      <c r="Y193" s="495" t="s">
        <v>621</v>
      </c>
      <c r="Z193" s="496"/>
      <c r="AA193" s="497"/>
      <c r="AB193" s="498" t="e">
        <f t="shared" si="52"/>
        <v>#VALUE!</v>
      </c>
      <c r="AC193" s="484" t="str">
        <f t="shared" si="50"/>
        <v/>
      </c>
      <c r="AD193" s="495" t="str">
        <f t="shared" si="51"/>
        <v/>
      </c>
      <c r="AE193" s="499" t="s">
        <v>621</v>
      </c>
      <c r="AF193" s="500" t="s">
        <v>621</v>
      </c>
      <c r="AG193" s="556" t="s">
        <v>621</v>
      </c>
      <c r="AH193" s="503" t="str">
        <f>IF($G193="","",IF(AND($G193&gt;=30,$AT$3&lt;=AG$7),ROUND(AG193*($AP$3+#REF!),-1),""))</f>
        <v/>
      </c>
      <c r="AI193" s="506" t="s">
        <v>621</v>
      </c>
      <c r="AJ193" s="503" t="str">
        <f>IF($G193="","",IF(AND($G193&gt;=30,$AT$3&lt;=AI$7),ROUND(AI193*($AP$3+#REF!),-1),""))</f>
        <v/>
      </c>
      <c r="AK193" s="506" t="s">
        <v>621</v>
      </c>
      <c r="AL193" s="503" t="str">
        <f>IF($G193="","",IF(AND($G193&gt;=30,$AT$3&lt;=AK$7),ROUND(AK193*($AP$3+#REF!),-1),""))</f>
        <v/>
      </c>
      <c r="AM193" s="506" t="s">
        <v>621</v>
      </c>
      <c r="AN193" s="503" t="str">
        <f>IF($G193="","",IF(AND($G193&gt;=30,$AT$3&lt;=AM$7),ROUND(AM193*($AP$3+#REF!),-1),""))</f>
        <v/>
      </c>
      <c r="AO193" s="503" t="e">
        <v>#REF!</v>
      </c>
      <c r="AP193" s="503" t="str">
        <f>IF($G193="","",IF(AND($G193&gt;=30,$AT$3&lt;=AO$7),ROUND(AO193*($AP$3+#REF!),-1),""))</f>
        <v/>
      </c>
      <c r="AQ193" s="503" t="s">
        <v>621</v>
      </c>
      <c r="AR193" s="503" t="str">
        <f>IF($G193="","",IF(AND($G193&gt;=30,$AT$3&lt;=AQ$7),ROUND(AQ193*($AP$3+#REF!),-1),""))</f>
        <v/>
      </c>
      <c r="AS193" s="503" t="s">
        <v>621</v>
      </c>
      <c r="AT193" s="503" t="str">
        <f>IF($G193="","",IF(AND($G193&gt;=30,$AT$3&lt;=AS$7),ROUND(AS193*($AP$3+#REF!),-1),""))</f>
        <v/>
      </c>
      <c r="AU193" s="503" t="s">
        <v>621</v>
      </c>
      <c r="AV193" s="503" t="str">
        <f>IF($G193="","",IF(AND($G193&gt;=30,$AT$3&lt;=AU$7),ROUND(AU193*($AP$3+#REF!),-1),""))</f>
        <v/>
      </c>
      <c r="AW193" s="503" t="s">
        <v>621</v>
      </c>
      <c r="AX193" s="503" t="str">
        <f>IF($G193="","",IF(AND($G193&gt;=30,$AT$3&lt;=AW$7),ROUND(AW193*($AP$3+#REF!),-1),""))</f>
        <v/>
      </c>
      <c r="AY193" s="503" t="s">
        <v>621</v>
      </c>
      <c r="AZ193" s="503" t="str">
        <f>IF($G193="","",IF(AND($G193&gt;=30,$AT$3&lt;=AY$7),ROUND(AY193*($AP$3+#REF!),-1),""))</f>
        <v/>
      </c>
      <c r="BA193" s="503" t="s">
        <v>621</v>
      </c>
      <c r="BB193" s="503" t="str">
        <f>IF($G193="","",IF(AND($G193&gt;=30,$AT$3&lt;=BA$7),ROUND(BA193*($AP$3+#REF!),-1),""))</f>
        <v/>
      </c>
      <c r="BC193" s="503" t="s">
        <v>621</v>
      </c>
      <c r="BD193" s="503" t="str">
        <f>IF($G193="","",IF(AND($G193&gt;=30,$AT$3&lt;=BC$7),ROUND(BC193*($AP$3+#REF!),-1),""))</f>
        <v/>
      </c>
      <c r="BE193" s="503" t="s">
        <v>621</v>
      </c>
      <c r="BF193" s="503" t="str">
        <f>IF($G193="","",IF(AND($G193&gt;=30,$AT$3&lt;=BE$7),ROUND(BE193*($AP$3+#REF!),-1),""))</f>
        <v/>
      </c>
      <c r="BG193" s="503" t="s">
        <v>621</v>
      </c>
      <c r="BH193" s="503" t="str">
        <f>IF($G193="","",IF(AND($G193&gt;=30,$AT$3&lt;=BG$7),ROUND(BG193*($AP$3+#REF!),-1),""))</f>
        <v/>
      </c>
      <c r="BI193" s="503" t="s">
        <v>621</v>
      </c>
      <c r="BJ193" s="503" t="str">
        <f>IF($G193="","",IF(AND($G193&gt;=30,$AT$3&lt;=BI$7),ROUND(BI193*($AP$3+#REF!),-1),""))</f>
        <v/>
      </c>
      <c r="BK193" s="517" t="e">
        <v>#REF!</v>
      </c>
      <c r="BL193" s="503" t="str">
        <f>IF($G193="","",IF(AND($G193&gt;=30,$AT$3&lt;=BK$7),ROUND(BK193*($AP$3+#REF!),-1),""))</f>
        <v/>
      </c>
      <c r="BM193" s="503"/>
      <c r="BN193" s="503" t="str">
        <f>IF($G193="","",IF(AND($G193&gt;=30,$AT$3&lt;=BM$7),ROUND(BM193*($AP$3+#REF!),-1),""))</f>
        <v/>
      </c>
      <c r="BO193" s="502"/>
      <c r="BP193" s="503" t="str">
        <f>IF($G193="","",IF(AND($G193&gt;=30,$AT$3&lt;=BO$7),ROUND(BO193*($AP$3+#REF!),-1),""))</f>
        <v/>
      </c>
      <c r="BQ193" s="503"/>
      <c r="BR193" s="503" t="str">
        <f>IF($G193="","",IF(AND($G193&gt;=30,$AT$3&lt;=BQ$7),ROUND(BQ193*($AP$3+#REF!),-1),""))</f>
        <v/>
      </c>
      <c r="BS193" s="502"/>
      <c r="BT193" s="503" t="str">
        <f>IF($G193="","",IF(AND($G193&gt;=30,$AT$3&lt;=BS$7),ROUND(BS193*($AP$3+#REF!),-1),""))</f>
        <v/>
      </c>
      <c r="BU193" s="503"/>
      <c r="BV193" s="503" t="str">
        <f>IF($G193="","",IF(AND($G193&gt;=30,$AT$3&lt;=BU$7),ROUND(BU193*($AP$3+#REF!),-1),""))</f>
        <v/>
      </c>
      <c r="BW193" s="502"/>
      <c r="BX193" s="503" t="str">
        <f>IF($G193="","",IF(AND($G193&gt;=30,$AT$3&lt;=BW$7),ROUND(BW193*($AP$3+#REF!),-1),""))</f>
        <v/>
      </c>
      <c r="BY193" s="503"/>
      <c r="BZ193" s="503" t="str">
        <f>IF($G193="","",IF(AND($G193&gt;=30,$AT$3&lt;=BY$7),ROUND(BY193*($AP$3+#REF!),-1),""))</f>
        <v/>
      </c>
      <c r="CA193" s="502"/>
      <c r="CB193" s="503" t="str">
        <f>IF($G193="","",IF(AND($G193&gt;=30,$AT$3&lt;=CA$7),ROUND(CA193*($AP$3+#REF!),-1),""))</f>
        <v/>
      </c>
      <c r="CC193" s="503"/>
      <c r="CD193" s="503" t="str">
        <f>IF($G193="","",IF(AND($G193&gt;=30,$AT$3&lt;=CC$7),ROUND(CC193*($AP$3+#REF!),-1),""))</f>
        <v/>
      </c>
      <c r="CE193" s="502"/>
      <c r="CF193" s="503" t="str">
        <f>IF($G193="","",IF(AND($G193&gt;=30,$AT$3&lt;=CE$7),ROUND(CE193*($AP$3+#REF!),-1),""))</f>
        <v/>
      </c>
      <c r="CG193" s="503"/>
      <c r="CH193" s="503" t="str">
        <f>IF($G193="","",IF(AND($G193&gt;=30,$AT$3&lt;=CG$7),ROUND(CG193*($AP$3+#REF!),-1),""))</f>
        <v/>
      </c>
      <c r="CI193" s="502"/>
      <c r="CJ193" s="503" t="str">
        <f>IF($G193="","",IF(AND($G193&gt;=30,$AT$3&lt;=CI$7),ROUND(CI193*($AP$3+#REF!),-1),""))</f>
        <v/>
      </c>
      <c r="CK193" s="503"/>
      <c r="CL193" s="503" t="str">
        <f>IF($G193="","",IF(AND($G193&gt;=30,$AT$3&lt;=CK$7),ROUND(CK193*($AP$3+#REF!),-1),""))</f>
        <v/>
      </c>
      <c r="CM193" s="502"/>
      <c r="CN193" s="503" t="str">
        <f>IF($G193="","",IF(AND($G193&gt;=30,$AT$3&lt;=CM$7),ROUND(CM193*($AP$3+#REF!),-1),""))</f>
        <v/>
      </c>
      <c r="CO193" s="503"/>
      <c r="CP193" s="503" t="str">
        <f>IF($G193="","",IF(AND($G193&gt;=30,$AT$3&lt;=CO$7),ROUND(CO193*($AP$3+#REF!),-1),""))</f>
        <v/>
      </c>
      <c r="CQ193" s="502"/>
      <c r="CR193" s="503" t="str">
        <f>IF($G193="","",IF(AND($G193&gt;=30,$AT$3&lt;=CQ$7),ROUND(CQ193*($AP$3+#REF!),-1),""))</f>
        <v/>
      </c>
      <c r="CS193" s="503"/>
      <c r="CT193" s="503" t="str">
        <f>IF($G193="","",IF(AND($G193&gt;=30,$AT$3&lt;=CS$7),ROUND(CS193*($AP$3+#REF!),-1),""))</f>
        <v/>
      </c>
      <c r="CU193" s="502"/>
      <c r="CV193" s="503" t="str">
        <f>IF($G193="","",IF(AND($G193&gt;=30,$AT$3&lt;=CU$7),ROUND(CU193*($AP$3+#REF!),-1),""))</f>
        <v/>
      </c>
      <c r="CW193" s="503"/>
      <c r="CX193" s="503" t="str">
        <f>IF($G193="","",IF(AND($G193&gt;=30,$AT$3&lt;=CW$7),ROUND(CW193*($AP$3+#REF!),-1),""))</f>
        <v/>
      </c>
      <c r="CY193" s="502"/>
      <c r="CZ193" s="503" t="str">
        <f>IF($G193="","",IF(AND($G193&gt;=30,$AT$3&lt;=CY$7),ROUND(CY193*($AP$3+#REF!),-1),""))</f>
        <v/>
      </c>
      <c r="DA193" s="503"/>
      <c r="DB193" s="503" t="str">
        <f>IF($G193="","",IF(AND($G193&gt;=30,$AT$3&lt;=DA$7),ROUND(DA193*($AP$3+#REF!),-1),""))</f>
        <v/>
      </c>
      <c r="DC193" s="502"/>
      <c r="DD193" s="503" t="str">
        <f>IF($G193="","",IF(AND($G193&gt;=30,$AT$3&lt;=DC$7),ROUND(DC193*($AP$3+#REF!),-1),""))</f>
        <v/>
      </c>
      <c r="DE193" s="503"/>
      <c r="DF193" s="503" t="str">
        <f>IF($G193="","",IF(AND($G193&gt;=30,$AT$3&lt;=DE$7),ROUND(DE193*($AP$3+#REF!),-1),""))</f>
        <v/>
      </c>
      <c r="DG193" s="503"/>
      <c r="DH193" s="503" t="str">
        <f>IF($G193="","",IF(AND($G193&gt;=30,$AT$3&lt;=DG$7),ROUND(DG193*($AP$3+#REF!),-1),""))</f>
        <v/>
      </c>
      <c r="DI193" s="503"/>
      <c r="DJ193" s="503" t="str">
        <f>IF($G193="","",IF(AND($G193&gt;=30,$AT$3&lt;=DI$7),ROUND(DI193*($AP$3+#REF!),-1),""))</f>
        <v/>
      </c>
      <c r="DK193" s="503"/>
      <c r="DL193" s="503" t="str">
        <f>IF($G193="","",IF(AND($G193&gt;=30,$AT$3&lt;=DK$7),ROUND(DK193*($AP$3+#REF!),-1),""))</f>
        <v/>
      </c>
      <c r="DM193" s="503"/>
      <c r="DN193" s="503" t="str">
        <f>IF($G193="","",IF(AND($G193&gt;=30,$AT$3&lt;=DM$7),ROUND(DM193*($AP$3+#REF!),-1),""))</f>
        <v/>
      </c>
      <c r="DO193" s="503"/>
      <c r="DP193" s="503" t="str">
        <f>IF($G193="","",IF(AND($G193&gt;=30,$AT$3&lt;=DO$7),ROUND(DO193*($AP$3+#REF!),-1),""))</f>
        <v/>
      </c>
      <c r="DQ193" s="503"/>
      <c r="DR193" s="503" t="str">
        <f>IF($G193="","",IF(AND($G193&gt;=30,$AT$3&lt;=DQ$7),ROUND(DQ193*($AP$3+#REF!),-1),""))</f>
        <v/>
      </c>
      <c r="DS193" s="503"/>
      <c r="DT193" s="503" t="str">
        <f>IF($G193="","",IF(AND($G193&gt;=30,$AT$3&lt;=DS$7),ROUND(DS193*($AP$3+#REF!),-1),""))</f>
        <v/>
      </c>
      <c r="DU193" s="503"/>
      <c r="DV193" s="503" t="str">
        <f>IF($G193="","",IF(AND($G193&gt;=30,$AT$3&lt;=DU$7),ROUND(DU193*($AP$3+#REF!),-1),""))</f>
        <v/>
      </c>
      <c r="DW193" s="503"/>
      <c r="DX193" s="503" t="str">
        <f>IF($G193="","",IF(AND($G193&gt;=30,$AT$3&lt;=DW$7),ROUND(DW193*($AP$3+#REF!),-1),""))</f>
        <v/>
      </c>
      <c r="DY193" s="503"/>
      <c r="DZ193" s="503" t="str">
        <f>IF($G193="","",IF(AND($G193&gt;=30,$AT$3&lt;=DY$7),ROUND(DY193*($AP$3+#REF!),-1),""))</f>
        <v/>
      </c>
      <c r="EA193" s="503"/>
      <c r="EB193" s="503" t="str">
        <f>IF($G193="","",IF(AND($G193&gt;=30,$AT$3&lt;=EA$7),ROUND(EA193*($AP$3+#REF!),-1),""))</f>
        <v/>
      </c>
      <c r="EC193" s="504" t="s">
        <v>621</v>
      </c>
      <c r="ED193" s="1124"/>
      <c r="EE193" s="325">
        <v>5</v>
      </c>
    </row>
    <row r="194" spans="1:135" ht="9.75" customHeight="1">
      <c r="A194" s="321" t="str">
        <f t="shared" si="54"/>
        <v/>
      </c>
      <c r="B194" s="567">
        <f>(ii!$D$13*12+V194)+1</f>
        <v>88</v>
      </c>
      <c r="C194" s="337">
        <f t="shared" si="44"/>
        <v>48029</v>
      </c>
      <c r="D194" s="484">
        <f t="shared" si="47"/>
        <v>2031</v>
      </c>
      <c r="E194" s="484">
        <f t="shared" si="45"/>
        <v>0.5</v>
      </c>
      <c r="F194" s="484">
        <f t="shared" si="48"/>
        <v>2031.5</v>
      </c>
      <c r="G194" s="485" t="str">
        <f>IF(OR(C194&lt;$I$2,C194&gt;$J$3),"",(ii!$D$13*12+V194+1)/12)</f>
        <v/>
      </c>
      <c r="H194" s="486"/>
      <c r="I194" s="486"/>
      <c r="J194" s="487"/>
      <c r="K194" s="488"/>
      <c r="L194" s="548"/>
      <c r="M194" s="489" t="str">
        <f t="shared" si="49"/>
        <v/>
      </c>
      <c r="N194" s="490" t="s">
        <v>621</v>
      </c>
      <c r="O194" s="490" t="str">
        <f t="shared" si="42"/>
        <v/>
      </c>
      <c r="P194" s="491"/>
      <c r="Q194" s="491"/>
      <c r="R194" s="491" t="str">
        <f t="shared" si="43"/>
        <v/>
      </c>
      <c r="S194" s="528" t="str">
        <f t="shared" si="55"/>
        <v/>
      </c>
      <c r="T194" s="528" t="str">
        <f t="shared" si="53"/>
        <v/>
      </c>
      <c r="U194" s="493" t="str">
        <f>IF(H194="","",#REF!*12+#REF!+#REF!*12+#REF!)</f>
        <v/>
      </c>
      <c r="V194" s="338">
        <f>IF(ii!$J$3&gt;gg!C194,"",IF(AND((YEAR(C194)=YEAR($I$2)),MONTH(C194)=MONTH($I$2)),ii!$B$14*12+ii!$C$14+ii!$B$15*12+ii!$C$15-1,V193+1))</f>
        <v>87</v>
      </c>
      <c r="W194" s="339">
        <f t="shared" si="46"/>
        <v>7.25</v>
      </c>
      <c r="X194" s="494" t="s">
        <v>621</v>
      </c>
      <c r="Y194" s="495" t="s">
        <v>621</v>
      </c>
      <c r="Z194" s="496"/>
      <c r="AA194" s="497"/>
      <c r="AB194" s="498" t="e">
        <f t="shared" si="52"/>
        <v>#VALUE!</v>
      </c>
      <c r="AC194" s="484" t="str">
        <f t="shared" si="50"/>
        <v/>
      </c>
      <c r="AD194" s="495" t="str">
        <f t="shared" si="51"/>
        <v/>
      </c>
      <c r="AE194" s="499" t="s">
        <v>621</v>
      </c>
      <c r="AF194" s="500" t="s">
        <v>621</v>
      </c>
      <c r="AG194" s="556" t="s">
        <v>621</v>
      </c>
      <c r="AH194" s="503" t="str">
        <f>IF($G194="","",IF(AND($G194&gt;=30,$AT$3&lt;=AG$7),ROUND(AG194*($AP$3+#REF!),-1),""))</f>
        <v/>
      </c>
      <c r="AI194" s="506" t="s">
        <v>621</v>
      </c>
      <c r="AJ194" s="503" t="str">
        <f>IF($G194="","",IF(AND($G194&gt;=30,$AT$3&lt;=AI$7),ROUND(AI194*($AP$3+#REF!),-1),""))</f>
        <v/>
      </c>
      <c r="AK194" s="506" t="s">
        <v>621</v>
      </c>
      <c r="AL194" s="503" t="str">
        <f>IF($G194="","",IF(AND($G194&gt;=30,$AT$3&lt;=AK$7),ROUND(AK194*($AP$3+#REF!),-1),""))</f>
        <v/>
      </c>
      <c r="AM194" s="506" t="s">
        <v>621</v>
      </c>
      <c r="AN194" s="503" t="str">
        <f>IF($G194="","",IF(AND($G194&gt;=30,$AT$3&lt;=AM$7),ROUND(AM194*($AP$3+#REF!),-1),""))</f>
        <v/>
      </c>
      <c r="AO194" s="503" t="e">
        <v>#REF!</v>
      </c>
      <c r="AP194" s="503" t="str">
        <f>IF($G194="","",IF(AND($G194&gt;=30,$AT$3&lt;=AO$7),ROUND(AO194*($AP$3+#REF!),-1),""))</f>
        <v/>
      </c>
      <c r="AQ194" s="503" t="s">
        <v>621</v>
      </c>
      <c r="AR194" s="503" t="str">
        <f>IF($G194="","",IF(AND($G194&gt;=30,$AT$3&lt;=AQ$7),ROUND(AQ194*($AP$3+#REF!),-1),""))</f>
        <v/>
      </c>
      <c r="AS194" s="503" t="s">
        <v>621</v>
      </c>
      <c r="AT194" s="503" t="str">
        <f>IF($G194="","",IF(AND($G194&gt;=30,$AT$3&lt;=AS$7),ROUND(AS194*($AP$3+#REF!),-1),""))</f>
        <v/>
      </c>
      <c r="AU194" s="503" t="s">
        <v>621</v>
      </c>
      <c r="AV194" s="503" t="str">
        <f>IF($G194="","",IF(AND($G194&gt;=30,$AT$3&lt;=AU$7),ROUND(AU194*($AP$3+#REF!),-1),""))</f>
        <v/>
      </c>
      <c r="AW194" s="503" t="s">
        <v>621</v>
      </c>
      <c r="AX194" s="503" t="str">
        <f>IF($G194="","",IF(AND($G194&gt;=30,$AT$3&lt;=AW$7),ROUND(AW194*($AP$3+#REF!),-1),""))</f>
        <v/>
      </c>
      <c r="AY194" s="503" t="s">
        <v>621</v>
      </c>
      <c r="AZ194" s="503" t="str">
        <f>IF($G194="","",IF(AND($G194&gt;=30,$AT$3&lt;=AY$7),ROUND(AY194*($AP$3+#REF!),-1),""))</f>
        <v/>
      </c>
      <c r="BA194" s="503" t="s">
        <v>621</v>
      </c>
      <c r="BB194" s="503" t="str">
        <f>IF($G194="","",IF(AND($G194&gt;=30,$AT$3&lt;=BA$7),ROUND(BA194*($AP$3+#REF!),-1),""))</f>
        <v/>
      </c>
      <c r="BC194" s="503" t="s">
        <v>621</v>
      </c>
      <c r="BD194" s="503" t="str">
        <f>IF($G194="","",IF(AND($G194&gt;=30,$AT$3&lt;=BC$7),ROUND(BC194*($AP$3+#REF!),-1),""))</f>
        <v/>
      </c>
      <c r="BE194" s="503" t="s">
        <v>621</v>
      </c>
      <c r="BF194" s="503" t="str">
        <f>IF($G194="","",IF(AND($G194&gt;=30,$AT$3&lt;=BE$7),ROUND(BE194*($AP$3+#REF!),-1),""))</f>
        <v/>
      </c>
      <c r="BG194" s="503" t="s">
        <v>621</v>
      </c>
      <c r="BH194" s="503" t="str">
        <f>IF($G194="","",IF(AND($G194&gt;=30,$AT$3&lt;=BG$7),ROUND(BG194*($AP$3+#REF!),-1),""))</f>
        <v/>
      </c>
      <c r="BI194" s="503" t="s">
        <v>621</v>
      </c>
      <c r="BJ194" s="503" t="str">
        <f>IF($G194="","",IF(AND($G194&gt;=30,$AT$3&lt;=BI$7),ROUND(BI194*($AP$3+#REF!),-1),""))</f>
        <v/>
      </c>
      <c r="BK194" s="517" t="e">
        <v>#REF!</v>
      </c>
      <c r="BL194" s="503" t="str">
        <f>IF($G194="","",IF(AND($G194&gt;=30,$AT$3&lt;=BK$7),ROUND(BK194*($AP$3+#REF!),-1),""))</f>
        <v/>
      </c>
      <c r="BM194" s="503"/>
      <c r="BN194" s="503" t="str">
        <f>IF($G194="","",IF(AND($G194&gt;=30,$AT$3&lt;=BM$7),ROUND(BM194*($AP$3+#REF!),-1),""))</f>
        <v/>
      </c>
      <c r="BO194" s="502"/>
      <c r="BP194" s="503" t="str">
        <f>IF($G194="","",IF(AND($G194&gt;=30,$AT$3&lt;=BO$7),ROUND(BO194*($AP$3+#REF!),-1),""))</f>
        <v/>
      </c>
      <c r="BQ194" s="503"/>
      <c r="BR194" s="503" t="str">
        <f>IF($G194="","",IF(AND($G194&gt;=30,$AT$3&lt;=BQ$7),ROUND(BQ194*($AP$3+#REF!),-1),""))</f>
        <v/>
      </c>
      <c r="BS194" s="502"/>
      <c r="BT194" s="503" t="str">
        <f>IF($G194="","",IF(AND($G194&gt;=30,$AT$3&lt;=BS$7),ROUND(BS194*($AP$3+#REF!),-1),""))</f>
        <v/>
      </c>
      <c r="BU194" s="503"/>
      <c r="BV194" s="503" t="str">
        <f>IF($G194="","",IF(AND($G194&gt;=30,$AT$3&lt;=BU$7),ROUND(BU194*($AP$3+#REF!),-1),""))</f>
        <v/>
      </c>
      <c r="BW194" s="502"/>
      <c r="BX194" s="503" t="str">
        <f>IF($G194="","",IF(AND($G194&gt;=30,$AT$3&lt;=BW$7),ROUND(BW194*($AP$3+#REF!),-1),""))</f>
        <v/>
      </c>
      <c r="BY194" s="503"/>
      <c r="BZ194" s="503" t="str">
        <f>IF($G194="","",IF(AND($G194&gt;=30,$AT$3&lt;=BY$7),ROUND(BY194*($AP$3+#REF!),-1),""))</f>
        <v/>
      </c>
      <c r="CA194" s="502"/>
      <c r="CB194" s="503" t="str">
        <f>IF($G194="","",IF(AND($G194&gt;=30,$AT$3&lt;=CA$7),ROUND(CA194*($AP$3+#REF!),-1),""))</f>
        <v/>
      </c>
      <c r="CC194" s="503"/>
      <c r="CD194" s="503" t="str">
        <f>IF($G194="","",IF(AND($G194&gt;=30,$AT$3&lt;=CC$7),ROUND(CC194*($AP$3+#REF!),-1),""))</f>
        <v/>
      </c>
      <c r="CE194" s="502"/>
      <c r="CF194" s="503" t="str">
        <f>IF($G194="","",IF(AND($G194&gt;=30,$AT$3&lt;=CE$7),ROUND(CE194*($AP$3+#REF!),-1),""))</f>
        <v/>
      </c>
      <c r="CG194" s="503"/>
      <c r="CH194" s="503" t="str">
        <f>IF($G194="","",IF(AND($G194&gt;=30,$AT$3&lt;=CG$7),ROUND(CG194*($AP$3+#REF!),-1),""))</f>
        <v/>
      </c>
      <c r="CI194" s="502"/>
      <c r="CJ194" s="503" t="str">
        <f>IF($G194="","",IF(AND($G194&gt;=30,$AT$3&lt;=CI$7),ROUND(CI194*($AP$3+#REF!),-1),""))</f>
        <v/>
      </c>
      <c r="CK194" s="503"/>
      <c r="CL194" s="503" t="str">
        <f>IF($G194="","",IF(AND($G194&gt;=30,$AT$3&lt;=CK$7),ROUND(CK194*($AP$3+#REF!),-1),""))</f>
        <v/>
      </c>
      <c r="CM194" s="502"/>
      <c r="CN194" s="503" t="str">
        <f>IF($G194="","",IF(AND($G194&gt;=30,$AT$3&lt;=CM$7),ROUND(CM194*($AP$3+#REF!),-1),""))</f>
        <v/>
      </c>
      <c r="CO194" s="503"/>
      <c r="CP194" s="503" t="str">
        <f>IF($G194="","",IF(AND($G194&gt;=30,$AT$3&lt;=CO$7),ROUND(CO194*($AP$3+#REF!),-1),""))</f>
        <v/>
      </c>
      <c r="CQ194" s="502"/>
      <c r="CR194" s="503" t="str">
        <f>IF($G194="","",IF(AND($G194&gt;=30,$AT$3&lt;=CQ$7),ROUND(CQ194*($AP$3+#REF!),-1),""))</f>
        <v/>
      </c>
      <c r="CS194" s="503"/>
      <c r="CT194" s="503" t="str">
        <f>IF($G194="","",IF(AND($G194&gt;=30,$AT$3&lt;=CS$7),ROUND(CS194*($AP$3+#REF!),-1),""))</f>
        <v/>
      </c>
      <c r="CU194" s="502"/>
      <c r="CV194" s="503" t="str">
        <f>IF($G194="","",IF(AND($G194&gt;=30,$AT$3&lt;=CU$7),ROUND(CU194*($AP$3+#REF!),-1),""))</f>
        <v/>
      </c>
      <c r="CW194" s="503"/>
      <c r="CX194" s="503" t="str">
        <f>IF($G194="","",IF(AND($G194&gt;=30,$AT$3&lt;=CW$7),ROUND(CW194*($AP$3+#REF!),-1),""))</f>
        <v/>
      </c>
      <c r="CY194" s="502"/>
      <c r="CZ194" s="503" t="str">
        <f>IF($G194="","",IF(AND($G194&gt;=30,$AT$3&lt;=CY$7),ROUND(CY194*($AP$3+#REF!),-1),""))</f>
        <v/>
      </c>
      <c r="DA194" s="503"/>
      <c r="DB194" s="503" t="str">
        <f>IF($G194="","",IF(AND($G194&gt;=30,$AT$3&lt;=DA$7),ROUND(DA194*($AP$3+#REF!),-1),""))</f>
        <v/>
      </c>
      <c r="DC194" s="502"/>
      <c r="DD194" s="503" t="str">
        <f>IF($G194="","",IF(AND($G194&gt;=30,$AT$3&lt;=DC$7),ROUND(DC194*($AP$3+#REF!),-1),""))</f>
        <v/>
      </c>
      <c r="DE194" s="503"/>
      <c r="DF194" s="503" t="str">
        <f>IF($G194="","",IF(AND($G194&gt;=30,$AT$3&lt;=DE$7),ROUND(DE194*($AP$3+#REF!),-1),""))</f>
        <v/>
      </c>
      <c r="DG194" s="503"/>
      <c r="DH194" s="503" t="str">
        <f>IF($G194="","",IF(AND($G194&gt;=30,$AT$3&lt;=DG$7),ROUND(DG194*($AP$3+#REF!),-1),""))</f>
        <v/>
      </c>
      <c r="DI194" s="503"/>
      <c r="DJ194" s="503" t="str">
        <f>IF($G194="","",IF(AND($G194&gt;=30,$AT$3&lt;=DI$7),ROUND(DI194*($AP$3+#REF!),-1),""))</f>
        <v/>
      </c>
      <c r="DK194" s="503"/>
      <c r="DL194" s="503" t="str">
        <f>IF($G194="","",IF(AND($G194&gt;=30,$AT$3&lt;=DK$7),ROUND(DK194*($AP$3+#REF!),-1),""))</f>
        <v/>
      </c>
      <c r="DM194" s="503"/>
      <c r="DN194" s="503" t="str">
        <f>IF($G194="","",IF(AND($G194&gt;=30,$AT$3&lt;=DM$7),ROUND(DM194*($AP$3+#REF!),-1),""))</f>
        <v/>
      </c>
      <c r="DO194" s="503"/>
      <c r="DP194" s="503" t="str">
        <f>IF($G194="","",IF(AND($G194&gt;=30,$AT$3&lt;=DO$7),ROUND(DO194*($AP$3+#REF!),-1),""))</f>
        <v/>
      </c>
      <c r="DQ194" s="503"/>
      <c r="DR194" s="503" t="str">
        <f>IF($G194="","",IF(AND($G194&gt;=30,$AT$3&lt;=DQ$7),ROUND(DQ194*($AP$3+#REF!),-1),""))</f>
        <v/>
      </c>
      <c r="DS194" s="503"/>
      <c r="DT194" s="503" t="str">
        <f>IF($G194="","",IF(AND($G194&gt;=30,$AT$3&lt;=DS$7),ROUND(DS194*($AP$3+#REF!),-1),""))</f>
        <v/>
      </c>
      <c r="DU194" s="503"/>
      <c r="DV194" s="503" t="str">
        <f>IF($G194="","",IF(AND($G194&gt;=30,$AT$3&lt;=DU$7),ROUND(DU194*($AP$3+#REF!),-1),""))</f>
        <v/>
      </c>
      <c r="DW194" s="503"/>
      <c r="DX194" s="503" t="str">
        <f>IF($G194="","",IF(AND($G194&gt;=30,$AT$3&lt;=DW$7),ROUND(DW194*($AP$3+#REF!),-1),""))</f>
        <v/>
      </c>
      <c r="DY194" s="503"/>
      <c r="DZ194" s="503" t="str">
        <f>IF($G194="","",IF(AND($G194&gt;=30,$AT$3&lt;=DY$7),ROUND(DY194*($AP$3+#REF!),-1),""))</f>
        <v/>
      </c>
      <c r="EA194" s="503"/>
      <c r="EB194" s="503" t="str">
        <f>IF($G194="","",IF(AND($G194&gt;=30,$AT$3&lt;=EA$7),ROUND(EA194*($AP$3+#REF!),-1),""))</f>
        <v/>
      </c>
      <c r="EC194" s="504" t="s">
        <v>621</v>
      </c>
      <c r="ED194" s="1124"/>
      <c r="EE194" s="325">
        <v>6</v>
      </c>
    </row>
    <row r="195" spans="1:135" ht="9.75" customHeight="1">
      <c r="A195" s="321" t="str">
        <f t="shared" si="54"/>
        <v/>
      </c>
      <c r="B195" s="567">
        <f>(ii!$D$13*12+V195)+1</f>
        <v>89</v>
      </c>
      <c r="C195" s="337">
        <f t="shared" si="44"/>
        <v>48060</v>
      </c>
      <c r="D195" s="484">
        <f t="shared" si="47"/>
        <v>2031</v>
      </c>
      <c r="E195" s="484">
        <f t="shared" si="45"/>
        <v>0.58333333333333337</v>
      </c>
      <c r="F195" s="484">
        <f t="shared" si="48"/>
        <v>2031.5833333333333</v>
      </c>
      <c r="G195" s="485" t="str">
        <f>IF(OR(C195&lt;$I$2,C195&gt;$J$3),"",(ii!$D$13*12+V195+1)/12)</f>
        <v/>
      </c>
      <c r="H195" s="486"/>
      <c r="I195" s="486"/>
      <c r="J195" s="487"/>
      <c r="K195" s="488"/>
      <c r="L195" s="548"/>
      <c r="M195" s="489" t="str">
        <f t="shared" si="49"/>
        <v/>
      </c>
      <c r="N195" s="490" t="s">
        <v>621</v>
      </c>
      <c r="O195" s="490" t="str">
        <f t="shared" si="42"/>
        <v/>
      </c>
      <c r="P195" s="491"/>
      <c r="Q195" s="491"/>
      <c r="R195" s="491" t="str">
        <f t="shared" si="43"/>
        <v/>
      </c>
      <c r="S195" s="528" t="str">
        <f t="shared" si="55"/>
        <v/>
      </c>
      <c r="T195" s="528" t="str">
        <f t="shared" si="53"/>
        <v/>
      </c>
      <c r="U195" s="493" t="str">
        <f>IF(H195="","",#REF!*12+#REF!+#REF!*12+#REF!)</f>
        <v/>
      </c>
      <c r="V195" s="338">
        <f>IF(ii!$J$3&gt;gg!C195,"",IF(AND((YEAR(C195)=YEAR($I$2)),MONTH(C195)=MONTH($I$2)),ii!$B$14*12+ii!$C$14+ii!$B$15*12+ii!$C$15-1,V194+1))</f>
        <v>88</v>
      </c>
      <c r="W195" s="339">
        <f t="shared" si="46"/>
        <v>7.333333333333333</v>
      </c>
      <c r="X195" s="494" t="s">
        <v>621</v>
      </c>
      <c r="Y195" s="495" t="s">
        <v>621</v>
      </c>
      <c r="Z195" s="496"/>
      <c r="AA195" s="497"/>
      <c r="AB195" s="498" t="e">
        <f t="shared" si="52"/>
        <v>#VALUE!</v>
      </c>
      <c r="AC195" s="484" t="str">
        <f t="shared" si="50"/>
        <v/>
      </c>
      <c r="AD195" s="495" t="str">
        <f t="shared" si="51"/>
        <v/>
      </c>
      <c r="AE195" s="499" t="s">
        <v>621</v>
      </c>
      <c r="AF195" s="500" t="s">
        <v>621</v>
      </c>
      <c r="AG195" s="556" t="s">
        <v>621</v>
      </c>
      <c r="AH195" s="503" t="str">
        <f>IF($G195="","",IF(AND($G195&gt;=30,$AT$3&lt;=AG$7),ROUND(AG195*($AP$3+#REF!),-1),""))</f>
        <v/>
      </c>
      <c r="AI195" s="506" t="s">
        <v>621</v>
      </c>
      <c r="AJ195" s="503" t="str">
        <f>IF($G195="","",IF(AND($G195&gt;=30,$AT$3&lt;=AI$7),ROUND(AI195*($AP$3+#REF!),-1),""))</f>
        <v/>
      </c>
      <c r="AK195" s="506" t="s">
        <v>621</v>
      </c>
      <c r="AL195" s="503" t="str">
        <f>IF($G195="","",IF(AND($G195&gt;=30,$AT$3&lt;=AK$7),ROUND(AK195*($AP$3+#REF!),-1),""))</f>
        <v/>
      </c>
      <c r="AM195" s="506" t="s">
        <v>621</v>
      </c>
      <c r="AN195" s="503" t="str">
        <f>IF($G195="","",IF(AND($G195&gt;=30,$AT$3&lt;=AM$7),ROUND(AM195*($AP$3+#REF!),-1),""))</f>
        <v/>
      </c>
      <c r="AO195" s="503" t="e">
        <v>#REF!</v>
      </c>
      <c r="AP195" s="503" t="str">
        <f>IF($G195="","",IF(AND($G195&gt;=30,$AT$3&lt;=AO$7),ROUND(AO195*($AP$3+#REF!),-1),""))</f>
        <v/>
      </c>
      <c r="AQ195" s="503" t="s">
        <v>621</v>
      </c>
      <c r="AR195" s="503" t="str">
        <f>IF($G195="","",IF(AND($G195&gt;=30,$AT$3&lt;=AQ$7),ROUND(AQ195*($AP$3+#REF!),-1),""))</f>
        <v/>
      </c>
      <c r="AS195" s="503" t="s">
        <v>621</v>
      </c>
      <c r="AT195" s="503" t="str">
        <f>IF($G195="","",IF(AND($G195&gt;=30,$AT$3&lt;=AS$7),ROUND(AS195*($AP$3+#REF!),-1),""))</f>
        <v/>
      </c>
      <c r="AU195" s="503" t="s">
        <v>621</v>
      </c>
      <c r="AV195" s="503" t="str">
        <f>IF($G195="","",IF(AND($G195&gt;=30,$AT$3&lt;=AU$7),ROUND(AU195*($AP$3+#REF!),-1),""))</f>
        <v/>
      </c>
      <c r="AW195" s="503" t="s">
        <v>621</v>
      </c>
      <c r="AX195" s="503" t="str">
        <f>IF($G195="","",IF(AND($G195&gt;=30,$AT$3&lt;=AW$7),ROUND(AW195*($AP$3+#REF!),-1),""))</f>
        <v/>
      </c>
      <c r="AY195" s="503" t="s">
        <v>621</v>
      </c>
      <c r="AZ195" s="503" t="str">
        <f>IF($G195="","",IF(AND($G195&gt;=30,$AT$3&lt;=AY$7),ROUND(AY195*($AP$3+#REF!),-1),""))</f>
        <v/>
      </c>
      <c r="BA195" s="503" t="s">
        <v>621</v>
      </c>
      <c r="BB195" s="503" t="str">
        <f>IF($G195="","",IF(AND($G195&gt;=30,$AT$3&lt;=BA$7),ROUND(BA195*($AP$3+#REF!),-1),""))</f>
        <v/>
      </c>
      <c r="BC195" s="503" t="s">
        <v>621</v>
      </c>
      <c r="BD195" s="503" t="str">
        <f>IF($G195="","",IF(AND($G195&gt;=30,$AT$3&lt;=BC$7),ROUND(BC195*($AP$3+#REF!),-1),""))</f>
        <v/>
      </c>
      <c r="BE195" s="503" t="s">
        <v>621</v>
      </c>
      <c r="BF195" s="503" t="str">
        <f>IF($G195="","",IF(AND($G195&gt;=30,$AT$3&lt;=BE$7),ROUND(BE195*($AP$3+#REF!),-1),""))</f>
        <v/>
      </c>
      <c r="BG195" s="503" t="s">
        <v>621</v>
      </c>
      <c r="BH195" s="503" t="str">
        <f>IF($G195="","",IF(AND($G195&gt;=30,$AT$3&lt;=BG$7),ROUND(BG195*($AP$3+#REF!),-1),""))</f>
        <v/>
      </c>
      <c r="BI195" s="503" t="s">
        <v>621</v>
      </c>
      <c r="BJ195" s="503" t="str">
        <f>IF($G195="","",IF(AND($G195&gt;=30,$AT$3&lt;=BI$7),ROUND(BI195*($AP$3+#REF!),-1),""))</f>
        <v/>
      </c>
      <c r="BK195" s="517" t="e">
        <v>#REF!</v>
      </c>
      <c r="BL195" s="503" t="str">
        <f>IF($G195="","",IF(AND($G195&gt;=30,$AT$3&lt;=BK$7),ROUND(BK195*($AP$3+#REF!),-1),""))</f>
        <v/>
      </c>
      <c r="BM195" s="503"/>
      <c r="BN195" s="503" t="str">
        <f>IF($G195="","",IF(AND($G195&gt;=30,$AT$3&lt;=BM$7),ROUND(BM195*($AP$3+#REF!),-1),""))</f>
        <v/>
      </c>
      <c r="BO195" s="502"/>
      <c r="BP195" s="503" t="str">
        <f>IF($G195="","",IF(AND($G195&gt;=30,$AT$3&lt;=BO$7),ROUND(BO195*($AP$3+#REF!),-1),""))</f>
        <v/>
      </c>
      <c r="BQ195" s="503"/>
      <c r="BR195" s="503" t="str">
        <f>IF($G195="","",IF(AND($G195&gt;=30,$AT$3&lt;=BQ$7),ROUND(BQ195*($AP$3+#REF!),-1),""))</f>
        <v/>
      </c>
      <c r="BS195" s="502"/>
      <c r="BT195" s="503" t="str">
        <f>IF($G195="","",IF(AND($G195&gt;=30,$AT$3&lt;=BS$7),ROUND(BS195*($AP$3+#REF!),-1),""))</f>
        <v/>
      </c>
      <c r="BU195" s="503"/>
      <c r="BV195" s="503" t="str">
        <f>IF($G195="","",IF(AND($G195&gt;=30,$AT$3&lt;=BU$7),ROUND(BU195*($AP$3+#REF!),-1),""))</f>
        <v/>
      </c>
      <c r="BW195" s="502"/>
      <c r="BX195" s="503" t="str">
        <f>IF($G195="","",IF(AND($G195&gt;=30,$AT$3&lt;=BW$7),ROUND(BW195*($AP$3+#REF!),-1),""))</f>
        <v/>
      </c>
      <c r="BY195" s="503"/>
      <c r="BZ195" s="503" t="str">
        <f>IF($G195="","",IF(AND($G195&gt;=30,$AT$3&lt;=BY$7),ROUND(BY195*($AP$3+#REF!),-1),""))</f>
        <v/>
      </c>
      <c r="CA195" s="502"/>
      <c r="CB195" s="503" t="str">
        <f>IF($G195="","",IF(AND($G195&gt;=30,$AT$3&lt;=CA$7),ROUND(CA195*($AP$3+#REF!),-1),""))</f>
        <v/>
      </c>
      <c r="CC195" s="503"/>
      <c r="CD195" s="503" t="str">
        <f>IF($G195="","",IF(AND($G195&gt;=30,$AT$3&lt;=CC$7),ROUND(CC195*($AP$3+#REF!),-1),""))</f>
        <v/>
      </c>
      <c r="CE195" s="502"/>
      <c r="CF195" s="503" t="str">
        <f>IF($G195="","",IF(AND($G195&gt;=30,$AT$3&lt;=CE$7),ROUND(CE195*($AP$3+#REF!),-1),""))</f>
        <v/>
      </c>
      <c r="CG195" s="503"/>
      <c r="CH195" s="503" t="str">
        <f>IF($G195="","",IF(AND($G195&gt;=30,$AT$3&lt;=CG$7),ROUND(CG195*($AP$3+#REF!),-1),""))</f>
        <v/>
      </c>
      <c r="CI195" s="502"/>
      <c r="CJ195" s="503" t="str">
        <f>IF($G195="","",IF(AND($G195&gt;=30,$AT$3&lt;=CI$7),ROUND(CI195*($AP$3+#REF!),-1),""))</f>
        <v/>
      </c>
      <c r="CK195" s="503"/>
      <c r="CL195" s="503" t="str">
        <f>IF($G195="","",IF(AND($G195&gt;=30,$AT$3&lt;=CK$7),ROUND(CK195*($AP$3+#REF!),-1),""))</f>
        <v/>
      </c>
      <c r="CM195" s="502"/>
      <c r="CN195" s="503" t="str">
        <f>IF($G195="","",IF(AND($G195&gt;=30,$AT$3&lt;=CM$7),ROUND(CM195*($AP$3+#REF!),-1),""))</f>
        <v/>
      </c>
      <c r="CO195" s="503"/>
      <c r="CP195" s="503" t="str">
        <f>IF($G195="","",IF(AND($G195&gt;=30,$AT$3&lt;=CO$7),ROUND(CO195*($AP$3+#REF!),-1),""))</f>
        <v/>
      </c>
      <c r="CQ195" s="502"/>
      <c r="CR195" s="503" t="str">
        <f>IF($G195="","",IF(AND($G195&gt;=30,$AT$3&lt;=CQ$7),ROUND(CQ195*($AP$3+#REF!),-1),""))</f>
        <v/>
      </c>
      <c r="CS195" s="503"/>
      <c r="CT195" s="503" t="str">
        <f>IF($G195="","",IF(AND($G195&gt;=30,$AT$3&lt;=CS$7),ROUND(CS195*($AP$3+#REF!),-1),""))</f>
        <v/>
      </c>
      <c r="CU195" s="502"/>
      <c r="CV195" s="503" t="str">
        <f>IF($G195="","",IF(AND($G195&gt;=30,$AT$3&lt;=CU$7),ROUND(CU195*($AP$3+#REF!),-1),""))</f>
        <v/>
      </c>
      <c r="CW195" s="503"/>
      <c r="CX195" s="503" t="str">
        <f>IF($G195="","",IF(AND($G195&gt;=30,$AT$3&lt;=CW$7),ROUND(CW195*($AP$3+#REF!),-1),""))</f>
        <v/>
      </c>
      <c r="CY195" s="502"/>
      <c r="CZ195" s="503" t="str">
        <f>IF($G195="","",IF(AND($G195&gt;=30,$AT$3&lt;=CY$7),ROUND(CY195*($AP$3+#REF!),-1),""))</f>
        <v/>
      </c>
      <c r="DA195" s="503"/>
      <c r="DB195" s="503" t="str">
        <f>IF($G195="","",IF(AND($G195&gt;=30,$AT$3&lt;=DA$7),ROUND(DA195*($AP$3+#REF!),-1),""))</f>
        <v/>
      </c>
      <c r="DC195" s="502"/>
      <c r="DD195" s="503" t="str">
        <f>IF($G195="","",IF(AND($G195&gt;=30,$AT$3&lt;=DC$7),ROUND(DC195*($AP$3+#REF!),-1),""))</f>
        <v/>
      </c>
      <c r="DE195" s="503"/>
      <c r="DF195" s="503" t="str">
        <f>IF($G195="","",IF(AND($G195&gt;=30,$AT$3&lt;=DE$7),ROUND(DE195*($AP$3+#REF!),-1),""))</f>
        <v/>
      </c>
      <c r="DG195" s="503"/>
      <c r="DH195" s="503" t="str">
        <f>IF($G195="","",IF(AND($G195&gt;=30,$AT$3&lt;=DG$7),ROUND(DG195*($AP$3+#REF!),-1),""))</f>
        <v/>
      </c>
      <c r="DI195" s="503"/>
      <c r="DJ195" s="503" t="str">
        <f>IF($G195="","",IF(AND($G195&gt;=30,$AT$3&lt;=DI$7),ROUND(DI195*($AP$3+#REF!),-1),""))</f>
        <v/>
      </c>
      <c r="DK195" s="503"/>
      <c r="DL195" s="503" t="str">
        <f>IF($G195="","",IF(AND($G195&gt;=30,$AT$3&lt;=DK$7),ROUND(DK195*($AP$3+#REF!),-1),""))</f>
        <v/>
      </c>
      <c r="DM195" s="503"/>
      <c r="DN195" s="503" t="str">
        <f>IF($G195="","",IF(AND($G195&gt;=30,$AT$3&lt;=DM$7),ROUND(DM195*($AP$3+#REF!),-1),""))</f>
        <v/>
      </c>
      <c r="DO195" s="503"/>
      <c r="DP195" s="503" t="str">
        <f>IF($G195="","",IF(AND($G195&gt;=30,$AT$3&lt;=DO$7),ROUND(DO195*($AP$3+#REF!),-1),""))</f>
        <v/>
      </c>
      <c r="DQ195" s="503"/>
      <c r="DR195" s="503" t="str">
        <f>IF($G195="","",IF(AND($G195&gt;=30,$AT$3&lt;=DQ$7),ROUND(DQ195*($AP$3+#REF!),-1),""))</f>
        <v/>
      </c>
      <c r="DS195" s="503"/>
      <c r="DT195" s="503" t="str">
        <f>IF($G195="","",IF(AND($G195&gt;=30,$AT$3&lt;=DS$7),ROUND(DS195*($AP$3+#REF!),-1),""))</f>
        <v/>
      </c>
      <c r="DU195" s="503"/>
      <c r="DV195" s="503" t="str">
        <f>IF($G195="","",IF(AND($G195&gt;=30,$AT$3&lt;=DU$7),ROUND(DU195*($AP$3+#REF!),-1),""))</f>
        <v/>
      </c>
      <c r="DW195" s="503"/>
      <c r="DX195" s="503" t="str">
        <f>IF($G195="","",IF(AND($G195&gt;=30,$AT$3&lt;=DW$7),ROUND(DW195*($AP$3+#REF!),-1),""))</f>
        <v/>
      </c>
      <c r="DY195" s="503"/>
      <c r="DZ195" s="503" t="str">
        <f>IF($G195="","",IF(AND($G195&gt;=30,$AT$3&lt;=DY$7),ROUND(DY195*($AP$3+#REF!),-1),""))</f>
        <v/>
      </c>
      <c r="EA195" s="503"/>
      <c r="EB195" s="503" t="str">
        <f>IF($G195="","",IF(AND($G195&gt;=30,$AT$3&lt;=EA$7),ROUND(EA195*($AP$3+#REF!),-1),""))</f>
        <v/>
      </c>
      <c r="EC195" s="504" t="s">
        <v>621</v>
      </c>
      <c r="ED195" s="1124"/>
      <c r="EE195" s="325">
        <v>7</v>
      </c>
    </row>
    <row r="196" spans="1:135" ht="9.75" customHeight="1">
      <c r="A196" s="321" t="str">
        <f t="shared" si="54"/>
        <v/>
      </c>
      <c r="B196" s="567">
        <f>(ii!$D$13*12+V196)+1</f>
        <v>90</v>
      </c>
      <c r="C196" s="337">
        <f t="shared" si="44"/>
        <v>48091</v>
      </c>
      <c r="D196" s="484">
        <f t="shared" si="47"/>
        <v>2031</v>
      </c>
      <c r="E196" s="484">
        <f t="shared" si="45"/>
        <v>0.66666666666666663</v>
      </c>
      <c r="F196" s="484">
        <f t="shared" si="48"/>
        <v>2031.6666666666667</v>
      </c>
      <c r="G196" s="485" t="str">
        <f>IF(OR(C196&lt;$I$2,C196&gt;$J$3),"",(ii!$D$13*12+V196+1)/12)</f>
        <v/>
      </c>
      <c r="H196" s="486"/>
      <c r="I196" s="486"/>
      <c r="J196" s="487"/>
      <c r="K196" s="488"/>
      <c r="L196" s="548"/>
      <c r="M196" s="489" t="str">
        <f t="shared" si="49"/>
        <v/>
      </c>
      <c r="N196" s="490" t="s">
        <v>621</v>
      </c>
      <c r="O196" s="490" t="str">
        <f t="shared" si="42"/>
        <v/>
      </c>
      <c r="P196" s="491"/>
      <c r="Q196" s="491"/>
      <c r="R196" s="491" t="str">
        <f t="shared" si="43"/>
        <v/>
      </c>
      <c r="S196" s="528" t="str">
        <f t="shared" si="55"/>
        <v/>
      </c>
      <c r="T196" s="528" t="str">
        <f t="shared" si="53"/>
        <v/>
      </c>
      <c r="U196" s="493" t="str">
        <f>IF(H196="","",#REF!*12+#REF!+#REF!*12+#REF!)</f>
        <v/>
      </c>
      <c r="V196" s="338">
        <f>IF(ii!$J$3&gt;gg!C196,"",IF(AND((YEAR(C196)=YEAR($I$2)),MONTH(C196)=MONTH($I$2)),ii!$B$14*12+ii!$C$14+ii!$B$15*12+ii!$C$15-1,V195+1))</f>
        <v>89</v>
      </c>
      <c r="W196" s="339">
        <f t="shared" si="46"/>
        <v>7.416666666666667</v>
      </c>
      <c r="X196" s="494" t="s">
        <v>621</v>
      </c>
      <c r="Y196" s="495" t="s">
        <v>621</v>
      </c>
      <c r="Z196" s="496"/>
      <c r="AA196" s="497"/>
      <c r="AB196" s="498" t="e">
        <f t="shared" si="52"/>
        <v>#VALUE!</v>
      </c>
      <c r="AC196" s="484" t="str">
        <f t="shared" si="50"/>
        <v/>
      </c>
      <c r="AD196" s="495" t="str">
        <f t="shared" si="51"/>
        <v/>
      </c>
      <c r="AE196" s="499" t="s">
        <v>621</v>
      </c>
      <c r="AF196" s="500" t="s">
        <v>621</v>
      </c>
      <c r="AG196" s="556" t="s">
        <v>621</v>
      </c>
      <c r="AH196" s="503" t="str">
        <f>IF($G196="","",IF(AND($G196&gt;=30,$AT$3&lt;=AG$7),ROUND(AG196*($AP$3+#REF!),-1),""))</f>
        <v/>
      </c>
      <c r="AI196" s="506" t="s">
        <v>621</v>
      </c>
      <c r="AJ196" s="503" t="str">
        <f>IF($G196="","",IF(AND($G196&gt;=30,$AT$3&lt;=AI$7),ROUND(AI196*($AP$3+#REF!),-1),""))</f>
        <v/>
      </c>
      <c r="AK196" s="506" t="s">
        <v>621</v>
      </c>
      <c r="AL196" s="503" t="str">
        <f>IF($G196="","",IF(AND($G196&gt;=30,$AT$3&lt;=AK$7),ROUND(AK196*($AP$3+#REF!),-1),""))</f>
        <v/>
      </c>
      <c r="AM196" s="506" t="s">
        <v>621</v>
      </c>
      <c r="AN196" s="503" t="str">
        <f>IF($G196="","",IF(AND($G196&gt;=30,$AT$3&lt;=AM$7),ROUND(AM196*($AP$3+#REF!),-1),""))</f>
        <v/>
      </c>
      <c r="AO196" s="503" t="e">
        <v>#REF!</v>
      </c>
      <c r="AP196" s="503" t="str">
        <f>IF($G196="","",IF(AND($G196&gt;=30,$AT$3&lt;=AO$7),ROUND(AO196*($AP$3+#REF!),-1),""))</f>
        <v/>
      </c>
      <c r="AQ196" s="503" t="s">
        <v>621</v>
      </c>
      <c r="AR196" s="503" t="str">
        <f>IF($G196="","",IF(AND($G196&gt;=30,$AT$3&lt;=AQ$7),ROUND(AQ196*($AP$3+#REF!),-1),""))</f>
        <v/>
      </c>
      <c r="AS196" s="503" t="s">
        <v>621</v>
      </c>
      <c r="AT196" s="503" t="str">
        <f>IF($G196="","",IF(AND($G196&gt;=30,$AT$3&lt;=AS$7),ROUND(AS196*($AP$3+#REF!),-1),""))</f>
        <v/>
      </c>
      <c r="AU196" s="503" t="s">
        <v>621</v>
      </c>
      <c r="AV196" s="503" t="str">
        <f>IF($G196="","",IF(AND($G196&gt;=30,$AT$3&lt;=AU$7),ROUND(AU196*($AP$3+#REF!),-1),""))</f>
        <v/>
      </c>
      <c r="AW196" s="503" t="s">
        <v>621</v>
      </c>
      <c r="AX196" s="503" t="str">
        <f>IF($G196="","",IF(AND($G196&gt;=30,$AT$3&lt;=AW$7),ROUND(AW196*($AP$3+#REF!),-1),""))</f>
        <v/>
      </c>
      <c r="AY196" s="503" t="s">
        <v>621</v>
      </c>
      <c r="AZ196" s="503" t="str">
        <f>IF($G196="","",IF(AND($G196&gt;=30,$AT$3&lt;=AY$7),ROUND(AY196*($AP$3+#REF!),-1),""))</f>
        <v/>
      </c>
      <c r="BA196" s="503" t="s">
        <v>621</v>
      </c>
      <c r="BB196" s="503" t="str">
        <f>IF($G196="","",IF(AND($G196&gt;=30,$AT$3&lt;=BA$7),ROUND(BA196*($AP$3+#REF!),-1),""))</f>
        <v/>
      </c>
      <c r="BC196" s="503" t="s">
        <v>621</v>
      </c>
      <c r="BD196" s="503" t="str">
        <f>IF($G196="","",IF(AND($G196&gt;=30,$AT$3&lt;=BC$7),ROUND(BC196*($AP$3+#REF!),-1),""))</f>
        <v/>
      </c>
      <c r="BE196" s="503" t="s">
        <v>621</v>
      </c>
      <c r="BF196" s="503" t="str">
        <f>IF($G196="","",IF(AND($G196&gt;=30,$AT$3&lt;=BE$7),ROUND(BE196*($AP$3+#REF!),-1),""))</f>
        <v/>
      </c>
      <c r="BG196" s="503" t="s">
        <v>621</v>
      </c>
      <c r="BH196" s="503" t="str">
        <f>IF($G196="","",IF(AND($G196&gt;=30,$AT$3&lt;=BG$7),ROUND(BG196*($AP$3+#REF!),-1),""))</f>
        <v/>
      </c>
      <c r="BI196" s="503" t="s">
        <v>621</v>
      </c>
      <c r="BJ196" s="503" t="str">
        <f>IF($G196="","",IF(AND($G196&gt;=30,$AT$3&lt;=BI$7),ROUND(BI196*($AP$3+#REF!),-1),""))</f>
        <v/>
      </c>
      <c r="BK196" s="517" t="e">
        <v>#REF!</v>
      </c>
      <c r="BL196" s="503" t="str">
        <f>IF($G196="","",IF(AND($G196&gt;=30,$AT$3&lt;=BK$7),ROUND(BK196*($AP$3+#REF!),-1),""))</f>
        <v/>
      </c>
      <c r="BM196" s="503"/>
      <c r="BN196" s="503" t="str">
        <f>IF($G196="","",IF(AND($G196&gt;=30,$AT$3&lt;=BM$7),ROUND(BM196*($AP$3+#REF!),-1),""))</f>
        <v/>
      </c>
      <c r="BO196" s="502"/>
      <c r="BP196" s="503" t="str">
        <f>IF($G196="","",IF(AND($G196&gt;=30,$AT$3&lt;=BO$7),ROUND(BO196*($AP$3+#REF!),-1),""))</f>
        <v/>
      </c>
      <c r="BQ196" s="503"/>
      <c r="BR196" s="503" t="str">
        <f>IF($G196="","",IF(AND($G196&gt;=30,$AT$3&lt;=BQ$7),ROUND(BQ196*($AP$3+#REF!),-1),""))</f>
        <v/>
      </c>
      <c r="BS196" s="502"/>
      <c r="BT196" s="503" t="str">
        <f>IF($G196="","",IF(AND($G196&gt;=30,$AT$3&lt;=BS$7),ROUND(BS196*($AP$3+#REF!),-1),""))</f>
        <v/>
      </c>
      <c r="BU196" s="503"/>
      <c r="BV196" s="503" t="str">
        <f>IF($G196="","",IF(AND($G196&gt;=30,$AT$3&lt;=BU$7),ROUND(BU196*($AP$3+#REF!),-1),""))</f>
        <v/>
      </c>
      <c r="BW196" s="502"/>
      <c r="BX196" s="503" t="str">
        <f>IF($G196="","",IF(AND($G196&gt;=30,$AT$3&lt;=BW$7),ROUND(BW196*($AP$3+#REF!),-1),""))</f>
        <v/>
      </c>
      <c r="BY196" s="503"/>
      <c r="BZ196" s="503" t="str">
        <f>IF($G196="","",IF(AND($G196&gt;=30,$AT$3&lt;=BY$7),ROUND(BY196*($AP$3+#REF!),-1),""))</f>
        <v/>
      </c>
      <c r="CA196" s="502"/>
      <c r="CB196" s="503" t="str">
        <f>IF($G196="","",IF(AND($G196&gt;=30,$AT$3&lt;=CA$7),ROUND(CA196*($AP$3+#REF!),-1),""))</f>
        <v/>
      </c>
      <c r="CC196" s="503"/>
      <c r="CD196" s="503" t="str">
        <f>IF($G196="","",IF(AND($G196&gt;=30,$AT$3&lt;=CC$7),ROUND(CC196*($AP$3+#REF!),-1),""))</f>
        <v/>
      </c>
      <c r="CE196" s="502"/>
      <c r="CF196" s="503" t="str">
        <f>IF($G196="","",IF(AND($G196&gt;=30,$AT$3&lt;=CE$7),ROUND(CE196*($AP$3+#REF!),-1),""))</f>
        <v/>
      </c>
      <c r="CG196" s="503"/>
      <c r="CH196" s="503" t="str">
        <f>IF($G196="","",IF(AND($G196&gt;=30,$AT$3&lt;=CG$7),ROUND(CG196*($AP$3+#REF!),-1),""))</f>
        <v/>
      </c>
      <c r="CI196" s="502"/>
      <c r="CJ196" s="503" t="str">
        <f>IF($G196="","",IF(AND($G196&gt;=30,$AT$3&lt;=CI$7),ROUND(CI196*($AP$3+#REF!),-1),""))</f>
        <v/>
      </c>
      <c r="CK196" s="503"/>
      <c r="CL196" s="503" t="str">
        <f>IF($G196="","",IF(AND($G196&gt;=30,$AT$3&lt;=CK$7),ROUND(CK196*($AP$3+#REF!),-1),""))</f>
        <v/>
      </c>
      <c r="CM196" s="502"/>
      <c r="CN196" s="503" t="str">
        <f>IF($G196="","",IF(AND($G196&gt;=30,$AT$3&lt;=CM$7),ROUND(CM196*($AP$3+#REF!),-1),""))</f>
        <v/>
      </c>
      <c r="CO196" s="503"/>
      <c r="CP196" s="503" t="str">
        <f>IF($G196="","",IF(AND($G196&gt;=30,$AT$3&lt;=CO$7),ROUND(CO196*($AP$3+#REF!),-1),""))</f>
        <v/>
      </c>
      <c r="CQ196" s="502"/>
      <c r="CR196" s="503" t="str">
        <f>IF($G196="","",IF(AND($G196&gt;=30,$AT$3&lt;=CQ$7),ROUND(CQ196*($AP$3+#REF!),-1),""))</f>
        <v/>
      </c>
      <c r="CS196" s="503"/>
      <c r="CT196" s="503" t="str">
        <f>IF($G196="","",IF(AND($G196&gt;=30,$AT$3&lt;=CS$7),ROUND(CS196*($AP$3+#REF!),-1),""))</f>
        <v/>
      </c>
      <c r="CU196" s="502"/>
      <c r="CV196" s="503" t="str">
        <f>IF($G196="","",IF(AND($G196&gt;=30,$AT$3&lt;=CU$7),ROUND(CU196*($AP$3+#REF!),-1),""))</f>
        <v/>
      </c>
      <c r="CW196" s="503"/>
      <c r="CX196" s="503" t="str">
        <f>IF($G196="","",IF(AND($G196&gt;=30,$AT$3&lt;=CW$7),ROUND(CW196*($AP$3+#REF!),-1),""))</f>
        <v/>
      </c>
      <c r="CY196" s="502"/>
      <c r="CZ196" s="503" t="str">
        <f>IF($G196="","",IF(AND($G196&gt;=30,$AT$3&lt;=CY$7),ROUND(CY196*($AP$3+#REF!),-1),""))</f>
        <v/>
      </c>
      <c r="DA196" s="503"/>
      <c r="DB196" s="503" t="str">
        <f>IF($G196="","",IF(AND($G196&gt;=30,$AT$3&lt;=DA$7),ROUND(DA196*($AP$3+#REF!),-1),""))</f>
        <v/>
      </c>
      <c r="DC196" s="502"/>
      <c r="DD196" s="503" t="str">
        <f>IF($G196="","",IF(AND($G196&gt;=30,$AT$3&lt;=DC$7),ROUND(DC196*($AP$3+#REF!),-1),""))</f>
        <v/>
      </c>
      <c r="DE196" s="503"/>
      <c r="DF196" s="503" t="str">
        <f>IF($G196="","",IF(AND($G196&gt;=30,$AT$3&lt;=DE$7),ROUND(DE196*($AP$3+#REF!),-1),""))</f>
        <v/>
      </c>
      <c r="DG196" s="503"/>
      <c r="DH196" s="503" t="str">
        <f>IF($G196="","",IF(AND($G196&gt;=30,$AT$3&lt;=DG$7),ROUND(DG196*($AP$3+#REF!),-1),""))</f>
        <v/>
      </c>
      <c r="DI196" s="503"/>
      <c r="DJ196" s="503" t="str">
        <f>IF($G196="","",IF(AND($G196&gt;=30,$AT$3&lt;=DI$7),ROUND(DI196*($AP$3+#REF!),-1),""))</f>
        <v/>
      </c>
      <c r="DK196" s="503"/>
      <c r="DL196" s="503" t="str">
        <f>IF($G196="","",IF(AND($G196&gt;=30,$AT$3&lt;=DK$7),ROUND(DK196*($AP$3+#REF!),-1),""))</f>
        <v/>
      </c>
      <c r="DM196" s="503"/>
      <c r="DN196" s="503" t="str">
        <f>IF($G196="","",IF(AND($G196&gt;=30,$AT$3&lt;=DM$7),ROUND(DM196*($AP$3+#REF!),-1),""))</f>
        <v/>
      </c>
      <c r="DO196" s="503"/>
      <c r="DP196" s="503" t="str">
        <f>IF($G196="","",IF(AND($G196&gt;=30,$AT$3&lt;=DO$7),ROUND(DO196*($AP$3+#REF!),-1),""))</f>
        <v/>
      </c>
      <c r="DQ196" s="503"/>
      <c r="DR196" s="503" t="str">
        <f>IF($G196="","",IF(AND($G196&gt;=30,$AT$3&lt;=DQ$7),ROUND(DQ196*($AP$3+#REF!),-1),""))</f>
        <v/>
      </c>
      <c r="DS196" s="503"/>
      <c r="DT196" s="503" t="str">
        <f>IF($G196="","",IF(AND($G196&gt;=30,$AT$3&lt;=DS$7),ROUND(DS196*($AP$3+#REF!),-1),""))</f>
        <v/>
      </c>
      <c r="DU196" s="503"/>
      <c r="DV196" s="503" t="str">
        <f>IF($G196="","",IF(AND($G196&gt;=30,$AT$3&lt;=DU$7),ROUND(DU196*($AP$3+#REF!),-1),""))</f>
        <v/>
      </c>
      <c r="DW196" s="503"/>
      <c r="DX196" s="503" t="str">
        <f>IF($G196="","",IF(AND($G196&gt;=30,$AT$3&lt;=DW$7),ROUND(DW196*($AP$3+#REF!),-1),""))</f>
        <v/>
      </c>
      <c r="DY196" s="503"/>
      <c r="DZ196" s="503" t="str">
        <f>IF($G196="","",IF(AND($G196&gt;=30,$AT$3&lt;=DY$7),ROUND(DY196*($AP$3+#REF!),-1),""))</f>
        <v/>
      </c>
      <c r="EA196" s="503"/>
      <c r="EB196" s="503" t="str">
        <f>IF($G196="","",IF(AND($G196&gt;=30,$AT$3&lt;=EA$7),ROUND(EA196*($AP$3+#REF!),-1),""))</f>
        <v/>
      </c>
      <c r="EC196" s="504" t="s">
        <v>621</v>
      </c>
      <c r="ED196" s="1124"/>
      <c r="EE196" s="325">
        <v>8</v>
      </c>
    </row>
    <row r="197" spans="1:135" ht="9.75" customHeight="1">
      <c r="A197" s="321" t="str">
        <f t="shared" si="54"/>
        <v/>
      </c>
      <c r="B197" s="567">
        <f>(ii!$D$13*12+V197)+1</f>
        <v>91</v>
      </c>
      <c r="C197" s="337">
        <f t="shared" si="44"/>
        <v>48121</v>
      </c>
      <c r="D197" s="484">
        <f t="shared" si="47"/>
        <v>2031</v>
      </c>
      <c r="E197" s="484">
        <f t="shared" si="45"/>
        <v>0.75</v>
      </c>
      <c r="F197" s="484">
        <f t="shared" si="48"/>
        <v>2031.75</v>
      </c>
      <c r="G197" s="485" t="str">
        <f>IF(OR(C197&lt;$I$2,C197&gt;$J$3),"",(ii!$D$13*12+V197+1)/12)</f>
        <v/>
      </c>
      <c r="H197" s="486"/>
      <c r="I197" s="486"/>
      <c r="J197" s="487"/>
      <c r="K197" s="488"/>
      <c r="L197" s="548"/>
      <c r="M197" s="489" t="str">
        <f t="shared" si="49"/>
        <v/>
      </c>
      <c r="N197" s="490" t="s">
        <v>621</v>
      </c>
      <c r="O197" s="490" t="str">
        <f t="shared" si="42"/>
        <v/>
      </c>
      <c r="P197" s="491"/>
      <c r="Q197" s="491"/>
      <c r="R197" s="491" t="str">
        <f t="shared" si="43"/>
        <v/>
      </c>
      <c r="S197" s="528" t="str">
        <f t="shared" si="55"/>
        <v/>
      </c>
      <c r="T197" s="528" t="str">
        <f t="shared" si="53"/>
        <v/>
      </c>
      <c r="U197" s="493" t="str">
        <f>IF(H197="","",#REF!*12+#REF!+#REF!*12+#REF!)</f>
        <v/>
      </c>
      <c r="V197" s="338">
        <f>IF(ii!$J$3&gt;gg!C197,"",IF(AND((YEAR(C197)=YEAR($I$2)),MONTH(C197)=MONTH($I$2)),ii!$B$14*12+ii!$C$14+ii!$B$15*12+ii!$C$15-1,V196+1))</f>
        <v>90</v>
      </c>
      <c r="W197" s="339">
        <f t="shared" si="46"/>
        <v>7.5</v>
      </c>
      <c r="X197" s="494" t="s">
        <v>621</v>
      </c>
      <c r="Y197" s="495" t="s">
        <v>621</v>
      </c>
      <c r="Z197" s="496"/>
      <c r="AA197" s="497"/>
      <c r="AB197" s="498" t="e">
        <f t="shared" si="52"/>
        <v>#VALUE!</v>
      </c>
      <c r="AC197" s="484" t="str">
        <f t="shared" si="50"/>
        <v/>
      </c>
      <c r="AD197" s="495" t="str">
        <f t="shared" si="51"/>
        <v/>
      </c>
      <c r="AE197" s="499" t="s">
        <v>621</v>
      </c>
      <c r="AF197" s="500" t="s">
        <v>621</v>
      </c>
      <c r="AG197" s="556" t="s">
        <v>621</v>
      </c>
      <c r="AH197" s="503" t="str">
        <f>IF($G197="","",IF(AND($G197&gt;=30,$AT$3&lt;=AG$7),ROUND(AG197*($AP$3+#REF!),-1),""))</f>
        <v/>
      </c>
      <c r="AI197" s="506" t="s">
        <v>621</v>
      </c>
      <c r="AJ197" s="503" t="str">
        <f>IF($G197="","",IF(AND($G197&gt;=30,$AT$3&lt;=AI$7),ROUND(AI197*($AP$3+#REF!),-1),""))</f>
        <v/>
      </c>
      <c r="AK197" s="506" t="s">
        <v>621</v>
      </c>
      <c r="AL197" s="503" t="str">
        <f>IF($G197="","",IF(AND($G197&gt;=30,$AT$3&lt;=AK$7),ROUND(AK197*($AP$3+#REF!),-1),""))</f>
        <v/>
      </c>
      <c r="AM197" s="506" t="s">
        <v>621</v>
      </c>
      <c r="AN197" s="503" t="str">
        <f>IF($G197="","",IF(AND($G197&gt;=30,$AT$3&lt;=AM$7),ROUND(AM197*($AP$3+#REF!),-1),""))</f>
        <v/>
      </c>
      <c r="AO197" s="503" t="e">
        <v>#REF!</v>
      </c>
      <c r="AP197" s="503" t="str">
        <f>IF($G197="","",IF(AND($G197&gt;=30,$AT$3&lt;=AO$7),ROUND(AO197*($AP$3+#REF!),-1),""))</f>
        <v/>
      </c>
      <c r="AQ197" s="503" t="s">
        <v>621</v>
      </c>
      <c r="AR197" s="503" t="str">
        <f>IF($G197="","",IF(AND($G197&gt;=30,$AT$3&lt;=AQ$7),ROUND(AQ197*($AP$3+#REF!),-1),""))</f>
        <v/>
      </c>
      <c r="AS197" s="503" t="s">
        <v>621</v>
      </c>
      <c r="AT197" s="503" t="str">
        <f>IF($G197="","",IF(AND($G197&gt;=30,$AT$3&lt;=AS$7),ROUND(AS197*($AP$3+#REF!),-1),""))</f>
        <v/>
      </c>
      <c r="AU197" s="503" t="s">
        <v>621</v>
      </c>
      <c r="AV197" s="503" t="str">
        <f>IF($G197="","",IF(AND($G197&gt;=30,$AT$3&lt;=AU$7),ROUND(AU197*($AP$3+#REF!),-1),""))</f>
        <v/>
      </c>
      <c r="AW197" s="503" t="s">
        <v>621</v>
      </c>
      <c r="AX197" s="503" t="str">
        <f>IF($G197="","",IF(AND($G197&gt;=30,$AT$3&lt;=AW$7),ROUND(AW197*($AP$3+#REF!),-1),""))</f>
        <v/>
      </c>
      <c r="AY197" s="503" t="s">
        <v>621</v>
      </c>
      <c r="AZ197" s="503" t="str">
        <f>IF($G197="","",IF(AND($G197&gt;=30,$AT$3&lt;=AY$7),ROUND(AY197*($AP$3+#REF!),-1),""))</f>
        <v/>
      </c>
      <c r="BA197" s="503" t="s">
        <v>621</v>
      </c>
      <c r="BB197" s="503" t="str">
        <f>IF($G197="","",IF(AND($G197&gt;=30,$AT$3&lt;=BA$7),ROUND(BA197*($AP$3+#REF!),-1),""))</f>
        <v/>
      </c>
      <c r="BC197" s="503" t="s">
        <v>621</v>
      </c>
      <c r="BD197" s="503" t="str">
        <f>IF($G197="","",IF(AND($G197&gt;=30,$AT$3&lt;=BC$7),ROUND(BC197*($AP$3+#REF!),-1),""))</f>
        <v/>
      </c>
      <c r="BE197" s="503" t="s">
        <v>621</v>
      </c>
      <c r="BF197" s="503" t="str">
        <f>IF($G197="","",IF(AND($G197&gt;=30,$AT$3&lt;=BE$7),ROUND(BE197*($AP$3+#REF!),-1),""))</f>
        <v/>
      </c>
      <c r="BG197" s="503" t="s">
        <v>621</v>
      </c>
      <c r="BH197" s="503" t="str">
        <f>IF($G197="","",IF(AND($G197&gt;=30,$AT$3&lt;=BG$7),ROUND(BG197*($AP$3+#REF!),-1),""))</f>
        <v/>
      </c>
      <c r="BI197" s="503" t="s">
        <v>621</v>
      </c>
      <c r="BJ197" s="503" t="str">
        <f>IF($G197="","",IF(AND($G197&gt;=30,$AT$3&lt;=BI$7),ROUND(BI197*($AP$3+#REF!),-1),""))</f>
        <v/>
      </c>
      <c r="BK197" s="517" t="e">
        <v>#REF!</v>
      </c>
      <c r="BL197" s="503" t="str">
        <f>IF($G197="","",IF(AND($G197&gt;=30,$AT$3&lt;=BK$7),ROUND(BK197*($AP$3+#REF!),-1),""))</f>
        <v/>
      </c>
      <c r="BM197" s="503"/>
      <c r="BN197" s="503" t="str">
        <f>IF($G197="","",IF(AND($G197&gt;=30,$AT$3&lt;=BM$7),ROUND(BM197*($AP$3+#REF!),-1),""))</f>
        <v/>
      </c>
      <c r="BO197" s="502"/>
      <c r="BP197" s="503" t="str">
        <f>IF($G197="","",IF(AND($G197&gt;=30,$AT$3&lt;=BO$7),ROUND(BO197*($AP$3+#REF!),-1),""))</f>
        <v/>
      </c>
      <c r="BQ197" s="503"/>
      <c r="BR197" s="503" t="str">
        <f>IF($G197="","",IF(AND($G197&gt;=30,$AT$3&lt;=BQ$7),ROUND(BQ197*($AP$3+#REF!),-1),""))</f>
        <v/>
      </c>
      <c r="BS197" s="502"/>
      <c r="BT197" s="503" t="str">
        <f>IF($G197="","",IF(AND($G197&gt;=30,$AT$3&lt;=BS$7),ROUND(BS197*($AP$3+#REF!),-1),""))</f>
        <v/>
      </c>
      <c r="BU197" s="503"/>
      <c r="BV197" s="503" t="str">
        <f>IF($G197="","",IF(AND($G197&gt;=30,$AT$3&lt;=BU$7),ROUND(BU197*($AP$3+#REF!),-1),""))</f>
        <v/>
      </c>
      <c r="BW197" s="502"/>
      <c r="BX197" s="503" t="str">
        <f>IF($G197="","",IF(AND($G197&gt;=30,$AT$3&lt;=BW$7),ROUND(BW197*($AP$3+#REF!),-1),""))</f>
        <v/>
      </c>
      <c r="BY197" s="503"/>
      <c r="BZ197" s="503" t="str">
        <f>IF($G197="","",IF(AND($G197&gt;=30,$AT$3&lt;=BY$7),ROUND(BY197*($AP$3+#REF!),-1),""))</f>
        <v/>
      </c>
      <c r="CA197" s="502"/>
      <c r="CB197" s="503" t="str">
        <f>IF($G197="","",IF(AND($G197&gt;=30,$AT$3&lt;=CA$7),ROUND(CA197*($AP$3+#REF!),-1),""))</f>
        <v/>
      </c>
      <c r="CC197" s="503"/>
      <c r="CD197" s="503" t="str">
        <f>IF($G197="","",IF(AND($G197&gt;=30,$AT$3&lt;=CC$7),ROUND(CC197*($AP$3+#REF!),-1),""))</f>
        <v/>
      </c>
      <c r="CE197" s="502"/>
      <c r="CF197" s="503" t="str">
        <f>IF($G197="","",IF(AND($G197&gt;=30,$AT$3&lt;=CE$7),ROUND(CE197*($AP$3+#REF!),-1),""))</f>
        <v/>
      </c>
      <c r="CG197" s="503"/>
      <c r="CH197" s="503" t="str">
        <f>IF($G197="","",IF(AND($G197&gt;=30,$AT$3&lt;=CG$7),ROUND(CG197*($AP$3+#REF!),-1),""))</f>
        <v/>
      </c>
      <c r="CI197" s="502"/>
      <c r="CJ197" s="503" t="str">
        <f>IF($G197="","",IF(AND($G197&gt;=30,$AT$3&lt;=CI$7),ROUND(CI197*($AP$3+#REF!),-1),""))</f>
        <v/>
      </c>
      <c r="CK197" s="503"/>
      <c r="CL197" s="503" t="str">
        <f>IF($G197="","",IF(AND($G197&gt;=30,$AT$3&lt;=CK$7),ROUND(CK197*($AP$3+#REF!),-1),""))</f>
        <v/>
      </c>
      <c r="CM197" s="502"/>
      <c r="CN197" s="503" t="str">
        <f>IF($G197="","",IF(AND($G197&gt;=30,$AT$3&lt;=CM$7),ROUND(CM197*($AP$3+#REF!),-1),""))</f>
        <v/>
      </c>
      <c r="CO197" s="503"/>
      <c r="CP197" s="503" t="str">
        <f>IF($G197="","",IF(AND($G197&gt;=30,$AT$3&lt;=CO$7),ROUND(CO197*($AP$3+#REF!),-1),""))</f>
        <v/>
      </c>
      <c r="CQ197" s="502"/>
      <c r="CR197" s="503" t="str">
        <f>IF($G197="","",IF(AND($G197&gt;=30,$AT$3&lt;=CQ$7),ROUND(CQ197*($AP$3+#REF!),-1),""))</f>
        <v/>
      </c>
      <c r="CS197" s="503"/>
      <c r="CT197" s="503" t="str">
        <f>IF($G197="","",IF(AND($G197&gt;=30,$AT$3&lt;=CS$7),ROUND(CS197*($AP$3+#REF!),-1),""))</f>
        <v/>
      </c>
      <c r="CU197" s="502"/>
      <c r="CV197" s="503" t="str">
        <f>IF($G197="","",IF(AND($G197&gt;=30,$AT$3&lt;=CU$7),ROUND(CU197*($AP$3+#REF!),-1),""))</f>
        <v/>
      </c>
      <c r="CW197" s="503"/>
      <c r="CX197" s="503" t="str">
        <f>IF($G197="","",IF(AND($G197&gt;=30,$AT$3&lt;=CW$7),ROUND(CW197*($AP$3+#REF!),-1),""))</f>
        <v/>
      </c>
      <c r="CY197" s="502"/>
      <c r="CZ197" s="503" t="str">
        <f>IF($G197="","",IF(AND($G197&gt;=30,$AT$3&lt;=CY$7),ROUND(CY197*($AP$3+#REF!),-1),""))</f>
        <v/>
      </c>
      <c r="DA197" s="503"/>
      <c r="DB197" s="503" t="str">
        <f>IF($G197="","",IF(AND($G197&gt;=30,$AT$3&lt;=DA$7),ROUND(DA197*($AP$3+#REF!),-1),""))</f>
        <v/>
      </c>
      <c r="DC197" s="502"/>
      <c r="DD197" s="503" t="str">
        <f>IF($G197="","",IF(AND($G197&gt;=30,$AT$3&lt;=DC$7),ROUND(DC197*($AP$3+#REF!),-1),""))</f>
        <v/>
      </c>
      <c r="DE197" s="503"/>
      <c r="DF197" s="503" t="str">
        <f>IF($G197="","",IF(AND($G197&gt;=30,$AT$3&lt;=DE$7),ROUND(DE197*($AP$3+#REF!),-1),""))</f>
        <v/>
      </c>
      <c r="DG197" s="503"/>
      <c r="DH197" s="503" t="str">
        <f>IF($G197="","",IF(AND($G197&gt;=30,$AT$3&lt;=DG$7),ROUND(DG197*($AP$3+#REF!),-1),""))</f>
        <v/>
      </c>
      <c r="DI197" s="503"/>
      <c r="DJ197" s="503" t="str">
        <f>IF($G197="","",IF(AND($G197&gt;=30,$AT$3&lt;=DI$7),ROUND(DI197*($AP$3+#REF!),-1),""))</f>
        <v/>
      </c>
      <c r="DK197" s="503"/>
      <c r="DL197" s="503" t="str">
        <f>IF($G197="","",IF(AND($G197&gt;=30,$AT$3&lt;=DK$7),ROUND(DK197*($AP$3+#REF!),-1),""))</f>
        <v/>
      </c>
      <c r="DM197" s="503"/>
      <c r="DN197" s="503" t="str">
        <f>IF($G197="","",IF(AND($G197&gt;=30,$AT$3&lt;=DM$7),ROUND(DM197*($AP$3+#REF!),-1),""))</f>
        <v/>
      </c>
      <c r="DO197" s="503"/>
      <c r="DP197" s="503" t="str">
        <f>IF($G197="","",IF(AND($G197&gt;=30,$AT$3&lt;=DO$7),ROUND(DO197*($AP$3+#REF!),-1),""))</f>
        <v/>
      </c>
      <c r="DQ197" s="503"/>
      <c r="DR197" s="503" t="str">
        <f>IF($G197="","",IF(AND($G197&gt;=30,$AT$3&lt;=DQ$7),ROUND(DQ197*($AP$3+#REF!),-1),""))</f>
        <v/>
      </c>
      <c r="DS197" s="503"/>
      <c r="DT197" s="503" t="str">
        <f>IF($G197="","",IF(AND($G197&gt;=30,$AT$3&lt;=DS$7),ROUND(DS197*($AP$3+#REF!),-1),""))</f>
        <v/>
      </c>
      <c r="DU197" s="503"/>
      <c r="DV197" s="503" t="str">
        <f>IF($G197="","",IF(AND($G197&gt;=30,$AT$3&lt;=DU$7),ROUND(DU197*($AP$3+#REF!),-1),""))</f>
        <v/>
      </c>
      <c r="DW197" s="503"/>
      <c r="DX197" s="503" t="str">
        <f>IF($G197="","",IF(AND($G197&gt;=30,$AT$3&lt;=DW$7),ROUND(DW197*($AP$3+#REF!),-1),""))</f>
        <v/>
      </c>
      <c r="DY197" s="503"/>
      <c r="DZ197" s="503" t="str">
        <f>IF($G197="","",IF(AND($G197&gt;=30,$AT$3&lt;=DY$7),ROUND(DY197*($AP$3+#REF!),-1),""))</f>
        <v/>
      </c>
      <c r="EA197" s="503"/>
      <c r="EB197" s="503" t="str">
        <f>IF($G197="","",IF(AND($G197&gt;=30,$AT$3&lt;=EA$7),ROUND(EA197*($AP$3+#REF!),-1),""))</f>
        <v/>
      </c>
      <c r="EC197" s="504" t="s">
        <v>621</v>
      </c>
      <c r="ED197" s="1124"/>
      <c r="EE197" s="325">
        <v>9</v>
      </c>
    </row>
    <row r="198" spans="1:135" ht="9.75" customHeight="1">
      <c r="A198" s="321" t="str">
        <f t="shared" si="54"/>
        <v/>
      </c>
      <c r="B198" s="567">
        <f>(ii!$D$13*12+V198)+1</f>
        <v>92</v>
      </c>
      <c r="C198" s="337">
        <f t="shared" si="44"/>
        <v>48152</v>
      </c>
      <c r="D198" s="484">
        <f t="shared" si="47"/>
        <v>2031</v>
      </c>
      <c r="E198" s="484">
        <f t="shared" si="45"/>
        <v>0.83333333333333337</v>
      </c>
      <c r="F198" s="484">
        <f t="shared" si="48"/>
        <v>2031.8333333333333</v>
      </c>
      <c r="G198" s="485" t="str">
        <f>IF(OR(C198&lt;$I$2,C198&gt;$J$3),"",(ii!$D$13*12+V198+1)/12)</f>
        <v/>
      </c>
      <c r="H198" s="486"/>
      <c r="I198" s="486"/>
      <c r="J198" s="487"/>
      <c r="K198" s="488"/>
      <c r="L198" s="548"/>
      <c r="M198" s="489" t="str">
        <f t="shared" si="49"/>
        <v/>
      </c>
      <c r="N198" s="490" t="s">
        <v>621</v>
      </c>
      <c r="O198" s="490" t="str">
        <f t="shared" si="42"/>
        <v/>
      </c>
      <c r="P198" s="491"/>
      <c r="Q198" s="491"/>
      <c r="R198" s="491" t="str">
        <f t="shared" si="43"/>
        <v/>
      </c>
      <c r="S198" s="528" t="str">
        <f t="shared" si="55"/>
        <v/>
      </c>
      <c r="T198" s="528" t="str">
        <f t="shared" si="53"/>
        <v/>
      </c>
      <c r="U198" s="493" t="str">
        <f>IF(H198="","",#REF!*12+#REF!+#REF!*12+#REF!)</f>
        <v/>
      </c>
      <c r="V198" s="338">
        <f>IF(ii!$J$3&gt;gg!C198,"",IF(AND((YEAR(C198)=YEAR($I$2)),MONTH(C198)=MONTH($I$2)),ii!$B$14*12+ii!$C$14+ii!$B$15*12+ii!$C$15-1,V197+1))</f>
        <v>91</v>
      </c>
      <c r="W198" s="339">
        <f t="shared" si="46"/>
        <v>7.583333333333333</v>
      </c>
      <c r="X198" s="494" t="s">
        <v>621</v>
      </c>
      <c r="Y198" s="495" t="s">
        <v>621</v>
      </c>
      <c r="Z198" s="496"/>
      <c r="AA198" s="497"/>
      <c r="AB198" s="498" t="e">
        <f t="shared" si="52"/>
        <v>#VALUE!</v>
      </c>
      <c r="AC198" s="484" t="str">
        <f t="shared" si="50"/>
        <v/>
      </c>
      <c r="AD198" s="495" t="str">
        <f t="shared" si="51"/>
        <v/>
      </c>
      <c r="AE198" s="499" t="s">
        <v>621</v>
      </c>
      <c r="AF198" s="500" t="s">
        <v>621</v>
      </c>
      <c r="AG198" s="556" t="s">
        <v>621</v>
      </c>
      <c r="AH198" s="503" t="str">
        <f>IF($G198="","",IF(AND($G198&gt;=30,$AT$3&lt;=AG$7),ROUND(AG198*($AP$3+#REF!),-1),""))</f>
        <v/>
      </c>
      <c r="AI198" s="506" t="s">
        <v>621</v>
      </c>
      <c r="AJ198" s="503" t="str">
        <f>IF($G198="","",IF(AND($G198&gt;=30,$AT$3&lt;=AI$7),ROUND(AI198*($AP$3+#REF!),-1),""))</f>
        <v/>
      </c>
      <c r="AK198" s="506" t="s">
        <v>621</v>
      </c>
      <c r="AL198" s="503" t="str">
        <f>IF($G198="","",IF(AND($G198&gt;=30,$AT$3&lt;=AK$7),ROUND(AK198*($AP$3+#REF!),-1),""))</f>
        <v/>
      </c>
      <c r="AM198" s="506" t="s">
        <v>621</v>
      </c>
      <c r="AN198" s="503" t="str">
        <f>IF($G198="","",IF(AND($G198&gt;=30,$AT$3&lt;=AM$7),ROUND(AM198*($AP$3+#REF!),-1),""))</f>
        <v/>
      </c>
      <c r="AO198" s="503" t="e">
        <v>#REF!</v>
      </c>
      <c r="AP198" s="503" t="str">
        <f>IF($G198="","",IF(AND($G198&gt;=30,$AT$3&lt;=AO$7),ROUND(AO198*($AP$3+#REF!),-1),""))</f>
        <v/>
      </c>
      <c r="AQ198" s="503" t="s">
        <v>621</v>
      </c>
      <c r="AR198" s="503" t="str">
        <f>IF($G198="","",IF(AND($G198&gt;=30,$AT$3&lt;=AQ$7),ROUND(AQ198*($AP$3+#REF!),-1),""))</f>
        <v/>
      </c>
      <c r="AS198" s="503" t="s">
        <v>621</v>
      </c>
      <c r="AT198" s="503" t="str">
        <f>IF($G198="","",IF(AND($G198&gt;=30,$AT$3&lt;=AS$7),ROUND(AS198*($AP$3+#REF!),-1),""))</f>
        <v/>
      </c>
      <c r="AU198" s="503" t="s">
        <v>621</v>
      </c>
      <c r="AV198" s="503" t="str">
        <f>IF($G198="","",IF(AND($G198&gt;=30,$AT$3&lt;=AU$7),ROUND(AU198*($AP$3+#REF!),-1),""))</f>
        <v/>
      </c>
      <c r="AW198" s="503" t="s">
        <v>621</v>
      </c>
      <c r="AX198" s="503" t="str">
        <f>IF($G198="","",IF(AND($G198&gt;=30,$AT$3&lt;=AW$7),ROUND(AW198*($AP$3+#REF!),-1),""))</f>
        <v/>
      </c>
      <c r="AY198" s="503" t="s">
        <v>621</v>
      </c>
      <c r="AZ198" s="503" t="str">
        <f>IF($G198="","",IF(AND($G198&gt;=30,$AT$3&lt;=AY$7),ROUND(AY198*($AP$3+#REF!),-1),""))</f>
        <v/>
      </c>
      <c r="BA198" s="503" t="s">
        <v>621</v>
      </c>
      <c r="BB198" s="503" t="str">
        <f>IF($G198="","",IF(AND($G198&gt;=30,$AT$3&lt;=BA$7),ROUND(BA198*($AP$3+#REF!),-1),""))</f>
        <v/>
      </c>
      <c r="BC198" s="503" t="s">
        <v>621</v>
      </c>
      <c r="BD198" s="503" t="str">
        <f>IF($G198="","",IF(AND($G198&gt;=30,$AT$3&lt;=BC$7),ROUND(BC198*($AP$3+#REF!),-1),""))</f>
        <v/>
      </c>
      <c r="BE198" s="503" t="s">
        <v>621</v>
      </c>
      <c r="BF198" s="503" t="str">
        <f>IF($G198="","",IF(AND($G198&gt;=30,$AT$3&lt;=BE$7),ROUND(BE198*($AP$3+#REF!),-1),""))</f>
        <v/>
      </c>
      <c r="BG198" s="503" t="s">
        <v>621</v>
      </c>
      <c r="BH198" s="503" t="str">
        <f>IF($G198="","",IF(AND($G198&gt;=30,$AT$3&lt;=BG$7),ROUND(BG198*($AP$3+#REF!),-1),""))</f>
        <v/>
      </c>
      <c r="BI198" s="503" t="s">
        <v>621</v>
      </c>
      <c r="BJ198" s="503" t="str">
        <f>IF($G198="","",IF(AND($G198&gt;=30,$AT$3&lt;=BI$7),ROUND(BI198*($AP$3+#REF!),-1),""))</f>
        <v/>
      </c>
      <c r="BK198" s="517" t="e">
        <v>#REF!</v>
      </c>
      <c r="BL198" s="503" t="str">
        <f>IF($G198="","",IF(AND($G198&gt;=30,$AT$3&lt;=BK$7),ROUND(BK198*($AP$3+#REF!),-1),""))</f>
        <v/>
      </c>
      <c r="BM198" s="503"/>
      <c r="BN198" s="503" t="str">
        <f>IF($G198="","",IF(AND($G198&gt;=30,$AT$3&lt;=BM$7),ROUND(BM198*($AP$3+#REF!),-1),""))</f>
        <v/>
      </c>
      <c r="BO198" s="502"/>
      <c r="BP198" s="503" t="str">
        <f>IF($G198="","",IF(AND($G198&gt;=30,$AT$3&lt;=BO$7),ROUND(BO198*($AP$3+#REF!),-1),""))</f>
        <v/>
      </c>
      <c r="BQ198" s="503"/>
      <c r="BR198" s="503" t="str">
        <f>IF($G198="","",IF(AND($G198&gt;=30,$AT$3&lt;=BQ$7),ROUND(BQ198*($AP$3+#REF!),-1),""))</f>
        <v/>
      </c>
      <c r="BS198" s="502"/>
      <c r="BT198" s="503" t="str">
        <f>IF($G198="","",IF(AND($G198&gt;=30,$AT$3&lt;=BS$7),ROUND(BS198*($AP$3+#REF!),-1),""))</f>
        <v/>
      </c>
      <c r="BU198" s="503"/>
      <c r="BV198" s="503" t="str">
        <f>IF($G198="","",IF(AND($G198&gt;=30,$AT$3&lt;=BU$7),ROUND(BU198*($AP$3+#REF!),-1),""))</f>
        <v/>
      </c>
      <c r="BW198" s="502"/>
      <c r="BX198" s="503" t="str">
        <f>IF($G198="","",IF(AND($G198&gt;=30,$AT$3&lt;=BW$7),ROUND(BW198*($AP$3+#REF!),-1),""))</f>
        <v/>
      </c>
      <c r="BY198" s="503"/>
      <c r="BZ198" s="503" t="str">
        <f>IF($G198="","",IF(AND($G198&gt;=30,$AT$3&lt;=BY$7),ROUND(BY198*($AP$3+#REF!),-1),""))</f>
        <v/>
      </c>
      <c r="CA198" s="502"/>
      <c r="CB198" s="503" t="str">
        <f>IF($G198="","",IF(AND($G198&gt;=30,$AT$3&lt;=CA$7),ROUND(CA198*($AP$3+#REF!),-1),""))</f>
        <v/>
      </c>
      <c r="CC198" s="503"/>
      <c r="CD198" s="503" t="str">
        <f>IF($G198="","",IF(AND($G198&gt;=30,$AT$3&lt;=CC$7),ROUND(CC198*($AP$3+#REF!),-1),""))</f>
        <v/>
      </c>
      <c r="CE198" s="502"/>
      <c r="CF198" s="503" t="str">
        <f>IF($G198="","",IF(AND($G198&gt;=30,$AT$3&lt;=CE$7),ROUND(CE198*($AP$3+#REF!),-1),""))</f>
        <v/>
      </c>
      <c r="CG198" s="503"/>
      <c r="CH198" s="503" t="str">
        <f>IF($G198="","",IF(AND($G198&gt;=30,$AT$3&lt;=CG$7),ROUND(CG198*($AP$3+#REF!),-1),""))</f>
        <v/>
      </c>
      <c r="CI198" s="502"/>
      <c r="CJ198" s="503" t="str">
        <f>IF($G198="","",IF(AND($G198&gt;=30,$AT$3&lt;=CI$7),ROUND(CI198*($AP$3+#REF!),-1),""))</f>
        <v/>
      </c>
      <c r="CK198" s="503"/>
      <c r="CL198" s="503" t="str">
        <f>IF($G198="","",IF(AND($G198&gt;=30,$AT$3&lt;=CK$7),ROUND(CK198*($AP$3+#REF!),-1),""))</f>
        <v/>
      </c>
      <c r="CM198" s="502"/>
      <c r="CN198" s="503" t="str">
        <f>IF($G198="","",IF(AND($G198&gt;=30,$AT$3&lt;=CM$7),ROUND(CM198*($AP$3+#REF!),-1),""))</f>
        <v/>
      </c>
      <c r="CO198" s="503"/>
      <c r="CP198" s="503" t="str">
        <f>IF($G198="","",IF(AND($G198&gt;=30,$AT$3&lt;=CO$7),ROUND(CO198*($AP$3+#REF!),-1),""))</f>
        <v/>
      </c>
      <c r="CQ198" s="502"/>
      <c r="CR198" s="503" t="str">
        <f>IF($G198="","",IF(AND($G198&gt;=30,$AT$3&lt;=CQ$7),ROUND(CQ198*($AP$3+#REF!),-1),""))</f>
        <v/>
      </c>
      <c r="CS198" s="503"/>
      <c r="CT198" s="503" t="str">
        <f>IF($G198="","",IF(AND($G198&gt;=30,$AT$3&lt;=CS$7),ROUND(CS198*($AP$3+#REF!),-1),""))</f>
        <v/>
      </c>
      <c r="CU198" s="502"/>
      <c r="CV198" s="503" t="str">
        <f>IF($G198="","",IF(AND($G198&gt;=30,$AT$3&lt;=CU$7),ROUND(CU198*($AP$3+#REF!),-1),""))</f>
        <v/>
      </c>
      <c r="CW198" s="503"/>
      <c r="CX198" s="503" t="str">
        <f>IF($G198="","",IF(AND($G198&gt;=30,$AT$3&lt;=CW$7),ROUND(CW198*($AP$3+#REF!),-1),""))</f>
        <v/>
      </c>
      <c r="CY198" s="502"/>
      <c r="CZ198" s="503" t="str">
        <f>IF($G198="","",IF(AND($G198&gt;=30,$AT$3&lt;=CY$7),ROUND(CY198*($AP$3+#REF!),-1),""))</f>
        <v/>
      </c>
      <c r="DA198" s="503"/>
      <c r="DB198" s="503" t="str">
        <f>IF($G198="","",IF(AND($G198&gt;=30,$AT$3&lt;=DA$7),ROUND(DA198*($AP$3+#REF!),-1),""))</f>
        <v/>
      </c>
      <c r="DC198" s="502"/>
      <c r="DD198" s="503" t="str">
        <f>IF($G198="","",IF(AND($G198&gt;=30,$AT$3&lt;=DC$7),ROUND(DC198*($AP$3+#REF!),-1),""))</f>
        <v/>
      </c>
      <c r="DE198" s="503"/>
      <c r="DF198" s="503" t="str">
        <f>IF($G198="","",IF(AND($G198&gt;=30,$AT$3&lt;=DE$7),ROUND(DE198*($AP$3+#REF!),-1),""))</f>
        <v/>
      </c>
      <c r="DG198" s="503"/>
      <c r="DH198" s="503" t="str">
        <f>IF($G198="","",IF(AND($G198&gt;=30,$AT$3&lt;=DG$7),ROUND(DG198*($AP$3+#REF!),-1),""))</f>
        <v/>
      </c>
      <c r="DI198" s="503"/>
      <c r="DJ198" s="503" t="str">
        <f>IF($G198="","",IF(AND($G198&gt;=30,$AT$3&lt;=DI$7),ROUND(DI198*($AP$3+#REF!),-1),""))</f>
        <v/>
      </c>
      <c r="DK198" s="503"/>
      <c r="DL198" s="503" t="str">
        <f>IF($G198="","",IF(AND($G198&gt;=30,$AT$3&lt;=DK$7),ROUND(DK198*($AP$3+#REF!),-1),""))</f>
        <v/>
      </c>
      <c r="DM198" s="503"/>
      <c r="DN198" s="503" t="str">
        <f>IF($G198="","",IF(AND($G198&gt;=30,$AT$3&lt;=DM$7),ROUND(DM198*($AP$3+#REF!),-1),""))</f>
        <v/>
      </c>
      <c r="DO198" s="503"/>
      <c r="DP198" s="503" t="str">
        <f>IF($G198="","",IF(AND($G198&gt;=30,$AT$3&lt;=DO$7),ROUND(DO198*($AP$3+#REF!),-1),""))</f>
        <v/>
      </c>
      <c r="DQ198" s="503"/>
      <c r="DR198" s="503" t="str">
        <f>IF($G198="","",IF(AND($G198&gt;=30,$AT$3&lt;=DQ$7),ROUND(DQ198*($AP$3+#REF!),-1),""))</f>
        <v/>
      </c>
      <c r="DS198" s="503"/>
      <c r="DT198" s="503" t="str">
        <f>IF($G198="","",IF(AND($G198&gt;=30,$AT$3&lt;=DS$7),ROUND(DS198*($AP$3+#REF!),-1),""))</f>
        <v/>
      </c>
      <c r="DU198" s="503"/>
      <c r="DV198" s="503" t="str">
        <f>IF($G198="","",IF(AND($G198&gt;=30,$AT$3&lt;=DU$7),ROUND(DU198*($AP$3+#REF!),-1),""))</f>
        <v/>
      </c>
      <c r="DW198" s="503"/>
      <c r="DX198" s="503" t="str">
        <f>IF($G198="","",IF(AND($G198&gt;=30,$AT$3&lt;=DW$7),ROUND(DW198*($AP$3+#REF!),-1),""))</f>
        <v/>
      </c>
      <c r="DY198" s="503"/>
      <c r="DZ198" s="503" t="str">
        <f>IF($G198="","",IF(AND($G198&gt;=30,$AT$3&lt;=DY$7),ROUND(DY198*($AP$3+#REF!),-1),""))</f>
        <v/>
      </c>
      <c r="EA198" s="503"/>
      <c r="EB198" s="503" t="str">
        <f>IF($G198="","",IF(AND($G198&gt;=30,$AT$3&lt;=EA$7),ROUND(EA198*($AP$3+#REF!),-1),""))</f>
        <v/>
      </c>
      <c r="EC198" s="504" t="s">
        <v>621</v>
      </c>
      <c r="ED198" s="1124"/>
      <c r="EE198" s="325">
        <v>10</v>
      </c>
    </row>
    <row r="199" spans="1:135" ht="9.75" customHeight="1">
      <c r="A199" s="321" t="str">
        <f t="shared" si="54"/>
        <v/>
      </c>
      <c r="B199" s="567">
        <f>(ii!$D$13*12+V199)+1</f>
        <v>93</v>
      </c>
      <c r="C199" s="337">
        <f t="shared" si="44"/>
        <v>48182</v>
      </c>
      <c r="D199" s="484">
        <f t="shared" si="47"/>
        <v>2031</v>
      </c>
      <c r="E199" s="484">
        <f t="shared" si="45"/>
        <v>0.91666666666666663</v>
      </c>
      <c r="F199" s="484">
        <f t="shared" si="48"/>
        <v>2031.9166666666667</v>
      </c>
      <c r="G199" s="485" t="str">
        <f>IF(OR(C199&lt;$I$2,C199&gt;$J$3),"",(ii!$D$13*12+V199+1)/12)</f>
        <v/>
      </c>
      <c r="H199" s="486"/>
      <c r="I199" s="486"/>
      <c r="J199" s="487"/>
      <c r="K199" s="488"/>
      <c r="L199" s="548"/>
      <c r="M199" s="489" t="str">
        <f t="shared" si="49"/>
        <v/>
      </c>
      <c r="N199" s="490" t="s">
        <v>621</v>
      </c>
      <c r="O199" s="490" t="str">
        <f t="shared" si="42"/>
        <v/>
      </c>
      <c r="P199" s="491"/>
      <c r="Q199" s="491"/>
      <c r="R199" s="491" t="str">
        <f t="shared" si="43"/>
        <v/>
      </c>
      <c r="S199" s="528" t="str">
        <f t="shared" si="55"/>
        <v/>
      </c>
      <c r="T199" s="528" t="str">
        <f t="shared" si="53"/>
        <v/>
      </c>
      <c r="U199" s="493" t="str">
        <f>IF(H199="","",#REF!*12+#REF!+#REF!*12+#REF!)</f>
        <v/>
      </c>
      <c r="V199" s="338">
        <f>IF(ii!$J$3&gt;gg!C199,"",IF(AND((YEAR(C199)=YEAR($I$2)),MONTH(C199)=MONTH($I$2)),ii!$B$14*12+ii!$C$14+ii!$B$15*12+ii!$C$15-1,V198+1))</f>
        <v>92</v>
      </c>
      <c r="W199" s="339">
        <f t="shared" si="46"/>
        <v>7.666666666666667</v>
      </c>
      <c r="X199" s="494" t="s">
        <v>621</v>
      </c>
      <c r="Y199" s="495" t="s">
        <v>621</v>
      </c>
      <c r="Z199" s="496"/>
      <c r="AA199" s="497"/>
      <c r="AB199" s="498" t="e">
        <f t="shared" si="52"/>
        <v>#VALUE!</v>
      </c>
      <c r="AC199" s="484" t="str">
        <f t="shared" si="50"/>
        <v/>
      </c>
      <c r="AD199" s="495" t="str">
        <f t="shared" si="51"/>
        <v/>
      </c>
      <c r="AE199" s="499" t="s">
        <v>621</v>
      </c>
      <c r="AF199" s="500" t="s">
        <v>621</v>
      </c>
      <c r="AG199" s="556" t="s">
        <v>621</v>
      </c>
      <c r="AH199" s="503" t="str">
        <f>IF($G199="","",IF(AND($G199&gt;=30,$AT$3&lt;=AG$7),ROUND(AG199*($AP$3+#REF!),-1),""))</f>
        <v/>
      </c>
      <c r="AI199" s="506" t="s">
        <v>621</v>
      </c>
      <c r="AJ199" s="503" t="str">
        <f>IF($G199="","",IF(AND($G199&gt;=30,$AT$3&lt;=AI$7),ROUND(AI199*($AP$3+#REF!),-1),""))</f>
        <v/>
      </c>
      <c r="AK199" s="506" t="s">
        <v>621</v>
      </c>
      <c r="AL199" s="503" t="str">
        <f>IF($G199="","",IF(AND($G199&gt;=30,$AT$3&lt;=AK$7),ROUND(AK199*($AP$3+#REF!),-1),""))</f>
        <v/>
      </c>
      <c r="AM199" s="506" t="s">
        <v>621</v>
      </c>
      <c r="AN199" s="503" t="str">
        <f>IF($G199="","",IF(AND($G199&gt;=30,$AT$3&lt;=AM$7),ROUND(AM199*($AP$3+#REF!),-1),""))</f>
        <v/>
      </c>
      <c r="AO199" s="503" t="e">
        <v>#REF!</v>
      </c>
      <c r="AP199" s="503" t="str">
        <f>IF($G199="","",IF(AND($G199&gt;=30,$AT$3&lt;=AO$7),ROUND(AO199*($AP$3+#REF!),-1),""))</f>
        <v/>
      </c>
      <c r="AQ199" s="503" t="s">
        <v>621</v>
      </c>
      <c r="AR199" s="503" t="str">
        <f>IF($G199="","",IF(AND($G199&gt;=30,$AT$3&lt;=AQ$7),ROUND(AQ199*($AP$3+#REF!),-1),""))</f>
        <v/>
      </c>
      <c r="AS199" s="503" t="s">
        <v>621</v>
      </c>
      <c r="AT199" s="503" t="str">
        <f>IF($G199="","",IF(AND($G199&gt;=30,$AT$3&lt;=AS$7),ROUND(AS199*($AP$3+#REF!),-1),""))</f>
        <v/>
      </c>
      <c r="AU199" s="503" t="s">
        <v>621</v>
      </c>
      <c r="AV199" s="503" t="str">
        <f>IF($G199="","",IF(AND($G199&gt;=30,$AT$3&lt;=AU$7),ROUND(AU199*($AP$3+#REF!),-1),""))</f>
        <v/>
      </c>
      <c r="AW199" s="503" t="s">
        <v>621</v>
      </c>
      <c r="AX199" s="503" t="str">
        <f>IF($G199="","",IF(AND($G199&gt;=30,$AT$3&lt;=AW$7),ROUND(AW199*($AP$3+#REF!),-1),""))</f>
        <v/>
      </c>
      <c r="AY199" s="503" t="s">
        <v>621</v>
      </c>
      <c r="AZ199" s="503" t="str">
        <f>IF($G199="","",IF(AND($G199&gt;=30,$AT$3&lt;=AY$7),ROUND(AY199*($AP$3+#REF!),-1),""))</f>
        <v/>
      </c>
      <c r="BA199" s="503" t="s">
        <v>621</v>
      </c>
      <c r="BB199" s="503" t="str">
        <f>IF($G199="","",IF(AND($G199&gt;=30,$AT$3&lt;=BA$7),ROUND(BA199*($AP$3+#REF!),-1),""))</f>
        <v/>
      </c>
      <c r="BC199" s="503" t="s">
        <v>621</v>
      </c>
      <c r="BD199" s="503" t="str">
        <f>IF($G199="","",IF(AND($G199&gt;=30,$AT$3&lt;=BC$7),ROUND(BC199*($AP$3+#REF!),-1),""))</f>
        <v/>
      </c>
      <c r="BE199" s="503" t="s">
        <v>621</v>
      </c>
      <c r="BF199" s="503" t="str">
        <f>IF($G199="","",IF(AND($G199&gt;=30,$AT$3&lt;=BE$7),ROUND(BE199*($AP$3+#REF!),-1),""))</f>
        <v/>
      </c>
      <c r="BG199" s="503" t="s">
        <v>621</v>
      </c>
      <c r="BH199" s="503" t="str">
        <f>IF($G199="","",IF(AND($G199&gt;=30,$AT$3&lt;=BG$7),ROUND(BG199*($AP$3+#REF!),-1),""))</f>
        <v/>
      </c>
      <c r="BI199" s="503" t="s">
        <v>621</v>
      </c>
      <c r="BJ199" s="503" t="str">
        <f>IF($G199="","",IF(AND($G199&gt;=30,$AT$3&lt;=BI$7),ROUND(BI199*($AP$3+#REF!),-1),""))</f>
        <v/>
      </c>
      <c r="BK199" s="517" t="e">
        <v>#REF!</v>
      </c>
      <c r="BL199" s="503" t="str">
        <f>IF($G199="","",IF(AND($G199&gt;=30,$AT$3&lt;=BK$7),ROUND(BK199*($AP$3+#REF!),-1),""))</f>
        <v/>
      </c>
      <c r="BM199" s="503"/>
      <c r="BN199" s="503" t="str">
        <f>IF($G199="","",IF(AND($G199&gt;=30,$AT$3&lt;=BM$7),ROUND(BM199*($AP$3+#REF!),-1),""))</f>
        <v/>
      </c>
      <c r="BO199" s="502"/>
      <c r="BP199" s="503" t="str">
        <f>IF($G199="","",IF(AND($G199&gt;=30,$AT$3&lt;=BO$7),ROUND(BO199*($AP$3+#REF!),-1),""))</f>
        <v/>
      </c>
      <c r="BQ199" s="503"/>
      <c r="BR199" s="503" t="str">
        <f>IF($G199="","",IF(AND($G199&gt;=30,$AT$3&lt;=BQ$7),ROUND(BQ199*($AP$3+#REF!),-1),""))</f>
        <v/>
      </c>
      <c r="BS199" s="502"/>
      <c r="BT199" s="503" t="str">
        <f>IF($G199="","",IF(AND($G199&gt;=30,$AT$3&lt;=BS$7),ROUND(BS199*($AP$3+#REF!),-1),""))</f>
        <v/>
      </c>
      <c r="BU199" s="503"/>
      <c r="BV199" s="503" t="str">
        <f>IF($G199="","",IF(AND($G199&gt;=30,$AT$3&lt;=BU$7),ROUND(BU199*($AP$3+#REF!),-1),""))</f>
        <v/>
      </c>
      <c r="BW199" s="502"/>
      <c r="BX199" s="503" t="str">
        <f>IF($G199="","",IF(AND($G199&gt;=30,$AT$3&lt;=BW$7),ROUND(BW199*($AP$3+#REF!),-1),""))</f>
        <v/>
      </c>
      <c r="BY199" s="503"/>
      <c r="BZ199" s="503" t="str">
        <f>IF($G199="","",IF(AND($G199&gt;=30,$AT$3&lt;=BY$7),ROUND(BY199*($AP$3+#REF!),-1),""))</f>
        <v/>
      </c>
      <c r="CA199" s="502"/>
      <c r="CB199" s="503" t="str">
        <f>IF($G199="","",IF(AND($G199&gt;=30,$AT$3&lt;=CA$7),ROUND(CA199*($AP$3+#REF!),-1),""))</f>
        <v/>
      </c>
      <c r="CC199" s="503"/>
      <c r="CD199" s="503" t="str">
        <f>IF($G199="","",IF(AND($G199&gt;=30,$AT$3&lt;=CC$7),ROUND(CC199*($AP$3+#REF!),-1),""))</f>
        <v/>
      </c>
      <c r="CE199" s="502"/>
      <c r="CF199" s="503" t="str">
        <f>IF($G199="","",IF(AND($G199&gt;=30,$AT$3&lt;=CE$7),ROUND(CE199*($AP$3+#REF!),-1),""))</f>
        <v/>
      </c>
      <c r="CG199" s="503"/>
      <c r="CH199" s="503" t="str">
        <f>IF($G199="","",IF(AND($G199&gt;=30,$AT$3&lt;=CG$7),ROUND(CG199*($AP$3+#REF!),-1),""))</f>
        <v/>
      </c>
      <c r="CI199" s="502"/>
      <c r="CJ199" s="503" t="str">
        <f>IF($G199="","",IF(AND($G199&gt;=30,$AT$3&lt;=CI$7),ROUND(CI199*($AP$3+#REF!),-1),""))</f>
        <v/>
      </c>
      <c r="CK199" s="503"/>
      <c r="CL199" s="503" t="str">
        <f>IF($G199="","",IF(AND($G199&gt;=30,$AT$3&lt;=CK$7),ROUND(CK199*($AP$3+#REF!),-1),""))</f>
        <v/>
      </c>
      <c r="CM199" s="502"/>
      <c r="CN199" s="503" t="str">
        <f>IF($G199="","",IF(AND($G199&gt;=30,$AT$3&lt;=CM$7),ROUND(CM199*($AP$3+#REF!),-1),""))</f>
        <v/>
      </c>
      <c r="CO199" s="503"/>
      <c r="CP199" s="503" t="str">
        <f>IF($G199="","",IF(AND($G199&gt;=30,$AT$3&lt;=CO$7),ROUND(CO199*($AP$3+#REF!),-1),""))</f>
        <v/>
      </c>
      <c r="CQ199" s="502"/>
      <c r="CR199" s="503" t="str">
        <f>IF($G199="","",IF(AND($G199&gt;=30,$AT$3&lt;=CQ$7),ROUND(CQ199*($AP$3+#REF!),-1),""))</f>
        <v/>
      </c>
      <c r="CS199" s="503"/>
      <c r="CT199" s="503" t="str">
        <f>IF($G199="","",IF(AND($G199&gt;=30,$AT$3&lt;=CS$7),ROUND(CS199*($AP$3+#REF!),-1),""))</f>
        <v/>
      </c>
      <c r="CU199" s="502"/>
      <c r="CV199" s="503" t="str">
        <f>IF($G199="","",IF(AND($G199&gt;=30,$AT$3&lt;=CU$7),ROUND(CU199*($AP$3+#REF!),-1),""))</f>
        <v/>
      </c>
      <c r="CW199" s="503"/>
      <c r="CX199" s="503" t="str">
        <f>IF($G199="","",IF(AND($G199&gt;=30,$AT$3&lt;=CW$7),ROUND(CW199*($AP$3+#REF!),-1),""))</f>
        <v/>
      </c>
      <c r="CY199" s="502"/>
      <c r="CZ199" s="503" t="str">
        <f>IF($G199="","",IF(AND($G199&gt;=30,$AT$3&lt;=CY$7),ROUND(CY199*($AP$3+#REF!),-1),""))</f>
        <v/>
      </c>
      <c r="DA199" s="503"/>
      <c r="DB199" s="503" t="str">
        <f>IF($G199="","",IF(AND($G199&gt;=30,$AT$3&lt;=DA$7),ROUND(DA199*($AP$3+#REF!),-1),""))</f>
        <v/>
      </c>
      <c r="DC199" s="502"/>
      <c r="DD199" s="503" t="str">
        <f>IF($G199="","",IF(AND($G199&gt;=30,$AT$3&lt;=DC$7),ROUND(DC199*($AP$3+#REF!),-1),""))</f>
        <v/>
      </c>
      <c r="DE199" s="503"/>
      <c r="DF199" s="503" t="str">
        <f>IF($G199="","",IF(AND($G199&gt;=30,$AT$3&lt;=DE$7),ROUND(DE199*($AP$3+#REF!),-1),""))</f>
        <v/>
      </c>
      <c r="DG199" s="503"/>
      <c r="DH199" s="503" t="str">
        <f>IF($G199="","",IF(AND($G199&gt;=30,$AT$3&lt;=DG$7),ROUND(DG199*($AP$3+#REF!),-1),""))</f>
        <v/>
      </c>
      <c r="DI199" s="503"/>
      <c r="DJ199" s="503" t="str">
        <f>IF($G199="","",IF(AND($G199&gt;=30,$AT$3&lt;=DI$7),ROUND(DI199*($AP$3+#REF!),-1),""))</f>
        <v/>
      </c>
      <c r="DK199" s="503"/>
      <c r="DL199" s="503" t="str">
        <f>IF($G199="","",IF(AND($G199&gt;=30,$AT$3&lt;=DK$7),ROUND(DK199*($AP$3+#REF!),-1),""))</f>
        <v/>
      </c>
      <c r="DM199" s="503"/>
      <c r="DN199" s="503" t="str">
        <f>IF($G199="","",IF(AND($G199&gt;=30,$AT$3&lt;=DM$7),ROUND(DM199*($AP$3+#REF!),-1),""))</f>
        <v/>
      </c>
      <c r="DO199" s="503"/>
      <c r="DP199" s="503" t="str">
        <f>IF($G199="","",IF(AND($G199&gt;=30,$AT$3&lt;=DO$7),ROUND(DO199*($AP$3+#REF!),-1),""))</f>
        <v/>
      </c>
      <c r="DQ199" s="503"/>
      <c r="DR199" s="503" t="str">
        <f>IF($G199="","",IF(AND($G199&gt;=30,$AT$3&lt;=DQ$7),ROUND(DQ199*($AP$3+#REF!),-1),""))</f>
        <v/>
      </c>
      <c r="DS199" s="503"/>
      <c r="DT199" s="503" t="str">
        <f>IF($G199="","",IF(AND($G199&gt;=30,$AT$3&lt;=DS$7),ROUND(DS199*($AP$3+#REF!),-1),""))</f>
        <v/>
      </c>
      <c r="DU199" s="503"/>
      <c r="DV199" s="503" t="str">
        <f>IF($G199="","",IF(AND($G199&gt;=30,$AT$3&lt;=DU$7),ROUND(DU199*($AP$3+#REF!),-1),""))</f>
        <v/>
      </c>
      <c r="DW199" s="503"/>
      <c r="DX199" s="503" t="str">
        <f>IF($G199="","",IF(AND($G199&gt;=30,$AT$3&lt;=DW$7),ROUND(DW199*($AP$3+#REF!),-1),""))</f>
        <v/>
      </c>
      <c r="DY199" s="503"/>
      <c r="DZ199" s="503" t="str">
        <f>IF($G199="","",IF(AND($G199&gt;=30,$AT$3&lt;=DY$7),ROUND(DY199*($AP$3+#REF!),-1),""))</f>
        <v/>
      </c>
      <c r="EA199" s="503"/>
      <c r="EB199" s="503" t="str">
        <f>IF($G199="","",IF(AND($G199&gt;=30,$AT$3&lt;=EA$7),ROUND(EA199*($AP$3+#REF!),-1),""))</f>
        <v/>
      </c>
      <c r="EC199" s="504" t="s">
        <v>621</v>
      </c>
      <c r="ED199" s="1124"/>
      <c r="EE199" s="325">
        <v>11</v>
      </c>
    </row>
    <row r="200" spans="1:135" ht="9.75" customHeight="1">
      <c r="A200" s="321" t="str">
        <f t="shared" si="54"/>
        <v/>
      </c>
      <c r="B200" s="567">
        <f>(ii!$D$13*12+V200)+1</f>
        <v>94</v>
      </c>
      <c r="C200" s="337">
        <f t="shared" si="44"/>
        <v>48213</v>
      </c>
      <c r="D200" s="484">
        <f t="shared" si="47"/>
        <v>2031</v>
      </c>
      <c r="E200" s="484">
        <f t="shared" si="45"/>
        <v>1</v>
      </c>
      <c r="F200" s="484">
        <f t="shared" si="48"/>
        <v>2032</v>
      </c>
      <c r="G200" s="485" t="str">
        <f>IF(OR(C200&lt;$I$2,C200&gt;$J$3),"",(ii!$D$13*12+V200+1)/12)</f>
        <v/>
      </c>
      <c r="H200" s="486"/>
      <c r="I200" s="486"/>
      <c r="J200" s="487"/>
      <c r="K200" s="488"/>
      <c r="L200" s="548"/>
      <c r="M200" s="489" t="str">
        <f t="shared" si="49"/>
        <v/>
      </c>
      <c r="N200" s="490" t="s">
        <v>621</v>
      </c>
      <c r="O200" s="490" t="str">
        <f t="shared" si="42"/>
        <v/>
      </c>
      <c r="P200" s="491"/>
      <c r="Q200" s="491"/>
      <c r="R200" s="491" t="str">
        <f t="shared" si="43"/>
        <v/>
      </c>
      <c r="S200" s="528" t="str">
        <f t="shared" si="55"/>
        <v/>
      </c>
      <c r="T200" s="528" t="str">
        <f t="shared" si="53"/>
        <v/>
      </c>
      <c r="U200" s="493" t="str">
        <f>IF(H200="","",#REF!*12+#REF!+#REF!*12+#REF!)</f>
        <v/>
      </c>
      <c r="V200" s="338">
        <f>IF(ii!$J$3&gt;gg!C200,"",IF(AND((YEAR(C200)=YEAR($I$2)),MONTH(C200)=MONTH($I$2)),ii!$B$14*12+ii!$C$14+ii!$B$15*12+ii!$C$15-1,V199+1))</f>
        <v>93</v>
      </c>
      <c r="W200" s="339">
        <f t="shared" si="46"/>
        <v>7.75</v>
      </c>
      <c r="X200" s="494" t="s">
        <v>621</v>
      </c>
      <c r="Y200" s="495" t="s">
        <v>621</v>
      </c>
      <c r="Z200" s="496"/>
      <c r="AA200" s="497"/>
      <c r="AB200" s="498" t="e">
        <f t="shared" si="52"/>
        <v>#VALUE!</v>
      </c>
      <c r="AC200" s="484" t="str">
        <f t="shared" si="50"/>
        <v/>
      </c>
      <c r="AD200" s="495" t="str">
        <f t="shared" si="51"/>
        <v/>
      </c>
      <c r="AE200" s="499" t="s">
        <v>621</v>
      </c>
      <c r="AF200" s="500" t="s">
        <v>621</v>
      </c>
      <c r="AG200" s="556" t="s">
        <v>621</v>
      </c>
      <c r="AH200" s="503" t="str">
        <f>IF($G200="","",IF(AND($G200&gt;=30,$AT$3&lt;=AG$7),ROUND(AG200*($AP$3+#REF!),-1),""))</f>
        <v/>
      </c>
      <c r="AI200" s="506" t="s">
        <v>621</v>
      </c>
      <c r="AJ200" s="503" t="str">
        <f>IF($G200="","",IF(AND($G200&gt;=30,$AT$3&lt;=AI$7),ROUND(AI200*($AP$3+#REF!),-1),""))</f>
        <v/>
      </c>
      <c r="AK200" s="506" t="s">
        <v>621</v>
      </c>
      <c r="AL200" s="503" t="str">
        <f>IF($G200="","",IF(AND($G200&gt;=30,$AT$3&lt;=AK$7),ROUND(AK200*($AP$3+#REF!),-1),""))</f>
        <v/>
      </c>
      <c r="AM200" s="506" t="s">
        <v>621</v>
      </c>
      <c r="AN200" s="503" t="str">
        <f>IF($G200="","",IF(AND($G200&gt;=30,$AT$3&lt;=AM$7),ROUND(AM200*($AP$3+#REF!),-1),""))</f>
        <v/>
      </c>
      <c r="AO200" s="503" t="e">
        <v>#REF!</v>
      </c>
      <c r="AP200" s="503" t="str">
        <f>IF($G200="","",IF(AND($G200&gt;=30,$AT$3&lt;=AO$7),ROUND(AO200*($AP$3+#REF!),-1),""))</f>
        <v/>
      </c>
      <c r="AQ200" s="503" t="s">
        <v>621</v>
      </c>
      <c r="AR200" s="503" t="str">
        <f>IF($G200="","",IF(AND($G200&gt;=30,$AT$3&lt;=AQ$7),ROUND(AQ200*($AP$3+#REF!),-1),""))</f>
        <v/>
      </c>
      <c r="AS200" s="503" t="s">
        <v>621</v>
      </c>
      <c r="AT200" s="503" t="str">
        <f>IF($G200="","",IF(AND($G200&gt;=30,$AT$3&lt;=AS$7),ROUND(AS200*($AP$3+#REF!),-1),""))</f>
        <v/>
      </c>
      <c r="AU200" s="503" t="s">
        <v>621</v>
      </c>
      <c r="AV200" s="503" t="str">
        <f>IF($G200="","",IF(AND($G200&gt;=30,$AT$3&lt;=AU$7),ROUND(AU200*($AP$3+#REF!),-1),""))</f>
        <v/>
      </c>
      <c r="AW200" s="503" t="s">
        <v>621</v>
      </c>
      <c r="AX200" s="503" t="str">
        <f>IF($G200="","",IF(AND($G200&gt;=30,$AT$3&lt;=AW$7),ROUND(AW200*($AP$3+#REF!),-1),""))</f>
        <v/>
      </c>
      <c r="AY200" s="503" t="s">
        <v>621</v>
      </c>
      <c r="AZ200" s="503" t="str">
        <f>IF($G200="","",IF(AND($G200&gt;=30,$AT$3&lt;=AY$7),ROUND(AY200*($AP$3+#REF!),-1),""))</f>
        <v/>
      </c>
      <c r="BA200" s="503" t="s">
        <v>621</v>
      </c>
      <c r="BB200" s="503" t="str">
        <f>IF($G200="","",IF(AND($G200&gt;=30,$AT$3&lt;=BA$7),ROUND(BA200*($AP$3+#REF!),-1),""))</f>
        <v/>
      </c>
      <c r="BC200" s="503" t="s">
        <v>621</v>
      </c>
      <c r="BD200" s="503" t="str">
        <f>IF($G200="","",IF(AND($G200&gt;=30,$AT$3&lt;=BC$7),ROUND(BC200*($AP$3+#REF!),-1),""))</f>
        <v/>
      </c>
      <c r="BE200" s="503" t="s">
        <v>621</v>
      </c>
      <c r="BF200" s="503" t="str">
        <f>IF($G200="","",IF(AND($G200&gt;=30,$AT$3&lt;=BE$7),ROUND(BE200*($AP$3+#REF!),-1),""))</f>
        <v/>
      </c>
      <c r="BG200" s="503" t="s">
        <v>621</v>
      </c>
      <c r="BH200" s="503" t="str">
        <f>IF($G200="","",IF(AND($G200&gt;=30,$AT$3&lt;=BG$7),ROUND(BG200*($AP$3+#REF!),-1),""))</f>
        <v/>
      </c>
      <c r="BI200" s="503" t="s">
        <v>621</v>
      </c>
      <c r="BJ200" s="503" t="str">
        <f>IF($G200="","",IF(AND($G200&gt;=30,$AT$3&lt;=BI$7),ROUND(BI200*($AP$3+#REF!),-1),""))</f>
        <v/>
      </c>
      <c r="BK200" s="517" t="e">
        <v>#REF!</v>
      </c>
      <c r="BL200" s="503" t="str">
        <f>IF($G200="","",IF(AND($G200&gt;=30,$AT$3&lt;=BK$7),ROUND(BK200*($AP$3+#REF!),-1),""))</f>
        <v/>
      </c>
      <c r="BM200" s="503"/>
      <c r="BN200" s="503" t="str">
        <f>IF($G200="","",IF(AND($G200&gt;=30,$AT$3&lt;=BM$7),ROUND(BM200*($AP$3+#REF!),-1),""))</f>
        <v/>
      </c>
      <c r="BO200" s="502"/>
      <c r="BP200" s="503" t="str">
        <f>IF($G200="","",IF(AND($G200&gt;=30,$AT$3&lt;=BO$7),ROUND(BO200*($AP$3+#REF!),-1),""))</f>
        <v/>
      </c>
      <c r="BQ200" s="503"/>
      <c r="BR200" s="503" t="str">
        <f>IF($G200="","",IF(AND($G200&gt;=30,$AT$3&lt;=BQ$7),ROUND(BQ200*($AP$3+#REF!),-1),""))</f>
        <v/>
      </c>
      <c r="BS200" s="502"/>
      <c r="BT200" s="503" t="str">
        <f>IF($G200="","",IF(AND($G200&gt;=30,$AT$3&lt;=BS$7),ROUND(BS200*($AP$3+#REF!),-1),""))</f>
        <v/>
      </c>
      <c r="BU200" s="503"/>
      <c r="BV200" s="503" t="str">
        <f>IF($G200="","",IF(AND($G200&gt;=30,$AT$3&lt;=BU$7),ROUND(BU200*($AP$3+#REF!),-1),""))</f>
        <v/>
      </c>
      <c r="BW200" s="502"/>
      <c r="BX200" s="503" t="str">
        <f>IF($G200="","",IF(AND($G200&gt;=30,$AT$3&lt;=BW$7),ROUND(BW200*($AP$3+#REF!),-1),""))</f>
        <v/>
      </c>
      <c r="BY200" s="503"/>
      <c r="BZ200" s="503" t="str">
        <f>IF($G200="","",IF(AND($G200&gt;=30,$AT$3&lt;=BY$7),ROUND(BY200*($AP$3+#REF!),-1),""))</f>
        <v/>
      </c>
      <c r="CA200" s="502"/>
      <c r="CB200" s="503" t="str">
        <f>IF($G200="","",IF(AND($G200&gt;=30,$AT$3&lt;=CA$7),ROUND(CA200*($AP$3+#REF!),-1),""))</f>
        <v/>
      </c>
      <c r="CC200" s="503"/>
      <c r="CD200" s="503" t="str">
        <f>IF($G200="","",IF(AND($G200&gt;=30,$AT$3&lt;=CC$7),ROUND(CC200*($AP$3+#REF!),-1),""))</f>
        <v/>
      </c>
      <c r="CE200" s="502"/>
      <c r="CF200" s="503" t="str">
        <f>IF($G200="","",IF(AND($G200&gt;=30,$AT$3&lt;=CE$7),ROUND(CE200*($AP$3+#REF!),-1),""))</f>
        <v/>
      </c>
      <c r="CG200" s="503"/>
      <c r="CH200" s="503" t="str">
        <f>IF($G200="","",IF(AND($G200&gt;=30,$AT$3&lt;=CG$7),ROUND(CG200*($AP$3+#REF!),-1),""))</f>
        <v/>
      </c>
      <c r="CI200" s="502"/>
      <c r="CJ200" s="503" t="str">
        <f>IF($G200="","",IF(AND($G200&gt;=30,$AT$3&lt;=CI$7),ROUND(CI200*($AP$3+#REF!),-1),""))</f>
        <v/>
      </c>
      <c r="CK200" s="503"/>
      <c r="CL200" s="503" t="str">
        <f>IF($G200="","",IF(AND($G200&gt;=30,$AT$3&lt;=CK$7),ROUND(CK200*($AP$3+#REF!),-1),""))</f>
        <v/>
      </c>
      <c r="CM200" s="502"/>
      <c r="CN200" s="503" t="str">
        <f>IF($G200="","",IF(AND($G200&gt;=30,$AT$3&lt;=CM$7),ROUND(CM200*($AP$3+#REF!),-1),""))</f>
        <v/>
      </c>
      <c r="CO200" s="503"/>
      <c r="CP200" s="503" t="str">
        <f>IF($G200="","",IF(AND($G200&gt;=30,$AT$3&lt;=CO$7),ROUND(CO200*($AP$3+#REF!),-1),""))</f>
        <v/>
      </c>
      <c r="CQ200" s="502"/>
      <c r="CR200" s="503" t="str">
        <f>IF($G200="","",IF(AND($G200&gt;=30,$AT$3&lt;=CQ$7),ROUND(CQ200*($AP$3+#REF!),-1),""))</f>
        <v/>
      </c>
      <c r="CS200" s="503"/>
      <c r="CT200" s="503" t="str">
        <f>IF($G200="","",IF(AND($G200&gt;=30,$AT$3&lt;=CS$7),ROUND(CS200*($AP$3+#REF!),-1),""))</f>
        <v/>
      </c>
      <c r="CU200" s="502"/>
      <c r="CV200" s="503" t="str">
        <f>IF($G200="","",IF(AND($G200&gt;=30,$AT$3&lt;=CU$7),ROUND(CU200*($AP$3+#REF!),-1),""))</f>
        <v/>
      </c>
      <c r="CW200" s="503"/>
      <c r="CX200" s="503" t="str">
        <f>IF($G200="","",IF(AND($G200&gt;=30,$AT$3&lt;=CW$7),ROUND(CW200*($AP$3+#REF!),-1),""))</f>
        <v/>
      </c>
      <c r="CY200" s="502"/>
      <c r="CZ200" s="503" t="str">
        <f>IF($G200="","",IF(AND($G200&gt;=30,$AT$3&lt;=CY$7),ROUND(CY200*($AP$3+#REF!),-1),""))</f>
        <v/>
      </c>
      <c r="DA200" s="503"/>
      <c r="DB200" s="503" t="str">
        <f>IF($G200="","",IF(AND($G200&gt;=30,$AT$3&lt;=DA$7),ROUND(DA200*($AP$3+#REF!),-1),""))</f>
        <v/>
      </c>
      <c r="DC200" s="502"/>
      <c r="DD200" s="503" t="str">
        <f>IF($G200="","",IF(AND($G200&gt;=30,$AT$3&lt;=DC$7),ROUND(DC200*($AP$3+#REF!),-1),""))</f>
        <v/>
      </c>
      <c r="DE200" s="503"/>
      <c r="DF200" s="503" t="str">
        <f>IF($G200="","",IF(AND($G200&gt;=30,$AT$3&lt;=DE$7),ROUND(DE200*($AP$3+#REF!),-1),""))</f>
        <v/>
      </c>
      <c r="DG200" s="503"/>
      <c r="DH200" s="503" t="str">
        <f>IF($G200="","",IF(AND($G200&gt;=30,$AT$3&lt;=DG$7),ROUND(DG200*($AP$3+#REF!),-1),""))</f>
        <v/>
      </c>
      <c r="DI200" s="503"/>
      <c r="DJ200" s="503" t="str">
        <f>IF($G200="","",IF(AND($G200&gt;=30,$AT$3&lt;=DI$7),ROUND(DI200*($AP$3+#REF!),-1),""))</f>
        <v/>
      </c>
      <c r="DK200" s="503"/>
      <c r="DL200" s="503" t="str">
        <f>IF($G200="","",IF(AND($G200&gt;=30,$AT$3&lt;=DK$7),ROUND(DK200*($AP$3+#REF!),-1),""))</f>
        <v/>
      </c>
      <c r="DM200" s="503"/>
      <c r="DN200" s="503" t="str">
        <f>IF($G200="","",IF(AND($G200&gt;=30,$AT$3&lt;=DM$7),ROUND(DM200*($AP$3+#REF!),-1),""))</f>
        <v/>
      </c>
      <c r="DO200" s="503"/>
      <c r="DP200" s="503" t="str">
        <f>IF($G200="","",IF(AND($G200&gt;=30,$AT$3&lt;=DO$7),ROUND(DO200*($AP$3+#REF!),-1),""))</f>
        <v/>
      </c>
      <c r="DQ200" s="503"/>
      <c r="DR200" s="503" t="str">
        <f>IF($G200="","",IF(AND($G200&gt;=30,$AT$3&lt;=DQ$7),ROUND(DQ200*($AP$3+#REF!),-1),""))</f>
        <v/>
      </c>
      <c r="DS200" s="503"/>
      <c r="DT200" s="503" t="str">
        <f>IF($G200="","",IF(AND($G200&gt;=30,$AT$3&lt;=DS$7),ROUND(DS200*($AP$3+#REF!),-1),""))</f>
        <v/>
      </c>
      <c r="DU200" s="503"/>
      <c r="DV200" s="503" t="str">
        <f>IF($G200="","",IF(AND($G200&gt;=30,$AT$3&lt;=DU$7),ROUND(DU200*($AP$3+#REF!),-1),""))</f>
        <v/>
      </c>
      <c r="DW200" s="503"/>
      <c r="DX200" s="503" t="str">
        <f>IF($G200="","",IF(AND($G200&gt;=30,$AT$3&lt;=DW$7),ROUND(DW200*($AP$3+#REF!),-1),""))</f>
        <v/>
      </c>
      <c r="DY200" s="503"/>
      <c r="DZ200" s="503" t="str">
        <f>IF($G200="","",IF(AND($G200&gt;=30,$AT$3&lt;=DY$7),ROUND(DY200*($AP$3+#REF!),-1),""))</f>
        <v/>
      </c>
      <c r="EA200" s="503"/>
      <c r="EB200" s="503" t="str">
        <f>IF($G200="","",IF(AND($G200&gt;=30,$AT$3&lt;=EA$7),ROUND(EA200*($AP$3+#REF!),-1),""))</f>
        <v/>
      </c>
      <c r="EC200" s="504" t="s">
        <v>621</v>
      </c>
      <c r="ED200" s="1125"/>
      <c r="EE200" s="325">
        <v>12</v>
      </c>
    </row>
    <row r="201" spans="1:135" ht="9.75" customHeight="1">
      <c r="A201" s="321" t="str">
        <f t="shared" si="54"/>
        <v/>
      </c>
      <c r="B201" s="567">
        <f>(ii!$D$13*12+V201)+1</f>
        <v>95</v>
      </c>
      <c r="C201" s="345">
        <f t="shared" si="44"/>
        <v>48244</v>
      </c>
      <c r="D201" s="340">
        <f t="shared" si="47"/>
        <v>2032</v>
      </c>
      <c r="E201" s="340">
        <f t="shared" si="45"/>
        <v>8.3333333333333329E-2</v>
      </c>
      <c r="F201" s="340">
        <f t="shared" si="48"/>
        <v>2032.0833333333333</v>
      </c>
      <c r="G201" s="531" t="str">
        <f>IF(OR(C201&lt;$I$2,C201&gt;$J$3),"",(ii!$D$13*12+V201+1)/12)</f>
        <v/>
      </c>
      <c r="H201" s="532"/>
      <c r="I201" s="532"/>
      <c r="J201" s="533"/>
      <c r="K201" s="553"/>
      <c r="L201" s="534"/>
      <c r="M201" s="489" t="str">
        <f t="shared" si="49"/>
        <v/>
      </c>
      <c r="N201" s="536" t="s">
        <v>621</v>
      </c>
      <c r="O201" s="490" t="str">
        <f t="shared" ref="O201:O264" si="56">IF(OR(N201="",N200=""),"",N201-N200)</f>
        <v/>
      </c>
      <c r="P201" s="537"/>
      <c r="Q201" s="537"/>
      <c r="R201" s="533" t="str">
        <f t="shared" ref="R201:R264" si="57">IF(OR(P201="",P200=""),"",P201-P200)</f>
        <v/>
      </c>
      <c r="S201" s="538" t="str">
        <f t="shared" si="55"/>
        <v/>
      </c>
      <c r="T201" s="538" t="str">
        <f t="shared" si="53"/>
        <v/>
      </c>
      <c r="U201" s="539" t="str">
        <f>IF(H201="","",#REF!*12+#REF!+#REF!*12+#REF!)</f>
        <v/>
      </c>
      <c r="V201" s="338">
        <f>IF(ii!$J$3&gt;gg!C201,"",IF(AND((YEAR(C201)=YEAR($I$2)),MONTH(C201)=MONTH($I$2)),ii!$B$14*12+ii!$C$14+ii!$B$15*12+ii!$C$15-1,V200+1))</f>
        <v>94</v>
      </c>
      <c r="W201" s="339">
        <f t="shared" si="46"/>
        <v>7.833333333333333</v>
      </c>
      <c r="X201" s="540" t="s">
        <v>621</v>
      </c>
      <c r="Y201" s="538" t="s">
        <v>621</v>
      </c>
      <c r="Z201" s="541">
        <f>Z189+$Z$26</f>
        <v>0.42000000000000015</v>
      </c>
      <c r="AA201" s="542" t="str">
        <f>IF(Y201="","",(Y201-Y200)/Y200)</f>
        <v/>
      </c>
      <c r="AB201" s="543" t="e">
        <f t="shared" si="52"/>
        <v>#VALUE!</v>
      </c>
      <c r="AC201" s="544" t="str">
        <f t="shared" si="50"/>
        <v/>
      </c>
      <c r="AD201" s="538" t="str">
        <f t="shared" si="51"/>
        <v/>
      </c>
      <c r="AE201" s="545" t="s">
        <v>621</v>
      </c>
      <c r="AF201" s="546" t="s">
        <v>621</v>
      </c>
      <c r="AG201" s="558" t="s">
        <v>621</v>
      </c>
      <c r="AH201" s="547" t="str">
        <f>IF($G201="","",IF(AND($G201&gt;=30,$AT$3&lt;=AG$7),ROUND(AG201*($AP$3+#REF!),-1),""))</f>
        <v/>
      </c>
      <c r="AI201" s="558" t="s">
        <v>621</v>
      </c>
      <c r="AJ201" s="547" t="str">
        <f>IF($G201="","",IF(AND($G201&gt;=30,$AT$3&lt;=AI$7),ROUND(AI201*($AP$3+#REF!),-1),""))</f>
        <v/>
      </c>
      <c r="AK201" s="560" t="s">
        <v>621</v>
      </c>
      <c r="AL201" s="547" t="str">
        <f>IF($G201="","",IF(AND($G201&gt;=30,$AT$3&lt;=AK$7),ROUND(AK201*($AP$3+#REF!),-1),""))</f>
        <v/>
      </c>
      <c r="AM201" s="560" t="s">
        <v>621</v>
      </c>
      <c r="AN201" s="547" t="str">
        <f>IF($G201="","",IF(AND($G201&gt;=30,$AT$3&lt;=AM$7),ROUND(AM201*($AP$3+#REF!),-1),""))</f>
        <v/>
      </c>
      <c r="AO201" s="547" t="e">
        <v>#REF!</v>
      </c>
      <c r="AP201" s="547" t="str">
        <f>IF($G201="","",IF(AND($G201&gt;=30,$AT$3&lt;=AO$7),ROUND(AO201*($AP$3+#REF!),-1),""))</f>
        <v/>
      </c>
      <c r="AQ201" s="547" t="s">
        <v>621</v>
      </c>
      <c r="AR201" s="547" t="str">
        <f>IF($G201="","",IF(AND($G201&gt;=30,$AT$3&lt;=AQ$7),ROUND(AQ201*($AP$3+#REF!),-1),""))</f>
        <v/>
      </c>
      <c r="AS201" s="547" t="s">
        <v>621</v>
      </c>
      <c r="AT201" s="547" t="str">
        <f>IF($G201="","",IF(AND($G201&gt;=30,$AT$3&lt;=AS$7),ROUND(AS201*($AP$3+#REF!),-1),""))</f>
        <v/>
      </c>
      <c r="AU201" s="547" t="s">
        <v>621</v>
      </c>
      <c r="AV201" s="547" t="str">
        <f>IF($G201="","",IF(AND($G201&gt;=30,$AT$3&lt;=AU$7),ROUND(AU201*($AP$3+#REF!),-1),""))</f>
        <v/>
      </c>
      <c r="AW201" s="547" t="s">
        <v>621</v>
      </c>
      <c r="AX201" s="547" t="str">
        <f>IF($G201="","",IF(AND($G201&gt;=30,$AT$3&lt;=AW$7),ROUND(AW201*($AP$3+#REF!),-1),""))</f>
        <v/>
      </c>
      <c r="AY201" s="547" t="s">
        <v>621</v>
      </c>
      <c r="AZ201" s="547" t="str">
        <f>IF($G201="","",IF(AND($G201&gt;=30,$AT$3&lt;=AY$7),ROUND(AY201*($AP$3+#REF!),-1),""))</f>
        <v/>
      </c>
      <c r="BA201" s="547" t="s">
        <v>621</v>
      </c>
      <c r="BB201" s="547" t="str">
        <f>IF($G201="","",IF(AND($G201&gt;=30,$AT$3&lt;=BA$7),ROUND(BA201*($AP$3+#REF!),-1),""))</f>
        <v/>
      </c>
      <c r="BC201" s="547" t="s">
        <v>621</v>
      </c>
      <c r="BD201" s="547" t="str">
        <f>IF($G201="","",IF(AND($G201&gt;=30,$AT$3&lt;=BC$7),ROUND(BC201*($AP$3+#REF!),-1),""))</f>
        <v/>
      </c>
      <c r="BE201" s="547" t="s">
        <v>621</v>
      </c>
      <c r="BF201" s="547" t="str">
        <f>IF($G201="","",IF(AND($G201&gt;=30,$AT$3&lt;=BE$7),ROUND(BE201*($AP$3+#REF!),-1),""))</f>
        <v/>
      </c>
      <c r="BG201" s="547" t="s">
        <v>621</v>
      </c>
      <c r="BH201" s="547" t="str">
        <f>IF($G201="","",IF(AND($G201&gt;=30,$AT$3&lt;=BG$7),ROUND(BG201*($AP$3+#REF!),-1),""))</f>
        <v/>
      </c>
      <c r="BI201" s="547" t="s">
        <v>621</v>
      </c>
      <c r="BJ201" s="547" t="str">
        <f>IF($G201="","",IF(AND($G201&gt;=30,$AT$3&lt;=BI$7),ROUND(BI201*($AP$3+#REF!),-1),""))</f>
        <v/>
      </c>
      <c r="BK201" s="547" t="s">
        <v>621</v>
      </c>
      <c r="BL201" s="547" t="str">
        <f>IF($G201="","",IF(AND($G201&gt;=30,$AT$3&lt;=BK$7),ROUND(BK201*($AP$3+#REF!),-1),""))</f>
        <v/>
      </c>
      <c r="BM201" s="533" t="e">
        <v>#REF!</v>
      </c>
      <c r="BN201" s="547" t="str">
        <f>IF($G201="","",IF(AND($G201&gt;=30,$AT$3&lt;=BM$7),ROUND(BM201*($AP$3+#REF!),-1),""))</f>
        <v/>
      </c>
      <c r="BO201" s="547"/>
      <c r="BP201" s="547" t="str">
        <f>IF($G201="","",IF(AND($G201&gt;=30,$AT$3&lt;=BO$7),ROUND(BO201*($AP$3+#REF!),-1),""))</f>
        <v/>
      </c>
      <c r="BQ201" s="547"/>
      <c r="BR201" s="547" t="str">
        <f>IF($G201="","",IF(AND($G201&gt;=30,$AT$3&lt;=BQ$7),ROUND(BQ201*($AP$3+#REF!),-1),""))</f>
        <v/>
      </c>
      <c r="BS201" s="547"/>
      <c r="BT201" s="547" t="str">
        <f>IF($G201="","",IF(AND($G201&gt;=30,$AT$3&lt;=BS$7),ROUND(BS201*($AP$3+#REF!),-1),""))</f>
        <v/>
      </c>
      <c r="BU201" s="547"/>
      <c r="BV201" s="547" t="str">
        <f>IF($G201="","",IF(AND($G201&gt;=30,$AT$3&lt;=BU$7),ROUND(BU201*($AP$3+#REF!),-1),""))</f>
        <v/>
      </c>
      <c r="BW201" s="547"/>
      <c r="BX201" s="547" t="str">
        <f>IF($G201="","",IF(AND($G201&gt;=30,$AT$3&lt;=BW$7),ROUND(BW201*($AP$3+#REF!),-1),""))</f>
        <v/>
      </c>
      <c r="BY201" s="547"/>
      <c r="BZ201" s="547" t="str">
        <f>IF($G201="","",IF(AND($G201&gt;=30,$AT$3&lt;=BY$7),ROUND(BY201*($AP$3+#REF!),-1),""))</f>
        <v/>
      </c>
      <c r="CA201" s="547"/>
      <c r="CB201" s="547" t="str">
        <f>IF($G201="","",IF(AND($G201&gt;=30,$AT$3&lt;=CA$7),ROUND(CA201*($AP$3+#REF!),-1),""))</f>
        <v/>
      </c>
      <c r="CC201" s="547"/>
      <c r="CD201" s="547" t="str">
        <f>IF($G201="","",IF(AND($G201&gt;=30,$AT$3&lt;=CC$7),ROUND(CC201*($AP$3+#REF!),-1),""))</f>
        <v/>
      </c>
      <c r="CE201" s="547"/>
      <c r="CF201" s="547" t="str">
        <f>IF($G201="","",IF(AND($G201&gt;=30,$AT$3&lt;=CE$7),ROUND(CE201*($AP$3+#REF!),-1),""))</f>
        <v/>
      </c>
      <c r="CG201" s="547"/>
      <c r="CH201" s="547" t="str">
        <f>IF($G201="","",IF(AND($G201&gt;=30,$AT$3&lt;=CG$7),ROUND(CG201*($AP$3+#REF!),-1),""))</f>
        <v/>
      </c>
      <c r="CI201" s="547"/>
      <c r="CJ201" s="547" t="str">
        <f>IF($G201="","",IF(AND($G201&gt;=30,$AT$3&lt;=CI$7),ROUND(CI201*($AP$3+#REF!),-1),""))</f>
        <v/>
      </c>
      <c r="CK201" s="547"/>
      <c r="CL201" s="547" t="str">
        <f>IF($G201="","",IF(AND($G201&gt;=30,$AT$3&lt;=CK$7),ROUND(CK201*($AP$3+#REF!),-1),""))</f>
        <v/>
      </c>
      <c r="CM201" s="547"/>
      <c r="CN201" s="547" t="str">
        <f>IF($G201="","",IF(AND($G201&gt;=30,$AT$3&lt;=CM$7),ROUND(CM201*($AP$3+#REF!),-1),""))</f>
        <v/>
      </c>
      <c r="CO201" s="547"/>
      <c r="CP201" s="547" t="str">
        <f>IF($G201="","",IF(AND($G201&gt;=30,$AT$3&lt;=CO$7),ROUND(CO201*($AP$3+#REF!),-1),""))</f>
        <v/>
      </c>
      <c r="CQ201" s="547"/>
      <c r="CR201" s="547" t="str">
        <f>IF($G201="","",IF(AND($G201&gt;=30,$AT$3&lt;=CQ$7),ROUND(CQ201*($AP$3+#REF!),-1),""))</f>
        <v/>
      </c>
      <c r="CS201" s="547"/>
      <c r="CT201" s="547" t="str">
        <f>IF($G201="","",IF(AND($G201&gt;=30,$AT$3&lt;=CS$7),ROUND(CS201*($AP$3+#REF!),-1),""))</f>
        <v/>
      </c>
      <c r="CU201" s="547"/>
      <c r="CV201" s="547" t="str">
        <f>IF($G201="","",IF(AND($G201&gt;=30,$AT$3&lt;=CU$7),ROUND(CU201*($AP$3+#REF!),-1),""))</f>
        <v/>
      </c>
      <c r="CW201" s="547"/>
      <c r="CX201" s="547" t="str">
        <f>IF($G201="","",IF(AND($G201&gt;=30,$AT$3&lt;=CW$7),ROUND(CW201*($AP$3+#REF!),-1),""))</f>
        <v/>
      </c>
      <c r="CY201" s="547"/>
      <c r="CZ201" s="547" t="str">
        <f>IF($G201="","",IF(AND($G201&gt;=30,$AT$3&lt;=CY$7),ROUND(CY201*($AP$3+#REF!),-1),""))</f>
        <v/>
      </c>
      <c r="DA201" s="547"/>
      <c r="DB201" s="547" t="str">
        <f>IF($G201="","",IF(AND($G201&gt;=30,$AT$3&lt;=DA$7),ROUND(DA201*($AP$3+#REF!),-1),""))</f>
        <v/>
      </c>
      <c r="DC201" s="547"/>
      <c r="DD201" s="547" t="str">
        <f>IF($G201="","",IF(AND($G201&gt;=30,$AT$3&lt;=DC$7),ROUND(DC201*($AP$3+#REF!),-1),""))</f>
        <v/>
      </c>
      <c r="DE201" s="547"/>
      <c r="DF201" s="547" t="str">
        <f>IF($G201="","",IF(AND($G201&gt;=30,$AT$3&lt;=DE$7),ROUND(DE201*($AP$3+#REF!),-1),""))</f>
        <v/>
      </c>
      <c r="DG201" s="547"/>
      <c r="DH201" s="547" t="str">
        <f>IF($G201="","",IF(AND($G201&gt;=30,$AT$3&lt;=DG$7),ROUND(DG201*($AP$3+#REF!),-1),""))</f>
        <v/>
      </c>
      <c r="DI201" s="547"/>
      <c r="DJ201" s="547" t="str">
        <f>IF($G201="","",IF(AND($G201&gt;=30,$AT$3&lt;=DI$7),ROUND(DI201*($AP$3+#REF!),-1),""))</f>
        <v/>
      </c>
      <c r="DK201" s="547"/>
      <c r="DL201" s="547" t="str">
        <f>IF($G201="","",IF(AND($G201&gt;=30,$AT$3&lt;=DK$7),ROUND(DK201*($AP$3+#REF!),-1),""))</f>
        <v/>
      </c>
      <c r="DM201" s="547"/>
      <c r="DN201" s="547" t="str">
        <f>IF($G201="","",IF(AND($G201&gt;=30,$AT$3&lt;=DM$7),ROUND(DM201*($AP$3+#REF!),-1),""))</f>
        <v/>
      </c>
      <c r="DO201" s="547"/>
      <c r="DP201" s="547" t="str">
        <f>IF($G201="","",IF(AND($G201&gt;=30,$AT$3&lt;=DO$7),ROUND(DO201*($AP$3+#REF!),-1),""))</f>
        <v/>
      </c>
      <c r="DQ201" s="547"/>
      <c r="DR201" s="547" t="str">
        <f>IF($G201="","",IF(AND($G201&gt;=30,$AT$3&lt;=DQ$7),ROUND(DQ201*($AP$3+#REF!),-1),""))</f>
        <v/>
      </c>
      <c r="DS201" s="547"/>
      <c r="DT201" s="547" t="str">
        <f>IF($G201="","",IF(AND($G201&gt;=30,$AT$3&lt;=DS$7),ROUND(DS201*($AP$3+#REF!),-1),""))</f>
        <v/>
      </c>
      <c r="DU201" s="547"/>
      <c r="DV201" s="547" t="str">
        <f>IF($G201="","",IF(AND($G201&gt;=30,$AT$3&lt;=DU$7),ROUND(DU201*($AP$3+#REF!),-1),""))</f>
        <v/>
      </c>
      <c r="DW201" s="547"/>
      <c r="DX201" s="547" t="str">
        <f>IF($G201="","",IF(AND($G201&gt;=30,$AT$3&lt;=DW$7),ROUND(DW201*($AP$3+#REF!),-1),""))</f>
        <v/>
      </c>
      <c r="DY201" s="547"/>
      <c r="DZ201" s="547" t="str">
        <f>IF($G201="","",IF(AND($G201&gt;=30,$AT$3&lt;=DY$7),ROUND(DY201*($AP$3+#REF!),-1),""))</f>
        <v/>
      </c>
      <c r="EA201" s="547"/>
      <c r="EB201" s="547" t="str">
        <f>IF($G201="","",IF(AND($G201&gt;=30,$AT$3&lt;=EA$7),ROUND(EA201*($AP$3+#REF!),-1),""))</f>
        <v/>
      </c>
      <c r="EC201" s="547" t="s">
        <v>621</v>
      </c>
      <c r="ED201" s="1123">
        <f>SUM(EC201:EC212)</f>
        <v>0</v>
      </c>
      <c r="EE201" s="325">
        <v>1</v>
      </c>
    </row>
    <row r="202" spans="1:135" ht="9.75" customHeight="1">
      <c r="A202" s="321" t="str">
        <f t="shared" si="54"/>
        <v/>
      </c>
      <c r="B202" s="567">
        <f>(ii!$D$13*12+V202)+1</f>
        <v>96</v>
      </c>
      <c r="C202" s="337">
        <f t="shared" si="44"/>
        <v>48273</v>
      </c>
      <c r="D202" s="484">
        <f t="shared" si="47"/>
        <v>2032</v>
      </c>
      <c r="E202" s="484">
        <f t="shared" si="45"/>
        <v>0.16666666666666666</v>
      </c>
      <c r="F202" s="484">
        <f t="shared" si="48"/>
        <v>2032.1666666666667</v>
      </c>
      <c r="G202" s="485" t="str">
        <f>IF(OR(C202&lt;$I$2,C202&gt;$J$3),"",(ii!$D$13*12+V202+1)/12)</f>
        <v/>
      </c>
      <c r="H202" s="486"/>
      <c r="I202" s="486"/>
      <c r="J202" s="487"/>
      <c r="K202" s="488"/>
      <c r="L202" s="548"/>
      <c r="M202" s="489" t="str">
        <f t="shared" si="49"/>
        <v/>
      </c>
      <c r="N202" s="490" t="s">
        <v>621</v>
      </c>
      <c r="O202" s="490" t="str">
        <f t="shared" si="56"/>
        <v/>
      </c>
      <c r="P202" s="491"/>
      <c r="Q202" s="491"/>
      <c r="R202" s="491" t="str">
        <f t="shared" si="57"/>
        <v/>
      </c>
      <c r="S202" s="528" t="str">
        <f t="shared" si="55"/>
        <v/>
      </c>
      <c r="T202" s="528" t="str">
        <f t="shared" si="53"/>
        <v/>
      </c>
      <c r="U202" s="493" t="str">
        <f>IF(H202="","",#REF!*12+#REF!+#REF!*12+#REF!)</f>
        <v/>
      </c>
      <c r="V202" s="338">
        <f>IF(ii!$J$3&gt;gg!C202,"",IF(AND((YEAR(C202)=YEAR($I$2)),MONTH(C202)=MONTH($I$2)),ii!$B$14*12+ii!$C$14+ii!$B$15*12+ii!$C$15-1,V201+1))</f>
        <v>95</v>
      </c>
      <c r="W202" s="339">
        <f t="shared" si="46"/>
        <v>7.916666666666667</v>
      </c>
      <c r="X202" s="494" t="s">
        <v>621</v>
      </c>
      <c r="Y202" s="495" t="s">
        <v>621</v>
      </c>
      <c r="Z202" s="496"/>
      <c r="AA202" s="497"/>
      <c r="AB202" s="498" t="e">
        <f t="shared" si="52"/>
        <v>#VALUE!</v>
      </c>
      <c r="AC202" s="484" t="str">
        <f t="shared" si="50"/>
        <v/>
      </c>
      <c r="AD202" s="495" t="str">
        <f t="shared" si="51"/>
        <v/>
      </c>
      <c r="AE202" s="499" t="s">
        <v>621</v>
      </c>
      <c r="AF202" s="500" t="s">
        <v>621</v>
      </c>
      <c r="AG202" s="556" t="s">
        <v>621</v>
      </c>
      <c r="AH202" s="503" t="str">
        <f>IF($G202="","",IF(AND($G202&gt;=30,$AT$3&lt;=AG$7),ROUND(AG202*($AP$3+#REF!),-1),""))</f>
        <v/>
      </c>
      <c r="AI202" s="506" t="s">
        <v>621</v>
      </c>
      <c r="AJ202" s="503" t="str">
        <f>IF($G202="","",IF(AND($G202&gt;=30,$AT$3&lt;=AI$7),ROUND(AI202*($AP$3+#REF!),-1),""))</f>
        <v/>
      </c>
      <c r="AK202" s="506" t="s">
        <v>621</v>
      </c>
      <c r="AL202" s="503" t="str">
        <f>IF($G202="","",IF(AND($G202&gt;=30,$AT$3&lt;=AK$7),ROUND(AK202*($AP$3+#REF!),-1),""))</f>
        <v/>
      </c>
      <c r="AM202" s="506" t="s">
        <v>621</v>
      </c>
      <c r="AN202" s="503" t="str">
        <f>IF($G202="","",IF(AND($G202&gt;=30,$AT$3&lt;=AM$7),ROUND(AM202*($AP$3+#REF!),-1),""))</f>
        <v/>
      </c>
      <c r="AO202" s="503" t="e">
        <f>IF(AO201="","",AO201*1.001)</f>
        <v>#REF!</v>
      </c>
      <c r="AP202" s="503" t="str">
        <f>IF($G202="","",IF(AND($G202&gt;=30,$AT$3&lt;=AO$7),ROUND(AO202*($AP$3+#REF!),-1),""))</f>
        <v/>
      </c>
      <c r="AQ202" s="503" t="s">
        <v>621</v>
      </c>
      <c r="AR202" s="503" t="str">
        <f>IF($G202="","",IF(AND($G202&gt;=30,$AT$3&lt;=AQ$7),ROUND(AQ202*($AP$3+#REF!),-1),""))</f>
        <v/>
      </c>
      <c r="AS202" s="503" t="s">
        <v>621</v>
      </c>
      <c r="AT202" s="503" t="str">
        <f>IF($G202="","",IF(AND($G202&gt;=30,$AT$3&lt;=AS$7),ROUND(AS202*($AP$3+#REF!),-1),""))</f>
        <v/>
      </c>
      <c r="AU202" s="503" t="s">
        <v>621</v>
      </c>
      <c r="AV202" s="503" t="str">
        <f>IF($G202="","",IF(AND($G202&gt;=30,$AT$3&lt;=AU$7),ROUND(AU202*($AP$3+#REF!),-1),""))</f>
        <v/>
      </c>
      <c r="AW202" s="503" t="s">
        <v>621</v>
      </c>
      <c r="AX202" s="503" t="str">
        <f>IF($G202="","",IF(AND($G202&gt;=30,$AT$3&lt;=AW$7),ROUND(AW202*($AP$3+#REF!),-1),""))</f>
        <v/>
      </c>
      <c r="AY202" s="503" t="s">
        <v>621</v>
      </c>
      <c r="AZ202" s="503" t="str">
        <f>IF($G202="","",IF(AND($G202&gt;=30,$AT$3&lt;=AY$7),ROUND(AY202*($AP$3+#REF!),-1),""))</f>
        <v/>
      </c>
      <c r="BA202" s="503" t="s">
        <v>621</v>
      </c>
      <c r="BB202" s="503" t="str">
        <f>IF($G202="","",IF(AND($G202&gt;=30,$AT$3&lt;=BA$7),ROUND(BA202*($AP$3+#REF!),-1),""))</f>
        <v/>
      </c>
      <c r="BC202" s="503" t="s">
        <v>621</v>
      </c>
      <c r="BD202" s="503" t="str">
        <f>IF($G202="","",IF(AND($G202&gt;=30,$AT$3&lt;=BC$7),ROUND(BC202*($AP$3+#REF!),-1),""))</f>
        <v/>
      </c>
      <c r="BE202" s="503" t="s">
        <v>621</v>
      </c>
      <c r="BF202" s="503" t="str">
        <f>IF($G202="","",IF(AND($G202&gt;=30,$AT$3&lt;=BE$7),ROUND(BE202*($AP$3+#REF!),-1),""))</f>
        <v/>
      </c>
      <c r="BG202" s="503" t="s">
        <v>621</v>
      </c>
      <c r="BH202" s="503" t="str">
        <f>IF($G202="","",IF(AND($G202&gt;=30,$AT$3&lt;=BG$7),ROUND(BG202*($AP$3+#REF!),-1),""))</f>
        <v/>
      </c>
      <c r="BI202" s="503" t="s">
        <v>621</v>
      </c>
      <c r="BJ202" s="503" t="str">
        <f>IF($G202="","",IF(AND($G202&gt;=30,$AT$3&lt;=BI$7),ROUND(BI202*($AP$3+#REF!),-1),""))</f>
        <v/>
      </c>
      <c r="BK202" s="503" t="s">
        <v>621</v>
      </c>
      <c r="BL202" s="503" t="str">
        <f>IF($G202="","",IF(AND($G202&gt;=30,$AT$3&lt;=BK$7),ROUND(BK202*($AP$3+#REF!),-1),""))</f>
        <v/>
      </c>
      <c r="BM202" s="517" t="e">
        <v>#REF!</v>
      </c>
      <c r="BN202" s="503" t="str">
        <f>IF($G202="","",IF(AND($G202&gt;=30,$AT$3&lt;=BM$7),ROUND(BM202*($AP$3+#REF!),-1),""))</f>
        <v/>
      </c>
      <c r="BO202" s="502"/>
      <c r="BP202" s="503" t="str">
        <f>IF($G202="","",IF(AND($G202&gt;=30,$AT$3&lt;=BO$7),ROUND(BO202*($AP$3+#REF!),-1),""))</f>
        <v/>
      </c>
      <c r="BQ202" s="503"/>
      <c r="BR202" s="503" t="str">
        <f>IF($G202="","",IF(AND($G202&gt;=30,$AT$3&lt;=BQ$7),ROUND(BQ202*($AP$3+#REF!),-1),""))</f>
        <v/>
      </c>
      <c r="BS202" s="502"/>
      <c r="BT202" s="503" t="str">
        <f>IF($G202="","",IF(AND($G202&gt;=30,$AT$3&lt;=BS$7),ROUND(BS202*($AP$3+#REF!),-1),""))</f>
        <v/>
      </c>
      <c r="BU202" s="503"/>
      <c r="BV202" s="503" t="str">
        <f>IF($G202="","",IF(AND($G202&gt;=30,$AT$3&lt;=BU$7),ROUND(BU202*($AP$3+#REF!),-1),""))</f>
        <v/>
      </c>
      <c r="BW202" s="502"/>
      <c r="BX202" s="503" t="str">
        <f>IF($G202="","",IF(AND($G202&gt;=30,$AT$3&lt;=BW$7),ROUND(BW202*($AP$3+#REF!),-1),""))</f>
        <v/>
      </c>
      <c r="BY202" s="503"/>
      <c r="BZ202" s="503" t="str">
        <f>IF($G202="","",IF(AND($G202&gt;=30,$AT$3&lt;=BY$7),ROUND(BY202*($AP$3+#REF!),-1),""))</f>
        <v/>
      </c>
      <c r="CA202" s="502"/>
      <c r="CB202" s="503" t="str">
        <f>IF($G202="","",IF(AND($G202&gt;=30,$AT$3&lt;=CA$7),ROUND(CA202*($AP$3+#REF!),-1),""))</f>
        <v/>
      </c>
      <c r="CC202" s="503"/>
      <c r="CD202" s="503" t="str">
        <f>IF($G202="","",IF(AND($G202&gt;=30,$AT$3&lt;=CC$7),ROUND(CC202*($AP$3+#REF!),-1),""))</f>
        <v/>
      </c>
      <c r="CE202" s="502"/>
      <c r="CF202" s="503" t="str">
        <f>IF($G202="","",IF(AND($G202&gt;=30,$AT$3&lt;=CE$7),ROUND(CE202*($AP$3+#REF!),-1),""))</f>
        <v/>
      </c>
      <c r="CG202" s="503"/>
      <c r="CH202" s="503" t="str">
        <f>IF($G202="","",IF(AND($G202&gt;=30,$AT$3&lt;=CG$7),ROUND(CG202*($AP$3+#REF!),-1),""))</f>
        <v/>
      </c>
      <c r="CI202" s="502"/>
      <c r="CJ202" s="503" t="str">
        <f>IF($G202="","",IF(AND($G202&gt;=30,$AT$3&lt;=CI$7),ROUND(CI202*($AP$3+#REF!),-1),""))</f>
        <v/>
      </c>
      <c r="CK202" s="503"/>
      <c r="CL202" s="503" t="str">
        <f>IF($G202="","",IF(AND($G202&gt;=30,$AT$3&lt;=CK$7),ROUND(CK202*($AP$3+#REF!),-1),""))</f>
        <v/>
      </c>
      <c r="CM202" s="502"/>
      <c r="CN202" s="503" t="str">
        <f>IF($G202="","",IF(AND($G202&gt;=30,$AT$3&lt;=CM$7),ROUND(CM202*($AP$3+#REF!),-1),""))</f>
        <v/>
      </c>
      <c r="CO202" s="503"/>
      <c r="CP202" s="503" t="str">
        <f>IF($G202="","",IF(AND($G202&gt;=30,$AT$3&lt;=CO$7),ROUND(CO202*($AP$3+#REF!),-1),""))</f>
        <v/>
      </c>
      <c r="CQ202" s="502"/>
      <c r="CR202" s="503" t="str">
        <f>IF($G202="","",IF(AND($G202&gt;=30,$AT$3&lt;=CQ$7),ROUND(CQ202*($AP$3+#REF!),-1),""))</f>
        <v/>
      </c>
      <c r="CS202" s="503"/>
      <c r="CT202" s="503" t="str">
        <f>IF($G202="","",IF(AND($G202&gt;=30,$AT$3&lt;=CS$7),ROUND(CS202*($AP$3+#REF!),-1),""))</f>
        <v/>
      </c>
      <c r="CU202" s="502"/>
      <c r="CV202" s="503" t="str">
        <f>IF($G202="","",IF(AND($G202&gt;=30,$AT$3&lt;=CU$7),ROUND(CU202*($AP$3+#REF!),-1),""))</f>
        <v/>
      </c>
      <c r="CW202" s="503"/>
      <c r="CX202" s="503" t="str">
        <f>IF($G202="","",IF(AND($G202&gt;=30,$AT$3&lt;=CW$7),ROUND(CW202*($AP$3+#REF!),-1),""))</f>
        <v/>
      </c>
      <c r="CY202" s="502"/>
      <c r="CZ202" s="503" t="str">
        <f>IF($G202="","",IF(AND($G202&gt;=30,$AT$3&lt;=CY$7),ROUND(CY202*($AP$3+#REF!),-1),""))</f>
        <v/>
      </c>
      <c r="DA202" s="503"/>
      <c r="DB202" s="503" t="str">
        <f>IF($G202="","",IF(AND($G202&gt;=30,$AT$3&lt;=DA$7),ROUND(DA202*($AP$3+#REF!),-1),""))</f>
        <v/>
      </c>
      <c r="DC202" s="502"/>
      <c r="DD202" s="503" t="str">
        <f>IF($G202="","",IF(AND($G202&gt;=30,$AT$3&lt;=DC$7),ROUND(DC202*($AP$3+#REF!),-1),""))</f>
        <v/>
      </c>
      <c r="DE202" s="503"/>
      <c r="DF202" s="503" t="str">
        <f>IF($G202="","",IF(AND($G202&gt;=30,$AT$3&lt;=DE$7),ROUND(DE202*($AP$3+#REF!),-1),""))</f>
        <v/>
      </c>
      <c r="DG202" s="503"/>
      <c r="DH202" s="503" t="str">
        <f>IF($G202="","",IF(AND($G202&gt;=30,$AT$3&lt;=DG$7),ROUND(DG202*($AP$3+#REF!),-1),""))</f>
        <v/>
      </c>
      <c r="DI202" s="503"/>
      <c r="DJ202" s="503" t="str">
        <f>IF($G202="","",IF(AND($G202&gt;=30,$AT$3&lt;=DI$7),ROUND(DI202*($AP$3+#REF!),-1),""))</f>
        <v/>
      </c>
      <c r="DK202" s="503"/>
      <c r="DL202" s="503" t="str">
        <f>IF($G202="","",IF(AND($G202&gt;=30,$AT$3&lt;=DK$7),ROUND(DK202*($AP$3+#REF!),-1),""))</f>
        <v/>
      </c>
      <c r="DM202" s="503"/>
      <c r="DN202" s="503" t="str">
        <f>IF($G202="","",IF(AND($G202&gt;=30,$AT$3&lt;=DM$7),ROUND(DM202*($AP$3+#REF!),-1),""))</f>
        <v/>
      </c>
      <c r="DO202" s="503"/>
      <c r="DP202" s="503" t="str">
        <f>IF($G202="","",IF(AND($G202&gt;=30,$AT$3&lt;=DO$7),ROUND(DO202*($AP$3+#REF!),-1),""))</f>
        <v/>
      </c>
      <c r="DQ202" s="503"/>
      <c r="DR202" s="503" t="str">
        <f>IF($G202="","",IF(AND($G202&gt;=30,$AT$3&lt;=DQ$7),ROUND(DQ202*($AP$3+#REF!),-1),""))</f>
        <v/>
      </c>
      <c r="DS202" s="503"/>
      <c r="DT202" s="503" t="str">
        <f>IF($G202="","",IF(AND($G202&gt;=30,$AT$3&lt;=DS$7),ROUND(DS202*($AP$3+#REF!),-1),""))</f>
        <v/>
      </c>
      <c r="DU202" s="503"/>
      <c r="DV202" s="503" t="str">
        <f>IF($G202="","",IF(AND($G202&gt;=30,$AT$3&lt;=DU$7),ROUND(DU202*($AP$3+#REF!),-1),""))</f>
        <v/>
      </c>
      <c r="DW202" s="503"/>
      <c r="DX202" s="503" t="str">
        <f>IF($G202="","",IF(AND($G202&gt;=30,$AT$3&lt;=DW$7),ROUND(DW202*($AP$3+#REF!),-1),""))</f>
        <v/>
      </c>
      <c r="DY202" s="503"/>
      <c r="DZ202" s="503" t="str">
        <f>IF($G202="","",IF(AND($G202&gt;=30,$AT$3&lt;=DY$7),ROUND(DY202*($AP$3+#REF!),-1),""))</f>
        <v/>
      </c>
      <c r="EA202" s="503"/>
      <c r="EB202" s="503" t="str">
        <f>IF($G202="","",IF(AND($G202&gt;=30,$AT$3&lt;=EA$7),ROUND(EA202*($AP$3+#REF!),-1),""))</f>
        <v/>
      </c>
      <c r="EC202" s="504" t="s">
        <v>621</v>
      </c>
      <c r="ED202" s="1124"/>
      <c r="EE202" s="325">
        <v>2</v>
      </c>
    </row>
    <row r="203" spans="1:135" ht="9.75" customHeight="1">
      <c r="A203" s="321" t="str">
        <f t="shared" si="54"/>
        <v/>
      </c>
      <c r="B203" s="567">
        <f>(ii!$D$13*12+V203)+1</f>
        <v>97</v>
      </c>
      <c r="C203" s="337">
        <f t="shared" ref="C203:C266" si="58">EOMONTH(C202,1)</f>
        <v>48304</v>
      </c>
      <c r="D203" s="484">
        <f t="shared" si="47"/>
        <v>2032</v>
      </c>
      <c r="E203" s="484">
        <f t="shared" si="45"/>
        <v>0.25</v>
      </c>
      <c r="F203" s="484">
        <f t="shared" si="48"/>
        <v>2032.25</v>
      </c>
      <c r="G203" s="485" t="str">
        <f>IF(OR(C203&lt;$I$2,C203&gt;$J$3),"",(ii!$D$13*12+V203+1)/12)</f>
        <v/>
      </c>
      <c r="H203" s="486"/>
      <c r="I203" s="486"/>
      <c r="J203" s="487"/>
      <c r="K203" s="488"/>
      <c r="L203" s="548"/>
      <c r="M203" s="489" t="str">
        <f t="shared" si="49"/>
        <v/>
      </c>
      <c r="N203" s="490" t="s">
        <v>621</v>
      </c>
      <c r="O203" s="490" t="str">
        <f t="shared" si="56"/>
        <v/>
      </c>
      <c r="P203" s="491"/>
      <c r="Q203" s="491"/>
      <c r="R203" s="491" t="str">
        <f t="shared" si="57"/>
        <v/>
      </c>
      <c r="S203" s="528" t="str">
        <f t="shared" si="55"/>
        <v/>
      </c>
      <c r="T203" s="528" t="str">
        <f t="shared" si="53"/>
        <v/>
      </c>
      <c r="U203" s="493" t="str">
        <f>IF(H203="","",#REF!*12+#REF!+#REF!*12+#REF!)</f>
        <v/>
      </c>
      <c r="V203" s="338">
        <f>IF(ii!$J$3&gt;gg!C203,"",IF(AND((YEAR(C203)=YEAR($I$2)),MONTH(C203)=MONTH($I$2)),ii!$B$14*12+ii!$C$14+ii!$B$15*12+ii!$C$15-1,V202+1))</f>
        <v>96</v>
      </c>
      <c r="W203" s="339">
        <f t="shared" si="46"/>
        <v>8</v>
      </c>
      <c r="X203" s="494" t="s">
        <v>621</v>
      </c>
      <c r="Y203" s="495" t="s">
        <v>621</v>
      </c>
      <c r="Z203" s="496"/>
      <c r="AA203" s="497"/>
      <c r="AB203" s="498" t="e">
        <f t="shared" si="52"/>
        <v>#VALUE!</v>
      </c>
      <c r="AC203" s="484" t="str">
        <f t="shared" si="50"/>
        <v/>
      </c>
      <c r="AD203" s="495" t="str">
        <f t="shared" si="51"/>
        <v/>
      </c>
      <c r="AE203" s="499" t="s">
        <v>621</v>
      </c>
      <c r="AF203" s="500" t="s">
        <v>621</v>
      </c>
      <c r="AG203" s="556" t="s">
        <v>621</v>
      </c>
      <c r="AH203" s="503" t="str">
        <f>IF($G203="","",IF(AND($G203&gt;=30,$AT$3&lt;=AG$7),ROUND(AG203*($AP$3+#REF!),-1),""))</f>
        <v/>
      </c>
      <c r="AI203" s="506" t="s">
        <v>621</v>
      </c>
      <c r="AJ203" s="503" t="str">
        <f>IF($G203="","",IF(AND($G203&gt;=30,$AT$3&lt;=AI$7),ROUND(AI203*($AP$3+#REF!),-1),""))</f>
        <v/>
      </c>
      <c r="AK203" s="506" t="s">
        <v>621</v>
      </c>
      <c r="AL203" s="503" t="str">
        <f>IF($G203="","",IF(AND($G203&gt;=30,$AT$3&lt;=AK$7),ROUND(AK203*($AP$3+#REF!),-1),""))</f>
        <v/>
      </c>
      <c r="AM203" s="506" t="s">
        <v>621</v>
      </c>
      <c r="AN203" s="503" t="str">
        <f>IF($G203="","",IF(AND($G203&gt;=30,$AT$3&lt;=AM$7),ROUND(AM203*($AP$3+#REF!),-1),""))</f>
        <v/>
      </c>
      <c r="AO203" s="503" t="e">
        <v>#REF!</v>
      </c>
      <c r="AP203" s="503" t="str">
        <f>IF($G203="","",IF(AND($G203&gt;=30,$AT$3&lt;=AO$7),ROUND(AO203*($AP$3+#REF!),-1),""))</f>
        <v/>
      </c>
      <c r="AQ203" s="503" t="s">
        <v>621</v>
      </c>
      <c r="AR203" s="503" t="str">
        <f>IF($G203="","",IF(AND($G203&gt;=30,$AT$3&lt;=AQ$7),ROUND(AQ203*($AP$3+#REF!),-1),""))</f>
        <v/>
      </c>
      <c r="AS203" s="503" t="s">
        <v>621</v>
      </c>
      <c r="AT203" s="503" t="str">
        <f>IF($G203="","",IF(AND($G203&gt;=30,$AT$3&lt;=AS$7),ROUND(AS203*($AP$3+#REF!),-1),""))</f>
        <v/>
      </c>
      <c r="AU203" s="503" t="s">
        <v>621</v>
      </c>
      <c r="AV203" s="503" t="str">
        <f>IF($G203="","",IF(AND($G203&gt;=30,$AT$3&lt;=AU$7),ROUND(AU203*($AP$3+#REF!),-1),""))</f>
        <v/>
      </c>
      <c r="AW203" s="503" t="s">
        <v>621</v>
      </c>
      <c r="AX203" s="503" t="str">
        <f>IF($G203="","",IF(AND($G203&gt;=30,$AT$3&lt;=AW$7),ROUND(AW203*($AP$3+#REF!),-1),""))</f>
        <v/>
      </c>
      <c r="AY203" s="503" t="s">
        <v>621</v>
      </c>
      <c r="AZ203" s="503" t="str">
        <f>IF($G203="","",IF(AND($G203&gt;=30,$AT$3&lt;=AY$7),ROUND(AY203*($AP$3+#REF!),-1),""))</f>
        <v/>
      </c>
      <c r="BA203" s="503" t="s">
        <v>621</v>
      </c>
      <c r="BB203" s="503" t="str">
        <f>IF($G203="","",IF(AND($G203&gt;=30,$AT$3&lt;=BA$7),ROUND(BA203*($AP$3+#REF!),-1),""))</f>
        <v/>
      </c>
      <c r="BC203" s="503" t="s">
        <v>621</v>
      </c>
      <c r="BD203" s="503" t="str">
        <f>IF($G203="","",IF(AND($G203&gt;=30,$AT$3&lt;=BC$7),ROUND(BC203*($AP$3+#REF!),-1),""))</f>
        <v/>
      </c>
      <c r="BE203" s="503" t="s">
        <v>621</v>
      </c>
      <c r="BF203" s="503" t="str">
        <f>IF($G203="","",IF(AND($G203&gt;=30,$AT$3&lt;=BE$7),ROUND(BE203*($AP$3+#REF!),-1),""))</f>
        <v/>
      </c>
      <c r="BG203" s="503" t="s">
        <v>621</v>
      </c>
      <c r="BH203" s="503" t="str">
        <f>IF($G203="","",IF(AND($G203&gt;=30,$AT$3&lt;=BG$7),ROUND(BG203*($AP$3+#REF!),-1),""))</f>
        <v/>
      </c>
      <c r="BI203" s="503" t="s">
        <v>621</v>
      </c>
      <c r="BJ203" s="503" t="str">
        <f>IF($G203="","",IF(AND($G203&gt;=30,$AT$3&lt;=BI$7),ROUND(BI203*($AP$3+#REF!),-1),""))</f>
        <v/>
      </c>
      <c r="BK203" s="503" t="s">
        <v>621</v>
      </c>
      <c r="BL203" s="503" t="str">
        <f>IF($G203="","",IF(AND($G203&gt;=30,$AT$3&lt;=BK$7),ROUND(BK203*($AP$3+#REF!),-1),""))</f>
        <v/>
      </c>
      <c r="BM203" s="517" t="e">
        <v>#REF!</v>
      </c>
      <c r="BN203" s="503" t="str">
        <f>IF($G203="","",IF(AND($G203&gt;=30,$AT$3&lt;=BM$7),ROUND(BM203*($AP$3+#REF!),-1),""))</f>
        <v/>
      </c>
      <c r="BO203" s="502"/>
      <c r="BP203" s="503" t="str">
        <f>IF($G203="","",IF(AND($G203&gt;=30,$AT$3&lt;=BO$7),ROUND(BO203*($AP$3+#REF!),-1),""))</f>
        <v/>
      </c>
      <c r="BQ203" s="503"/>
      <c r="BR203" s="503" t="str">
        <f>IF($G203="","",IF(AND($G203&gt;=30,$AT$3&lt;=BQ$7),ROUND(BQ203*($AP$3+#REF!),-1),""))</f>
        <v/>
      </c>
      <c r="BS203" s="502"/>
      <c r="BT203" s="503" t="str">
        <f>IF($G203="","",IF(AND($G203&gt;=30,$AT$3&lt;=BS$7),ROUND(BS203*($AP$3+#REF!),-1),""))</f>
        <v/>
      </c>
      <c r="BU203" s="503"/>
      <c r="BV203" s="503" t="str">
        <f>IF($G203="","",IF(AND($G203&gt;=30,$AT$3&lt;=BU$7),ROUND(BU203*($AP$3+#REF!),-1),""))</f>
        <v/>
      </c>
      <c r="BW203" s="502"/>
      <c r="BX203" s="503" t="str">
        <f>IF($G203="","",IF(AND($G203&gt;=30,$AT$3&lt;=BW$7),ROUND(BW203*($AP$3+#REF!),-1),""))</f>
        <v/>
      </c>
      <c r="BY203" s="503"/>
      <c r="BZ203" s="503" t="str">
        <f>IF($G203="","",IF(AND($G203&gt;=30,$AT$3&lt;=BY$7),ROUND(BY203*($AP$3+#REF!),-1),""))</f>
        <v/>
      </c>
      <c r="CA203" s="502"/>
      <c r="CB203" s="503" t="str">
        <f>IF($G203="","",IF(AND($G203&gt;=30,$AT$3&lt;=CA$7),ROUND(CA203*($AP$3+#REF!),-1),""))</f>
        <v/>
      </c>
      <c r="CC203" s="503"/>
      <c r="CD203" s="503" t="str">
        <f>IF($G203="","",IF(AND($G203&gt;=30,$AT$3&lt;=CC$7),ROUND(CC203*($AP$3+#REF!),-1),""))</f>
        <v/>
      </c>
      <c r="CE203" s="502"/>
      <c r="CF203" s="503" t="str">
        <f>IF($G203="","",IF(AND($G203&gt;=30,$AT$3&lt;=CE$7),ROUND(CE203*($AP$3+#REF!),-1),""))</f>
        <v/>
      </c>
      <c r="CG203" s="503"/>
      <c r="CH203" s="503" t="str">
        <f>IF($G203="","",IF(AND($G203&gt;=30,$AT$3&lt;=CG$7),ROUND(CG203*($AP$3+#REF!),-1),""))</f>
        <v/>
      </c>
      <c r="CI203" s="502"/>
      <c r="CJ203" s="503" t="str">
        <f>IF($G203="","",IF(AND($G203&gt;=30,$AT$3&lt;=CI$7),ROUND(CI203*($AP$3+#REF!),-1),""))</f>
        <v/>
      </c>
      <c r="CK203" s="503"/>
      <c r="CL203" s="503" t="str">
        <f>IF($G203="","",IF(AND($G203&gt;=30,$AT$3&lt;=CK$7),ROUND(CK203*($AP$3+#REF!),-1),""))</f>
        <v/>
      </c>
      <c r="CM203" s="502"/>
      <c r="CN203" s="503" t="str">
        <f>IF($G203="","",IF(AND($G203&gt;=30,$AT$3&lt;=CM$7),ROUND(CM203*($AP$3+#REF!),-1),""))</f>
        <v/>
      </c>
      <c r="CO203" s="503"/>
      <c r="CP203" s="503" t="str">
        <f>IF($G203="","",IF(AND($G203&gt;=30,$AT$3&lt;=CO$7),ROUND(CO203*($AP$3+#REF!),-1),""))</f>
        <v/>
      </c>
      <c r="CQ203" s="502"/>
      <c r="CR203" s="503" t="str">
        <f>IF($G203="","",IF(AND($G203&gt;=30,$AT$3&lt;=CQ$7),ROUND(CQ203*($AP$3+#REF!),-1),""))</f>
        <v/>
      </c>
      <c r="CS203" s="503"/>
      <c r="CT203" s="503" t="str">
        <f>IF($G203="","",IF(AND($G203&gt;=30,$AT$3&lt;=CS$7),ROUND(CS203*($AP$3+#REF!),-1),""))</f>
        <v/>
      </c>
      <c r="CU203" s="502"/>
      <c r="CV203" s="503" t="str">
        <f>IF($G203="","",IF(AND($G203&gt;=30,$AT$3&lt;=CU$7),ROUND(CU203*($AP$3+#REF!),-1),""))</f>
        <v/>
      </c>
      <c r="CW203" s="503"/>
      <c r="CX203" s="503" t="str">
        <f>IF($G203="","",IF(AND($G203&gt;=30,$AT$3&lt;=CW$7),ROUND(CW203*($AP$3+#REF!),-1),""))</f>
        <v/>
      </c>
      <c r="CY203" s="502"/>
      <c r="CZ203" s="503" t="str">
        <f>IF($G203="","",IF(AND($G203&gt;=30,$AT$3&lt;=CY$7),ROUND(CY203*($AP$3+#REF!),-1),""))</f>
        <v/>
      </c>
      <c r="DA203" s="503"/>
      <c r="DB203" s="503" t="str">
        <f>IF($G203="","",IF(AND($G203&gt;=30,$AT$3&lt;=DA$7),ROUND(DA203*($AP$3+#REF!),-1),""))</f>
        <v/>
      </c>
      <c r="DC203" s="502"/>
      <c r="DD203" s="503" t="str">
        <f>IF($G203="","",IF(AND($G203&gt;=30,$AT$3&lt;=DC$7),ROUND(DC203*($AP$3+#REF!),-1),""))</f>
        <v/>
      </c>
      <c r="DE203" s="503"/>
      <c r="DF203" s="503" t="str">
        <f>IF($G203="","",IF(AND($G203&gt;=30,$AT$3&lt;=DE$7),ROUND(DE203*($AP$3+#REF!),-1),""))</f>
        <v/>
      </c>
      <c r="DG203" s="503"/>
      <c r="DH203" s="503" t="str">
        <f>IF($G203="","",IF(AND($G203&gt;=30,$AT$3&lt;=DG$7),ROUND(DG203*($AP$3+#REF!),-1),""))</f>
        <v/>
      </c>
      <c r="DI203" s="503"/>
      <c r="DJ203" s="503" t="str">
        <f>IF($G203="","",IF(AND($G203&gt;=30,$AT$3&lt;=DI$7),ROUND(DI203*($AP$3+#REF!),-1),""))</f>
        <v/>
      </c>
      <c r="DK203" s="503"/>
      <c r="DL203" s="503" t="str">
        <f>IF($G203="","",IF(AND($G203&gt;=30,$AT$3&lt;=DK$7),ROUND(DK203*($AP$3+#REF!),-1),""))</f>
        <v/>
      </c>
      <c r="DM203" s="503"/>
      <c r="DN203" s="503" t="str">
        <f>IF($G203="","",IF(AND($G203&gt;=30,$AT$3&lt;=DM$7),ROUND(DM203*($AP$3+#REF!),-1),""))</f>
        <v/>
      </c>
      <c r="DO203" s="503"/>
      <c r="DP203" s="503" t="str">
        <f>IF($G203="","",IF(AND($G203&gt;=30,$AT$3&lt;=DO$7),ROUND(DO203*($AP$3+#REF!),-1),""))</f>
        <v/>
      </c>
      <c r="DQ203" s="503"/>
      <c r="DR203" s="503" t="str">
        <f>IF($G203="","",IF(AND($G203&gt;=30,$AT$3&lt;=DQ$7),ROUND(DQ203*($AP$3+#REF!),-1),""))</f>
        <v/>
      </c>
      <c r="DS203" s="503"/>
      <c r="DT203" s="503" t="str">
        <f>IF($G203="","",IF(AND($G203&gt;=30,$AT$3&lt;=DS$7),ROUND(DS203*($AP$3+#REF!),-1),""))</f>
        <v/>
      </c>
      <c r="DU203" s="503"/>
      <c r="DV203" s="503" t="str">
        <f>IF($G203="","",IF(AND($G203&gt;=30,$AT$3&lt;=DU$7),ROUND(DU203*($AP$3+#REF!),-1),""))</f>
        <v/>
      </c>
      <c r="DW203" s="503"/>
      <c r="DX203" s="503" t="str">
        <f>IF($G203="","",IF(AND($G203&gt;=30,$AT$3&lt;=DW$7),ROUND(DW203*($AP$3+#REF!),-1),""))</f>
        <v/>
      </c>
      <c r="DY203" s="503"/>
      <c r="DZ203" s="503" t="str">
        <f>IF($G203="","",IF(AND($G203&gt;=30,$AT$3&lt;=DY$7),ROUND(DY203*($AP$3+#REF!),-1),""))</f>
        <v/>
      </c>
      <c r="EA203" s="503"/>
      <c r="EB203" s="503" t="str">
        <f>IF($G203="","",IF(AND($G203&gt;=30,$AT$3&lt;=EA$7),ROUND(EA203*($AP$3+#REF!),-1),""))</f>
        <v/>
      </c>
      <c r="EC203" s="504" t="s">
        <v>621</v>
      </c>
      <c r="ED203" s="1124"/>
      <c r="EE203" s="325">
        <v>3</v>
      </c>
    </row>
    <row r="204" spans="1:135" ht="9.75" customHeight="1">
      <c r="A204" s="321" t="str">
        <f t="shared" si="54"/>
        <v/>
      </c>
      <c r="B204" s="567">
        <f>(ii!$D$13*12+V204)+1</f>
        <v>98</v>
      </c>
      <c r="C204" s="337">
        <f t="shared" si="58"/>
        <v>48334</v>
      </c>
      <c r="D204" s="484">
        <f t="shared" si="47"/>
        <v>2032</v>
      </c>
      <c r="E204" s="484">
        <f t="shared" si="45"/>
        <v>0.33333333333333331</v>
      </c>
      <c r="F204" s="484">
        <f t="shared" si="48"/>
        <v>2032.3333333333333</v>
      </c>
      <c r="G204" s="485" t="str">
        <f>IF(OR(C204&lt;$I$2,C204&gt;$J$3),"",(ii!$D$13*12+V204+1)/12)</f>
        <v/>
      </c>
      <c r="H204" s="486"/>
      <c r="I204" s="486"/>
      <c r="J204" s="487"/>
      <c r="K204" s="488"/>
      <c r="L204" s="548"/>
      <c r="M204" s="489" t="str">
        <f t="shared" si="49"/>
        <v/>
      </c>
      <c r="N204" s="490" t="s">
        <v>621</v>
      </c>
      <c r="O204" s="490" t="str">
        <f t="shared" si="56"/>
        <v/>
      </c>
      <c r="P204" s="491"/>
      <c r="Q204" s="491"/>
      <c r="R204" s="491" t="str">
        <f t="shared" si="57"/>
        <v/>
      </c>
      <c r="S204" s="528" t="str">
        <f t="shared" si="55"/>
        <v/>
      </c>
      <c r="T204" s="528" t="str">
        <f t="shared" si="53"/>
        <v/>
      </c>
      <c r="U204" s="493" t="str">
        <f>IF(H204="","",#REF!*12+#REF!+#REF!*12+#REF!)</f>
        <v/>
      </c>
      <c r="V204" s="338">
        <f>IF(ii!$J$3&gt;gg!C204,"",IF(AND((YEAR(C204)=YEAR($I$2)),MONTH(C204)=MONTH($I$2)),ii!$B$14*12+ii!$C$14+ii!$B$15*12+ii!$C$15-1,V203+1))</f>
        <v>97</v>
      </c>
      <c r="W204" s="339">
        <f t="shared" si="46"/>
        <v>8.0833333333333339</v>
      </c>
      <c r="X204" s="494" t="s">
        <v>621</v>
      </c>
      <c r="Y204" s="495" t="s">
        <v>621</v>
      </c>
      <c r="Z204" s="496"/>
      <c r="AA204" s="497"/>
      <c r="AB204" s="498" t="e">
        <f t="shared" si="52"/>
        <v>#VALUE!</v>
      </c>
      <c r="AC204" s="484" t="str">
        <f t="shared" si="50"/>
        <v/>
      </c>
      <c r="AD204" s="495" t="str">
        <f t="shared" si="51"/>
        <v/>
      </c>
      <c r="AE204" s="499" t="s">
        <v>621</v>
      </c>
      <c r="AF204" s="500" t="s">
        <v>621</v>
      </c>
      <c r="AG204" s="556" t="s">
        <v>621</v>
      </c>
      <c r="AH204" s="503" t="str">
        <f>IF($G204="","",IF(AND($G204&gt;=30,$AT$3&lt;=AG$7),ROUND(AG204*($AP$3+#REF!),-1),""))</f>
        <v/>
      </c>
      <c r="AI204" s="506" t="s">
        <v>621</v>
      </c>
      <c r="AJ204" s="503" t="str">
        <f>IF($G204="","",IF(AND($G204&gt;=30,$AT$3&lt;=AI$7),ROUND(AI204*($AP$3+#REF!),-1),""))</f>
        <v/>
      </c>
      <c r="AK204" s="506" t="s">
        <v>621</v>
      </c>
      <c r="AL204" s="503" t="str">
        <f>IF($G204="","",IF(AND($G204&gt;=30,$AT$3&lt;=AK$7),ROUND(AK204*($AP$3+#REF!),-1),""))</f>
        <v/>
      </c>
      <c r="AM204" s="506" t="s">
        <v>621</v>
      </c>
      <c r="AN204" s="503" t="str">
        <f>IF($G204="","",IF(AND($G204&gt;=30,$AT$3&lt;=AM$7),ROUND(AM204*($AP$3+#REF!),-1),""))</f>
        <v/>
      </c>
      <c r="AO204" s="503" t="e">
        <v>#REF!</v>
      </c>
      <c r="AP204" s="503" t="str">
        <f>IF($G204="","",IF(AND($G204&gt;=30,$AT$3&lt;=AO$7),ROUND(AO204*($AP$3+#REF!),-1),""))</f>
        <v/>
      </c>
      <c r="AQ204" s="503" t="s">
        <v>621</v>
      </c>
      <c r="AR204" s="503" t="str">
        <f>IF($G204="","",IF(AND($G204&gt;=30,$AT$3&lt;=AQ$7),ROUND(AQ204*($AP$3+#REF!),-1),""))</f>
        <v/>
      </c>
      <c r="AS204" s="503" t="s">
        <v>621</v>
      </c>
      <c r="AT204" s="503" t="str">
        <f>IF($G204="","",IF(AND($G204&gt;=30,$AT$3&lt;=AS$7),ROUND(AS204*($AP$3+#REF!),-1),""))</f>
        <v/>
      </c>
      <c r="AU204" s="503" t="s">
        <v>621</v>
      </c>
      <c r="AV204" s="503" t="str">
        <f>IF($G204="","",IF(AND($G204&gt;=30,$AT$3&lt;=AU$7),ROUND(AU204*($AP$3+#REF!),-1),""))</f>
        <v/>
      </c>
      <c r="AW204" s="503" t="s">
        <v>621</v>
      </c>
      <c r="AX204" s="503" t="str">
        <f>IF($G204="","",IF(AND($G204&gt;=30,$AT$3&lt;=AW$7),ROUND(AW204*($AP$3+#REF!),-1),""))</f>
        <v/>
      </c>
      <c r="AY204" s="503" t="s">
        <v>621</v>
      </c>
      <c r="AZ204" s="503" t="str">
        <f>IF($G204="","",IF(AND($G204&gt;=30,$AT$3&lt;=AY$7),ROUND(AY204*($AP$3+#REF!),-1),""))</f>
        <v/>
      </c>
      <c r="BA204" s="503" t="s">
        <v>621</v>
      </c>
      <c r="BB204" s="503" t="str">
        <f>IF($G204="","",IF(AND($G204&gt;=30,$AT$3&lt;=BA$7),ROUND(BA204*($AP$3+#REF!),-1),""))</f>
        <v/>
      </c>
      <c r="BC204" s="503" t="s">
        <v>621</v>
      </c>
      <c r="BD204" s="503" t="str">
        <f>IF($G204="","",IF(AND($G204&gt;=30,$AT$3&lt;=BC$7),ROUND(BC204*($AP$3+#REF!),-1),""))</f>
        <v/>
      </c>
      <c r="BE204" s="503" t="s">
        <v>621</v>
      </c>
      <c r="BF204" s="503" t="str">
        <f>IF($G204="","",IF(AND($G204&gt;=30,$AT$3&lt;=BE$7),ROUND(BE204*($AP$3+#REF!),-1),""))</f>
        <v/>
      </c>
      <c r="BG204" s="503" t="s">
        <v>621</v>
      </c>
      <c r="BH204" s="503" t="str">
        <f>IF($G204="","",IF(AND($G204&gt;=30,$AT$3&lt;=BG$7),ROUND(BG204*($AP$3+#REF!),-1),""))</f>
        <v/>
      </c>
      <c r="BI204" s="503" t="s">
        <v>621</v>
      </c>
      <c r="BJ204" s="503" t="str">
        <f>IF($G204="","",IF(AND($G204&gt;=30,$AT$3&lt;=BI$7),ROUND(BI204*($AP$3+#REF!),-1),""))</f>
        <v/>
      </c>
      <c r="BK204" s="503" t="s">
        <v>621</v>
      </c>
      <c r="BL204" s="503" t="str">
        <f>IF($G204="","",IF(AND($G204&gt;=30,$AT$3&lt;=BK$7),ROUND(BK204*($AP$3+#REF!),-1),""))</f>
        <v/>
      </c>
      <c r="BM204" s="517" t="e">
        <v>#REF!</v>
      </c>
      <c r="BN204" s="503" t="str">
        <f>IF($G204="","",IF(AND($G204&gt;=30,$AT$3&lt;=BM$7),ROUND(BM204*($AP$3+#REF!),-1),""))</f>
        <v/>
      </c>
      <c r="BO204" s="502"/>
      <c r="BP204" s="503" t="str">
        <f>IF($G204="","",IF(AND($G204&gt;=30,$AT$3&lt;=BO$7),ROUND(BO204*($AP$3+#REF!),-1),""))</f>
        <v/>
      </c>
      <c r="BQ204" s="503"/>
      <c r="BR204" s="503" t="str">
        <f>IF($G204="","",IF(AND($G204&gt;=30,$AT$3&lt;=BQ$7),ROUND(BQ204*($AP$3+#REF!),-1),""))</f>
        <v/>
      </c>
      <c r="BS204" s="502"/>
      <c r="BT204" s="503" t="str">
        <f>IF($G204="","",IF(AND($G204&gt;=30,$AT$3&lt;=BS$7),ROUND(BS204*($AP$3+#REF!),-1),""))</f>
        <v/>
      </c>
      <c r="BU204" s="503"/>
      <c r="BV204" s="503" t="str">
        <f>IF($G204="","",IF(AND($G204&gt;=30,$AT$3&lt;=BU$7),ROUND(BU204*($AP$3+#REF!),-1),""))</f>
        <v/>
      </c>
      <c r="BW204" s="502"/>
      <c r="BX204" s="503" t="str">
        <f>IF($G204="","",IF(AND($G204&gt;=30,$AT$3&lt;=BW$7),ROUND(BW204*($AP$3+#REF!),-1),""))</f>
        <v/>
      </c>
      <c r="BY204" s="503"/>
      <c r="BZ204" s="503" t="str">
        <f>IF($G204="","",IF(AND($G204&gt;=30,$AT$3&lt;=BY$7),ROUND(BY204*($AP$3+#REF!),-1),""))</f>
        <v/>
      </c>
      <c r="CA204" s="502"/>
      <c r="CB204" s="503" t="str">
        <f>IF($G204="","",IF(AND($G204&gt;=30,$AT$3&lt;=CA$7),ROUND(CA204*($AP$3+#REF!),-1),""))</f>
        <v/>
      </c>
      <c r="CC204" s="503"/>
      <c r="CD204" s="503" t="str">
        <f>IF($G204="","",IF(AND($G204&gt;=30,$AT$3&lt;=CC$7),ROUND(CC204*($AP$3+#REF!),-1),""))</f>
        <v/>
      </c>
      <c r="CE204" s="502"/>
      <c r="CF204" s="503" t="str">
        <f>IF($G204="","",IF(AND($G204&gt;=30,$AT$3&lt;=CE$7),ROUND(CE204*($AP$3+#REF!),-1),""))</f>
        <v/>
      </c>
      <c r="CG204" s="503"/>
      <c r="CH204" s="503" t="str">
        <f>IF($G204="","",IF(AND($G204&gt;=30,$AT$3&lt;=CG$7),ROUND(CG204*($AP$3+#REF!),-1),""))</f>
        <v/>
      </c>
      <c r="CI204" s="502"/>
      <c r="CJ204" s="503" t="str">
        <f>IF($G204="","",IF(AND($G204&gt;=30,$AT$3&lt;=CI$7),ROUND(CI204*($AP$3+#REF!),-1),""))</f>
        <v/>
      </c>
      <c r="CK204" s="503"/>
      <c r="CL204" s="503" t="str">
        <f>IF($G204="","",IF(AND($G204&gt;=30,$AT$3&lt;=CK$7),ROUND(CK204*($AP$3+#REF!),-1),""))</f>
        <v/>
      </c>
      <c r="CM204" s="502"/>
      <c r="CN204" s="503" t="str">
        <f>IF($G204="","",IF(AND($G204&gt;=30,$AT$3&lt;=CM$7),ROUND(CM204*($AP$3+#REF!),-1),""))</f>
        <v/>
      </c>
      <c r="CO204" s="503"/>
      <c r="CP204" s="503" t="str">
        <f>IF($G204="","",IF(AND($G204&gt;=30,$AT$3&lt;=CO$7),ROUND(CO204*($AP$3+#REF!),-1),""))</f>
        <v/>
      </c>
      <c r="CQ204" s="502"/>
      <c r="CR204" s="503" t="str">
        <f>IF($G204="","",IF(AND($G204&gt;=30,$AT$3&lt;=CQ$7),ROUND(CQ204*($AP$3+#REF!),-1),""))</f>
        <v/>
      </c>
      <c r="CS204" s="503"/>
      <c r="CT204" s="503" t="str">
        <f>IF($G204="","",IF(AND($G204&gt;=30,$AT$3&lt;=CS$7),ROUND(CS204*($AP$3+#REF!),-1),""))</f>
        <v/>
      </c>
      <c r="CU204" s="502"/>
      <c r="CV204" s="503" t="str">
        <f>IF($G204="","",IF(AND($G204&gt;=30,$AT$3&lt;=CU$7),ROUND(CU204*($AP$3+#REF!),-1),""))</f>
        <v/>
      </c>
      <c r="CW204" s="503"/>
      <c r="CX204" s="503" t="str">
        <f>IF($G204="","",IF(AND($G204&gt;=30,$AT$3&lt;=CW$7),ROUND(CW204*($AP$3+#REF!),-1),""))</f>
        <v/>
      </c>
      <c r="CY204" s="502"/>
      <c r="CZ204" s="503" t="str">
        <f>IF($G204="","",IF(AND($G204&gt;=30,$AT$3&lt;=CY$7),ROUND(CY204*($AP$3+#REF!),-1),""))</f>
        <v/>
      </c>
      <c r="DA204" s="503"/>
      <c r="DB204" s="503" t="str">
        <f>IF($G204="","",IF(AND($G204&gt;=30,$AT$3&lt;=DA$7),ROUND(DA204*($AP$3+#REF!),-1),""))</f>
        <v/>
      </c>
      <c r="DC204" s="502"/>
      <c r="DD204" s="503" t="str">
        <f>IF($G204="","",IF(AND($G204&gt;=30,$AT$3&lt;=DC$7),ROUND(DC204*($AP$3+#REF!),-1),""))</f>
        <v/>
      </c>
      <c r="DE204" s="503"/>
      <c r="DF204" s="503" t="str">
        <f>IF($G204="","",IF(AND($G204&gt;=30,$AT$3&lt;=DE$7),ROUND(DE204*($AP$3+#REF!),-1),""))</f>
        <v/>
      </c>
      <c r="DG204" s="503"/>
      <c r="DH204" s="503" t="str">
        <f>IF($G204="","",IF(AND($G204&gt;=30,$AT$3&lt;=DG$7),ROUND(DG204*($AP$3+#REF!),-1),""))</f>
        <v/>
      </c>
      <c r="DI204" s="503"/>
      <c r="DJ204" s="503" t="str">
        <f>IF($G204="","",IF(AND($G204&gt;=30,$AT$3&lt;=DI$7),ROUND(DI204*($AP$3+#REF!),-1),""))</f>
        <v/>
      </c>
      <c r="DK204" s="503"/>
      <c r="DL204" s="503" t="str">
        <f>IF($G204="","",IF(AND($G204&gt;=30,$AT$3&lt;=DK$7),ROUND(DK204*($AP$3+#REF!),-1),""))</f>
        <v/>
      </c>
      <c r="DM204" s="503"/>
      <c r="DN204" s="503" t="str">
        <f>IF($G204="","",IF(AND($G204&gt;=30,$AT$3&lt;=DM$7),ROUND(DM204*($AP$3+#REF!),-1),""))</f>
        <v/>
      </c>
      <c r="DO204" s="503"/>
      <c r="DP204" s="503" t="str">
        <f>IF($G204="","",IF(AND($G204&gt;=30,$AT$3&lt;=DO$7),ROUND(DO204*($AP$3+#REF!),-1),""))</f>
        <v/>
      </c>
      <c r="DQ204" s="503"/>
      <c r="DR204" s="503" t="str">
        <f>IF($G204="","",IF(AND($G204&gt;=30,$AT$3&lt;=DQ$7),ROUND(DQ204*($AP$3+#REF!),-1),""))</f>
        <v/>
      </c>
      <c r="DS204" s="503"/>
      <c r="DT204" s="503" t="str">
        <f>IF($G204="","",IF(AND($G204&gt;=30,$AT$3&lt;=DS$7),ROUND(DS204*($AP$3+#REF!),-1),""))</f>
        <v/>
      </c>
      <c r="DU204" s="503"/>
      <c r="DV204" s="503" t="str">
        <f>IF($G204="","",IF(AND($G204&gt;=30,$AT$3&lt;=DU$7),ROUND(DU204*($AP$3+#REF!),-1),""))</f>
        <v/>
      </c>
      <c r="DW204" s="503"/>
      <c r="DX204" s="503" t="str">
        <f>IF($G204="","",IF(AND($G204&gt;=30,$AT$3&lt;=DW$7),ROUND(DW204*($AP$3+#REF!),-1),""))</f>
        <v/>
      </c>
      <c r="DY204" s="503"/>
      <c r="DZ204" s="503" t="str">
        <f>IF($G204="","",IF(AND($G204&gt;=30,$AT$3&lt;=DY$7),ROUND(DY204*($AP$3+#REF!),-1),""))</f>
        <v/>
      </c>
      <c r="EA204" s="503"/>
      <c r="EB204" s="503" t="str">
        <f>IF($G204="","",IF(AND($G204&gt;=30,$AT$3&lt;=EA$7),ROUND(EA204*($AP$3+#REF!),-1),""))</f>
        <v/>
      </c>
      <c r="EC204" s="504" t="s">
        <v>621</v>
      </c>
      <c r="ED204" s="1124"/>
      <c r="EE204" s="325">
        <v>4</v>
      </c>
    </row>
    <row r="205" spans="1:135" ht="9.75" customHeight="1">
      <c r="A205" s="321" t="str">
        <f t="shared" si="54"/>
        <v/>
      </c>
      <c r="B205" s="567">
        <f>(ii!$D$13*12+V205)+1</f>
        <v>99</v>
      </c>
      <c r="C205" s="337">
        <f t="shared" si="58"/>
        <v>48365</v>
      </c>
      <c r="D205" s="484">
        <f t="shared" si="47"/>
        <v>2032</v>
      </c>
      <c r="E205" s="484">
        <f t="shared" si="45"/>
        <v>0.41666666666666669</v>
      </c>
      <c r="F205" s="484">
        <f t="shared" si="48"/>
        <v>2032.4166666666667</v>
      </c>
      <c r="G205" s="485" t="str">
        <f>IF(OR(C205&lt;$I$2,C205&gt;$J$3),"",(ii!$D$13*12+V205+1)/12)</f>
        <v/>
      </c>
      <c r="H205" s="486"/>
      <c r="I205" s="486"/>
      <c r="J205" s="507"/>
      <c r="K205" s="508"/>
      <c r="L205" s="548"/>
      <c r="M205" s="489" t="str">
        <f t="shared" si="49"/>
        <v/>
      </c>
      <c r="N205" s="490" t="s">
        <v>621</v>
      </c>
      <c r="O205" s="490" t="str">
        <f t="shared" si="56"/>
        <v/>
      </c>
      <c r="P205" s="507"/>
      <c r="Q205" s="507"/>
      <c r="R205" s="491" t="str">
        <f t="shared" si="57"/>
        <v/>
      </c>
      <c r="S205" s="528" t="str">
        <f t="shared" si="55"/>
        <v/>
      </c>
      <c r="T205" s="528" t="str">
        <f t="shared" si="53"/>
        <v/>
      </c>
      <c r="U205" s="493" t="str">
        <f>IF(H205="","",#REF!*12+#REF!+#REF!*12+#REF!)</f>
        <v/>
      </c>
      <c r="V205" s="338">
        <f>IF(ii!$J$3&gt;gg!C205,"",IF(AND((YEAR(C205)=YEAR($I$2)),MONTH(C205)=MONTH($I$2)),ii!$B$14*12+ii!$C$14+ii!$B$15*12+ii!$C$15-1,V204+1))</f>
        <v>98</v>
      </c>
      <c r="W205" s="339">
        <f t="shared" si="46"/>
        <v>8.1666666666666661</v>
      </c>
      <c r="X205" s="494" t="s">
        <v>621</v>
      </c>
      <c r="Y205" s="495" t="s">
        <v>621</v>
      </c>
      <c r="Z205" s="496"/>
      <c r="AA205" s="497"/>
      <c r="AB205" s="498" t="e">
        <f t="shared" si="52"/>
        <v>#VALUE!</v>
      </c>
      <c r="AC205" s="484" t="str">
        <f t="shared" si="50"/>
        <v/>
      </c>
      <c r="AD205" s="495" t="str">
        <f t="shared" si="51"/>
        <v/>
      </c>
      <c r="AE205" s="499" t="s">
        <v>621</v>
      </c>
      <c r="AF205" s="500" t="s">
        <v>621</v>
      </c>
      <c r="AG205" s="556" t="s">
        <v>621</v>
      </c>
      <c r="AH205" s="503" t="str">
        <f>IF($G205="","",IF(AND($G205&gt;=30,$AT$3&lt;=AG$7),ROUND(AG205*($AP$3+#REF!),-1),""))</f>
        <v/>
      </c>
      <c r="AI205" s="506" t="s">
        <v>621</v>
      </c>
      <c r="AJ205" s="503" t="str">
        <f>IF($G205="","",IF(AND($G205&gt;=30,$AT$3&lt;=AI$7),ROUND(AI205*($AP$3+#REF!),-1),""))</f>
        <v/>
      </c>
      <c r="AK205" s="506" t="s">
        <v>621</v>
      </c>
      <c r="AL205" s="503" t="str">
        <f>IF($G205="","",IF(AND($G205&gt;=30,$AT$3&lt;=AK$7),ROUND(AK205*($AP$3+#REF!),-1),""))</f>
        <v/>
      </c>
      <c r="AM205" s="506" t="s">
        <v>621</v>
      </c>
      <c r="AN205" s="503" t="str">
        <f>IF($G205="","",IF(AND($G205&gt;=30,$AT$3&lt;=AM$7),ROUND(AM205*($AP$3+#REF!),-1),""))</f>
        <v/>
      </c>
      <c r="AO205" s="503" t="e">
        <v>#REF!</v>
      </c>
      <c r="AP205" s="503" t="str">
        <f>IF($G205="","",IF(AND($G205&gt;=30,$AT$3&lt;=AO$7),ROUND(AO205*($AP$3+#REF!),-1),""))</f>
        <v/>
      </c>
      <c r="AQ205" s="503" t="s">
        <v>621</v>
      </c>
      <c r="AR205" s="503" t="str">
        <f>IF($G205="","",IF(AND($G205&gt;=30,$AT$3&lt;=AQ$7),ROUND(AQ205*($AP$3+#REF!),-1),""))</f>
        <v/>
      </c>
      <c r="AS205" s="503" t="s">
        <v>621</v>
      </c>
      <c r="AT205" s="503" t="str">
        <f>IF($G205="","",IF(AND($G205&gt;=30,$AT$3&lt;=AS$7),ROUND(AS205*($AP$3+#REF!),-1),""))</f>
        <v/>
      </c>
      <c r="AU205" s="503" t="s">
        <v>621</v>
      </c>
      <c r="AV205" s="503" t="str">
        <f>IF($G205="","",IF(AND($G205&gt;=30,$AT$3&lt;=AU$7),ROUND(AU205*($AP$3+#REF!),-1),""))</f>
        <v/>
      </c>
      <c r="AW205" s="503" t="s">
        <v>621</v>
      </c>
      <c r="AX205" s="503" t="str">
        <f>IF($G205="","",IF(AND($G205&gt;=30,$AT$3&lt;=AW$7),ROUND(AW205*($AP$3+#REF!),-1),""))</f>
        <v/>
      </c>
      <c r="AY205" s="503" t="s">
        <v>621</v>
      </c>
      <c r="AZ205" s="503" t="str">
        <f>IF($G205="","",IF(AND($G205&gt;=30,$AT$3&lt;=AY$7),ROUND(AY205*($AP$3+#REF!),-1),""))</f>
        <v/>
      </c>
      <c r="BA205" s="503" t="s">
        <v>621</v>
      </c>
      <c r="BB205" s="503" t="str">
        <f>IF($G205="","",IF(AND($G205&gt;=30,$AT$3&lt;=BA$7),ROUND(BA205*($AP$3+#REF!),-1),""))</f>
        <v/>
      </c>
      <c r="BC205" s="503" t="s">
        <v>621</v>
      </c>
      <c r="BD205" s="503" t="str">
        <f>IF($G205="","",IF(AND($G205&gt;=30,$AT$3&lt;=BC$7),ROUND(BC205*($AP$3+#REF!),-1),""))</f>
        <v/>
      </c>
      <c r="BE205" s="503" t="s">
        <v>621</v>
      </c>
      <c r="BF205" s="503" t="str">
        <f>IF($G205="","",IF(AND($G205&gt;=30,$AT$3&lt;=BE$7),ROUND(BE205*($AP$3+#REF!),-1),""))</f>
        <v/>
      </c>
      <c r="BG205" s="503" t="s">
        <v>621</v>
      </c>
      <c r="BH205" s="503" t="str">
        <f>IF($G205="","",IF(AND($G205&gt;=30,$AT$3&lt;=BG$7),ROUND(BG205*($AP$3+#REF!),-1),""))</f>
        <v/>
      </c>
      <c r="BI205" s="503" t="s">
        <v>621</v>
      </c>
      <c r="BJ205" s="503" t="str">
        <f>IF($G205="","",IF(AND($G205&gt;=30,$AT$3&lt;=BI$7),ROUND(BI205*($AP$3+#REF!),-1),""))</f>
        <v/>
      </c>
      <c r="BK205" s="503" t="s">
        <v>621</v>
      </c>
      <c r="BL205" s="503" t="str">
        <f>IF($G205="","",IF(AND($G205&gt;=30,$AT$3&lt;=BK$7),ROUND(BK205*($AP$3+#REF!),-1),""))</f>
        <v/>
      </c>
      <c r="BM205" s="517" t="e">
        <v>#REF!</v>
      </c>
      <c r="BN205" s="503" t="str">
        <f>IF($G205="","",IF(AND($G205&gt;=30,$AT$3&lt;=BM$7),ROUND(BM205*($AP$3+#REF!),-1),""))</f>
        <v/>
      </c>
      <c r="BO205" s="502"/>
      <c r="BP205" s="503" t="str">
        <f>IF($G205="","",IF(AND($G205&gt;=30,$AT$3&lt;=BO$7),ROUND(BO205*($AP$3+#REF!),-1),""))</f>
        <v/>
      </c>
      <c r="BQ205" s="503"/>
      <c r="BR205" s="503" t="str">
        <f>IF($G205="","",IF(AND($G205&gt;=30,$AT$3&lt;=BQ$7),ROUND(BQ205*($AP$3+#REF!),-1),""))</f>
        <v/>
      </c>
      <c r="BS205" s="502"/>
      <c r="BT205" s="503" t="str">
        <f>IF($G205="","",IF(AND($G205&gt;=30,$AT$3&lt;=BS$7),ROUND(BS205*($AP$3+#REF!),-1),""))</f>
        <v/>
      </c>
      <c r="BU205" s="503"/>
      <c r="BV205" s="503" t="str">
        <f>IF($G205="","",IF(AND($G205&gt;=30,$AT$3&lt;=BU$7),ROUND(BU205*($AP$3+#REF!),-1),""))</f>
        <v/>
      </c>
      <c r="BW205" s="502"/>
      <c r="BX205" s="503" t="str">
        <f>IF($G205="","",IF(AND($G205&gt;=30,$AT$3&lt;=BW$7),ROUND(BW205*($AP$3+#REF!),-1),""))</f>
        <v/>
      </c>
      <c r="BY205" s="503"/>
      <c r="BZ205" s="503" t="str">
        <f>IF($G205="","",IF(AND($G205&gt;=30,$AT$3&lt;=BY$7),ROUND(BY205*($AP$3+#REF!),-1),""))</f>
        <v/>
      </c>
      <c r="CA205" s="502"/>
      <c r="CB205" s="503" t="str">
        <f>IF($G205="","",IF(AND($G205&gt;=30,$AT$3&lt;=CA$7),ROUND(CA205*($AP$3+#REF!),-1),""))</f>
        <v/>
      </c>
      <c r="CC205" s="503"/>
      <c r="CD205" s="503" t="str">
        <f>IF($G205="","",IF(AND($G205&gt;=30,$AT$3&lt;=CC$7),ROUND(CC205*($AP$3+#REF!),-1),""))</f>
        <v/>
      </c>
      <c r="CE205" s="502"/>
      <c r="CF205" s="503" t="str">
        <f>IF($G205="","",IF(AND($G205&gt;=30,$AT$3&lt;=CE$7),ROUND(CE205*($AP$3+#REF!),-1),""))</f>
        <v/>
      </c>
      <c r="CG205" s="503"/>
      <c r="CH205" s="503" t="str">
        <f>IF($G205="","",IF(AND($G205&gt;=30,$AT$3&lt;=CG$7),ROUND(CG205*($AP$3+#REF!),-1),""))</f>
        <v/>
      </c>
      <c r="CI205" s="502"/>
      <c r="CJ205" s="503" t="str">
        <f>IF($G205="","",IF(AND($G205&gt;=30,$AT$3&lt;=CI$7),ROUND(CI205*($AP$3+#REF!),-1),""))</f>
        <v/>
      </c>
      <c r="CK205" s="503"/>
      <c r="CL205" s="503" t="str">
        <f>IF($G205="","",IF(AND($G205&gt;=30,$AT$3&lt;=CK$7),ROUND(CK205*($AP$3+#REF!),-1),""))</f>
        <v/>
      </c>
      <c r="CM205" s="502"/>
      <c r="CN205" s="503" t="str">
        <f>IF($G205="","",IF(AND($G205&gt;=30,$AT$3&lt;=CM$7),ROUND(CM205*($AP$3+#REF!),-1),""))</f>
        <v/>
      </c>
      <c r="CO205" s="503"/>
      <c r="CP205" s="503" t="str">
        <f>IF($G205="","",IF(AND($G205&gt;=30,$AT$3&lt;=CO$7),ROUND(CO205*($AP$3+#REF!),-1),""))</f>
        <v/>
      </c>
      <c r="CQ205" s="502"/>
      <c r="CR205" s="503" t="str">
        <f>IF($G205="","",IF(AND($G205&gt;=30,$AT$3&lt;=CQ$7),ROUND(CQ205*($AP$3+#REF!),-1),""))</f>
        <v/>
      </c>
      <c r="CS205" s="503"/>
      <c r="CT205" s="503" t="str">
        <f>IF($G205="","",IF(AND($G205&gt;=30,$AT$3&lt;=CS$7),ROUND(CS205*($AP$3+#REF!),-1),""))</f>
        <v/>
      </c>
      <c r="CU205" s="502"/>
      <c r="CV205" s="503" t="str">
        <f>IF($G205="","",IF(AND($G205&gt;=30,$AT$3&lt;=CU$7),ROUND(CU205*($AP$3+#REF!),-1),""))</f>
        <v/>
      </c>
      <c r="CW205" s="503"/>
      <c r="CX205" s="503" t="str">
        <f>IF($G205="","",IF(AND($G205&gt;=30,$AT$3&lt;=CW$7),ROUND(CW205*($AP$3+#REF!),-1),""))</f>
        <v/>
      </c>
      <c r="CY205" s="502"/>
      <c r="CZ205" s="503" t="str">
        <f>IF($G205="","",IF(AND($G205&gt;=30,$AT$3&lt;=CY$7),ROUND(CY205*($AP$3+#REF!),-1),""))</f>
        <v/>
      </c>
      <c r="DA205" s="503"/>
      <c r="DB205" s="503" t="str">
        <f>IF($G205="","",IF(AND($G205&gt;=30,$AT$3&lt;=DA$7),ROUND(DA205*($AP$3+#REF!),-1),""))</f>
        <v/>
      </c>
      <c r="DC205" s="502"/>
      <c r="DD205" s="503" t="str">
        <f>IF($G205="","",IF(AND($G205&gt;=30,$AT$3&lt;=DC$7),ROUND(DC205*($AP$3+#REF!),-1),""))</f>
        <v/>
      </c>
      <c r="DE205" s="503"/>
      <c r="DF205" s="503" t="str">
        <f>IF($G205="","",IF(AND($G205&gt;=30,$AT$3&lt;=DE$7),ROUND(DE205*($AP$3+#REF!),-1),""))</f>
        <v/>
      </c>
      <c r="DG205" s="503"/>
      <c r="DH205" s="503" t="str">
        <f>IF($G205="","",IF(AND($G205&gt;=30,$AT$3&lt;=DG$7),ROUND(DG205*($AP$3+#REF!),-1),""))</f>
        <v/>
      </c>
      <c r="DI205" s="503"/>
      <c r="DJ205" s="503" t="str">
        <f>IF($G205="","",IF(AND($G205&gt;=30,$AT$3&lt;=DI$7),ROUND(DI205*($AP$3+#REF!),-1),""))</f>
        <v/>
      </c>
      <c r="DK205" s="503"/>
      <c r="DL205" s="503" t="str">
        <f>IF($G205="","",IF(AND($G205&gt;=30,$AT$3&lt;=DK$7),ROUND(DK205*($AP$3+#REF!),-1),""))</f>
        <v/>
      </c>
      <c r="DM205" s="503"/>
      <c r="DN205" s="503" t="str">
        <f>IF($G205="","",IF(AND($G205&gt;=30,$AT$3&lt;=DM$7),ROUND(DM205*($AP$3+#REF!),-1),""))</f>
        <v/>
      </c>
      <c r="DO205" s="503"/>
      <c r="DP205" s="503" t="str">
        <f>IF($G205="","",IF(AND($G205&gt;=30,$AT$3&lt;=DO$7),ROUND(DO205*($AP$3+#REF!),-1),""))</f>
        <v/>
      </c>
      <c r="DQ205" s="503"/>
      <c r="DR205" s="503" t="str">
        <f>IF($G205="","",IF(AND($G205&gt;=30,$AT$3&lt;=DQ$7),ROUND(DQ205*($AP$3+#REF!),-1),""))</f>
        <v/>
      </c>
      <c r="DS205" s="503"/>
      <c r="DT205" s="503" t="str">
        <f>IF($G205="","",IF(AND($G205&gt;=30,$AT$3&lt;=DS$7),ROUND(DS205*($AP$3+#REF!),-1),""))</f>
        <v/>
      </c>
      <c r="DU205" s="503"/>
      <c r="DV205" s="503" t="str">
        <f>IF($G205="","",IF(AND($G205&gt;=30,$AT$3&lt;=DU$7),ROUND(DU205*($AP$3+#REF!),-1),""))</f>
        <v/>
      </c>
      <c r="DW205" s="503"/>
      <c r="DX205" s="503" t="str">
        <f>IF($G205="","",IF(AND($G205&gt;=30,$AT$3&lt;=DW$7),ROUND(DW205*($AP$3+#REF!),-1),""))</f>
        <v/>
      </c>
      <c r="DY205" s="503"/>
      <c r="DZ205" s="503" t="str">
        <f>IF($G205="","",IF(AND($G205&gt;=30,$AT$3&lt;=DY$7),ROUND(DY205*($AP$3+#REF!),-1),""))</f>
        <v/>
      </c>
      <c r="EA205" s="503"/>
      <c r="EB205" s="503" t="str">
        <f>IF($G205="","",IF(AND($G205&gt;=30,$AT$3&lt;=EA$7),ROUND(EA205*($AP$3+#REF!),-1),""))</f>
        <v/>
      </c>
      <c r="EC205" s="504" t="s">
        <v>621</v>
      </c>
      <c r="ED205" s="1124"/>
      <c r="EE205" s="325">
        <v>5</v>
      </c>
    </row>
    <row r="206" spans="1:135" ht="9.75" customHeight="1">
      <c r="A206" s="321" t="str">
        <f t="shared" si="54"/>
        <v/>
      </c>
      <c r="B206" s="567">
        <f>(ii!$D$13*12+V206)+1</f>
        <v>100</v>
      </c>
      <c r="C206" s="337">
        <f t="shared" si="58"/>
        <v>48395</v>
      </c>
      <c r="D206" s="484">
        <f t="shared" si="47"/>
        <v>2032</v>
      </c>
      <c r="E206" s="484">
        <f t="shared" ref="E206:E269" si="59">MONTH(C206)/12</f>
        <v>0.5</v>
      </c>
      <c r="F206" s="484">
        <f t="shared" si="48"/>
        <v>2032.5</v>
      </c>
      <c r="G206" s="485" t="str">
        <f>IF(OR(C206&lt;$I$2,C206&gt;$J$3),"",(ii!$D$13*12+V206+1)/12)</f>
        <v/>
      </c>
      <c r="H206" s="486"/>
      <c r="I206" s="486"/>
      <c r="J206" s="487"/>
      <c r="K206" s="488"/>
      <c r="L206" s="548"/>
      <c r="M206" s="489" t="str">
        <f t="shared" si="49"/>
        <v/>
      </c>
      <c r="N206" s="490" t="s">
        <v>621</v>
      </c>
      <c r="O206" s="490" t="str">
        <f t="shared" si="56"/>
        <v/>
      </c>
      <c r="P206" s="491"/>
      <c r="Q206" s="491"/>
      <c r="R206" s="491" t="str">
        <f t="shared" si="57"/>
        <v/>
      </c>
      <c r="S206" s="528" t="str">
        <f t="shared" si="55"/>
        <v/>
      </c>
      <c r="T206" s="528" t="str">
        <f t="shared" si="53"/>
        <v/>
      </c>
      <c r="U206" s="493" t="str">
        <f>IF(H206="","",#REF!*12+#REF!+#REF!*12+#REF!)</f>
        <v/>
      </c>
      <c r="V206" s="338">
        <f>IF(ii!$J$3&gt;gg!C206,"",IF(AND((YEAR(C206)=YEAR($I$2)),MONTH(C206)=MONTH($I$2)),ii!$B$14*12+ii!$C$14+ii!$B$15*12+ii!$C$15-1,V205+1))</f>
        <v>99</v>
      </c>
      <c r="W206" s="339">
        <f t="shared" si="46"/>
        <v>8.25</v>
      </c>
      <c r="X206" s="494" t="s">
        <v>621</v>
      </c>
      <c r="Y206" s="495" t="s">
        <v>621</v>
      </c>
      <c r="Z206" s="496"/>
      <c r="AA206" s="497"/>
      <c r="AB206" s="498" t="e">
        <f t="shared" si="52"/>
        <v>#VALUE!</v>
      </c>
      <c r="AC206" s="484" t="str">
        <f t="shared" si="50"/>
        <v/>
      </c>
      <c r="AD206" s="495" t="str">
        <f t="shared" si="51"/>
        <v/>
      </c>
      <c r="AE206" s="499" t="s">
        <v>621</v>
      </c>
      <c r="AF206" s="500" t="s">
        <v>621</v>
      </c>
      <c r="AG206" s="556" t="s">
        <v>621</v>
      </c>
      <c r="AH206" s="503" t="str">
        <f>IF($G206="","",IF(AND($G206&gt;=30,$AT$3&lt;=AG$7),ROUND(AG206*($AP$3+#REF!),-1),""))</f>
        <v/>
      </c>
      <c r="AI206" s="506" t="s">
        <v>621</v>
      </c>
      <c r="AJ206" s="503" t="str">
        <f>IF($G206="","",IF(AND($G206&gt;=30,$AT$3&lt;=AI$7),ROUND(AI206*($AP$3+#REF!),-1),""))</f>
        <v/>
      </c>
      <c r="AK206" s="506" t="s">
        <v>621</v>
      </c>
      <c r="AL206" s="503" t="str">
        <f>IF($G206="","",IF(AND($G206&gt;=30,$AT$3&lt;=AK$7),ROUND(AK206*($AP$3+#REF!),-1),""))</f>
        <v/>
      </c>
      <c r="AM206" s="506" t="s">
        <v>621</v>
      </c>
      <c r="AN206" s="503" t="str">
        <f>IF($G206="","",IF(AND($G206&gt;=30,$AT$3&lt;=AM$7),ROUND(AM206*($AP$3+#REF!),-1),""))</f>
        <v/>
      </c>
      <c r="AO206" s="503" t="e">
        <v>#REF!</v>
      </c>
      <c r="AP206" s="503" t="str">
        <f>IF($G206="","",IF(AND($G206&gt;=30,$AT$3&lt;=AO$7),ROUND(AO206*($AP$3+#REF!),-1),""))</f>
        <v/>
      </c>
      <c r="AQ206" s="503" t="s">
        <v>621</v>
      </c>
      <c r="AR206" s="503" t="str">
        <f>IF($G206="","",IF(AND($G206&gt;=30,$AT$3&lt;=AQ$7),ROUND(AQ206*($AP$3+#REF!),-1),""))</f>
        <v/>
      </c>
      <c r="AS206" s="503" t="s">
        <v>621</v>
      </c>
      <c r="AT206" s="503" t="str">
        <f>IF($G206="","",IF(AND($G206&gt;=30,$AT$3&lt;=AS$7),ROUND(AS206*($AP$3+#REF!),-1),""))</f>
        <v/>
      </c>
      <c r="AU206" s="503" t="s">
        <v>621</v>
      </c>
      <c r="AV206" s="503" t="str">
        <f>IF($G206="","",IF(AND($G206&gt;=30,$AT$3&lt;=AU$7),ROUND(AU206*($AP$3+#REF!),-1),""))</f>
        <v/>
      </c>
      <c r="AW206" s="503" t="s">
        <v>621</v>
      </c>
      <c r="AX206" s="503" t="str">
        <f>IF($G206="","",IF(AND($G206&gt;=30,$AT$3&lt;=AW$7),ROUND(AW206*($AP$3+#REF!),-1),""))</f>
        <v/>
      </c>
      <c r="AY206" s="503" t="s">
        <v>621</v>
      </c>
      <c r="AZ206" s="503" t="str">
        <f>IF($G206="","",IF(AND($G206&gt;=30,$AT$3&lt;=AY$7),ROUND(AY206*($AP$3+#REF!),-1),""))</f>
        <v/>
      </c>
      <c r="BA206" s="503" t="s">
        <v>621</v>
      </c>
      <c r="BB206" s="503" t="str">
        <f>IF($G206="","",IF(AND($G206&gt;=30,$AT$3&lt;=BA$7),ROUND(BA206*($AP$3+#REF!),-1),""))</f>
        <v/>
      </c>
      <c r="BC206" s="503" t="s">
        <v>621</v>
      </c>
      <c r="BD206" s="503" t="str">
        <f>IF($G206="","",IF(AND($G206&gt;=30,$AT$3&lt;=BC$7),ROUND(BC206*($AP$3+#REF!),-1),""))</f>
        <v/>
      </c>
      <c r="BE206" s="503" t="s">
        <v>621</v>
      </c>
      <c r="BF206" s="503" t="str">
        <f>IF($G206="","",IF(AND($G206&gt;=30,$AT$3&lt;=BE$7),ROUND(BE206*($AP$3+#REF!),-1),""))</f>
        <v/>
      </c>
      <c r="BG206" s="503" t="s">
        <v>621</v>
      </c>
      <c r="BH206" s="503" t="str">
        <f>IF($G206="","",IF(AND($G206&gt;=30,$AT$3&lt;=BG$7),ROUND(BG206*($AP$3+#REF!),-1),""))</f>
        <v/>
      </c>
      <c r="BI206" s="503" t="s">
        <v>621</v>
      </c>
      <c r="BJ206" s="503" t="str">
        <f>IF($G206="","",IF(AND($G206&gt;=30,$AT$3&lt;=BI$7),ROUND(BI206*($AP$3+#REF!),-1),""))</f>
        <v/>
      </c>
      <c r="BK206" s="503" t="s">
        <v>621</v>
      </c>
      <c r="BL206" s="503" t="str">
        <f>IF($G206="","",IF(AND($G206&gt;=30,$AT$3&lt;=BK$7),ROUND(BK206*($AP$3+#REF!),-1),""))</f>
        <v/>
      </c>
      <c r="BM206" s="517" t="e">
        <v>#REF!</v>
      </c>
      <c r="BN206" s="503" t="str">
        <f>IF($G206="","",IF(AND($G206&gt;=30,$AT$3&lt;=BM$7),ROUND(BM206*($AP$3+#REF!),-1),""))</f>
        <v/>
      </c>
      <c r="BO206" s="502"/>
      <c r="BP206" s="503" t="str">
        <f>IF($G206="","",IF(AND($G206&gt;=30,$AT$3&lt;=BO$7),ROUND(BO206*($AP$3+#REF!),-1),""))</f>
        <v/>
      </c>
      <c r="BQ206" s="503"/>
      <c r="BR206" s="503" t="str">
        <f>IF($G206="","",IF(AND($G206&gt;=30,$AT$3&lt;=BQ$7),ROUND(BQ206*($AP$3+#REF!),-1),""))</f>
        <v/>
      </c>
      <c r="BS206" s="502"/>
      <c r="BT206" s="503" t="str">
        <f>IF($G206="","",IF(AND($G206&gt;=30,$AT$3&lt;=BS$7),ROUND(BS206*($AP$3+#REF!),-1),""))</f>
        <v/>
      </c>
      <c r="BU206" s="503"/>
      <c r="BV206" s="503" t="str">
        <f>IF($G206="","",IF(AND($G206&gt;=30,$AT$3&lt;=BU$7),ROUND(BU206*($AP$3+#REF!),-1),""))</f>
        <v/>
      </c>
      <c r="BW206" s="502"/>
      <c r="BX206" s="503" t="str">
        <f>IF($G206="","",IF(AND($G206&gt;=30,$AT$3&lt;=BW$7),ROUND(BW206*($AP$3+#REF!),-1),""))</f>
        <v/>
      </c>
      <c r="BY206" s="503"/>
      <c r="BZ206" s="503" t="str">
        <f>IF($G206="","",IF(AND($G206&gt;=30,$AT$3&lt;=BY$7),ROUND(BY206*($AP$3+#REF!),-1),""))</f>
        <v/>
      </c>
      <c r="CA206" s="502"/>
      <c r="CB206" s="503" t="str">
        <f>IF($G206="","",IF(AND($G206&gt;=30,$AT$3&lt;=CA$7),ROUND(CA206*($AP$3+#REF!),-1),""))</f>
        <v/>
      </c>
      <c r="CC206" s="503"/>
      <c r="CD206" s="503" t="str">
        <f>IF($G206="","",IF(AND($G206&gt;=30,$AT$3&lt;=CC$7),ROUND(CC206*($AP$3+#REF!),-1),""))</f>
        <v/>
      </c>
      <c r="CE206" s="502"/>
      <c r="CF206" s="503" t="str">
        <f>IF($G206="","",IF(AND($G206&gt;=30,$AT$3&lt;=CE$7),ROUND(CE206*($AP$3+#REF!),-1),""))</f>
        <v/>
      </c>
      <c r="CG206" s="503"/>
      <c r="CH206" s="503" t="str">
        <f>IF($G206="","",IF(AND($G206&gt;=30,$AT$3&lt;=CG$7),ROUND(CG206*($AP$3+#REF!),-1),""))</f>
        <v/>
      </c>
      <c r="CI206" s="502"/>
      <c r="CJ206" s="503" t="str">
        <f>IF($G206="","",IF(AND($G206&gt;=30,$AT$3&lt;=CI$7),ROUND(CI206*($AP$3+#REF!),-1),""))</f>
        <v/>
      </c>
      <c r="CK206" s="503"/>
      <c r="CL206" s="503" t="str">
        <f>IF($G206="","",IF(AND($G206&gt;=30,$AT$3&lt;=CK$7),ROUND(CK206*($AP$3+#REF!),-1),""))</f>
        <v/>
      </c>
      <c r="CM206" s="502"/>
      <c r="CN206" s="503" t="str">
        <f>IF($G206="","",IF(AND($G206&gt;=30,$AT$3&lt;=CM$7),ROUND(CM206*($AP$3+#REF!),-1),""))</f>
        <v/>
      </c>
      <c r="CO206" s="503"/>
      <c r="CP206" s="503" t="str">
        <f>IF($G206="","",IF(AND($G206&gt;=30,$AT$3&lt;=CO$7),ROUND(CO206*($AP$3+#REF!),-1),""))</f>
        <v/>
      </c>
      <c r="CQ206" s="502"/>
      <c r="CR206" s="503" t="str">
        <f>IF($G206="","",IF(AND($G206&gt;=30,$AT$3&lt;=CQ$7),ROUND(CQ206*($AP$3+#REF!),-1),""))</f>
        <v/>
      </c>
      <c r="CS206" s="503"/>
      <c r="CT206" s="503" t="str">
        <f>IF($G206="","",IF(AND($G206&gt;=30,$AT$3&lt;=CS$7),ROUND(CS206*($AP$3+#REF!),-1),""))</f>
        <v/>
      </c>
      <c r="CU206" s="502"/>
      <c r="CV206" s="503" t="str">
        <f>IF($G206="","",IF(AND($G206&gt;=30,$AT$3&lt;=CU$7),ROUND(CU206*($AP$3+#REF!),-1),""))</f>
        <v/>
      </c>
      <c r="CW206" s="503"/>
      <c r="CX206" s="503" t="str">
        <f>IF($G206="","",IF(AND($G206&gt;=30,$AT$3&lt;=CW$7),ROUND(CW206*($AP$3+#REF!),-1),""))</f>
        <v/>
      </c>
      <c r="CY206" s="502"/>
      <c r="CZ206" s="503" t="str">
        <f>IF($G206="","",IF(AND($G206&gt;=30,$AT$3&lt;=CY$7),ROUND(CY206*($AP$3+#REF!),-1),""))</f>
        <v/>
      </c>
      <c r="DA206" s="503"/>
      <c r="DB206" s="503" t="str">
        <f>IF($G206="","",IF(AND($G206&gt;=30,$AT$3&lt;=DA$7),ROUND(DA206*($AP$3+#REF!),-1),""))</f>
        <v/>
      </c>
      <c r="DC206" s="502"/>
      <c r="DD206" s="503" t="str">
        <f>IF($G206="","",IF(AND($G206&gt;=30,$AT$3&lt;=DC$7),ROUND(DC206*($AP$3+#REF!),-1),""))</f>
        <v/>
      </c>
      <c r="DE206" s="503"/>
      <c r="DF206" s="503" t="str">
        <f>IF($G206="","",IF(AND($G206&gt;=30,$AT$3&lt;=DE$7),ROUND(DE206*($AP$3+#REF!),-1),""))</f>
        <v/>
      </c>
      <c r="DG206" s="503"/>
      <c r="DH206" s="503" t="str">
        <f>IF($G206="","",IF(AND($G206&gt;=30,$AT$3&lt;=DG$7),ROUND(DG206*($AP$3+#REF!),-1),""))</f>
        <v/>
      </c>
      <c r="DI206" s="503"/>
      <c r="DJ206" s="503" t="str">
        <f>IF($G206="","",IF(AND($G206&gt;=30,$AT$3&lt;=DI$7),ROUND(DI206*($AP$3+#REF!),-1),""))</f>
        <v/>
      </c>
      <c r="DK206" s="503"/>
      <c r="DL206" s="503" t="str">
        <f>IF($G206="","",IF(AND($G206&gt;=30,$AT$3&lt;=DK$7),ROUND(DK206*($AP$3+#REF!),-1),""))</f>
        <v/>
      </c>
      <c r="DM206" s="503"/>
      <c r="DN206" s="503" t="str">
        <f>IF($G206="","",IF(AND($G206&gt;=30,$AT$3&lt;=DM$7),ROUND(DM206*($AP$3+#REF!),-1),""))</f>
        <v/>
      </c>
      <c r="DO206" s="503"/>
      <c r="DP206" s="503" t="str">
        <f>IF($G206="","",IF(AND($G206&gt;=30,$AT$3&lt;=DO$7),ROUND(DO206*($AP$3+#REF!),-1),""))</f>
        <v/>
      </c>
      <c r="DQ206" s="503"/>
      <c r="DR206" s="503" t="str">
        <f>IF($G206="","",IF(AND($G206&gt;=30,$AT$3&lt;=DQ$7),ROUND(DQ206*($AP$3+#REF!),-1),""))</f>
        <v/>
      </c>
      <c r="DS206" s="503"/>
      <c r="DT206" s="503" t="str">
        <f>IF($G206="","",IF(AND($G206&gt;=30,$AT$3&lt;=DS$7),ROUND(DS206*($AP$3+#REF!),-1),""))</f>
        <v/>
      </c>
      <c r="DU206" s="503"/>
      <c r="DV206" s="503" t="str">
        <f>IF($G206="","",IF(AND($G206&gt;=30,$AT$3&lt;=DU$7),ROUND(DU206*($AP$3+#REF!),-1),""))</f>
        <v/>
      </c>
      <c r="DW206" s="503"/>
      <c r="DX206" s="503" t="str">
        <f>IF($G206="","",IF(AND($G206&gt;=30,$AT$3&lt;=DW$7),ROUND(DW206*($AP$3+#REF!),-1),""))</f>
        <v/>
      </c>
      <c r="DY206" s="503"/>
      <c r="DZ206" s="503" t="str">
        <f>IF($G206="","",IF(AND($G206&gt;=30,$AT$3&lt;=DY$7),ROUND(DY206*($AP$3+#REF!),-1),""))</f>
        <v/>
      </c>
      <c r="EA206" s="503"/>
      <c r="EB206" s="503" t="str">
        <f>IF($G206="","",IF(AND($G206&gt;=30,$AT$3&lt;=EA$7),ROUND(EA206*($AP$3+#REF!),-1),""))</f>
        <v/>
      </c>
      <c r="EC206" s="504" t="s">
        <v>621</v>
      </c>
      <c r="ED206" s="1124"/>
      <c r="EE206" s="325">
        <v>6</v>
      </c>
    </row>
    <row r="207" spans="1:135" ht="9.75" customHeight="1">
      <c r="A207" s="321" t="str">
        <f t="shared" si="54"/>
        <v/>
      </c>
      <c r="B207" s="567">
        <f>(ii!$D$13*12+V207)+1</f>
        <v>101</v>
      </c>
      <c r="C207" s="337">
        <f t="shared" si="58"/>
        <v>48426</v>
      </c>
      <c r="D207" s="484">
        <f t="shared" si="47"/>
        <v>2032</v>
      </c>
      <c r="E207" s="484">
        <f t="shared" si="59"/>
        <v>0.58333333333333337</v>
      </c>
      <c r="F207" s="484">
        <f t="shared" si="48"/>
        <v>2032.5833333333333</v>
      </c>
      <c r="G207" s="485" t="str">
        <f>IF(OR(C207&lt;$I$2,C207&gt;$J$3),"",(ii!$D$13*12+V207+1)/12)</f>
        <v/>
      </c>
      <c r="H207" s="486"/>
      <c r="I207" s="486"/>
      <c r="J207" s="487"/>
      <c r="K207" s="488"/>
      <c r="L207" s="548"/>
      <c r="M207" s="489" t="str">
        <f t="shared" si="49"/>
        <v/>
      </c>
      <c r="N207" s="490" t="s">
        <v>621</v>
      </c>
      <c r="O207" s="490" t="str">
        <f t="shared" si="56"/>
        <v/>
      </c>
      <c r="P207" s="491"/>
      <c r="Q207" s="491"/>
      <c r="R207" s="491" t="str">
        <f t="shared" si="57"/>
        <v/>
      </c>
      <c r="S207" s="528" t="str">
        <f t="shared" si="55"/>
        <v/>
      </c>
      <c r="T207" s="528" t="str">
        <f t="shared" si="53"/>
        <v/>
      </c>
      <c r="U207" s="493" t="str">
        <f>IF(H207="","",#REF!*12+#REF!+#REF!*12+#REF!)</f>
        <v/>
      </c>
      <c r="V207" s="338">
        <f>IF(ii!$J$3&gt;gg!C207,"",IF(AND((YEAR(C207)=YEAR($I$2)),MONTH(C207)=MONTH($I$2)),ii!$B$14*12+ii!$C$14+ii!$B$15*12+ii!$C$15-1,V206+1))</f>
        <v>100</v>
      </c>
      <c r="W207" s="339">
        <f t="shared" si="46"/>
        <v>8.3333333333333339</v>
      </c>
      <c r="X207" s="494" t="s">
        <v>621</v>
      </c>
      <c r="Y207" s="495" t="s">
        <v>621</v>
      </c>
      <c r="Z207" s="496"/>
      <c r="AA207" s="497"/>
      <c r="AB207" s="498" t="e">
        <f t="shared" si="52"/>
        <v>#VALUE!</v>
      </c>
      <c r="AC207" s="484" t="str">
        <f t="shared" si="50"/>
        <v/>
      </c>
      <c r="AD207" s="495" t="str">
        <f t="shared" si="51"/>
        <v/>
      </c>
      <c r="AE207" s="499" t="s">
        <v>621</v>
      </c>
      <c r="AF207" s="500" t="s">
        <v>621</v>
      </c>
      <c r="AG207" s="556" t="s">
        <v>621</v>
      </c>
      <c r="AH207" s="503" t="str">
        <f>IF($G207="","",IF(AND($G207&gt;=30,$AT$3&lt;=AG$7),ROUND(AG207*($AP$3+#REF!),-1),""))</f>
        <v/>
      </c>
      <c r="AI207" s="506" t="s">
        <v>621</v>
      </c>
      <c r="AJ207" s="503" t="str">
        <f>IF($G207="","",IF(AND($G207&gt;=30,$AT$3&lt;=AI$7),ROUND(AI207*($AP$3+#REF!),-1),""))</f>
        <v/>
      </c>
      <c r="AK207" s="506" t="s">
        <v>621</v>
      </c>
      <c r="AL207" s="503" t="str">
        <f>IF($G207="","",IF(AND($G207&gt;=30,$AT$3&lt;=AK$7),ROUND(AK207*($AP$3+#REF!),-1),""))</f>
        <v/>
      </c>
      <c r="AM207" s="506" t="s">
        <v>621</v>
      </c>
      <c r="AN207" s="503" t="str">
        <f>IF($G207="","",IF(AND($G207&gt;=30,$AT$3&lt;=AM$7),ROUND(AM207*($AP$3+#REF!),-1),""))</f>
        <v/>
      </c>
      <c r="AO207" s="503" t="e">
        <v>#REF!</v>
      </c>
      <c r="AP207" s="503" t="str">
        <f>IF($G207="","",IF(AND($G207&gt;=30,$AT$3&lt;=AO$7),ROUND(AO207*($AP$3+#REF!),-1),""))</f>
        <v/>
      </c>
      <c r="AQ207" s="503" t="s">
        <v>621</v>
      </c>
      <c r="AR207" s="503" t="str">
        <f>IF($G207="","",IF(AND($G207&gt;=30,$AT$3&lt;=AQ$7),ROUND(AQ207*($AP$3+#REF!),-1),""))</f>
        <v/>
      </c>
      <c r="AS207" s="503" t="s">
        <v>621</v>
      </c>
      <c r="AT207" s="503" t="str">
        <f>IF($G207="","",IF(AND($G207&gt;=30,$AT$3&lt;=AS$7),ROUND(AS207*($AP$3+#REF!),-1),""))</f>
        <v/>
      </c>
      <c r="AU207" s="503" t="s">
        <v>621</v>
      </c>
      <c r="AV207" s="503" t="str">
        <f>IF($G207="","",IF(AND($G207&gt;=30,$AT$3&lt;=AU$7),ROUND(AU207*($AP$3+#REF!),-1),""))</f>
        <v/>
      </c>
      <c r="AW207" s="503" t="s">
        <v>621</v>
      </c>
      <c r="AX207" s="503" t="str">
        <f>IF($G207="","",IF(AND($G207&gt;=30,$AT$3&lt;=AW$7),ROUND(AW207*($AP$3+#REF!),-1),""))</f>
        <v/>
      </c>
      <c r="AY207" s="503" t="s">
        <v>621</v>
      </c>
      <c r="AZ207" s="503" t="str">
        <f>IF($G207="","",IF(AND($G207&gt;=30,$AT$3&lt;=AY$7),ROUND(AY207*($AP$3+#REF!),-1),""))</f>
        <v/>
      </c>
      <c r="BA207" s="503" t="s">
        <v>621</v>
      </c>
      <c r="BB207" s="503" t="str">
        <f>IF($G207="","",IF(AND($G207&gt;=30,$AT$3&lt;=BA$7),ROUND(BA207*($AP$3+#REF!),-1),""))</f>
        <v/>
      </c>
      <c r="BC207" s="503" t="s">
        <v>621</v>
      </c>
      <c r="BD207" s="503" t="str">
        <f>IF($G207="","",IF(AND($G207&gt;=30,$AT$3&lt;=BC$7),ROUND(BC207*($AP$3+#REF!),-1),""))</f>
        <v/>
      </c>
      <c r="BE207" s="503" t="s">
        <v>621</v>
      </c>
      <c r="BF207" s="503" t="str">
        <f>IF($G207="","",IF(AND($G207&gt;=30,$AT$3&lt;=BE$7),ROUND(BE207*($AP$3+#REF!),-1),""))</f>
        <v/>
      </c>
      <c r="BG207" s="503" t="s">
        <v>621</v>
      </c>
      <c r="BH207" s="503" t="str">
        <f>IF($G207="","",IF(AND($G207&gt;=30,$AT$3&lt;=BG$7),ROUND(BG207*($AP$3+#REF!),-1),""))</f>
        <v/>
      </c>
      <c r="BI207" s="503" t="s">
        <v>621</v>
      </c>
      <c r="BJ207" s="503" t="str">
        <f>IF($G207="","",IF(AND($G207&gt;=30,$AT$3&lt;=BI$7),ROUND(BI207*($AP$3+#REF!),-1),""))</f>
        <v/>
      </c>
      <c r="BK207" s="503" t="s">
        <v>621</v>
      </c>
      <c r="BL207" s="503" t="str">
        <f>IF($G207="","",IF(AND($G207&gt;=30,$AT$3&lt;=BK$7),ROUND(BK207*($AP$3+#REF!),-1),""))</f>
        <v/>
      </c>
      <c r="BM207" s="517" t="e">
        <v>#REF!</v>
      </c>
      <c r="BN207" s="503" t="str">
        <f>IF($G207="","",IF(AND($G207&gt;=30,$AT$3&lt;=BM$7),ROUND(BM207*($AP$3+#REF!),-1),""))</f>
        <v/>
      </c>
      <c r="BO207" s="502"/>
      <c r="BP207" s="503" t="str">
        <f>IF($G207="","",IF(AND($G207&gt;=30,$AT$3&lt;=BO$7),ROUND(BO207*($AP$3+#REF!),-1),""))</f>
        <v/>
      </c>
      <c r="BQ207" s="503"/>
      <c r="BR207" s="503" t="str">
        <f>IF($G207="","",IF(AND($G207&gt;=30,$AT$3&lt;=BQ$7),ROUND(BQ207*($AP$3+#REF!),-1),""))</f>
        <v/>
      </c>
      <c r="BS207" s="502"/>
      <c r="BT207" s="503" t="str">
        <f>IF($G207="","",IF(AND($G207&gt;=30,$AT$3&lt;=BS$7),ROUND(BS207*($AP$3+#REF!),-1),""))</f>
        <v/>
      </c>
      <c r="BU207" s="503"/>
      <c r="BV207" s="503" t="str">
        <f>IF($G207="","",IF(AND($G207&gt;=30,$AT$3&lt;=BU$7),ROUND(BU207*($AP$3+#REF!),-1),""))</f>
        <v/>
      </c>
      <c r="BW207" s="502"/>
      <c r="BX207" s="503" t="str">
        <f>IF($G207="","",IF(AND($G207&gt;=30,$AT$3&lt;=BW$7),ROUND(BW207*($AP$3+#REF!),-1),""))</f>
        <v/>
      </c>
      <c r="BY207" s="503"/>
      <c r="BZ207" s="503" t="str">
        <f>IF($G207="","",IF(AND($G207&gt;=30,$AT$3&lt;=BY$7),ROUND(BY207*($AP$3+#REF!),-1),""))</f>
        <v/>
      </c>
      <c r="CA207" s="502"/>
      <c r="CB207" s="503" t="str">
        <f>IF($G207="","",IF(AND($G207&gt;=30,$AT$3&lt;=CA$7),ROUND(CA207*($AP$3+#REF!),-1),""))</f>
        <v/>
      </c>
      <c r="CC207" s="503"/>
      <c r="CD207" s="503" t="str">
        <f>IF($G207="","",IF(AND($G207&gt;=30,$AT$3&lt;=CC$7),ROUND(CC207*($AP$3+#REF!),-1),""))</f>
        <v/>
      </c>
      <c r="CE207" s="502"/>
      <c r="CF207" s="503" t="str">
        <f>IF($G207="","",IF(AND($G207&gt;=30,$AT$3&lt;=CE$7),ROUND(CE207*($AP$3+#REF!),-1),""))</f>
        <v/>
      </c>
      <c r="CG207" s="503"/>
      <c r="CH207" s="503" t="str">
        <f>IF($G207="","",IF(AND($G207&gt;=30,$AT$3&lt;=CG$7),ROUND(CG207*($AP$3+#REF!),-1),""))</f>
        <v/>
      </c>
      <c r="CI207" s="502"/>
      <c r="CJ207" s="503" t="str">
        <f>IF($G207="","",IF(AND($G207&gt;=30,$AT$3&lt;=CI$7),ROUND(CI207*($AP$3+#REF!),-1),""))</f>
        <v/>
      </c>
      <c r="CK207" s="503"/>
      <c r="CL207" s="503" t="str">
        <f>IF($G207="","",IF(AND($G207&gt;=30,$AT$3&lt;=CK$7),ROUND(CK207*($AP$3+#REF!),-1),""))</f>
        <v/>
      </c>
      <c r="CM207" s="502"/>
      <c r="CN207" s="503" t="str">
        <f>IF($G207="","",IF(AND($G207&gt;=30,$AT$3&lt;=CM$7),ROUND(CM207*($AP$3+#REF!),-1),""))</f>
        <v/>
      </c>
      <c r="CO207" s="503"/>
      <c r="CP207" s="503" t="str">
        <f>IF($G207="","",IF(AND($G207&gt;=30,$AT$3&lt;=CO$7),ROUND(CO207*($AP$3+#REF!),-1),""))</f>
        <v/>
      </c>
      <c r="CQ207" s="502"/>
      <c r="CR207" s="503" t="str">
        <f>IF($G207="","",IF(AND($G207&gt;=30,$AT$3&lt;=CQ$7),ROUND(CQ207*($AP$3+#REF!),-1),""))</f>
        <v/>
      </c>
      <c r="CS207" s="503"/>
      <c r="CT207" s="503" t="str">
        <f>IF($G207="","",IF(AND($G207&gt;=30,$AT$3&lt;=CS$7),ROUND(CS207*($AP$3+#REF!),-1),""))</f>
        <v/>
      </c>
      <c r="CU207" s="502"/>
      <c r="CV207" s="503" t="str">
        <f>IF($G207="","",IF(AND($G207&gt;=30,$AT$3&lt;=CU$7),ROUND(CU207*($AP$3+#REF!),-1),""))</f>
        <v/>
      </c>
      <c r="CW207" s="503"/>
      <c r="CX207" s="503" t="str">
        <f>IF($G207="","",IF(AND($G207&gt;=30,$AT$3&lt;=CW$7),ROUND(CW207*($AP$3+#REF!),-1),""))</f>
        <v/>
      </c>
      <c r="CY207" s="502"/>
      <c r="CZ207" s="503" t="str">
        <f>IF($G207="","",IF(AND($G207&gt;=30,$AT$3&lt;=CY$7),ROUND(CY207*($AP$3+#REF!),-1),""))</f>
        <v/>
      </c>
      <c r="DA207" s="503"/>
      <c r="DB207" s="503" t="str">
        <f>IF($G207="","",IF(AND($G207&gt;=30,$AT$3&lt;=DA$7),ROUND(DA207*($AP$3+#REF!),-1),""))</f>
        <v/>
      </c>
      <c r="DC207" s="502"/>
      <c r="DD207" s="503" t="str">
        <f>IF($G207="","",IF(AND($G207&gt;=30,$AT$3&lt;=DC$7),ROUND(DC207*($AP$3+#REF!),-1),""))</f>
        <v/>
      </c>
      <c r="DE207" s="503"/>
      <c r="DF207" s="503" t="str">
        <f>IF($G207="","",IF(AND($G207&gt;=30,$AT$3&lt;=DE$7),ROUND(DE207*($AP$3+#REF!),-1),""))</f>
        <v/>
      </c>
      <c r="DG207" s="503"/>
      <c r="DH207" s="503" t="str">
        <f>IF($G207="","",IF(AND($G207&gt;=30,$AT$3&lt;=DG$7),ROUND(DG207*($AP$3+#REF!),-1),""))</f>
        <v/>
      </c>
      <c r="DI207" s="503"/>
      <c r="DJ207" s="503" t="str">
        <f>IF($G207="","",IF(AND($G207&gt;=30,$AT$3&lt;=DI$7),ROUND(DI207*($AP$3+#REF!),-1),""))</f>
        <v/>
      </c>
      <c r="DK207" s="503"/>
      <c r="DL207" s="503" t="str">
        <f>IF($G207="","",IF(AND($G207&gt;=30,$AT$3&lt;=DK$7),ROUND(DK207*($AP$3+#REF!),-1),""))</f>
        <v/>
      </c>
      <c r="DM207" s="503"/>
      <c r="DN207" s="503" t="str">
        <f>IF($G207="","",IF(AND($G207&gt;=30,$AT$3&lt;=DM$7),ROUND(DM207*($AP$3+#REF!),-1),""))</f>
        <v/>
      </c>
      <c r="DO207" s="503"/>
      <c r="DP207" s="503" t="str">
        <f>IF($G207="","",IF(AND($G207&gt;=30,$AT$3&lt;=DO$7),ROUND(DO207*($AP$3+#REF!),-1),""))</f>
        <v/>
      </c>
      <c r="DQ207" s="503"/>
      <c r="DR207" s="503" t="str">
        <f>IF($G207="","",IF(AND($G207&gt;=30,$AT$3&lt;=DQ$7),ROUND(DQ207*($AP$3+#REF!),-1),""))</f>
        <v/>
      </c>
      <c r="DS207" s="503"/>
      <c r="DT207" s="503" t="str">
        <f>IF($G207="","",IF(AND($G207&gt;=30,$AT$3&lt;=DS$7),ROUND(DS207*($AP$3+#REF!),-1),""))</f>
        <v/>
      </c>
      <c r="DU207" s="503"/>
      <c r="DV207" s="503" t="str">
        <f>IF($G207="","",IF(AND($G207&gt;=30,$AT$3&lt;=DU$7),ROUND(DU207*($AP$3+#REF!),-1),""))</f>
        <v/>
      </c>
      <c r="DW207" s="503"/>
      <c r="DX207" s="503" t="str">
        <f>IF($G207="","",IF(AND($G207&gt;=30,$AT$3&lt;=DW$7),ROUND(DW207*($AP$3+#REF!),-1),""))</f>
        <v/>
      </c>
      <c r="DY207" s="503"/>
      <c r="DZ207" s="503" t="str">
        <f>IF($G207="","",IF(AND($G207&gt;=30,$AT$3&lt;=DY$7),ROUND(DY207*($AP$3+#REF!),-1),""))</f>
        <v/>
      </c>
      <c r="EA207" s="503"/>
      <c r="EB207" s="503" t="str">
        <f>IF($G207="","",IF(AND($G207&gt;=30,$AT$3&lt;=EA$7),ROUND(EA207*($AP$3+#REF!),-1),""))</f>
        <v/>
      </c>
      <c r="EC207" s="504" t="s">
        <v>621</v>
      </c>
      <c r="ED207" s="1124"/>
      <c r="EE207" s="325">
        <v>7</v>
      </c>
    </row>
    <row r="208" spans="1:135" ht="9.75" customHeight="1">
      <c r="A208" s="321" t="str">
        <f t="shared" si="54"/>
        <v/>
      </c>
      <c r="B208" s="567">
        <f>(ii!$D$13*12+V208)+1</f>
        <v>102</v>
      </c>
      <c r="C208" s="337">
        <f t="shared" si="58"/>
        <v>48457</v>
      </c>
      <c r="D208" s="484">
        <f t="shared" si="47"/>
        <v>2032</v>
      </c>
      <c r="E208" s="484">
        <f t="shared" si="59"/>
        <v>0.66666666666666663</v>
      </c>
      <c r="F208" s="484">
        <f t="shared" si="48"/>
        <v>2032.6666666666667</v>
      </c>
      <c r="G208" s="485" t="str">
        <f>IF(OR(C208&lt;$I$2,C208&gt;$J$3),"",(ii!$D$13*12+V208+1)/12)</f>
        <v/>
      </c>
      <c r="H208" s="486"/>
      <c r="I208" s="486"/>
      <c r="J208" s="487"/>
      <c r="K208" s="488"/>
      <c r="L208" s="548"/>
      <c r="M208" s="489" t="str">
        <f t="shared" si="49"/>
        <v/>
      </c>
      <c r="N208" s="490" t="s">
        <v>621</v>
      </c>
      <c r="O208" s="490" t="str">
        <f t="shared" si="56"/>
        <v/>
      </c>
      <c r="P208" s="491"/>
      <c r="Q208" s="491"/>
      <c r="R208" s="491" t="str">
        <f t="shared" si="57"/>
        <v/>
      </c>
      <c r="S208" s="528" t="str">
        <f t="shared" si="55"/>
        <v/>
      </c>
      <c r="T208" s="528" t="str">
        <f t="shared" si="53"/>
        <v/>
      </c>
      <c r="U208" s="493" t="str">
        <f>IF(H208="","",#REF!*12+#REF!+#REF!*12+#REF!)</f>
        <v/>
      </c>
      <c r="V208" s="338">
        <f>IF(ii!$J$3&gt;gg!C208,"",IF(AND((YEAR(C208)=YEAR($I$2)),MONTH(C208)=MONTH($I$2)),ii!$B$14*12+ii!$C$14+ii!$B$15*12+ii!$C$15-1,V207+1))</f>
        <v>101</v>
      </c>
      <c r="W208" s="339">
        <f t="shared" si="46"/>
        <v>8.4166666666666661</v>
      </c>
      <c r="X208" s="494" t="s">
        <v>621</v>
      </c>
      <c r="Y208" s="495" t="s">
        <v>621</v>
      </c>
      <c r="Z208" s="496"/>
      <c r="AA208" s="497"/>
      <c r="AB208" s="498" t="e">
        <f t="shared" si="52"/>
        <v>#VALUE!</v>
      </c>
      <c r="AC208" s="484" t="str">
        <f t="shared" si="50"/>
        <v/>
      </c>
      <c r="AD208" s="495" t="str">
        <f t="shared" si="51"/>
        <v/>
      </c>
      <c r="AE208" s="499" t="s">
        <v>621</v>
      </c>
      <c r="AF208" s="500" t="s">
        <v>621</v>
      </c>
      <c r="AG208" s="556" t="s">
        <v>621</v>
      </c>
      <c r="AH208" s="503" t="str">
        <f>IF($G208="","",IF(AND($G208&gt;=30,$AT$3&lt;=AG$7),ROUND(AG208*($AP$3+#REF!),-1),""))</f>
        <v/>
      </c>
      <c r="AI208" s="506" t="s">
        <v>621</v>
      </c>
      <c r="AJ208" s="503" t="str">
        <f>IF($G208="","",IF(AND($G208&gt;=30,$AT$3&lt;=AI$7),ROUND(AI208*($AP$3+#REF!),-1),""))</f>
        <v/>
      </c>
      <c r="AK208" s="506" t="s">
        <v>621</v>
      </c>
      <c r="AL208" s="503" t="str">
        <f>IF($G208="","",IF(AND($G208&gt;=30,$AT$3&lt;=AK$7),ROUND(AK208*($AP$3+#REF!),-1),""))</f>
        <v/>
      </c>
      <c r="AM208" s="506" t="s">
        <v>621</v>
      </c>
      <c r="AN208" s="503" t="str">
        <f>IF($G208="","",IF(AND($G208&gt;=30,$AT$3&lt;=AM$7),ROUND(AM208*($AP$3+#REF!),-1),""))</f>
        <v/>
      </c>
      <c r="AO208" s="503" t="e">
        <v>#REF!</v>
      </c>
      <c r="AP208" s="503" t="str">
        <f>IF($G208="","",IF(AND($G208&gt;=30,$AT$3&lt;=AO$7),ROUND(AO208*($AP$3+#REF!),-1),""))</f>
        <v/>
      </c>
      <c r="AQ208" s="503" t="s">
        <v>621</v>
      </c>
      <c r="AR208" s="503" t="str">
        <f>IF($G208="","",IF(AND($G208&gt;=30,$AT$3&lt;=AQ$7),ROUND(AQ208*($AP$3+#REF!),-1),""))</f>
        <v/>
      </c>
      <c r="AS208" s="503" t="s">
        <v>621</v>
      </c>
      <c r="AT208" s="503" t="str">
        <f>IF($G208="","",IF(AND($G208&gt;=30,$AT$3&lt;=AS$7),ROUND(AS208*($AP$3+#REF!),-1),""))</f>
        <v/>
      </c>
      <c r="AU208" s="503" t="s">
        <v>621</v>
      </c>
      <c r="AV208" s="503" t="str">
        <f>IF($G208="","",IF(AND($G208&gt;=30,$AT$3&lt;=AU$7),ROUND(AU208*($AP$3+#REF!),-1),""))</f>
        <v/>
      </c>
      <c r="AW208" s="503" t="s">
        <v>621</v>
      </c>
      <c r="AX208" s="503" t="str">
        <f>IF($G208="","",IF(AND($G208&gt;=30,$AT$3&lt;=AW$7),ROUND(AW208*($AP$3+#REF!),-1),""))</f>
        <v/>
      </c>
      <c r="AY208" s="503" t="s">
        <v>621</v>
      </c>
      <c r="AZ208" s="503" t="str">
        <f>IF($G208="","",IF(AND($G208&gt;=30,$AT$3&lt;=AY$7),ROUND(AY208*($AP$3+#REF!),-1),""))</f>
        <v/>
      </c>
      <c r="BA208" s="503" t="s">
        <v>621</v>
      </c>
      <c r="BB208" s="503" t="str">
        <f>IF($G208="","",IF(AND($G208&gt;=30,$AT$3&lt;=BA$7),ROUND(BA208*($AP$3+#REF!),-1),""))</f>
        <v/>
      </c>
      <c r="BC208" s="503" t="s">
        <v>621</v>
      </c>
      <c r="BD208" s="503" t="str">
        <f>IF($G208="","",IF(AND($G208&gt;=30,$AT$3&lt;=BC$7),ROUND(BC208*($AP$3+#REF!),-1),""))</f>
        <v/>
      </c>
      <c r="BE208" s="503" t="s">
        <v>621</v>
      </c>
      <c r="BF208" s="503" t="str">
        <f>IF($G208="","",IF(AND($G208&gt;=30,$AT$3&lt;=BE$7),ROUND(BE208*($AP$3+#REF!),-1),""))</f>
        <v/>
      </c>
      <c r="BG208" s="503" t="s">
        <v>621</v>
      </c>
      <c r="BH208" s="503" t="str">
        <f>IF($G208="","",IF(AND($G208&gt;=30,$AT$3&lt;=BG$7),ROUND(BG208*($AP$3+#REF!),-1),""))</f>
        <v/>
      </c>
      <c r="BI208" s="503" t="s">
        <v>621</v>
      </c>
      <c r="BJ208" s="503" t="str">
        <f>IF($G208="","",IF(AND($G208&gt;=30,$AT$3&lt;=BI$7),ROUND(BI208*($AP$3+#REF!),-1),""))</f>
        <v/>
      </c>
      <c r="BK208" s="503" t="s">
        <v>621</v>
      </c>
      <c r="BL208" s="503" t="str">
        <f>IF($G208="","",IF(AND($G208&gt;=30,$AT$3&lt;=BK$7),ROUND(BK208*($AP$3+#REF!),-1),""))</f>
        <v/>
      </c>
      <c r="BM208" s="517" t="e">
        <v>#REF!</v>
      </c>
      <c r="BN208" s="503" t="str">
        <f>IF($G208="","",IF(AND($G208&gt;=30,$AT$3&lt;=BM$7),ROUND(BM208*($AP$3+#REF!),-1),""))</f>
        <v/>
      </c>
      <c r="BO208" s="502"/>
      <c r="BP208" s="503" t="str">
        <f>IF($G208="","",IF(AND($G208&gt;=30,$AT$3&lt;=BO$7),ROUND(BO208*($AP$3+#REF!),-1),""))</f>
        <v/>
      </c>
      <c r="BQ208" s="503"/>
      <c r="BR208" s="503" t="str">
        <f>IF($G208="","",IF(AND($G208&gt;=30,$AT$3&lt;=BQ$7),ROUND(BQ208*($AP$3+#REF!),-1),""))</f>
        <v/>
      </c>
      <c r="BS208" s="502"/>
      <c r="BT208" s="503" t="str">
        <f>IF($G208="","",IF(AND($G208&gt;=30,$AT$3&lt;=BS$7),ROUND(BS208*($AP$3+#REF!),-1),""))</f>
        <v/>
      </c>
      <c r="BU208" s="503"/>
      <c r="BV208" s="503" t="str">
        <f>IF($G208="","",IF(AND($G208&gt;=30,$AT$3&lt;=BU$7),ROUND(BU208*($AP$3+#REF!),-1),""))</f>
        <v/>
      </c>
      <c r="BW208" s="502"/>
      <c r="BX208" s="503" t="str">
        <f>IF($G208="","",IF(AND($G208&gt;=30,$AT$3&lt;=BW$7),ROUND(BW208*($AP$3+#REF!),-1),""))</f>
        <v/>
      </c>
      <c r="BY208" s="503"/>
      <c r="BZ208" s="503" t="str">
        <f>IF($G208="","",IF(AND($G208&gt;=30,$AT$3&lt;=BY$7),ROUND(BY208*($AP$3+#REF!),-1),""))</f>
        <v/>
      </c>
      <c r="CA208" s="502"/>
      <c r="CB208" s="503" t="str">
        <f>IF($G208="","",IF(AND($G208&gt;=30,$AT$3&lt;=CA$7),ROUND(CA208*($AP$3+#REF!),-1),""))</f>
        <v/>
      </c>
      <c r="CC208" s="503"/>
      <c r="CD208" s="503" t="str">
        <f>IF($G208="","",IF(AND($G208&gt;=30,$AT$3&lt;=CC$7),ROUND(CC208*($AP$3+#REF!),-1),""))</f>
        <v/>
      </c>
      <c r="CE208" s="502"/>
      <c r="CF208" s="503" t="str">
        <f>IF($G208="","",IF(AND($G208&gt;=30,$AT$3&lt;=CE$7),ROUND(CE208*($AP$3+#REF!),-1),""))</f>
        <v/>
      </c>
      <c r="CG208" s="503"/>
      <c r="CH208" s="503" t="str">
        <f>IF($G208="","",IF(AND($G208&gt;=30,$AT$3&lt;=CG$7),ROUND(CG208*($AP$3+#REF!),-1),""))</f>
        <v/>
      </c>
      <c r="CI208" s="502"/>
      <c r="CJ208" s="503" t="str">
        <f>IF($G208="","",IF(AND($G208&gt;=30,$AT$3&lt;=CI$7),ROUND(CI208*($AP$3+#REF!),-1),""))</f>
        <v/>
      </c>
      <c r="CK208" s="503"/>
      <c r="CL208" s="503" t="str">
        <f>IF($G208="","",IF(AND($G208&gt;=30,$AT$3&lt;=CK$7),ROUND(CK208*($AP$3+#REF!),-1),""))</f>
        <v/>
      </c>
      <c r="CM208" s="502"/>
      <c r="CN208" s="503" t="str">
        <f>IF($G208="","",IF(AND($G208&gt;=30,$AT$3&lt;=CM$7),ROUND(CM208*($AP$3+#REF!),-1),""))</f>
        <v/>
      </c>
      <c r="CO208" s="503"/>
      <c r="CP208" s="503" t="str">
        <f>IF($G208="","",IF(AND($G208&gt;=30,$AT$3&lt;=CO$7),ROUND(CO208*($AP$3+#REF!),-1),""))</f>
        <v/>
      </c>
      <c r="CQ208" s="502"/>
      <c r="CR208" s="503" t="str">
        <f>IF($G208="","",IF(AND($G208&gt;=30,$AT$3&lt;=CQ$7),ROUND(CQ208*($AP$3+#REF!),-1),""))</f>
        <v/>
      </c>
      <c r="CS208" s="503"/>
      <c r="CT208" s="503" t="str">
        <f>IF($G208="","",IF(AND($G208&gt;=30,$AT$3&lt;=CS$7),ROUND(CS208*($AP$3+#REF!),-1),""))</f>
        <v/>
      </c>
      <c r="CU208" s="502"/>
      <c r="CV208" s="503" t="str">
        <f>IF($G208="","",IF(AND($G208&gt;=30,$AT$3&lt;=CU$7),ROUND(CU208*($AP$3+#REF!),-1),""))</f>
        <v/>
      </c>
      <c r="CW208" s="503"/>
      <c r="CX208" s="503" t="str">
        <f>IF($G208="","",IF(AND($G208&gt;=30,$AT$3&lt;=CW$7),ROUND(CW208*($AP$3+#REF!),-1),""))</f>
        <v/>
      </c>
      <c r="CY208" s="502"/>
      <c r="CZ208" s="503" t="str">
        <f>IF($G208="","",IF(AND($G208&gt;=30,$AT$3&lt;=CY$7),ROUND(CY208*($AP$3+#REF!),-1),""))</f>
        <v/>
      </c>
      <c r="DA208" s="503"/>
      <c r="DB208" s="503" t="str">
        <f>IF($G208="","",IF(AND($G208&gt;=30,$AT$3&lt;=DA$7),ROUND(DA208*($AP$3+#REF!),-1),""))</f>
        <v/>
      </c>
      <c r="DC208" s="502"/>
      <c r="DD208" s="503" t="str">
        <f>IF($G208="","",IF(AND($G208&gt;=30,$AT$3&lt;=DC$7),ROUND(DC208*($AP$3+#REF!),-1),""))</f>
        <v/>
      </c>
      <c r="DE208" s="503"/>
      <c r="DF208" s="503" t="str">
        <f>IF($G208="","",IF(AND($G208&gt;=30,$AT$3&lt;=DE$7),ROUND(DE208*($AP$3+#REF!),-1),""))</f>
        <v/>
      </c>
      <c r="DG208" s="503"/>
      <c r="DH208" s="503" t="str">
        <f>IF($G208="","",IF(AND($G208&gt;=30,$AT$3&lt;=DG$7),ROUND(DG208*($AP$3+#REF!),-1),""))</f>
        <v/>
      </c>
      <c r="DI208" s="503"/>
      <c r="DJ208" s="503" t="str">
        <f>IF($G208="","",IF(AND($G208&gt;=30,$AT$3&lt;=DI$7),ROUND(DI208*($AP$3+#REF!),-1),""))</f>
        <v/>
      </c>
      <c r="DK208" s="503"/>
      <c r="DL208" s="503" t="str">
        <f>IF($G208="","",IF(AND($G208&gt;=30,$AT$3&lt;=DK$7),ROUND(DK208*($AP$3+#REF!),-1),""))</f>
        <v/>
      </c>
      <c r="DM208" s="503"/>
      <c r="DN208" s="503" t="str">
        <f>IF($G208="","",IF(AND($G208&gt;=30,$AT$3&lt;=DM$7),ROUND(DM208*($AP$3+#REF!),-1),""))</f>
        <v/>
      </c>
      <c r="DO208" s="503"/>
      <c r="DP208" s="503" t="str">
        <f>IF($G208="","",IF(AND($G208&gt;=30,$AT$3&lt;=DO$7),ROUND(DO208*($AP$3+#REF!),-1),""))</f>
        <v/>
      </c>
      <c r="DQ208" s="503"/>
      <c r="DR208" s="503" t="str">
        <f>IF($G208="","",IF(AND($G208&gt;=30,$AT$3&lt;=DQ$7),ROUND(DQ208*($AP$3+#REF!),-1),""))</f>
        <v/>
      </c>
      <c r="DS208" s="503"/>
      <c r="DT208" s="503" t="str">
        <f>IF($G208="","",IF(AND($G208&gt;=30,$AT$3&lt;=DS$7),ROUND(DS208*($AP$3+#REF!),-1),""))</f>
        <v/>
      </c>
      <c r="DU208" s="503"/>
      <c r="DV208" s="503" t="str">
        <f>IF($G208="","",IF(AND($G208&gt;=30,$AT$3&lt;=DU$7),ROUND(DU208*($AP$3+#REF!),-1),""))</f>
        <v/>
      </c>
      <c r="DW208" s="503"/>
      <c r="DX208" s="503" t="str">
        <f>IF($G208="","",IF(AND($G208&gt;=30,$AT$3&lt;=DW$7),ROUND(DW208*($AP$3+#REF!),-1),""))</f>
        <v/>
      </c>
      <c r="DY208" s="503"/>
      <c r="DZ208" s="503" t="str">
        <f>IF($G208="","",IF(AND($G208&gt;=30,$AT$3&lt;=DY$7),ROUND(DY208*($AP$3+#REF!),-1),""))</f>
        <v/>
      </c>
      <c r="EA208" s="503"/>
      <c r="EB208" s="503" t="str">
        <f>IF($G208="","",IF(AND($G208&gt;=30,$AT$3&lt;=EA$7),ROUND(EA208*($AP$3+#REF!),-1),""))</f>
        <v/>
      </c>
      <c r="EC208" s="504" t="s">
        <v>621</v>
      </c>
      <c r="ED208" s="1124"/>
      <c r="EE208" s="325">
        <v>8</v>
      </c>
    </row>
    <row r="209" spans="1:135" ht="9.75" customHeight="1">
      <c r="A209" s="321" t="str">
        <f t="shared" si="54"/>
        <v/>
      </c>
      <c r="B209" s="567">
        <f>(ii!$D$13*12+V209)+1</f>
        <v>103</v>
      </c>
      <c r="C209" s="337">
        <f t="shared" si="58"/>
        <v>48487</v>
      </c>
      <c r="D209" s="484">
        <f t="shared" si="47"/>
        <v>2032</v>
      </c>
      <c r="E209" s="484">
        <f t="shared" si="59"/>
        <v>0.75</v>
      </c>
      <c r="F209" s="484">
        <f t="shared" si="48"/>
        <v>2032.75</v>
      </c>
      <c r="G209" s="485" t="str">
        <f>IF(OR(C209&lt;$I$2,C209&gt;$J$3),"",(ii!$D$13*12+V209+1)/12)</f>
        <v/>
      </c>
      <c r="H209" s="486"/>
      <c r="I209" s="486"/>
      <c r="J209" s="487"/>
      <c r="K209" s="488"/>
      <c r="L209" s="548"/>
      <c r="M209" s="489" t="str">
        <f t="shared" si="49"/>
        <v/>
      </c>
      <c r="N209" s="490" t="s">
        <v>621</v>
      </c>
      <c r="O209" s="490" t="str">
        <f t="shared" si="56"/>
        <v/>
      </c>
      <c r="P209" s="491"/>
      <c r="Q209" s="491"/>
      <c r="R209" s="491" t="str">
        <f t="shared" si="57"/>
        <v/>
      </c>
      <c r="S209" s="528" t="str">
        <f t="shared" si="55"/>
        <v/>
      </c>
      <c r="T209" s="528" t="str">
        <f t="shared" si="53"/>
        <v/>
      </c>
      <c r="U209" s="493" t="str">
        <f>IF(H209="","",#REF!*12+#REF!+#REF!*12+#REF!)</f>
        <v/>
      </c>
      <c r="V209" s="338">
        <f>IF(ii!$J$3&gt;gg!C209,"",IF(AND((YEAR(C209)=YEAR($I$2)),MONTH(C209)=MONTH($I$2)),ii!$B$14*12+ii!$C$14+ii!$B$15*12+ii!$C$15-1,V208+1))</f>
        <v>102</v>
      </c>
      <c r="W209" s="339">
        <f t="shared" si="46"/>
        <v>8.5</v>
      </c>
      <c r="X209" s="494" t="s">
        <v>621</v>
      </c>
      <c r="Y209" s="495" t="s">
        <v>621</v>
      </c>
      <c r="Z209" s="496"/>
      <c r="AA209" s="497"/>
      <c r="AB209" s="498" t="e">
        <f t="shared" si="52"/>
        <v>#VALUE!</v>
      </c>
      <c r="AC209" s="484" t="str">
        <f t="shared" si="50"/>
        <v/>
      </c>
      <c r="AD209" s="495" t="str">
        <f t="shared" si="51"/>
        <v/>
      </c>
      <c r="AE209" s="499" t="s">
        <v>621</v>
      </c>
      <c r="AF209" s="500" t="s">
        <v>621</v>
      </c>
      <c r="AG209" s="556" t="s">
        <v>621</v>
      </c>
      <c r="AH209" s="503" t="str">
        <f>IF($G209="","",IF(AND($G209&gt;=30,$AT$3&lt;=AG$7),ROUND(AG209*($AP$3+#REF!),-1),""))</f>
        <v/>
      </c>
      <c r="AI209" s="506" t="s">
        <v>621</v>
      </c>
      <c r="AJ209" s="503" t="str">
        <f>IF($G209="","",IF(AND($G209&gt;=30,$AT$3&lt;=AI$7),ROUND(AI209*($AP$3+#REF!),-1),""))</f>
        <v/>
      </c>
      <c r="AK209" s="506" t="s">
        <v>621</v>
      </c>
      <c r="AL209" s="503" t="str">
        <f>IF($G209="","",IF(AND($G209&gt;=30,$AT$3&lt;=AK$7),ROUND(AK209*($AP$3+#REF!),-1),""))</f>
        <v/>
      </c>
      <c r="AM209" s="506" t="s">
        <v>621</v>
      </c>
      <c r="AN209" s="503" t="str">
        <f>IF($G209="","",IF(AND($G209&gt;=30,$AT$3&lt;=AM$7),ROUND(AM209*($AP$3+#REF!),-1),""))</f>
        <v/>
      </c>
      <c r="AO209" s="503" t="e">
        <v>#REF!</v>
      </c>
      <c r="AP209" s="503" t="str">
        <f>IF($G209="","",IF(AND($G209&gt;=30,$AT$3&lt;=AO$7),ROUND(AO209*($AP$3+#REF!),-1),""))</f>
        <v/>
      </c>
      <c r="AQ209" s="503" t="s">
        <v>621</v>
      </c>
      <c r="AR209" s="503" t="str">
        <f>IF($G209="","",IF(AND($G209&gt;=30,$AT$3&lt;=AQ$7),ROUND(AQ209*($AP$3+#REF!),-1),""))</f>
        <v/>
      </c>
      <c r="AS209" s="503" t="s">
        <v>621</v>
      </c>
      <c r="AT209" s="503" t="str">
        <f>IF($G209="","",IF(AND($G209&gt;=30,$AT$3&lt;=AS$7),ROUND(AS209*($AP$3+#REF!),-1),""))</f>
        <v/>
      </c>
      <c r="AU209" s="503" t="s">
        <v>621</v>
      </c>
      <c r="AV209" s="503" t="str">
        <f>IF($G209="","",IF(AND($G209&gt;=30,$AT$3&lt;=AU$7),ROUND(AU209*($AP$3+#REF!),-1),""))</f>
        <v/>
      </c>
      <c r="AW209" s="503" t="s">
        <v>621</v>
      </c>
      <c r="AX209" s="503" t="str">
        <f>IF($G209="","",IF(AND($G209&gt;=30,$AT$3&lt;=AW$7),ROUND(AW209*($AP$3+#REF!),-1),""))</f>
        <v/>
      </c>
      <c r="AY209" s="503" t="s">
        <v>621</v>
      </c>
      <c r="AZ209" s="503" t="str">
        <f>IF($G209="","",IF(AND($G209&gt;=30,$AT$3&lt;=AY$7),ROUND(AY209*($AP$3+#REF!),-1),""))</f>
        <v/>
      </c>
      <c r="BA209" s="503" t="s">
        <v>621</v>
      </c>
      <c r="BB209" s="503" t="str">
        <f>IF($G209="","",IF(AND($G209&gt;=30,$AT$3&lt;=BA$7),ROUND(BA209*($AP$3+#REF!),-1),""))</f>
        <v/>
      </c>
      <c r="BC209" s="503" t="s">
        <v>621</v>
      </c>
      <c r="BD209" s="503" t="str">
        <f>IF($G209="","",IF(AND($G209&gt;=30,$AT$3&lt;=BC$7),ROUND(BC209*($AP$3+#REF!),-1),""))</f>
        <v/>
      </c>
      <c r="BE209" s="503" t="s">
        <v>621</v>
      </c>
      <c r="BF209" s="503" t="str">
        <f>IF($G209="","",IF(AND($G209&gt;=30,$AT$3&lt;=BE$7),ROUND(BE209*($AP$3+#REF!),-1),""))</f>
        <v/>
      </c>
      <c r="BG209" s="503" t="s">
        <v>621</v>
      </c>
      <c r="BH209" s="503" t="str">
        <f>IF($G209="","",IF(AND($G209&gt;=30,$AT$3&lt;=BG$7),ROUND(BG209*($AP$3+#REF!),-1),""))</f>
        <v/>
      </c>
      <c r="BI209" s="503" t="s">
        <v>621</v>
      </c>
      <c r="BJ209" s="503" t="str">
        <f>IF($G209="","",IF(AND($G209&gt;=30,$AT$3&lt;=BI$7),ROUND(BI209*($AP$3+#REF!),-1),""))</f>
        <v/>
      </c>
      <c r="BK209" s="503" t="s">
        <v>621</v>
      </c>
      <c r="BL209" s="503" t="str">
        <f>IF($G209="","",IF(AND($G209&gt;=30,$AT$3&lt;=BK$7),ROUND(BK209*($AP$3+#REF!),-1),""))</f>
        <v/>
      </c>
      <c r="BM209" s="517" t="e">
        <v>#REF!</v>
      </c>
      <c r="BN209" s="503" t="str">
        <f>IF($G209="","",IF(AND($G209&gt;=30,$AT$3&lt;=BM$7),ROUND(BM209*($AP$3+#REF!),-1),""))</f>
        <v/>
      </c>
      <c r="BO209" s="502"/>
      <c r="BP209" s="503" t="str">
        <f>IF($G209="","",IF(AND($G209&gt;=30,$AT$3&lt;=BO$7),ROUND(BO209*($AP$3+#REF!),-1),""))</f>
        <v/>
      </c>
      <c r="BQ209" s="503"/>
      <c r="BR209" s="503" t="str">
        <f>IF($G209="","",IF(AND($G209&gt;=30,$AT$3&lt;=BQ$7),ROUND(BQ209*($AP$3+#REF!),-1),""))</f>
        <v/>
      </c>
      <c r="BS209" s="502"/>
      <c r="BT209" s="503" t="str">
        <f>IF($G209="","",IF(AND($G209&gt;=30,$AT$3&lt;=BS$7),ROUND(BS209*($AP$3+#REF!),-1),""))</f>
        <v/>
      </c>
      <c r="BU209" s="503"/>
      <c r="BV209" s="503" t="str">
        <f>IF($G209="","",IF(AND($G209&gt;=30,$AT$3&lt;=BU$7),ROUND(BU209*($AP$3+#REF!),-1),""))</f>
        <v/>
      </c>
      <c r="BW209" s="502"/>
      <c r="BX209" s="503" t="str">
        <f>IF($G209="","",IF(AND($G209&gt;=30,$AT$3&lt;=BW$7),ROUND(BW209*($AP$3+#REF!),-1),""))</f>
        <v/>
      </c>
      <c r="BY209" s="503"/>
      <c r="BZ209" s="503" t="str">
        <f>IF($G209="","",IF(AND($G209&gt;=30,$AT$3&lt;=BY$7),ROUND(BY209*($AP$3+#REF!),-1),""))</f>
        <v/>
      </c>
      <c r="CA209" s="502"/>
      <c r="CB209" s="503" t="str">
        <f>IF($G209="","",IF(AND($G209&gt;=30,$AT$3&lt;=CA$7),ROUND(CA209*($AP$3+#REF!),-1),""))</f>
        <v/>
      </c>
      <c r="CC209" s="503"/>
      <c r="CD209" s="503" t="str">
        <f>IF($G209="","",IF(AND($G209&gt;=30,$AT$3&lt;=CC$7),ROUND(CC209*($AP$3+#REF!),-1),""))</f>
        <v/>
      </c>
      <c r="CE209" s="502"/>
      <c r="CF209" s="503" t="str">
        <f>IF($G209="","",IF(AND($G209&gt;=30,$AT$3&lt;=CE$7),ROUND(CE209*($AP$3+#REF!),-1),""))</f>
        <v/>
      </c>
      <c r="CG209" s="503"/>
      <c r="CH209" s="503" t="str">
        <f>IF($G209="","",IF(AND($G209&gt;=30,$AT$3&lt;=CG$7),ROUND(CG209*($AP$3+#REF!),-1),""))</f>
        <v/>
      </c>
      <c r="CI209" s="502"/>
      <c r="CJ209" s="503" t="str">
        <f>IF($G209="","",IF(AND($G209&gt;=30,$AT$3&lt;=CI$7),ROUND(CI209*($AP$3+#REF!),-1),""))</f>
        <v/>
      </c>
      <c r="CK209" s="503"/>
      <c r="CL209" s="503" t="str">
        <f>IF($G209="","",IF(AND($G209&gt;=30,$AT$3&lt;=CK$7),ROUND(CK209*($AP$3+#REF!),-1),""))</f>
        <v/>
      </c>
      <c r="CM209" s="502"/>
      <c r="CN209" s="503" t="str">
        <f>IF($G209="","",IF(AND($G209&gt;=30,$AT$3&lt;=CM$7),ROUND(CM209*($AP$3+#REF!),-1),""))</f>
        <v/>
      </c>
      <c r="CO209" s="503"/>
      <c r="CP209" s="503" t="str">
        <f>IF($G209="","",IF(AND($G209&gt;=30,$AT$3&lt;=CO$7),ROUND(CO209*($AP$3+#REF!),-1),""))</f>
        <v/>
      </c>
      <c r="CQ209" s="502"/>
      <c r="CR209" s="503" t="str">
        <f>IF($G209="","",IF(AND($G209&gt;=30,$AT$3&lt;=CQ$7),ROUND(CQ209*($AP$3+#REF!),-1),""))</f>
        <v/>
      </c>
      <c r="CS209" s="503"/>
      <c r="CT209" s="503" t="str">
        <f>IF($G209="","",IF(AND($G209&gt;=30,$AT$3&lt;=CS$7),ROUND(CS209*($AP$3+#REF!),-1),""))</f>
        <v/>
      </c>
      <c r="CU209" s="502"/>
      <c r="CV209" s="503" t="str">
        <f>IF($G209="","",IF(AND($G209&gt;=30,$AT$3&lt;=CU$7),ROUND(CU209*($AP$3+#REF!),-1),""))</f>
        <v/>
      </c>
      <c r="CW209" s="503"/>
      <c r="CX209" s="503" t="str">
        <f>IF($G209="","",IF(AND($G209&gt;=30,$AT$3&lt;=CW$7),ROUND(CW209*($AP$3+#REF!),-1),""))</f>
        <v/>
      </c>
      <c r="CY209" s="502"/>
      <c r="CZ209" s="503" t="str">
        <f>IF($G209="","",IF(AND($G209&gt;=30,$AT$3&lt;=CY$7),ROUND(CY209*($AP$3+#REF!),-1),""))</f>
        <v/>
      </c>
      <c r="DA209" s="503"/>
      <c r="DB209" s="503" t="str">
        <f>IF($G209="","",IF(AND($G209&gt;=30,$AT$3&lt;=DA$7),ROUND(DA209*($AP$3+#REF!),-1),""))</f>
        <v/>
      </c>
      <c r="DC209" s="502"/>
      <c r="DD209" s="503" t="str">
        <f>IF($G209="","",IF(AND($G209&gt;=30,$AT$3&lt;=DC$7),ROUND(DC209*($AP$3+#REF!),-1),""))</f>
        <v/>
      </c>
      <c r="DE209" s="503"/>
      <c r="DF209" s="503" t="str">
        <f>IF($G209="","",IF(AND($G209&gt;=30,$AT$3&lt;=DE$7),ROUND(DE209*($AP$3+#REF!),-1),""))</f>
        <v/>
      </c>
      <c r="DG209" s="503"/>
      <c r="DH209" s="503" t="str">
        <f>IF($G209="","",IF(AND($G209&gt;=30,$AT$3&lt;=DG$7),ROUND(DG209*($AP$3+#REF!),-1),""))</f>
        <v/>
      </c>
      <c r="DI209" s="503"/>
      <c r="DJ209" s="503" t="str">
        <f>IF($G209="","",IF(AND($G209&gt;=30,$AT$3&lt;=DI$7),ROUND(DI209*($AP$3+#REF!),-1),""))</f>
        <v/>
      </c>
      <c r="DK209" s="503"/>
      <c r="DL209" s="503" t="str">
        <f>IF($G209="","",IF(AND($G209&gt;=30,$AT$3&lt;=DK$7),ROUND(DK209*($AP$3+#REF!),-1),""))</f>
        <v/>
      </c>
      <c r="DM209" s="503"/>
      <c r="DN209" s="503" t="str">
        <f>IF($G209="","",IF(AND($G209&gt;=30,$AT$3&lt;=DM$7),ROUND(DM209*($AP$3+#REF!),-1),""))</f>
        <v/>
      </c>
      <c r="DO209" s="503"/>
      <c r="DP209" s="503" t="str">
        <f>IF($G209="","",IF(AND($G209&gt;=30,$AT$3&lt;=DO$7),ROUND(DO209*($AP$3+#REF!),-1),""))</f>
        <v/>
      </c>
      <c r="DQ209" s="503"/>
      <c r="DR209" s="503" t="str">
        <f>IF($G209="","",IF(AND($G209&gt;=30,$AT$3&lt;=DQ$7),ROUND(DQ209*($AP$3+#REF!),-1),""))</f>
        <v/>
      </c>
      <c r="DS209" s="503"/>
      <c r="DT209" s="503" t="str">
        <f>IF($G209="","",IF(AND($G209&gt;=30,$AT$3&lt;=DS$7),ROUND(DS209*($AP$3+#REF!),-1),""))</f>
        <v/>
      </c>
      <c r="DU209" s="503"/>
      <c r="DV209" s="503" t="str">
        <f>IF($G209="","",IF(AND($G209&gt;=30,$AT$3&lt;=DU$7),ROUND(DU209*($AP$3+#REF!),-1),""))</f>
        <v/>
      </c>
      <c r="DW209" s="503"/>
      <c r="DX209" s="503" t="str">
        <f>IF($G209="","",IF(AND($G209&gt;=30,$AT$3&lt;=DW$7),ROUND(DW209*($AP$3+#REF!),-1),""))</f>
        <v/>
      </c>
      <c r="DY209" s="503"/>
      <c r="DZ209" s="503" t="str">
        <f>IF($G209="","",IF(AND($G209&gt;=30,$AT$3&lt;=DY$7),ROUND(DY209*($AP$3+#REF!),-1),""))</f>
        <v/>
      </c>
      <c r="EA209" s="503"/>
      <c r="EB209" s="503" t="str">
        <f>IF($G209="","",IF(AND($G209&gt;=30,$AT$3&lt;=EA$7),ROUND(EA209*($AP$3+#REF!),-1),""))</f>
        <v/>
      </c>
      <c r="EC209" s="504" t="s">
        <v>621</v>
      </c>
      <c r="ED209" s="1124"/>
      <c r="EE209" s="325">
        <v>9</v>
      </c>
    </row>
    <row r="210" spans="1:135" ht="9.75" customHeight="1">
      <c r="A210" s="321" t="str">
        <f t="shared" si="54"/>
        <v/>
      </c>
      <c r="B210" s="567">
        <f>(ii!$D$13*12+V210)+1</f>
        <v>104</v>
      </c>
      <c r="C210" s="337">
        <f t="shared" si="58"/>
        <v>48518</v>
      </c>
      <c r="D210" s="484">
        <f t="shared" si="47"/>
        <v>2032</v>
      </c>
      <c r="E210" s="484">
        <f t="shared" si="59"/>
        <v>0.83333333333333337</v>
      </c>
      <c r="F210" s="484">
        <f t="shared" si="48"/>
        <v>2032.8333333333333</v>
      </c>
      <c r="G210" s="485" t="str">
        <f>IF(OR(C210&lt;$I$2,C210&gt;$J$3),"",(ii!$D$13*12+V210+1)/12)</f>
        <v/>
      </c>
      <c r="H210" s="486"/>
      <c r="I210" s="486"/>
      <c r="J210" s="487"/>
      <c r="K210" s="488"/>
      <c r="L210" s="548"/>
      <c r="M210" s="489" t="str">
        <f t="shared" si="49"/>
        <v/>
      </c>
      <c r="N210" s="490" t="s">
        <v>621</v>
      </c>
      <c r="O210" s="490" t="str">
        <f t="shared" si="56"/>
        <v/>
      </c>
      <c r="P210" s="491"/>
      <c r="Q210" s="491"/>
      <c r="R210" s="491" t="str">
        <f t="shared" si="57"/>
        <v/>
      </c>
      <c r="S210" s="528" t="str">
        <f t="shared" si="55"/>
        <v/>
      </c>
      <c r="T210" s="528" t="str">
        <f t="shared" si="53"/>
        <v/>
      </c>
      <c r="U210" s="493" t="str">
        <f>IF(H210="","",#REF!*12+#REF!+#REF!*12+#REF!)</f>
        <v/>
      </c>
      <c r="V210" s="338">
        <f>IF(ii!$J$3&gt;gg!C210,"",IF(AND((YEAR(C210)=YEAR($I$2)),MONTH(C210)=MONTH($I$2)),ii!$B$14*12+ii!$C$14+ii!$B$15*12+ii!$C$15-1,V209+1))</f>
        <v>103</v>
      </c>
      <c r="W210" s="339">
        <f t="shared" si="46"/>
        <v>8.5833333333333339</v>
      </c>
      <c r="X210" s="494" t="s">
        <v>621</v>
      </c>
      <c r="Y210" s="495" t="s">
        <v>621</v>
      </c>
      <c r="Z210" s="496"/>
      <c r="AA210" s="497"/>
      <c r="AB210" s="498" t="e">
        <f t="shared" si="52"/>
        <v>#VALUE!</v>
      </c>
      <c r="AC210" s="484" t="str">
        <f t="shared" si="50"/>
        <v/>
      </c>
      <c r="AD210" s="495" t="str">
        <f t="shared" si="51"/>
        <v/>
      </c>
      <c r="AE210" s="499" t="s">
        <v>621</v>
      </c>
      <c r="AF210" s="500" t="s">
        <v>621</v>
      </c>
      <c r="AG210" s="556" t="s">
        <v>621</v>
      </c>
      <c r="AH210" s="503" t="str">
        <f>IF($G210="","",IF(AND($G210&gt;=30,$AT$3&lt;=AG$7),ROUND(AG210*($AP$3+#REF!),-1),""))</f>
        <v/>
      </c>
      <c r="AI210" s="506" t="s">
        <v>621</v>
      </c>
      <c r="AJ210" s="503" t="str">
        <f>IF($G210="","",IF(AND($G210&gt;=30,$AT$3&lt;=AI$7),ROUND(AI210*($AP$3+#REF!),-1),""))</f>
        <v/>
      </c>
      <c r="AK210" s="506" t="s">
        <v>621</v>
      </c>
      <c r="AL210" s="503" t="str">
        <f>IF($G210="","",IF(AND($G210&gt;=30,$AT$3&lt;=AK$7),ROUND(AK210*($AP$3+#REF!),-1),""))</f>
        <v/>
      </c>
      <c r="AM210" s="506" t="s">
        <v>621</v>
      </c>
      <c r="AN210" s="503" t="str">
        <f>IF($G210="","",IF(AND($G210&gt;=30,$AT$3&lt;=AM$7),ROUND(AM210*($AP$3+#REF!),-1),""))</f>
        <v/>
      </c>
      <c r="AO210" s="503" t="e">
        <v>#REF!</v>
      </c>
      <c r="AP210" s="503" t="str">
        <f>IF($G210="","",IF(AND($G210&gt;=30,$AT$3&lt;=AO$7),ROUND(AO210*($AP$3+#REF!),-1),""))</f>
        <v/>
      </c>
      <c r="AQ210" s="503" t="s">
        <v>621</v>
      </c>
      <c r="AR210" s="503" t="str">
        <f>IF($G210="","",IF(AND($G210&gt;=30,$AT$3&lt;=AQ$7),ROUND(AQ210*($AP$3+#REF!),-1),""))</f>
        <v/>
      </c>
      <c r="AS210" s="503" t="s">
        <v>621</v>
      </c>
      <c r="AT210" s="503" t="str">
        <f>IF($G210="","",IF(AND($G210&gt;=30,$AT$3&lt;=AS$7),ROUND(AS210*($AP$3+#REF!),-1),""))</f>
        <v/>
      </c>
      <c r="AU210" s="503" t="s">
        <v>621</v>
      </c>
      <c r="AV210" s="503" t="str">
        <f>IF($G210="","",IF(AND($G210&gt;=30,$AT$3&lt;=AU$7),ROUND(AU210*($AP$3+#REF!),-1),""))</f>
        <v/>
      </c>
      <c r="AW210" s="503" t="s">
        <v>621</v>
      </c>
      <c r="AX210" s="503" t="str">
        <f>IF($G210="","",IF(AND($G210&gt;=30,$AT$3&lt;=AW$7),ROUND(AW210*($AP$3+#REF!),-1),""))</f>
        <v/>
      </c>
      <c r="AY210" s="503" t="s">
        <v>621</v>
      </c>
      <c r="AZ210" s="503" t="str">
        <f>IF($G210="","",IF(AND($G210&gt;=30,$AT$3&lt;=AY$7),ROUND(AY210*($AP$3+#REF!),-1),""))</f>
        <v/>
      </c>
      <c r="BA210" s="503" t="s">
        <v>621</v>
      </c>
      <c r="BB210" s="503" t="str">
        <f>IF($G210="","",IF(AND($G210&gt;=30,$AT$3&lt;=BA$7),ROUND(BA210*($AP$3+#REF!),-1),""))</f>
        <v/>
      </c>
      <c r="BC210" s="503" t="s">
        <v>621</v>
      </c>
      <c r="BD210" s="503" t="str">
        <f>IF($G210="","",IF(AND($G210&gt;=30,$AT$3&lt;=BC$7),ROUND(BC210*($AP$3+#REF!),-1),""))</f>
        <v/>
      </c>
      <c r="BE210" s="503" t="s">
        <v>621</v>
      </c>
      <c r="BF210" s="503" t="str">
        <f>IF($G210="","",IF(AND($G210&gt;=30,$AT$3&lt;=BE$7),ROUND(BE210*($AP$3+#REF!),-1),""))</f>
        <v/>
      </c>
      <c r="BG210" s="503" t="s">
        <v>621</v>
      </c>
      <c r="BH210" s="503" t="str">
        <f>IF($G210="","",IF(AND($G210&gt;=30,$AT$3&lt;=BG$7),ROUND(BG210*($AP$3+#REF!),-1),""))</f>
        <v/>
      </c>
      <c r="BI210" s="503" t="s">
        <v>621</v>
      </c>
      <c r="BJ210" s="503" t="str">
        <f>IF($G210="","",IF(AND($G210&gt;=30,$AT$3&lt;=BI$7),ROUND(BI210*($AP$3+#REF!),-1),""))</f>
        <v/>
      </c>
      <c r="BK210" s="503" t="s">
        <v>621</v>
      </c>
      <c r="BL210" s="503" t="str">
        <f>IF($G210="","",IF(AND($G210&gt;=30,$AT$3&lt;=BK$7),ROUND(BK210*($AP$3+#REF!),-1),""))</f>
        <v/>
      </c>
      <c r="BM210" s="517" t="e">
        <v>#REF!</v>
      </c>
      <c r="BN210" s="503" t="str">
        <f>IF($G210="","",IF(AND($G210&gt;=30,$AT$3&lt;=BM$7),ROUND(BM210*($AP$3+#REF!),-1),""))</f>
        <v/>
      </c>
      <c r="BO210" s="502"/>
      <c r="BP210" s="503" t="str">
        <f>IF($G210="","",IF(AND($G210&gt;=30,$AT$3&lt;=BO$7),ROUND(BO210*($AP$3+#REF!),-1),""))</f>
        <v/>
      </c>
      <c r="BQ210" s="503"/>
      <c r="BR210" s="503" t="str">
        <f>IF($G210="","",IF(AND($G210&gt;=30,$AT$3&lt;=BQ$7),ROUND(BQ210*($AP$3+#REF!),-1),""))</f>
        <v/>
      </c>
      <c r="BS210" s="502"/>
      <c r="BT210" s="503" t="str">
        <f>IF($G210="","",IF(AND($G210&gt;=30,$AT$3&lt;=BS$7),ROUND(BS210*($AP$3+#REF!),-1),""))</f>
        <v/>
      </c>
      <c r="BU210" s="503"/>
      <c r="BV210" s="503" t="str">
        <f>IF($G210="","",IF(AND($G210&gt;=30,$AT$3&lt;=BU$7),ROUND(BU210*($AP$3+#REF!),-1),""))</f>
        <v/>
      </c>
      <c r="BW210" s="502"/>
      <c r="BX210" s="503" t="str">
        <f>IF($G210="","",IF(AND($G210&gt;=30,$AT$3&lt;=BW$7),ROUND(BW210*($AP$3+#REF!),-1),""))</f>
        <v/>
      </c>
      <c r="BY210" s="503"/>
      <c r="BZ210" s="503" t="str">
        <f>IF($G210="","",IF(AND($G210&gt;=30,$AT$3&lt;=BY$7),ROUND(BY210*($AP$3+#REF!),-1),""))</f>
        <v/>
      </c>
      <c r="CA210" s="502"/>
      <c r="CB210" s="503" t="str">
        <f>IF($G210="","",IF(AND($G210&gt;=30,$AT$3&lt;=CA$7),ROUND(CA210*($AP$3+#REF!),-1),""))</f>
        <v/>
      </c>
      <c r="CC210" s="503"/>
      <c r="CD210" s="503" t="str">
        <f>IF($G210="","",IF(AND($G210&gt;=30,$AT$3&lt;=CC$7),ROUND(CC210*($AP$3+#REF!),-1),""))</f>
        <v/>
      </c>
      <c r="CE210" s="502"/>
      <c r="CF210" s="503" t="str">
        <f>IF($G210="","",IF(AND($G210&gt;=30,$AT$3&lt;=CE$7),ROUND(CE210*($AP$3+#REF!),-1),""))</f>
        <v/>
      </c>
      <c r="CG210" s="503"/>
      <c r="CH210" s="503" t="str">
        <f>IF($G210="","",IF(AND($G210&gt;=30,$AT$3&lt;=CG$7),ROUND(CG210*($AP$3+#REF!),-1),""))</f>
        <v/>
      </c>
      <c r="CI210" s="502"/>
      <c r="CJ210" s="503" t="str">
        <f>IF($G210="","",IF(AND($G210&gt;=30,$AT$3&lt;=CI$7),ROUND(CI210*($AP$3+#REF!),-1),""))</f>
        <v/>
      </c>
      <c r="CK210" s="503"/>
      <c r="CL210" s="503" t="str">
        <f>IF($G210="","",IF(AND($G210&gt;=30,$AT$3&lt;=CK$7),ROUND(CK210*($AP$3+#REF!),-1),""))</f>
        <v/>
      </c>
      <c r="CM210" s="502"/>
      <c r="CN210" s="503" t="str">
        <f>IF($G210="","",IF(AND($G210&gt;=30,$AT$3&lt;=CM$7),ROUND(CM210*($AP$3+#REF!),-1),""))</f>
        <v/>
      </c>
      <c r="CO210" s="503"/>
      <c r="CP210" s="503" t="str">
        <f>IF($G210="","",IF(AND($G210&gt;=30,$AT$3&lt;=CO$7),ROUND(CO210*($AP$3+#REF!),-1),""))</f>
        <v/>
      </c>
      <c r="CQ210" s="502"/>
      <c r="CR210" s="503" t="str">
        <f>IF($G210="","",IF(AND($G210&gt;=30,$AT$3&lt;=CQ$7),ROUND(CQ210*($AP$3+#REF!),-1),""))</f>
        <v/>
      </c>
      <c r="CS210" s="503"/>
      <c r="CT210" s="503" t="str">
        <f>IF($G210="","",IF(AND($G210&gt;=30,$AT$3&lt;=CS$7),ROUND(CS210*($AP$3+#REF!),-1),""))</f>
        <v/>
      </c>
      <c r="CU210" s="502"/>
      <c r="CV210" s="503" t="str">
        <f>IF($G210="","",IF(AND($G210&gt;=30,$AT$3&lt;=CU$7),ROUND(CU210*($AP$3+#REF!),-1),""))</f>
        <v/>
      </c>
      <c r="CW210" s="503"/>
      <c r="CX210" s="503" t="str">
        <f>IF($G210="","",IF(AND($G210&gt;=30,$AT$3&lt;=CW$7),ROUND(CW210*($AP$3+#REF!),-1),""))</f>
        <v/>
      </c>
      <c r="CY210" s="502"/>
      <c r="CZ210" s="503" t="str">
        <f>IF($G210="","",IF(AND($G210&gt;=30,$AT$3&lt;=CY$7),ROUND(CY210*($AP$3+#REF!),-1),""))</f>
        <v/>
      </c>
      <c r="DA210" s="503"/>
      <c r="DB210" s="503" t="str">
        <f>IF($G210="","",IF(AND($G210&gt;=30,$AT$3&lt;=DA$7),ROUND(DA210*($AP$3+#REF!),-1),""))</f>
        <v/>
      </c>
      <c r="DC210" s="502"/>
      <c r="DD210" s="503" t="str">
        <f>IF($G210="","",IF(AND($G210&gt;=30,$AT$3&lt;=DC$7),ROUND(DC210*($AP$3+#REF!),-1),""))</f>
        <v/>
      </c>
      <c r="DE210" s="503"/>
      <c r="DF210" s="503" t="str">
        <f>IF($G210="","",IF(AND($G210&gt;=30,$AT$3&lt;=DE$7),ROUND(DE210*($AP$3+#REF!),-1),""))</f>
        <v/>
      </c>
      <c r="DG210" s="503"/>
      <c r="DH210" s="503" t="str">
        <f>IF($G210="","",IF(AND($G210&gt;=30,$AT$3&lt;=DG$7),ROUND(DG210*($AP$3+#REF!),-1),""))</f>
        <v/>
      </c>
      <c r="DI210" s="503"/>
      <c r="DJ210" s="503" t="str">
        <f>IF($G210="","",IF(AND($G210&gt;=30,$AT$3&lt;=DI$7),ROUND(DI210*($AP$3+#REF!),-1),""))</f>
        <v/>
      </c>
      <c r="DK210" s="503"/>
      <c r="DL210" s="503" t="str">
        <f>IF($G210="","",IF(AND($G210&gt;=30,$AT$3&lt;=DK$7),ROUND(DK210*($AP$3+#REF!),-1),""))</f>
        <v/>
      </c>
      <c r="DM210" s="503"/>
      <c r="DN210" s="503" t="str">
        <f>IF($G210="","",IF(AND($G210&gt;=30,$AT$3&lt;=DM$7),ROUND(DM210*($AP$3+#REF!),-1),""))</f>
        <v/>
      </c>
      <c r="DO210" s="503"/>
      <c r="DP210" s="503" t="str">
        <f>IF($G210="","",IF(AND($G210&gt;=30,$AT$3&lt;=DO$7),ROUND(DO210*($AP$3+#REF!),-1),""))</f>
        <v/>
      </c>
      <c r="DQ210" s="503"/>
      <c r="DR210" s="503" t="str">
        <f>IF($G210="","",IF(AND($G210&gt;=30,$AT$3&lt;=DQ$7),ROUND(DQ210*($AP$3+#REF!),-1),""))</f>
        <v/>
      </c>
      <c r="DS210" s="503"/>
      <c r="DT210" s="503" t="str">
        <f>IF($G210="","",IF(AND($G210&gt;=30,$AT$3&lt;=DS$7),ROUND(DS210*($AP$3+#REF!),-1),""))</f>
        <v/>
      </c>
      <c r="DU210" s="503"/>
      <c r="DV210" s="503" t="str">
        <f>IF($G210="","",IF(AND($G210&gt;=30,$AT$3&lt;=DU$7),ROUND(DU210*($AP$3+#REF!),-1),""))</f>
        <v/>
      </c>
      <c r="DW210" s="503"/>
      <c r="DX210" s="503" t="str">
        <f>IF($G210="","",IF(AND($G210&gt;=30,$AT$3&lt;=DW$7),ROUND(DW210*($AP$3+#REF!),-1),""))</f>
        <v/>
      </c>
      <c r="DY210" s="503"/>
      <c r="DZ210" s="503" t="str">
        <f>IF($G210="","",IF(AND($G210&gt;=30,$AT$3&lt;=DY$7),ROUND(DY210*($AP$3+#REF!),-1),""))</f>
        <v/>
      </c>
      <c r="EA210" s="503"/>
      <c r="EB210" s="503" t="str">
        <f>IF($G210="","",IF(AND($G210&gt;=30,$AT$3&lt;=EA$7),ROUND(EA210*($AP$3+#REF!),-1),""))</f>
        <v/>
      </c>
      <c r="EC210" s="504" t="s">
        <v>621</v>
      </c>
      <c r="ED210" s="1124"/>
      <c r="EE210" s="325">
        <v>10</v>
      </c>
    </row>
    <row r="211" spans="1:135" ht="9.75" customHeight="1">
      <c r="A211" s="321" t="str">
        <f t="shared" si="54"/>
        <v/>
      </c>
      <c r="B211" s="567">
        <f>(ii!$D$13*12+V211)+1</f>
        <v>105</v>
      </c>
      <c r="C211" s="337">
        <f t="shared" si="58"/>
        <v>48548</v>
      </c>
      <c r="D211" s="484">
        <f t="shared" si="47"/>
        <v>2032</v>
      </c>
      <c r="E211" s="484">
        <f t="shared" si="59"/>
        <v>0.91666666666666663</v>
      </c>
      <c r="F211" s="484">
        <f t="shared" si="48"/>
        <v>2032.9166666666667</v>
      </c>
      <c r="G211" s="485" t="str">
        <f>IF(OR(C211&lt;$I$2,C211&gt;$J$3),"",(ii!$D$13*12+V211+1)/12)</f>
        <v/>
      </c>
      <c r="H211" s="486"/>
      <c r="I211" s="486"/>
      <c r="J211" s="487"/>
      <c r="K211" s="488"/>
      <c r="L211" s="548"/>
      <c r="M211" s="489" t="str">
        <f t="shared" si="49"/>
        <v/>
      </c>
      <c r="N211" s="490" t="s">
        <v>621</v>
      </c>
      <c r="O211" s="490" t="str">
        <f t="shared" si="56"/>
        <v/>
      </c>
      <c r="P211" s="491"/>
      <c r="Q211" s="491"/>
      <c r="R211" s="491" t="str">
        <f t="shared" si="57"/>
        <v/>
      </c>
      <c r="S211" s="528" t="str">
        <f t="shared" si="55"/>
        <v/>
      </c>
      <c r="T211" s="528" t="str">
        <f t="shared" si="53"/>
        <v/>
      </c>
      <c r="U211" s="493" t="str">
        <f>IF(H211="","",#REF!*12+#REF!+#REF!*12+#REF!)</f>
        <v/>
      </c>
      <c r="V211" s="338">
        <f>IF(ii!$J$3&gt;gg!C211,"",IF(AND((YEAR(C211)=YEAR($I$2)),MONTH(C211)=MONTH($I$2)),ii!$B$14*12+ii!$C$14+ii!$B$15*12+ii!$C$15-1,V210+1))</f>
        <v>104</v>
      </c>
      <c r="W211" s="339">
        <f t="shared" ref="W211:W274" si="60">IF(V212="","",(V212-1)/12)</f>
        <v>8.6666666666666661</v>
      </c>
      <c r="X211" s="494" t="s">
        <v>621</v>
      </c>
      <c r="Y211" s="495" t="s">
        <v>621</v>
      </c>
      <c r="Z211" s="496"/>
      <c r="AA211" s="497"/>
      <c r="AB211" s="498" t="e">
        <f t="shared" si="52"/>
        <v>#VALUE!</v>
      </c>
      <c r="AC211" s="484" t="str">
        <f t="shared" si="50"/>
        <v/>
      </c>
      <c r="AD211" s="495" t="str">
        <f t="shared" si="51"/>
        <v/>
      </c>
      <c r="AE211" s="499" t="s">
        <v>621</v>
      </c>
      <c r="AF211" s="500" t="s">
        <v>621</v>
      </c>
      <c r="AG211" s="556" t="s">
        <v>621</v>
      </c>
      <c r="AH211" s="503" t="str">
        <f>IF($G211="","",IF(AND($G211&gt;=30,$AT$3&lt;=AG$7),ROUND(AG211*($AP$3+#REF!),-1),""))</f>
        <v/>
      </c>
      <c r="AI211" s="506" t="s">
        <v>621</v>
      </c>
      <c r="AJ211" s="503" t="str">
        <f>IF($G211="","",IF(AND($G211&gt;=30,$AT$3&lt;=AI$7),ROUND(AI211*($AP$3+#REF!),-1),""))</f>
        <v/>
      </c>
      <c r="AK211" s="506" t="s">
        <v>621</v>
      </c>
      <c r="AL211" s="503" t="str">
        <f>IF($G211="","",IF(AND($G211&gt;=30,$AT$3&lt;=AK$7),ROUND(AK211*($AP$3+#REF!),-1),""))</f>
        <v/>
      </c>
      <c r="AM211" s="506" t="s">
        <v>621</v>
      </c>
      <c r="AN211" s="503" t="str">
        <f>IF($G211="","",IF(AND($G211&gt;=30,$AT$3&lt;=AM$7),ROUND(AM211*($AP$3+#REF!),-1),""))</f>
        <v/>
      </c>
      <c r="AO211" s="503" t="e">
        <v>#REF!</v>
      </c>
      <c r="AP211" s="503" t="str">
        <f>IF($G211="","",IF(AND($G211&gt;=30,$AT$3&lt;=AO$7),ROUND(AO211*($AP$3+#REF!),-1),""))</f>
        <v/>
      </c>
      <c r="AQ211" s="503" t="s">
        <v>621</v>
      </c>
      <c r="AR211" s="503" t="str">
        <f>IF($G211="","",IF(AND($G211&gt;=30,$AT$3&lt;=AQ$7),ROUND(AQ211*($AP$3+#REF!),-1),""))</f>
        <v/>
      </c>
      <c r="AS211" s="503" t="s">
        <v>621</v>
      </c>
      <c r="AT211" s="503" t="str">
        <f>IF($G211="","",IF(AND($G211&gt;=30,$AT$3&lt;=AS$7),ROUND(AS211*($AP$3+#REF!),-1),""))</f>
        <v/>
      </c>
      <c r="AU211" s="503" t="s">
        <v>621</v>
      </c>
      <c r="AV211" s="503" t="str">
        <f>IF($G211="","",IF(AND($G211&gt;=30,$AT$3&lt;=AU$7),ROUND(AU211*($AP$3+#REF!),-1),""))</f>
        <v/>
      </c>
      <c r="AW211" s="503" t="s">
        <v>621</v>
      </c>
      <c r="AX211" s="503" t="str">
        <f>IF($G211="","",IF(AND($G211&gt;=30,$AT$3&lt;=AW$7),ROUND(AW211*($AP$3+#REF!),-1),""))</f>
        <v/>
      </c>
      <c r="AY211" s="503" t="s">
        <v>621</v>
      </c>
      <c r="AZ211" s="503" t="str">
        <f>IF($G211="","",IF(AND($G211&gt;=30,$AT$3&lt;=AY$7),ROUND(AY211*($AP$3+#REF!),-1),""))</f>
        <v/>
      </c>
      <c r="BA211" s="503" t="s">
        <v>621</v>
      </c>
      <c r="BB211" s="503" t="str">
        <f>IF($G211="","",IF(AND($G211&gt;=30,$AT$3&lt;=BA$7),ROUND(BA211*($AP$3+#REF!),-1),""))</f>
        <v/>
      </c>
      <c r="BC211" s="503" t="s">
        <v>621</v>
      </c>
      <c r="BD211" s="503" t="str">
        <f>IF($G211="","",IF(AND($G211&gt;=30,$AT$3&lt;=BC$7),ROUND(BC211*($AP$3+#REF!),-1),""))</f>
        <v/>
      </c>
      <c r="BE211" s="503" t="s">
        <v>621</v>
      </c>
      <c r="BF211" s="503" t="str">
        <f>IF($G211="","",IF(AND($G211&gt;=30,$AT$3&lt;=BE$7),ROUND(BE211*($AP$3+#REF!),-1),""))</f>
        <v/>
      </c>
      <c r="BG211" s="503" t="s">
        <v>621</v>
      </c>
      <c r="BH211" s="503" t="str">
        <f>IF($G211="","",IF(AND($G211&gt;=30,$AT$3&lt;=BG$7),ROUND(BG211*($AP$3+#REF!),-1),""))</f>
        <v/>
      </c>
      <c r="BI211" s="503" t="s">
        <v>621</v>
      </c>
      <c r="BJ211" s="503" t="str">
        <f>IF($G211="","",IF(AND($G211&gt;=30,$AT$3&lt;=BI$7),ROUND(BI211*($AP$3+#REF!),-1),""))</f>
        <v/>
      </c>
      <c r="BK211" s="503" t="s">
        <v>621</v>
      </c>
      <c r="BL211" s="503" t="str">
        <f>IF($G211="","",IF(AND($G211&gt;=30,$AT$3&lt;=BK$7),ROUND(BK211*($AP$3+#REF!),-1),""))</f>
        <v/>
      </c>
      <c r="BM211" s="517" t="e">
        <v>#REF!</v>
      </c>
      <c r="BN211" s="503" t="str">
        <f>IF($G211="","",IF(AND($G211&gt;=30,$AT$3&lt;=BM$7),ROUND(BM211*($AP$3+#REF!),-1),""))</f>
        <v/>
      </c>
      <c r="BO211" s="502"/>
      <c r="BP211" s="503" t="str">
        <f>IF($G211="","",IF(AND($G211&gt;=30,$AT$3&lt;=BO$7),ROUND(BO211*($AP$3+#REF!),-1),""))</f>
        <v/>
      </c>
      <c r="BQ211" s="503"/>
      <c r="BR211" s="503" t="str">
        <f>IF($G211="","",IF(AND($G211&gt;=30,$AT$3&lt;=BQ$7),ROUND(BQ211*($AP$3+#REF!),-1),""))</f>
        <v/>
      </c>
      <c r="BS211" s="502"/>
      <c r="BT211" s="503" t="str">
        <f>IF($G211="","",IF(AND($G211&gt;=30,$AT$3&lt;=BS$7),ROUND(BS211*($AP$3+#REF!),-1),""))</f>
        <v/>
      </c>
      <c r="BU211" s="503"/>
      <c r="BV211" s="503" t="str">
        <f>IF($G211="","",IF(AND($G211&gt;=30,$AT$3&lt;=BU$7),ROUND(BU211*($AP$3+#REF!),-1),""))</f>
        <v/>
      </c>
      <c r="BW211" s="502"/>
      <c r="BX211" s="503" t="str">
        <f>IF($G211="","",IF(AND($G211&gt;=30,$AT$3&lt;=BW$7),ROUND(BW211*($AP$3+#REF!),-1),""))</f>
        <v/>
      </c>
      <c r="BY211" s="503"/>
      <c r="BZ211" s="503" t="str">
        <f>IF($G211="","",IF(AND($G211&gt;=30,$AT$3&lt;=BY$7),ROUND(BY211*($AP$3+#REF!),-1),""))</f>
        <v/>
      </c>
      <c r="CA211" s="502"/>
      <c r="CB211" s="503" t="str">
        <f>IF($G211="","",IF(AND($G211&gt;=30,$AT$3&lt;=CA$7),ROUND(CA211*($AP$3+#REF!),-1),""))</f>
        <v/>
      </c>
      <c r="CC211" s="503"/>
      <c r="CD211" s="503" t="str">
        <f>IF($G211="","",IF(AND($G211&gt;=30,$AT$3&lt;=CC$7),ROUND(CC211*($AP$3+#REF!),-1),""))</f>
        <v/>
      </c>
      <c r="CE211" s="502"/>
      <c r="CF211" s="503" t="str">
        <f>IF($G211="","",IF(AND($G211&gt;=30,$AT$3&lt;=CE$7),ROUND(CE211*($AP$3+#REF!),-1),""))</f>
        <v/>
      </c>
      <c r="CG211" s="503"/>
      <c r="CH211" s="503" t="str">
        <f>IF($G211="","",IF(AND($G211&gt;=30,$AT$3&lt;=CG$7),ROUND(CG211*($AP$3+#REF!),-1),""))</f>
        <v/>
      </c>
      <c r="CI211" s="502"/>
      <c r="CJ211" s="503" t="str">
        <f>IF($G211="","",IF(AND($G211&gt;=30,$AT$3&lt;=CI$7),ROUND(CI211*($AP$3+#REF!),-1),""))</f>
        <v/>
      </c>
      <c r="CK211" s="503"/>
      <c r="CL211" s="503" t="str">
        <f>IF($G211="","",IF(AND($G211&gt;=30,$AT$3&lt;=CK$7),ROUND(CK211*($AP$3+#REF!),-1),""))</f>
        <v/>
      </c>
      <c r="CM211" s="502"/>
      <c r="CN211" s="503" t="str">
        <f>IF($G211="","",IF(AND($G211&gt;=30,$AT$3&lt;=CM$7),ROUND(CM211*($AP$3+#REF!),-1),""))</f>
        <v/>
      </c>
      <c r="CO211" s="503"/>
      <c r="CP211" s="503" t="str">
        <f>IF($G211="","",IF(AND($G211&gt;=30,$AT$3&lt;=CO$7),ROUND(CO211*($AP$3+#REF!),-1),""))</f>
        <v/>
      </c>
      <c r="CQ211" s="502"/>
      <c r="CR211" s="503" t="str">
        <f>IF($G211="","",IF(AND($G211&gt;=30,$AT$3&lt;=CQ$7),ROUND(CQ211*($AP$3+#REF!),-1),""))</f>
        <v/>
      </c>
      <c r="CS211" s="503"/>
      <c r="CT211" s="503" t="str">
        <f>IF($G211="","",IF(AND($G211&gt;=30,$AT$3&lt;=CS$7),ROUND(CS211*($AP$3+#REF!),-1),""))</f>
        <v/>
      </c>
      <c r="CU211" s="502"/>
      <c r="CV211" s="503" t="str">
        <f>IF($G211="","",IF(AND($G211&gt;=30,$AT$3&lt;=CU$7),ROUND(CU211*($AP$3+#REF!),-1),""))</f>
        <v/>
      </c>
      <c r="CW211" s="503"/>
      <c r="CX211" s="503" t="str">
        <f>IF($G211="","",IF(AND($G211&gt;=30,$AT$3&lt;=CW$7),ROUND(CW211*($AP$3+#REF!),-1),""))</f>
        <v/>
      </c>
      <c r="CY211" s="502"/>
      <c r="CZ211" s="503" t="str">
        <f>IF($G211="","",IF(AND($G211&gt;=30,$AT$3&lt;=CY$7),ROUND(CY211*($AP$3+#REF!),-1),""))</f>
        <v/>
      </c>
      <c r="DA211" s="503"/>
      <c r="DB211" s="503" t="str">
        <f>IF($G211="","",IF(AND($G211&gt;=30,$AT$3&lt;=DA$7),ROUND(DA211*($AP$3+#REF!),-1),""))</f>
        <v/>
      </c>
      <c r="DC211" s="502"/>
      <c r="DD211" s="503" t="str">
        <f>IF($G211="","",IF(AND($G211&gt;=30,$AT$3&lt;=DC$7),ROUND(DC211*($AP$3+#REF!),-1),""))</f>
        <v/>
      </c>
      <c r="DE211" s="503"/>
      <c r="DF211" s="503" t="str">
        <f>IF($G211="","",IF(AND($G211&gt;=30,$AT$3&lt;=DE$7),ROUND(DE211*($AP$3+#REF!),-1),""))</f>
        <v/>
      </c>
      <c r="DG211" s="503"/>
      <c r="DH211" s="503" t="str">
        <f>IF($G211="","",IF(AND($G211&gt;=30,$AT$3&lt;=DG$7),ROUND(DG211*($AP$3+#REF!),-1),""))</f>
        <v/>
      </c>
      <c r="DI211" s="503"/>
      <c r="DJ211" s="503" t="str">
        <f>IF($G211="","",IF(AND($G211&gt;=30,$AT$3&lt;=DI$7),ROUND(DI211*($AP$3+#REF!),-1),""))</f>
        <v/>
      </c>
      <c r="DK211" s="503"/>
      <c r="DL211" s="503" t="str">
        <f>IF($G211="","",IF(AND($G211&gt;=30,$AT$3&lt;=DK$7),ROUND(DK211*($AP$3+#REF!),-1),""))</f>
        <v/>
      </c>
      <c r="DM211" s="503"/>
      <c r="DN211" s="503" t="str">
        <f>IF($G211="","",IF(AND($G211&gt;=30,$AT$3&lt;=DM$7),ROUND(DM211*($AP$3+#REF!),-1),""))</f>
        <v/>
      </c>
      <c r="DO211" s="503"/>
      <c r="DP211" s="503" t="str">
        <f>IF($G211="","",IF(AND($G211&gt;=30,$AT$3&lt;=DO$7),ROUND(DO211*($AP$3+#REF!),-1),""))</f>
        <v/>
      </c>
      <c r="DQ211" s="503"/>
      <c r="DR211" s="503" t="str">
        <f>IF($G211="","",IF(AND($G211&gt;=30,$AT$3&lt;=DQ$7),ROUND(DQ211*($AP$3+#REF!),-1),""))</f>
        <v/>
      </c>
      <c r="DS211" s="503"/>
      <c r="DT211" s="503" t="str">
        <f>IF($G211="","",IF(AND($G211&gt;=30,$AT$3&lt;=DS$7),ROUND(DS211*($AP$3+#REF!),-1),""))</f>
        <v/>
      </c>
      <c r="DU211" s="503"/>
      <c r="DV211" s="503" t="str">
        <f>IF($G211="","",IF(AND($G211&gt;=30,$AT$3&lt;=DU$7),ROUND(DU211*($AP$3+#REF!),-1),""))</f>
        <v/>
      </c>
      <c r="DW211" s="503"/>
      <c r="DX211" s="503" t="str">
        <f>IF($G211="","",IF(AND($G211&gt;=30,$AT$3&lt;=DW$7),ROUND(DW211*($AP$3+#REF!),-1),""))</f>
        <v/>
      </c>
      <c r="DY211" s="503"/>
      <c r="DZ211" s="503" t="str">
        <f>IF($G211="","",IF(AND($G211&gt;=30,$AT$3&lt;=DY$7),ROUND(DY211*($AP$3+#REF!),-1),""))</f>
        <v/>
      </c>
      <c r="EA211" s="503"/>
      <c r="EB211" s="503" t="str">
        <f>IF($G211="","",IF(AND($G211&gt;=30,$AT$3&lt;=EA$7),ROUND(EA211*($AP$3+#REF!),-1),""))</f>
        <v/>
      </c>
      <c r="EC211" s="504" t="s">
        <v>621</v>
      </c>
      <c r="ED211" s="1124"/>
      <c r="EE211" s="325">
        <v>11</v>
      </c>
    </row>
    <row r="212" spans="1:135" ht="9.75" customHeight="1">
      <c r="A212" s="321" t="str">
        <f t="shared" si="54"/>
        <v/>
      </c>
      <c r="B212" s="567">
        <f>(ii!$D$13*12+V212)+1</f>
        <v>106</v>
      </c>
      <c r="C212" s="337">
        <f t="shared" si="58"/>
        <v>48579</v>
      </c>
      <c r="D212" s="484">
        <f t="shared" si="47"/>
        <v>2032</v>
      </c>
      <c r="E212" s="484">
        <f t="shared" si="59"/>
        <v>1</v>
      </c>
      <c r="F212" s="484">
        <f t="shared" si="48"/>
        <v>2033</v>
      </c>
      <c r="G212" s="485" t="str">
        <f>IF(OR(C212&lt;$I$2,C212&gt;$J$3),"",(ii!$D$13*12+V212+1)/12)</f>
        <v/>
      </c>
      <c r="H212" s="486"/>
      <c r="I212" s="486"/>
      <c r="J212" s="487"/>
      <c r="K212" s="488"/>
      <c r="L212" s="548"/>
      <c r="M212" s="489" t="str">
        <f t="shared" si="49"/>
        <v/>
      </c>
      <c r="N212" s="490" t="s">
        <v>621</v>
      </c>
      <c r="O212" s="490" t="str">
        <f t="shared" si="56"/>
        <v/>
      </c>
      <c r="P212" s="491"/>
      <c r="Q212" s="491"/>
      <c r="R212" s="491" t="str">
        <f t="shared" si="57"/>
        <v/>
      </c>
      <c r="S212" s="528" t="str">
        <f t="shared" si="55"/>
        <v/>
      </c>
      <c r="T212" s="528" t="str">
        <f t="shared" si="53"/>
        <v/>
      </c>
      <c r="U212" s="493" t="str">
        <f>IF(H212="","",#REF!*12+#REF!+#REF!*12+#REF!)</f>
        <v/>
      </c>
      <c r="V212" s="338">
        <f>IF(ii!$J$3&gt;gg!C212,"",IF(AND((YEAR(C212)=YEAR($I$2)),MONTH(C212)=MONTH($I$2)),ii!$B$14*12+ii!$C$14+ii!$B$15*12+ii!$C$15-1,V211+1))</f>
        <v>105</v>
      </c>
      <c r="W212" s="339">
        <f t="shared" si="60"/>
        <v>8.75</v>
      </c>
      <c r="X212" s="494" t="s">
        <v>621</v>
      </c>
      <c r="Y212" s="495" t="s">
        <v>621</v>
      </c>
      <c r="Z212" s="496"/>
      <c r="AA212" s="497"/>
      <c r="AB212" s="498" t="e">
        <f t="shared" si="52"/>
        <v>#VALUE!</v>
      </c>
      <c r="AC212" s="484" t="str">
        <f t="shared" si="50"/>
        <v/>
      </c>
      <c r="AD212" s="495" t="str">
        <f t="shared" si="51"/>
        <v/>
      </c>
      <c r="AE212" s="499" t="s">
        <v>621</v>
      </c>
      <c r="AF212" s="500" t="s">
        <v>621</v>
      </c>
      <c r="AG212" s="556" t="s">
        <v>621</v>
      </c>
      <c r="AH212" s="503" t="str">
        <f>IF($G212="","",IF(AND($G212&gt;=30,$AT$3&lt;=AG$7),ROUND(AG212*($AP$3+#REF!),-1),""))</f>
        <v/>
      </c>
      <c r="AI212" s="506" t="s">
        <v>621</v>
      </c>
      <c r="AJ212" s="503" t="str">
        <f>IF($G212="","",IF(AND($G212&gt;=30,$AT$3&lt;=AI$7),ROUND(AI212*($AP$3+#REF!),-1),""))</f>
        <v/>
      </c>
      <c r="AK212" s="506" t="s">
        <v>621</v>
      </c>
      <c r="AL212" s="503" t="str">
        <f>IF($G212="","",IF(AND($G212&gt;=30,$AT$3&lt;=AK$7),ROUND(AK212*($AP$3+#REF!),-1),""))</f>
        <v/>
      </c>
      <c r="AM212" s="506" t="s">
        <v>621</v>
      </c>
      <c r="AN212" s="503" t="str">
        <f>IF($G212="","",IF(AND($G212&gt;=30,$AT$3&lt;=AM$7),ROUND(AM212*($AP$3+#REF!),-1),""))</f>
        <v/>
      </c>
      <c r="AO212" s="503" t="e">
        <v>#REF!</v>
      </c>
      <c r="AP212" s="503" t="str">
        <f>IF($G212="","",IF(AND($G212&gt;=30,$AT$3&lt;=AO$7),ROUND(AO212*($AP$3+#REF!),-1),""))</f>
        <v/>
      </c>
      <c r="AQ212" s="503" t="s">
        <v>621</v>
      </c>
      <c r="AR212" s="503" t="str">
        <f>IF($G212="","",IF(AND($G212&gt;=30,$AT$3&lt;=AQ$7),ROUND(AQ212*($AP$3+#REF!),-1),""))</f>
        <v/>
      </c>
      <c r="AS212" s="503" t="s">
        <v>621</v>
      </c>
      <c r="AT212" s="503" t="str">
        <f>IF($G212="","",IF(AND($G212&gt;=30,$AT$3&lt;=AS$7),ROUND(AS212*($AP$3+#REF!),-1),""))</f>
        <v/>
      </c>
      <c r="AU212" s="503" t="s">
        <v>621</v>
      </c>
      <c r="AV212" s="503" t="str">
        <f>IF($G212="","",IF(AND($G212&gt;=30,$AT$3&lt;=AU$7),ROUND(AU212*($AP$3+#REF!),-1),""))</f>
        <v/>
      </c>
      <c r="AW212" s="503" t="s">
        <v>621</v>
      </c>
      <c r="AX212" s="503" t="str">
        <f>IF($G212="","",IF(AND($G212&gt;=30,$AT$3&lt;=AW$7),ROUND(AW212*($AP$3+#REF!),-1),""))</f>
        <v/>
      </c>
      <c r="AY212" s="503" t="s">
        <v>621</v>
      </c>
      <c r="AZ212" s="503" t="str">
        <f>IF($G212="","",IF(AND($G212&gt;=30,$AT$3&lt;=AY$7),ROUND(AY212*($AP$3+#REF!),-1),""))</f>
        <v/>
      </c>
      <c r="BA212" s="503" t="s">
        <v>621</v>
      </c>
      <c r="BB212" s="503" t="str">
        <f>IF($G212="","",IF(AND($G212&gt;=30,$AT$3&lt;=BA$7),ROUND(BA212*($AP$3+#REF!),-1),""))</f>
        <v/>
      </c>
      <c r="BC212" s="503" t="s">
        <v>621</v>
      </c>
      <c r="BD212" s="503" t="str">
        <f>IF($G212="","",IF(AND($G212&gt;=30,$AT$3&lt;=BC$7),ROUND(BC212*($AP$3+#REF!),-1),""))</f>
        <v/>
      </c>
      <c r="BE212" s="503" t="s">
        <v>621</v>
      </c>
      <c r="BF212" s="503" t="str">
        <f>IF($G212="","",IF(AND($G212&gt;=30,$AT$3&lt;=BE$7),ROUND(BE212*($AP$3+#REF!),-1),""))</f>
        <v/>
      </c>
      <c r="BG212" s="503" t="s">
        <v>621</v>
      </c>
      <c r="BH212" s="503" t="str">
        <f>IF($G212="","",IF(AND($G212&gt;=30,$AT$3&lt;=BG$7),ROUND(BG212*($AP$3+#REF!),-1),""))</f>
        <v/>
      </c>
      <c r="BI212" s="503" t="s">
        <v>621</v>
      </c>
      <c r="BJ212" s="503" t="str">
        <f>IF($G212="","",IF(AND($G212&gt;=30,$AT$3&lt;=BI$7),ROUND(BI212*($AP$3+#REF!),-1),""))</f>
        <v/>
      </c>
      <c r="BK212" s="503" t="s">
        <v>621</v>
      </c>
      <c r="BL212" s="503" t="str">
        <f>IF($G212="","",IF(AND($G212&gt;=30,$AT$3&lt;=BK$7),ROUND(BK212*($AP$3+#REF!),-1),""))</f>
        <v/>
      </c>
      <c r="BM212" s="517" t="e">
        <v>#REF!</v>
      </c>
      <c r="BN212" s="503" t="str">
        <f>IF($G212="","",IF(AND($G212&gt;=30,$AT$3&lt;=BM$7),ROUND(BM212*($AP$3+#REF!),-1),""))</f>
        <v/>
      </c>
      <c r="BO212" s="502"/>
      <c r="BP212" s="503" t="str">
        <f>IF($G212="","",IF(AND($G212&gt;=30,$AT$3&lt;=BO$7),ROUND(BO212*($AP$3+#REF!),-1),""))</f>
        <v/>
      </c>
      <c r="BQ212" s="503"/>
      <c r="BR212" s="503" t="str">
        <f>IF($G212="","",IF(AND($G212&gt;=30,$AT$3&lt;=BQ$7),ROUND(BQ212*($AP$3+#REF!),-1),""))</f>
        <v/>
      </c>
      <c r="BS212" s="502"/>
      <c r="BT212" s="503" t="str">
        <f>IF($G212="","",IF(AND($G212&gt;=30,$AT$3&lt;=BS$7),ROUND(BS212*($AP$3+#REF!),-1),""))</f>
        <v/>
      </c>
      <c r="BU212" s="503"/>
      <c r="BV212" s="503" t="str">
        <f>IF($G212="","",IF(AND($G212&gt;=30,$AT$3&lt;=BU$7),ROUND(BU212*($AP$3+#REF!),-1),""))</f>
        <v/>
      </c>
      <c r="BW212" s="502"/>
      <c r="BX212" s="503" t="str">
        <f>IF($G212="","",IF(AND($G212&gt;=30,$AT$3&lt;=BW$7),ROUND(BW212*($AP$3+#REF!),-1),""))</f>
        <v/>
      </c>
      <c r="BY212" s="503"/>
      <c r="BZ212" s="503" t="str">
        <f>IF($G212="","",IF(AND($G212&gt;=30,$AT$3&lt;=BY$7),ROUND(BY212*($AP$3+#REF!),-1),""))</f>
        <v/>
      </c>
      <c r="CA212" s="502"/>
      <c r="CB212" s="503" t="str">
        <f>IF($G212="","",IF(AND($G212&gt;=30,$AT$3&lt;=CA$7),ROUND(CA212*($AP$3+#REF!),-1),""))</f>
        <v/>
      </c>
      <c r="CC212" s="503"/>
      <c r="CD212" s="503" t="str">
        <f>IF($G212="","",IF(AND($G212&gt;=30,$AT$3&lt;=CC$7),ROUND(CC212*($AP$3+#REF!),-1),""))</f>
        <v/>
      </c>
      <c r="CE212" s="502"/>
      <c r="CF212" s="503" t="str">
        <f>IF($G212="","",IF(AND($G212&gt;=30,$AT$3&lt;=CE$7),ROUND(CE212*($AP$3+#REF!),-1),""))</f>
        <v/>
      </c>
      <c r="CG212" s="503"/>
      <c r="CH212" s="503" t="str">
        <f>IF($G212="","",IF(AND($G212&gt;=30,$AT$3&lt;=CG$7),ROUND(CG212*($AP$3+#REF!),-1),""))</f>
        <v/>
      </c>
      <c r="CI212" s="502"/>
      <c r="CJ212" s="503" t="str">
        <f>IF($G212="","",IF(AND($G212&gt;=30,$AT$3&lt;=CI$7),ROUND(CI212*($AP$3+#REF!),-1),""))</f>
        <v/>
      </c>
      <c r="CK212" s="503"/>
      <c r="CL212" s="503" t="str">
        <f>IF($G212="","",IF(AND($G212&gt;=30,$AT$3&lt;=CK$7),ROUND(CK212*($AP$3+#REF!),-1),""))</f>
        <v/>
      </c>
      <c r="CM212" s="502"/>
      <c r="CN212" s="503" t="str">
        <f>IF($G212="","",IF(AND($G212&gt;=30,$AT$3&lt;=CM$7),ROUND(CM212*($AP$3+#REF!),-1),""))</f>
        <v/>
      </c>
      <c r="CO212" s="503"/>
      <c r="CP212" s="503" t="str">
        <f>IF($G212="","",IF(AND($G212&gt;=30,$AT$3&lt;=CO$7),ROUND(CO212*($AP$3+#REF!),-1),""))</f>
        <v/>
      </c>
      <c r="CQ212" s="502"/>
      <c r="CR212" s="503" t="str">
        <f>IF($G212="","",IF(AND($G212&gt;=30,$AT$3&lt;=CQ$7),ROUND(CQ212*($AP$3+#REF!),-1),""))</f>
        <v/>
      </c>
      <c r="CS212" s="503"/>
      <c r="CT212" s="503" t="str">
        <f>IF($G212="","",IF(AND($G212&gt;=30,$AT$3&lt;=CS$7),ROUND(CS212*($AP$3+#REF!),-1),""))</f>
        <v/>
      </c>
      <c r="CU212" s="502"/>
      <c r="CV212" s="503" t="str">
        <f>IF($G212="","",IF(AND($G212&gt;=30,$AT$3&lt;=CU$7),ROUND(CU212*($AP$3+#REF!),-1),""))</f>
        <v/>
      </c>
      <c r="CW212" s="503"/>
      <c r="CX212" s="503" t="str">
        <f>IF($G212="","",IF(AND($G212&gt;=30,$AT$3&lt;=CW$7),ROUND(CW212*($AP$3+#REF!),-1),""))</f>
        <v/>
      </c>
      <c r="CY212" s="502"/>
      <c r="CZ212" s="503" t="str">
        <f>IF($G212="","",IF(AND($G212&gt;=30,$AT$3&lt;=CY$7),ROUND(CY212*($AP$3+#REF!),-1),""))</f>
        <v/>
      </c>
      <c r="DA212" s="503"/>
      <c r="DB212" s="503" t="str">
        <f>IF($G212="","",IF(AND($G212&gt;=30,$AT$3&lt;=DA$7),ROUND(DA212*($AP$3+#REF!),-1),""))</f>
        <v/>
      </c>
      <c r="DC212" s="502"/>
      <c r="DD212" s="503" t="str">
        <f>IF($G212="","",IF(AND($G212&gt;=30,$AT$3&lt;=DC$7),ROUND(DC212*($AP$3+#REF!),-1),""))</f>
        <v/>
      </c>
      <c r="DE212" s="503"/>
      <c r="DF212" s="503" t="str">
        <f>IF($G212="","",IF(AND($G212&gt;=30,$AT$3&lt;=DE$7),ROUND(DE212*($AP$3+#REF!),-1),""))</f>
        <v/>
      </c>
      <c r="DG212" s="503"/>
      <c r="DH212" s="503" t="str">
        <f>IF($G212="","",IF(AND($G212&gt;=30,$AT$3&lt;=DG$7),ROUND(DG212*($AP$3+#REF!),-1),""))</f>
        <v/>
      </c>
      <c r="DI212" s="503"/>
      <c r="DJ212" s="503" t="str">
        <f>IF($G212="","",IF(AND($G212&gt;=30,$AT$3&lt;=DI$7),ROUND(DI212*($AP$3+#REF!),-1),""))</f>
        <v/>
      </c>
      <c r="DK212" s="503"/>
      <c r="DL212" s="503" t="str">
        <f>IF($G212="","",IF(AND($G212&gt;=30,$AT$3&lt;=DK$7),ROUND(DK212*($AP$3+#REF!),-1),""))</f>
        <v/>
      </c>
      <c r="DM212" s="503"/>
      <c r="DN212" s="503" t="str">
        <f>IF($G212="","",IF(AND($G212&gt;=30,$AT$3&lt;=DM$7),ROUND(DM212*($AP$3+#REF!),-1),""))</f>
        <v/>
      </c>
      <c r="DO212" s="503"/>
      <c r="DP212" s="503" t="str">
        <f>IF($G212="","",IF(AND($G212&gt;=30,$AT$3&lt;=DO$7),ROUND(DO212*($AP$3+#REF!),-1),""))</f>
        <v/>
      </c>
      <c r="DQ212" s="503"/>
      <c r="DR212" s="503" t="str">
        <f>IF($G212="","",IF(AND($G212&gt;=30,$AT$3&lt;=DQ$7),ROUND(DQ212*($AP$3+#REF!),-1),""))</f>
        <v/>
      </c>
      <c r="DS212" s="503"/>
      <c r="DT212" s="503" t="str">
        <f>IF($G212="","",IF(AND($G212&gt;=30,$AT$3&lt;=DS$7),ROUND(DS212*($AP$3+#REF!),-1),""))</f>
        <v/>
      </c>
      <c r="DU212" s="503"/>
      <c r="DV212" s="503" t="str">
        <f>IF($G212="","",IF(AND($G212&gt;=30,$AT$3&lt;=DU$7),ROUND(DU212*($AP$3+#REF!),-1),""))</f>
        <v/>
      </c>
      <c r="DW212" s="503"/>
      <c r="DX212" s="503" t="str">
        <f>IF($G212="","",IF(AND($G212&gt;=30,$AT$3&lt;=DW$7),ROUND(DW212*($AP$3+#REF!),-1),""))</f>
        <v/>
      </c>
      <c r="DY212" s="503"/>
      <c r="DZ212" s="503" t="str">
        <f>IF($G212="","",IF(AND($G212&gt;=30,$AT$3&lt;=DY$7),ROUND(DY212*($AP$3+#REF!),-1),""))</f>
        <v/>
      </c>
      <c r="EA212" s="503"/>
      <c r="EB212" s="503" t="str">
        <f>IF($G212="","",IF(AND($G212&gt;=30,$AT$3&lt;=EA$7),ROUND(EA212*($AP$3+#REF!),-1),""))</f>
        <v/>
      </c>
      <c r="EC212" s="504" t="s">
        <v>621</v>
      </c>
      <c r="ED212" s="1125"/>
      <c r="EE212" s="325">
        <v>12</v>
      </c>
    </row>
    <row r="213" spans="1:135" ht="9.75" customHeight="1">
      <c r="A213" s="321" t="str">
        <f t="shared" si="54"/>
        <v/>
      </c>
      <c r="B213" s="567">
        <f>(ii!$D$13*12+V213)+1</f>
        <v>107</v>
      </c>
      <c r="C213" s="345">
        <f t="shared" si="58"/>
        <v>48610</v>
      </c>
      <c r="D213" s="340">
        <f t="shared" si="47"/>
        <v>2033</v>
      </c>
      <c r="E213" s="340">
        <f t="shared" si="59"/>
        <v>8.3333333333333329E-2</v>
      </c>
      <c r="F213" s="340">
        <f t="shared" si="48"/>
        <v>2033.0833333333333</v>
      </c>
      <c r="G213" s="531" t="str">
        <f>IF(OR(C213&lt;$I$2,C213&gt;$J$3),"",(ii!$D$13*12+V213+1)/12)</f>
        <v/>
      </c>
      <c r="H213" s="532"/>
      <c r="I213" s="532"/>
      <c r="J213" s="533"/>
      <c r="K213" s="553"/>
      <c r="L213" s="534"/>
      <c r="M213" s="489" t="str">
        <f t="shared" si="49"/>
        <v/>
      </c>
      <c r="N213" s="536" t="s">
        <v>621</v>
      </c>
      <c r="O213" s="490" t="str">
        <f t="shared" si="56"/>
        <v/>
      </c>
      <c r="P213" s="537"/>
      <c r="Q213" s="537"/>
      <c r="R213" s="533" t="str">
        <f t="shared" si="57"/>
        <v/>
      </c>
      <c r="S213" s="538" t="str">
        <f t="shared" si="55"/>
        <v/>
      </c>
      <c r="T213" s="538" t="str">
        <f t="shared" si="53"/>
        <v/>
      </c>
      <c r="U213" s="539" t="str">
        <f>IF(H213="","",#REF!*12+#REF!+#REF!*12+#REF!)</f>
        <v/>
      </c>
      <c r="V213" s="338">
        <f>IF(ii!$J$3&gt;gg!C213,"",IF(AND((YEAR(C213)=YEAR($I$2)),MONTH(C213)=MONTH($I$2)),ii!$B$14*12+ii!$C$14+ii!$B$15*12+ii!$C$15-1,V212+1))</f>
        <v>106</v>
      </c>
      <c r="W213" s="339">
        <f t="shared" si="60"/>
        <v>8.8333333333333339</v>
      </c>
      <c r="X213" s="540" t="s">
        <v>621</v>
      </c>
      <c r="Y213" s="538" t="s">
        <v>621</v>
      </c>
      <c r="Z213" s="541">
        <f>Z201+$Z$26</f>
        <v>0.45000000000000018</v>
      </c>
      <c r="AA213" s="542" t="str">
        <f>IF(Y213="","",(Y213-Y212)/Y212)</f>
        <v/>
      </c>
      <c r="AB213" s="543" t="e">
        <f t="shared" si="52"/>
        <v>#VALUE!</v>
      </c>
      <c r="AC213" s="544" t="str">
        <f t="shared" si="50"/>
        <v/>
      </c>
      <c r="AD213" s="538" t="str">
        <f t="shared" si="51"/>
        <v/>
      </c>
      <c r="AE213" s="545" t="s">
        <v>621</v>
      </c>
      <c r="AF213" s="546" t="s">
        <v>621</v>
      </c>
      <c r="AG213" s="558" t="s">
        <v>621</v>
      </c>
      <c r="AH213" s="547" t="str">
        <f>IF($G213="","",IF(AND($G213&gt;=30,$AT$3&lt;=AG$7),ROUND(AG213*($AP$3+#REF!),-1),""))</f>
        <v/>
      </c>
      <c r="AI213" s="558" t="s">
        <v>621</v>
      </c>
      <c r="AJ213" s="547" t="str">
        <f>IF($G213="","",IF(AND($G213&gt;=30,$AT$3&lt;=AI$7),ROUND(AI213*($AP$3+#REF!),-1),""))</f>
        <v/>
      </c>
      <c r="AK213" s="560" t="s">
        <v>621</v>
      </c>
      <c r="AL213" s="547" t="str">
        <f>IF($G213="","",IF(AND($G213&gt;=30,$AT$3&lt;=AK$7),ROUND(AK213*($AP$3+#REF!),-1),""))</f>
        <v/>
      </c>
      <c r="AM213" s="560" t="s">
        <v>621</v>
      </c>
      <c r="AN213" s="547" t="str">
        <f>IF($G213="","",IF(AND($G213&gt;=30,$AT$3&lt;=AM$7),ROUND(AM213*($AP$3+#REF!),-1),""))</f>
        <v/>
      </c>
      <c r="AO213" s="547" t="e">
        <v>#REF!</v>
      </c>
      <c r="AP213" s="547" t="str">
        <f>IF($G213="","",IF(AND($G213&gt;=30,$AT$3&lt;=AO$7),ROUND(AO213*($AP$3+#REF!),-1),""))</f>
        <v/>
      </c>
      <c r="AQ213" s="547" t="s">
        <v>621</v>
      </c>
      <c r="AR213" s="547" t="str">
        <f>IF($G213="","",IF(AND($G213&gt;=30,$AT$3&lt;=AQ$7),ROUND(AQ213*($AP$3+#REF!),-1),""))</f>
        <v/>
      </c>
      <c r="AS213" s="547" t="s">
        <v>621</v>
      </c>
      <c r="AT213" s="547" t="str">
        <f>IF($G213="","",IF(AND($G213&gt;=30,$AT$3&lt;=AS$7),ROUND(AS213*($AP$3+#REF!),-1),""))</f>
        <v/>
      </c>
      <c r="AU213" s="547" t="s">
        <v>621</v>
      </c>
      <c r="AV213" s="547" t="str">
        <f>IF($G213="","",IF(AND($G213&gt;=30,$AT$3&lt;=AU$7),ROUND(AU213*($AP$3+#REF!),-1),""))</f>
        <v/>
      </c>
      <c r="AW213" s="547" t="s">
        <v>621</v>
      </c>
      <c r="AX213" s="547" t="str">
        <f>IF($G213="","",IF(AND($G213&gt;=30,$AT$3&lt;=AW$7),ROUND(AW213*($AP$3+#REF!),-1),""))</f>
        <v/>
      </c>
      <c r="AY213" s="547" t="s">
        <v>621</v>
      </c>
      <c r="AZ213" s="547" t="str">
        <f>IF($G213="","",IF(AND($G213&gt;=30,$AT$3&lt;=AY$7),ROUND(AY213*($AP$3+#REF!),-1),""))</f>
        <v/>
      </c>
      <c r="BA213" s="547" t="s">
        <v>621</v>
      </c>
      <c r="BB213" s="547" t="str">
        <f>IF($G213="","",IF(AND($G213&gt;=30,$AT$3&lt;=BA$7),ROUND(BA213*($AP$3+#REF!),-1),""))</f>
        <v/>
      </c>
      <c r="BC213" s="547" t="s">
        <v>621</v>
      </c>
      <c r="BD213" s="547" t="str">
        <f>IF($G213="","",IF(AND($G213&gt;=30,$AT$3&lt;=BC$7),ROUND(BC213*($AP$3+#REF!),-1),""))</f>
        <v/>
      </c>
      <c r="BE213" s="547" t="s">
        <v>621</v>
      </c>
      <c r="BF213" s="547" t="str">
        <f>IF($G213="","",IF(AND($G213&gt;=30,$AT$3&lt;=BE$7),ROUND(BE213*($AP$3+#REF!),-1),""))</f>
        <v/>
      </c>
      <c r="BG213" s="547" t="s">
        <v>621</v>
      </c>
      <c r="BH213" s="547" t="str">
        <f>IF($G213="","",IF(AND($G213&gt;=30,$AT$3&lt;=BG$7),ROUND(BG213*($AP$3+#REF!),-1),""))</f>
        <v/>
      </c>
      <c r="BI213" s="547" t="s">
        <v>621</v>
      </c>
      <c r="BJ213" s="547" t="str">
        <f>IF($G213="","",IF(AND($G213&gt;=30,$AT$3&lt;=BI$7),ROUND(BI213*($AP$3+#REF!),-1),""))</f>
        <v/>
      </c>
      <c r="BK213" s="547" t="s">
        <v>621</v>
      </c>
      <c r="BL213" s="547" t="str">
        <f>IF($G213="","",IF(AND($G213&gt;=30,$AT$3&lt;=BK$7),ROUND(BK213*($AP$3+#REF!),-1),""))</f>
        <v/>
      </c>
      <c r="BM213" s="547" t="s">
        <v>621</v>
      </c>
      <c r="BN213" s="547" t="str">
        <f>IF($G213="","",IF(AND($G213&gt;=30,$AT$3&lt;=BM$7),ROUND(BM213*($AP$3+#REF!),-1),""))</f>
        <v/>
      </c>
      <c r="BO213" s="533" t="e">
        <v>#REF!</v>
      </c>
      <c r="BP213" s="547" t="str">
        <f>IF($G213="","",IF(AND($G213&gt;=30,$AT$3&lt;=BO$7),ROUND(BO213*($AP$3+#REF!),-1),""))</f>
        <v/>
      </c>
      <c r="BQ213" s="547"/>
      <c r="BR213" s="547" t="str">
        <f>IF($G213="","",IF(AND($G213&gt;=30,$AT$3&lt;=BQ$7),ROUND(BQ213*($AP$3+#REF!),-1),""))</f>
        <v/>
      </c>
      <c r="BS213" s="547"/>
      <c r="BT213" s="547" t="str">
        <f>IF($G213="","",IF(AND($G213&gt;=30,$AT$3&lt;=BS$7),ROUND(BS213*($AP$3+#REF!),-1),""))</f>
        <v/>
      </c>
      <c r="BU213" s="547"/>
      <c r="BV213" s="547" t="str">
        <f>IF($G213="","",IF(AND($G213&gt;=30,$AT$3&lt;=BU$7),ROUND(BU213*($AP$3+#REF!),-1),""))</f>
        <v/>
      </c>
      <c r="BW213" s="547"/>
      <c r="BX213" s="547" t="str">
        <f>IF($G213="","",IF(AND($G213&gt;=30,$AT$3&lt;=BW$7),ROUND(BW213*($AP$3+#REF!),-1),""))</f>
        <v/>
      </c>
      <c r="BY213" s="547"/>
      <c r="BZ213" s="547" t="str">
        <f>IF($G213="","",IF(AND($G213&gt;=30,$AT$3&lt;=BY$7),ROUND(BY213*($AP$3+#REF!),-1),""))</f>
        <v/>
      </c>
      <c r="CA213" s="547"/>
      <c r="CB213" s="547" t="str">
        <f>IF($G213="","",IF(AND($G213&gt;=30,$AT$3&lt;=CA$7),ROUND(CA213*($AP$3+#REF!),-1),""))</f>
        <v/>
      </c>
      <c r="CC213" s="547"/>
      <c r="CD213" s="547" t="str">
        <f>IF($G213="","",IF(AND($G213&gt;=30,$AT$3&lt;=CC$7),ROUND(CC213*($AP$3+#REF!),-1),""))</f>
        <v/>
      </c>
      <c r="CE213" s="547"/>
      <c r="CF213" s="547" t="str">
        <f>IF($G213="","",IF(AND($G213&gt;=30,$AT$3&lt;=CE$7),ROUND(CE213*($AP$3+#REF!),-1),""))</f>
        <v/>
      </c>
      <c r="CG213" s="547"/>
      <c r="CH213" s="547" t="str">
        <f>IF($G213="","",IF(AND($G213&gt;=30,$AT$3&lt;=CG$7),ROUND(CG213*($AP$3+#REF!),-1),""))</f>
        <v/>
      </c>
      <c r="CI213" s="547"/>
      <c r="CJ213" s="547" t="str">
        <f>IF($G213="","",IF(AND($G213&gt;=30,$AT$3&lt;=CI$7),ROUND(CI213*($AP$3+#REF!),-1),""))</f>
        <v/>
      </c>
      <c r="CK213" s="547"/>
      <c r="CL213" s="547" t="str">
        <f>IF($G213="","",IF(AND($G213&gt;=30,$AT$3&lt;=CK$7),ROUND(CK213*($AP$3+#REF!),-1),""))</f>
        <v/>
      </c>
      <c r="CM213" s="547"/>
      <c r="CN213" s="547" t="str">
        <f>IF($G213="","",IF(AND($G213&gt;=30,$AT$3&lt;=CM$7),ROUND(CM213*($AP$3+#REF!),-1),""))</f>
        <v/>
      </c>
      <c r="CO213" s="547"/>
      <c r="CP213" s="547" t="str">
        <f>IF($G213="","",IF(AND($G213&gt;=30,$AT$3&lt;=CO$7),ROUND(CO213*($AP$3+#REF!),-1),""))</f>
        <v/>
      </c>
      <c r="CQ213" s="547"/>
      <c r="CR213" s="547" t="str">
        <f>IF($G213="","",IF(AND($G213&gt;=30,$AT$3&lt;=CQ$7),ROUND(CQ213*($AP$3+#REF!),-1),""))</f>
        <v/>
      </c>
      <c r="CS213" s="547"/>
      <c r="CT213" s="547" t="str">
        <f>IF($G213="","",IF(AND($G213&gt;=30,$AT$3&lt;=CS$7),ROUND(CS213*($AP$3+#REF!),-1),""))</f>
        <v/>
      </c>
      <c r="CU213" s="547"/>
      <c r="CV213" s="547" t="str">
        <f>IF($G213="","",IF(AND($G213&gt;=30,$AT$3&lt;=CU$7),ROUND(CU213*($AP$3+#REF!),-1),""))</f>
        <v/>
      </c>
      <c r="CW213" s="547"/>
      <c r="CX213" s="547" t="str">
        <f>IF($G213="","",IF(AND($G213&gt;=30,$AT$3&lt;=CW$7),ROUND(CW213*($AP$3+#REF!),-1),""))</f>
        <v/>
      </c>
      <c r="CY213" s="547"/>
      <c r="CZ213" s="547" t="str">
        <f>IF($G213="","",IF(AND($G213&gt;=30,$AT$3&lt;=CY$7),ROUND(CY213*($AP$3+#REF!),-1),""))</f>
        <v/>
      </c>
      <c r="DA213" s="547"/>
      <c r="DB213" s="547" t="str">
        <f>IF($G213="","",IF(AND($G213&gt;=30,$AT$3&lt;=DA$7),ROUND(DA213*($AP$3+#REF!),-1),""))</f>
        <v/>
      </c>
      <c r="DC213" s="547"/>
      <c r="DD213" s="547" t="str">
        <f>IF($G213="","",IF(AND($G213&gt;=30,$AT$3&lt;=DC$7),ROUND(DC213*($AP$3+#REF!),-1),""))</f>
        <v/>
      </c>
      <c r="DE213" s="547"/>
      <c r="DF213" s="547" t="str">
        <f>IF($G213="","",IF(AND($G213&gt;=30,$AT$3&lt;=DE$7),ROUND(DE213*($AP$3+#REF!),-1),""))</f>
        <v/>
      </c>
      <c r="DG213" s="547"/>
      <c r="DH213" s="547" t="str">
        <f>IF($G213="","",IF(AND($G213&gt;=30,$AT$3&lt;=DG$7),ROUND(DG213*($AP$3+#REF!),-1),""))</f>
        <v/>
      </c>
      <c r="DI213" s="547"/>
      <c r="DJ213" s="547" t="str">
        <f>IF($G213="","",IF(AND($G213&gt;=30,$AT$3&lt;=DI$7),ROUND(DI213*($AP$3+#REF!),-1),""))</f>
        <v/>
      </c>
      <c r="DK213" s="547"/>
      <c r="DL213" s="547" t="str">
        <f>IF($G213="","",IF(AND($G213&gt;=30,$AT$3&lt;=DK$7),ROUND(DK213*($AP$3+#REF!),-1),""))</f>
        <v/>
      </c>
      <c r="DM213" s="547"/>
      <c r="DN213" s="547" t="str">
        <f>IF($G213="","",IF(AND($G213&gt;=30,$AT$3&lt;=DM$7),ROUND(DM213*($AP$3+#REF!),-1),""))</f>
        <v/>
      </c>
      <c r="DO213" s="547"/>
      <c r="DP213" s="547" t="str">
        <f>IF($G213="","",IF(AND($G213&gt;=30,$AT$3&lt;=DO$7),ROUND(DO213*($AP$3+#REF!),-1),""))</f>
        <v/>
      </c>
      <c r="DQ213" s="547"/>
      <c r="DR213" s="547" t="str">
        <f>IF($G213="","",IF(AND($G213&gt;=30,$AT$3&lt;=DQ$7),ROUND(DQ213*($AP$3+#REF!),-1),""))</f>
        <v/>
      </c>
      <c r="DS213" s="547"/>
      <c r="DT213" s="547" t="str">
        <f>IF($G213="","",IF(AND($G213&gt;=30,$AT$3&lt;=DS$7),ROUND(DS213*($AP$3+#REF!),-1),""))</f>
        <v/>
      </c>
      <c r="DU213" s="547"/>
      <c r="DV213" s="547" t="str">
        <f>IF($G213="","",IF(AND($G213&gt;=30,$AT$3&lt;=DU$7),ROUND(DU213*($AP$3+#REF!),-1),""))</f>
        <v/>
      </c>
      <c r="DW213" s="547"/>
      <c r="DX213" s="547" t="str">
        <f>IF($G213="","",IF(AND($G213&gt;=30,$AT$3&lt;=DW$7),ROUND(DW213*($AP$3+#REF!),-1),""))</f>
        <v/>
      </c>
      <c r="DY213" s="547"/>
      <c r="DZ213" s="547" t="str">
        <f>IF($G213="","",IF(AND($G213&gt;=30,$AT$3&lt;=DY$7),ROUND(DY213*($AP$3+#REF!),-1),""))</f>
        <v/>
      </c>
      <c r="EA213" s="547"/>
      <c r="EB213" s="547" t="str">
        <f>IF($G213="","",IF(AND($G213&gt;=30,$AT$3&lt;=EA$7),ROUND(EA213*($AP$3+#REF!),-1),""))</f>
        <v/>
      </c>
      <c r="EC213" s="547" t="s">
        <v>621</v>
      </c>
      <c r="ED213" s="1123">
        <f>SUM(EC213:EC224)</f>
        <v>0</v>
      </c>
      <c r="EE213" s="325">
        <v>1</v>
      </c>
    </row>
    <row r="214" spans="1:135" ht="9.75" customHeight="1">
      <c r="A214" s="321" t="str">
        <f t="shared" si="54"/>
        <v/>
      </c>
      <c r="B214" s="567">
        <f>(ii!$D$13*12+V214)+1</f>
        <v>108</v>
      </c>
      <c r="C214" s="337">
        <f t="shared" si="58"/>
        <v>48638</v>
      </c>
      <c r="D214" s="484">
        <f t="shared" si="47"/>
        <v>2033</v>
      </c>
      <c r="E214" s="484">
        <f t="shared" si="59"/>
        <v>0.16666666666666666</v>
      </c>
      <c r="F214" s="484">
        <f t="shared" si="48"/>
        <v>2033.1666666666667</v>
      </c>
      <c r="G214" s="485" t="str">
        <f>IF(OR(C214&lt;$I$2,C214&gt;$J$3),"",(ii!$D$13*12+V214+1)/12)</f>
        <v/>
      </c>
      <c r="H214" s="486"/>
      <c r="I214" s="486"/>
      <c r="J214" s="487"/>
      <c r="K214" s="488"/>
      <c r="L214" s="548"/>
      <c r="M214" s="489" t="str">
        <f t="shared" si="49"/>
        <v/>
      </c>
      <c r="N214" s="490" t="s">
        <v>621</v>
      </c>
      <c r="O214" s="490" t="str">
        <f t="shared" si="56"/>
        <v/>
      </c>
      <c r="P214" s="491"/>
      <c r="Q214" s="491"/>
      <c r="R214" s="491" t="str">
        <f t="shared" si="57"/>
        <v/>
      </c>
      <c r="S214" s="528" t="str">
        <f t="shared" si="55"/>
        <v/>
      </c>
      <c r="T214" s="528" t="str">
        <f t="shared" si="53"/>
        <v/>
      </c>
      <c r="U214" s="493" t="str">
        <f>IF(H214="","",#REF!*12+#REF!+#REF!*12+#REF!)</f>
        <v/>
      </c>
      <c r="V214" s="338">
        <f>IF(ii!$J$3&gt;gg!C214,"",IF(AND((YEAR(C214)=YEAR($I$2)),MONTH(C214)=MONTH($I$2)),ii!$B$14*12+ii!$C$14+ii!$B$15*12+ii!$C$15-1,V213+1))</f>
        <v>107</v>
      </c>
      <c r="W214" s="339">
        <f t="shared" si="60"/>
        <v>8.9166666666666661</v>
      </c>
      <c r="X214" s="494" t="s">
        <v>621</v>
      </c>
      <c r="Y214" s="495" t="s">
        <v>621</v>
      </c>
      <c r="Z214" s="496"/>
      <c r="AA214" s="497"/>
      <c r="AB214" s="498" t="e">
        <f t="shared" si="52"/>
        <v>#VALUE!</v>
      </c>
      <c r="AC214" s="484" t="str">
        <f t="shared" si="50"/>
        <v/>
      </c>
      <c r="AD214" s="495" t="str">
        <f t="shared" si="51"/>
        <v/>
      </c>
      <c r="AE214" s="499" t="s">
        <v>621</v>
      </c>
      <c r="AF214" s="500" t="s">
        <v>621</v>
      </c>
      <c r="AG214" s="556" t="s">
        <v>621</v>
      </c>
      <c r="AH214" s="503" t="str">
        <f>IF($G214="","",IF(AND($G214&gt;=30,$AT$3&lt;=AG$7),ROUND(AG214*($AP$3+#REF!),-1),""))</f>
        <v/>
      </c>
      <c r="AI214" s="506" t="s">
        <v>621</v>
      </c>
      <c r="AJ214" s="503" t="str">
        <f>IF($G214="","",IF(AND($G214&gt;=30,$AT$3&lt;=AI$7),ROUND(AI214*($AP$3+#REF!),-1),""))</f>
        <v/>
      </c>
      <c r="AK214" s="506" t="s">
        <v>621</v>
      </c>
      <c r="AL214" s="503" t="str">
        <f>IF($G214="","",IF(AND($G214&gt;=30,$AT$3&lt;=AK$7),ROUND(AK214*($AP$3+#REF!),-1),""))</f>
        <v/>
      </c>
      <c r="AM214" s="506" t="s">
        <v>621</v>
      </c>
      <c r="AN214" s="503" t="str">
        <f>IF($G214="","",IF(AND($G214&gt;=30,$AT$3&lt;=AM$7),ROUND(AM214*($AP$3+#REF!),-1),""))</f>
        <v/>
      </c>
      <c r="AO214" s="503" t="e">
        <f>IF(AO213="","",AO213*1.001)</f>
        <v>#REF!</v>
      </c>
      <c r="AP214" s="503" t="str">
        <f>IF($G214="","",IF(AND($G214&gt;=30,$AT$3&lt;=AO$7),ROUND(AO214*($AP$3+#REF!),-1),""))</f>
        <v/>
      </c>
      <c r="AQ214" s="503" t="s">
        <v>621</v>
      </c>
      <c r="AR214" s="503" t="str">
        <f>IF($G214="","",IF(AND($G214&gt;=30,$AT$3&lt;=AQ$7),ROUND(AQ214*($AP$3+#REF!),-1),""))</f>
        <v/>
      </c>
      <c r="AS214" s="503" t="s">
        <v>621</v>
      </c>
      <c r="AT214" s="503" t="str">
        <f>IF($G214="","",IF(AND($G214&gt;=30,$AT$3&lt;=AS$7),ROUND(AS214*($AP$3+#REF!),-1),""))</f>
        <v/>
      </c>
      <c r="AU214" s="503" t="s">
        <v>621</v>
      </c>
      <c r="AV214" s="503" t="str">
        <f>IF($G214="","",IF(AND($G214&gt;=30,$AT$3&lt;=AU$7),ROUND(AU214*($AP$3+#REF!),-1),""))</f>
        <v/>
      </c>
      <c r="AW214" s="503" t="s">
        <v>621</v>
      </c>
      <c r="AX214" s="503" t="str">
        <f>IF($G214="","",IF(AND($G214&gt;=30,$AT$3&lt;=AW$7),ROUND(AW214*($AP$3+#REF!),-1),""))</f>
        <v/>
      </c>
      <c r="AY214" s="503" t="s">
        <v>621</v>
      </c>
      <c r="AZ214" s="503" t="str">
        <f>IF($G214="","",IF(AND($G214&gt;=30,$AT$3&lt;=AY$7),ROUND(AY214*($AP$3+#REF!),-1),""))</f>
        <v/>
      </c>
      <c r="BA214" s="503" t="s">
        <v>621</v>
      </c>
      <c r="BB214" s="503" t="str">
        <f>IF($G214="","",IF(AND($G214&gt;=30,$AT$3&lt;=BA$7),ROUND(BA214*($AP$3+#REF!),-1),""))</f>
        <v/>
      </c>
      <c r="BC214" s="503" t="s">
        <v>621</v>
      </c>
      <c r="BD214" s="503" t="str">
        <f>IF($G214="","",IF(AND($G214&gt;=30,$AT$3&lt;=BC$7),ROUND(BC214*($AP$3+#REF!),-1),""))</f>
        <v/>
      </c>
      <c r="BE214" s="503" t="s">
        <v>621</v>
      </c>
      <c r="BF214" s="503" t="str">
        <f>IF($G214="","",IF(AND($G214&gt;=30,$AT$3&lt;=BE$7),ROUND(BE214*($AP$3+#REF!),-1),""))</f>
        <v/>
      </c>
      <c r="BG214" s="503" t="s">
        <v>621</v>
      </c>
      <c r="BH214" s="503" t="str">
        <f>IF($G214="","",IF(AND($G214&gt;=30,$AT$3&lt;=BG$7),ROUND(BG214*($AP$3+#REF!),-1),""))</f>
        <v/>
      </c>
      <c r="BI214" s="503" t="s">
        <v>621</v>
      </c>
      <c r="BJ214" s="503" t="str">
        <f>IF($G214="","",IF(AND($G214&gt;=30,$AT$3&lt;=BI$7),ROUND(BI214*($AP$3+#REF!),-1),""))</f>
        <v/>
      </c>
      <c r="BK214" s="503" t="s">
        <v>621</v>
      </c>
      <c r="BL214" s="503" t="str">
        <f>IF($G214="","",IF(AND($G214&gt;=30,$AT$3&lt;=BK$7),ROUND(BK214*($AP$3+#REF!),-1),""))</f>
        <v/>
      </c>
      <c r="BM214" s="503" t="s">
        <v>621</v>
      </c>
      <c r="BN214" s="503" t="str">
        <f>IF($G214="","",IF(AND($G214&gt;=30,$AT$3&lt;=BM$7),ROUND(BM214*($AP$3+#REF!),-1),""))</f>
        <v/>
      </c>
      <c r="BO214" s="517" t="e">
        <v>#REF!</v>
      </c>
      <c r="BP214" s="503" t="str">
        <f>IF($G214="","",IF(AND($G214&gt;=30,$AT$3&lt;=BO$7),ROUND(BO214*($AP$3+#REF!),-1),""))</f>
        <v/>
      </c>
      <c r="BQ214" s="503"/>
      <c r="BR214" s="503" t="str">
        <f>IF($G214="","",IF(AND($G214&gt;=30,$AT$3&lt;=BQ$7),ROUND(BQ214*($AP$3+#REF!),-1),""))</f>
        <v/>
      </c>
      <c r="BS214" s="502"/>
      <c r="BT214" s="503" t="str">
        <f>IF($G214="","",IF(AND($G214&gt;=30,$AT$3&lt;=BS$7),ROUND(BS214*($AP$3+#REF!),-1),""))</f>
        <v/>
      </c>
      <c r="BU214" s="503"/>
      <c r="BV214" s="503" t="str">
        <f>IF($G214="","",IF(AND($G214&gt;=30,$AT$3&lt;=BU$7),ROUND(BU214*($AP$3+#REF!),-1),""))</f>
        <v/>
      </c>
      <c r="BW214" s="502"/>
      <c r="BX214" s="503" t="str">
        <f>IF($G214="","",IF(AND($G214&gt;=30,$AT$3&lt;=BW$7),ROUND(BW214*($AP$3+#REF!),-1),""))</f>
        <v/>
      </c>
      <c r="BY214" s="503"/>
      <c r="BZ214" s="503" t="str">
        <f>IF($G214="","",IF(AND($G214&gt;=30,$AT$3&lt;=BY$7),ROUND(BY214*($AP$3+#REF!),-1),""))</f>
        <v/>
      </c>
      <c r="CA214" s="502"/>
      <c r="CB214" s="503" t="str">
        <f>IF($G214="","",IF(AND($G214&gt;=30,$AT$3&lt;=CA$7),ROUND(CA214*($AP$3+#REF!),-1),""))</f>
        <v/>
      </c>
      <c r="CC214" s="503"/>
      <c r="CD214" s="503" t="str">
        <f>IF($G214="","",IF(AND($G214&gt;=30,$AT$3&lt;=CC$7),ROUND(CC214*($AP$3+#REF!),-1),""))</f>
        <v/>
      </c>
      <c r="CE214" s="502"/>
      <c r="CF214" s="503" t="str">
        <f>IF($G214="","",IF(AND($G214&gt;=30,$AT$3&lt;=CE$7),ROUND(CE214*($AP$3+#REF!),-1),""))</f>
        <v/>
      </c>
      <c r="CG214" s="503"/>
      <c r="CH214" s="503" t="str">
        <f>IF($G214="","",IF(AND($G214&gt;=30,$AT$3&lt;=CG$7),ROUND(CG214*($AP$3+#REF!),-1),""))</f>
        <v/>
      </c>
      <c r="CI214" s="502"/>
      <c r="CJ214" s="503" t="str">
        <f>IF($G214="","",IF(AND($G214&gt;=30,$AT$3&lt;=CI$7),ROUND(CI214*($AP$3+#REF!),-1),""))</f>
        <v/>
      </c>
      <c r="CK214" s="503"/>
      <c r="CL214" s="503" t="str">
        <f>IF($G214="","",IF(AND($G214&gt;=30,$AT$3&lt;=CK$7),ROUND(CK214*($AP$3+#REF!),-1),""))</f>
        <v/>
      </c>
      <c r="CM214" s="502"/>
      <c r="CN214" s="503" t="str">
        <f>IF($G214="","",IF(AND($G214&gt;=30,$AT$3&lt;=CM$7),ROUND(CM214*($AP$3+#REF!),-1),""))</f>
        <v/>
      </c>
      <c r="CO214" s="503"/>
      <c r="CP214" s="503" t="str">
        <f>IF($G214="","",IF(AND($G214&gt;=30,$AT$3&lt;=CO$7),ROUND(CO214*($AP$3+#REF!),-1),""))</f>
        <v/>
      </c>
      <c r="CQ214" s="502"/>
      <c r="CR214" s="503" t="str">
        <f>IF($G214="","",IF(AND($G214&gt;=30,$AT$3&lt;=CQ$7),ROUND(CQ214*($AP$3+#REF!),-1),""))</f>
        <v/>
      </c>
      <c r="CS214" s="503"/>
      <c r="CT214" s="503" t="str">
        <f>IF($G214="","",IF(AND($G214&gt;=30,$AT$3&lt;=CS$7),ROUND(CS214*($AP$3+#REF!),-1),""))</f>
        <v/>
      </c>
      <c r="CU214" s="502"/>
      <c r="CV214" s="503" t="str">
        <f>IF($G214="","",IF(AND($G214&gt;=30,$AT$3&lt;=CU$7),ROUND(CU214*($AP$3+#REF!),-1),""))</f>
        <v/>
      </c>
      <c r="CW214" s="503"/>
      <c r="CX214" s="503" t="str">
        <f>IF($G214="","",IF(AND($G214&gt;=30,$AT$3&lt;=CW$7),ROUND(CW214*($AP$3+#REF!),-1),""))</f>
        <v/>
      </c>
      <c r="CY214" s="502"/>
      <c r="CZ214" s="503" t="str">
        <f>IF($G214="","",IF(AND($G214&gt;=30,$AT$3&lt;=CY$7),ROUND(CY214*($AP$3+#REF!),-1),""))</f>
        <v/>
      </c>
      <c r="DA214" s="503"/>
      <c r="DB214" s="503" t="str">
        <f>IF($G214="","",IF(AND($G214&gt;=30,$AT$3&lt;=DA$7),ROUND(DA214*($AP$3+#REF!),-1),""))</f>
        <v/>
      </c>
      <c r="DC214" s="502"/>
      <c r="DD214" s="503" t="str">
        <f>IF($G214="","",IF(AND($G214&gt;=30,$AT$3&lt;=DC$7),ROUND(DC214*($AP$3+#REF!),-1),""))</f>
        <v/>
      </c>
      <c r="DE214" s="503"/>
      <c r="DF214" s="503" t="str">
        <f>IF($G214="","",IF(AND($G214&gt;=30,$AT$3&lt;=DE$7),ROUND(DE214*($AP$3+#REF!),-1),""))</f>
        <v/>
      </c>
      <c r="DG214" s="503"/>
      <c r="DH214" s="503" t="str">
        <f>IF($G214="","",IF(AND($G214&gt;=30,$AT$3&lt;=DG$7),ROUND(DG214*($AP$3+#REF!),-1),""))</f>
        <v/>
      </c>
      <c r="DI214" s="503"/>
      <c r="DJ214" s="503" t="str">
        <f>IF($G214="","",IF(AND($G214&gt;=30,$AT$3&lt;=DI$7),ROUND(DI214*($AP$3+#REF!),-1),""))</f>
        <v/>
      </c>
      <c r="DK214" s="503"/>
      <c r="DL214" s="503" t="str">
        <f>IF($G214="","",IF(AND($G214&gt;=30,$AT$3&lt;=DK$7),ROUND(DK214*($AP$3+#REF!),-1),""))</f>
        <v/>
      </c>
      <c r="DM214" s="503"/>
      <c r="DN214" s="503" t="str">
        <f>IF($G214="","",IF(AND($G214&gt;=30,$AT$3&lt;=DM$7),ROUND(DM214*($AP$3+#REF!),-1),""))</f>
        <v/>
      </c>
      <c r="DO214" s="503"/>
      <c r="DP214" s="503" t="str">
        <f>IF($G214="","",IF(AND($G214&gt;=30,$AT$3&lt;=DO$7),ROUND(DO214*($AP$3+#REF!),-1),""))</f>
        <v/>
      </c>
      <c r="DQ214" s="503"/>
      <c r="DR214" s="503" t="str">
        <f>IF($G214="","",IF(AND($G214&gt;=30,$AT$3&lt;=DQ$7),ROUND(DQ214*($AP$3+#REF!),-1),""))</f>
        <v/>
      </c>
      <c r="DS214" s="503"/>
      <c r="DT214" s="503" t="str">
        <f>IF($G214="","",IF(AND($G214&gt;=30,$AT$3&lt;=DS$7),ROUND(DS214*($AP$3+#REF!),-1),""))</f>
        <v/>
      </c>
      <c r="DU214" s="503"/>
      <c r="DV214" s="503" t="str">
        <f>IF($G214="","",IF(AND($G214&gt;=30,$AT$3&lt;=DU$7),ROUND(DU214*($AP$3+#REF!),-1),""))</f>
        <v/>
      </c>
      <c r="DW214" s="503"/>
      <c r="DX214" s="503" t="str">
        <f>IF($G214="","",IF(AND($G214&gt;=30,$AT$3&lt;=DW$7),ROUND(DW214*($AP$3+#REF!),-1),""))</f>
        <v/>
      </c>
      <c r="DY214" s="503"/>
      <c r="DZ214" s="503" t="str">
        <f>IF($G214="","",IF(AND($G214&gt;=30,$AT$3&lt;=DY$7),ROUND(DY214*($AP$3+#REF!),-1),""))</f>
        <v/>
      </c>
      <c r="EA214" s="503"/>
      <c r="EB214" s="503" t="str">
        <f>IF($G214="","",IF(AND($G214&gt;=30,$AT$3&lt;=EA$7),ROUND(EA214*($AP$3+#REF!),-1),""))</f>
        <v/>
      </c>
      <c r="EC214" s="504" t="s">
        <v>621</v>
      </c>
      <c r="ED214" s="1124"/>
      <c r="EE214" s="325">
        <v>2</v>
      </c>
    </row>
    <row r="215" spans="1:135" ht="9.75" customHeight="1">
      <c r="A215" s="321" t="str">
        <f t="shared" si="54"/>
        <v/>
      </c>
      <c r="B215" s="567">
        <f>(ii!$D$13*12+V215)+1</f>
        <v>109</v>
      </c>
      <c r="C215" s="337">
        <f t="shared" si="58"/>
        <v>48669</v>
      </c>
      <c r="D215" s="484">
        <f t="shared" si="47"/>
        <v>2033</v>
      </c>
      <c r="E215" s="484">
        <f t="shared" si="59"/>
        <v>0.25</v>
      </c>
      <c r="F215" s="484">
        <f t="shared" si="48"/>
        <v>2033.25</v>
      </c>
      <c r="G215" s="485" t="str">
        <f>IF(OR(C215&lt;$I$2,C215&gt;$J$3),"",(ii!$D$13*12+V215+1)/12)</f>
        <v/>
      </c>
      <c r="H215" s="486"/>
      <c r="I215" s="486"/>
      <c r="J215" s="487"/>
      <c r="K215" s="488"/>
      <c r="L215" s="548"/>
      <c r="M215" s="489" t="str">
        <f t="shared" si="49"/>
        <v/>
      </c>
      <c r="N215" s="490" t="s">
        <v>621</v>
      </c>
      <c r="O215" s="490" t="str">
        <f t="shared" si="56"/>
        <v/>
      </c>
      <c r="P215" s="491"/>
      <c r="Q215" s="491"/>
      <c r="R215" s="491" t="str">
        <f t="shared" si="57"/>
        <v/>
      </c>
      <c r="S215" s="528" t="str">
        <f t="shared" si="55"/>
        <v/>
      </c>
      <c r="T215" s="528" t="str">
        <f t="shared" si="53"/>
        <v/>
      </c>
      <c r="U215" s="493" t="str">
        <f>IF(H215="","",#REF!*12+#REF!+#REF!*12+#REF!)</f>
        <v/>
      </c>
      <c r="V215" s="338">
        <f>IF(ii!$J$3&gt;gg!C215,"",IF(AND((YEAR(C215)=YEAR($I$2)),MONTH(C215)=MONTH($I$2)),ii!$B$14*12+ii!$C$14+ii!$B$15*12+ii!$C$15-1,V214+1))</f>
        <v>108</v>
      </c>
      <c r="W215" s="339">
        <f t="shared" si="60"/>
        <v>9</v>
      </c>
      <c r="X215" s="494" t="s">
        <v>621</v>
      </c>
      <c r="Y215" s="495" t="s">
        <v>621</v>
      </c>
      <c r="Z215" s="496"/>
      <c r="AA215" s="497"/>
      <c r="AB215" s="498" t="e">
        <f t="shared" si="52"/>
        <v>#VALUE!</v>
      </c>
      <c r="AC215" s="484" t="str">
        <f t="shared" si="50"/>
        <v/>
      </c>
      <c r="AD215" s="495" t="str">
        <f t="shared" si="51"/>
        <v/>
      </c>
      <c r="AE215" s="499" t="s">
        <v>621</v>
      </c>
      <c r="AF215" s="500" t="s">
        <v>621</v>
      </c>
      <c r="AG215" s="556" t="s">
        <v>621</v>
      </c>
      <c r="AH215" s="503" t="str">
        <f>IF($G215="","",IF(AND($G215&gt;=30,$AT$3&lt;=AG$7),ROUND(AG215*($AP$3+#REF!),-1),""))</f>
        <v/>
      </c>
      <c r="AI215" s="506" t="s">
        <v>621</v>
      </c>
      <c r="AJ215" s="503" t="str">
        <f>IF($G215="","",IF(AND($G215&gt;=30,$AT$3&lt;=AI$7),ROUND(AI215*($AP$3+#REF!),-1),""))</f>
        <v/>
      </c>
      <c r="AK215" s="506" t="s">
        <v>621</v>
      </c>
      <c r="AL215" s="503" t="str">
        <f>IF($G215="","",IF(AND($G215&gt;=30,$AT$3&lt;=AK$7),ROUND(AK215*($AP$3+#REF!),-1),""))</f>
        <v/>
      </c>
      <c r="AM215" s="506" t="s">
        <v>621</v>
      </c>
      <c r="AN215" s="503" t="str">
        <f>IF($G215="","",IF(AND($G215&gt;=30,$AT$3&lt;=AM$7),ROUND(AM215*($AP$3+#REF!),-1),""))</f>
        <v/>
      </c>
      <c r="AO215" s="503" t="e">
        <v>#REF!</v>
      </c>
      <c r="AP215" s="503" t="str">
        <f>IF($G215="","",IF(AND($G215&gt;=30,$AT$3&lt;=AO$7),ROUND(AO215*($AP$3+#REF!),-1),""))</f>
        <v/>
      </c>
      <c r="AQ215" s="503" t="s">
        <v>621</v>
      </c>
      <c r="AR215" s="503" t="str">
        <f>IF($G215="","",IF(AND($G215&gt;=30,$AT$3&lt;=AQ$7),ROUND(AQ215*($AP$3+#REF!),-1),""))</f>
        <v/>
      </c>
      <c r="AS215" s="503" t="s">
        <v>621</v>
      </c>
      <c r="AT215" s="503" t="str">
        <f>IF($G215="","",IF(AND($G215&gt;=30,$AT$3&lt;=AS$7),ROUND(AS215*($AP$3+#REF!),-1),""))</f>
        <v/>
      </c>
      <c r="AU215" s="503" t="s">
        <v>621</v>
      </c>
      <c r="AV215" s="503" t="str">
        <f>IF($G215="","",IF(AND($G215&gt;=30,$AT$3&lt;=AU$7),ROUND(AU215*($AP$3+#REF!),-1),""))</f>
        <v/>
      </c>
      <c r="AW215" s="503" t="s">
        <v>621</v>
      </c>
      <c r="AX215" s="503" t="str">
        <f>IF($G215="","",IF(AND($G215&gt;=30,$AT$3&lt;=AW$7),ROUND(AW215*($AP$3+#REF!),-1),""))</f>
        <v/>
      </c>
      <c r="AY215" s="503" t="s">
        <v>621</v>
      </c>
      <c r="AZ215" s="503" t="str">
        <f>IF($G215="","",IF(AND($G215&gt;=30,$AT$3&lt;=AY$7),ROUND(AY215*($AP$3+#REF!),-1),""))</f>
        <v/>
      </c>
      <c r="BA215" s="503" t="s">
        <v>621</v>
      </c>
      <c r="BB215" s="503" t="str">
        <f>IF($G215="","",IF(AND($G215&gt;=30,$AT$3&lt;=BA$7),ROUND(BA215*($AP$3+#REF!),-1),""))</f>
        <v/>
      </c>
      <c r="BC215" s="503" t="s">
        <v>621</v>
      </c>
      <c r="BD215" s="503" t="str">
        <f>IF($G215="","",IF(AND($G215&gt;=30,$AT$3&lt;=BC$7),ROUND(BC215*($AP$3+#REF!),-1),""))</f>
        <v/>
      </c>
      <c r="BE215" s="503" t="s">
        <v>621</v>
      </c>
      <c r="BF215" s="503" t="str">
        <f>IF($G215="","",IF(AND($G215&gt;=30,$AT$3&lt;=BE$7),ROUND(BE215*($AP$3+#REF!),-1),""))</f>
        <v/>
      </c>
      <c r="BG215" s="503" t="s">
        <v>621</v>
      </c>
      <c r="BH215" s="503" t="str">
        <f>IF($G215="","",IF(AND($G215&gt;=30,$AT$3&lt;=BG$7),ROUND(BG215*($AP$3+#REF!),-1),""))</f>
        <v/>
      </c>
      <c r="BI215" s="503" t="s">
        <v>621</v>
      </c>
      <c r="BJ215" s="503" t="str">
        <f>IF($G215="","",IF(AND($G215&gt;=30,$AT$3&lt;=BI$7),ROUND(BI215*($AP$3+#REF!),-1),""))</f>
        <v/>
      </c>
      <c r="BK215" s="503" t="s">
        <v>621</v>
      </c>
      <c r="BL215" s="503" t="str">
        <f>IF($G215="","",IF(AND($G215&gt;=30,$AT$3&lt;=BK$7),ROUND(BK215*($AP$3+#REF!),-1),""))</f>
        <v/>
      </c>
      <c r="BM215" s="503" t="s">
        <v>621</v>
      </c>
      <c r="BN215" s="503" t="str">
        <f>IF($G215="","",IF(AND($G215&gt;=30,$AT$3&lt;=BM$7),ROUND(BM215*($AP$3+#REF!),-1),""))</f>
        <v/>
      </c>
      <c r="BO215" s="517" t="e">
        <v>#REF!</v>
      </c>
      <c r="BP215" s="503" t="str">
        <f>IF($G215="","",IF(AND($G215&gt;=30,$AT$3&lt;=BO$7),ROUND(BO215*($AP$3+#REF!),-1),""))</f>
        <v/>
      </c>
      <c r="BQ215" s="503"/>
      <c r="BR215" s="503" t="str">
        <f>IF($G215="","",IF(AND($G215&gt;=30,$AT$3&lt;=BQ$7),ROUND(BQ215*($AP$3+#REF!),-1),""))</f>
        <v/>
      </c>
      <c r="BS215" s="502"/>
      <c r="BT215" s="503" t="str">
        <f>IF($G215="","",IF(AND($G215&gt;=30,$AT$3&lt;=BS$7),ROUND(BS215*($AP$3+#REF!),-1),""))</f>
        <v/>
      </c>
      <c r="BU215" s="503"/>
      <c r="BV215" s="503" t="str">
        <f>IF($G215="","",IF(AND($G215&gt;=30,$AT$3&lt;=BU$7),ROUND(BU215*($AP$3+#REF!),-1),""))</f>
        <v/>
      </c>
      <c r="BW215" s="502"/>
      <c r="BX215" s="503" t="str">
        <f>IF($G215="","",IF(AND($G215&gt;=30,$AT$3&lt;=BW$7),ROUND(BW215*($AP$3+#REF!),-1),""))</f>
        <v/>
      </c>
      <c r="BY215" s="503"/>
      <c r="BZ215" s="503" t="str">
        <f>IF($G215="","",IF(AND($G215&gt;=30,$AT$3&lt;=BY$7),ROUND(BY215*($AP$3+#REF!),-1),""))</f>
        <v/>
      </c>
      <c r="CA215" s="502"/>
      <c r="CB215" s="503" t="str">
        <f>IF($G215="","",IF(AND($G215&gt;=30,$AT$3&lt;=CA$7),ROUND(CA215*($AP$3+#REF!),-1),""))</f>
        <v/>
      </c>
      <c r="CC215" s="503"/>
      <c r="CD215" s="503" t="str">
        <f>IF($G215="","",IF(AND($G215&gt;=30,$AT$3&lt;=CC$7),ROUND(CC215*($AP$3+#REF!),-1),""))</f>
        <v/>
      </c>
      <c r="CE215" s="502"/>
      <c r="CF215" s="503" t="str">
        <f>IF($G215="","",IF(AND($G215&gt;=30,$AT$3&lt;=CE$7),ROUND(CE215*($AP$3+#REF!),-1),""))</f>
        <v/>
      </c>
      <c r="CG215" s="503"/>
      <c r="CH215" s="503" t="str">
        <f>IF($G215="","",IF(AND($G215&gt;=30,$AT$3&lt;=CG$7),ROUND(CG215*($AP$3+#REF!),-1),""))</f>
        <v/>
      </c>
      <c r="CI215" s="502"/>
      <c r="CJ215" s="503" t="str">
        <f>IF($G215="","",IF(AND($G215&gt;=30,$AT$3&lt;=CI$7),ROUND(CI215*($AP$3+#REF!),-1),""))</f>
        <v/>
      </c>
      <c r="CK215" s="503"/>
      <c r="CL215" s="503" t="str">
        <f>IF($G215="","",IF(AND($G215&gt;=30,$AT$3&lt;=CK$7),ROUND(CK215*($AP$3+#REF!),-1),""))</f>
        <v/>
      </c>
      <c r="CM215" s="502"/>
      <c r="CN215" s="503" t="str">
        <f>IF($G215="","",IF(AND($G215&gt;=30,$AT$3&lt;=CM$7),ROUND(CM215*($AP$3+#REF!),-1),""))</f>
        <v/>
      </c>
      <c r="CO215" s="503"/>
      <c r="CP215" s="503" t="str">
        <f>IF($G215="","",IF(AND($G215&gt;=30,$AT$3&lt;=CO$7),ROUND(CO215*($AP$3+#REF!),-1),""))</f>
        <v/>
      </c>
      <c r="CQ215" s="502"/>
      <c r="CR215" s="503" t="str">
        <f>IF($G215="","",IF(AND($G215&gt;=30,$AT$3&lt;=CQ$7),ROUND(CQ215*($AP$3+#REF!),-1),""))</f>
        <v/>
      </c>
      <c r="CS215" s="503"/>
      <c r="CT215" s="503" t="str">
        <f>IF($G215="","",IF(AND($G215&gt;=30,$AT$3&lt;=CS$7),ROUND(CS215*($AP$3+#REF!),-1),""))</f>
        <v/>
      </c>
      <c r="CU215" s="502"/>
      <c r="CV215" s="503" t="str">
        <f>IF($G215="","",IF(AND($G215&gt;=30,$AT$3&lt;=CU$7),ROUND(CU215*($AP$3+#REF!),-1),""))</f>
        <v/>
      </c>
      <c r="CW215" s="503"/>
      <c r="CX215" s="503" t="str">
        <f>IF($G215="","",IF(AND($G215&gt;=30,$AT$3&lt;=CW$7),ROUND(CW215*($AP$3+#REF!),-1),""))</f>
        <v/>
      </c>
      <c r="CY215" s="502"/>
      <c r="CZ215" s="503" t="str">
        <f>IF($G215="","",IF(AND($G215&gt;=30,$AT$3&lt;=CY$7),ROUND(CY215*($AP$3+#REF!),-1),""))</f>
        <v/>
      </c>
      <c r="DA215" s="503"/>
      <c r="DB215" s="503" t="str">
        <f>IF($G215="","",IF(AND($G215&gt;=30,$AT$3&lt;=DA$7),ROUND(DA215*($AP$3+#REF!),-1),""))</f>
        <v/>
      </c>
      <c r="DC215" s="502"/>
      <c r="DD215" s="503" t="str">
        <f>IF($G215="","",IF(AND($G215&gt;=30,$AT$3&lt;=DC$7),ROUND(DC215*($AP$3+#REF!),-1),""))</f>
        <v/>
      </c>
      <c r="DE215" s="503"/>
      <c r="DF215" s="503" t="str">
        <f>IF($G215="","",IF(AND($G215&gt;=30,$AT$3&lt;=DE$7),ROUND(DE215*($AP$3+#REF!),-1),""))</f>
        <v/>
      </c>
      <c r="DG215" s="503"/>
      <c r="DH215" s="503" t="str">
        <f>IF($G215="","",IF(AND($G215&gt;=30,$AT$3&lt;=DG$7),ROUND(DG215*($AP$3+#REF!),-1),""))</f>
        <v/>
      </c>
      <c r="DI215" s="503"/>
      <c r="DJ215" s="503" t="str">
        <f>IF($G215="","",IF(AND($G215&gt;=30,$AT$3&lt;=DI$7),ROUND(DI215*($AP$3+#REF!),-1),""))</f>
        <v/>
      </c>
      <c r="DK215" s="503"/>
      <c r="DL215" s="503" t="str">
        <f>IF($G215="","",IF(AND($G215&gt;=30,$AT$3&lt;=DK$7),ROUND(DK215*($AP$3+#REF!),-1),""))</f>
        <v/>
      </c>
      <c r="DM215" s="503"/>
      <c r="DN215" s="503" t="str">
        <f>IF($G215="","",IF(AND($G215&gt;=30,$AT$3&lt;=DM$7),ROUND(DM215*($AP$3+#REF!),-1),""))</f>
        <v/>
      </c>
      <c r="DO215" s="503"/>
      <c r="DP215" s="503" t="str">
        <f>IF($G215="","",IF(AND($G215&gt;=30,$AT$3&lt;=DO$7),ROUND(DO215*($AP$3+#REF!),-1),""))</f>
        <v/>
      </c>
      <c r="DQ215" s="503"/>
      <c r="DR215" s="503" t="str">
        <f>IF($G215="","",IF(AND($G215&gt;=30,$AT$3&lt;=DQ$7),ROUND(DQ215*($AP$3+#REF!),-1),""))</f>
        <v/>
      </c>
      <c r="DS215" s="503"/>
      <c r="DT215" s="503" t="str">
        <f>IF($G215="","",IF(AND($G215&gt;=30,$AT$3&lt;=DS$7),ROUND(DS215*($AP$3+#REF!),-1),""))</f>
        <v/>
      </c>
      <c r="DU215" s="503"/>
      <c r="DV215" s="503" t="str">
        <f>IF($G215="","",IF(AND($G215&gt;=30,$AT$3&lt;=DU$7),ROUND(DU215*($AP$3+#REF!),-1),""))</f>
        <v/>
      </c>
      <c r="DW215" s="503"/>
      <c r="DX215" s="503" t="str">
        <f>IF($G215="","",IF(AND($G215&gt;=30,$AT$3&lt;=DW$7),ROUND(DW215*($AP$3+#REF!),-1),""))</f>
        <v/>
      </c>
      <c r="DY215" s="503"/>
      <c r="DZ215" s="503" t="str">
        <f>IF($G215="","",IF(AND($G215&gt;=30,$AT$3&lt;=DY$7),ROUND(DY215*($AP$3+#REF!),-1),""))</f>
        <v/>
      </c>
      <c r="EA215" s="503"/>
      <c r="EB215" s="503" t="str">
        <f>IF($G215="","",IF(AND($G215&gt;=30,$AT$3&lt;=EA$7),ROUND(EA215*($AP$3+#REF!),-1),""))</f>
        <v/>
      </c>
      <c r="EC215" s="504" t="s">
        <v>621</v>
      </c>
      <c r="ED215" s="1124"/>
      <c r="EE215" s="325">
        <v>3</v>
      </c>
    </row>
    <row r="216" spans="1:135" ht="9.75" customHeight="1">
      <c r="A216" s="321" t="str">
        <f t="shared" si="54"/>
        <v/>
      </c>
      <c r="B216" s="567">
        <f>(ii!$D$13*12+V216)+1</f>
        <v>110</v>
      </c>
      <c r="C216" s="337">
        <f t="shared" si="58"/>
        <v>48699</v>
      </c>
      <c r="D216" s="484">
        <f t="shared" si="47"/>
        <v>2033</v>
      </c>
      <c r="E216" s="484">
        <f t="shared" si="59"/>
        <v>0.33333333333333331</v>
      </c>
      <c r="F216" s="484">
        <f t="shared" si="48"/>
        <v>2033.3333333333333</v>
      </c>
      <c r="G216" s="485" t="str">
        <f>IF(OR(C216&lt;$I$2,C216&gt;$J$3),"",(ii!$D$13*12+V216+1)/12)</f>
        <v/>
      </c>
      <c r="H216" s="486"/>
      <c r="I216" s="486"/>
      <c r="J216" s="487"/>
      <c r="K216" s="488"/>
      <c r="L216" s="548"/>
      <c r="M216" s="489" t="str">
        <f t="shared" si="49"/>
        <v/>
      </c>
      <c r="N216" s="490" t="s">
        <v>621</v>
      </c>
      <c r="O216" s="490" t="str">
        <f t="shared" si="56"/>
        <v/>
      </c>
      <c r="P216" s="491"/>
      <c r="Q216" s="491"/>
      <c r="R216" s="491" t="str">
        <f t="shared" si="57"/>
        <v/>
      </c>
      <c r="S216" s="528" t="str">
        <f t="shared" si="55"/>
        <v/>
      </c>
      <c r="T216" s="528" t="str">
        <f t="shared" si="53"/>
        <v/>
      </c>
      <c r="U216" s="493" t="str">
        <f>IF(H216="","",#REF!*12+#REF!+#REF!*12+#REF!)</f>
        <v/>
      </c>
      <c r="V216" s="338">
        <f>IF(ii!$J$3&gt;gg!C216,"",IF(AND((YEAR(C216)=YEAR($I$2)),MONTH(C216)=MONTH($I$2)),ii!$B$14*12+ii!$C$14+ii!$B$15*12+ii!$C$15-1,V215+1))</f>
        <v>109</v>
      </c>
      <c r="W216" s="339">
        <f t="shared" si="60"/>
        <v>9.0833333333333339</v>
      </c>
      <c r="X216" s="494" t="s">
        <v>621</v>
      </c>
      <c r="Y216" s="495" t="s">
        <v>621</v>
      </c>
      <c r="Z216" s="496"/>
      <c r="AA216" s="497"/>
      <c r="AB216" s="498" t="e">
        <f t="shared" si="52"/>
        <v>#VALUE!</v>
      </c>
      <c r="AC216" s="484" t="str">
        <f t="shared" si="50"/>
        <v/>
      </c>
      <c r="AD216" s="495" t="str">
        <f t="shared" si="51"/>
        <v/>
      </c>
      <c r="AE216" s="499" t="s">
        <v>621</v>
      </c>
      <c r="AF216" s="500" t="s">
        <v>621</v>
      </c>
      <c r="AG216" s="556" t="s">
        <v>621</v>
      </c>
      <c r="AH216" s="503" t="str">
        <f>IF($G216="","",IF(AND($G216&gt;=30,$AT$3&lt;=AG$7),ROUND(AG216*($AP$3+#REF!),-1),""))</f>
        <v/>
      </c>
      <c r="AI216" s="506" t="s">
        <v>621</v>
      </c>
      <c r="AJ216" s="503" t="str">
        <f>IF($G216="","",IF(AND($G216&gt;=30,$AT$3&lt;=AI$7),ROUND(AI216*($AP$3+#REF!),-1),""))</f>
        <v/>
      </c>
      <c r="AK216" s="506" t="s">
        <v>621</v>
      </c>
      <c r="AL216" s="503" t="str">
        <f>IF($G216="","",IF(AND($G216&gt;=30,$AT$3&lt;=AK$7),ROUND(AK216*($AP$3+#REF!),-1),""))</f>
        <v/>
      </c>
      <c r="AM216" s="506" t="s">
        <v>621</v>
      </c>
      <c r="AN216" s="503" t="str">
        <f>IF($G216="","",IF(AND($G216&gt;=30,$AT$3&lt;=AM$7),ROUND(AM216*($AP$3+#REF!),-1),""))</f>
        <v/>
      </c>
      <c r="AO216" s="503" t="e">
        <v>#REF!</v>
      </c>
      <c r="AP216" s="503" t="str">
        <f>IF($G216="","",IF(AND($G216&gt;=30,$AT$3&lt;=AO$7),ROUND(AO216*($AP$3+#REF!),-1),""))</f>
        <v/>
      </c>
      <c r="AQ216" s="503" t="s">
        <v>621</v>
      </c>
      <c r="AR216" s="503" t="str">
        <f>IF($G216="","",IF(AND($G216&gt;=30,$AT$3&lt;=AQ$7),ROUND(AQ216*($AP$3+#REF!),-1),""))</f>
        <v/>
      </c>
      <c r="AS216" s="503" t="s">
        <v>621</v>
      </c>
      <c r="AT216" s="503" t="str">
        <f>IF($G216="","",IF(AND($G216&gt;=30,$AT$3&lt;=AS$7),ROUND(AS216*($AP$3+#REF!),-1),""))</f>
        <v/>
      </c>
      <c r="AU216" s="503" t="s">
        <v>621</v>
      </c>
      <c r="AV216" s="503" t="str">
        <f>IF($G216="","",IF(AND($G216&gt;=30,$AT$3&lt;=AU$7),ROUND(AU216*($AP$3+#REF!),-1),""))</f>
        <v/>
      </c>
      <c r="AW216" s="503" t="s">
        <v>621</v>
      </c>
      <c r="AX216" s="503" t="str">
        <f>IF($G216="","",IF(AND($G216&gt;=30,$AT$3&lt;=AW$7),ROUND(AW216*($AP$3+#REF!),-1),""))</f>
        <v/>
      </c>
      <c r="AY216" s="503" t="s">
        <v>621</v>
      </c>
      <c r="AZ216" s="503" t="str">
        <f>IF($G216="","",IF(AND($G216&gt;=30,$AT$3&lt;=AY$7),ROUND(AY216*($AP$3+#REF!),-1),""))</f>
        <v/>
      </c>
      <c r="BA216" s="503" t="s">
        <v>621</v>
      </c>
      <c r="BB216" s="503" t="str">
        <f>IF($G216="","",IF(AND($G216&gt;=30,$AT$3&lt;=BA$7),ROUND(BA216*($AP$3+#REF!),-1),""))</f>
        <v/>
      </c>
      <c r="BC216" s="503" t="s">
        <v>621</v>
      </c>
      <c r="BD216" s="503" t="str">
        <f>IF($G216="","",IF(AND($G216&gt;=30,$AT$3&lt;=BC$7),ROUND(BC216*($AP$3+#REF!),-1),""))</f>
        <v/>
      </c>
      <c r="BE216" s="503" t="s">
        <v>621</v>
      </c>
      <c r="BF216" s="503" t="str">
        <f>IF($G216="","",IF(AND($G216&gt;=30,$AT$3&lt;=BE$7),ROUND(BE216*($AP$3+#REF!),-1),""))</f>
        <v/>
      </c>
      <c r="BG216" s="503" t="s">
        <v>621</v>
      </c>
      <c r="BH216" s="503" t="str">
        <f>IF($G216="","",IF(AND($G216&gt;=30,$AT$3&lt;=BG$7),ROUND(BG216*($AP$3+#REF!),-1),""))</f>
        <v/>
      </c>
      <c r="BI216" s="503" t="s">
        <v>621</v>
      </c>
      <c r="BJ216" s="503" t="str">
        <f>IF($G216="","",IF(AND($G216&gt;=30,$AT$3&lt;=BI$7),ROUND(BI216*($AP$3+#REF!),-1),""))</f>
        <v/>
      </c>
      <c r="BK216" s="503" t="s">
        <v>621</v>
      </c>
      <c r="BL216" s="503" t="str">
        <f>IF($G216="","",IF(AND($G216&gt;=30,$AT$3&lt;=BK$7),ROUND(BK216*($AP$3+#REF!),-1),""))</f>
        <v/>
      </c>
      <c r="BM216" s="503" t="s">
        <v>621</v>
      </c>
      <c r="BN216" s="503" t="str">
        <f>IF($G216="","",IF(AND($G216&gt;=30,$AT$3&lt;=BM$7),ROUND(BM216*($AP$3+#REF!),-1),""))</f>
        <v/>
      </c>
      <c r="BO216" s="517" t="e">
        <v>#REF!</v>
      </c>
      <c r="BP216" s="503" t="str">
        <f>IF($G216="","",IF(AND($G216&gt;=30,$AT$3&lt;=BO$7),ROUND(BO216*($AP$3+#REF!),-1),""))</f>
        <v/>
      </c>
      <c r="BQ216" s="503"/>
      <c r="BR216" s="503" t="str">
        <f>IF($G216="","",IF(AND($G216&gt;=30,$AT$3&lt;=BQ$7),ROUND(BQ216*($AP$3+#REF!),-1),""))</f>
        <v/>
      </c>
      <c r="BS216" s="502"/>
      <c r="BT216" s="503" t="str">
        <f>IF($G216="","",IF(AND($G216&gt;=30,$AT$3&lt;=BS$7),ROUND(BS216*($AP$3+#REF!),-1),""))</f>
        <v/>
      </c>
      <c r="BU216" s="503"/>
      <c r="BV216" s="503" t="str">
        <f>IF($G216="","",IF(AND($G216&gt;=30,$AT$3&lt;=BU$7),ROUND(BU216*($AP$3+#REF!),-1),""))</f>
        <v/>
      </c>
      <c r="BW216" s="502"/>
      <c r="BX216" s="503" t="str">
        <f>IF($G216="","",IF(AND($G216&gt;=30,$AT$3&lt;=BW$7),ROUND(BW216*($AP$3+#REF!),-1),""))</f>
        <v/>
      </c>
      <c r="BY216" s="503"/>
      <c r="BZ216" s="503" t="str">
        <f>IF($G216="","",IF(AND($G216&gt;=30,$AT$3&lt;=BY$7),ROUND(BY216*($AP$3+#REF!),-1),""))</f>
        <v/>
      </c>
      <c r="CA216" s="502"/>
      <c r="CB216" s="503" t="str">
        <f>IF($G216="","",IF(AND($G216&gt;=30,$AT$3&lt;=CA$7),ROUND(CA216*($AP$3+#REF!),-1),""))</f>
        <v/>
      </c>
      <c r="CC216" s="503"/>
      <c r="CD216" s="503" t="str">
        <f>IF($G216="","",IF(AND($G216&gt;=30,$AT$3&lt;=CC$7),ROUND(CC216*($AP$3+#REF!),-1),""))</f>
        <v/>
      </c>
      <c r="CE216" s="502"/>
      <c r="CF216" s="503" t="str">
        <f>IF($G216="","",IF(AND($G216&gt;=30,$AT$3&lt;=CE$7),ROUND(CE216*($AP$3+#REF!),-1),""))</f>
        <v/>
      </c>
      <c r="CG216" s="503"/>
      <c r="CH216" s="503" t="str">
        <f>IF($G216="","",IF(AND($G216&gt;=30,$AT$3&lt;=CG$7),ROUND(CG216*($AP$3+#REF!),-1),""))</f>
        <v/>
      </c>
      <c r="CI216" s="502"/>
      <c r="CJ216" s="503" t="str">
        <f>IF($G216="","",IF(AND($G216&gt;=30,$AT$3&lt;=CI$7),ROUND(CI216*($AP$3+#REF!),-1),""))</f>
        <v/>
      </c>
      <c r="CK216" s="503"/>
      <c r="CL216" s="503" t="str">
        <f>IF($G216="","",IF(AND($G216&gt;=30,$AT$3&lt;=CK$7),ROUND(CK216*($AP$3+#REF!),-1),""))</f>
        <v/>
      </c>
      <c r="CM216" s="502"/>
      <c r="CN216" s="503" t="str">
        <f>IF($G216="","",IF(AND($G216&gt;=30,$AT$3&lt;=CM$7),ROUND(CM216*($AP$3+#REF!),-1),""))</f>
        <v/>
      </c>
      <c r="CO216" s="503"/>
      <c r="CP216" s="503" t="str">
        <f>IF($G216="","",IF(AND($G216&gt;=30,$AT$3&lt;=CO$7),ROUND(CO216*($AP$3+#REF!),-1),""))</f>
        <v/>
      </c>
      <c r="CQ216" s="502"/>
      <c r="CR216" s="503" t="str">
        <f>IF($G216="","",IF(AND($G216&gt;=30,$AT$3&lt;=CQ$7),ROUND(CQ216*($AP$3+#REF!),-1),""))</f>
        <v/>
      </c>
      <c r="CS216" s="503"/>
      <c r="CT216" s="503" t="str">
        <f>IF($G216="","",IF(AND($G216&gt;=30,$AT$3&lt;=CS$7),ROUND(CS216*($AP$3+#REF!),-1),""))</f>
        <v/>
      </c>
      <c r="CU216" s="502"/>
      <c r="CV216" s="503" t="str">
        <f>IF($G216="","",IF(AND($G216&gt;=30,$AT$3&lt;=CU$7),ROUND(CU216*($AP$3+#REF!),-1),""))</f>
        <v/>
      </c>
      <c r="CW216" s="503"/>
      <c r="CX216" s="503" t="str">
        <f>IF($G216="","",IF(AND($G216&gt;=30,$AT$3&lt;=CW$7),ROUND(CW216*($AP$3+#REF!),-1),""))</f>
        <v/>
      </c>
      <c r="CY216" s="502"/>
      <c r="CZ216" s="503" t="str">
        <f>IF($G216="","",IF(AND($G216&gt;=30,$AT$3&lt;=CY$7),ROUND(CY216*($AP$3+#REF!),-1),""))</f>
        <v/>
      </c>
      <c r="DA216" s="503"/>
      <c r="DB216" s="503" t="str">
        <f>IF($G216="","",IF(AND($G216&gt;=30,$AT$3&lt;=DA$7),ROUND(DA216*($AP$3+#REF!),-1),""))</f>
        <v/>
      </c>
      <c r="DC216" s="502"/>
      <c r="DD216" s="503" t="str">
        <f>IF($G216="","",IF(AND($G216&gt;=30,$AT$3&lt;=DC$7),ROUND(DC216*($AP$3+#REF!),-1),""))</f>
        <v/>
      </c>
      <c r="DE216" s="503"/>
      <c r="DF216" s="503" t="str">
        <f>IF($G216="","",IF(AND($G216&gt;=30,$AT$3&lt;=DE$7),ROUND(DE216*($AP$3+#REF!),-1),""))</f>
        <v/>
      </c>
      <c r="DG216" s="503"/>
      <c r="DH216" s="503" t="str">
        <f>IF($G216="","",IF(AND($G216&gt;=30,$AT$3&lt;=DG$7),ROUND(DG216*($AP$3+#REF!),-1),""))</f>
        <v/>
      </c>
      <c r="DI216" s="503"/>
      <c r="DJ216" s="503" t="str">
        <f>IF($G216="","",IF(AND($G216&gt;=30,$AT$3&lt;=DI$7),ROUND(DI216*($AP$3+#REF!),-1),""))</f>
        <v/>
      </c>
      <c r="DK216" s="503"/>
      <c r="DL216" s="503" t="str">
        <f>IF($G216="","",IF(AND($G216&gt;=30,$AT$3&lt;=DK$7),ROUND(DK216*($AP$3+#REF!),-1),""))</f>
        <v/>
      </c>
      <c r="DM216" s="503"/>
      <c r="DN216" s="503" t="str">
        <f>IF($G216="","",IF(AND($G216&gt;=30,$AT$3&lt;=DM$7),ROUND(DM216*($AP$3+#REF!),-1),""))</f>
        <v/>
      </c>
      <c r="DO216" s="503"/>
      <c r="DP216" s="503" t="str">
        <f>IF($G216="","",IF(AND($G216&gt;=30,$AT$3&lt;=DO$7),ROUND(DO216*($AP$3+#REF!),-1),""))</f>
        <v/>
      </c>
      <c r="DQ216" s="503"/>
      <c r="DR216" s="503" t="str">
        <f>IF($G216="","",IF(AND($G216&gt;=30,$AT$3&lt;=DQ$7),ROUND(DQ216*($AP$3+#REF!),-1),""))</f>
        <v/>
      </c>
      <c r="DS216" s="503"/>
      <c r="DT216" s="503" t="str">
        <f>IF($G216="","",IF(AND($G216&gt;=30,$AT$3&lt;=DS$7),ROUND(DS216*($AP$3+#REF!),-1),""))</f>
        <v/>
      </c>
      <c r="DU216" s="503"/>
      <c r="DV216" s="503" t="str">
        <f>IF($G216="","",IF(AND($G216&gt;=30,$AT$3&lt;=DU$7),ROUND(DU216*($AP$3+#REF!),-1),""))</f>
        <v/>
      </c>
      <c r="DW216" s="503"/>
      <c r="DX216" s="503" t="str">
        <f>IF($G216="","",IF(AND($G216&gt;=30,$AT$3&lt;=DW$7),ROUND(DW216*($AP$3+#REF!),-1),""))</f>
        <v/>
      </c>
      <c r="DY216" s="503"/>
      <c r="DZ216" s="503" t="str">
        <f>IF($G216="","",IF(AND($G216&gt;=30,$AT$3&lt;=DY$7),ROUND(DY216*($AP$3+#REF!),-1),""))</f>
        <v/>
      </c>
      <c r="EA216" s="503"/>
      <c r="EB216" s="503" t="str">
        <f>IF($G216="","",IF(AND($G216&gt;=30,$AT$3&lt;=EA$7),ROUND(EA216*($AP$3+#REF!),-1),""))</f>
        <v/>
      </c>
      <c r="EC216" s="504" t="s">
        <v>621</v>
      </c>
      <c r="ED216" s="1124"/>
      <c r="EE216" s="325">
        <v>4</v>
      </c>
    </row>
    <row r="217" spans="1:135" ht="9.75" customHeight="1">
      <c r="A217" s="321" t="str">
        <f t="shared" si="54"/>
        <v/>
      </c>
      <c r="B217" s="567">
        <f>(ii!$D$13*12+V217)+1</f>
        <v>111</v>
      </c>
      <c r="C217" s="337">
        <f t="shared" si="58"/>
        <v>48730</v>
      </c>
      <c r="D217" s="484">
        <f t="shared" si="47"/>
        <v>2033</v>
      </c>
      <c r="E217" s="484">
        <f t="shared" si="59"/>
        <v>0.41666666666666669</v>
      </c>
      <c r="F217" s="484">
        <f t="shared" si="48"/>
        <v>2033.4166666666667</v>
      </c>
      <c r="G217" s="485" t="str">
        <f>IF(OR(C217&lt;$I$2,C217&gt;$J$3),"",(ii!$D$13*12+V217+1)/12)</f>
        <v/>
      </c>
      <c r="H217" s="486"/>
      <c r="I217" s="486"/>
      <c r="J217" s="507"/>
      <c r="K217" s="508"/>
      <c r="L217" s="548"/>
      <c r="M217" s="489" t="str">
        <f t="shared" si="49"/>
        <v/>
      </c>
      <c r="N217" s="490" t="s">
        <v>621</v>
      </c>
      <c r="O217" s="490" t="str">
        <f t="shared" si="56"/>
        <v/>
      </c>
      <c r="P217" s="507"/>
      <c r="Q217" s="507"/>
      <c r="R217" s="491" t="str">
        <f t="shared" si="57"/>
        <v/>
      </c>
      <c r="S217" s="528" t="str">
        <f t="shared" si="55"/>
        <v/>
      </c>
      <c r="T217" s="528" t="str">
        <f t="shared" si="53"/>
        <v/>
      </c>
      <c r="U217" s="493" t="str">
        <f>IF(H217="","",#REF!*12+#REF!+#REF!*12+#REF!)</f>
        <v/>
      </c>
      <c r="V217" s="338">
        <f>IF(ii!$J$3&gt;gg!C217,"",IF(AND((YEAR(C217)=YEAR($I$2)),MONTH(C217)=MONTH($I$2)),ii!$B$14*12+ii!$C$14+ii!$B$15*12+ii!$C$15-1,V216+1))</f>
        <v>110</v>
      </c>
      <c r="W217" s="339">
        <f t="shared" si="60"/>
        <v>9.1666666666666661</v>
      </c>
      <c r="X217" s="494" t="s">
        <v>621</v>
      </c>
      <c r="Y217" s="495" t="s">
        <v>621</v>
      </c>
      <c r="Z217" s="496"/>
      <c r="AA217" s="497"/>
      <c r="AB217" s="498" t="e">
        <f t="shared" si="52"/>
        <v>#VALUE!</v>
      </c>
      <c r="AC217" s="484" t="str">
        <f t="shared" si="50"/>
        <v/>
      </c>
      <c r="AD217" s="495" t="str">
        <f t="shared" si="51"/>
        <v/>
      </c>
      <c r="AE217" s="499" t="s">
        <v>621</v>
      </c>
      <c r="AF217" s="500" t="s">
        <v>621</v>
      </c>
      <c r="AG217" s="556" t="s">
        <v>621</v>
      </c>
      <c r="AH217" s="503" t="str">
        <f>IF($G217="","",IF(AND($G217&gt;=30,$AT$3&lt;=AG$7),ROUND(AG217*($AP$3+#REF!),-1),""))</f>
        <v/>
      </c>
      <c r="AI217" s="506" t="s">
        <v>621</v>
      </c>
      <c r="AJ217" s="503" t="str">
        <f>IF($G217="","",IF(AND($G217&gt;=30,$AT$3&lt;=AI$7),ROUND(AI217*($AP$3+#REF!),-1),""))</f>
        <v/>
      </c>
      <c r="AK217" s="506" t="s">
        <v>621</v>
      </c>
      <c r="AL217" s="503" t="str">
        <f>IF($G217="","",IF(AND($G217&gt;=30,$AT$3&lt;=AK$7),ROUND(AK217*($AP$3+#REF!),-1),""))</f>
        <v/>
      </c>
      <c r="AM217" s="506" t="s">
        <v>621</v>
      </c>
      <c r="AN217" s="503" t="str">
        <f>IF($G217="","",IF(AND($G217&gt;=30,$AT$3&lt;=AM$7),ROUND(AM217*($AP$3+#REF!),-1),""))</f>
        <v/>
      </c>
      <c r="AO217" s="503" t="e">
        <v>#REF!</v>
      </c>
      <c r="AP217" s="503" t="str">
        <f>IF($G217="","",IF(AND($G217&gt;=30,$AT$3&lt;=AO$7),ROUND(AO217*($AP$3+#REF!),-1),""))</f>
        <v/>
      </c>
      <c r="AQ217" s="503" t="s">
        <v>621</v>
      </c>
      <c r="AR217" s="503" t="str">
        <f>IF($G217="","",IF(AND($G217&gt;=30,$AT$3&lt;=AQ$7),ROUND(AQ217*($AP$3+#REF!),-1),""))</f>
        <v/>
      </c>
      <c r="AS217" s="503" t="s">
        <v>621</v>
      </c>
      <c r="AT217" s="503" t="str">
        <f>IF($G217="","",IF(AND($G217&gt;=30,$AT$3&lt;=AS$7),ROUND(AS217*($AP$3+#REF!),-1),""))</f>
        <v/>
      </c>
      <c r="AU217" s="503" t="s">
        <v>621</v>
      </c>
      <c r="AV217" s="503" t="str">
        <f>IF($G217="","",IF(AND($G217&gt;=30,$AT$3&lt;=AU$7),ROUND(AU217*($AP$3+#REF!),-1),""))</f>
        <v/>
      </c>
      <c r="AW217" s="503" t="s">
        <v>621</v>
      </c>
      <c r="AX217" s="503" t="str">
        <f>IF($G217="","",IF(AND($G217&gt;=30,$AT$3&lt;=AW$7),ROUND(AW217*($AP$3+#REF!),-1),""))</f>
        <v/>
      </c>
      <c r="AY217" s="503" t="s">
        <v>621</v>
      </c>
      <c r="AZ217" s="503" t="str">
        <f>IF($G217="","",IF(AND($G217&gt;=30,$AT$3&lt;=AY$7),ROUND(AY217*($AP$3+#REF!),-1),""))</f>
        <v/>
      </c>
      <c r="BA217" s="503" t="s">
        <v>621</v>
      </c>
      <c r="BB217" s="503" t="str">
        <f>IF($G217="","",IF(AND($G217&gt;=30,$AT$3&lt;=BA$7),ROUND(BA217*($AP$3+#REF!),-1),""))</f>
        <v/>
      </c>
      <c r="BC217" s="503" t="s">
        <v>621</v>
      </c>
      <c r="BD217" s="503" t="str">
        <f>IF($G217="","",IF(AND($G217&gt;=30,$AT$3&lt;=BC$7),ROUND(BC217*($AP$3+#REF!),-1),""))</f>
        <v/>
      </c>
      <c r="BE217" s="503" t="s">
        <v>621</v>
      </c>
      <c r="BF217" s="503" t="str">
        <f>IF($G217="","",IF(AND($G217&gt;=30,$AT$3&lt;=BE$7),ROUND(BE217*($AP$3+#REF!),-1),""))</f>
        <v/>
      </c>
      <c r="BG217" s="503" t="s">
        <v>621</v>
      </c>
      <c r="BH217" s="503" t="str">
        <f>IF($G217="","",IF(AND($G217&gt;=30,$AT$3&lt;=BG$7),ROUND(BG217*($AP$3+#REF!),-1),""))</f>
        <v/>
      </c>
      <c r="BI217" s="503" t="s">
        <v>621</v>
      </c>
      <c r="BJ217" s="503" t="str">
        <f>IF($G217="","",IF(AND($G217&gt;=30,$AT$3&lt;=BI$7),ROUND(BI217*($AP$3+#REF!),-1),""))</f>
        <v/>
      </c>
      <c r="BK217" s="503" t="s">
        <v>621</v>
      </c>
      <c r="BL217" s="503" t="str">
        <f>IF($G217="","",IF(AND($G217&gt;=30,$AT$3&lt;=BK$7),ROUND(BK217*($AP$3+#REF!),-1),""))</f>
        <v/>
      </c>
      <c r="BM217" s="503" t="s">
        <v>621</v>
      </c>
      <c r="BN217" s="503" t="str">
        <f>IF($G217="","",IF(AND($G217&gt;=30,$AT$3&lt;=BM$7),ROUND(BM217*($AP$3+#REF!),-1),""))</f>
        <v/>
      </c>
      <c r="BO217" s="517" t="e">
        <v>#REF!</v>
      </c>
      <c r="BP217" s="503" t="str">
        <f>IF($G217="","",IF(AND($G217&gt;=30,$AT$3&lt;=BO$7),ROUND(BO217*($AP$3+#REF!),-1),""))</f>
        <v/>
      </c>
      <c r="BQ217" s="503"/>
      <c r="BR217" s="503" t="str">
        <f>IF($G217="","",IF(AND($G217&gt;=30,$AT$3&lt;=BQ$7),ROUND(BQ217*($AP$3+#REF!),-1),""))</f>
        <v/>
      </c>
      <c r="BS217" s="502"/>
      <c r="BT217" s="503" t="str">
        <f>IF($G217="","",IF(AND($G217&gt;=30,$AT$3&lt;=BS$7),ROUND(BS217*($AP$3+#REF!),-1),""))</f>
        <v/>
      </c>
      <c r="BU217" s="503"/>
      <c r="BV217" s="503" t="str">
        <f>IF($G217="","",IF(AND($G217&gt;=30,$AT$3&lt;=BU$7),ROUND(BU217*($AP$3+#REF!),-1),""))</f>
        <v/>
      </c>
      <c r="BW217" s="502"/>
      <c r="BX217" s="503" t="str">
        <f>IF($G217="","",IF(AND($G217&gt;=30,$AT$3&lt;=BW$7),ROUND(BW217*($AP$3+#REF!),-1),""))</f>
        <v/>
      </c>
      <c r="BY217" s="503"/>
      <c r="BZ217" s="503" t="str">
        <f>IF($G217="","",IF(AND($G217&gt;=30,$AT$3&lt;=BY$7),ROUND(BY217*($AP$3+#REF!),-1),""))</f>
        <v/>
      </c>
      <c r="CA217" s="502"/>
      <c r="CB217" s="503" t="str">
        <f>IF($G217="","",IF(AND($G217&gt;=30,$AT$3&lt;=CA$7),ROUND(CA217*($AP$3+#REF!),-1),""))</f>
        <v/>
      </c>
      <c r="CC217" s="503"/>
      <c r="CD217" s="503" t="str">
        <f>IF($G217="","",IF(AND($G217&gt;=30,$AT$3&lt;=CC$7),ROUND(CC217*($AP$3+#REF!),-1),""))</f>
        <v/>
      </c>
      <c r="CE217" s="502"/>
      <c r="CF217" s="503" t="str">
        <f>IF($G217="","",IF(AND($G217&gt;=30,$AT$3&lt;=CE$7),ROUND(CE217*($AP$3+#REF!),-1),""))</f>
        <v/>
      </c>
      <c r="CG217" s="503"/>
      <c r="CH217" s="503" t="str">
        <f>IF($G217="","",IF(AND($G217&gt;=30,$AT$3&lt;=CG$7),ROUND(CG217*($AP$3+#REF!),-1),""))</f>
        <v/>
      </c>
      <c r="CI217" s="502"/>
      <c r="CJ217" s="503" t="str">
        <f>IF($G217="","",IF(AND($G217&gt;=30,$AT$3&lt;=CI$7),ROUND(CI217*($AP$3+#REF!),-1),""))</f>
        <v/>
      </c>
      <c r="CK217" s="503"/>
      <c r="CL217" s="503" t="str">
        <f>IF($G217="","",IF(AND($G217&gt;=30,$AT$3&lt;=CK$7),ROUND(CK217*($AP$3+#REF!),-1),""))</f>
        <v/>
      </c>
      <c r="CM217" s="502"/>
      <c r="CN217" s="503" t="str">
        <f>IF($G217="","",IF(AND($G217&gt;=30,$AT$3&lt;=CM$7),ROUND(CM217*($AP$3+#REF!),-1),""))</f>
        <v/>
      </c>
      <c r="CO217" s="503"/>
      <c r="CP217" s="503" t="str">
        <f>IF($G217="","",IF(AND($G217&gt;=30,$AT$3&lt;=CO$7),ROUND(CO217*($AP$3+#REF!),-1),""))</f>
        <v/>
      </c>
      <c r="CQ217" s="502"/>
      <c r="CR217" s="503" t="str">
        <f>IF($G217="","",IF(AND($G217&gt;=30,$AT$3&lt;=CQ$7),ROUND(CQ217*($AP$3+#REF!),-1),""))</f>
        <v/>
      </c>
      <c r="CS217" s="503"/>
      <c r="CT217" s="503" t="str">
        <f>IF($G217="","",IF(AND($G217&gt;=30,$AT$3&lt;=CS$7),ROUND(CS217*($AP$3+#REF!),-1),""))</f>
        <v/>
      </c>
      <c r="CU217" s="502"/>
      <c r="CV217" s="503" t="str">
        <f>IF($G217="","",IF(AND($G217&gt;=30,$AT$3&lt;=CU$7),ROUND(CU217*($AP$3+#REF!),-1),""))</f>
        <v/>
      </c>
      <c r="CW217" s="503"/>
      <c r="CX217" s="503" t="str">
        <f>IF($G217="","",IF(AND($G217&gt;=30,$AT$3&lt;=CW$7),ROUND(CW217*($AP$3+#REF!),-1),""))</f>
        <v/>
      </c>
      <c r="CY217" s="502"/>
      <c r="CZ217" s="503" t="str">
        <f>IF($G217="","",IF(AND($G217&gt;=30,$AT$3&lt;=CY$7),ROUND(CY217*($AP$3+#REF!),-1),""))</f>
        <v/>
      </c>
      <c r="DA217" s="503"/>
      <c r="DB217" s="503" t="str">
        <f>IF($G217="","",IF(AND($G217&gt;=30,$AT$3&lt;=DA$7),ROUND(DA217*($AP$3+#REF!),-1),""))</f>
        <v/>
      </c>
      <c r="DC217" s="502"/>
      <c r="DD217" s="503" t="str">
        <f>IF($G217="","",IF(AND($G217&gt;=30,$AT$3&lt;=DC$7),ROUND(DC217*($AP$3+#REF!),-1),""))</f>
        <v/>
      </c>
      <c r="DE217" s="503"/>
      <c r="DF217" s="503" t="str">
        <f>IF($G217="","",IF(AND($G217&gt;=30,$AT$3&lt;=DE$7),ROUND(DE217*($AP$3+#REF!),-1),""))</f>
        <v/>
      </c>
      <c r="DG217" s="503"/>
      <c r="DH217" s="503" t="str">
        <f>IF($G217="","",IF(AND($G217&gt;=30,$AT$3&lt;=DG$7),ROUND(DG217*($AP$3+#REF!),-1),""))</f>
        <v/>
      </c>
      <c r="DI217" s="503"/>
      <c r="DJ217" s="503" t="str">
        <f>IF($G217="","",IF(AND($G217&gt;=30,$AT$3&lt;=DI$7),ROUND(DI217*($AP$3+#REF!),-1),""))</f>
        <v/>
      </c>
      <c r="DK217" s="503"/>
      <c r="DL217" s="503" t="str">
        <f>IF($G217="","",IF(AND($G217&gt;=30,$AT$3&lt;=DK$7),ROUND(DK217*($AP$3+#REF!),-1),""))</f>
        <v/>
      </c>
      <c r="DM217" s="503"/>
      <c r="DN217" s="503" t="str">
        <f>IF($G217="","",IF(AND($G217&gt;=30,$AT$3&lt;=DM$7),ROUND(DM217*($AP$3+#REF!),-1),""))</f>
        <v/>
      </c>
      <c r="DO217" s="503"/>
      <c r="DP217" s="503" t="str">
        <f>IF($G217="","",IF(AND($G217&gt;=30,$AT$3&lt;=DO$7),ROUND(DO217*($AP$3+#REF!),-1),""))</f>
        <v/>
      </c>
      <c r="DQ217" s="503"/>
      <c r="DR217" s="503" t="str">
        <f>IF($G217="","",IF(AND($G217&gt;=30,$AT$3&lt;=DQ$7),ROUND(DQ217*($AP$3+#REF!),-1),""))</f>
        <v/>
      </c>
      <c r="DS217" s="503"/>
      <c r="DT217" s="503" t="str">
        <f>IF($G217="","",IF(AND($G217&gt;=30,$AT$3&lt;=DS$7),ROUND(DS217*($AP$3+#REF!),-1),""))</f>
        <v/>
      </c>
      <c r="DU217" s="503"/>
      <c r="DV217" s="503" t="str">
        <f>IF($G217="","",IF(AND($G217&gt;=30,$AT$3&lt;=DU$7),ROUND(DU217*($AP$3+#REF!),-1),""))</f>
        <v/>
      </c>
      <c r="DW217" s="503"/>
      <c r="DX217" s="503" t="str">
        <f>IF($G217="","",IF(AND($G217&gt;=30,$AT$3&lt;=DW$7),ROUND(DW217*($AP$3+#REF!),-1),""))</f>
        <v/>
      </c>
      <c r="DY217" s="503"/>
      <c r="DZ217" s="503" t="str">
        <f>IF($G217="","",IF(AND($G217&gt;=30,$AT$3&lt;=DY$7),ROUND(DY217*($AP$3+#REF!),-1),""))</f>
        <v/>
      </c>
      <c r="EA217" s="503"/>
      <c r="EB217" s="503" t="str">
        <f>IF($G217="","",IF(AND($G217&gt;=30,$AT$3&lt;=EA$7),ROUND(EA217*($AP$3+#REF!),-1),""))</f>
        <v/>
      </c>
      <c r="EC217" s="504" t="s">
        <v>621</v>
      </c>
      <c r="ED217" s="1124"/>
      <c r="EE217" s="325">
        <v>5</v>
      </c>
    </row>
    <row r="218" spans="1:135" ht="9.75" customHeight="1">
      <c r="A218" s="321" t="str">
        <f t="shared" si="54"/>
        <v/>
      </c>
      <c r="B218" s="567">
        <f>(ii!$D$13*12+V218)+1</f>
        <v>112</v>
      </c>
      <c r="C218" s="337">
        <f t="shared" si="58"/>
        <v>48760</v>
      </c>
      <c r="D218" s="484">
        <f t="shared" ref="D218:D281" si="61">YEAR(C218)</f>
        <v>2033</v>
      </c>
      <c r="E218" s="484">
        <f t="shared" si="59"/>
        <v>0.5</v>
      </c>
      <c r="F218" s="484">
        <f t="shared" ref="F218:F281" si="62">D218+E218</f>
        <v>2033.5</v>
      </c>
      <c r="G218" s="485" t="str">
        <f>IF(OR(C218&lt;$I$2,C218&gt;$J$3),"",(ii!$D$13*12+V218+1)/12)</f>
        <v/>
      </c>
      <c r="H218" s="486"/>
      <c r="I218" s="486"/>
      <c r="J218" s="487"/>
      <c r="K218" s="488"/>
      <c r="L218" s="548"/>
      <c r="M218" s="489" t="str">
        <f t="shared" ref="M218:M281" si="63">IF(K218="","",IF(OR(J216=0,J215=0,J216=""),"",(J218-J217)/J217))</f>
        <v/>
      </c>
      <c r="N218" s="490" t="s">
        <v>621</v>
      </c>
      <c r="O218" s="490" t="str">
        <f t="shared" si="56"/>
        <v/>
      </c>
      <c r="P218" s="491"/>
      <c r="Q218" s="491"/>
      <c r="R218" s="491" t="str">
        <f t="shared" si="57"/>
        <v/>
      </c>
      <c r="S218" s="528" t="str">
        <f t="shared" si="55"/>
        <v/>
      </c>
      <c r="T218" s="528" t="str">
        <f t="shared" si="53"/>
        <v/>
      </c>
      <c r="U218" s="493" t="str">
        <f>IF(H218="","",#REF!*12+#REF!+#REF!*12+#REF!)</f>
        <v/>
      </c>
      <c r="V218" s="338">
        <f>IF(ii!$J$3&gt;gg!C218,"",IF(AND((YEAR(C218)=YEAR($I$2)),MONTH(C218)=MONTH($I$2)),ii!$B$14*12+ii!$C$14+ii!$B$15*12+ii!$C$15-1,V217+1))</f>
        <v>111</v>
      </c>
      <c r="W218" s="339">
        <f t="shared" si="60"/>
        <v>9.25</v>
      </c>
      <c r="X218" s="494" t="s">
        <v>621</v>
      </c>
      <c r="Y218" s="495" t="s">
        <v>621</v>
      </c>
      <c r="Z218" s="496"/>
      <c r="AA218" s="497"/>
      <c r="AB218" s="498" t="e">
        <f t="shared" si="52"/>
        <v>#VALUE!</v>
      </c>
      <c r="AC218" s="484" t="str">
        <f t="shared" si="50"/>
        <v/>
      </c>
      <c r="AD218" s="495" t="str">
        <f t="shared" si="51"/>
        <v/>
      </c>
      <c r="AE218" s="499" t="s">
        <v>621</v>
      </c>
      <c r="AF218" s="500" t="s">
        <v>621</v>
      </c>
      <c r="AG218" s="556" t="s">
        <v>621</v>
      </c>
      <c r="AH218" s="503" t="str">
        <f>IF($G218="","",IF(AND($G218&gt;=30,$AT$3&lt;=AG$7),ROUND(AG218*($AP$3+#REF!),-1),""))</f>
        <v/>
      </c>
      <c r="AI218" s="506" t="s">
        <v>621</v>
      </c>
      <c r="AJ218" s="503" t="str">
        <f>IF($G218="","",IF(AND($G218&gt;=30,$AT$3&lt;=AI$7),ROUND(AI218*($AP$3+#REF!),-1),""))</f>
        <v/>
      </c>
      <c r="AK218" s="506" t="s">
        <v>621</v>
      </c>
      <c r="AL218" s="503" t="str">
        <f>IF($G218="","",IF(AND($G218&gt;=30,$AT$3&lt;=AK$7),ROUND(AK218*($AP$3+#REF!),-1),""))</f>
        <v/>
      </c>
      <c r="AM218" s="506" t="s">
        <v>621</v>
      </c>
      <c r="AN218" s="503" t="str">
        <f>IF($G218="","",IF(AND($G218&gt;=30,$AT$3&lt;=AM$7),ROUND(AM218*($AP$3+#REF!),-1),""))</f>
        <v/>
      </c>
      <c r="AO218" s="503" t="e">
        <v>#REF!</v>
      </c>
      <c r="AP218" s="503" t="str">
        <f>IF($G218="","",IF(AND($G218&gt;=30,$AT$3&lt;=AO$7),ROUND(AO218*($AP$3+#REF!),-1),""))</f>
        <v/>
      </c>
      <c r="AQ218" s="503" t="s">
        <v>621</v>
      </c>
      <c r="AR218" s="503" t="str">
        <f>IF($G218="","",IF(AND($G218&gt;=30,$AT$3&lt;=AQ$7),ROUND(AQ218*($AP$3+#REF!),-1),""))</f>
        <v/>
      </c>
      <c r="AS218" s="503" t="s">
        <v>621</v>
      </c>
      <c r="AT218" s="503" t="str">
        <f>IF($G218="","",IF(AND($G218&gt;=30,$AT$3&lt;=AS$7),ROUND(AS218*($AP$3+#REF!),-1),""))</f>
        <v/>
      </c>
      <c r="AU218" s="503" t="s">
        <v>621</v>
      </c>
      <c r="AV218" s="503" t="str">
        <f>IF($G218="","",IF(AND($G218&gt;=30,$AT$3&lt;=AU$7),ROUND(AU218*($AP$3+#REF!),-1),""))</f>
        <v/>
      </c>
      <c r="AW218" s="503" t="s">
        <v>621</v>
      </c>
      <c r="AX218" s="503" t="str">
        <f>IF($G218="","",IF(AND($G218&gt;=30,$AT$3&lt;=AW$7),ROUND(AW218*($AP$3+#REF!),-1),""))</f>
        <v/>
      </c>
      <c r="AY218" s="503" t="s">
        <v>621</v>
      </c>
      <c r="AZ218" s="503" t="str">
        <f>IF($G218="","",IF(AND($G218&gt;=30,$AT$3&lt;=AY$7),ROUND(AY218*($AP$3+#REF!),-1),""))</f>
        <v/>
      </c>
      <c r="BA218" s="503" t="s">
        <v>621</v>
      </c>
      <c r="BB218" s="503" t="str">
        <f>IF($G218="","",IF(AND($G218&gt;=30,$AT$3&lt;=BA$7),ROUND(BA218*($AP$3+#REF!),-1),""))</f>
        <v/>
      </c>
      <c r="BC218" s="503" t="s">
        <v>621</v>
      </c>
      <c r="BD218" s="503" t="str">
        <f>IF($G218="","",IF(AND($G218&gt;=30,$AT$3&lt;=BC$7),ROUND(BC218*($AP$3+#REF!),-1),""))</f>
        <v/>
      </c>
      <c r="BE218" s="503" t="s">
        <v>621</v>
      </c>
      <c r="BF218" s="503" t="str">
        <f>IF($G218="","",IF(AND($G218&gt;=30,$AT$3&lt;=BE$7),ROUND(BE218*($AP$3+#REF!),-1),""))</f>
        <v/>
      </c>
      <c r="BG218" s="503" t="s">
        <v>621</v>
      </c>
      <c r="BH218" s="503" t="str">
        <f>IF($G218="","",IF(AND($G218&gt;=30,$AT$3&lt;=BG$7),ROUND(BG218*($AP$3+#REF!),-1),""))</f>
        <v/>
      </c>
      <c r="BI218" s="503" t="s">
        <v>621</v>
      </c>
      <c r="BJ218" s="503" t="str">
        <f>IF($G218="","",IF(AND($G218&gt;=30,$AT$3&lt;=BI$7),ROUND(BI218*($AP$3+#REF!),-1),""))</f>
        <v/>
      </c>
      <c r="BK218" s="503" t="s">
        <v>621</v>
      </c>
      <c r="BL218" s="503" t="str">
        <f>IF($G218="","",IF(AND($G218&gt;=30,$AT$3&lt;=BK$7),ROUND(BK218*($AP$3+#REF!),-1),""))</f>
        <v/>
      </c>
      <c r="BM218" s="503" t="s">
        <v>621</v>
      </c>
      <c r="BN218" s="503" t="str">
        <f>IF($G218="","",IF(AND($G218&gt;=30,$AT$3&lt;=BM$7),ROUND(BM218*($AP$3+#REF!),-1),""))</f>
        <v/>
      </c>
      <c r="BO218" s="517" t="e">
        <v>#REF!</v>
      </c>
      <c r="BP218" s="503" t="str">
        <f>IF($G218="","",IF(AND($G218&gt;=30,$AT$3&lt;=BO$7),ROUND(BO218*($AP$3+#REF!),-1),""))</f>
        <v/>
      </c>
      <c r="BQ218" s="503"/>
      <c r="BR218" s="503" t="str">
        <f>IF($G218="","",IF(AND($G218&gt;=30,$AT$3&lt;=BQ$7),ROUND(BQ218*($AP$3+#REF!),-1),""))</f>
        <v/>
      </c>
      <c r="BS218" s="502"/>
      <c r="BT218" s="503" t="str">
        <f>IF($G218="","",IF(AND($G218&gt;=30,$AT$3&lt;=BS$7),ROUND(BS218*($AP$3+#REF!),-1),""))</f>
        <v/>
      </c>
      <c r="BU218" s="503"/>
      <c r="BV218" s="503" t="str">
        <f>IF($G218="","",IF(AND($G218&gt;=30,$AT$3&lt;=BU$7),ROUND(BU218*($AP$3+#REF!),-1),""))</f>
        <v/>
      </c>
      <c r="BW218" s="502"/>
      <c r="BX218" s="503" t="str">
        <f>IF($G218="","",IF(AND($G218&gt;=30,$AT$3&lt;=BW$7),ROUND(BW218*($AP$3+#REF!),-1),""))</f>
        <v/>
      </c>
      <c r="BY218" s="503"/>
      <c r="BZ218" s="503" t="str">
        <f>IF($G218="","",IF(AND($G218&gt;=30,$AT$3&lt;=BY$7),ROUND(BY218*($AP$3+#REF!),-1),""))</f>
        <v/>
      </c>
      <c r="CA218" s="502"/>
      <c r="CB218" s="503" t="str">
        <f>IF($G218="","",IF(AND($G218&gt;=30,$AT$3&lt;=CA$7),ROUND(CA218*($AP$3+#REF!),-1),""))</f>
        <v/>
      </c>
      <c r="CC218" s="503"/>
      <c r="CD218" s="503" t="str">
        <f>IF($G218="","",IF(AND($G218&gt;=30,$AT$3&lt;=CC$7),ROUND(CC218*($AP$3+#REF!),-1),""))</f>
        <v/>
      </c>
      <c r="CE218" s="502"/>
      <c r="CF218" s="503" t="str">
        <f>IF($G218="","",IF(AND($G218&gt;=30,$AT$3&lt;=CE$7),ROUND(CE218*($AP$3+#REF!),-1),""))</f>
        <v/>
      </c>
      <c r="CG218" s="503"/>
      <c r="CH218" s="503" t="str">
        <f>IF($G218="","",IF(AND($G218&gt;=30,$AT$3&lt;=CG$7),ROUND(CG218*($AP$3+#REF!),-1),""))</f>
        <v/>
      </c>
      <c r="CI218" s="502"/>
      <c r="CJ218" s="503" t="str">
        <f>IF($G218="","",IF(AND($G218&gt;=30,$AT$3&lt;=CI$7),ROUND(CI218*($AP$3+#REF!),-1),""))</f>
        <v/>
      </c>
      <c r="CK218" s="503"/>
      <c r="CL218" s="503" t="str">
        <f>IF($G218="","",IF(AND($G218&gt;=30,$AT$3&lt;=CK$7),ROUND(CK218*($AP$3+#REF!),-1),""))</f>
        <v/>
      </c>
      <c r="CM218" s="502"/>
      <c r="CN218" s="503" t="str">
        <f>IF($G218="","",IF(AND($G218&gt;=30,$AT$3&lt;=CM$7),ROUND(CM218*($AP$3+#REF!),-1),""))</f>
        <v/>
      </c>
      <c r="CO218" s="503"/>
      <c r="CP218" s="503" t="str">
        <f>IF($G218="","",IF(AND($G218&gt;=30,$AT$3&lt;=CO$7),ROUND(CO218*($AP$3+#REF!),-1),""))</f>
        <v/>
      </c>
      <c r="CQ218" s="502"/>
      <c r="CR218" s="503" t="str">
        <f>IF($G218="","",IF(AND($G218&gt;=30,$AT$3&lt;=CQ$7),ROUND(CQ218*($AP$3+#REF!),-1),""))</f>
        <v/>
      </c>
      <c r="CS218" s="503"/>
      <c r="CT218" s="503" t="str">
        <f>IF($G218="","",IF(AND($G218&gt;=30,$AT$3&lt;=CS$7),ROUND(CS218*($AP$3+#REF!),-1),""))</f>
        <v/>
      </c>
      <c r="CU218" s="502"/>
      <c r="CV218" s="503" t="str">
        <f>IF($G218="","",IF(AND($G218&gt;=30,$AT$3&lt;=CU$7),ROUND(CU218*($AP$3+#REF!),-1),""))</f>
        <v/>
      </c>
      <c r="CW218" s="503"/>
      <c r="CX218" s="503" t="str">
        <f>IF($G218="","",IF(AND($G218&gt;=30,$AT$3&lt;=CW$7),ROUND(CW218*($AP$3+#REF!),-1),""))</f>
        <v/>
      </c>
      <c r="CY218" s="502"/>
      <c r="CZ218" s="503" t="str">
        <f>IF($G218="","",IF(AND($G218&gt;=30,$AT$3&lt;=CY$7),ROUND(CY218*($AP$3+#REF!),-1),""))</f>
        <v/>
      </c>
      <c r="DA218" s="503"/>
      <c r="DB218" s="503" t="str">
        <f>IF($G218="","",IF(AND($G218&gt;=30,$AT$3&lt;=DA$7),ROUND(DA218*($AP$3+#REF!),-1),""))</f>
        <v/>
      </c>
      <c r="DC218" s="502"/>
      <c r="DD218" s="503" t="str">
        <f>IF($G218="","",IF(AND($G218&gt;=30,$AT$3&lt;=DC$7),ROUND(DC218*($AP$3+#REF!),-1),""))</f>
        <v/>
      </c>
      <c r="DE218" s="503"/>
      <c r="DF218" s="503" t="str">
        <f>IF($G218="","",IF(AND($G218&gt;=30,$AT$3&lt;=DE$7),ROUND(DE218*($AP$3+#REF!),-1),""))</f>
        <v/>
      </c>
      <c r="DG218" s="503"/>
      <c r="DH218" s="503" t="str">
        <f>IF($G218="","",IF(AND($G218&gt;=30,$AT$3&lt;=DG$7),ROUND(DG218*($AP$3+#REF!),-1),""))</f>
        <v/>
      </c>
      <c r="DI218" s="503"/>
      <c r="DJ218" s="503" t="str">
        <f>IF($G218="","",IF(AND($G218&gt;=30,$AT$3&lt;=DI$7),ROUND(DI218*($AP$3+#REF!),-1),""))</f>
        <v/>
      </c>
      <c r="DK218" s="503"/>
      <c r="DL218" s="503" t="str">
        <f>IF($G218="","",IF(AND($G218&gt;=30,$AT$3&lt;=DK$7),ROUND(DK218*($AP$3+#REF!),-1),""))</f>
        <v/>
      </c>
      <c r="DM218" s="503"/>
      <c r="DN218" s="503" t="str">
        <f>IF($G218="","",IF(AND($G218&gt;=30,$AT$3&lt;=DM$7),ROUND(DM218*($AP$3+#REF!),-1),""))</f>
        <v/>
      </c>
      <c r="DO218" s="503"/>
      <c r="DP218" s="503" t="str">
        <f>IF($G218="","",IF(AND($G218&gt;=30,$AT$3&lt;=DO$7),ROUND(DO218*($AP$3+#REF!),-1),""))</f>
        <v/>
      </c>
      <c r="DQ218" s="503"/>
      <c r="DR218" s="503" t="str">
        <f>IF($G218="","",IF(AND($G218&gt;=30,$AT$3&lt;=DQ$7),ROUND(DQ218*($AP$3+#REF!),-1),""))</f>
        <v/>
      </c>
      <c r="DS218" s="503"/>
      <c r="DT218" s="503" t="str">
        <f>IF($G218="","",IF(AND($G218&gt;=30,$AT$3&lt;=DS$7),ROUND(DS218*($AP$3+#REF!),-1),""))</f>
        <v/>
      </c>
      <c r="DU218" s="503"/>
      <c r="DV218" s="503" t="str">
        <f>IF($G218="","",IF(AND($G218&gt;=30,$AT$3&lt;=DU$7),ROUND(DU218*($AP$3+#REF!),-1),""))</f>
        <v/>
      </c>
      <c r="DW218" s="503"/>
      <c r="DX218" s="503" t="str">
        <f>IF($G218="","",IF(AND($G218&gt;=30,$AT$3&lt;=DW$7),ROUND(DW218*($AP$3+#REF!),-1),""))</f>
        <v/>
      </c>
      <c r="DY218" s="503"/>
      <c r="DZ218" s="503" t="str">
        <f>IF($G218="","",IF(AND($G218&gt;=30,$AT$3&lt;=DY$7),ROUND(DY218*($AP$3+#REF!),-1),""))</f>
        <v/>
      </c>
      <c r="EA218" s="503"/>
      <c r="EB218" s="503" t="str">
        <f>IF($G218="","",IF(AND($G218&gt;=30,$AT$3&lt;=EA$7),ROUND(EA218*($AP$3+#REF!),-1),""))</f>
        <v/>
      </c>
      <c r="EC218" s="504" t="s">
        <v>621</v>
      </c>
      <c r="ED218" s="1124"/>
      <c r="EE218" s="325">
        <v>6</v>
      </c>
    </row>
    <row r="219" spans="1:135" ht="9.75" customHeight="1">
      <c r="A219" s="321" t="str">
        <f t="shared" si="54"/>
        <v/>
      </c>
      <c r="B219" s="567">
        <f>(ii!$D$13*12+V219)+1</f>
        <v>113</v>
      </c>
      <c r="C219" s="337">
        <f t="shared" si="58"/>
        <v>48791</v>
      </c>
      <c r="D219" s="484">
        <f t="shared" si="61"/>
        <v>2033</v>
      </c>
      <c r="E219" s="484">
        <f t="shared" si="59"/>
        <v>0.58333333333333337</v>
      </c>
      <c r="F219" s="484">
        <f t="shared" si="62"/>
        <v>2033.5833333333333</v>
      </c>
      <c r="G219" s="485" t="str">
        <f>IF(OR(C219&lt;$I$2,C219&gt;$J$3),"",(ii!$D$13*12+V219+1)/12)</f>
        <v/>
      </c>
      <c r="H219" s="486"/>
      <c r="I219" s="486"/>
      <c r="J219" s="487"/>
      <c r="K219" s="488"/>
      <c r="L219" s="548"/>
      <c r="M219" s="489" t="str">
        <f t="shared" si="63"/>
        <v/>
      </c>
      <c r="N219" s="490" t="s">
        <v>621</v>
      </c>
      <c r="O219" s="490" t="str">
        <f t="shared" si="56"/>
        <v/>
      </c>
      <c r="P219" s="491"/>
      <c r="Q219" s="491"/>
      <c r="R219" s="491" t="str">
        <f t="shared" si="57"/>
        <v/>
      </c>
      <c r="S219" s="528" t="str">
        <f t="shared" si="55"/>
        <v/>
      </c>
      <c r="T219" s="528" t="str">
        <f t="shared" si="53"/>
        <v/>
      </c>
      <c r="U219" s="493" t="str">
        <f>IF(H219="","",#REF!*12+#REF!+#REF!*12+#REF!)</f>
        <v/>
      </c>
      <c r="V219" s="338">
        <f>IF(ii!$J$3&gt;gg!C219,"",IF(AND((YEAR(C219)=YEAR($I$2)),MONTH(C219)=MONTH($I$2)),ii!$B$14*12+ii!$C$14+ii!$B$15*12+ii!$C$15-1,V218+1))</f>
        <v>112</v>
      </c>
      <c r="W219" s="339">
        <f t="shared" si="60"/>
        <v>9.3333333333333339</v>
      </c>
      <c r="X219" s="494" t="s">
        <v>621</v>
      </c>
      <c r="Y219" s="495" t="s">
        <v>621</v>
      </c>
      <c r="Z219" s="496"/>
      <c r="AA219" s="497"/>
      <c r="AB219" s="498" t="e">
        <f t="shared" si="52"/>
        <v>#VALUE!</v>
      </c>
      <c r="AC219" s="484" t="str">
        <f t="shared" ref="AC219:AC282" si="64">IF(OR(C219&lt;$I$2,C219&gt;$J$3),"",IF(AB219&lt;0.3,300,IF(AND(AB219&gt;=0.3,AB219&lt;0.4),216.67,IF(AND(AB219&gt;=0.4,AB219&lt;0.5),175,IF(AND(AB219&gt;=0.5,AB219&lt;0.6),150,IF(AND(AB219&gt;=0.6,AB219&lt;0.7),133.33,IF(AND(AB219&gt;=0.7,AB219&lt;0.8),121.43,IF(AND(AB219&gt;=0.8,AB219&lt;0.9),112.5,IF(AND(AB219&gt;=0.9,AB219&lt;1),105.56,IF(AND(AB219&gt;=1,AB219&lt;1.1),100,IF(AND(AB219&gt;=1.1,AB219&lt;1.2),95.45,IF(AND(AB219&gt;=1.2,AB219&lt;1.3),91.67,IF(AND(AB219&gt;=1.3,AB219&lt;1.4),88.46,IF(AND(AB219&gt;=1.4,AB219&lt;1.5),85.71,IF(AND(AB219&gt;=1.5,AB219&lt;1.6),83.33,IF(AB219&gt;=1.6,81.25,"???"))))))))))))))))</f>
        <v/>
      </c>
      <c r="AD219" s="495" t="str">
        <f t="shared" ref="AD219:AD282" si="65">IF(AC219="","",P219*AC219%)</f>
        <v/>
      </c>
      <c r="AE219" s="499" t="s">
        <v>621</v>
      </c>
      <c r="AF219" s="500" t="s">
        <v>621</v>
      </c>
      <c r="AG219" s="556" t="s">
        <v>621</v>
      </c>
      <c r="AH219" s="503" t="str">
        <f>IF($G219="","",IF(AND($G219&gt;=30,$AT$3&lt;=AG$7),ROUND(AG219*($AP$3+#REF!),-1),""))</f>
        <v/>
      </c>
      <c r="AI219" s="506" t="s">
        <v>621</v>
      </c>
      <c r="AJ219" s="503" t="str">
        <f>IF($G219="","",IF(AND($G219&gt;=30,$AT$3&lt;=AI$7),ROUND(AI219*($AP$3+#REF!),-1),""))</f>
        <v/>
      </c>
      <c r="AK219" s="506" t="s">
        <v>621</v>
      </c>
      <c r="AL219" s="503" t="str">
        <f>IF($G219="","",IF(AND($G219&gt;=30,$AT$3&lt;=AK$7),ROUND(AK219*($AP$3+#REF!),-1),""))</f>
        <v/>
      </c>
      <c r="AM219" s="506" t="s">
        <v>621</v>
      </c>
      <c r="AN219" s="503" t="str">
        <f>IF($G219="","",IF(AND($G219&gt;=30,$AT$3&lt;=AM$7),ROUND(AM219*($AP$3+#REF!),-1),""))</f>
        <v/>
      </c>
      <c r="AO219" s="503" t="e">
        <v>#REF!</v>
      </c>
      <c r="AP219" s="503" t="str">
        <f>IF($G219="","",IF(AND($G219&gt;=30,$AT$3&lt;=AO$7),ROUND(AO219*($AP$3+#REF!),-1),""))</f>
        <v/>
      </c>
      <c r="AQ219" s="503" t="s">
        <v>621</v>
      </c>
      <c r="AR219" s="503" t="str">
        <f>IF($G219="","",IF(AND($G219&gt;=30,$AT$3&lt;=AQ$7),ROUND(AQ219*($AP$3+#REF!),-1),""))</f>
        <v/>
      </c>
      <c r="AS219" s="503" t="s">
        <v>621</v>
      </c>
      <c r="AT219" s="503" t="str">
        <f>IF($G219="","",IF(AND($G219&gt;=30,$AT$3&lt;=AS$7),ROUND(AS219*($AP$3+#REF!),-1),""))</f>
        <v/>
      </c>
      <c r="AU219" s="503" t="s">
        <v>621</v>
      </c>
      <c r="AV219" s="503" t="str">
        <f>IF($G219="","",IF(AND($G219&gt;=30,$AT$3&lt;=AU$7),ROUND(AU219*($AP$3+#REF!),-1),""))</f>
        <v/>
      </c>
      <c r="AW219" s="503" t="s">
        <v>621</v>
      </c>
      <c r="AX219" s="503" t="str">
        <f>IF($G219="","",IF(AND($G219&gt;=30,$AT$3&lt;=AW$7),ROUND(AW219*($AP$3+#REF!),-1),""))</f>
        <v/>
      </c>
      <c r="AY219" s="503" t="s">
        <v>621</v>
      </c>
      <c r="AZ219" s="503" t="str">
        <f>IF($G219="","",IF(AND($G219&gt;=30,$AT$3&lt;=AY$7),ROUND(AY219*($AP$3+#REF!),-1),""))</f>
        <v/>
      </c>
      <c r="BA219" s="503" t="s">
        <v>621</v>
      </c>
      <c r="BB219" s="503" t="str">
        <f>IF($G219="","",IF(AND($G219&gt;=30,$AT$3&lt;=BA$7),ROUND(BA219*($AP$3+#REF!),-1),""))</f>
        <v/>
      </c>
      <c r="BC219" s="503" t="s">
        <v>621</v>
      </c>
      <c r="BD219" s="503" t="str">
        <f>IF($G219="","",IF(AND($G219&gt;=30,$AT$3&lt;=BC$7),ROUND(BC219*($AP$3+#REF!),-1),""))</f>
        <v/>
      </c>
      <c r="BE219" s="503" t="s">
        <v>621</v>
      </c>
      <c r="BF219" s="503" t="str">
        <f>IF($G219="","",IF(AND($G219&gt;=30,$AT$3&lt;=BE$7),ROUND(BE219*($AP$3+#REF!),-1),""))</f>
        <v/>
      </c>
      <c r="BG219" s="503" t="s">
        <v>621</v>
      </c>
      <c r="BH219" s="503" t="str">
        <f>IF($G219="","",IF(AND($G219&gt;=30,$AT$3&lt;=BG$7),ROUND(BG219*($AP$3+#REF!),-1),""))</f>
        <v/>
      </c>
      <c r="BI219" s="503" t="s">
        <v>621</v>
      </c>
      <c r="BJ219" s="503" t="str">
        <f>IF($G219="","",IF(AND($G219&gt;=30,$AT$3&lt;=BI$7),ROUND(BI219*($AP$3+#REF!),-1),""))</f>
        <v/>
      </c>
      <c r="BK219" s="503" t="s">
        <v>621</v>
      </c>
      <c r="BL219" s="503" t="str">
        <f>IF($G219="","",IF(AND($G219&gt;=30,$AT$3&lt;=BK$7),ROUND(BK219*($AP$3+#REF!),-1),""))</f>
        <v/>
      </c>
      <c r="BM219" s="503" t="s">
        <v>621</v>
      </c>
      <c r="BN219" s="503" t="str">
        <f>IF($G219="","",IF(AND($G219&gt;=30,$AT$3&lt;=BM$7),ROUND(BM219*($AP$3+#REF!),-1),""))</f>
        <v/>
      </c>
      <c r="BO219" s="517" t="e">
        <v>#REF!</v>
      </c>
      <c r="BP219" s="503" t="str">
        <f>IF($G219="","",IF(AND($G219&gt;=30,$AT$3&lt;=BO$7),ROUND(BO219*($AP$3+#REF!),-1),""))</f>
        <v/>
      </c>
      <c r="BQ219" s="503"/>
      <c r="BR219" s="503" t="str">
        <f>IF($G219="","",IF(AND($G219&gt;=30,$AT$3&lt;=BQ$7),ROUND(BQ219*($AP$3+#REF!),-1),""))</f>
        <v/>
      </c>
      <c r="BS219" s="502"/>
      <c r="BT219" s="503" t="str">
        <f>IF($G219="","",IF(AND($G219&gt;=30,$AT$3&lt;=BS$7),ROUND(BS219*($AP$3+#REF!),-1),""))</f>
        <v/>
      </c>
      <c r="BU219" s="503"/>
      <c r="BV219" s="503" t="str">
        <f>IF($G219="","",IF(AND($G219&gt;=30,$AT$3&lt;=BU$7),ROUND(BU219*($AP$3+#REF!),-1),""))</f>
        <v/>
      </c>
      <c r="BW219" s="502"/>
      <c r="BX219" s="503" t="str">
        <f>IF($G219="","",IF(AND($G219&gt;=30,$AT$3&lt;=BW$7),ROUND(BW219*($AP$3+#REF!),-1),""))</f>
        <v/>
      </c>
      <c r="BY219" s="503"/>
      <c r="BZ219" s="503" t="str">
        <f>IF($G219="","",IF(AND($G219&gt;=30,$AT$3&lt;=BY$7),ROUND(BY219*($AP$3+#REF!),-1),""))</f>
        <v/>
      </c>
      <c r="CA219" s="502"/>
      <c r="CB219" s="503" t="str">
        <f>IF($G219="","",IF(AND($G219&gt;=30,$AT$3&lt;=CA$7),ROUND(CA219*($AP$3+#REF!),-1),""))</f>
        <v/>
      </c>
      <c r="CC219" s="503"/>
      <c r="CD219" s="503" t="str">
        <f>IF($G219="","",IF(AND($G219&gt;=30,$AT$3&lt;=CC$7),ROUND(CC219*($AP$3+#REF!),-1),""))</f>
        <v/>
      </c>
      <c r="CE219" s="502"/>
      <c r="CF219" s="503" t="str">
        <f>IF($G219="","",IF(AND($G219&gt;=30,$AT$3&lt;=CE$7),ROUND(CE219*($AP$3+#REF!),-1),""))</f>
        <v/>
      </c>
      <c r="CG219" s="503"/>
      <c r="CH219" s="503" t="str">
        <f>IF($G219="","",IF(AND($G219&gt;=30,$AT$3&lt;=CG$7),ROUND(CG219*($AP$3+#REF!),-1),""))</f>
        <v/>
      </c>
      <c r="CI219" s="502"/>
      <c r="CJ219" s="503" t="str">
        <f>IF($G219="","",IF(AND($G219&gt;=30,$AT$3&lt;=CI$7),ROUND(CI219*($AP$3+#REF!),-1),""))</f>
        <v/>
      </c>
      <c r="CK219" s="503"/>
      <c r="CL219" s="503" t="str">
        <f>IF($G219="","",IF(AND($G219&gt;=30,$AT$3&lt;=CK$7),ROUND(CK219*($AP$3+#REF!),-1),""))</f>
        <v/>
      </c>
      <c r="CM219" s="502"/>
      <c r="CN219" s="503" t="str">
        <f>IF($G219="","",IF(AND($G219&gt;=30,$AT$3&lt;=CM$7),ROUND(CM219*($AP$3+#REF!),-1),""))</f>
        <v/>
      </c>
      <c r="CO219" s="503"/>
      <c r="CP219" s="503" t="str">
        <f>IF($G219="","",IF(AND($G219&gt;=30,$AT$3&lt;=CO$7),ROUND(CO219*($AP$3+#REF!),-1),""))</f>
        <v/>
      </c>
      <c r="CQ219" s="502"/>
      <c r="CR219" s="503" t="str">
        <f>IF($G219="","",IF(AND($G219&gt;=30,$AT$3&lt;=CQ$7),ROUND(CQ219*($AP$3+#REF!),-1),""))</f>
        <v/>
      </c>
      <c r="CS219" s="503"/>
      <c r="CT219" s="503" t="str">
        <f>IF($G219="","",IF(AND($G219&gt;=30,$AT$3&lt;=CS$7),ROUND(CS219*($AP$3+#REF!),-1),""))</f>
        <v/>
      </c>
      <c r="CU219" s="502"/>
      <c r="CV219" s="503" t="str">
        <f>IF($G219="","",IF(AND($G219&gt;=30,$AT$3&lt;=CU$7),ROUND(CU219*($AP$3+#REF!),-1),""))</f>
        <v/>
      </c>
      <c r="CW219" s="503"/>
      <c r="CX219" s="503" t="str">
        <f>IF($G219="","",IF(AND($G219&gt;=30,$AT$3&lt;=CW$7),ROUND(CW219*($AP$3+#REF!),-1),""))</f>
        <v/>
      </c>
      <c r="CY219" s="502"/>
      <c r="CZ219" s="503" t="str">
        <f>IF($G219="","",IF(AND($G219&gt;=30,$AT$3&lt;=CY$7),ROUND(CY219*($AP$3+#REF!),-1),""))</f>
        <v/>
      </c>
      <c r="DA219" s="503"/>
      <c r="DB219" s="503" t="str">
        <f>IF($G219="","",IF(AND($G219&gt;=30,$AT$3&lt;=DA$7),ROUND(DA219*($AP$3+#REF!),-1),""))</f>
        <v/>
      </c>
      <c r="DC219" s="502"/>
      <c r="DD219" s="503" t="str">
        <f>IF($G219="","",IF(AND($G219&gt;=30,$AT$3&lt;=DC$7),ROUND(DC219*($AP$3+#REF!),-1),""))</f>
        <v/>
      </c>
      <c r="DE219" s="503"/>
      <c r="DF219" s="503" t="str">
        <f>IF($G219="","",IF(AND($G219&gt;=30,$AT$3&lt;=DE$7),ROUND(DE219*($AP$3+#REF!),-1),""))</f>
        <v/>
      </c>
      <c r="DG219" s="503"/>
      <c r="DH219" s="503" t="str">
        <f>IF($G219="","",IF(AND($G219&gt;=30,$AT$3&lt;=DG$7),ROUND(DG219*($AP$3+#REF!),-1),""))</f>
        <v/>
      </c>
      <c r="DI219" s="503"/>
      <c r="DJ219" s="503" t="str">
        <f>IF($G219="","",IF(AND($G219&gt;=30,$AT$3&lt;=DI$7),ROUND(DI219*($AP$3+#REF!),-1),""))</f>
        <v/>
      </c>
      <c r="DK219" s="503"/>
      <c r="DL219" s="503" t="str">
        <f>IF($G219="","",IF(AND($G219&gt;=30,$AT$3&lt;=DK$7),ROUND(DK219*($AP$3+#REF!),-1),""))</f>
        <v/>
      </c>
      <c r="DM219" s="503"/>
      <c r="DN219" s="503" t="str">
        <f>IF($G219="","",IF(AND($G219&gt;=30,$AT$3&lt;=DM$7),ROUND(DM219*($AP$3+#REF!),-1),""))</f>
        <v/>
      </c>
      <c r="DO219" s="503"/>
      <c r="DP219" s="503" t="str">
        <f>IF($G219="","",IF(AND($G219&gt;=30,$AT$3&lt;=DO$7),ROUND(DO219*($AP$3+#REF!),-1),""))</f>
        <v/>
      </c>
      <c r="DQ219" s="503"/>
      <c r="DR219" s="503" t="str">
        <f>IF($G219="","",IF(AND($G219&gt;=30,$AT$3&lt;=DQ$7),ROUND(DQ219*($AP$3+#REF!),-1),""))</f>
        <v/>
      </c>
      <c r="DS219" s="503"/>
      <c r="DT219" s="503" t="str">
        <f>IF($G219="","",IF(AND($G219&gt;=30,$AT$3&lt;=DS$7),ROUND(DS219*($AP$3+#REF!),-1),""))</f>
        <v/>
      </c>
      <c r="DU219" s="503"/>
      <c r="DV219" s="503" t="str">
        <f>IF($G219="","",IF(AND($G219&gt;=30,$AT$3&lt;=DU$7),ROUND(DU219*($AP$3+#REF!),-1),""))</f>
        <v/>
      </c>
      <c r="DW219" s="503"/>
      <c r="DX219" s="503" t="str">
        <f>IF($G219="","",IF(AND($G219&gt;=30,$AT$3&lt;=DW$7),ROUND(DW219*($AP$3+#REF!),-1),""))</f>
        <v/>
      </c>
      <c r="DY219" s="503"/>
      <c r="DZ219" s="503" t="str">
        <f>IF($G219="","",IF(AND($G219&gt;=30,$AT$3&lt;=DY$7),ROUND(DY219*($AP$3+#REF!),-1),""))</f>
        <v/>
      </c>
      <c r="EA219" s="503"/>
      <c r="EB219" s="503" t="str">
        <f>IF($G219="","",IF(AND($G219&gt;=30,$AT$3&lt;=EA$7),ROUND(EA219*($AP$3+#REF!),-1),""))</f>
        <v/>
      </c>
      <c r="EC219" s="504" t="s">
        <v>621</v>
      </c>
      <c r="ED219" s="1124"/>
      <c r="EE219" s="325">
        <v>7</v>
      </c>
    </row>
    <row r="220" spans="1:135" ht="9.75" customHeight="1">
      <c r="A220" s="321" t="str">
        <f t="shared" si="54"/>
        <v/>
      </c>
      <c r="B220" s="567">
        <f>(ii!$D$13*12+V220)+1</f>
        <v>114</v>
      </c>
      <c r="C220" s="337">
        <f t="shared" si="58"/>
        <v>48822</v>
      </c>
      <c r="D220" s="484">
        <f t="shared" si="61"/>
        <v>2033</v>
      </c>
      <c r="E220" s="484">
        <f t="shared" si="59"/>
        <v>0.66666666666666663</v>
      </c>
      <c r="F220" s="484">
        <f t="shared" si="62"/>
        <v>2033.6666666666667</v>
      </c>
      <c r="G220" s="485" t="str">
        <f>IF(OR(C220&lt;$I$2,C220&gt;$J$3),"",(ii!$D$13*12+V220+1)/12)</f>
        <v/>
      </c>
      <c r="H220" s="486"/>
      <c r="I220" s="486"/>
      <c r="J220" s="487"/>
      <c r="K220" s="488"/>
      <c r="L220" s="548"/>
      <c r="M220" s="489" t="str">
        <f t="shared" si="63"/>
        <v/>
      </c>
      <c r="N220" s="490" t="s">
        <v>621</v>
      </c>
      <c r="O220" s="490" t="str">
        <f t="shared" si="56"/>
        <v/>
      </c>
      <c r="P220" s="491"/>
      <c r="Q220" s="491"/>
      <c r="R220" s="491" t="str">
        <f t="shared" si="57"/>
        <v/>
      </c>
      <c r="S220" s="528" t="str">
        <f t="shared" si="55"/>
        <v/>
      </c>
      <c r="T220" s="528" t="str">
        <f t="shared" si="53"/>
        <v/>
      </c>
      <c r="U220" s="493" t="str">
        <f>IF(H220="","",#REF!*12+#REF!+#REF!*12+#REF!)</f>
        <v/>
      </c>
      <c r="V220" s="338">
        <f>IF(ii!$J$3&gt;gg!C220,"",IF(AND((YEAR(C220)=YEAR($I$2)),MONTH(C220)=MONTH($I$2)),ii!$B$14*12+ii!$C$14+ii!$B$15*12+ii!$C$15-1,V219+1))</f>
        <v>113</v>
      </c>
      <c r="W220" s="339">
        <f t="shared" si="60"/>
        <v>9.4166666666666661</v>
      </c>
      <c r="X220" s="494" t="s">
        <v>621</v>
      </c>
      <c r="Y220" s="495" t="s">
        <v>621</v>
      </c>
      <c r="Z220" s="496"/>
      <c r="AA220" s="497"/>
      <c r="AB220" s="498" t="e">
        <f t="shared" si="52"/>
        <v>#VALUE!</v>
      </c>
      <c r="AC220" s="484" t="str">
        <f t="shared" si="64"/>
        <v/>
      </c>
      <c r="AD220" s="495" t="str">
        <f t="shared" si="65"/>
        <v/>
      </c>
      <c r="AE220" s="499" t="s">
        <v>621</v>
      </c>
      <c r="AF220" s="500" t="s">
        <v>621</v>
      </c>
      <c r="AG220" s="556" t="s">
        <v>621</v>
      </c>
      <c r="AH220" s="503" t="str">
        <f>IF($G220="","",IF(AND($G220&gt;=30,$AT$3&lt;=AG$7),ROUND(AG220*($AP$3+#REF!),-1),""))</f>
        <v/>
      </c>
      <c r="AI220" s="506" t="s">
        <v>621</v>
      </c>
      <c r="AJ220" s="503" t="str">
        <f>IF($G220="","",IF(AND($G220&gt;=30,$AT$3&lt;=AI$7),ROUND(AI220*($AP$3+#REF!),-1),""))</f>
        <v/>
      </c>
      <c r="AK220" s="506" t="s">
        <v>621</v>
      </c>
      <c r="AL220" s="503" t="str">
        <f>IF($G220="","",IF(AND($G220&gt;=30,$AT$3&lt;=AK$7),ROUND(AK220*($AP$3+#REF!),-1),""))</f>
        <v/>
      </c>
      <c r="AM220" s="506" t="s">
        <v>621</v>
      </c>
      <c r="AN220" s="503" t="str">
        <f>IF($G220="","",IF(AND($G220&gt;=30,$AT$3&lt;=AM$7),ROUND(AM220*($AP$3+#REF!),-1),""))</f>
        <v/>
      </c>
      <c r="AO220" s="503" t="e">
        <v>#REF!</v>
      </c>
      <c r="AP220" s="503" t="str">
        <f>IF($G220="","",IF(AND($G220&gt;=30,$AT$3&lt;=AO$7),ROUND(AO220*($AP$3+#REF!),-1),""))</f>
        <v/>
      </c>
      <c r="AQ220" s="503" t="s">
        <v>621</v>
      </c>
      <c r="AR220" s="503" t="str">
        <f>IF($G220="","",IF(AND($G220&gt;=30,$AT$3&lt;=AQ$7),ROUND(AQ220*($AP$3+#REF!),-1),""))</f>
        <v/>
      </c>
      <c r="AS220" s="503" t="s">
        <v>621</v>
      </c>
      <c r="AT220" s="503" t="str">
        <f>IF($G220="","",IF(AND($G220&gt;=30,$AT$3&lt;=AS$7),ROUND(AS220*($AP$3+#REF!),-1),""))</f>
        <v/>
      </c>
      <c r="AU220" s="503" t="s">
        <v>621</v>
      </c>
      <c r="AV220" s="503" t="str">
        <f>IF($G220="","",IF(AND($G220&gt;=30,$AT$3&lt;=AU$7),ROUND(AU220*($AP$3+#REF!),-1),""))</f>
        <v/>
      </c>
      <c r="AW220" s="503" t="s">
        <v>621</v>
      </c>
      <c r="AX220" s="503" t="str">
        <f>IF($G220="","",IF(AND($G220&gt;=30,$AT$3&lt;=AW$7),ROUND(AW220*($AP$3+#REF!),-1),""))</f>
        <v/>
      </c>
      <c r="AY220" s="503" t="s">
        <v>621</v>
      </c>
      <c r="AZ220" s="503" t="str">
        <f>IF($G220="","",IF(AND($G220&gt;=30,$AT$3&lt;=AY$7),ROUND(AY220*($AP$3+#REF!),-1),""))</f>
        <v/>
      </c>
      <c r="BA220" s="503" t="s">
        <v>621</v>
      </c>
      <c r="BB220" s="503" t="str">
        <f>IF($G220="","",IF(AND($G220&gt;=30,$AT$3&lt;=BA$7),ROUND(BA220*($AP$3+#REF!),-1),""))</f>
        <v/>
      </c>
      <c r="BC220" s="503" t="s">
        <v>621</v>
      </c>
      <c r="BD220" s="503" t="str">
        <f>IF($G220="","",IF(AND($G220&gt;=30,$AT$3&lt;=BC$7),ROUND(BC220*($AP$3+#REF!),-1),""))</f>
        <v/>
      </c>
      <c r="BE220" s="503" t="s">
        <v>621</v>
      </c>
      <c r="BF220" s="503" t="str">
        <f>IF($G220="","",IF(AND($G220&gt;=30,$AT$3&lt;=BE$7),ROUND(BE220*($AP$3+#REF!),-1),""))</f>
        <v/>
      </c>
      <c r="BG220" s="503" t="s">
        <v>621</v>
      </c>
      <c r="BH220" s="503" t="str">
        <f>IF($G220="","",IF(AND($G220&gt;=30,$AT$3&lt;=BG$7),ROUND(BG220*($AP$3+#REF!),-1),""))</f>
        <v/>
      </c>
      <c r="BI220" s="503" t="s">
        <v>621</v>
      </c>
      <c r="BJ220" s="503" t="str">
        <f>IF($G220="","",IF(AND($G220&gt;=30,$AT$3&lt;=BI$7),ROUND(BI220*($AP$3+#REF!),-1),""))</f>
        <v/>
      </c>
      <c r="BK220" s="503" t="s">
        <v>621</v>
      </c>
      <c r="BL220" s="503" t="str">
        <f>IF($G220="","",IF(AND($G220&gt;=30,$AT$3&lt;=BK$7),ROUND(BK220*($AP$3+#REF!),-1),""))</f>
        <v/>
      </c>
      <c r="BM220" s="503" t="s">
        <v>621</v>
      </c>
      <c r="BN220" s="503" t="str">
        <f>IF($G220="","",IF(AND($G220&gt;=30,$AT$3&lt;=BM$7),ROUND(BM220*($AP$3+#REF!),-1),""))</f>
        <v/>
      </c>
      <c r="BO220" s="517" t="e">
        <v>#REF!</v>
      </c>
      <c r="BP220" s="503" t="str">
        <f>IF($G220="","",IF(AND($G220&gt;=30,$AT$3&lt;=BO$7),ROUND(BO220*($AP$3+#REF!),-1),""))</f>
        <v/>
      </c>
      <c r="BQ220" s="503"/>
      <c r="BR220" s="503" t="str">
        <f>IF($G220="","",IF(AND($G220&gt;=30,$AT$3&lt;=BQ$7),ROUND(BQ220*($AP$3+#REF!),-1),""))</f>
        <v/>
      </c>
      <c r="BS220" s="502"/>
      <c r="BT220" s="503" t="str">
        <f>IF($G220="","",IF(AND($G220&gt;=30,$AT$3&lt;=BS$7),ROUND(BS220*($AP$3+#REF!),-1),""))</f>
        <v/>
      </c>
      <c r="BU220" s="503"/>
      <c r="BV220" s="503" t="str">
        <f>IF($G220="","",IF(AND($G220&gt;=30,$AT$3&lt;=BU$7),ROUND(BU220*($AP$3+#REF!),-1),""))</f>
        <v/>
      </c>
      <c r="BW220" s="502"/>
      <c r="BX220" s="503" t="str">
        <f>IF($G220="","",IF(AND($G220&gt;=30,$AT$3&lt;=BW$7),ROUND(BW220*($AP$3+#REF!),-1),""))</f>
        <v/>
      </c>
      <c r="BY220" s="503"/>
      <c r="BZ220" s="503" t="str">
        <f>IF($G220="","",IF(AND($G220&gt;=30,$AT$3&lt;=BY$7),ROUND(BY220*($AP$3+#REF!),-1),""))</f>
        <v/>
      </c>
      <c r="CA220" s="502"/>
      <c r="CB220" s="503" t="str">
        <f>IF($G220="","",IF(AND($G220&gt;=30,$AT$3&lt;=CA$7),ROUND(CA220*($AP$3+#REF!),-1),""))</f>
        <v/>
      </c>
      <c r="CC220" s="503"/>
      <c r="CD220" s="503" t="str">
        <f>IF($G220="","",IF(AND($G220&gt;=30,$AT$3&lt;=CC$7),ROUND(CC220*($AP$3+#REF!),-1),""))</f>
        <v/>
      </c>
      <c r="CE220" s="502"/>
      <c r="CF220" s="503" t="str">
        <f>IF($G220="","",IF(AND($G220&gt;=30,$AT$3&lt;=CE$7),ROUND(CE220*($AP$3+#REF!),-1),""))</f>
        <v/>
      </c>
      <c r="CG220" s="503"/>
      <c r="CH220" s="503" t="str">
        <f>IF($G220="","",IF(AND($G220&gt;=30,$AT$3&lt;=CG$7),ROUND(CG220*($AP$3+#REF!),-1),""))</f>
        <v/>
      </c>
      <c r="CI220" s="502"/>
      <c r="CJ220" s="503" t="str">
        <f>IF($G220="","",IF(AND($G220&gt;=30,$AT$3&lt;=CI$7),ROUND(CI220*($AP$3+#REF!),-1),""))</f>
        <v/>
      </c>
      <c r="CK220" s="503"/>
      <c r="CL220" s="503" t="str">
        <f>IF($G220="","",IF(AND($G220&gt;=30,$AT$3&lt;=CK$7),ROUND(CK220*($AP$3+#REF!),-1),""))</f>
        <v/>
      </c>
      <c r="CM220" s="502"/>
      <c r="CN220" s="503" t="str">
        <f>IF($G220="","",IF(AND($G220&gt;=30,$AT$3&lt;=CM$7),ROUND(CM220*($AP$3+#REF!),-1),""))</f>
        <v/>
      </c>
      <c r="CO220" s="503"/>
      <c r="CP220" s="503" t="str">
        <f>IF($G220="","",IF(AND($G220&gt;=30,$AT$3&lt;=CO$7),ROUND(CO220*($AP$3+#REF!),-1),""))</f>
        <v/>
      </c>
      <c r="CQ220" s="502"/>
      <c r="CR220" s="503" t="str">
        <f>IF($G220="","",IF(AND($G220&gt;=30,$AT$3&lt;=CQ$7),ROUND(CQ220*($AP$3+#REF!),-1),""))</f>
        <v/>
      </c>
      <c r="CS220" s="503"/>
      <c r="CT220" s="503" t="str">
        <f>IF($G220="","",IF(AND($G220&gt;=30,$AT$3&lt;=CS$7),ROUND(CS220*($AP$3+#REF!),-1),""))</f>
        <v/>
      </c>
      <c r="CU220" s="502"/>
      <c r="CV220" s="503" t="str">
        <f>IF($G220="","",IF(AND($G220&gt;=30,$AT$3&lt;=CU$7),ROUND(CU220*($AP$3+#REF!),-1),""))</f>
        <v/>
      </c>
      <c r="CW220" s="503"/>
      <c r="CX220" s="503" t="str">
        <f>IF($G220="","",IF(AND($G220&gt;=30,$AT$3&lt;=CW$7),ROUND(CW220*($AP$3+#REF!),-1),""))</f>
        <v/>
      </c>
      <c r="CY220" s="502"/>
      <c r="CZ220" s="503" t="str">
        <f>IF($G220="","",IF(AND($G220&gt;=30,$AT$3&lt;=CY$7),ROUND(CY220*($AP$3+#REF!),-1),""))</f>
        <v/>
      </c>
      <c r="DA220" s="503"/>
      <c r="DB220" s="503" t="str">
        <f>IF($G220="","",IF(AND($G220&gt;=30,$AT$3&lt;=DA$7),ROUND(DA220*($AP$3+#REF!),-1),""))</f>
        <v/>
      </c>
      <c r="DC220" s="502"/>
      <c r="DD220" s="503" t="str">
        <f>IF($G220="","",IF(AND($G220&gt;=30,$AT$3&lt;=DC$7),ROUND(DC220*($AP$3+#REF!),-1),""))</f>
        <v/>
      </c>
      <c r="DE220" s="503"/>
      <c r="DF220" s="503" t="str">
        <f>IF($G220="","",IF(AND($G220&gt;=30,$AT$3&lt;=DE$7),ROUND(DE220*($AP$3+#REF!),-1),""))</f>
        <v/>
      </c>
      <c r="DG220" s="503"/>
      <c r="DH220" s="503" t="str">
        <f>IF($G220="","",IF(AND($G220&gt;=30,$AT$3&lt;=DG$7),ROUND(DG220*($AP$3+#REF!),-1),""))</f>
        <v/>
      </c>
      <c r="DI220" s="503"/>
      <c r="DJ220" s="503" t="str">
        <f>IF($G220="","",IF(AND($G220&gt;=30,$AT$3&lt;=DI$7),ROUND(DI220*($AP$3+#REF!),-1),""))</f>
        <v/>
      </c>
      <c r="DK220" s="503"/>
      <c r="DL220" s="503" t="str">
        <f>IF($G220="","",IF(AND($G220&gt;=30,$AT$3&lt;=DK$7),ROUND(DK220*($AP$3+#REF!),-1),""))</f>
        <v/>
      </c>
      <c r="DM220" s="503"/>
      <c r="DN220" s="503" t="str">
        <f>IF($G220="","",IF(AND($G220&gt;=30,$AT$3&lt;=DM$7),ROUND(DM220*($AP$3+#REF!),-1),""))</f>
        <v/>
      </c>
      <c r="DO220" s="503"/>
      <c r="DP220" s="503" t="str">
        <f>IF($G220="","",IF(AND($G220&gt;=30,$AT$3&lt;=DO$7),ROUND(DO220*($AP$3+#REF!),-1),""))</f>
        <v/>
      </c>
      <c r="DQ220" s="503"/>
      <c r="DR220" s="503" t="str">
        <f>IF($G220="","",IF(AND($G220&gt;=30,$AT$3&lt;=DQ$7),ROUND(DQ220*($AP$3+#REF!),-1),""))</f>
        <v/>
      </c>
      <c r="DS220" s="503"/>
      <c r="DT220" s="503" t="str">
        <f>IF($G220="","",IF(AND($G220&gt;=30,$AT$3&lt;=DS$7),ROUND(DS220*($AP$3+#REF!),-1),""))</f>
        <v/>
      </c>
      <c r="DU220" s="503"/>
      <c r="DV220" s="503" t="str">
        <f>IF($G220="","",IF(AND($G220&gt;=30,$AT$3&lt;=DU$7),ROUND(DU220*($AP$3+#REF!),-1),""))</f>
        <v/>
      </c>
      <c r="DW220" s="503"/>
      <c r="DX220" s="503" t="str">
        <f>IF($G220="","",IF(AND($G220&gt;=30,$AT$3&lt;=DW$7),ROUND(DW220*($AP$3+#REF!),-1),""))</f>
        <v/>
      </c>
      <c r="DY220" s="503"/>
      <c r="DZ220" s="503" t="str">
        <f>IF($G220="","",IF(AND($G220&gt;=30,$AT$3&lt;=DY$7),ROUND(DY220*($AP$3+#REF!),-1),""))</f>
        <v/>
      </c>
      <c r="EA220" s="503"/>
      <c r="EB220" s="503" t="str">
        <f>IF($G220="","",IF(AND($G220&gt;=30,$AT$3&lt;=EA$7),ROUND(EA220*($AP$3+#REF!),-1),""))</f>
        <v/>
      </c>
      <c r="EC220" s="504" t="s">
        <v>621</v>
      </c>
      <c r="ED220" s="1124"/>
      <c r="EE220" s="325">
        <v>8</v>
      </c>
    </row>
    <row r="221" spans="1:135" ht="9.75" customHeight="1">
      <c r="A221" s="321" t="str">
        <f t="shared" si="54"/>
        <v/>
      </c>
      <c r="B221" s="567">
        <f>(ii!$D$13*12+V221)+1</f>
        <v>115</v>
      </c>
      <c r="C221" s="337">
        <f t="shared" si="58"/>
        <v>48852</v>
      </c>
      <c r="D221" s="484">
        <f t="shared" si="61"/>
        <v>2033</v>
      </c>
      <c r="E221" s="484">
        <f t="shared" si="59"/>
        <v>0.75</v>
      </c>
      <c r="F221" s="484">
        <f t="shared" si="62"/>
        <v>2033.75</v>
      </c>
      <c r="G221" s="485" t="str">
        <f>IF(OR(C221&lt;$I$2,C221&gt;$J$3),"",(ii!$D$13*12+V221+1)/12)</f>
        <v/>
      </c>
      <c r="H221" s="486"/>
      <c r="I221" s="486"/>
      <c r="J221" s="487"/>
      <c r="K221" s="488"/>
      <c r="L221" s="548"/>
      <c r="M221" s="489" t="str">
        <f t="shared" si="63"/>
        <v/>
      </c>
      <c r="N221" s="490" t="s">
        <v>621</v>
      </c>
      <c r="O221" s="490" t="str">
        <f t="shared" si="56"/>
        <v/>
      </c>
      <c r="P221" s="491"/>
      <c r="Q221" s="491"/>
      <c r="R221" s="491" t="str">
        <f t="shared" si="57"/>
        <v/>
      </c>
      <c r="S221" s="528" t="str">
        <f t="shared" si="55"/>
        <v/>
      </c>
      <c r="T221" s="528" t="str">
        <f t="shared" si="53"/>
        <v/>
      </c>
      <c r="U221" s="493" t="str">
        <f>IF(H221="","",#REF!*12+#REF!+#REF!*12+#REF!)</f>
        <v/>
      </c>
      <c r="V221" s="338">
        <f>IF(ii!$J$3&gt;gg!C221,"",IF(AND((YEAR(C221)=YEAR($I$2)),MONTH(C221)=MONTH($I$2)),ii!$B$14*12+ii!$C$14+ii!$B$15*12+ii!$C$15-1,V220+1))</f>
        <v>114</v>
      </c>
      <c r="W221" s="339">
        <f t="shared" si="60"/>
        <v>9.5</v>
      </c>
      <c r="X221" s="494" t="s">
        <v>621</v>
      </c>
      <c r="Y221" s="495" t="s">
        <v>621</v>
      </c>
      <c r="Z221" s="496"/>
      <c r="AA221" s="497"/>
      <c r="AB221" s="498" t="e">
        <f t="shared" si="52"/>
        <v>#VALUE!</v>
      </c>
      <c r="AC221" s="484" t="str">
        <f t="shared" si="64"/>
        <v/>
      </c>
      <c r="AD221" s="495" t="str">
        <f t="shared" si="65"/>
        <v/>
      </c>
      <c r="AE221" s="499" t="s">
        <v>621</v>
      </c>
      <c r="AF221" s="500" t="s">
        <v>621</v>
      </c>
      <c r="AG221" s="556" t="s">
        <v>621</v>
      </c>
      <c r="AH221" s="503" t="str">
        <f>IF($G221="","",IF(AND($G221&gt;=30,$AT$3&lt;=AG$7),ROUND(AG221*($AP$3+#REF!),-1),""))</f>
        <v/>
      </c>
      <c r="AI221" s="506" t="s">
        <v>621</v>
      </c>
      <c r="AJ221" s="503" t="str">
        <f>IF($G221="","",IF(AND($G221&gt;=30,$AT$3&lt;=AI$7),ROUND(AI221*($AP$3+#REF!),-1),""))</f>
        <v/>
      </c>
      <c r="AK221" s="506" t="s">
        <v>621</v>
      </c>
      <c r="AL221" s="503" t="str">
        <f>IF($G221="","",IF(AND($G221&gt;=30,$AT$3&lt;=AK$7),ROUND(AK221*($AP$3+#REF!),-1),""))</f>
        <v/>
      </c>
      <c r="AM221" s="506" t="s">
        <v>621</v>
      </c>
      <c r="AN221" s="503" t="str">
        <f>IF($G221="","",IF(AND($G221&gt;=30,$AT$3&lt;=AM$7),ROUND(AM221*($AP$3+#REF!),-1),""))</f>
        <v/>
      </c>
      <c r="AO221" s="503" t="e">
        <v>#REF!</v>
      </c>
      <c r="AP221" s="503" t="str">
        <f>IF($G221="","",IF(AND($G221&gt;=30,$AT$3&lt;=AO$7),ROUND(AO221*($AP$3+#REF!),-1),""))</f>
        <v/>
      </c>
      <c r="AQ221" s="503" t="s">
        <v>621</v>
      </c>
      <c r="AR221" s="503" t="str">
        <f>IF($G221="","",IF(AND($G221&gt;=30,$AT$3&lt;=AQ$7),ROUND(AQ221*($AP$3+#REF!),-1),""))</f>
        <v/>
      </c>
      <c r="AS221" s="503" t="s">
        <v>621</v>
      </c>
      <c r="AT221" s="503" t="str">
        <f>IF($G221="","",IF(AND($G221&gt;=30,$AT$3&lt;=AS$7),ROUND(AS221*($AP$3+#REF!),-1),""))</f>
        <v/>
      </c>
      <c r="AU221" s="503" t="s">
        <v>621</v>
      </c>
      <c r="AV221" s="503" t="str">
        <f>IF($G221="","",IF(AND($G221&gt;=30,$AT$3&lt;=AU$7),ROUND(AU221*($AP$3+#REF!),-1),""))</f>
        <v/>
      </c>
      <c r="AW221" s="503" t="s">
        <v>621</v>
      </c>
      <c r="AX221" s="503" t="str">
        <f>IF($G221="","",IF(AND($G221&gt;=30,$AT$3&lt;=AW$7),ROUND(AW221*($AP$3+#REF!),-1),""))</f>
        <v/>
      </c>
      <c r="AY221" s="503" t="s">
        <v>621</v>
      </c>
      <c r="AZ221" s="503" t="str">
        <f>IF($G221="","",IF(AND($G221&gt;=30,$AT$3&lt;=AY$7),ROUND(AY221*($AP$3+#REF!),-1),""))</f>
        <v/>
      </c>
      <c r="BA221" s="503" t="s">
        <v>621</v>
      </c>
      <c r="BB221" s="503" t="str">
        <f>IF($G221="","",IF(AND($G221&gt;=30,$AT$3&lt;=BA$7),ROUND(BA221*($AP$3+#REF!),-1),""))</f>
        <v/>
      </c>
      <c r="BC221" s="503" t="s">
        <v>621</v>
      </c>
      <c r="BD221" s="503" t="str">
        <f>IF($G221="","",IF(AND($G221&gt;=30,$AT$3&lt;=BC$7),ROUND(BC221*($AP$3+#REF!),-1),""))</f>
        <v/>
      </c>
      <c r="BE221" s="503" t="s">
        <v>621</v>
      </c>
      <c r="BF221" s="503" t="str">
        <f>IF($G221="","",IF(AND($G221&gt;=30,$AT$3&lt;=BE$7),ROUND(BE221*($AP$3+#REF!),-1),""))</f>
        <v/>
      </c>
      <c r="BG221" s="503" t="s">
        <v>621</v>
      </c>
      <c r="BH221" s="503" t="str">
        <f>IF($G221="","",IF(AND($G221&gt;=30,$AT$3&lt;=BG$7),ROUND(BG221*($AP$3+#REF!),-1),""))</f>
        <v/>
      </c>
      <c r="BI221" s="503" t="s">
        <v>621</v>
      </c>
      <c r="BJ221" s="503" t="str">
        <f>IF($G221="","",IF(AND($G221&gt;=30,$AT$3&lt;=BI$7),ROUND(BI221*($AP$3+#REF!),-1),""))</f>
        <v/>
      </c>
      <c r="BK221" s="503" t="s">
        <v>621</v>
      </c>
      <c r="BL221" s="503" t="str">
        <f>IF($G221="","",IF(AND($G221&gt;=30,$AT$3&lt;=BK$7),ROUND(BK221*($AP$3+#REF!),-1),""))</f>
        <v/>
      </c>
      <c r="BM221" s="503" t="s">
        <v>621</v>
      </c>
      <c r="BN221" s="503" t="str">
        <f>IF($G221="","",IF(AND($G221&gt;=30,$AT$3&lt;=BM$7),ROUND(BM221*($AP$3+#REF!),-1),""))</f>
        <v/>
      </c>
      <c r="BO221" s="517" t="e">
        <v>#REF!</v>
      </c>
      <c r="BP221" s="503" t="str">
        <f>IF($G221="","",IF(AND($G221&gt;=30,$AT$3&lt;=BO$7),ROUND(BO221*($AP$3+#REF!),-1),""))</f>
        <v/>
      </c>
      <c r="BQ221" s="503"/>
      <c r="BR221" s="503" t="str">
        <f>IF($G221="","",IF(AND($G221&gt;=30,$AT$3&lt;=BQ$7),ROUND(BQ221*($AP$3+#REF!),-1),""))</f>
        <v/>
      </c>
      <c r="BS221" s="502"/>
      <c r="BT221" s="503" t="str">
        <f>IF($G221="","",IF(AND($G221&gt;=30,$AT$3&lt;=BS$7),ROUND(BS221*($AP$3+#REF!),-1),""))</f>
        <v/>
      </c>
      <c r="BU221" s="503"/>
      <c r="BV221" s="503" t="str">
        <f>IF($G221="","",IF(AND($G221&gt;=30,$AT$3&lt;=BU$7),ROUND(BU221*($AP$3+#REF!),-1),""))</f>
        <v/>
      </c>
      <c r="BW221" s="502"/>
      <c r="BX221" s="503" t="str">
        <f>IF($G221="","",IF(AND($G221&gt;=30,$AT$3&lt;=BW$7),ROUND(BW221*($AP$3+#REF!),-1),""))</f>
        <v/>
      </c>
      <c r="BY221" s="503"/>
      <c r="BZ221" s="503" t="str">
        <f>IF($G221="","",IF(AND($G221&gt;=30,$AT$3&lt;=BY$7),ROUND(BY221*($AP$3+#REF!),-1),""))</f>
        <v/>
      </c>
      <c r="CA221" s="502"/>
      <c r="CB221" s="503" t="str">
        <f>IF($G221="","",IF(AND($G221&gt;=30,$AT$3&lt;=CA$7),ROUND(CA221*($AP$3+#REF!),-1),""))</f>
        <v/>
      </c>
      <c r="CC221" s="503"/>
      <c r="CD221" s="503" t="str">
        <f>IF($G221="","",IF(AND($G221&gt;=30,$AT$3&lt;=CC$7),ROUND(CC221*($AP$3+#REF!),-1),""))</f>
        <v/>
      </c>
      <c r="CE221" s="502"/>
      <c r="CF221" s="503" t="str">
        <f>IF($G221="","",IF(AND($G221&gt;=30,$AT$3&lt;=CE$7),ROUND(CE221*($AP$3+#REF!),-1),""))</f>
        <v/>
      </c>
      <c r="CG221" s="503"/>
      <c r="CH221" s="503" t="str">
        <f>IF($G221="","",IF(AND($G221&gt;=30,$AT$3&lt;=CG$7),ROUND(CG221*($AP$3+#REF!),-1),""))</f>
        <v/>
      </c>
      <c r="CI221" s="502"/>
      <c r="CJ221" s="503" t="str">
        <f>IF($G221="","",IF(AND($G221&gt;=30,$AT$3&lt;=CI$7),ROUND(CI221*($AP$3+#REF!),-1),""))</f>
        <v/>
      </c>
      <c r="CK221" s="503"/>
      <c r="CL221" s="503" t="str">
        <f>IF($G221="","",IF(AND($G221&gt;=30,$AT$3&lt;=CK$7),ROUND(CK221*($AP$3+#REF!),-1),""))</f>
        <v/>
      </c>
      <c r="CM221" s="502"/>
      <c r="CN221" s="503" t="str">
        <f>IF($G221="","",IF(AND($G221&gt;=30,$AT$3&lt;=CM$7),ROUND(CM221*($AP$3+#REF!),-1),""))</f>
        <v/>
      </c>
      <c r="CO221" s="503"/>
      <c r="CP221" s="503" t="str">
        <f>IF($G221="","",IF(AND($G221&gt;=30,$AT$3&lt;=CO$7),ROUND(CO221*($AP$3+#REF!),-1),""))</f>
        <v/>
      </c>
      <c r="CQ221" s="502"/>
      <c r="CR221" s="503" t="str">
        <f>IF($G221="","",IF(AND($G221&gt;=30,$AT$3&lt;=CQ$7),ROUND(CQ221*($AP$3+#REF!),-1),""))</f>
        <v/>
      </c>
      <c r="CS221" s="503"/>
      <c r="CT221" s="503" t="str">
        <f>IF($G221="","",IF(AND($G221&gt;=30,$AT$3&lt;=CS$7),ROUND(CS221*($AP$3+#REF!),-1),""))</f>
        <v/>
      </c>
      <c r="CU221" s="502"/>
      <c r="CV221" s="503" t="str">
        <f>IF($G221="","",IF(AND($G221&gt;=30,$AT$3&lt;=CU$7),ROUND(CU221*($AP$3+#REF!),-1),""))</f>
        <v/>
      </c>
      <c r="CW221" s="503"/>
      <c r="CX221" s="503" t="str">
        <f>IF($G221="","",IF(AND($G221&gt;=30,$AT$3&lt;=CW$7),ROUND(CW221*($AP$3+#REF!),-1),""))</f>
        <v/>
      </c>
      <c r="CY221" s="502"/>
      <c r="CZ221" s="503" t="str">
        <f>IF($G221="","",IF(AND($G221&gt;=30,$AT$3&lt;=CY$7),ROUND(CY221*($AP$3+#REF!),-1),""))</f>
        <v/>
      </c>
      <c r="DA221" s="503"/>
      <c r="DB221" s="503" t="str">
        <f>IF($G221="","",IF(AND($G221&gt;=30,$AT$3&lt;=DA$7),ROUND(DA221*($AP$3+#REF!),-1),""))</f>
        <v/>
      </c>
      <c r="DC221" s="502"/>
      <c r="DD221" s="503" t="str">
        <f>IF($G221="","",IF(AND($G221&gt;=30,$AT$3&lt;=DC$7),ROUND(DC221*($AP$3+#REF!),-1),""))</f>
        <v/>
      </c>
      <c r="DE221" s="503"/>
      <c r="DF221" s="503" t="str">
        <f>IF($G221="","",IF(AND($G221&gt;=30,$AT$3&lt;=DE$7),ROUND(DE221*($AP$3+#REF!),-1),""))</f>
        <v/>
      </c>
      <c r="DG221" s="503"/>
      <c r="DH221" s="503" t="str">
        <f>IF($G221="","",IF(AND($G221&gt;=30,$AT$3&lt;=DG$7),ROUND(DG221*($AP$3+#REF!),-1),""))</f>
        <v/>
      </c>
      <c r="DI221" s="503"/>
      <c r="DJ221" s="503" t="str">
        <f>IF($G221="","",IF(AND($G221&gt;=30,$AT$3&lt;=DI$7),ROUND(DI221*($AP$3+#REF!),-1),""))</f>
        <v/>
      </c>
      <c r="DK221" s="503"/>
      <c r="DL221" s="503" t="str">
        <f>IF($G221="","",IF(AND($G221&gt;=30,$AT$3&lt;=DK$7),ROUND(DK221*($AP$3+#REF!),-1),""))</f>
        <v/>
      </c>
      <c r="DM221" s="503"/>
      <c r="DN221" s="503" t="str">
        <f>IF($G221="","",IF(AND($G221&gt;=30,$AT$3&lt;=DM$7),ROUND(DM221*($AP$3+#REF!),-1),""))</f>
        <v/>
      </c>
      <c r="DO221" s="503"/>
      <c r="DP221" s="503" t="str">
        <f>IF($G221="","",IF(AND($G221&gt;=30,$AT$3&lt;=DO$7),ROUND(DO221*($AP$3+#REF!),-1),""))</f>
        <v/>
      </c>
      <c r="DQ221" s="503"/>
      <c r="DR221" s="503" t="str">
        <f>IF($G221="","",IF(AND($G221&gt;=30,$AT$3&lt;=DQ$7),ROUND(DQ221*($AP$3+#REF!),-1),""))</f>
        <v/>
      </c>
      <c r="DS221" s="503"/>
      <c r="DT221" s="503" t="str">
        <f>IF($G221="","",IF(AND($G221&gt;=30,$AT$3&lt;=DS$7),ROUND(DS221*($AP$3+#REF!),-1),""))</f>
        <v/>
      </c>
      <c r="DU221" s="503"/>
      <c r="DV221" s="503" t="str">
        <f>IF($G221="","",IF(AND($G221&gt;=30,$AT$3&lt;=DU$7),ROUND(DU221*($AP$3+#REF!),-1),""))</f>
        <v/>
      </c>
      <c r="DW221" s="503"/>
      <c r="DX221" s="503" t="str">
        <f>IF($G221="","",IF(AND($G221&gt;=30,$AT$3&lt;=DW$7),ROUND(DW221*($AP$3+#REF!),-1),""))</f>
        <v/>
      </c>
      <c r="DY221" s="503"/>
      <c r="DZ221" s="503" t="str">
        <f>IF($G221="","",IF(AND($G221&gt;=30,$AT$3&lt;=DY$7),ROUND(DY221*($AP$3+#REF!),-1),""))</f>
        <v/>
      </c>
      <c r="EA221" s="503"/>
      <c r="EB221" s="503" t="str">
        <f>IF($G221="","",IF(AND($G221&gt;=30,$AT$3&lt;=EA$7),ROUND(EA221*($AP$3+#REF!),-1),""))</f>
        <v/>
      </c>
      <c r="EC221" s="504" t="s">
        <v>621</v>
      </c>
      <c r="ED221" s="1124"/>
      <c r="EE221" s="325">
        <v>9</v>
      </c>
    </row>
    <row r="222" spans="1:135" ht="9.75" customHeight="1">
      <c r="A222" s="321" t="str">
        <f t="shared" si="54"/>
        <v/>
      </c>
      <c r="B222" s="567">
        <f>(ii!$D$13*12+V222)+1</f>
        <v>116</v>
      </c>
      <c r="C222" s="337">
        <f t="shared" si="58"/>
        <v>48883</v>
      </c>
      <c r="D222" s="484">
        <f t="shared" si="61"/>
        <v>2033</v>
      </c>
      <c r="E222" s="484">
        <f t="shared" si="59"/>
        <v>0.83333333333333337</v>
      </c>
      <c r="F222" s="484">
        <f t="shared" si="62"/>
        <v>2033.8333333333333</v>
      </c>
      <c r="G222" s="485" t="str">
        <f>IF(OR(C222&lt;$I$2,C222&gt;$J$3),"",(ii!$D$13*12+V222+1)/12)</f>
        <v/>
      </c>
      <c r="H222" s="486"/>
      <c r="I222" s="486"/>
      <c r="J222" s="487"/>
      <c r="K222" s="488"/>
      <c r="L222" s="548"/>
      <c r="M222" s="489" t="str">
        <f t="shared" si="63"/>
        <v/>
      </c>
      <c r="N222" s="490" t="s">
        <v>621</v>
      </c>
      <c r="O222" s="490" t="str">
        <f t="shared" si="56"/>
        <v/>
      </c>
      <c r="P222" s="491"/>
      <c r="Q222" s="491"/>
      <c r="R222" s="491" t="str">
        <f t="shared" si="57"/>
        <v/>
      </c>
      <c r="S222" s="528" t="str">
        <f t="shared" si="55"/>
        <v/>
      </c>
      <c r="T222" s="528" t="str">
        <f t="shared" si="53"/>
        <v/>
      </c>
      <c r="U222" s="493" t="str">
        <f>IF(H222="","",#REF!*12+#REF!+#REF!*12+#REF!)</f>
        <v/>
      </c>
      <c r="V222" s="338">
        <f>IF(ii!$J$3&gt;gg!C222,"",IF(AND((YEAR(C222)=YEAR($I$2)),MONTH(C222)=MONTH($I$2)),ii!$B$14*12+ii!$C$14+ii!$B$15*12+ii!$C$15-1,V221+1))</f>
        <v>115</v>
      </c>
      <c r="W222" s="339">
        <f t="shared" si="60"/>
        <v>9.5833333333333339</v>
      </c>
      <c r="X222" s="494" t="s">
        <v>621</v>
      </c>
      <c r="Y222" s="495" t="s">
        <v>621</v>
      </c>
      <c r="Z222" s="496"/>
      <c r="AA222" s="497"/>
      <c r="AB222" s="498" t="e">
        <f t="shared" ref="AB222:AB285" si="66">IF(F222&lt;$I$3,"",IF(F222&gt;$F$3,"",(P222/Y222)))</f>
        <v>#VALUE!</v>
      </c>
      <c r="AC222" s="484" t="str">
        <f t="shared" si="64"/>
        <v/>
      </c>
      <c r="AD222" s="495" t="str">
        <f t="shared" si="65"/>
        <v/>
      </c>
      <c r="AE222" s="499" t="s">
        <v>621</v>
      </c>
      <c r="AF222" s="500" t="s">
        <v>621</v>
      </c>
      <c r="AG222" s="556" t="s">
        <v>621</v>
      </c>
      <c r="AH222" s="503" t="str">
        <f>IF($G222="","",IF(AND($G222&gt;=30,$AT$3&lt;=AG$7),ROUND(AG222*($AP$3+#REF!),-1),""))</f>
        <v/>
      </c>
      <c r="AI222" s="506" t="s">
        <v>621</v>
      </c>
      <c r="AJ222" s="503" t="str">
        <f>IF($G222="","",IF(AND($G222&gt;=30,$AT$3&lt;=AI$7),ROUND(AI222*($AP$3+#REF!),-1),""))</f>
        <v/>
      </c>
      <c r="AK222" s="506" t="s">
        <v>621</v>
      </c>
      <c r="AL222" s="503" t="str">
        <f>IF($G222="","",IF(AND($G222&gt;=30,$AT$3&lt;=AK$7),ROUND(AK222*($AP$3+#REF!),-1),""))</f>
        <v/>
      </c>
      <c r="AM222" s="506" t="s">
        <v>621</v>
      </c>
      <c r="AN222" s="503" t="str">
        <f>IF($G222="","",IF(AND($G222&gt;=30,$AT$3&lt;=AM$7),ROUND(AM222*($AP$3+#REF!),-1),""))</f>
        <v/>
      </c>
      <c r="AO222" s="503" t="e">
        <v>#REF!</v>
      </c>
      <c r="AP222" s="503" t="str">
        <f>IF($G222="","",IF(AND($G222&gt;=30,$AT$3&lt;=AO$7),ROUND(AO222*($AP$3+#REF!),-1),""))</f>
        <v/>
      </c>
      <c r="AQ222" s="503" t="s">
        <v>621</v>
      </c>
      <c r="AR222" s="503" t="str">
        <f>IF($G222="","",IF(AND($G222&gt;=30,$AT$3&lt;=AQ$7),ROUND(AQ222*($AP$3+#REF!),-1),""))</f>
        <v/>
      </c>
      <c r="AS222" s="503" t="s">
        <v>621</v>
      </c>
      <c r="AT222" s="503" t="str">
        <f>IF($G222="","",IF(AND($G222&gt;=30,$AT$3&lt;=AS$7),ROUND(AS222*($AP$3+#REF!),-1),""))</f>
        <v/>
      </c>
      <c r="AU222" s="503" t="s">
        <v>621</v>
      </c>
      <c r="AV222" s="503" t="str">
        <f>IF($G222="","",IF(AND($G222&gt;=30,$AT$3&lt;=AU$7),ROUND(AU222*($AP$3+#REF!),-1),""))</f>
        <v/>
      </c>
      <c r="AW222" s="503" t="s">
        <v>621</v>
      </c>
      <c r="AX222" s="503" t="str">
        <f>IF($G222="","",IF(AND($G222&gt;=30,$AT$3&lt;=AW$7),ROUND(AW222*($AP$3+#REF!),-1),""))</f>
        <v/>
      </c>
      <c r="AY222" s="503" t="s">
        <v>621</v>
      </c>
      <c r="AZ222" s="503" t="str">
        <f>IF($G222="","",IF(AND($G222&gt;=30,$AT$3&lt;=AY$7),ROUND(AY222*($AP$3+#REF!),-1),""))</f>
        <v/>
      </c>
      <c r="BA222" s="503" t="s">
        <v>621</v>
      </c>
      <c r="BB222" s="503" t="str">
        <f>IF($G222="","",IF(AND($G222&gt;=30,$AT$3&lt;=BA$7),ROUND(BA222*($AP$3+#REF!),-1),""))</f>
        <v/>
      </c>
      <c r="BC222" s="503" t="s">
        <v>621</v>
      </c>
      <c r="BD222" s="503" t="str">
        <f>IF($G222="","",IF(AND($G222&gt;=30,$AT$3&lt;=BC$7),ROUND(BC222*($AP$3+#REF!),-1),""))</f>
        <v/>
      </c>
      <c r="BE222" s="503" t="s">
        <v>621</v>
      </c>
      <c r="BF222" s="503" t="str">
        <f>IF($G222="","",IF(AND($G222&gt;=30,$AT$3&lt;=BE$7),ROUND(BE222*($AP$3+#REF!),-1),""))</f>
        <v/>
      </c>
      <c r="BG222" s="503" t="s">
        <v>621</v>
      </c>
      <c r="BH222" s="503" t="str">
        <f>IF($G222="","",IF(AND($G222&gt;=30,$AT$3&lt;=BG$7),ROUND(BG222*($AP$3+#REF!),-1),""))</f>
        <v/>
      </c>
      <c r="BI222" s="503" t="s">
        <v>621</v>
      </c>
      <c r="BJ222" s="503" t="str">
        <f>IF($G222="","",IF(AND($G222&gt;=30,$AT$3&lt;=BI$7),ROUND(BI222*($AP$3+#REF!),-1),""))</f>
        <v/>
      </c>
      <c r="BK222" s="503" t="s">
        <v>621</v>
      </c>
      <c r="BL222" s="503" t="str">
        <f>IF($G222="","",IF(AND($G222&gt;=30,$AT$3&lt;=BK$7),ROUND(BK222*($AP$3+#REF!),-1),""))</f>
        <v/>
      </c>
      <c r="BM222" s="503" t="s">
        <v>621</v>
      </c>
      <c r="BN222" s="503" t="str">
        <f>IF($G222="","",IF(AND($G222&gt;=30,$AT$3&lt;=BM$7),ROUND(BM222*($AP$3+#REF!),-1),""))</f>
        <v/>
      </c>
      <c r="BO222" s="517" t="e">
        <v>#REF!</v>
      </c>
      <c r="BP222" s="503" t="str">
        <f>IF($G222="","",IF(AND($G222&gt;=30,$AT$3&lt;=BO$7),ROUND(BO222*($AP$3+#REF!),-1),""))</f>
        <v/>
      </c>
      <c r="BQ222" s="503"/>
      <c r="BR222" s="503" t="str">
        <f>IF($G222="","",IF(AND($G222&gt;=30,$AT$3&lt;=BQ$7),ROUND(BQ222*($AP$3+#REF!),-1),""))</f>
        <v/>
      </c>
      <c r="BS222" s="502"/>
      <c r="BT222" s="503" t="str">
        <f>IF($G222="","",IF(AND($G222&gt;=30,$AT$3&lt;=BS$7),ROUND(BS222*($AP$3+#REF!),-1),""))</f>
        <v/>
      </c>
      <c r="BU222" s="503"/>
      <c r="BV222" s="503" t="str">
        <f>IF($G222="","",IF(AND($G222&gt;=30,$AT$3&lt;=BU$7),ROUND(BU222*($AP$3+#REF!),-1),""))</f>
        <v/>
      </c>
      <c r="BW222" s="502"/>
      <c r="BX222" s="503" t="str">
        <f>IF($G222="","",IF(AND($G222&gt;=30,$AT$3&lt;=BW$7),ROUND(BW222*($AP$3+#REF!),-1),""))</f>
        <v/>
      </c>
      <c r="BY222" s="503"/>
      <c r="BZ222" s="503" t="str">
        <f>IF($G222="","",IF(AND($G222&gt;=30,$AT$3&lt;=BY$7),ROUND(BY222*($AP$3+#REF!),-1),""))</f>
        <v/>
      </c>
      <c r="CA222" s="502"/>
      <c r="CB222" s="503" t="str">
        <f>IF($G222="","",IF(AND($G222&gt;=30,$AT$3&lt;=CA$7),ROUND(CA222*($AP$3+#REF!),-1),""))</f>
        <v/>
      </c>
      <c r="CC222" s="503"/>
      <c r="CD222" s="503" t="str">
        <f>IF($G222="","",IF(AND($G222&gt;=30,$AT$3&lt;=CC$7),ROUND(CC222*($AP$3+#REF!),-1),""))</f>
        <v/>
      </c>
      <c r="CE222" s="502"/>
      <c r="CF222" s="503" t="str">
        <f>IF($G222="","",IF(AND($G222&gt;=30,$AT$3&lt;=CE$7),ROUND(CE222*($AP$3+#REF!),-1),""))</f>
        <v/>
      </c>
      <c r="CG222" s="503"/>
      <c r="CH222" s="503" t="str">
        <f>IF($G222="","",IF(AND($G222&gt;=30,$AT$3&lt;=CG$7),ROUND(CG222*($AP$3+#REF!),-1),""))</f>
        <v/>
      </c>
      <c r="CI222" s="502"/>
      <c r="CJ222" s="503" t="str">
        <f>IF($G222="","",IF(AND($G222&gt;=30,$AT$3&lt;=CI$7),ROUND(CI222*($AP$3+#REF!),-1),""))</f>
        <v/>
      </c>
      <c r="CK222" s="503"/>
      <c r="CL222" s="503" t="str">
        <f>IF($G222="","",IF(AND($G222&gt;=30,$AT$3&lt;=CK$7),ROUND(CK222*($AP$3+#REF!),-1),""))</f>
        <v/>
      </c>
      <c r="CM222" s="502"/>
      <c r="CN222" s="503" t="str">
        <f>IF($G222="","",IF(AND($G222&gt;=30,$AT$3&lt;=CM$7),ROUND(CM222*($AP$3+#REF!),-1),""))</f>
        <v/>
      </c>
      <c r="CO222" s="503"/>
      <c r="CP222" s="503" t="str">
        <f>IF($G222="","",IF(AND($G222&gt;=30,$AT$3&lt;=CO$7),ROUND(CO222*($AP$3+#REF!),-1),""))</f>
        <v/>
      </c>
      <c r="CQ222" s="502"/>
      <c r="CR222" s="503" t="str">
        <f>IF($G222="","",IF(AND($G222&gt;=30,$AT$3&lt;=CQ$7),ROUND(CQ222*($AP$3+#REF!),-1),""))</f>
        <v/>
      </c>
      <c r="CS222" s="503"/>
      <c r="CT222" s="503" t="str">
        <f>IF($G222="","",IF(AND($G222&gt;=30,$AT$3&lt;=CS$7),ROUND(CS222*($AP$3+#REF!),-1),""))</f>
        <v/>
      </c>
      <c r="CU222" s="502"/>
      <c r="CV222" s="503" t="str">
        <f>IF($G222="","",IF(AND($G222&gt;=30,$AT$3&lt;=CU$7),ROUND(CU222*($AP$3+#REF!),-1),""))</f>
        <v/>
      </c>
      <c r="CW222" s="503"/>
      <c r="CX222" s="503" t="str">
        <f>IF($G222="","",IF(AND($G222&gt;=30,$AT$3&lt;=CW$7),ROUND(CW222*($AP$3+#REF!),-1),""))</f>
        <v/>
      </c>
      <c r="CY222" s="502"/>
      <c r="CZ222" s="503" t="str">
        <f>IF($G222="","",IF(AND($G222&gt;=30,$AT$3&lt;=CY$7),ROUND(CY222*($AP$3+#REF!),-1),""))</f>
        <v/>
      </c>
      <c r="DA222" s="503"/>
      <c r="DB222" s="503" t="str">
        <f>IF($G222="","",IF(AND($G222&gt;=30,$AT$3&lt;=DA$7),ROUND(DA222*($AP$3+#REF!),-1),""))</f>
        <v/>
      </c>
      <c r="DC222" s="502"/>
      <c r="DD222" s="503" t="str">
        <f>IF($G222="","",IF(AND($G222&gt;=30,$AT$3&lt;=DC$7),ROUND(DC222*($AP$3+#REF!),-1),""))</f>
        <v/>
      </c>
      <c r="DE222" s="503"/>
      <c r="DF222" s="503" t="str">
        <f>IF($G222="","",IF(AND($G222&gt;=30,$AT$3&lt;=DE$7),ROUND(DE222*($AP$3+#REF!),-1),""))</f>
        <v/>
      </c>
      <c r="DG222" s="503"/>
      <c r="DH222" s="503" t="str">
        <f>IF($G222="","",IF(AND($G222&gt;=30,$AT$3&lt;=DG$7),ROUND(DG222*($AP$3+#REF!),-1),""))</f>
        <v/>
      </c>
      <c r="DI222" s="503"/>
      <c r="DJ222" s="503" t="str">
        <f>IF($G222="","",IF(AND($G222&gt;=30,$AT$3&lt;=DI$7),ROUND(DI222*($AP$3+#REF!),-1),""))</f>
        <v/>
      </c>
      <c r="DK222" s="503"/>
      <c r="DL222" s="503" t="str">
        <f>IF($G222="","",IF(AND($G222&gt;=30,$AT$3&lt;=DK$7),ROUND(DK222*($AP$3+#REF!),-1),""))</f>
        <v/>
      </c>
      <c r="DM222" s="503"/>
      <c r="DN222" s="503" t="str">
        <f>IF($G222="","",IF(AND($G222&gt;=30,$AT$3&lt;=DM$7),ROUND(DM222*($AP$3+#REF!),-1),""))</f>
        <v/>
      </c>
      <c r="DO222" s="503"/>
      <c r="DP222" s="503" t="str">
        <f>IF($G222="","",IF(AND($G222&gt;=30,$AT$3&lt;=DO$7),ROUND(DO222*($AP$3+#REF!),-1),""))</f>
        <v/>
      </c>
      <c r="DQ222" s="503"/>
      <c r="DR222" s="503" t="str">
        <f>IF($G222="","",IF(AND($G222&gt;=30,$AT$3&lt;=DQ$7),ROUND(DQ222*($AP$3+#REF!),-1),""))</f>
        <v/>
      </c>
      <c r="DS222" s="503"/>
      <c r="DT222" s="503" t="str">
        <f>IF($G222="","",IF(AND($G222&gt;=30,$AT$3&lt;=DS$7),ROUND(DS222*($AP$3+#REF!),-1),""))</f>
        <v/>
      </c>
      <c r="DU222" s="503"/>
      <c r="DV222" s="503" t="str">
        <f>IF($G222="","",IF(AND($G222&gt;=30,$AT$3&lt;=DU$7),ROUND(DU222*($AP$3+#REF!),-1),""))</f>
        <v/>
      </c>
      <c r="DW222" s="503"/>
      <c r="DX222" s="503" t="str">
        <f>IF($G222="","",IF(AND($G222&gt;=30,$AT$3&lt;=DW$7),ROUND(DW222*($AP$3+#REF!),-1),""))</f>
        <v/>
      </c>
      <c r="DY222" s="503"/>
      <c r="DZ222" s="503" t="str">
        <f>IF($G222="","",IF(AND($G222&gt;=30,$AT$3&lt;=DY$7),ROUND(DY222*($AP$3+#REF!),-1),""))</f>
        <v/>
      </c>
      <c r="EA222" s="503"/>
      <c r="EB222" s="503" t="str">
        <f>IF($G222="","",IF(AND($G222&gt;=30,$AT$3&lt;=EA$7),ROUND(EA222*($AP$3+#REF!),-1),""))</f>
        <v/>
      </c>
      <c r="EC222" s="504" t="s">
        <v>621</v>
      </c>
      <c r="ED222" s="1124"/>
      <c r="EE222" s="325">
        <v>10</v>
      </c>
    </row>
    <row r="223" spans="1:135" ht="9.75" customHeight="1">
      <c r="A223" s="321" t="str">
        <f t="shared" si="54"/>
        <v/>
      </c>
      <c r="B223" s="567">
        <f>(ii!$D$13*12+V223)+1</f>
        <v>117</v>
      </c>
      <c r="C223" s="337">
        <f t="shared" si="58"/>
        <v>48913</v>
      </c>
      <c r="D223" s="484">
        <f t="shared" si="61"/>
        <v>2033</v>
      </c>
      <c r="E223" s="484">
        <f t="shared" si="59"/>
        <v>0.91666666666666663</v>
      </c>
      <c r="F223" s="484">
        <f t="shared" si="62"/>
        <v>2033.9166666666667</v>
      </c>
      <c r="G223" s="485" t="str">
        <f>IF(OR(C223&lt;$I$2,C223&gt;$J$3),"",(ii!$D$13*12+V223+1)/12)</f>
        <v/>
      </c>
      <c r="H223" s="486"/>
      <c r="I223" s="486"/>
      <c r="J223" s="487"/>
      <c r="K223" s="488"/>
      <c r="L223" s="548"/>
      <c r="M223" s="489" t="str">
        <f t="shared" si="63"/>
        <v/>
      </c>
      <c r="N223" s="490" t="s">
        <v>621</v>
      </c>
      <c r="O223" s="490" t="str">
        <f t="shared" si="56"/>
        <v/>
      </c>
      <c r="P223" s="491"/>
      <c r="Q223" s="491"/>
      <c r="R223" s="491" t="str">
        <f t="shared" si="57"/>
        <v/>
      </c>
      <c r="S223" s="528" t="str">
        <f t="shared" si="55"/>
        <v/>
      </c>
      <c r="T223" s="528" t="str">
        <f t="shared" si="53"/>
        <v/>
      </c>
      <c r="U223" s="493" t="str">
        <f>IF(H223="","",#REF!*12+#REF!+#REF!*12+#REF!)</f>
        <v/>
      </c>
      <c r="V223" s="338">
        <f>IF(ii!$J$3&gt;gg!C223,"",IF(AND((YEAR(C223)=YEAR($I$2)),MONTH(C223)=MONTH($I$2)),ii!$B$14*12+ii!$C$14+ii!$B$15*12+ii!$C$15-1,V222+1))</f>
        <v>116</v>
      </c>
      <c r="W223" s="339">
        <f t="shared" si="60"/>
        <v>9.6666666666666661</v>
      </c>
      <c r="X223" s="494" t="s">
        <v>621</v>
      </c>
      <c r="Y223" s="495" t="s">
        <v>621</v>
      </c>
      <c r="Z223" s="496"/>
      <c r="AA223" s="497"/>
      <c r="AB223" s="498" t="e">
        <f t="shared" si="66"/>
        <v>#VALUE!</v>
      </c>
      <c r="AC223" s="484" t="str">
        <f t="shared" si="64"/>
        <v/>
      </c>
      <c r="AD223" s="495" t="str">
        <f t="shared" si="65"/>
        <v/>
      </c>
      <c r="AE223" s="499" t="s">
        <v>621</v>
      </c>
      <c r="AF223" s="500" t="s">
        <v>621</v>
      </c>
      <c r="AG223" s="556" t="s">
        <v>621</v>
      </c>
      <c r="AH223" s="503" t="str">
        <f>IF($G223="","",IF(AND($G223&gt;=30,$AT$3&lt;=AG$7),ROUND(AG223*($AP$3+#REF!),-1),""))</f>
        <v/>
      </c>
      <c r="AI223" s="506" t="s">
        <v>621</v>
      </c>
      <c r="AJ223" s="503" t="str">
        <f>IF($G223="","",IF(AND($G223&gt;=30,$AT$3&lt;=AI$7),ROUND(AI223*($AP$3+#REF!),-1),""))</f>
        <v/>
      </c>
      <c r="AK223" s="506" t="s">
        <v>621</v>
      </c>
      <c r="AL223" s="503" t="str">
        <f>IF($G223="","",IF(AND($G223&gt;=30,$AT$3&lt;=AK$7),ROUND(AK223*($AP$3+#REF!),-1),""))</f>
        <v/>
      </c>
      <c r="AM223" s="506" t="s">
        <v>621</v>
      </c>
      <c r="AN223" s="503" t="str">
        <f>IF($G223="","",IF(AND($G223&gt;=30,$AT$3&lt;=AM$7),ROUND(AM223*($AP$3+#REF!),-1),""))</f>
        <v/>
      </c>
      <c r="AO223" s="503" t="e">
        <v>#REF!</v>
      </c>
      <c r="AP223" s="503" t="str">
        <f>IF($G223="","",IF(AND($G223&gt;=30,$AT$3&lt;=AO$7),ROUND(AO223*($AP$3+#REF!),-1),""))</f>
        <v/>
      </c>
      <c r="AQ223" s="503" t="s">
        <v>621</v>
      </c>
      <c r="AR223" s="503" t="str">
        <f>IF($G223="","",IF(AND($G223&gt;=30,$AT$3&lt;=AQ$7),ROUND(AQ223*($AP$3+#REF!),-1),""))</f>
        <v/>
      </c>
      <c r="AS223" s="503" t="s">
        <v>621</v>
      </c>
      <c r="AT223" s="503" t="str">
        <f>IF($G223="","",IF(AND($G223&gt;=30,$AT$3&lt;=AS$7),ROUND(AS223*($AP$3+#REF!),-1),""))</f>
        <v/>
      </c>
      <c r="AU223" s="503" t="s">
        <v>621</v>
      </c>
      <c r="AV223" s="503" t="str">
        <f>IF($G223="","",IF(AND($G223&gt;=30,$AT$3&lt;=AU$7),ROUND(AU223*($AP$3+#REF!),-1),""))</f>
        <v/>
      </c>
      <c r="AW223" s="503" t="s">
        <v>621</v>
      </c>
      <c r="AX223" s="503" t="str">
        <f>IF($G223="","",IF(AND($G223&gt;=30,$AT$3&lt;=AW$7),ROUND(AW223*($AP$3+#REF!),-1),""))</f>
        <v/>
      </c>
      <c r="AY223" s="503" t="s">
        <v>621</v>
      </c>
      <c r="AZ223" s="503" t="str">
        <f>IF($G223="","",IF(AND($G223&gt;=30,$AT$3&lt;=AY$7),ROUND(AY223*($AP$3+#REF!),-1),""))</f>
        <v/>
      </c>
      <c r="BA223" s="503" t="s">
        <v>621</v>
      </c>
      <c r="BB223" s="503" t="str">
        <f>IF($G223="","",IF(AND($G223&gt;=30,$AT$3&lt;=BA$7),ROUND(BA223*($AP$3+#REF!),-1),""))</f>
        <v/>
      </c>
      <c r="BC223" s="503" t="s">
        <v>621</v>
      </c>
      <c r="BD223" s="503" t="str">
        <f>IF($G223="","",IF(AND($G223&gt;=30,$AT$3&lt;=BC$7),ROUND(BC223*($AP$3+#REF!),-1),""))</f>
        <v/>
      </c>
      <c r="BE223" s="503" t="s">
        <v>621</v>
      </c>
      <c r="BF223" s="503" t="str">
        <f>IF($G223="","",IF(AND($G223&gt;=30,$AT$3&lt;=BE$7),ROUND(BE223*($AP$3+#REF!),-1),""))</f>
        <v/>
      </c>
      <c r="BG223" s="503" t="s">
        <v>621</v>
      </c>
      <c r="BH223" s="503" t="str">
        <f>IF($G223="","",IF(AND($G223&gt;=30,$AT$3&lt;=BG$7),ROUND(BG223*($AP$3+#REF!),-1),""))</f>
        <v/>
      </c>
      <c r="BI223" s="503" t="s">
        <v>621</v>
      </c>
      <c r="BJ223" s="503" t="str">
        <f>IF($G223="","",IF(AND($G223&gt;=30,$AT$3&lt;=BI$7),ROUND(BI223*($AP$3+#REF!),-1),""))</f>
        <v/>
      </c>
      <c r="BK223" s="503" t="s">
        <v>621</v>
      </c>
      <c r="BL223" s="503" t="str">
        <f>IF($G223="","",IF(AND($G223&gt;=30,$AT$3&lt;=BK$7),ROUND(BK223*($AP$3+#REF!),-1),""))</f>
        <v/>
      </c>
      <c r="BM223" s="503" t="s">
        <v>621</v>
      </c>
      <c r="BN223" s="503" t="str">
        <f>IF($G223="","",IF(AND($G223&gt;=30,$AT$3&lt;=BM$7),ROUND(BM223*($AP$3+#REF!),-1),""))</f>
        <v/>
      </c>
      <c r="BO223" s="517" t="e">
        <v>#REF!</v>
      </c>
      <c r="BP223" s="503" t="str">
        <f>IF($G223="","",IF(AND($G223&gt;=30,$AT$3&lt;=BO$7),ROUND(BO223*($AP$3+#REF!),-1),""))</f>
        <v/>
      </c>
      <c r="BQ223" s="503"/>
      <c r="BR223" s="503" t="str">
        <f>IF($G223="","",IF(AND($G223&gt;=30,$AT$3&lt;=BQ$7),ROUND(BQ223*($AP$3+#REF!),-1),""))</f>
        <v/>
      </c>
      <c r="BS223" s="502"/>
      <c r="BT223" s="503" t="str">
        <f>IF($G223="","",IF(AND($G223&gt;=30,$AT$3&lt;=BS$7),ROUND(BS223*($AP$3+#REF!),-1),""))</f>
        <v/>
      </c>
      <c r="BU223" s="503"/>
      <c r="BV223" s="503" t="str">
        <f>IF($G223="","",IF(AND($G223&gt;=30,$AT$3&lt;=BU$7),ROUND(BU223*($AP$3+#REF!),-1),""))</f>
        <v/>
      </c>
      <c r="BW223" s="502"/>
      <c r="BX223" s="503" t="str">
        <f>IF($G223="","",IF(AND($G223&gt;=30,$AT$3&lt;=BW$7),ROUND(BW223*($AP$3+#REF!),-1),""))</f>
        <v/>
      </c>
      <c r="BY223" s="503"/>
      <c r="BZ223" s="503" t="str">
        <f>IF($G223="","",IF(AND($G223&gt;=30,$AT$3&lt;=BY$7),ROUND(BY223*($AP$3+#REF!),-1),""))</f>
        <v/>
      </c>
      <c r="CA223" s="502"/>
      <c r="CB223" s="503" t="str">
        <f>IF($G223="","",IF(AND($G223&gt;=30,$AT$3&lt;=CA$7),ROUND(CA223*($AP$3+#REF!),-1),""))</f>
        <v/>
      </c>
      <c r="CC223" s="503"/>
      <c r="CD223" s="503" t="str">
        <f>IF($G223="","",IF(AND($G223&gt;=30,$AT$3&lt;=CC$7),ROUND(CC223*($AP$3+#REF!),-1),""))</f>
        <v/>
      </c>
      <c r="CE223" s="502"/>
      <c r="CF223" s="503" t="str">
        <f>IF($G223="","",IF(AND($G223&gt;=30,$AT$3&lt;=CE$7),ROUND(CE223*($AP$3+#REF!),-1),""))</f>
        <v/>
      </c>
      <c r="CG223" s="503"/>
      <c r="CH223" s="503" t="str">
        <f>IF($G223="","",IF(AND($G223&gt;=30,$AT$3&lt;=CG$7),ROUND(CG223*($AP$3+#REF!),-1),""))</f>
        <v/>
      </c>
      <c r="CI223" s="502"/>
      <c r="CJ223" s="503" t="str">
        <f>IF($G223="","",IF(AND($G223&gt;=30,$AT$3&lt;=CI$7),ROUND(CI223*($AP$3+#REF!),-1),""))</f>
        <v/>
      </c>
      <c r="CK223" s="503"/>
      <c r="CL223" s="503" t="str">
        <f>IF($G223="","",IF(AND($G223&gt;=30,$AT$3&lt;=CK$7),ROUND(CK223*($AP$3+#REF!),-1),""))</f>
        <v/>
      </c>
      <c r="CM223" s="502"/>
      <c r="CN223" s="503" t="str">
        <f>IF($G223="","",IF(AND($G223&gt;=30,$AT$3&lt;=CM$7),ROUND(CM223*($AP$3+#REF!),-1),""))</f>
        <v/>
      </c>
      <c r="CO223" s="503"/>
      <c r="CP223" s="503" t="str">
        <f>IF($G223="","",IF(AND($G223&gt;=30,$AT$3&lt;=CO$7),ROUND(CO223*($AP$3+#REF!),-1),""))</f>
        <v/>
      </c>
      <c r="CQ223" s="502"/>
      <c r="CR223" s="503" t="str">
        <f>IF($G223="","",IF(AND($G223&gt;=30,$AT$3&lt;=CQ$7),ROUND(CQ223*($AP$3+#REF!),-1),""))</f>
        <v/>
      </c>
      <c r="CS223" s="503"/>
      <c r="CT223" s="503" t="str">
        <f>IF($G223="","",IF(AND($G223&gt;=30,$AT$3&lt;=CS$7),ROUND(CS223*($AP$3+#REF!),-1),""))</f>
        <v/>
      </c>
      <c r="CU223" s="502"/>
      <c r="CV223" s="503" t="str">
        <f>IF($G223="","",IF(AND($G223&gt;=30,$AT$3&lt;=CU$7),ROUND(CU223*($AP$3+#REF!),-1),""))</f>
        <v/>
      </c>
      <c r="CW223" s="503"/>
      <c r="CX223" s="503" t="str">
        <f>IF($G223="","",IF(AND($G223&gt;=30,$AT$3&lt;=CW$7),ROUND(CW223*($AP$3+#REF!),-1),""))</f>
        <v/>
      </c>
      <c r="CY223" s="502"/>
      <c r="CZ223" s="503" t="str">
        <f>IF($G223="","",IF(AND($G223&gt;=30,$AT$3&lt;=CY$7),ROUND(CY223*($AP$3+#REF!),-1),""))</f>
        <v/>
      </c>
      <c r="DA223" s="503"/>
      <c r="DB223" s="503" t="str">
        <f>IF($G223="","",IF(AND($G223&gt;=30,$AT$3&lt;=DA$7),ROUND(DA223*($AP$3+#REF!),-1),""))</f>
        <v/>
      </c>
      <c r="DC223" s="502"/>
      <c r="DD223" s="503" t="str">
        <f>IF($G223="","",IF(AND($G223&gt;=30,$AT$3&lt;=DC$7),ROUND(DC223*($AP$3+#REF!),-1),""))</f>
        <v/>
      </c>
      <c r="DE223" s="503"/>
      <c r="DF223" s="503" t="str">
        <f>IF($G223="","",IF(AND($G223&gt;=30,$AT$3&lt;=DE$7),ROUND(DE223*($AP$3+#REF!),-1),""))</f>
        <v/>
      </c>
      <c r="DG223" s="503"/>
      <c r="DH223" s="503" t="str">
        <f>IF($G223="","",IF(AND($G223&gt;=30,$AT$3&lt;=DG$7),ROUND(DG223*($AP$3+#REF!),-1),""))</f>
        <v/>
      </c>
      <c r="DI223" s="503"/>
      <c r="DJ223" s="503" t="str">
        <f>IF($G223="","",IF(AND($G223&gt;=30,$AT$3&lt;=DI$7),ROUND(DI223*($AP$3+#REF!),-1),""))</f>
        <v/>
      </c>
      <c r="DK223" s="503"/>
      <c r="DL223" s="503" t="str">
        <f>IF($G223="","",IF(AND($G223&gt;=30,$AT$3&lt;=DK$7),ROUND(DK223*($AP$3+#REF!),-1),""))</f>
        <v/>
      </c>
      <c r="DM223" s="503"/>
      <c r="DN223" s="503" t="str">
        <f>IF($G223="","",IF(AND($G223&gt;=30,$AT$3&lt;=DM$7),ROUND(DM223*($AP$3+#REF!),-1),""))</f>
        <v/>
      </c>
      <c r="DO223" s="503"/>
      <c r="DP223" s="503" t="str">
        <f>IF($G223="","",IF(AND($G223&gt;=30,$AT$3&lt;=DO$7),ROUND(DO223*($AP$3+#REF!),-1),""))</f>
        <v/>
      </c>
      <c r="DQ223" s="503"/>
      <c r="DR223" s="503" t="str">
        <f>IF($G223="","",IF(AND($G223&gt;=30,$AT$3&lt;=DQ$7),ROUND(DQ223*($AP$3+#REF!),-1),""))</f>
        <v/>
      </c>
      <c r="DS223" s="503"/>
      <c r="DT223" s="503" t="str">
        <f>IF($G223="","",IF(AND($G223&gt;=30,$AT$3&lt;=DS$7),ROUND(DS223*($AP$3+#REF!),-1),""))</f>
        <v/>
      </c>
      <c r="DU223" s="503"/>
      <c r="DV223" s="503" t="str">
        <f>IF($G223="","",IF(AND($G223&gt;=30,$AT$3&lt;=DU$7),ROUND(DU223*($AP$3+#REF!),-1),""))</f>
        <v/>
      </c>
      <c r="DW223" s="503"/>
      <c r="DX223" s="503" t="str">
        <f>IF($G223="","",IF(AND($G223&gt;=30,$AT$3&lt;=DW$7),ROUND(DW223*($AP$3+#REF!),-1),""))</f>
        <v/>
      </c>
      <c r="DY223" s="503"/>
      <c r="DZ223" s="503" t="str">
        <f>IF($G223="","",IF(AND($G223&gt;=30,$AT$3&lt;=DY$7),ROUND(DY223*($AP$3+#REF!),-1),""))</f>
        <v/>
      </c>
      <c r="EA223" s="503"/>
      <c r="EB223" s="503" t="str">
        <f>IF($G223="","",IF(AND($G223&gt;=30,$AT$3&lt;=EA$7),ROUND(EA223*($AP$3+#REF!),-1),""))</f>
        <v/>
      </c>
      <c r="EC223" s="504" t="s">
        <v>621</v>
      </c>
      <c r="ED223" s="1124"/>
      <c r="EE223" s="325">
        <v>11</v>
      </c>
    </row>
    <row r="224" spans="1:135" ht="9.75" customHeight="1">
      <c r="A224" s="321" t="str">
        <f t="shared" si="54"/>
        <v/>
      </c>
      <c r="B224" s="567">
        <f>(ii!$D$13*12+V224)+1</f>
        <v>118</v>
      </c>
      <c r="C224" s="337">
        <f t="shared" si="58"/>
        <v>48944</v>
      </c>
      <c r="D224" s="484">
        <f t="shared" si="61"/>
        <v>2033</v>
      </c>
      <c r="E224" s="484">
        <f t="shared" si="59"/>
        <v>1</v>
      </c>
      <c r="F224" s="484">
        <f t="shared" si="62"/>
        <v>2034</v>
      </c>
      <c r="G224" s="485" t="str">
        <f>IF(OR(C224&lt;$I$2,C224&gt;$J$3),"",(ii!$D$13*12+V224+1)/12)</f>
        <v/>
      </c>
      <c r="H224" s="486"/>
      <c r="I224" s="486"/>
      <c r="J224" s="487"/>
      <c r="K224" s="488"/>
      <c r="L224" s="548"/>
      <c r="M224" s="489" t="str">
        <f t="shared" si="63"/>
        <v/>
      </c>
      <c r="N224" s="490" t="s">
        <v>621</v>
      </c>
      <c r="O224" s="490" t="str">
        <f t="shared" si="56"/>
        <v/>
      </c>
      <c r="P224" s="491"/>
      <c r="Q224" s="491"/>
      <c r="R224" s="491" t="str">
        <f t="shared" si="57"/>
        <v/>
      </c>
      <c r="S224" s="528" t="str">
        <f t="shared" si="55"/>
        <v/>
      </c>
      <c r="T224" s="528" t="str">
        <f t="shared" si="53"/>
        <v/>
      </c>
      <c r="U224" s="493" t="str">
        <f>IF(H224="","",#REF!*12+#REF!+#REF!*12+#REF!)</f>
        <v/>
      </c>
      <c r="V224" s="338">
        <f>IF(ii!$J$3&gt;gg!C224,"",IF(AND((YEAR(C224)=YEAR($I$2)),MONTH(C224)=MONTH($I$2)),ii!$B$14*12+ii!$C$14+ii!$B$15*12+ii!$C$15-1,V223+1))</f>
        <v>117</v>
      </c>
      <c r="W224" s="339">
        <f t="shared" si="60"/>
        <v>9.75</v>
      </c>
      <c r="X224" s="494" t="s">
        <v>621</v>
      </c>
      <c r="Y224" s="495" t="s">
        <v>621</v>
      </c>
      <c r="Z224" s="496"/>
      <c r="AA224" s="497"/>
      <c r="AB224" s="498" t="e">
        <f t="shared" si="66"/>
        <v>#VALUE!</v>
      </c>
      <c r="AC224" s="484" t="str">
        <f t="shared" si="64"/>
        <v/>
      </c>
      <c r="AD224" s="495" t="str">
        <f t="shared" si="65"/>
        <v/>
      </c>
      <c r="AE224" s="499" t="s">
        <v>621</v>
      </c>
      <c r="AF224" s="500" t="s">
        <v>621</v>
      </c>
      <c r="AG224" s="556" t="s">
        <v>621</v>
      </c>
      <c r="AH224" s="503" t="str">
        <f>IF($G224="","",IF(AND($G224&gt;=30,$AT$3&lt;=AG$7),ROUND(AG224*($AP$3+#REF!),-1),""))</f>
        <v/>
      </c>
      <c r="AI224" s="506" t="s">
        <v>621</v>
      </c>
      <c r="AJ224" s="503" t="str">
        <f>IF($G224="","",IF(AND($G224&gt;=30,$AT$3&lt;=AI$7),ROUND(AI224*($AP$3+#REF!),-1),""))</f>
        <v/>
      </c>
      <c r="AK224" s="506" t="s">
        <v>621</v>
      </c>
      <c r="AL224" s="503" t="str">
        <f>IF($G224="","",IF(AND($G224&gt;=30,$AT$3&lt;=AK$7),ROUND(AK224*($AP$3+#REF!),-1),""))</f>
        <v/>
      </c>
      <c r="AM224" s="506" t="s">
        <v>621</v>
      </c>
      <c r="AN224" s="503" t="str">
        <f>IF($G224="","",IF(AND($G224&gt;=30,$AT$3&lt;=AM$7),ROUND(AM224*($AP$3+#REF!),-1),""))</f>
        <v/>
      </c>
      <c r="AO224" s="503" t="e">
        <v>#REF!</v>
      </c>
      <c r="AP224" s="503" t="str">
        <f>IF($G224="","",IF(AND($G224&gt;=30,$AT$3&lt;=AO$7),ROUND(AO224*($AP$3+#REF!),-1),""))</f>
        <v/>
      </c>
      <c r="AQ224" s="503" t="s">
        <v>621</v>
      </c>
      <c r="AR224" s="503" t="str">
        <f>IF($G224="","",IF(AND($G224&gt;=30,$AT$3&lt;=AQ$7),ROUND(AQ224*($AP$3+#REF!),-1),""))</f>
        <v/>
      </c>
      <c r="AS224" s="503" t="s">
        <v>621</v>
      </c>
      <c r="AT224" s="503" t="str">
        <f>IF($G224="","",IF(AND($G224&gt;=30,$AT$3&lt;=AS$7),ROUND(AS224*($AP$3+#REF!),-1),""))</f>
        <v/>
      </c>
      <c r="AU224" s="503" t="s">
        <v>621</v>
      </c>
      <c r="AV224" s="503" t="str">
        <f>IF($G224="","",IF(AND($G224&gt;=30,$AT$3&lt;=AU$7),ROUND(AU224*($AP$3+#REF!),-1),""))</f>
        <v/>
      </c>
      <c r="AW224" s="503" t="s">
        <v>621</v>
      </c>
      <c r="AX224" s="503" t="str">
        <f>IF($G224="","",IF(AND($G224&gt;=30,$AT$3&lt;=AW$7),ROUND(AW224*($AP$3+#REF!),-1),""))</f>
        <v/>
      </c>
      <c r="AY224" s="503" t="s">
        <v>621</v>
      </c>
      <c r="AZ224" s="503" t="str">
        <f>IF($G224="","",IF(AND($G224&gt;=30,$AT$3&lt;=AY$7),ROUND(AY224*($AP$3+#REF!),-1),""))</f>
        <v/>
      </c>
      <c r="BA224" s="503" t="s">
        <v>621</v>
      </c>
      <c r="BB224" s="503" t="str">
        <f>IF($G224="","",IF(AND($G224&gt;=30,$AT$3&lt;=BA$7),ROUND(BA224*($AP$3+#REF!),-1),""))</f>
        <v/>
      </c>
      <c r="BC224" s="503" t="s">
        <v>621</v>
      </c>
      <c r="BD224" s="503" t="str">
        <f>IF($G224="","",IF(AND($G224&gt;=30,$AT$3&lt;=BC$7),ROUND(BC224*($AP$3+#REF!),-1),""))</f>
        <v/>
      </c>
      <c r="BE224" s="503" t="s">
        <v>621</v>
      </c>
      <c r="BF224" s="503" t="str">
        <f>IF($G224="","",IF(AND($G224&gt;=30,$AT$3&lt;=BE$7),ROUND(BE224*($AP$3+#REF!),-1),""))</f>
        <v/>
      </c>
      <c r="BG224" s="503" t="s">
        <v>621</v>
      </c>
      <c r="BH224" s="503" t="str">
        <f>IF($G224="","",IF(AND($G224&gt;=30,$AT$3&lt;=BG$7),ROUND(BG224*($AP$3+#REF!),-1),""))</f>
        <v/>
      </c>
      <c r="BI224" s="503" t="s">
        <v>621</v>
      </c>
      <c r="BJ224" s="503" t="str">
        <f>IF($G224="","",IF(AND($G224&gt;=30,$AT$3&lt;=BI$7),ROUND(BI224*($AP$3+#REF!),-1),""))</f>
        <v/>
      </c>
      <c r="BK224" s="503" t="s">
        <v>621</v>
      </c>
      <c r="BL224" s="503" t="str">
        <f>IF($G224="","",IF(AND($G224&gt;=30,$AT$3&lt;=BK$7),ROUND(BK224*($AP$3+#REF!),-1),""))</f>
        <v/>
      </c>
      <c r="BM224" s="503" t="s">
        <v>621</v>
      </c>
      <c r="BN224" s="503" t="str">
        <f>IF($G224="","",IF(AND($G224&gt;=30,$AT$3&lt;=BM$7),ROUND(BM224*($AP$3+#REF!),-1),""))</f>
        <v/>
      </c>
      <c r="BO224" s="517" t="e">
        <v>#REF!</v>
      </c>
      <c r="BP224" s="503" t="str">
        <f>IF($G224="","",IF(AND($G224&gt;=30,$AT$3&lt;=BO$7),ROUND(BO224*($AP$3+#REF!),-1),""))</f>
        <v/>
      </c>
      <c r="BQ224" s="503"/>
      <c r="BR224" s="503" t="str">
        <f>IF($G224="","",IF(AND($G224&gt;=30,$AT$3&lt;=BQ$7),ROUND(BQ224*($AP$3+#REF!),-1),""))</f>
        <v/>
      </c>
      <c r="BS224" s="502"/>
      <c r="BT224" s="503" t="str">
        <f>IF($G224="","",IF(AND($G224&gt;=30,$AT$3&lt;=BS$7),ROUND(BS224*($AP$3+#REF!),-1),""))</f>
        <v/>
      </c>
      <c r="BU224" s="503"/>
      <c r="BV224" s="503" t="str">
        <f>IF($G224="","",IF(AND($G224&gt;=30,$AT$3&lt;=BU$7),ROUND(BU224*($AP$3+#REF!),-1),""))</f>
        <v/>
      </c>
      <c r="BW224" s="502"/>
      <c r="BX224" s="503" t="str">
        <f>IF($G224="","",IF(AND($G224&gt;=30,$AT$3&lt;=BW$7),ROUND(BW224*($AP$3+#REF!),-1),""))</f>
        <v/>
      </c>
      <c r="BY224" s="503"/>
      <c r="BZ224" s="503" t="str">
        <f>IF($G224="","",IF(AND($G224&gt;=30,$AT$3&lt;=BY$7),ROUND(BY224*($AP$3+#REF!),-1),""))</f>
        <v/>
      </c>
      <c r="CA224" s="502"/>
      <c r="CB224" s="503" t="str">
        <f>IF($G224="","",IF(AND($G224&gt;=30,$AT$3&lt;=CA$7),ROUND(CA224*($AP$3+#REF!),-1),""))</f>
        <v/>
      </c>
      <c r="CC224" s="503"/>
      <c r="CD224" s="503" t="str">
        <f>IF($G224="","",IF(AND($G224&gt;=30,$AT$3&lt;=CC$7),ROUND(CC224*($AP$3+#REF!),-1),""))</f>
        <v/>
      </c>
      <c r="CE224" s="502"/>
      <c r="CF224" s="503" t="str">
        <f>IF($G224="","",IF(AND($G224&gt;=30,$AT$3&lt;=CE$7),ROUND(CE224*($AP$3+#REF!),-1),""))</f>
        <v/>
      </c>
      <c r="CG224" s="503"/>
      <c r="CH224" s="503" t="str">
        <f>IF($G224="","",IF(AND($G224&gt;=30,$AT$3&lt;=CG$7),ROUND(CG224*($AP$3+#REF!),-1),""))</f>
        <v/>
      </c>
      <c r="CI224" s="502"/>
      <c r="CJ224" s="503" t="str">
        <f>IF($G224="","",IF(AND($G224&gt;=30,$AT$3&lt;=CI$7),ROUND(CI224*($AP$3+#REF!),-1),""))</f>
        <v/>
      </c>
      <c r="CK224" s="503"/>
      <c r="CL224" s="503" t="str">
        <f>IF($G224="","",IF(AND($G224&gt;=30,$AT$3&lt;=CK$7),ROUND(CK224*($AP$3+#REF!),-1),""))</f>
        <v/>
      </c>
      <c r="CM224" s="502"/>
      <c r="CN224" s="503" t="str">
        <f>IF($G224="","",IF(AND($G224&gt;=30,$AT$3&lt;=CM$7),ROUND(CM224*($AP$3+#REF!),-1),""))</f>
        <v/>
      </c>
      <c r="CO224" s="503"/>
      <c r="CP224" s="503" t="str">
        <f>IF($G224="","",IF(AND($G224&gt;=30,$AT$3&lt;=CO$7),ROUND(CO224*($AP$3+#REF!),-1),""))</f>
        <v/>
      </c>
      <c r="CQ224" s="502"/>
      <c r="CR224" s="503" t="str">
        <f>IF($G224="","",IF(AND($G224&gt;=30,$AT$3&lt;=CQ$7),ROUND(CQ224*($AP$3+#REF!),-1),""))</f>
        <v/>
      </c>
      <c r="CS224" s="503"/>
      <c r="CT224" s="503" t="str">
        <f>IF($G224="","",IF(AND($G224&gt;=30,$AT$3&lt;=CS$7),ROUND(CS224*($AP$3+#REF!),-1),""))</f>
        <v/>
      </c>
      <c r="CU224" s="502"/>
      <c r="CV224" s="503" t="str">
        <f>IF($G224="","",IF(AND($G224&gt;=30,$AT$3&lt;=CU$7),ROUND(CU224*($AP$3+#REF!),-1),""))</f>
        <v/>
      </c>
      <c r="CW224" s="503"/>
      <c r="CX224" s="503" t="str">
        <f>IF($G224="","",IF(AND($G224&gt;=30,$AT$3&lt;=CW$7),ROUND(CW224*($AP$3+#REF!),-1),""))</f>
        <v/>
      </c>
      <c r="CY224" s="502"/>
      <c r="CZ224" s="503" t="str">
        <f>IF($G224="","",IF(AND($G224&gt;=30,$AT$3&lt;=CY$7),ROUND(CY224*($AP$3+#REF!),-1),""))</f>
        <v/>
      </c>
      <c r="DA224" s="503"/>
      <c r="DB224" s="503" t="str">
        <f>IF($G224="","",IF(AND($G224&gt;=30,$AT$3&lt;=DA$7),ROUND(DA224*($AP$3+#REF!),-1),""))</f>
        <v/>
      </c>
      <c r="DC224" s="502"/>
      <c r="DD224" s="503" t="str">
        <f>IF($G224="","",IF(AND($G224&gt;=30,$AT$3&lt;=DC$7),ROUND(DC224*($AP$3+#REF!),-1),""))</f>
        <v/>
      </c>
      <c r="DE224" s="503"/>
      <c r="DF224" s="503" t="str">
        <f>IF($G224="","",IF(AND($G224&gt;=30,$AT$3&lt;=DE$7),ROUND(DE224*($AP$3+#REF!),-1),""))</f>
        <v/>
      </c>
      <c r="DG224" s="503"/>
      <c r="DH224" s="503" t="str">
        <f>IF($G224="","",IF(AND($G224&gt;=30,$AT$3&lt;=DG$7),ROUND(DG224*($AP$3+#REF!),-1),""))</f>
        <v/>
      </c>
      <c r="DI224" s="503"/>
      <c r="DJ224" s="503" t="str">
        <f>IF($G224="","",IF(AND($G224&gt;=30,$AT$3&lt;=DI$7),ROUND(DI224*($AP$3+#REF!),-1),""))</f>
        <v/>
      </c>
      <c r="DK224" s="503"/>
      <c r="DL224" s="503" t="str">
        <f>IF($G224="","",IF(AND($G224&gt;=30,$AT$3&lt;=DK$7),ROUND(DK224*($AP$3+#REF!),-1),""))</f>
        <v/>
      </c>
      <c r="DM224" s="503"/>
      <c r="DN224" s="503" t="str">
        <f>IF($G224="","",IF(AND($G224&gt;=30,$AT$3&lt;=DM$7),ROUND(DM224*($AP$3+#REF!),-1),""))</f>
        <v/>
      </c>
      <c r="DO224" s="503"/>
      <c r="DP224" s="503" t="str">
        <f>IF($G224="","",IF(AND($G224&gt;=30,$AT$3&lt;=DO$7),ROUND(DO224*($AP$3+#REF!),-1),""))</f>
        <v/>
      </c>
      <c r="DQ224" s="503"/>
      <c r="DR224" s="503" t="str">
        <f>IF($G224="","",IF(AND($G224&gt;=30,$AT$3&lt;=DQ$7),ROUND(DQ224*($AP$3+#REF!),-1),""))</f>
        <v/>
      </c>
      <c r="DS224" s="503"/>
      <c r="DT224" s="503" t="str">
        <f>IF($G224="","",IF(AND($G224&gt;=30,$AT$3&lt;=DS$7),ROUND(DS224*($AP$3+#REF!),-1),""))</f>
        <v/>
      </c>
      <c r="DU224" s="503"/>
      <c r="DV224" s="503" t="str">
        <f>IF($G224="","",IF(AND($G224&gt;=30,$AT$3&lt;=DU$7),ROUND(DU224*($AP$3+#REF!),-1),""))</f>
        <v/>
      </c>
      <c r="DW224" s="503"/>
      <c r="DX224" s="503" t="str">
        <f>IF($G224="","",IF(AND($G224&gt;=30,$AT$3&lt;=DW$7),ROUND(DW224*($AP$3+#REF!),-1),""))</f>
        <v/>
      </c>
      <c r="DY224" s="503"/>
      <c r="DZ224" s="503" t="str">
        <f>IF($G224="","",IF(AND($G224&gt;=30,$AT$3&lt;=DY$7),ROUND(DY224*($AP$3+#REF!),-1),""))</f>
        <v/>
      </c>
      <c r="EA224" s="503"/>
      <c r="EB224" s="503" t="str">
        <f>IF($G224="","",IF(AND($G224&gt;=30,$AT$3&lt;=EA$7),ROUND(EA224*($AP$3+#REF!),-1),""))</f>
        <v/>
      </c>
      <c r="EC224" s="504" t="s">
        <v>621</v>
      </c>
      <c r="ED224" s="1125"/>
      <c r="EE224" s="325">
        <v>12</v>
      </c>
    </row>
    <row r="225" spans="1:135" ht="9.75" customHeight="1">
      <c r="A225" s="321" t="str">
        <f t="shared" si="54"/>
        <v/>
      </c>
      <c r="B225" s="567">
        <f>(ii!$D$13*12+V225)+1</f>
        <v>119</v>
      </c>
      <c r="C225" s="345">
        <f t="shared" si="58"/>
        <v>48975</v>
      </c>
      <c r="D225" s="340">
        <f t="shared" si="61"/>
        <v>2034</v>
      </c>
      <c r="E225" s="340">
        <f t="shared" si="59"/>
        <v>8.3333333333333329E-2</v>
      </c>
      <c r="F225" s="340">
        <f t="shared" si="62"/>
        <v>2034.0833333333333</v>
      </c>
      <c r="G225" s="531" t="str">
        <f>IF(OR(C225&lt;$I$2,C225&gt;$J$3),"",(ii!$D$13*12+V225+1)/12)</f>
        <v/>
      </c>
      <c r="H225" s="532"/>
      <c r="I225" s="532"/>
      <c r="J225" s="533"/>
      <c r="K225" s="553"/>
      <c r="L225" s="534"/>
      <c r="M225" s="489" t="str">
        <f t="shared" si="63"/>
        <v/>
      </c>
      <c r="N225" s="536" t="s">
        <v>621</v>
      </c>
      <c r="O225" s="490" t="str">
        <f t="shared" si="56"/>
        <v/>
      </c>
      <c r="P225" s="537"/>
      <c r="Q225" s="537"/>
      <c r="R225" s="533" t="str">
        <f t="shared" si="57"/>
        <v/>
      </c>
      <c r="S225" s="538" t="str">
        <f t="shared" si="55"/>
        <v/>
      </c>
      <c r="T225" s="538" t="str">
        <f t="shared" si="53"/>
        <v/>
      </c>
      <c r="U225" s="539" t="str">
        <f>IF(H225="","",#REF!*12+#REF!+#REF!*12+#REF!)</f>
        <v/>
      </c>
      <c r="V225" s="338">
        <f>IF(ii!$J$3&gt;gg!C225,"",IF(AND((YEAR(C225)=YEAR($I$2)),MONTH(C225)=MONTH($I$2)),ii!$B$14*12+ii!$C$14+ii!$B$15*12+ii!$C$15-1,V224+1))</f>
        <v>118</v>
      </c>
      <c r="W225" s="339">
        <f t="shared" si="60"/>
        <v>9.8333333333333339</v>
      </c>
      <c r="X225" s="540" t="s">
        <v>621</v>
      </c>
      <c r="Y225" s="538" t="s">
        <v>621</v>
      </c>
      <c r="Z225" s="541">
        <f>Z213+$Z$26</f>
        <v>0.4800000000000002</v>
      </c>
      <c r="AA225" s="542" t="str">
        <f>IF(Y225="","",(Y225-Y224)/Y224)</f>
        <v/>
      </c>
      <c r="AB225" s="543" t="e">
        <f t="shared" si="66"/>
        <v>#VALUE!</v>
      </c>
      <c r="AC225" s="544" t="str">
        <f t="shared" si="64"/>
        <v/>
      </c>
      <c r="AD225" s="538" t="str">
        <f t="shared" si="65"/>
        <v/>
      </c>
      <c r="AE225" s="545" t="s">
        <v>621</v>
      </c>
      <c r="AF225" s="546" t="s">
        <v>621</v>
      </c>
      <c r="AG225" s="558" t="s">
        <v>621</v>
      </c>
      <c r="AH225" s="547" t="str">
        <f>IF($G225="","",IF(AND($G225&gt;=30,$AT$3&lt;=AG$7),ROUND(AG225*($AP$3+#REF!),-1),""))</f>
        <v/>
      </c>
      <c r="AI225" s="558" t="s">
        <v>621</v>
      </c>
      <c r="AJ225" s="547" t="str">
        <f>IF($G225="","",IF(AND($G225&gt;=30,$AT$3&lt;=AI$7),ROUND(AI225*($AP$3+#REF!),-1),""))</f>
        <v/>
      </c>
      <c r="AK225" s="560" t="s">
        <v>621</v>
      </c>
      <c r="AL225" s="547" t="str">
        <f>IF($G225="","",IF(AND($G225&gt;=30,$AT$3&lt;=AK$7),ROUND(AK225*($AP$3+#REF!),-1),""))</f>
        <v/>
      </c>
      <c r="AM225" s="560" t="s">
        <v>621</v>
      </c>
      <c r="AN225" s="547" t="str">
        <f>IF($G225="","",IF(AND($G225&gt;=30,$AT$3&lt;=AM$7),ROUND(AM225*($AP$3+#REF!),-1),""))</f>
        <v/>
      </c>
      <c r="AO225" s="547" t="e">
        <v>#REF!</v>
      </c>
      <c r="AP225" s="547" t="str">
        <f>IF($G225="","",IF(AND($G225&gt;=30,$AT$3&lt;=AO$7),ROUND(AO225*($AP$3+#REF!),-1),""))</f>
        <v/>
      </c>
      <c r="AQ225" s="547" t="s">
        <v>621</v>
      </c>
      <c r="AR225" s="547" t="str">
        <f>IF($G225="","",IF(AND($G225&gt;=30,$AT$3&lt;=AQ$7),ROUND(AQ225*($AP$3+#REF!),-1),""))</f>
        <v/>
      </c>
      <c r="AS225" s="547" t="s">
        <v>621</v>
      </c>
      <c r="AT225" s="547" t="str">
        <f>IF($G225="","",IF(AND($G225&gt;=30,$AT$3&lt;=AS$7),ROUND(AS225*($AP$3+#REF!),-1),""))</f>
        <v/>
      </c>
      <c r="AU225" s="547" t="s">
        <v>621</v>
      </c>
      <c r="AV225" s="547" t="str">
        <f>IF($G225="","",IF(AND($G225&gt;=30,$AT$3&lt;=AU$7),ROUND(AU225*($AP$3+#REF!),-1),""))</f>
        <v/>
      </c>
      <c r="AW225" s="547" t="s">
        <v>621</v>
      </c>
      <c r="AX225" s="547" t="str">
        <f>IF($G225="","",IF(AND($G225&gt;=30,$AT$3&lt;=AW$7),ROUND(AW225*($AP$3+#REF!),-1),""))</f>
        <v/>
      </c>
      <c r="AY225" s="547" t="s">
        <v>621</v>
      </c>
      <c r="AZ225" s="547" t="str">
        <f>IF($G225="","",IF(AND($G225&gt;=30,$AT$3&lt;=AY$7),ROUND(AY225*($AP$3+#REF!),-1),""))</f>
        <v/>
      </c>
      <c r="BA225" s="547" t="s">
        <v>621</v>
      </c>
      <c r="BB225" s="547" t="str">
        <f>IF($G225="","",IF(AND($G225&gt;=30,$AT$3&lt;=BA$7),ROUND(BA225*($AP$3+#REF!),-1),""))</f>
        <v/>
      </c>
      <c r="BC225" s="547" t="s">
        <v>621</v>
      </c>
      <c r="BD225" s="547" t="str">
        <f>IF($G225="","",IF(AND($G225&gt;=30,$AT$3&lt;=BC$7),ROUND(BC225*($AP$3+#REF!),-1),""))</f>
        <v/>
      </c>
      <c r="BE225" s="547" t="s">
        <v>621</v>
      </c>
      <c r="BF225" s="547" t="str">
        <f>IF($G225="","",IF(AND($G225&gt;=30,$AT$3&lt;=BE$7),ROUND(BE225*($AP$3+#REF!),-1),""))</f>
        <v/>
      </c>
      <c r="BG225" s="547" t="s">
        <v>621</v>
      </c>
      <c r="BH225" s="547" t="str">
        <f>IF($G225="","",IF(AND($G225&gt;=30,$AT$3&lt;=BG$7),ROUND(BG225*($AP$3+#REF!),-1),""))</f>
        <v/>
      </c>
      <c r="BI225" s="547" t="s">
        <v>621</v>
      </c>
      <c r="BJ225" s="547" t="str">
        <f>IF($G225="","",IF(AND($G225&gt;=30,$AT$3&lt;=BI$7),ROUND(BI225*($AP$3+#REF!),-1),""))</f>
        <v/>
      </c>
      <c r="BK225" s="547" t="s">
        <v>621</v>
      </c>
      <c r="BL225" s="547" t="str">
        <f>IF($G225="","",IF(AND($G225&gt;=30,$AT$3&lt;=BK$7),ROUND(BK225*($AP$3+#REF!),-1),""))</f>
        <v/>
      </c>
      <c r="BM225" s="547" t="s">
        <v>621</v>
      </c>
      <c r="BN225" s="547" t="str">
        <f>IF($G225="","",IF(AND($G225&gt;=30,$AT$3&lt;=BM$7),ROUND(BM225*($AP$3+#REF!),-1),""))</f>
        <v/>
      </c>
      <c r="BO225" s="547" t="s">
        <v>621</v>
      </c>
      <c r="BP225" s="547" t="str">
        <f>IF($G225="","",IF(AND($G225&gt;=30,$AT$3&lt;=BO$7),ROUND(BO225*($AP$3+#REF!),-1),""))</f>
        <v/>
      </c>
      <c r="BQ225" s="533" t="e">
        <v>#REF!</v>
      </c>
      <c r="BR225" s="547" t="str">
        <f>IF($G225="","",IF(AND($G225&gt;=30,$AT$3&lt;=BQ$7),ROUND(BQ225*($AP$3+#REF!),-1),""))</f>
        <v/>
      </c>
      <c r="BS225" s="547"/>
      <c r="BT225" s="547" t="str">
        <f>IF($G225="","",IF(AND($G225&gt;=30,$AT$3&lt;=BS$7),ROUND(BS225*($AP$3+#REF!),-1),""))</f>
        <v/>
      </c>
      <c r="BU225" s="547"/>
      <c r="BV225" s="547" t="str">
        <f>IF($G225="","",IF(AND($G225&gt;=30,$AT$3&lt;=BU$7),ROUND(BU225*($AP$3+#REF!),-1),""))</f>
        <v/>
      </c>
      <c r="BW225" s="547"/>
      <c r="BX225" s="547" t="str">
        <f>IF($G225="","",IF(AND($G225&gt;=30,$AT$3&lt;=BW$7),ROUND(BW225*($AP$3+#REF!),-1),""))</f>
        <v/>
      </c>
      <c r="BY225" s="547"/>
      <c r="BZ225" s="547" t="str">
        <f>IF($G225="","",IF(AND($G225&gt;=30,$AT$3&lt;=BY$7),ROUND(BY225*($AP$3+#REF!),-1),""))</f>
        <v/>
      </c>
      <c r="CA225" s="547"/>
      <c r="CB225" s="547" t="str">
        <f>IF($G225="","",IF(AND($G225&gt;=30,$AT$3&lt;=CA$7),ROUND(CA225*($AP$3+#REF!),-1),""))</f>
        <v/>
      </c>
      <c r="CC225" s="547"/>
      <c r="CD225" s="547" t="str">
        <f>IF($G225="","",IF(AND($G225&gt;=30,$AT$3&lt;=CC$7),ROUND(CC225*($AP$3+#REF!),-1),""))</f>
        <v/>
      </c>
      <c r="CE225" s="547"/>
      <c r="CF225" s="547" t="str">
        <f>IF($G225="","",IF(AND($G225&gt;=30,$AT$3&lt;=CE$7),ROUND(CE225*($AP$3+#REF!),-1),""))</f>
        <v/>
      </c>
      <c r="CG225" s="547"/>
      <c r="CH225" s="547" t="str">
        <f>IF($G225="","",IF(AND($G225&gt;=30,$AT$3&lt;=CG$7),ROUND(CG225*($AP$3+#REF!),-1),""))</f>
        <v/>
      </c>
      <c r="CI225" s="547"/>
      <c r="CJ225" s="547" t="str">
        <f>IF($G225="","",IF(AND($G225&gt;=30,$AT$3&lt;=CI$7),ROUND(CI225*($AP$3+#REF!),-1),""))</f>
        <v/>
      </c>
      <c r="CK225" s="547"/>
      <c r="CL225" s="547" t="str">
        <f>IF($G225="","",IF(AND($G225&gt;=30,$AT$3&lt;=CK$7),ROUND(CK225*($AP$3+#REF!),-1),""))</f>
        <v/>
      </c>
      <c r="CM225" s="547"/>
      <c r="CN225" s="547" t="str">
        <f>IF($G225="","",IF(AND($G225&gt;=30,$AT$3&lt;=CM$7),ROUND(CM225*($AP$3+#REF!),-1),""))</f>
        <v/>
      </c>
      <c r="CO225" s="547"/>
      <c r="CP225" s="547" t="str">
        <f>IF($G225="","",IF(AND($G225&gt;=30,$AT$3&lt;=CO$7),ROUND(CO225*($AP$3+#REF!),-1),""))</f>
        <v/>
      </c>
      <c r="CQ225" s="547"/>
      <c r="CR225" s="547" t="str">
        <f>IF($G225="","",IF(AND($G225&gt;=30,$AT$3&lt;=CQ$7),ROUND(CQ225*($AP$3+#REF!),-1),""))</f>
        <v/>
      </c>
      <c r="CS225" s="547"/>
      <c r="CT225" s="547" t="str">
        <f>IF($G225="","",IF(AND($G225&gt;=30,$AT$3&lt;=CS$7),ROUND(CS225*($AP$3+#REF!),-1),""))</f>
        <v/>
      </c>
      <c r="CU225" s="547"/>
      <c r="CV225" s="547" t="str">
        <f>IF($G225="","",IF(AND($G225&gt;=30,$AT$3&lt;=CU$7),ROUND(CU225*($AP$3+#REF!),-1),""))</f>
        <v/>
      </c>
      <c r="CW225" s="547"/>
      <c r="CX225" s="547" t="str">
        <f>IF($G225="","",IF(AND($G225&gt;=30,$AT$3&lt;=CW$7),ROUND(CW225*($AP$3+#REF!),-1),""))</f>
        <v/>
      </c>
      <c r="CY225" s="547"/>
      <c r="CZ225" s="547" t="str">
        <f>IF($G225="","",IF(AND($G225&gt;=30,$AT$3&lt;=CY$7),ROUND(CY225*($AP$3+#REF!),-1),""))</f>
        <v/>
      </c>
      <c r="DA225" s="547"/>
      <c r="DB225" s="547" t="str">
        <f>IF($G225="","",IF(AND($G225&gt;=30,$AT$3&lt;=DA$7),ROUND(DA225*($AP$3+#REF!),-1),""))</f>
        <v/>
      </c>
      <c r="DC225" s="547"/>
      <c r="DD225" s="547" t="str">
        <f>IF($G225="","",IF(AND($G225&gt;=30,$AT$3&lt;=DC$7),ROUND(DC225*($AP$3+#REF!),-1),""))</f>
        <v/>
      </c>
      <c r="DE225" s="547"/>
      <c r="DF225" s="547" t="str">
        <f>IF($G225="","",IF(AND($G225&gt;=30,$AT$3&lt;=DE$7),ROUND(DE225*($AP$3+#REF!),-1),""))</f>
        <v/>
      </c>
      <c r="DG225" s="547"/>
      <c r="DH225" s="547" t="str">
        <f>IF($G225="","",IF(AND($G225&gt;=30,$AT$3&lt;=DG$7),ROUND(DG225*($AP$3+#REF!),-1),""))</f>
        <v/>
      </c>
      <c r="DI225" s="547"/>
      <c r="DJ225" s="547" t="str">
        <f>IF($G225="","",IF(AND($G225&gt;=30,$AT$3&lt;=DI$7),ROUND(DI225*($AP$3+#REF!),-1),""))</f>
        <v/>
      </c>
      <c r="DK225" s="547"/>
      <c r="DL225" s="547" t="str">
        <f>IF($G225="","",IF(AND($G225&gt;=30,$AT$3&lt;=DK$7),ROUND(DK225*($AP$3+#REF!),-1),""))</f>
        <v/>
      </c>
      <c r="DM225" s="547"/>
      <c r="DN225" s="547" t="str">
        <f>IF($G225="","",IF(AND($G225&gt;=30,$AT$3&lt;=DM$7),ROUND(DM225*($AP$3+#REF!),-1),""))</f>
        <v/>
      </c>
      <c r="DO225" s="547"/>
      <c r="DP225" s="547" t="str">
        <f>IF($G225="","",IF(AND($G225&gt;=30,$AT$3&lt;=DO$7),ROUND(DO225*($AP$3+#REF!),-1),""))</f>
        <v/>
      </c>
      <c r="DQ225" s="547"/>
      <c r="DR225" s="547" t="str">
        <f>IF($G225="","",IF(AND($G225&gt;=30,$AT$3&lt;=DQ$7),ROUND(DQ225*($AP$3+#REF!),-1),""))</f>
        <v/>
      </c>
      <c r="DS225" s="547"/>
      <c r="DT225" s="547" t="str">
        <f>IF($G225="","",IF(AND($G225&gt;=30,$AT$3&lt;=DS$7),ROUND(DS225*($AP$3+#REF!),-1),""))</f>
        <v/>
      </c>
      <c r="DU225" s="547"/>
      <c r="DV225" s="547" t="str">
        <f>IF($G225="","",IF(AND($G225&gt;=30,$AT$3&lt;=DU$7),ROUND(DU225*($AP$3+#REF!),-1),""))</f>
        <v/>
      </c>
      <c r="DW225" s="547"/>
      <c r="DX225" s="547" t="str">
        <f>IF($G225="","",IF(AND($G225&gt;=30,$AT$3&lt;=DW$7),ROUND(DW225*($AP$3+#REF!),-1),""))</f>
        <v/>
      </c>
      <c r="DY225" s="547"/>
      <c r="DZ225" s="547" t="str">
        <f>IF($G225="","",IF(AND($G225&gt;=30,$AT$3&lt;=DY$7),ROUND(DY225*($AP$3+#REF!),-1),""))</f>
        <v/>
      </c>
      <c r="EA225" s="547"/>
      <c r="EB225" s="547" t="str">
        <f>IF($G225="","",IF(AND($G225&gt;=30,$AT$3&lt;=EA$7),ROUND(EA225*($AP$3+#REF!),-1),""))</f>
        <v/>
      </c>
      <c r="EC225" s="547" t="s">
        <v>621</v>
      </c>
      <c r="ED225" s="1123">
        <f>SUM(EC225:EC236)</f>
        <v>0</v>
      </c>
      <c r="EE225" s="325">
        <v>1</v>
      </c>
    </row>
    <row r="226" spans="1:135" ht="9.75" customHeight="1">
      <c r="A226" s="321" t="str">
        <f t="shared" si="54"/>
        <v/>
      </c>
      <c r="B226" s="567">
        <f>(ii!$D$13*12+V226)+1</f>
        <v>120</v>
      </c>
      <c r="C226" s="337">
        <f t="shared" si="58"/>
        <v>49003</v>
      </c>
      <c r="D226" s="484">
        <f t="shared" si="61"/>
        <v>2034</v>
      </c>
      <c r="E226" s="484">
        <f t="shared" si="59"/>
        <v>0.16666666666666666</v>
      </c>
      <c r="F226" s="484">
        <f t="shared" si="62"/>
        <v>2034.1666666666667</v>
      </c>
      <c r="G226" s="485" t="str">
        <f>IF(OR(C226&lt;$I$2,C226&gt;$J$3),"",(ii!$D$13*12+V226+1)/12)</f>
        <v/>
      </c>
      <c r="H226" s="486"/>
      <c r="I226" s="486"/>
      <c r="J226" s="487"/>
      <c r="K226" s="488"/>
      <c r="L226" s="548"/>
      <c r="M226" s="489" t="str">
        <f t="shared" si="63"/>
        <v/>
      </c>
      <c r="N226" s="490" t="s">
        <v>621</v>
      </c>
      <c r="O226" s="490" t="str">
        <f t="shared" si="56"/>
        <v/>
      </c>
      <c r="P226" s="491"/>
      <c r="Q226" s="491"/>
      <c r="R226" s="491" t="str">
        <f t="shared" si="57"/>
        <v/>
      </c>
      <c r="S226" s="528" t="str">
        <f t="shared" si="55"/>
        <v/>
      </c>
      <c r="T226" s="528" t="str">
        <f t="shared" si="53"/>
        <v/>
      </c>
      <c r="U226" s="493" t="str">
        <f>IF(H226="","",#REF!*12+#REF!+#REF!*12+#REF!)</f>
        <v/>
      </c>
      <c r="V226" s="338">
        <f>IF(ii!$J$3&gt;gg!C226,"",IF(AND((YEAR(C226)=YEAR($I$2)),MONTH(C226)=MONTH($I$2)),ii!$B$14*12+ii!$C$14+ii!$B$15*12+ii!$C$15-1,V225+1))</f>
        <v>119</v>
      </c>
      <c r="W226" s="339">
        <f t="shared" si="60"/>
        <v>9.9166666666666661</v>
      </c>
      <c r="X226" s="494" t="s">
        <v>621</v>
      </c>
      <c r="Y226" s="495" t="s">
        <v>621</v>
      </c>
      <c r="Z226" s="496"/>
      <c r="AA226" s="497"/>
      <c r="AB226" s="498" t="e">
        <f t="shared" si="66"/>
        <v>#VALUE!</v>
      </c>
      <c r="AC226" s="484" t="str">
        <f t="shared" si="64"/>
        <v/>
      </c>
      <c r="AD226" s="495" t="str">
        <f t="shared" si="65"/>
        <v/>
      </c>
      <c r="AE226" s="499" t="s">
        <v>621</v>
      </c>
      <c r="AF226" s="500" t="s">
        <v>621</v>
      </c>
      <c r="AG226" s="556" t="s">
        <v>621</v>
      </c>
      <c r="AH226" s="503" t="str">
        <f>IF($G226="","",IF(AND($G226&gt;=30,$AT$3&lt;=AG$7),ROUND(AG226*($AP$3+#REF!),-1),""))</f>
        <v/>
      </c>
      <c r="AI226" s="506" t="s">
        <v>621</v>
      </c>
      <c r="AJ226" s="503" t="str">
        <f>IF($G226="","",IF(AND($G226&gt;=30,$AT$3&lt;=AI$7),ROUND(AI226*($AP$3+#REF!),-1),""))</f>
        <v/>
      </c>
      <c r="AK226" s="506" t="s">
        <v>621</v>
      </c>
      <c r="AL226" s="503" t="str">
        <f>IF($G226="","",IF(AND($G226&gt;=30,$AT$3&lt;=AK$7),ROUND(AK226*($AP$3+#REF!),-1),""))</f>
        <v/>
      </c>
      <c r="AM226" s="506" t="s">
        <v>621</v>
      </c>
      <c r="AN226" s="503" t="str">
        <f>IF($G226="","",IF(AND($G226&gt;=30,$AT$3&lt;=AM$7),ROUND(AM226*($AP$3+#REF!),-1),""))</f>
        <v/>
      </c>
      <c r="AO226" s="503" t="e">
        <f>IF(AO225="","",AO225*1.001)</f>
        <v>#REF!</v>
      </c>
      <c r="AP226" s="503" t="str">
        <f>IF($G226="","",IF(AND($G226&gt;=30,$AT$3&lt;=AO$7),ROUND(AO226*($AP$3+#REF!),-1),""))</f>
        <v/>
      </c>
      <c r="AQ226" s="503" t="s">
        <v>621</v>
      </c>
      <c r="AR226" s="503" t="str">
        <f>IF($G226="","",IF(AND($G226&gt;=30,$AT$3&lt;=AQ$7),ROUND(AQ226*($AP$3+#REF!),-1),""))</f>
        <v/>
      </c>
      <c r="AS226" s="503" t="s">
        <v>621</v>
      </c>
      <c r="AT226" s="503" t="str">
        <f>IF($G226="","",IF(AND($G226&gt;=30,$AT$3&lt;=AS$7),ROUND(AS226*($AP$3+#REF!),-1),""))</f>
        <v/>
      </c>
      <c r="AU226" s="503" t="s">
        <v>621</v>
      </c>
      <c r="AV226" s="503" t="str">
        <f>IF($G226="","",IF(AND($G226&gt;=30,$AT$3&lt;=AU$7),ROUND(AU226*($AP$3+#REF!),-1),""))</f>
        <v/>
      </c>
      <c r="AW226" s="503" t="s">
        <v>621</v>
      </c>
      <c r="AX226" s="503" t="str">
        <f>IF($G226="","",IF(AND($G226&gt;=30,$AT$3&lt;=AW$7),ROUND(AW226*($AP$3+#REF!),-1),""))</f>
        <v/>
      </c>
      <c r="AY226" s="503" t="s">
        <v>621</v>
      </c>
      <c r="AZ226" s="503" t="str">
        <f>IF($G226="","",IF(AND($G226&gt;=30,$AT$3&lt;=AY$7),ROUND(AY226*($AP$3+#REF!),-1),""))</f>
        <v/>
      </c>
      <c r="BA226" s="503" t="s">
        <v>621</v>
      </c>
      <c r="BB226" s="503" t="str">
        <f>IF($G226="","",IF(AND($G226&gt;=30,$AT$3&lt;=BA$7),ROUND(BA226*($AP$3+#REF!),-1),""))</f>
        <v/>
      </c>
      <c r="BC226" s="503" t="s">
        <v>621</v>
      </c>
      <c r="BD226" s="503" t="str">
        <f>IF($G226="","",IF(AND($G226&gt;=30,$AT$3&lt;=BC$7),ROUND(BC226*($AP$3+#REF!),-1),""))</f>
        <v/>
      </c>
      <c r="BE226" s="503" t="s">
        <v>621</v>
      </c>
      <c r="BF226" s="503" t="str">
        <f>IF($G226="","",IF(AND($G226&gt;=30,$AT$3&lt;=BE$7),ROUND(BE226*($AP$3+#REF!),-1),""))</f>
        <v/>
      </c>
      <c r="BG226" s="503" t="s">
        <v>621</v>
      </c>
      <c r="BH226" s="503" t="str">
        <f>IF($G226="","",IF(AND($G226&gt;=30,$AT$3&lt;=BG$7),ROUND(BG226*($AP$3+#REF!),-1),""))</f>
        <v/>
      </c>
      <c r="BI226" s="503" t="s">
        <v>621</v>
      </c>
      <c r="BJ226" s="503" t="str">
        <f>IF($G226="","",IF(AND($G226&gt;=30,$AT$3&lt;=BI$7),ROUND(BI226*($AP$3+#REF!),-1),""))</f>
        <v/>
      </c>
      <c r="BK226" s="503" t="s">
        <v>621</v>
      </c>
      <c r="BL226" s="503" t="str">
        <f>IF($G226="","",IF(AND($G226&gt;=30,$AT$3&lt;=BK$7),ROUND(BK226*($AP$3+#REF!),-1),""))</f>
        <v/>
      </c>
      <c r="BM226" s="503" t="s">
        <v>621</v>
      </c>
      <c r="BN226" s="503" t="str">
        <f>IF($G226="","",IF(AND($G226&gt;=30,$AT$3&lt;=BM$7),ROUND(BM226*($AP$3+#REF!),-1),""))</f>
        <v/>
      </c>
      <c r="BO226" s="503" t="s">
        <v>621</v>
      </c>
      <c r="BP226" s="503" t="str">
        <f>IF($G226="","",IF(AND($G226&gt;=30,$AT$3&lt;=BO$7),ROUND(BO226*($AP$3+#REF!),-1),""))</f>
        <v/>
      </c>
      <c r="BQ226" s="517" t="e">
        <v>#REF!</v>
      </c>
      <c r="BR226" s="503" t="str">
        <f>IF($G226="","",IF(AND($G226&gt;=30,$AT$3&lt;=BQ$7),ROUND(BQ226*($AP$3+#REF!),-1),""))</f>
        <v/>
      </c>
      <c r="BS226" s="502"/>
      <c r="BT226" s="503" t="str">
        <f>IF($G226="","",IF(AND($G226&gt;=30,$AT$3&lt;=BS$7),ROUND(BS226*($AP$3+#REF!),-1),""))</f>
        <v/>
      </c>
      <c r="BU226" s="503"/>
      <c r="BV226" s="503" t="str">
        <f>IF($G226="","",IF(AND($G226&gt;=30,$AT$3&lt;=BU$7),ROUND(BU226*($AP$3+#REF!),-1),""))</f>
        <v/>
      </c>
      <c r="BW226" s="502"/>
      <c r="BX226" s="503" t="str">
        <f>IF($G226="","",IF(AND($G226&gt;=30,$AT$3&lt;=BW$7),ROUND(BW226*($AP$3+#REF!),-1),""))</f>
        <v/>
      </c>
      <c r="BY226" s="503"/>
      <c r="BZ226" s="503" t="str">
        <f>IF($G226="","",IF(AND($G226&gt;=30,$AT$3&lt;=BY$7),ROUND(BY226*($AP$3+#REF!),-1),""))</f>
        <v/>
      </c>
      <c r="CA226" s="502"/>
      <c r="CB226" s="503" t="str">
        <f>IF($G226="","",IF(AND($G226&gt;=30,$AT$3&lt;=CA$7),ROUND(CA226*($AP$3+#REF!),-1),""))</f>
        <v/>
      </c>
      <c r="CC226" s="503"/>
      <c r="CD226" s="503" t="str">
        <f>IF($G226="","",IF(AND($G226&gt;=30,$AT$3&lt;=CC$7),ROUND(CC226*($AP$3+#REF!),-1),""))</f>
        <v/>
      </c>
      <c r="CE226" s="502"/>
      <c r="CF226" s="503" t="str">
        <f>IF($G226="","",IF(AND($G226&gt;=30,$AT$3&lt;=CE$7),ROUND(CE226*($AP$3+#REF!),-1),""))</f>
        <v/>
      </c>
      <c r="CG226" s="503"/>
      <c r="CH226" s="503" t="str">
        <f>IF($G226="","",IF(AND($G226&gt;=30,$AT$3&lt;=CG$7),ROUND(CG226*($AP$3+#REF!),-1),""))</f>
        <v/>
      </c>
      <c r="CI226" s="502"/>
      <c r="CJ226" s="503" t="str">
        <f>IF($G226="","",IF(AND($G226&gt;=30,$AT$3&lt;=CI$7),ROUND(CI226*($AP$3+#REF!),-1),""))</f>
        <v/>
      </c>
      <c r="CK226" s="503"/>
      <c r="CL226" s="503" t="str">
        <f>IF($G226="","",IF(AND($G226&gt;=30,$AT$3&lt;=CK$7),ROUND(CK226*($AP$3+#REF!),-1),""))</f>
        <v/>
      </c>
      <c r="CM226" s="502"/>
      <c r="CN226" s="503" t="str">
        <f>IF($G226="","",IF(AND($G226&gt;=30,$AT$3&lt;=CM$7),ROUND(CM226*($AP$3+#REF!),-1),""))</f>
        <v/>
      </c>
      <c r="CO226" s="503"/>
      <c r="CP226" s="503" t="str">
        <f>IF($G226="","",IF(AND($G226&gt;=30,$AT$3&lt;=CO$7),ROUND(CO226*($AP$3+#REF!),-1),""))</f>
        <v/>
      </c>
      <c r="CQ226" s="502"/>
      <c r="CR226" s="503" t="str">
        <f>IF($G226="","",IF(AND($G226&gt;=30,$AT$3&lt;=CQ$7),ROUND(CQ226*($AP$3+#REF!),-1),""))</f>
        <v/>
      </c>
      <c r="CS226" s="503"/>
      <c r="CT226" s="503" t="str">
        <f>IF($G226="","",IF(AND($G226&gt;=30,$AT$3&lt;=CS$7),ROUND(CS226*($AP$3+#REF!),-1),""))</f>
        <v/>
      </c>
      <c r="CU226" s="502"/>
      <c r="CV226" s="503" t="str">
        <f>IF($G226="","",IF(AND($G226&gt;=30,$AT$3&lt;=CU$7),ROUND(CU226*($AP$3+#REF!),-1),""))</f>
        <v/>
      </c>
      <c r="CW226" s="503"/>
      <c r="CX226" s="503" t="str">
        <f>IF($G226="","",IF(AND($G226&gt;=30,$AT$3&lt;=CW$7),ROUND(CW226*($AP$3+#REF!),-1),""))</f>
        <v/>
      </c>
      <c r="CY226" s="502"/>
      <c r="CZ226" s="503" t="str">
        <f>IF($G226="","",IF(AND($G226&gt;=30,$AT$3&lt;=CY$7),ROUND(CY226*($AP$3+#REF!),-1),""))</f>
        <v/>
      </c>
      <c r="DA226" s="503"/>
      <c r="DB226" s="503" t="str">
        <f>IF($G226="","",IF(AND($G226&gt;=30,$AT$3&lt;=DA$7),ROUND(DA226*($AP$3+#REF!),-1),""))</f>
        <v/>
      </c>
      <c r="DC226" s="502"/>
      <c r="DD226" s="503" t="str">
        <f>IF($G226="","",IF(AND($G226&gt;=30,$AT$3&lt;=DC$7),ROUND(DC226*($AP$3+#REF!),-1),""))</f>
        <v/>
      </c>
      <c r="DE226" s="503"/>
      <c r="DF226" s="503" t="str">
        <f>IF($G226="","",IF(AND($G226&gt;=30,$AT$3&lt;=DE$7),ROUND(DE226*($AP$3+#REF!),-1),""))</f>
        <v/>
      </c>
      <c r="DG226" s="503"/>
      <c r="DH226" s="503" t="str">
        <f>IF($G226="","",IF(AND($G226&gt;=30,$AT$3&lt;=DG$7),ROUND(DG226*($AP$3+#REF!),-1),""))</f>
        <v/>
      </c>
      <c r="DI226" s="503"/>
      <c r="DJ226" s="503" t="str">
        <f>IF($G226="","",IF(AND($G226&gt;=30,$AT$3&lt;=DI$7),ROUND(DI226*($AP$3+#REF!),-1),""))</f>
        <v/>
      </c>
      <c r="DK226" s="503"/>
      <c r="DL226" s="503" t="str">
        <f>IF($G226="","",IF(AND($G226&gt;=30,$AT$3&lt;=DK$7),ROUND(DK226*($AP$3+#REF!),-1),""))</f>
        <v/>
      </c>
      <c r="DM226" s="503"/>
      <c r="DN226" s="503" t="str">
        <f>IF($G226="","",IF(AND($G226&gt;=30,$AT$3&lt;=DM$7),ROUND(DM226*($AP$3+#REF!),-1),""))</f>
        <v/>
      </c>
      <c r="DO226" s="503"/>
      <c r="DP226" s="503" t="str">
        <f>IF($G226="","",IF(AND($G226&gt;=30,$AT$3&lt;=DO$7),ROUND(DO226*($AP$3+#REF!),-1),""))</f>
        <v/>
      </c>
      <c r="DQ226" s="503"/>
      <c r="DR226" s="503" t="str">
        <f>IF($G226="","",IF(AND($G226&gt;=30,$AT$3&lt;=DQ$7),ROUND(DQ226*($AP$3+#REF!),-1),""))</f>
        <v/>
      </c>
      <c r="DS226" s="503"/>
      <c r="DT226" s="503" t="str">
        <f>IF($G226="","",IF(AND($G226&gt;=30,$AT$3&lt;=DS$7),ROUND(DS226*($AP$3+#REF!),-1),""))</f>
        <v/>
      </c>
      <c r="DU226" s="503"/>
      <c r="DV226" s="503" t="str">
        <f>IF($G226="","",IF(AND($G226&gt;=30,$AT$3&lt;=DU$7),ROUND(DU226*($AP$3+#REF!),-1),""))</f>
        <v/>
      </c>
      <c r="DW226" s="503"/>
      <c r="DX226" s="503" t="str">
        <f>IF($G226="","",IF(AND($G226&gt;=30,$AT$3&lt;=DW$7),ROUND(DW226*($AP$3+#REF!),-1),""))</f>
        <v/>
      </c>
      <c r="DY226" s="503"/>
      <c r="DZ226" s="503" t="str">
        <f>IF($G226="","",IF(AND($G226&gt;=30,$AT$3&lt;=DY$7),ROUND(DY226*($AP$3+#REF!),-1),""))</f>
        <v/>
      </c>
      <c r="EA226" s="503"/>
      <c r="EB226" s="503" t="str">
        <f>IF($G226="","",IF(AND($G226&gt;=30,$AT$3&lt;=EA$7),ROUND(EA226*($AP$3+#REF!),-1),""))</f>
        <v/>
      </c>
      <c r="EC226" s="504" t="s">
        <v>621</v>
      </c>
      <c r="ED226" s="1124"/>
      <c r="EE226" s="325">
        <v>2</v>
      </c>
    </row>
    <row r="227" spans="1:135" ht="9.75" customHeight="1">
      <c r="A227" s="321" t="str">
        <f t="shared" si="54"/>
        <v/>
      </c>
      <c r="B227" s="567">
        <f>(ii!$D$13*12+V227)+1</f>
        <v>121</v>
      </c>
      <c r="C227" s="337">
        <f t="shared" si="58"/>
        <v>49034</v>
      </c>
      <c r="D227" s="484">
        <f t="shared" si="61"/>
        <v>2034</v>
      </c>
      <c r="E227" s="484">
        <f t="shared" si="59"/>
        <v>0.25</v>
      </c>
      <c r="F227" s="484">
        <f t="shared" si="62"/>
        <v>2034.25</v>
      </c>
      <c r="G227" s="485" t="str">
        <f>IF(OR(C227&lt;$I$2,C227&gt;$J$3),"",(ii!$D$13*12+V227+1)/12)</f>
        <v/>
      </c>
      <c r="H227" s="486"/>
      <c r="I227" s="486"/>
      <c r="J227" s="487"/>
      <c r="K227" s="488"/>
      <c r="L227" s="548"/>
      <c r="M227" s="489" t="str">
        <f t="shared" si="63"/>
        <v/>
      </c>
      <c r="N227" s="490" t="s">
        <v>621</v>
      </c>
      <c r="O227" s="490" t="str">
        <f t="shared" si="56"/>
        <v/>
      </c>
      <c r="P227" s="491"/>
      <c r="Q227" s="491"/>
      <c r="R227" s="491" t="str">
        <f t="shared" si="57"/>
        <v/>
      </c>
      <c r="S227" s="528" t="str">
        <f t="shared" si="55"/>
        <v/>
      </c>
      <c r="T227" s="528" t="str">
        <f t="shared" si="53"/>
        <v/>
      </c>
      <c r="U227" s="493" t="str">
        <f>IF(H227="","",#REF!*12+#REF!+#REF!*12+#REF!)</f>
        <v/>
      </c>
      <c r="V227" s="338">
        <f>IF(ii!$J$3&gt;gg!C227,"",IF(AND((YEAR(C227)=YEAR($I$2)),MONTH(C227)=MONTH($I$2)),ii!$B$14*12+ii!$C$14+ii!$B$15*12+ii!$C$15-1,V226+1))</f>
        <v>120</v>
      </c>
      <c r="W227" s="339">
        <f t="shared" si="60"/>
        <v>10</v>
      </c>
      <c r="X227" s="494" t="s">
        <v>621</v>
      </c>
      <c r="Y227" s="495" t="s">
        <v>621</v>
      </c>
      <c r="Z227" s="496"/>
      <c r="AA227" s="497"/>
      <c r="AB227" s="498" t="e">
        <f t="shared" si="66"/>
        <v>#VALUE!</v>
      </c>
      <c r="AC227" s="484" t="str">
        <f t="shared" si="64"/>
        <v/>
      </c>
      <c r="AD227" s="495" t="str">
        <f t="shared" si="65"/>
        <v/>
      </c>
      <c r="AE227" s="499" t="s">
        <v>621</v>
      </c>
      <c r="AF227" s="500" t="s">
        <v>621</v>
      </c>
      <c r="AG227" s="556" t="s">
        <v>621</v>
      </c>
      <c r="AH227" s="503" t="str">
        <f>IF($G227="","",IF(AND($G227&gt;=30,$AT$3&lt;=AG$7),ROUND(AG227*($AP$3+#REF!),-1),""))</f>
        <v/>
      </c>
      <c r="AI227" s="506" t="s">
        <v>621</v>
      </c>
      <c r="AJ227" s="503" t="str">
        <f>IF($G227="","",IF(AND($G227&gt;=30,$AT$3&lt;=AI$7),ROUND(AI227*($AP$3+#REF!),-1),""))</f>
        <v/>
      </c>
      <c r="AK227" s="506" t="s">
        <v>621</v>
      </c>
      <c r="AL227" s="503" t="str">
        <f>IF($G227="","",IF(AND($G227&gt;=30,$AT$3&lt;=AK$7),ROUND(AK227*($AP$3+#REF!),-1),""))</f>
        <v/>
      </c>
      <c r="AM227" s="506" t="s">
        <v>621</v>
      </c>
      <c r="AN227" s="503" t="str">
        <f>IF($G227="","",IF(AND($G227&gt;=30,$AT$3&lt;=AM$7),ROUND(AM227*($AP$3+#REF!),-1),""))</f>
        <v/>
      </c>
      <c r="AO227" s="503" t="e">
        <v>#REF!</v>
      </c>
      <c r="AP227" s="503" t="str">
        <f>IF($G227="","",IF(AND($G227&gt;=30,$AT$3&lt;=AO$7),ROUND(AO227*($AP$3+#REF!),-1),""))</f>
        <v/>
      </c>
      <c r="AQ227" s="503" t="s">
        <v>621</v>
      </c>
      <c r="AR227" s="503" t="str">
        <f>IF($G227="","",IF(AND($G227&gt;=30,$AT$3&lt;=AQ$7),ROUND(AQ227*($AP$3+#REF!),-1),""))</f>
        <v/>
      </c>
      <c r="AS227" s="503" t="s">
        <v>621</v>
      </c>
      <c r="AT227" s="503" t="str">
        <f>IF($G227="","",IF(AND($G227&gt;=30,$AT$3&lt;=AS$7),ROUND(AS227*($AP$3+#REF!),-1),""))</f>
        <v/>
      </c>
      <c r="AU227" s="503" t="s">
        <v>621</v>
      </c>
      <c r="AV227" s="503" t="str">
        <f>IF($G227="","",IF(AND($G227&gt;=30,$AT$3&lt;=AU$7),ROUND(AU227*($AP$3+#REF!),-1),""))</f>
        <v/>
      </c>
      <c r="AW227" s="503" t="s">
        <v>621</v>
      </c>
      <c r="AX227" s="503" t="str">
        <f>IF($G227="","",IF(AND($G227&gt;=30,$AT$3&lt;=AW$7),ROUND(AW227*($AP$3+#REF!),-1),""))</f>
        <v/>
      </c>
      <c r="AY227" s="503" t="s">
        <v>621</v>
      </c>
      <c r="AZ227" s="503" t="str">
        <f>IF($G227="","",IF(AND($G227&gt;=30,$AT$3&lt;=AY$7),ROUND(AY227*($AP$3+#REF!),-1),""))</f>
        <v/>
      </c>
      <c r="BA227" s="503" t="s">
        <v>621</v>
      </c>
      <c r="BB227" s="503" t="str">
        <f>IF($G227="","",IF(AND($G227&gt;=30,$AT$3&lt;=BA$7),ROUND(BA227*($AP$3+#REF!),-1),""))</f>
        <v/>
      </c>
      <c r="BC227" s="503" t="s">
        <v>621</v>
      </c>
      <c r="BD227" s="503" t="str">
        <f>IF($G227="","",IF(AND($G227&gt;=30,$AT$3&lt;=BC$7),ROUND(BC227*($AP$3+#REF!),-1),""))</f>
        <v/>
      </c>
      <c r="BE227" s="503" t="s">
        <v>621</v>
      </c>
      <c r="BF227" s="503" t="str">
        <f>IF($G227="","",IF(AND($G227&gt;=30,$AT$3&lt;=BE$7),ROUND(BE227*($AP$3+#REF!),-1),""))</f>
        <v/>
      </c>
      <c r="BG227" s="503" t="s">
        <v>621</v>
      </c>
      <c r="BH227" s="503" t="str">
        <f>IF($G227="","",IF(AND($G227&gt;=30,$AT$3&lt;=BG$7),ROUND(BG227*($AP$3+#REF!),-1),""))</f>
        <v/>
      </c>
      <c r="BI227" s="503" t="s">
        <v>621</v>
      </c>
      <c r="BJ227" s="503" t="str">
        <f>IF($G227="","",IF(AND($G227&gt;=30,$AT$3&lt;=BI$7),ROUND(BI227*($AP$3+#REF!),-1),""))</f>
        <v/>
      </c>
      <c r="BK227" s="503" t="s">
        <v>621</v>
      </c>
      <c r="BL227" s="503" t="str">
        <f>IF($G227="","",IF(AND($G227&gt;=30,$AT$3&lt;=BK$7),ROUND(BK227*($AP$3+#REF!),-1),""))</f>
        <v/>
      </c>
      <c r="BM227" s="503" t="s">
        <v>621</v>
      </c>
      <c r="BN227" s="503" t="str">
        <f>IF($G227="","",IF(AND($G227&gt;=30,$AT$3&lt;=BM$7),ROUND(BM227*($AP$3+#REF!),-1),""))</f>
        <v/>
      </c>
      <c r="BO227" s="503" t="s">
        <v>621</v>
      </c>
      <c r="BP227" s="503" t="str">
        <f>IF($G227="","",IF(AND($G227&gt;=30,$AT$3&lt;=BO$7),ROUND(BO227*($AP$3+#REF!),-1),""))</f>
        <v/>
      </c>
      <c r="BQ227" s="517" t="e">
        <v>#REF!</v>
      </c>
      <c r="BR227" s="503" t="str">
        <f>IF($G227="","",IF(AND($G227&gt;=30,$AT$3&lt;=BQ$7),ROUND(BQ227*($AP$3+#REF!),-1),""))</f>
        <v/>
      </c>
      <c r="BS227" s="502"/>
      <c r="BT227" s="503" t="str">
        <f>IF($G227="","",IF(AND($G227&gt;=30,$AT$3&lt;=BS$7),ROUND(BS227*($AP$3+#REF!),-1),""))</f>
        <v/>
      </c>
      <c r="BU227" s="503"/>
      <c r="BV227" s="503" t="str">
        <f>IF($G227="","",IF(AND($G227&gt;=30,$AT$3&lt;=BU$7),ROUND(BU227*($AP$3+#REF!),-1),""))</f>
        <v/>
      </c>
      <c r="BW227" s="502"/>
      <c r="BX227" s="503" t="str">
        <f>IF($G227="","",IF(AND($G227&gt;=30,$AT$3&lt;=BW$7),ROUND(BW227*($AP$3+#REF!),-1),""))</f>
        <v/>
      </c>
      <c r="BY227" s="503"/>
      <c r="BZ227" s="503" t="str">
        <f>IF($G227="","",IF(AND($G227&gt;=30,$AT$3&lt;=BY$7),ROUND(BY227*($AP$3+#REF!),-1),""))</f>
        <v/>
      </c>
      <c r="CA227" s="502"/>
      <c r="CB227" s="503" t="str">
        <f>IF($G227="","",IF(AND($G227&gt;=30,$AT$3&lt;=CA$7),ROUND(CA227*($AP$3+#REF!),-1),""))</f>
        <v/>
      </c>
      <c r="CC227" s="503"/>
      <c r="CD227" s="503" t="str">
        <f>IF($G227="","",IF(AND($G227&gt;=30,$AT$3&lt;=CC$7),ROUND(CC227*($AP$3+#REF!),-1),""))</f>
        <v/>
      </c>
      <c r="CE227" s="502"/>
      <c r="CF227" s="503" t="str">
        <f>IF($G227="","",IF(AND($G227&gt;=30,$AT$3&lt;=CE$7),ROUND(CE227*($AP$3+#REF!),-1),""))</f>
        <v/>
      </c>
      <c r="CG227" s="503"/>
      <c r="CH227" s="503" t="str">
        <f>IF($G227="","",IF(AND($G227&gt;=30,$AT$3&lt;=CG$7),ROUND(CG227*($AP$3+#REF!),-1),""))</f>
        <v/>
      </c>
      <c r="CI227" s="502"/>
      <c r="CJ227" s="503" t="str">
        <f>IF($G227="","",IF(AND($G227&gt;=30,$AT$3&lt;=CI$7),ROUND(CI227*($AP$3+#REF!),-1),""))</f>
        <v/>
      </c>
      <c r="CK227" s="503"/>
      <c r="CL227" s="503" t="str">
        <f>IF($G227="","",IF(AND($G227&gt;=30,$AT$3&lt;=CK$7),ROUND(CK227*($AP$3+#REF!),-1),""))</f>
        <v/>
      </c>
      <c r="CM227" s="502"/>
      <c r="CN227" s="503" t="str">
        <f>IF($G227="","",IF(AND($G227&gt;=30,$AT$3&lt;=CM$7),ROUND(CM227*($AP$3+#REF!),-1),""))</f>
        <v/>
      </c>
      <c r="CO227" s="503"/>
      <c r="CP227" s="503" t="str">
        <f>IF($G227="","",IF(AND($G227&gt;=30,$AT$3&lt;=CO$7),ROUND(CO227*($AP$3+#REF!),-1),""))</f>
        <v/>
      </c>
      <c r="CQ227" s="502"/>
      <c r="CR227" s="503" t="str">
        <f>IF($G227="","",IF(AND($G227&gt;=30,$AT$3&lt;=CQ$7),ROUND(CQ227*($AP$3+#REF!),-1),""))</f>
        <v/>
      </c>
      <c r="CS227" s="503"/>
      <c r="CT227" s="503" t="str">
        <f>IF($G227="","",IF(AND($G227&gt;=30,$AT$3&lt;=CS$7),ROUND(CS227*($AP$3+#REF!),-1),""))</f>
        <v/>
      </c>
      <c r="CU227" s="502"/>
      <c r="CV227" s="503" t="str">
        <f>IF($G227="","",IF(AND($G227&gt;=30,$AT$3&lt;=CU$7),ROUND(CU227*($AP$3+#REF!),-1),""))</f>
        <v/>
      </c>
      <c r="CW227" s="503"/>
      <c r="CX227" s="503" t="str">
        <f>IF($G227="","",IF(AND($G227&gt;=30,$AT$3&lt;=CW$7),ROUND(CW227*($AP$3+#REF!),-1),""))</f>
        <v/>
      </c>
      <c r="CY227" s="502"/>
      <c r="CZ227" s="503" t="str">
        <f>IF($G227="","",IF(AND($G227&gt;=30,$AT$3&lt;=CY$7),ROUND(CY227*($AP$3+#REF!),-1),""))</f>
        <v/>
      </c>
      <c r="DA227" s="503"/>
      <c r="DB227" s="503" t="str">
        <f>IF($G227="","",IF(AND($G227&gt;=30,$AT$3&lt;=DA$7),ROUND(DA227*($AP$3+#REF!),-1),""))</f>
        <v/>
      </c>
      <c r="DC227" s="502"/>
      <c r="DD227" s="503" t="str">
        <f>IF($G227="","",IF(AND($G227&gt;=30,$AT$3&lt;=DC$7),ROUND(DC227*($AP$3+#REF!),-1),""))</f>
        <v/>
      </c>
      <c r="DE227" s="503"/>
      <c r="DF227" s="503" t="str">
        <f>IF($G227="","",IF(AND($G227&gt;=30,$AT$3&lt;=DE$7),ROUND(DE227*($AP$3+#REF!),-1),""))</f>
        <v/>
      </c>
      <c r="DG227" s="503"/>
      <c r="DH227" s="503" t="str">
        <f>IF($G227="","",IF(AND($G227&gt;=30,$AT$3&lt;=DG$7),ROUND(DG227*($AP$3+#REF!),-1),""))</f>
        <v/>
      </c>
      <c r="DI227" s="503"/>
      <c r="DJ227" s="503" t="str">
        <f>IF($G227="","",IF(AND($G227&gt;=30,$AT$3&lt;=DI$7),ROUND(DI227*($AP$3+#REF!),-1),""))</f>
        <v/>
      </c>
      <c r="DK227" s="503"/>
      <c r="DL227" s="503" t="str">
        <f>IF($G227="","",IF(AND($G227&gt;=30,$AT$3&lt;=DK$7),ROUND(DK227*($AP$3+#REF!),-1),""))</f>
        <v/>
      </c>
      <c r="DM227" s="503"/>
      <c r="DN227" s="503" t="str">
        <f>IF($G227="","",IF(AND($G227&gt;=30,$AT$3&lt;=DM$7),ROUND(DM227*($AP$3+#REF!),-1),""))</f>
        <v/>
      </c>
      <c r="DO227" s="503"/>
      <c r="DP227" s="503" t="str">
        <f>IF($G227="","",IF(AND($G227&gt;=30,$AT$3&lt;=DO$7),ROUND(DO227*($AP$3+#REF!),-1),""))</f>
        <v/>
      </c>
      <c r="DQ227" s="503"/>
      <c r="DR227" s="503" t="str">
        <f>IF($G227="","",IF(AND($G227&gt;=30,$AT$3&lt;=DQ$7),ROUND(DQ227*($AP$3+#REF!),-1),""))</f>
        <v/>
      </c>
      <c r="DS227" s="503"/>
      <c r="DT227" s="503" t="str">
        <f>IF($G227="","",IF(AND($G227&gt;=30,$AT$3&lt;=DS$7),ROUND(DS227*($AP$3+#REF!),-1),""))</f>
        <v/>
      </c>
      <c r="DU227" s="503"/>
      <c r="DV227" s="503" t="str">
        <f>IF($G227="","",IF(AND($G227&gt;=30,$AT$3&lt;=DU$7),ROUND(DU227*($AP$3+#REF!),-1),""))</f>
        <v/>
      </c>
      <c r="DW227" s="503"/>
      <c r="DX227" s="503" t="str">
        <f>IF($G227="","",IF(AND($G227&gt;=30,$AT$3&lt;=DW$7),ROUND(DW227*($AP$3+#REF!),-1),""))</f>
        <v/>
      </c>
      <c r="DY227" s="503"/>
      <c r="DZ227" s="503" t="str">
        <f>IF($G227="","",IF(AND($G227&gt;=30,$AT$3&lt;=DY$7),ROUND(DY227*($AP$3+#REF!),-1),""))</f>
        <v/>
      </c>
      <c r="EA227" s="503"/>
      <c r="EB227" s="503" t="str">
        <f>IF($G227="","",IF(AND($G227&gt;=30,$AT$3&lt;=EA$7),ROUND(EA227*($AP$3+#REF!),-1),""))</f>
        <v/>
      </c>
      <c r="EC227" s="504" t="s">
        <v>621</v>
      </c>
      <c r="ED227" s="1124"/>
      <c r="EE227" s="325">
        <v>3</v>
      </c>
    </row>
    <row r="228" spans="1:135" ht="9.75" customHeight="1">
      <c r="A228" s="321" t="str">
        <f t="shared" si="54"/>
        <v/>
      </c>
      <c r="B228" s="567">
        <f>(ii!$D$13*12+V228)+1</f>
        <v>122</v>
      </c>
      <c r="C228" s="337">
        <f t="shared" si="58"/>
        <v>49064</v>
      </c>
      <c r="D228" s="484">
        <f t="shared" si="61"/>
        <v>2034</v>
      </c>
      <c r="E228" s="484">
        <f t="shared" si="59"/>
        <v>0.33333333333333331</v>
      </c>
      <c r="F228" s="484">
        <f t="shared" si="62"/>
        <v>2034.3333333333333</v>
      </c>
      <c r="G228" s="485" t="str">
        <f>IF(OR(C228&lt;$I$2,C228&gt;$J$3),"",(ii!$D$13*12+V228+1)/12)</f>
        <v/>
      </c>
      <c r="H228" s="486"/>
      <c r="I228" s="486"/>
      <c r="J228" s="487"/>
      <c r="K228" s="488"/>
      <c r="L228" s="548"/>
      <c r="M228" s="489" t="str">
        <f t="shared" si="63"/>
        <v/>
      </c>
      <c r="N228" s="490" t="s">
        <v>621</v>
      </c>
      <c r="O228" s="490" t="str">
        <f t="shared" si="56"/>
        <v/>
      </c>
      <c r="P228" s="491"/>
      <c r="Q228" s="491"/>
      <c r="R228" s="491" t="str">
        <f t="shared" si="57"/>
        <v/>
      </c>
      <c r="S228" s="528" t="str">
        <f t="shared" si="55"/>
        <v/>
      </c>
      <c r="T228" s="528" t="str">
        <f t="shared" si="53"/>
        <v/>
      </c>
      <c r="U228" s="493" t="str">
        <f>IF(H228="","",#REF!*12+#REF!+#REF!*12+#REF!)</f>
        <v/>
      </c>
      <c r="V228" s="338">
        <f>IF(ii!$J$3&gt;gg!C228,"",IF(AND((YEAR(C228)=YEAR($I$2)),MONTH(C228)=MONTH($I$2)),ii!$B$14*12+ii!$C$14+ii!$B$15*12+ii!$C$15-1,V227+1))</f>
        <v>121</v>
      </c>
      <c r="W228" s="339">
        <f t="shared" si="60"/>
        <v>10.083333333333334</v>
      </c>
      <c r="X228" s="494" t="s">
        <v>621</v>
      </c>
      <c r="Y228" s="495" t="s">
        <v>621</v>
      </c>
      <c r="Z228" s="496"/>
      <c r="AA228" s="497"/>
      <c r="AB228" s="498" t="e">
        <f t="shared" si="66"/>
        <v>#VALUE!</v>
      </c>
      <c r="AC228" s="484" t="str">
        <f t="shared" si="64"/>
        <v/>
      </c>
      <c r="AD228" s="495" t="str">
        <f t="shared" si="65"/>
        <v/>
      </c>
      <c r="AE228" s="499" t="s">
        <v>621</v>
      </c>
      <c r="AF228" s="500" t="s">
        <v>621</v>
      </c>
      <c r="AG228" s="556" t="s">
        <v>621</v>
      </c>
      <c r="AH228" s="503" t="str">
        <f>IF($G228="","",IF(AND($G228&gt;=30,$AT$3&lt;=AG$7),ROUND(AG228*($AP$3+#REF!),-1),""))</f>
        <v/>
      </c>
      <c r="AI228" s="506" t="s">
        <v>621</v>
      </c>
      <c r="AJ228" s="503" t="str">
        <f>IF($G228="","",IF(AND($G228&gt;=30,$AT$3&lt;=AI$7),ROUND(AI228*($AP$3+#REF!),-1),""))</f>
        <v/>
      </c>
      <c r="AK228" s="506" t="s">
        <v>621</v>
      </c>
      <c r="AL228" s="503" t="str">
        <f>IF($G228="","",IF(AND($G228&gt;=30,$AT$3&lt;=AK$7),ROUND(AK228*($AP$3+#REF!),-1),""))</f>
        <v/>
      </c>
      <c r="AM228" s="506" t="s">
        <v>621</v>
      </c>
      <c r="AN228" s="503" t="str">
        <f>IF($G228="","",IF(AND($G228&gt;=30,$AT$3&lt;=AM$7),ROUND(AM228*($AP$3+#REF!),-1),""))</f>
        <v/>
      </c>
      <c r="AO228" s="503" t="e">
        <v>#REF!</v>
      </c>
      <c r="AP228" s="503" t="str">
        <f>IF($G228="","",IF(AND($G228&gt;=30,$AT$3&lt;=AO$7),ROUND(AO228*($AP$3+#REF!),-1),""))</f>
        <v/>
      </c>
      <c r="AQ228" s="503" t="s">
        <v>621</v>
      </c>
      <c r="AR228" s="503" t="str">
        <f>IF($G228="","",IF(AND($G228&gt;=30,$AT$3&lt;=AQ$7),ROUND(AQ228*($AP$3+#REF!),-1),""))</f>
        <v/>
      </c>
      <c r="AS228" s="503" t="s">
        <v>621</v>
      </c>
      <c r="AT228" s="503" t="str">
        <f>IF($G228="","",IF(AND($G228&gt;=30,$AT$3&lt;=AS$7),ROUND(AS228*($AP$3+#REF!),-1),""))</f>
        <v/>
      </c>
      <c r="AU228" s="503" t="s">
        <v>621</v>
      </c>
      <c r="AV228" s="503" t="str">
        <f>IF($G228="","",IF(AND($G228&gt;=30,$AT$3&lt;=AU$7),ROUND(AU228*($AP$3+#REF!),-1),""))</f>
        <v/>
      </c>
      <c r="AW228" s="503" t="s">
        <v>621</v>
      </c>
      <c r="AX228" s="503" t="str">
        <f>IF($G228="","",IF(AND($G228&gt;=30,$AT$3&lt;=AW$7),ROUND(AW228*($AP$3+#REF!),-1),""))</f>
        <v/>
      </c>
      <c r="AY228" s="503" t="s">
        <v>621</v>
      </c>
      <c r="AZ228" s="503" t="str">
        <f>IF($G228="","",IF(AND($G228&gt;=30,$AT$3&lt;=AY$7),ROUND(AY228*($AP$3+#REF!),-1),""))</f>
        <v/>
      </c>
      <c r="BA228" s="503" t="s">
        <v>621</v>
      </c>
      <c r="BB228" s="503" t="str">
        <f>IF($G228="","",IF(AND($G228&gt;=30,$AT$3&lt;=BA$7),ROUND(BA228*($AP$3+#REF!),-1),""))</f>
        <v/>
      </c>
      <c r="BC228" s="503" t="s">
        <v>621</v>
      </c>
      <c r="BD228" s="503" t="str">
        <f>IF($G228="","",IF(AND($G228&gt;=30,$AT$3&lt;=BC$7),ROUND(BC228*($AP$3+#REF!),-1),""))</f>
        <v/>
      </c>
      <c r="BE228" s="503" t="s">
        <v>621</v>
      </c>
      <c r="BF228" s="503" t="str">
        <f>IF($G228="","",IF(AND($G228&gt;=30,$AT$3&lt;=BE$7),ROUND(BE228*($AP$3+#REF!),-1),""))</f>
        <v/>
      </c>
      <c r="BG228" s="503" t="s">
        <v>621</v>
      </c>
      <c r="BH228" s="503" t="str">
        <f>IF($G228="","",IF(AND($G228&gt;=30,$AT$3&lt;=BG$7),ROUND(BG228*($AP$3+#REF!),-1),""))</f>
        <v/>
      </c>
      <c r="BI228" s="503" t="s">
        <v>621</v>
      </c>
      <c r="BJ228" s="503" t="str">
        <f>IF($G228="","",IF(AND($G228&gt;=30,$AT$3&lt;=BI$7),ROUND(BI228*($AP$3+#REF!),-1),""))</f>
        <v/>
      </c>
      <c r="BK228" s="503" t="s">
        <v>621</v>
      </c>
      <c r="BL228" s="503" t="str">
        <f>IF($G228="","",IF(AND($G228&gt;=30,$AT$3&lt;=BK$7),ROUND(BK228*($AP$3+#REF!),-1),""))</f>
        <v/>
      </c>
      <c r="BM228" s="503" t="s">
        <v>621</v>
      </c>
      <c r="BN228" s="503" t="str">
        <f>IF($G228="","",IF(AND($G228&gt;=30,$AT$3&lt;=BM$7),ROUND(BM228*($AP$3+#REF!),-1),""))</f>
        <v/>
      </c>
      <c r="BO228" s="503" t="s">
        <v>621</v>
      </c>
      <c r="BP228" s="503" t="str">
        <f>IF($G228="","",IF(AND($G228&gt;=30,$AT$3&lt;=BO$7),ROUND(BO228*($AP$3+#REF!),-1),""))</f>
        <v/>
      </c>
      <c r="BQ228" s="517" t="e">
        <v>#REF!</v>
      </c>
      <c r="BR228" s="503" t="str">
        <f>IF($G228="","",IF(AND($G228&gt;=30,$AT$3&lt;=BQ$7),ROUND(BQ228*($AP$3+#REF!),-1),""))</f>
        <v/>
      </c>
      <c r="BS228" s="502"/>
      <c r="BT228" s="503" t="str">
        <f>IF($G228="","",IF(AND($G228&gt;=30,$AT$3&lt;=BS$7),ROUND(BS228*($AP$3+#REF!),-1),""))</f>
        <v/>
      </c>
      <c r="BU228" s="503"/>
      <c r="BV228" s="503" t="str">
        <f>IF($G228="","",IF(AND($G228&gt;=30,$AT$3&lt;=BU$7),ROUND(BU228*($AP$3+#REF!),-1),""))</f>
        <v/>
      </c>
      <c r="BW228" s="502"/>
      <c r="BX228" s="503" t="str">
        <f>IF($G228="","",IF(AND($G228&gt;=30,$AT$3&lt;=BW$7),ROUND(BW228*($AP$3+#REF!),-1),""))</f>
        <v/>
      </c>
      <c r="BY228" s="503"/>
      <c r="BZ228" s="503" t="str">
        <f>IF($G228="","",IF(AND($G228&gt;=30,$AT$3&lt;=BY$7),ROUND(BY228*($AP$3+#REF!),-1),""))</f>
        <v/>
      </c>
      <c r="CA228" s="502"/>
      <c r="CB228" s="503" t="str">
        <f>IF($G228="","",IF(AND($G228&gt;=30,$AT$3&lt;=CA$7),ROUND(CA228*($AP$3+#REF!),-1),""))</f>
        <v/>
      </c>
      <c r="CC228" s="503"/>
      <c r="CD228" s="503" t="str">
        <f>IF($G228="","",IF(AND($G228&gt;=30,$AT$3&lt;=CC$7),ROUND(CC228*($AP$3+#REF!),-1),""))</f>
        <v/>
      </c>
      <c r="CE228" s="502"/>
      <c r="CF228" s="503" t="str">
        <f>IF($G228="","",IF(AND($G228&gt;=30,$AT$3&lt;=CE$7),ROUND(CE228*($AP$3+#REF!),-1),""))</f>
        <v/>
      </c>
      <c r="CG228" s="503"/>
      <c r="CH228" s="503" t="str">
        <f>IF($G228="","",IF(AND($G228&gt;=30,$AT$3&lt;=CG$7),ROUND(CG228*($AP$3+#REF!),-1),""))</f>
        <v/>
      </c>
      <c r="CI228" s="502"/>
      <c r="CJ228" s="503" t="str">
        <f>IF($G228="","",IF(AND($G228&gt;=30,$AT$3&lt;=CI$7),ROUND(CI228*($AP$3+#REF!),-1),""))</f>
        <v/>
      </c>
      <c r="CK228" s="503"/>
      <c r="CL228" s="503" t="str">
        <f>IF($G228="","",IF(AND($G228&gt;=30,$AT$3&lt;=CK$7),ROUND(CK228*($AP$3+#REF!),-1),""))</f>
        <v/>
      </c>
      <c r="CM228" s="502"/>
      <c r="CN228" s="503" t="str">
        <f>IF($G228="","",IF(AND($G228&gt;=30,$AT$3&lt;=CM$7),ROUND(CM228*($AP$3+#REF!),-1),""))</f>
        <v/>
      </c>
      <c r="CO228" s="503"/>
      <c r="CP228" s="503" t="str">
        <f>IF($G228="","",IF(AND($G228&gt;=30,$AT$3&lt;=CO$7),ROUND(CO228*($AP$3+#REF!),-1),""))</f>
        <v/>
      </c>
      <c r="CQ228" s="502"/>
      <c r="CR228" s="503" t="str">
        <f>IF($G228="","",IF(AND($G228&gt;=30,$AT$3&lt;=CQ$7),ROUND(CQ228*($AP$3+#REF!),-1),""))</f>
        <v/>
      </c>
      <c r="CS228" s="503"/>
      <c r="CT228" s="503" t="str">
        <f>IF($G228="","",IF(AND($G228&gt;=30,$AT$3&lt;=CS$7),ROUND(CS228*($AP$3+#REF!),-1),""))</f>
        <v/>
      </c>
      <c r="CU228" s="502"/>
      <c r="CV228" s="503" t="str">
        <f>IF($G228="","",IF(AND($G228&gt;=30,$AT$3&lt;=CU$7),ROUND(CU228*($AP$3+#REF!),-1),""))</f>
        <v/>
      </c>
      <c r="CW228" s="503"/>
      <c r="CX228" s="503" t="str">
        <f>IF($G228="","",IF(AND($G228&gt;=30,$AT$3&lt;=CW$7),ROUND(CW228*($AP$3+#REF!),-1),""))</f>
        <v/>
      </c>
      <c r="CY228" s="502"/>
      <c r="CZ228" s="503" t="str">
        <f>IF($G228="","",IF(AND($G228&gt;=30,$AT$3&lt;=CY$7),ROUND(CY228*($AP$3+#REF!),-1),""))</f>
        <v/>
      </c>
      <c r="DA228" s="503"/>
      <c r="DB228" s="503" t="str">
        <f>IF($G228="","",IF(AND($G228&gt;=30,$AT$3&lt;=DA$7),ROUND(DA228*($AP$3+#REF!),-1),""))</f>
        <v/>
      </c>
      <c r="DC228" s="502"/>
      <c r="DD228" s="503" t="str">
        <f>IF($G228="","",IF(AND($G228&gt;=30,$AT$3&lt;=DC$7),ROUND(DC228*($AP$3+#REF!),-1),""))</f>
        <v/>
      </c>
      <c r="DE228" s="503"/>
      <c r="DF228" s="503" t="str">
        <f>IF($G228="","",IF(AND($G228&gt;=30,$AT$3&lt;=DE$7),ROUND(DE228*($AP$3+#REF!),-1),""))</f>
        <v/>
      </c>
      <c r="DG228" s="503"/>
      <c r="DH228" s="503" t="str">
        <f>IF($G228="","",IF(AND($G228&gt;=30,$AT$3&lt;=DG$7),ROUND(DG228*($AP$3+#REF!),-1),""))</f>
        <v/>
      </c>
      <c r="DI228" s="503"/>
      <c r="DJ228" s="503" t="str">
        <f>IF($G228="","",IF(AND($G228&gt;=30,$AT$3&lt;=DI$7),ROUND(DI228*($AP$3+#REF!),-1),""))</f>
        <v/>
      </c>
      <c r="DK228" s="503"/>
      <c r="DL228" s="503" t="str">
        <f>IF($G228="","",IF(AND($G228&gt;=30,$AT$3&lt;=DK$7),ROUND(DK228*($AP$3+#REF!),-1),""))</f>
        <v/>
      </c>
      <c r="DM228" s="503"/>
      <c r="DN228" s="503" t="str">
        <f>IF($G228="","",IF(AND($G228&gt;=30,$AT$3&lt;=DM$7),ROUND(DM228*($AP$3+#REF!),-1),""))</f>
        <v/>
      </c>
      <c r="DO228" s="503"/>
      <c r="DP228" s="503" t="str">
        <f>IF($G228="","",IF(AND($G228&gt;=30,$AT$3&lt;=DO$7),ROUND(DO228*($AP$3+#REF!),-1),""))</f>
        <v/>
      </c>
      <c r="DQ228" s="503"/>
      <c r="DR228" s="503" t="str">
        <f>IF($G228="","",IF(AND($G228&gt;=30,$AT$3&lt;=DQ$7),ROUND(DQ228*($AP$3+#REF!),-1),""))</f>
        <v/>
      </c>
      <c r="DS228" s="503"/>
      <c r="DT228" s="503" t="str">
        <f>IF($G228="","",IF(AND($G228&gt;=30,$AT$3&lt;=DS$7),ROUND(DS228*($AP$3+#REF!),-1),""))</f>
        <v/>
      </c>
      <c r="DU228" s="503"/>
      <c r="DV228" s="503" t="str">
        <f>IF($G228="","",IF(AND($G228&gt;=30,$AT$3&lt;=DU$7),ROUND(DU228*($AP$3+#REF!),-1),""))</f>
        <v/>
      </c>
      <c r="DW228" s="503"/>
      <c r="DX228" s="503" t="str">
        <f>IF($G228="","",IF(AND($G228&gt;=30,$AT$3&lt;=DW$7),ROUND(DW228*($AP$3+#REF!),-1),""))</f>
        <v/>
      </c>
      <c r="DY228" s="503"/>
      <c r="DZ228" s="503" t="str">
        <f>IF($G228="","",IF(AND($G228&gt;=30,$AT$3&lt;=DY$7),ROUND(DY228*($AP$3+#REF!),-1),""))</f>
        <v/>
      </c>
      <c r="EA228" s="503"/>
      <c r="EB228" s="503" t="str">
        <f>IF($G228="","",IF(AND($G228&gt;=30,$AT$3&lt;=EA$7),ROUND(EA228*($AP$3+#REF!),-1),""))</f>
        <v/>
      </c>
      <c r="EC228" s="504" t="s">
        <v>621</v>
      </c>
      <c r="ED228" s="1124"/>
      <c r="EE228" s="325">
        <v>4</v>
      </c>
    </row>
    <row r="229" spans="1:135" ht="9.75" customHeight="1">
      <c r="A229" s="321" t="str">
        <f t="shared" si="54"/>
        <v/>
      </c>
      <c r="B229" s="567">
        <f>(ii!$D$13*12+V229)+1</f>
        <v>123</v>
      </c>
      <c r="C229" s="337">
        <f t="shared" si="58"/>
        <v>49095</v>
      </c>
      <c r="D229" s="484">
        <f t="shared" si="61"/>
        <v>2034</v>
      </c>
      <c r="E229" s="484">
        <f t="shared" si="59"/>
        <v>0.41666666666666669</v>
      </c>
      <c r="F229" s="484">
        <f t="shared" si="62"/>
        <v>2034.4166666666667</v>
      </c>
      <c r="G229" s="485" t="str">
        <f>IF(OR(C229&lt;$I$2,C229&gt;$J$3),"",(ii!$D$13*12+V229+1)/12)</f>
        <v/>
      </c>
      <c r="H229" s="486"/>
      <c r="I229" s="486"/>
      <c r="J229" s="507"/>
      <c r="K229" s="508"/>
      <c r="L229" s="548"/>
      <c r="M229" s="489" t="str">
        <f t="shared" si="63"/>
        <v/>
      </c>
      <c r="N229" s="490" t="s">
        <v>621</v>
      </c>
      <c r="O229" s="490" t="str">
        <f t="shared" si="56"/>
        <v/>
      </c>
      <c r="P229" s="507"/>
      <c r="Q229" s="507"/>
      <c r="R229" s="491" t="str">
        <f t="shared" si="57"/>
        <v/>
      </c>
      <c r="S229" s="528" t="str">
        <f t="shared" si="55"/>
        <v/>
      </c>
      <c r="T229" s="528" t="str">
        <f t="shared" si="53"/>
        <v/>
      </c>
      <c r="U229" s="493" t="str">
        <f>IF(H229="","",#REF!*12+#REF!+#REF!*12+#REF!)</f>
        <v/>
      </c>
      <c r="V229" s="338">
        <f>IF(ii!$J$3&gt;gg!C229,"",IF(AND((YEAR(C229)=YEAR($I$2)),MONTH(C229)=MONTH($I$2)),ii!$B$14*12+ii!$C$14+ii!$B$15*12+ii!$C$15-1,V228+1))</f>
        <v>122</v>
      </c>
      <c r="W229" s="339">
        <f t="shared" si="60"/>
        <v>10.166666666666666</v>
      </c>
      <c r="X229" s="494" t="s">
        <v>621</v>
      </c>
      <c r="Y229" s="495" t="s">
        <v>621</v>
      </c>
      <c r="Z229" s="496"/>
      <c r="AA229" s="497"/>
      <c r="AB229" s="498" t="e">
        <f t="shared" si="66"/>
        <v>#VALUE!</v>
      </c>
      <c r="AC229" s="484" t="str">
        <f t="shared" si="64"/>
        <v/>
      </c>
      <c r="AD229" s="495" t="str">
        <f t="shared" si="65"/>
        <v/>
      </c>
      <c r="AE229" s="499" t="s">
        <v>621</v>
      </c>
      <c r="AF229" s="500" t="s">
        <v>621</v>
      </c>
      <c r="AG229" s="556" t="s">
        <v>621</v>
      </c>
      <c r="AH229" s="503" t="str">
        <f>IF($G229="","",IF(AND($G229&gt;=30,$AT$3&lt;=AG$7),ROUND(AG229*($AP$3+#REF!),-1),""))</f>
        <v/>
      </c>
      <c r="AI229" s="506" t="s">
        <v>621</v>
      </c>
      <c r="AJ229" s="503" t="str">
        <f>IF($G229="","",IF(AND($G229&gt;=30,$AT$3&lt;=AI$7),ROUND(AI229*($AP$3+#REF!),-1),""))</f>
        <v/>
      </c>
      <c r="AK229" s="506" t="s">
        <v>621</v>
      </c>
      <c r="AL229" s="503" t="str">
        <f>IF($G229="","",IF(AND($G229&gt;=30,$AT$3&lt;=AK$7),ROUND(AK229*($AP$3+#REF!),-1),""))</f>
        <v/>
      </c>
      <c r="AM229" s="506" t="s">
        <v>621</v>
      </c>
      <c r="AN229" s="503" t="str">
        <f>IF($G229="","",IF(AND($G229&gt;=30,$AT$3&lt;=AM$7),ROUND(AM229*($AP$3+#REF!),-1),""))</f>
        <v/>
      </c>
      <c r="AO229" s="503" t="e">
        <v>#REF!</v>
      </c>
      <c r="AP229" s="503" t="str">
        <f>IF($G229="","",IF(AND($G229&gt;=30,$AT$3&lt;=AO$7),ROUND(AO229*($AP$3+#REF!),-1),""))</f>
        <v/>
      </c>
      <c r="AQ229" s="503" t="s">
        <v>621</v>
      </c>
      <c r="AR229" s="503" t="str">
        <f>IF($G229="","",IF(AND($G229&gt;=30,$AT$3&lt;=AQ$7),ROUND(AQ229*($AP$3+#REF!),-1),""))</f>
        <v/>
      </c>
      <c r="AS229" s="503" t="s">
        <v>621</v>
      </c>
      <c r="AT229" s="503" t="str">
        <f>IF($G229="","",IF(AND($G229&gt;=30,$AT$3&lt;=AS$7),ROUND(AS229*($AP$3+#REF!),-1),""))</f>
        <v/>
      </c>
      <c r="AU229" s="503" t="s">
        <v>621</v>
      </c>
      <c r="AV229" s="503" t="str">
        <f>IF($G229="","",IF(AND($G229&gt;=30,$AT$3&lt;=AU$7),ROUND(AU229*($AP$3+#REF!),-1),""))</f>
        <v/>
      </c>
      <c r="AW229" s="503" t="s">
        <v>621</v>
      </c>
      <c r="AX229" s="503" t="str">
        <f>IF($G229="","",IF(AND($G229&gt;=30,$AT$3&lt;=AW$7),ROUND(AW229*($AP$3+#REF!),-1),""))</f>
        <v/>
      </c>
      <c r="AY229" s="503" t="s">
        <v>621</v>
      </c>
      <c r="AZ229" s="503" t="str">
        <f>IF($G229="","",IF(AND($G229&gt;=30,$AT$3&lt;=AY$7),ROUND(AY229*($AP$3+#REF!),-1),""))</f>
        <v/>
      </c>
      <c r="BA229" s="503" t="s">
        <v>621</v>
      </c>
      <c r="BB229" s="503" t="str">
        <f>IF($G229="","",IF(AND($G229&gt;=30,$AT$3&lt;=BA$7),ROUND(BA229*($AP$3+#REF!),-1),""))</f>
        <v/>
      </c>
      <c r="BC229" s="503" t="s">
        <v>621</v>
      </c>
      <c r="BD229" s="503" t="str">
        <f>IF($G229="","",IF(AND($G229&gt;=30,$AT$3&lt;=BC$7),ROUND(BC229*($AP$3+#REF!),-1),""))</f>
        <v/>
      </c>
      <c r="BE229" s="503" t="s">
        <v>621</v>
      </c>
      <c r="BF229" s="503" t="str">
        <f>IF($G229="","",IF(AND($G229&gt;=30,$AT$3&lt;=BE$7),ROUND(BE229*($AP$3+#REF!),-1),""))</f>
        <v/>
      </c>
      <c r="BG229" s="503" t="s">
        <v>621</v>
      </c>
      <c r="BH229" s="503" t="str">
        <f>IF($G229="","",IF(AND($G229&gt;=30,$AT$3&lt;=BG$7),ROUND(BG229*($AP$3+#REF!),-1),""))</f>
        <v/>
      </c>
      <c r="BI229" s="503" t="s">
        <v>621</v>
      </c>
      <c r="BJ229" s="503" t="str">
        <f>IF($G229="","",IF(AND($G229&gt;=30,$AT$3&lt;=BI$7),ROUND(BI229*($AP$3+#REF!),-1),""))</f>
        <v/>
      </c>
      <c r="BK229" s="503" t="s">
        <v>621</v>
      </c>
      <c r="BL229" s="503" t="str">
        <f>IF($G229="","",IF(AND($G229&gt;=30,$AT$3&lt;=BK$7),ROUND(BK229*($AP$3+#REF!),-1),""))</f>
        <v/>
      </c>
      <c r="BM229" s="503" t="s">
        <v>621</v>
      </c>
      <c r="BN229" s="503" t="str">
        <f>IF($G229="","",IF(AND($G229&gt;=30,$AT$3&lt;=BM$7),ROUND(BM229*($AP$3+#REF!),-1),""))</f>
        <v/>
      </c>
      <c r="BO229" s="503" t="s">
        <v>621</v>
      </c>
      <c r="BP229" s="503" t="str">
        <f>IF($G229="","",IF(AND($G229&gt;=30,$AT$3&lt;=BO$7),ROUND(BO229*($AP$3+#REF!),-1),""))</f>
        <v/>
      </c>
      <c r="BQ229" s="517" t="e">
        <v>#REF!</v>
      </c>
      <c r="BR229" s="503" t="str">
        <f>IF($G229="","",IF(AND($G229&gt;=30,$AT$3&lt;=BQ$7),ROUND(BQ229*($AP$3+#REF!),-1),""))</f>
        <v/>
      </c>
      <c r="BS229" s="502"/>
      <c r="BT229" s="503" t="str">
        <f>IF($G229="","",IF(AND($G229&gt;=30,$AT$3&lt;=BS$7),ROUND(BS229*($AP$3+#REF!),-1),""))</f>
        <v/>
      </c>
      <c r="BU229" s="503"/>
      <c r="BV229" s="503" t="str">
        <f>IF($G229="","",IF(AND($G229&gt;=30,$AT$3&lt;=BU$7),ROUND(BU229*($AP$3+#REF!),-1),""))</f>
        <v/>
      </c>
      <c r="BW229" s="502"/>
      <c r="BX229" s="503" t="str">
        <f>IF($G229="","",IF(AND($G229&gt;=30,$AT$3&lt;=BW$7),ROUND(BW229*($AP$3+#REF!),-1),""))</f>
        <v/>
      </c>
      <c r="BY229" s="503"/>
      <c r="BZ229" s="503" t="str">
        <f>IF($G229="","",IF(AND($G229&gt;=30,$AT$3&lt;=BY$7),ROUND(BY229*($AP$3+#REF!),-1),""))</f>
        <v/>
      </c>
      <c r="CA229" s="502"/>
      <c r="CB229" s="503" t="str">
        <f>IF($G229="","",IF(AND($G229&gt;=30,$AT$3&lt;=CA$7),ROUND(CA229*($AP$3+#REF!),-1),""))</f>
        <v/>
      </c>
      <c r="CC229" s="503"/>
      <c r="CD229" s="503" t="str">
        <f>IF($G229="","",IF(AND($G229&gt;=30,$AT$3&lt;=CC$7),ROUND(CC229*($AP$3+#REF!),-1),""))</f>
        <v/>
      </c>
      <c r="CE229" s="502"/>
      <c r="CF229" s="503" t="str">
        <f>IF($G229="","",IF(AND($G229&gt;=30,$AT$3&lt;=CE$7),ROUND(CE229*($AP$3+#REF!),-1),""))</f>
        <v/>
      </c>
      <c r="CG229" s="503"/>
      <c r="CH229" s="503" t="str">
        <f>IF($G229="","",IF(AND($G229&gt;=30,$AT$3&lt;=CG$7),ROUND(CG229*($AP$3+#REF!),-1),""))</f>
        <v/>
      </c>
      <c r="CI229" s="502"/>
      <c r="CJ229" s="503" t="str">
        <f>IF($G229="","",IF(AND($G229&gt;=30,$AT$3&lt;=CI$7),ROUND(CI229*($AP$3+#REF!),-1),""))</f>
        <v/>
      </c>
      <c r="CK229" s="503"/>
      <c r="CL229" s="503" t="str">
        <f>IF($G229="","",IF(AND($G229&gt;=30,$AT$3&lt;=CK$7),ROUND(CK229*($AP$3+#REF!),-1),""))</f>
        <v/>
      </c>
      <c r="CM229" s="502"/>
      <c r="CN229" s="503" t="str">
        <f>IF($G229="","",IF(AND($G229&gt;=30,$AT$3&lt;=CM$7),ROUND(CM229*($AP$3+#REF!),-1),""))</f>
        <v/>
      </c>
      <c r="CO229" s="503"/>
      <c r="CP229" s="503" t="str">
        <f>IF($G229="","",IF(AND($G229&gt;=30,$AT$3&lt;=CO$7),ROUND(CO229*($AP$3+#REF!),-1),""))</f>
        <v/>
      </c>
      <c r="CQ229" s="502"/>
      <c r="CR229" s="503" t="str">
        <f>IF($G229="","",IF(AND($G229&gt;=30,$AT$3&lt;=CQ$7),ROUND(CQ229*($AP$3+#REF!),-1),""))</f>
        <v/>
      </c>
      <c r="CS229" s="503"/>
      <c r="CT229" s="503" t="str">
        <f>IF($G229="","",IF(AND($G229&gt;=30,$AT$3&lt;=CS$7),ROUND(CS229*($AP$3+#REF!),-1),""))</f>
        <v/>
      </c>
      <c r="CU229" s="502"/>
      <c r="CV229" s="503" t="str">
        <f>IF($G229="","",IF(AND($G229&gt;=30,$AT$3&lt;=CU$7),ROUND(CU229*($AP$3+#REF!),-1),""))</f>
        <v/>
      </c>
      <c r="CW229" s="503"/>
      <c r="CX229" s="503" t="str">
        <f>IF($G229="","",IF(AND($G229&gt;=30,$AT$3&lt;=CW$7),ROUND(CW229*($AP$3+#REF!),-1),""))</f>
        <v/>
      </c>
      <c r="CY229" s="502"/>
      <c r="CZ229" s="503" t="str">
        <f>IF($G229="","",IF(AND($G229&gt;=30,$AT$3&lt;=CY$7),ROUND(CY229*($AP$3+#REF!),-1),""))</f>
        <v/>
      </c>
      <c r="DA229" s="503"/>
      <c r="DB229" s="503" t="str">
        <f>IF($G229="","",IF(AND($G229&gt;=30,$AT$3&lt;=DA$7),ROUND(DA229*($AP$3+#REF!),-1),""))</f>
        <v/>
      </c>
      <c r="DC229" s="502"/>
      <c r="DD229" s="503" t="str">
        <f>IF($G229="","",IF(AND($G229&gt;=30,$AT$3&lt;=DC$7),ROUND(DC229*($AP$3+#REF!),-1),""))</f>
        <v/>
      </c>
      <c r="DE229" s="503"/>
      <c r="DF229" s="503" t="str">
        <f>IF($G229="","",IF(AND($G229&gt;=30,$AT$3&lt;=DE$7),ROUND(DE229*($AP$3+#REF!),-1),""))</f>
        <v/>
      </c>
      <c r="DG229" s="503"/>
      <c r="DH229" s="503" t="str">
        <f>IF($G229="","",IF(AND($G229&gt;=30,$AT$3&lt;=DG$7),ROUND(DG229*($AP$3+#REF!),-1),""))</f>
        <v/>
      </c>
      <c r="DI229" s="503"/>
      <c r="DJ229" s="503" t="str">
        <f>IF($G229="","",IF(AND($G229&gt;=30,$AT$3&lt;=DI$7),ROUND(DI229*($AP$3+#REF!),-1),""))</f>
        <v/>
      </c>
      <c r="DK229" s="503"/>
      <c r="DL229" s="503" t="str">
        <f>IF($G229="","",IF(AND($G229&gt;=30,$AT$3&lt;=DK$7),ROUND(DK229*($AP$3+#REF!),-1),""))</f>
        <v/>
      </c>
      <c r="DM229" s="503"/>
      <c r="DN229" s="503" t="str">
        <f>IF($G229="","",IF(AND($G229&gt;=30,$AT$3&lt;=DM$7),ROUND(DM229*($AP$3+#REF!),-1),""))</f>
        <v/>
      </c>
      <c r="DO229" s="503"/>
      <c r="DP229" s="503" t="str">
        <f>IF($G229="","",IF(AND($G229&gt;=30,$AT$3&lt;=DO$7),ROUND(DO229*($AP$3+#REF!),-1),""))</f>
        <v/>
      </c>
      <c r="DQ229" s="503"/>
      <c r="DR229" s="503" t="str">
        <f>IF($G229="","",IF(AND($G229&gt;=30,$AT$3&lt;=DQ$7),ROUND(DQ229*($AP$3+#REF!),-1),""))</f>
        <v/>
      </c>
      <c r="DS229" s="503"/>
      <c r="DT229" s="503" t="str">
        <f>IF($G229="","",IF(AND($G229&gt;=30,$AT$3&lt;=DS$7),ROUND(DS229*($AP$3+#REF!),-1),""))</f>
        <v/>
      </c>
      <c r="DU229" s="503"/>
      <c r="DV229" s="503" t="str">
        <f>IF($G229="","",IF(AND($G229&gt;=30,$AT$3&lt;=DU$7),ROUND(DU229*($AP$3+#REF!),-1),""))</f>
        <v/>
      </c>
      <c r="DW229" s="503"/>
      <c r="DX229" s="503" t="str">
        <f>IF($G229="","",IF(AND($G229&gt;=30,$AT$3&lt;=DW$7),ROUND(DW229*($AP$3+#REF!),-1),""))</f>
        <v/>
      </c>
      <c r="DY229" s="503"/>
      <c r="DZ229" s="503" t="str">
        <f>IF($G229="","",IF(AND($G229&gt;=30,$AT$3&lt;=DY$7),ROUND(DY229*($AP$3+#REF!),-1),""))</f>
        <v/>
      </c>
      <c r="EA229" s="503"/>
      <c r="EB229" s="503" t="str">
        <f>IF($G229="","",IF(AND($G229&gt;=30,$AT$3&lt;=EA$7),ROUND(EA229*($AP$3+#REF!),-1),""))</f>
        <v/>
      </c>
      <c r="EC229" s="504" t="s">
        <v>621</v>
      </c>
      <c r="ED229" s="1124"/>
      <c r="EE229" s="325">
        <v>5</v>
      </c>
    </row>
    <row r="230" spans="1:135" ht="9.75" customHeight="1">
      <c r="A230" s="321" t="str">
        <f t="shared" si="54"/>
        <v/>
      </c>
      <c r="B230" s="567">
        <f>(ii!$D$13*12+V230)+1</f>
        <v>124</v>
      </c>
      <c r="C230" s="337">
        <f t="shared" si="58"/>
        <v>49125</v>
      </c>
      <c r="D230" s="484">
        <f t="shared" si="61"/>
        <v>2034</v>
      </c>
      <c r="E230" s="484">
        <f t="shared" si="59"/>
        <v>0.5</v>
      </c>
      <c r="F230" s="484">
        <f t="shared" si="62"/>
        <v>2034.5</v>
      </c>
      <c r="G230" s="485" t="str">
        <f>IF(OR(C230&lt;$I$2,C230&gt;$J$3),"",(ii!$D$13*12+V230+1)/12)</f>
        <v/>
      </c>
      <c r="H230" s="486"/>
      <c r="I230" s="486"/>
      <c r="J230" s="487"/>
      <c r="K230" s="488"/>
      <c r="L230" s="548"/>
      <c r="M230" s="489" t="str">
        <f t="shared" si="63"/>
        <v/>
      </c>
      <c r="N230" s="490" t="s">
        <v>621</v>
      </c>
      <c r="O230" s="490" t="str">
        <f t="shared" si="56"/>
        <v/>
      </c>
      <c r="P230" s="491"/>
      <c r="Q230" s="491"/>
      <c r="R230" s="491" t="str">
        <f t="shared" si="57"/>
        <v/>
      </c>
      <c r="S230" s="528" t="str">
        <f t="shared" si="55"/>
        <v/>
      </c>
      <c r="T230" s="528" t="str">
        <f t="shared" si="53"/>
        <v/>
      </c>
      <c r="U230" s="493" t="str">
        <f>IF(H230="","",#REF!*12+#REF!+#REF!*12+#REF!)</f>
        <v/>
      </c>
      <c r="V230" s="338">
        <f>IF(ii!$J$3&gt;gg!C230,"",IF(AND((YEAR(C230)=YEAR($I$2)),MONTH(C230)=MONTH($I$2)),ii!$B$14*12+ii!$C$14+ii!$B$15*12+ii!$C$15-1,V229+1))</f>
        <v>123</v>
      </c>
      <c r="W230" s="339">
        <f t="shared" si="60"/>
        <v>10.25</v>
      </c>
      <c r="X230" s="494" t="s">
        <v>621</v>
      </c>
      <c r="Y230" s="495" t="s">
        <v>621</v>
      </c>
      <c r="Z230" s="496"/>
      <c r="AA230" s="497"/>
      <c r="AB230" s="498" t="e">
        <f t="shared" si="66"/>
        <v>#VALUE!</v>
      </c>
      <c r="AC230" s="484" t="str">
        <f t="shared" si="64"/>
        <v/>
      </c>
      <c r="AD230" s="495" t="str">
        <f t="shared" si="65"/>
        <v/>
      </c>
      <c r="AE230" s="499" t="s">
        <v>621</v>
      </c>
      <c r="AF230" s="500" t="s">
        <v>621</v>
      </c>
      <c r="AG230" s="556" t="s">
        <v>621</v>
      </c>
      <c r="AH230" s="503" t="str">
        <f>IF($G230="","",IF(AND($G230&gt;=30,$AT$3&lt;=AG$7),ROUND(AG230*($AP$3+#REF!),-1),""))</f>
        <v/>
      </c>
      <c r="AI230" s="506" t="s">
        <v>621</v>
      </c>
      <c r="AJ230" s="503" t="str">
        <f>IF($G230="","",IF(AND($G230&gt;=30,$AT$3&lt;=AI$7),ROUND(AI230*($AP$3+#REF!),-1),""))</f>
        <v/>
      </c>
      <c r="AK230" s="506" t="s">
        <v>621</v>
      </c>
      <c r="AL230" s="503" t="str">
        <f>IF($G230="","",IF(AND($G230&gt;=30,$AT$3&lt;=AK$7),ROUND(AK230*($AP$3+#REF!),-1),""))</f>
        <v/>
      </c>
      <c r="AM230" s="506" t="s">
        <v>621</v>
      </c>
      <c r="AN230" s="503" t="str">
        <f>IF($G230="","",IF(AND($G230&gt;=30,$AT$3&lt;=AM$7),ROUND(AM230*($AP$3+#REF!),-1),""))</f>
        <v/>
      </c>
      <c r="AO230" s="503" t="e">
        <v>#REF!</v>
      </c>
      <c r="AP230" s="503" t="str">
        <f>IF($G230="","",IF(AND($G230&gt;=30,$AT$3&lt;=AO$7),ROUND(AO230*($AP$3+#REF!),-1),""))</f>
        <v/>
      </c>
      <c r="AQ230" s="503" t="s">
        <v>621</v>
      </c>
      <c r="AR230" s="503" t="str">
        <f>IF($G230="","",IF(AND($G230&gt;=30,$AT$3&lt;=AQ$7),ROUND(AQ230*($AP$3+#REF!),-1),""))</f>
        <v/>
      </c>
      <c r="AS230" s="503" t="s">
        <v>621</v>
      </c>
      <c r="AT230" s="503" t="str">
        <f>IF($G230="","",IF(AND($G230&gt;=30,$AT$3&lt;=AS$7),ROUND(AS230*($AP$3+#REF!),-1),""))</f>
        <v/>
      </c>
      <c r="AU230" s="503" t="s">
        <v>621</v>
      </c>
      <c r="AV230" s="503" t="str">
        <f>IF($G230="","",IF(AND($G230&gt;=30,$AT$3&lt;=AU$7),ROUND(AU230*($AP$3+#REF!),-1),""))</f>
        <v/>
      </c>
      <c r="AW230" s="503" t="s">
        <v>621</v>
      </c>
      <c r="AX230" s="503" t="str">
        <f>IF($G230="","",IF(AND($G230&gt;=30,$AT$3&lt;=AW$7),ROUND(AW230*($AP$3+#REF!),-1),""))</f>
        <v/>
      </c>
      <c r="AY230" s="503" t="s">
        <v>621</v>
      </c>
      <c r="AZ230" s="503" t="str">
        <f>IF($G230="","",IF(AND($G230&gt;=30,$AT$3&lt;=AY$7),ROUND(AY230*($AP$3+#REF!),-1),""))</f>
        <v/>
      </c>
      <c r="BA230" s="503" t="s">
        <v>621</v>
      </c>
      <c r="BB230" s="503" t="str">
        <f>IF($G230="","",IF(AND($G230&gt;=30,$AT$3&lt;=BA$7),ROUND(BA230*($AP$3+#REF!),-1),""))</f>
        <v/>
      </c>
      <c r="BC230" s="503" t="s">
        <v>621</v>
      </c>
      <c r="BD230" s="503" t="str">
        <f>IF($G230="","",IF(AND($G230&gt;=30,$AT$3&lt;=BC$7),ROUND(BC230*($AP$3+#REF!),-1),""))</f>
        <v/>
      </c>
      <c r="BE230" s="503" t="s">
        <v>621</v>
      </c>
      <c r="BF230" s="503" t="str">
        <f>IF($G230="","",IF(AND($G230&gt;=30,$AT$3&lt;=BE$7),ROUND(BE230*($AP$3+#REF!),-1),""))</f>
        <v/>
      </c>
      <c r="BG230" s="503" t="s">
        <v>621</v>
      </c>
      <c r="BH230" s="503" t="str">
        <f>IF($G230="","",IF(AND($G230&gt;=30,$AT$3&lt;=BG$7),ROUND(BG230*($AP$3+#REF!),-1),""))</f>
        <v/>
      </c>
      <c r="BI230" s="503" t="s">
        <v>621</v>
      </c>
      <c r="BJ230" s="503" t="str">
        <f>IF($G230="","",IF(AND($G230&gt;=30,$AT$3&lt;=BI$7),ROUND(BI230*($AP$3+#REF!),-1),""))</f>
        <v/>
      </c>
      <c r="BK230" s="503" t="s">
        <v>621</v>
      </c>
      <c r="BL230" s="503" t="str">
        <f>IF($G230="","",IF(AND($G230&gt;=30,$AT$3&lt;=BK$7),ROUND(BK230*($AP$3+#REF!),-1),""))</f>
        <v/>
      </c>
      <c r="BM230" s="503" t="s">
        <v>621</v>
      </c>
      <c r="BN230" s="503" t="str">
        <f>IF($G230="","",IF(AND($G230&gt;=30,$AT$3&lt;=BM$7),ROUND(BM230*($AP$3+#REF!),-1),""))</f>
        <v/>
      </c>
      <c r="BO230" s="503" t="s">
        <v>621</v>
      </c>
      <c r="BP230" s="503" t="str">
        <f>IF($G230="","",IF(AND($G230&gt;=30,$AT$3&lt;=BO$7),ROUND(BO230*($AP$3+#REF!),-1),""))</f>
        <v/>
      </c>
      <c r="BQ230" s="517" t="e">
        <v>#REF!</v>
      </c>
      <c r="BR230" s="503" t="str">
        <f>IF($G230="","",IF(AND($G230&gt;=30,$AT$3&lt;=BQ$7),ROUND(BQ230*($AP$3+#REF!),-1),""))</f>
        <v/>
      </c>
      <c r="BS230" s="502"/>
      <c r="BT230" s="503" t="str">
        <f>IF($G230="","",IF(AND($G230&gt;=30,$AT$3&lt;=BS$7),ROUND(BS230*($AP$3+#REF!),-1),""))</f>
        <v/>
      </c>
      <c r="BU230" s="503"/>
      <c r="BV230" s="503" t="str">
        <f>IF($G230="","",IF(AND($G230&gt;=30,$AT$3&lt;=BU$7),ROUND(BU230*($AP$3+#REF!),-1),""))</f>
        <v/>
      </c>
      <c r="BW230" s="502"/>
      <c r="BX230" s="503" t="str">
        <f>IF($G230="","",IF(AND($G230&gt;=30,$AT$3&lt;=BW$7),ROUND(BW230*($AP$3+#REF!),-1),""))</f>
        <v/>
      </c>
      <c r="BY230" s="503"/>
      <c r="BZ230" s="503" t="str">
        <f>IF($G230="","",IF(AND($G230&gt;=30,$AT$3&lt;=BY$7),ROUND(BY230*($AP$3+#REF!),-1),""))</f>
        <v/>
      </c>
      <c r="CA230" s="502"/>
      <c r="CB230" s="503" t="str">
        <f>IF($G230="","",IF(AND($G230&gt;=30,$AT$3&lt;=CA$7),ROUND(CA230*($AP$3+#REF!),-1),""))</f>
        <v/>
      </c>
      <c r="CC230" s="503"/>
      <c r="CD230" s="503" t="str">
        <f>IF($G230="","",IF(AND($G230&gt;=30,$AT$3&lt;=CC$7),ROUND(CC230*($AP$3+#REF!),-1),""))</f>
        <v/>
      </c>
      <c r="CE230" s="502"/>
      <c r="CF230" s="503" t="str">
        <f>IF($G230="","",IF(AND($G230&gt;=30,$AT$3&lt;=CE$7),ROUND(CE230*($AP$3+#REF!),-1),""))</f>
        <v/>
      </c>
      <c r="CG230" s="503"/>
      <c r="CH230" s="503" t="str">
        <f>IF($G230="","",IF(AND($G230&gt;=30,$AT$3&lt;=CG$7),ROUND(CG230*($AP$3+#REF!),-1),""))</f>
        <v/>
      </c>
      <c r="CI230" s="502"/>
      <c r="CJ230" s="503" t="str">
        <f>IF($G230="","",IF(AND($G230&gt;=30,$AT$3&lt;=CI$7),ROUND(CI230*($AP$3+#REF!),-1),""))</f>
        <v/>
      </c>
      <c r="CK230" s="503"/>
      <c r="CL230" s="503" t="str">
        <f>IF($G230="","",IF(AND($G230&gt;=30,$AT$3&lt;=CK$7),ROUND(CK230*($AP$3+#REF!),-1),""))</f>
        <v/>
      </c>
      <c r="CM230" s="502"/>
      <c r="CN230" s="503" t="str">
        <f>IF($G230="","",IF(AND($G230&gt;=30,$AT$3&lt;=CM$7),ROUND(CM230*($AP$3+#REF!),-1),""))</f>
        <v/>
      </c>
      <c r="CO230" s="503"/>
      <c r="CP230" s="503" t="str">
        <f>IF($G230="","",IF(AND($G230&gt;=30,$AT$3&lt;=CO$7),ROUND(CO230*($AP$3+#REF!),-1),""))</f>
        <v/>
      </c>
      <c r="CQ230" s="502"/>
      <c r="CR230" s="503" t="str">
        <f>IF($G230="","",IF(AND($G230&gt;=30,$AT$3&lt;=CQ$7),ROUND(CQ230*($AP$3+#REF!),-1),""))</f>
        <v/>
      </c>
      <c r="CS230" s="503"/>
      <c r="CT230" s="503" t="str">
        <f>IF($G230="","",IF(AND($G230&gt;=30,$AT$3&lt;=CS$7),ROUND(CS230*($AP$3+#REF!),-1),""))</f>
        <v/>
      </c>
      <c r="CU230" s="502"/>
      <c r="CV230" s="503" t="str">
        <f>IF($G230="","",IF(AND($G230&gt;=30,$AT$3&lt;=CU$7),ROUND(CU230*($AP$3+#REF!),-1),""))</f>
        <v/>
      </c>
      <c r="CW230" s="503"/>
      <c r="CX230" s="503" t="str">
        <f>IF($G230="","",IF(AND($G230&gt;=30,$AT$3&lt;=CW$7),ROUND(CW230*($AP$3+#REF!),-1),""))</f>
        <v/>
      </c>
      <c r="CY230" s="502"/>
      <c r="CZ230" s="503" t="str">
        <f>IF($G230="","",IF(AND($G230&gt;=30,$AT$3&lt;=CY$7),ROUND(CY230*($AP$3+#REF!),-1),""))</f>
        <v/>
      </c>
      <c r="DA230" s="503"/>
      <c r="DB230" s="503" t="str">
        <f>IF($G230="","",IF(AND($G230&gt;=30,$AT$3&lt;=DA$7),ROUND(DA230*($AP$3+#REF!),-1),""))</f>
        <v/>
      </c>
      <c r="DC230" s="502"/>
      <c r="DD230" s="503" t="str">
        <f>IF($G230="","",IF(AND($G230&gt;=30,$AT$3&lt;=DC$7),ROUND(DC230*($AP$3+#REF!),-1),""))</f>
        <v/>
      </c>
      <c r="DE230" s="503"/>
      <c r="DF230" s="503" t="str">
        <f>IF($G230="","",IF(AND($G230&gt;=30,$AT$3&lt;=DE$7),ROUND(DE230*($AP$3+#REF!),-1),""))</f>
        <v/>
      </c>
      <c r="DG230" s="503"/>
      <c r="DH230" s="503" t="str">
        <f>IF($G230="","",IF(AND($G230&gt;=30,$AT$3&lt;=DG$7),ROUND(DG230*($AP$3+#REF!),-1),""))</f>
        <v/>
      </c>
      <c r="DI230" s="503"/>
      <c r="DJ230" s="503" t="str">
        <f>IF($G230="","",IF(AND($G230&gt;=30,$AT$3&lt;=DI$7),ROUND(DI230*($AP$3+#REF!),-1),""))</f>
        <v/>
      </c>
      <c r="DK230" s="503"/>
      <c r="DL230" s="503" t="str">
        <f>IF($G230="","",IF(AND($G230&gt;=30,$AT$3&lt;=DK$7),ROUND(DK230*($AP$3+#REF!),-1),""))</f>
        <v/>
      </c>
      <c r="DM230" s="503"/>
      <c r="DN230" s="503" t="str">
        <f>IF($G230="","",IF(AND($G230&gt;=30,$AT$3&lt;=DM$7),ROUND(DM230*($AP$3+#REF!),-1),""))</f>
        <v/>
      </c>
      <c r="DO230" s="503"/>
      <c r="DP230" s="503" t="str">
        <f>IF($G230="","",IF(AND($G230&gt;=30,$AT$3&lt;=DO$7),ROUND(DO230*($AP$3+#REF!),-1),""))</f>
        <v/>
      </c>
      <c r="DQ230" s="503"/>
      <c r="DR230" s="503" t="str">
        <f>IF($G230="","",IF(AND($G230&gt;=30,$AT$3&lt;=DQ$7),ROUND(DQ230*($AP$3+#REF!),-1),""))</f>
        <v/>
      </c>
      <c r="DS230" s="503"/>
      <c r="DT230" s="503" t="str">
        <f>IF($G230="","",IF(AND($G230&gt;=30,$AT$3&lt;=DS$7),ROUND(DS230*($AP$3+#REF!),-1),""))</f>
        <v/>
      </c>
      <c r="DU230" s="503"/>
      <c r="DV230" s="503" t="str">
        <f>IF($G230="","",IF(AND($G230&gt;=30,$AT$3&lt;=DU$7),ROUND(DU230*($AP$3+#REF!),-1),""))</f>
        <v/>
      </c>
      <c r="DW230" s="503"/>
      <c r="DX230" s="503" t="str">
        <f>IF($G230="","",IF(AND($G230&gt;=30,$AT$3&lt;=DW$7),ROUND(DW230*($AP$3+#REF!),-1),""))</f>
        <v/>
      </c>
      <c r="DY230" s="503"/>
      <c r="DZ230" s="503" t="str">
        <f>IF($G230="","",IF(AND($G230&gt;=30,$AT$3&lt;=DY$7),ROUND(DY230*($AP$3+#REF!),-1),""))</f>
        <v/>
      </c>
      <c r="EA230" s="503"/>
      <c r="EB230" s="503" t="str">
        <f>IF($G230="","",IF(AND($G230&gt;=30,$AT$3&lt;=EA$7),ROUND(EA230*($AP$3+#REF!),-1),""))</f>
        <v/>
      </c>
      <c r="EC230" s="504" t="s">
        <v>621</v>
      </c>
      <c r="ED230" s="1124"/>
      <c r="EE230" s="325">
        <v>6</v>
      </c>
    </row>
    <row r="231" spans="1:135" ht="9.75" customHeight="1">
      <c r="A231" s="321" t="str">
        <f t="shared" si="54"/>
        <v/>
      </c>
      <c r="B231" s="567">
        <f>(ii!$D$13*12+V231)+1</f>
        <v>125</v>
      </c>
      <c r="C231" s="337">
        <f t="shared" si="58"/>
        <v>49156</v>
      </c>
      <c r="D231" s="484">
        <f t="shared" si="61"/>
        <v>2034</v>
      </c>
      <c r="E231" s="484">
        <f t="shared" si="59"/>
        <v>0.58333333333333337</v>
      </c>
      <c r="F231" s="484">
        <f t="shared" si="62"/>
        <v>2034.5833333333333</v>
      </c>
      <c r="G231" s="485" t="str">
        <f>IF(OR(C231&lt;$I$2,C231&gt;$J$3),"",(ii!$D$13*12+V231+1)/12)</f>
        <v/>
      </c>
      <c r="H231" s="486"/>
      <c r="I231" s="486"/>
      <c r="J231" s="487"/>
      <c r="K231" s="488"/>
      <c r="L231" s="548"/>
      <c r="M231" s="489" t="str">
        <f t="shared" si="63"/>
        <v/>
      </c>
      <c r="N231" s="490" t="s">
        <v>621</v>
      </c>
      <c r="O231" s="490" t="str">
        <f t="shared" si="56"/>
        <v/>
      </c>
      <c r="P231" s="491"/>
      <c r="Q231" s="491"/>
      <c r="R231" s="491" t="str">
        <f t="shared" si="57"/>
        <v/>
      </c>
      <c r="S231" s="528" t="str">
        <f t="shared" si="55"/>
        <v/>
      </c>
      <c r="T231" s="528" t="str">
        <f t="shared" si="53"/>
        <v/>
      </c>
      <c r="U231" s="493" t="str">
        <f>IF(H231="","",#REF!*12+#REF!+#REF!*12+#REF!)</f>
        <v/>
      </c>
      <c r="V231" s="338">
        <f>IF(ii!$J$3&gt;gg!C231,"",IF(AND((YEAR(C231)=YEAR($I$2)),MONTH(C231)=MONTH($I$2)),ii!$B$14*12+ii!$C$14+ii!$B$15*12+ii!$C$15-1,V230+1))</f>
        <v>124</v>
      </c>
      <c r="W231" s="339">
        <f t="shared" si="60"/>
        <v>10.333333333333334</v>
      </c>
      <c r="X231" s="494" t="s">
        <v>621</v>
      </c>
      <c r="Y231" s="495" t="s">
        <v>621</v>
      </c>
      <c r="Z231" s="496"/>
      <c r="AA231" s="497"/>
      <c r="AB231" s="498" t="e">
        <f t="shared" si="66"/>
        <v>#VALUE!</v>
      </c>
      <c r="AC231" s="484" t="str">
        <f t="shared" si="64"/>
        <v/>
      </c>
      <c r="AD231" s="495" t="str">
        <f t="shared" si="65"/>
        <v/>
      </c>
      <c r="AE231" s="499" t="s">
        <v>621</v>
      </c>
      <c r="AF231" s="500" t="s">
        <v>621</v>
      </c>
      <c r="AG231" s="556" t="s">
        <v>621</v>
      </c>
      <c r="AH231" s="503" t="str">
        <f>IF($G231="","",IF(AND($G231&gt;=30,$AT$3&lt;=AG$7),ROUND(AG231*($AP$3+#REF!),-1),""))</f>
        <v/>
      </c>
      <c r="AI231" s="506" t="s">
        <v>621</v>
      </c>
      <c r="AJ231" s="503" t="str">
        <f>IF($G231="","",IF(AND($G231&gt;=30,$AT$3&lt;=AI$7),ROUND(AI231*($AP$3+#REF!),-1),""))</f>
        <v/>
      </c>
      <c r="AK231" s="506" t="s">
        <v>621</v>
      </c>
      <c r="AL231" s="503" t="str">
        <f>IF($G231="","",IF(AND($G231&gt;=30,$AT$3&lt;=AK$7),ROUND(AK231*($AP$3+#REF!),-1),""))</f>
        <v/>
      </c>
      <c r="AM231" s="506" t="s">
        <v>621</v>
      </c>
      <c r="AN231" s="503" t="str">
        <f>IF($G231="","",IF(AND($G231&gt;=30,$AT$3&lt;=AM$7),ROUND(AM231*($AP$3+#REF!),-1),""))</f>
        <v/>
      </c>
      <c r="AO231" s="503" t="e">
        <v>#REF!</v>
      </c>
      <c r="AP231" s="503" t="str">
        <f>IF($G231="","",IF(AND($G231&gt;=30,$AT$3&lt;=AO$7),ROUND(AO231*($AP$3+#REF!),-1),""))</f>
        <v/>
      </c>
      <c r="AQ231" s="503" t="s">
        <v>621</v>
      </c>
      <c r="AR231" s="503" t="str">
        <f>IF($G231="","",IF(AND($G231&gt;=30,$AT$3&lt;=AQ$7),ROUND(AQ231*($AP$3+#REF!),-1),""))</f>
        <v/>
      </c>
      <c r="AS231" s="503" t="s">
        <v>621</v>
      </c>
      <c r="AT231" s="503" t="str">
        <f>IF($G231="","",IF(AND($G231&gt;=30,$AT$3&lt;=AS$7),ROUND(AS231*($AP$3+#REF!),-1),""))</f>
        <v/>
      </c>
      <c r="AU231" s="503" t="s">
        <v>621</v>
      </c>
      <c r="AV231" s="503" t="str">
        <f>IF($G231="","",IF(AND($G231&gt;=30,$AT$3&lt;=AU$7),ROUND(AU231*($AP$3+#REF!),-1),""))</f>
        <v/>
      </c>
      <c r="AW231" s="503" t="s">
        <v>621</v>
      </c>
      <c r="AX231" s="503" t="str">
        <f>IF($G231="","",IF(AND($G231&gt;=30,$AT$3&lt;=AW$7),ROUND(AW231*($AP$3+#REF!),-1),""))</f>
        <v/>
      </c>
      <c r="AY231" s="503" t="s">
        <v>621</v>
      </c>
      <c r="AZ231" s="503" t="str">
        <f>IF($G231="","",IF(AND($G231&gt;=30,$AT$3&lt;=AY$7),ROUND(AY231*($AP$3+#REF!),-1),""))</f>
        <v/>
      </c>
      <c r="BA231" s="503" t="s">
        <v>621</v>
      </c>
      <c r="BB231" s="503" t="str">
        <f>IF($G231="","",IF(AND($G231&gt;=30,$AT$3&lt;=BA$7),ROUND(BA231*($AP$3+#REF!),-1),""))</f>
        <v/>
      </c>
      <c r="BC231" s="503" t="s">
        <v>621</v>
      </c>
      <c r="BD231" s="503" t="str">
        <f>IF($G231="","",IF(AND($G231&gt;=30,$AT$3&lt;=BC$7),ROUND(BC231*($AP$3+#REF!),-1),""))</f>
        <v/>
      </c>
      <c r="BE231" s="503" t="s">
        <v>621</v>
      </c>
      <c r="BF231" s="503" t="str">
        <f>IF($G231="","",IF(AND($G231&gt;=30,$AT$3&lt;=BE$7),ROUND(BE231*($AP$3+#REF!),-1),""))</f>
        <v/>
      </c>
      <c r="BG231" s="503" t="s">
        <v>621</v>
      </c>
      <c r="BH231" s="503" t="str">
        <f>IF($G231="","",IF(AND($G231&gt;=30,$AT$3&lt;=BG$7),ROUND(BG231*($AP$3+#REF!),-1),""))</f>
        <v/>
      </c>
      <c r="BI231" s="503" t="s">
        <v>621</v>
      </c>
      <c r="BJ231" s="503" t="str">
        <f>IF($G231="","",IF(AND($G231&gt;=30,$AT$3&lt;=BI$7),ROUND(BI231*($AP$3+#REF!),-1),""))</f>
        <v/>
      </c>
      <c r="BK231" s="503" t="s">
        <v>621</v>
      </c>
      <c r="BL231" s="503" t="str">
        <f>IF($G231="","",IF(AND($G231&gt;=30,$AT$3&lt;=BK$7),ROUND(BK231*($AP$3+#REF!),-1),""))</f>
        <v/>
      </c>
      <c r="BM231" s="503" t="s">
        <v>621</v>
      </c>
      <c r="BN231" s="503" t="str">
        <f>IF($G231="","",IF(AND($G231&gt;=30,$AT$3&lt;=BM$7),ROUND(BM231*($AP$3+#REF!),-1),""))</f>
        <v/>
      </c>
      <c r="BO231" s="503" t="s">
        <v>621</v>
      </c>
      <c r="BP231" s="503" t="str">
        <f>IF($G231="","",IF(AND($G231&gt;=30,$AT$3&lt;=BO$7),ROUND(BO231*($AP$3+#REF!),-1),""))</f>
        <v/>
      </c>
      <c r="BQ231" s="517" t="e">
        <v>#REF!</v>
      </c>
      <c r="BR231" s="503" t="str">
        <f>IF($G231="","",IF(AND($G231&gt;=30,$AT$3&lt;=BQ$7),ROUND(BQ231*($AP$3+#REF!),-1),""))</f>
        <v/>
      </c>
      <c r="BS231" s="502"/>
      <c r="BT231" s="503" t="str">
        <f>IF($G231="","",IF(AND($G231&gt;=30,$AT$3&lt;=BS$7),ROUND(BS231*($AP$3+#REF!),-1),""))</f>
        <v/>
      </c>
      <c r="BU231" s="503"/>
      <c r="BV231" s="503" t="str">
        <f>IF($G231="","",IF(AND($G231&gt;=30,$AT$3&lt;=BU$7),ROUND(BU231*($AP$3+#REF!),-1),""))</f>
        <v/>
      </c>
      <c r="BW231" s="502"/>
      <c r="BX231" s="503" t="str">
        <f>IF($G231="","",IF(AND($G231&gt;=30,$AT$3&lt;=BW$7),ROUND(BW231*($AP$3+#REF!),-1),""))</f>
        <v/>
      </c>
      <c r="BY231" s="503"/>
      <c r="BZ231" s="503" t="str">
        <f>IF($G231="","",IF(AND($G231&gt;=30,$AT$3&lt;=BY$7),ROUND(BY231*($AP$3+#REF!),-1),""))</f>
        <v/>
      </c>
      <c r="CA231" s="502"/>
      <c r="CB231" s="503" t="str">
        <f>IF($G231="","",IF(AND($G231&gt;=30,$AT$3&lt;=CA$7),ROUND(CA231*($AP$3+#REF!),-1),""))</f>
        <v/>
      </c>
      <c r="CC231" s="503"/>
      <c r="CD231" s="503" t="str">
        <f>IF($G231="","",IF(AND($G231&gt;=30,$AT$3&lt;=CC$7),ROUND(CC231*($AP$3+#REF!),-1),""))</f>
        <v/>
      </c>
      <c r="CE231" s="502"/>
      <c r="CF231" s="503" t="str">
        <f>IF($G231="","",IF(AND($G231&gt;=30,$AT$3&lt;=CE$7),ROUND(CE231*($AP$3+#REF!),-1),""))</f>
        <v/>
      </c>
      <c r="CG231" s="503"/>
      <c r="CH231" s="503" t="str">
        <f>IF($G231="","",IF(AND($G231&gt;=30,$AT$3&lt;=CG$7),ROUND(CG231*($AP$3+#REF!),-1),""))</f>
        <v/>
      </c>
      <c r="CI231" s="502"/>
      <c r="CJ231" s="503" t="str">
        <f>IF($G231="","",IF(AND($G231&gt;=30,$AT$3&lt;=CI$7),ROUND(CI231*($AP$3+#REF!),-1),""))</f>
        <v/>
      </c>
      <c r="CK231" s="503"/>
      <c r="CL231" s="503" t="str">
        <f>IF($G231="","",IF(AND($G231&gt;=30,$AT$3&lt;=CK$7),ROUND(CK231*($AP$3+#REF!),-1),""))</f>
        <v/>
      </c>
      <c r="CM231" s="502"/>
      <c r="CN231" s="503" t="str">
        <f>IF($G231="","",IF(AND($G231&gt;=30,$AT$3&lt;=CM$7),ROUND(CM231*($AP$3+#REF!),-1),""))</f>
        <v/>
      </c>
      <c r="CO231" s="503"/>
      <c r="CP231" s="503" t="str">
        <f>IF($G231="","",IF(AND($G231&gt;=30,$AT$3&lt;=CO$7),ROUND(CO231*($AP$3+#REF!),-1),""))</f>
        <v/>
      </c>
      <c r="CQ231" s="502"/>
      <c r="CR231" s="503" t="str">
        <f>IF($G231="","",IF(AND($G231&gt;=30,$AT$3&lt;=CQ$7),ROUND(CQ231*($AP$3+#REF!),-1),""))</f>
        <v/>
      </c>
      <c r="CS231" s="503"/>
      <c r="CT231" s="503" t="str">
        <f>IF($G231="","",IF(AND($G231&gt;=30,$AT$3&lt;=CS$7),ROUND(CS231*($AP$3+#REF!),-1),""))</f>
        <v/>
      </c>
      <c r="CU231" s="502"/>
      <c r="CV231" s="503" t="str">
        <f>IF($G231="","",IF(AND($G231&gt;=30,$AT$3&lt;=CU$7),ROUND(CU231*($AP$3+#REF!),-1),""))</f>
        <v/>
      </c>
      <c r="CW231" s="503"/>
      <c r="CX231" s="503" t="str">
        <f>IF($G231="","",IF(AND($G231&gt;=30,$AT$3&lt;=CW$7),ROUND(CW231*($AP$3+#REF!),-1),""))</f>
        <v/>
      </c>
      <c r="CY231" s="502"/>
      <c r="CZ231" s="503" t="str">
        <f>IF($G231="","",IF(AND($G231&gt;=30,$AT$3&lt;=CY$7),ROUND(CY231*($AP$3+#REF!),-1),""))</f>
        <v/>
      </c>
      <c r="DA231" s="503"/>
      <c r="DB231" s="503" t="str">
        <f>IF($G231="","",IF(AND($G231&gt;=30,$AT$3&lt;=DA$7),ROUND(DA231*($AP$3+#REF!),-1),""))</f>
        <v/>
      </c>
      <c r="DC231" s="502"/>
      <c r="DD231" s="503" t="str">
        <f>IF($G231="","",IF(AND($G231&gt;=30,$AT$3&lt;=DC$7),ROUND(DC231*($AP$3+#REF!),-1),""))</f>
        <v/>
      </c>
      <c r="DE231" s="503"/>
      <c r="DF231" s="503" t="str">
        <f>IF($G231="","",IF(AND($G231&gt;=30,$AT$3&lt;=DE$7),ROUND(DE231*($AP$3+#REF!),-1),""))</f>
        <v/>
      </c>
      <c r="DG231" s="503"/>
      <c r="DH231" s="503" t="str">
        <f>IF($G231="","",IF(AND($G231&gt;=30,$AT$3&lt;=DG$7),ROUND(DG231*($AP$3+#REF!),-1),""))</f>
        <v/>
      </c>
      <c r="DI231" s="503"/>
      <c r="DJ231" s="503" t="str">
        <f>IF($G231="","",IF(AND($G231&gt;=30,$AT$3&lt;=DI$7),ROUND(DI231*($AP$3+#REF!),-1),""))</f>
        <v/>
      </c>
      <c r="DK231" s="503"/>
      <c r="DL231" s="503" t="str">
        <f>IF($G231="","",IF(AND($G231&gt;=30,$AT$3&lt;=DK$7),ROUND(DK231*($AP$3+#REF!),-1),""))</f>
        <v/>
      </c>
      <c r="DM231" s="503"/>
      <c r="DN231" s="503" t="str">
        <f>IF($G231="","",IF(AND($G231&gt;=30,$AT$3&lt;=DM$7),ROUND(DM231*($AP$3+#REF!),-1),""))</f>
        <v/>
      </c>
      <c r="DO231" s="503"/>
      <c r="DP231" s="503" t="str">
        <f>IF($G231="","",IF(AND($G231&gt;=30,$AT$3&lt;=DO$7),ROUND(DO231*($AP$3+#REF!),-1),""))</f>
        <v/>
      </c>
      <c r="DQ231" s="503"/>
      <c r="DR231" s="503" t="str">
        <f>IF($G231="","",IF(AND($G231&gt;=30,$AT$3&lt;=DQ$7),ROUND(DQ231*($AP$3+#REF!),-1),""))</f>
        <v/>
      </c>
      <c r="DS231" s="503"/>
      <c r="DT231" s="503" t="str">
        <f>IF($G231="","",IF(AND($G231&gt;=30,$AT$3&lt;=DS$7),ROUND(DS231*($AP$3+#REF!),-1),""))</f>
        <v/>
      </c>
      <c r="DU231" s="503"/>
      <c r="DV231" s="503" t="str">
        <f>IF($G231="","",IF(AND($G231&gt;=30,$AT$3&lt;=DU$7),ROUND(DU231*($AP$3+#REF!),-1),""))</f>
        <v/>
      </c>
      <c r="DW231" s="503"/>
      <c r="DX231" s="503" t="str">
        <f>IF($G231="","",IF(AND($G231&gt;=30,$AT$3&lt;=DW$7),ROUND(DW231*($AP$3+#REF!),-1),""))</f>
        <v/>
      </c>
      <c r="DY231" s="503"/>
      <c r="DZ231" s="503" t="str">
        <f>IF($G231="","",IF(AND($G231&gt;=30,$AT$3&lt;=DY$7),ROUND(DY231*($AP$3+#REF!),-1),""))</f>
        <v/>
      </c>
      <c r="EA231" s="503"/>
      <c r="EB231" s="503" t="str">
        <f>IF($G231="","",IF(AND($G231&gt;=30,$AT$3&lt;=EA$7),ROUND(EA231*($AP$3+#REF!),-1),""))</f>
        <v/>
      </c>
      <c r="EC231" s="504" t="s">
        <v>621</v>
      </c>
      <c r="ED231" s="1124"/>
      <c r="EE231" s="325">
        <v>7</v>
      </c>
    </row>
    <row r="232" spans="1:135" ht="9.75" customHeight="1">
      <c r="A232" s="321" t="str">
        <f t="shared" si="54"/>
        <v/>
      </c>
      <c r="B232" s="567">
        <f>(ii!$D$13*12+V232)+1</f>
        <v>126</v>
      </c>
      <c r="C232" s="337">
        <f t="shared" si="58"/>
        <v>49187</v>
      </c>
      <c r="D232" s="484">
        <f t="shared" si="61"/>
        <v>2034</v>
      </c>
      <c r="E232" s="484">
        <f t="shared" si="59"/>
        <v>0.66666666666666663</v>
      </c>
      <c r="F232" s="484">
        <f t="shared" si="62"/>
        <v>2034.6666666666667</v>
      </c>
      <c r="G232" s="485" t="str">
        <f>IF(OR(C232&lt;$I$2,C232&gt;$J$3),"",(ii!$D$13*12+V232+1)/12)</f>
        <v/>
      </c>
      <c r="H232" s="486"/>
      <c r="I232" s="486"/>
      <c r="J232" s="487"/>
      <c r="K232" s="488"/>
      <c r="L232" s="548"/>
      <c r="M232" s="489" t="str">
        <f t="shared" si="63"/>
        <v/>
      </c>
      <c r="N232" s="490" t="s">
        <v>621</v>
      </c>
      <c r="O232" s="490" t="str">
        <f t="shared" si="56"/>
        <v/>
      </c>
      <c r="P232" s="491"/>
      <c r="Q232" s="491"/>
      <c r="R232" s="491" t="str">
        <f t="shared" si="57"/>
        <v/>
      </c>
      <c r="S232" s="528" t="str">
        <f t="shared" si="55"/>
        <v/>
      </c>
      <c r="T232" s="528" t="str">
        <f t="shared" si="53"/>
        <v/>
      </c>
      <c r="U232" s="493" t="str">
        <f>IF(H232="","",#REF!*12+#REF!+#REF!*12+#REF!)</f>
        <v/>
      </c>
      <c r="V232" s="338">
        <f>IF(ii!$J$3&gt;gg!C232,"",IF(AND((YEAR(C232)=YEAR($I$2)),MONTH(C232)=MONTH($I$2)),ii!$B$14*12+ii!$C$14+ii!$B$15*12+ii!$C$15-1,V231+1))</f>
        <v>125</v>
      </c>
      <c r="W232" s="339">
        <f t="shared" si="60"/>
        <v>10.416666666666666</v>
      </c>
      <c r="X232" s="494" t="s">
        <v>621</v>
      </c>
      <c r="Y232" s="495" t="s">
        <v>621</v>
      </c>
      <c r="Z232" s="496"/>
      <c r="AA232" s="497"/>
      <c r="AB232" s="498" t="e">
        <f t="shared" si="66"/>
        <v>#VALUE!</v>
      </c>
      <c r="AC232" s="484" t="str">
        <f t="shared" si="64"/>
        <v/>
      </c>
      <c r="AD232" s="495" t="str">
        <f t="shared" si="65"/>
        <v/>
      </c>
      <c r="AE232" s="499" t="s">
        <v>621</v>
      </c>
      <c r="AF232" s="500" t="s">
        <v>621</v>
      </c>
      <c r="AG232" s="556" t="s">
        <v>621</v>
      </c>
      <c r="AH232" s="503" t="str">
        <f>IF($G232="","",IF(AND($G232&gt;=30,$AT$3&lt;=AG$7),ROUND(AG232*($AP$3+#REF!),-1),""))</f>
        <v/>
      </c>
      <c r="AI232" s="506" t="s">
        <v>621</v>
      </c>
      <c r="AJ232" s="503" t="str">
        <f>IF($G232="","",IF(AND($G232&gt;=30,$AT$3&lt;=AI$7),ROUND(AI232*($AP$3+#REF!),-1),""))</f>
        <v/>
      </c>
      <c r="AK232" s="506" t="s">
        <v>621</v>
      </c>
      <c r="AL232" s="503" t="str">
        <f>IF($G232="","",IF(AND($G232&gt;=30,$AT$3&lt;=AK$7),ROUND(AK232*($AP$3+#REF!),-1),""))</f>
        <v/>
      </c>
      <c r="AM232" s="506" t="s">
        <v>621</v>
      </c>
      <c r="AN232" s="503" t="str">
        <f>IF($G232="","",IF(AND($G232&gt;=30,$AT$3&lt;=AM$7),ROUND(AM232*($AP$3+#REF!),-1),""))</f>
        <v/>
      </c>
      <c r="AO232" s="503" t="e">
        <v>#REF!</v>
      </c>
      <c r="AP232" s="503" t="str">
        <f>IF($G232="","",IF(AND($G232&gt;=30,$AT$3&lt;=AO$7),ROUND(AO232*($AP$3+#REF!),-1),""))</f>
        <v/>
      </c>
      <c r="AQ232" s="503" t="s">
        <v>621</v>
      </c>
      <c r="AR232" s="503" t="str">
        <f>IF($G232="","",IF(AND($G232&gt;=30,$AT$3&lt;=AQ$7),ROUND(AQ232*($AP$3+#REF!),-1),""))</f>
        <v/>
      </c>
      <c r="AS232" s="503" t="s">
        <v>621</v>
      </c>
      <c r="AT232" s="503" t="str">
        <f>IF($G232="","",IF(AND($G232&gt;=30,$AT$3&lt;=AS$7),ROUND(AS232*($AP$3+#REF!),-1),""))</f>
        <v/>
      </c>
      <c r="AU232" s="503" t="s">
        <v>621</v>
      </c>
      <c r="AV232" s="503" t="str">
        <f>IF($G232="","",IF(AND($G232&gt;=30,$AT$3&lt;=AU$7),ROUND(AU232*($AP$3+#REF!),-1),""))</f>
        <v/>
      </c>
      <c r="AW232" s="503" t="s">
        <v>621</v>
      </c>
      <c r="AX232" s="503" t="str">
        <f>IF($G232="","",IF(AND($G232&gt;=30,$AT$3&lt;=AW$7),ROUND(AW232*($AP$3+#REF!),-1),""))</f>
        <v/>
      </c>
      <c r="AY232" s="503" t="s">
        <v>621</v>
      </c>
      <c r="AZ232" s="503" t="str">
        <f>IF($G232="","",IF(AND($G232&gt;=30,$AT$3&lt;=AY$7),ROUND(AY232*($AP$3+#REF!),-1),""))</f>
        <v/>
      </c>
      <c r="BA232" s="503" t="s">
        <v>621</v>
      </c>
      <c r="BB232" s="503" t="str">
        <f>IF($G232="","",IF(AND($G232&gt;=30,$AT$3&lt;=BA$7),ROUND(BA232*($AP$3+#REF!),-1),""))</f>
        <v/>
      </c>
      <c r="BC232" s="503" t="s">
        <v>621</v>
      </c>
      <c r="BD232" s="503" t="str">
        <f>IF($G232="","",IF(AND($G232&gt;=30,$AT$3&lt;=BC$7),ROUND(BC232*($AP$3+#REF!),-1),""))</f>
        <v/>
      </c>
      <c r="BE232" s="503" t="s">
        <v>621</v>
      </c>
      <c r="BF232" s="503" t="str">
        <f>IF($G232="","",IF(AND($G232&gt;=30,$AT$3&lt;=BE$7),ROUND(BE232*($AP$3+#REF!),-1),""))</f>
        <v/>
      </c>
      <c r="BG232" s="503" t="s">
        <v>621</v>
      </c>
      <c r="BH232" s="503" t="str">
        <f>IF($G232="","",IF(AND($G232&gt;=30,$AT$3&lt;=BG$7),ROUND(BG232*($AP$3+#REF!),-1),""))</f>
        <v/>
      </c>
      <c r="BI232" s="503" t="s">
        <v>621</v>
      </c>
      <c r="BJ232" s="503" t="str">
        <f>IF($G232="","",IF(AND($G232&gt;=30,$AT$3&lt;=BI$7),ROUND(BI232*($AP$3+#REF!),-1),""))</f>
        <v/>
      </c>
      <c r="BK232" s="503" t="s">
        <v>621</v>
      </c>
      <c r="BL232" s="503" t="str">
        <f>IF($G232="","",IF(AND($G232&gt;=30,$AT$3&lt;=BK$7),ROUND(BK232*($AP$3+#REF!),-1),""))</f>
        <v/>
      </c>
      <c r="BM232" s="503" t="s">
        <v>621</v>
      </c>
      <c r="BN232" s="503" t="str">
        <f>IF($G232="","",IF(AND($G232&gt;=30,$AT$3&lt;=BM$7),ROUND(BM232*($AP$3+#REF!),-1),""))</f>
        <v/>
      </c>
      <c r="BO232" s="503" t="s">
        <v>621</v>
      </c>
      <c r="BP232" s="503" t="str">
        <f>IF($G232="","",IF(AND($G232&gt;=30,$AT$3&lt;=BO$7),ROUND(BO232*($AP$3+#REF!),-1),""))</f>
        <v/>
      </c>
      <c r="BQ232" s="517" t="e">
        <v>#REF!</v>
      </c>
      <c r="BR232" s="503" t="str">
        <f>IF($G232="","",IF(AND($G232&gt;=30,$AT$3&lt;=BQ$7),ROUND(BQ232*($AP$3+#REF!),-1),""))</f>
        <v/>
      </c>
      <c r="BS232" s="502"/>
      <c r="BT232" s="503" t="str">
        <f>IF($G232="","",IF(AND($G232&gt;=30,$AT$3&lt;=BS$7),ROUND(BS232*($AP$3+#REF!),-1),""))</f>
        <v/>
      </c>
      <c r="BU232" s="503"/>
      <c r="BV232" s="503" t="str">
        <f>IF($G232="","",IF(AND($G232&gt;=30,$AT$3&lt;=BU$7),ROUND(BU232*($AP$3+#REF!),-1),""))</f>
        <v/>
      </c>
      <c r="BW232" s="502"/>
      <c r="BX232" s="503" t="str">
        <f>IF($G232="","",IF(AND($G232&gt;=30,$AT$3&lt;=BW$7),ROUND(BW232*($AP$3+#REF!),-1),""))</f>
        <v/>
      </c>
      <c r="BY232" s="503"/>
      <c r="BZ232" s="503" t="str">
        <f>IF($G232="","",IF(AND($G232&gt;=30,$AT$3&lt;=BY$7),ROUND(BY232*($AP$3+#REF!),-1),""))</f>
        <v/>
      </c>
      <c r="CA232" s="502"/>
      <c r="CB232" s="503" t="str">
        <f>IF($G232="","",IF(AND($G232&gt;=30,$AT$3&lt;=CA$7),ROUND(CA232*($AP$3+#REF!),-1),""))</f>
        <v/>
      </c>
      <c r="CC232" s="503"/>
      <c r="CD232" s="503" t="str">
        <f>IF($G232="","",IF(AND($G232&gt;=30,$AT$3&lt;=CC$7),ROUND(CC232*($AP$3+#REF!),-1),""))</f>
        <v/>
      </c>
      <c r="CE232" s="502"/>
      <c r="CF232" s="503" t="str">
        <f>IF($G232="","",IF(AND($G232&gt;=30,$AT$3&lt;=CE$7),ROUND(CE232*($AP$3+#REF!),-1),""))</f>
        <v/>
      </c>
      <c r="CG232" s="503"/>
      <c r="CH232" s="503" t="str">
        <f>IF($G232="","",IF(AND($G232&gt;=30,$AT$3&lt;=CG$7),ROUND(CG232*($AP$3+#REF!),-1),""))</f>
        <v/>
      </c>
      <c r="CI232" s="502"/>
      <c r="CJ232" s="503" t="str">
        <f>IF($G232="","",IF(AND($G232&gt;=30,$AT$3&lt;=CI$7),ROUND(CI232*($AP$3+#REF!),-1),""))</f>
        <v/>
      </c>
      <c r="CK232" s="503"/>
      <c r="CL232" s="503" t="str">
        <f>IF($G232="","",IF(AND($G232&gt;=30,$AT$3&lt;=CK$7),ROUND(CK232*($AP$3+#REF!),-1),""))</f>
        <v/>
      </c>
      <c r="CM232" s="502"/>
      <c r="CN232" s="503" t="str">
        <f>IF($G232="","",IF(AND($G232&gt;=30,$AT$3&lt;=CM$7),ROUND(CM232*($AP$3+#REF!),-1),""))</f>
        <v/>
      </c>
      <c r="CO232" s="503"/>
      <c r="CP232" s="503" t="str">
        <f>IF($G232="","",IF(AND($G232&gt;=30,$AT$3&lt;=CO$7),ROUND(CO232*($AP$3+#REF!),-1),""))</f>
        <v/>
      </c>
      <c r="CQ232" s="502"/>
      <c r="CR232" s="503" t="str">
        <f>IF($G232="","",IF(AND($G232&gt;=30,$AT$3&lt;=CQ$7),ROUND(CQ232*($AP$3+#REF!),-1),""))</f>
        <v/>
      </c>
      <c r="CS232" s="503"/>
      <c r="CT232" s="503" t="str">
        <f>IF($G232="","",IF(AND($G232&gt;=30,$AT$3&lt;=CS$7),ROUND(CS232*($AP$3+#REF!),-1),""))</f>
        <v/>
      </c>
      <c r="CU232" s="502"/>
      <c r="CV232" s="503" t="str">
        <f>IF($G232="","",IF(AND($G232&gt;=30,$AT$3&lt;=CU$7),ROUND(CU232*($AP$3+#REF!),-1),""))</f>
        <v/>
      </c>
      <c r="CW232" s="503"/>
      <c r="CX232" s="503" t="str">
        <f>IF($G232="","",IF(AND($G232&gt;=30,$AT$3&lt;=CW$7),ROUND(CW232*($AP$3+#REF!),-1),""))</f>
        <v/>
      </c>
      <c r="CY232" s="502"/>
      <c r="CZ232" s="503" t="str">
        <f>IF($G232="","",IF(AND($G232&gt;=30,$AT$3&lt;=CY$7),ROUND(CY232*($AP$3+#REF!),-1),""))</f>
        <v/>
      </c>
      <c r="DA232" s="503"/>
      <c r="DB232" s="503" t="str">
        <f>IF($G232="","",IF(AND($G232&gt;=30,$AT$3&lt;=DA$7),ROUND(DA232*($AP$3+#REF!),-1),""))</f>
        <v/>
      </c>
      <c r="DC232" s="502"/>
      <c r="DD232" s="503" t="str">
        <f>IF($G232="","",IF(AND($G232&gt;=30,$AT$3&lt;=DC$7),ROUND(DC232*($AP$3+#REF!),-1),""))</f>
        <v/>
      </c>
      <c r="DE232" s="503"/>
      <c r="DF232" s="503" t="str">
        <f>IF($G232="","",IF(AND($G232&gt;=30,$AT$3&lt;=DE$7),ROUND(DE232*($AP$3+#REF!),-1),""))</f>
        <v/>
      </c>
      <c r="DG232" s="503"/>
      <c r="DH232" s="503" t="str">
        <f>IF($G232="","",IF(AND($G232&gt;=30,$AT$3&lt;=DG$7),ROUND(DG232*($AP$3+#REF!),-1),""))</f>
        <v/>
      </c>
      <c r="DI232" s="503"/>
      <c r="DJ232" s="503" t="str">
        <f>IF($G232="","",IF(AND($G232&gt;=30,$AT$3&lt;=DI$7),ROUND(DI232*($AP$3+#REF!),-1),""))</f>
        <v/>
      </c>
      <c r="DK232" s="503"/>
      <c r="DL232" s="503" t="str">
        <f>IF($G232="","",IF(AND($G232&gt;=30,$AT$3&lt;=DK$7),ROUND(DK232*($AP$3+#REF!),-1),""))</f>
        <v/>
      </c>
      <c r="DM232" s="503"/>
      <c r="DN232" s="503" t="str">
        <f>IF($G232="","",IF(AND($G232&gt;=30,$AT$3&lt;=DM$7),ROUND(DM232*($AP$3+#REF!),-1),""))</f>
        <v/>
      </c>
      <c r="DO232" s="503"/>
      <c r="DP232" s="503" t="str">
        <f>IF($G232="","",IF(AND($G232&gt;=30,$AT$3&lt;=DO$7),ROUND(DO232*($AP$3+#REF!),-1),""))</f>
        <v/>
      </c>
      <c r="DQ232" s="503"/>
      <c r="DR232" s="503" t="str">
        <f>IF($G232="","",IF(AND($G232&gt;=30,$AT$3&lt;=DQ$7),ROUND(DQ232*($AP$3+#REF!),-1),""))</f>
        <v/>
      </c>
      <c r="DS232" s="503"/>
      <c r="DT232" s="503" t="str">
        <f>IF($G232="","",IF(AND($G232&gt;=30,$AT$3&lt;=DS$7),ROUND(DS232*($AP$3+#REF!),-1),""))</f>
        <v/>
      </c>
      <c r="DU232" s="503"/>
      <c r="DV232" s="503" t="str">
        <f>IF($G232="","",IF(AND($G232&gt;=30,$AT$3&lt;=DU$7),ROUND(DU232*($AP$3+#REF!),-1),""))</f>
        <v/>
      </c>
      <c r="DW232" s="503"/>
      <c r="DX232" s="503" t="str">
        <f>IF($G232="","",IF(AND($G232&gt;=30,$AT$3&lt;=DW$7),ROUND(DW232*($AP$3+#REF!),-1),""))</f>
        <v/>
      </c>
      <c r="DY232" s="503"/>
      <c r="DZ232" s="503" t="str">
        <f>IF($G232="","",IF(AND($G232&gt;=30,$AT$3&lt;=DY$7),ROUND(DY232*($AP$3+#REF!),-1),""))</f>
        <v/>
      </c>
      <c r="EA232" s="503"/>
      <c r="EB232" s="503" t="str">
        <f>IF($G232="","",IF(AND($G232&gt;=30,$AT$3&lt;=EA$7),ROUND(EA232*($AP$3+#REF!),-1),""))</f>
        <v/>
      </c>
      <c r="EC232" s="504" t="s">
        <v>621</v>
      </c>
      <c r="ED232" s="1124"/>
      <c r="EE232" s="325">
        <v>8</v>
      </c>
    </row>
    <row r="233" spans="1:135" ht="9.75" customHeight="1">
      <c r="A233" s="321" t="str">
        <f t="shared" si="54"/>
        <v/>
      </c>
      <c r="B233" s="567">
        <f>(ii!$D$13*12+V233)+1</f>
        <v>127</v>
      </c>
      <c r="C233" s="337">
        <f t="shared" si="58"/>
        <v>49217</v>
      </c>
      <c r="D233" s="484">
        <f t="shared" si="61"/>
        <v>2034</v>
      </c>
      <c r="E233" s="484">
        <f t="shared" si="59"/>
        <v>0.75</v>
      </c>
      <c r="F233" s="484">
        <f t="shared" si="62"/>
        <v>2034.75</v>
      </c>
      <c r="G233" s="485" t="str">
        <f>IF(OR(C233&lt;$I$2,C233&gt;$J$3),"",(ii!$D$13*12+V233+1)/12)</f>
        <v/>
      </c>
      <c r="H233" s="486"/>
      <c r="I233" s="486"/>
      <c r="J233" s="487"/>
      <c r="K233" s="488"/>
      <c r="L233" s="548"/>
      <c r="M233" s="489" t="str">
        <f t="shared" si="63"/>
        <v/>
      </c>
      <c r="N233" s="490" t="s">
        <v>621</v>
      </c>
      <c r="O233" s="490" t="str">
        <f t="shared" si="56"/>
        <v/>
      </c>
      <c r="P233" s="491"/>
      <c r="Q233" s="491"/>
      <c r="R233" s="491" t="str">
        <f t="shared" si="57"/>
        <v/>
      </c>
      <c r="S233" s="528" t="str">
        <f t="shared" si="55"/>
        <v/>
      </c>
      <c r="T233" s="528" t="str">
        <f t="shared" si="53"/>
        <v/>
      </c>
      <c r="U233" s="493" t="str">
        <f>IF(H233="","",#REF!*12+#REF!+#REF!*12+#REF!)</f>
        <v/>
      </c>
      <c r="V233" s="338">
        <f>IF(ii!$J$3&gt;gg!C233,"",IF(AND((YEAR(C233)=YEAR($I$2)),MONTH(C233)=MONTH($I$2)),ii!$B$14*12+ii!$C$14+ii!$B$15*12+ii!$C$15-1,V232+1))</f>
        <v>126</v>
      </c>
      <c r="W233" s="339">
        <f t="shared" si="60"/>
        <v>10.5</v>
      </c>
      <c r="X233" s="494" t="s">
        <v>621</v>
      </c>
      <c r="Y233" s="495" t="s">
        <v>621</v>
      </c>
      <c r="Z233" s="496"/>
      <c r="AA233" s="497"/>
      <c r="AB233" s="498" t="e">
        <f t="shared" si="66"/>
        <v>#VALUE!</v>
      </c>
      <c r="AC233" s="484" t="str">
        <f t="shared" si="64"/>
        <v/>
      </c>
      <c r="AD233" s="495" t="str">
        <f t="shared" si="65"/>
        <v/>
      </c>
      <c r="AE233" s="499" t="s">
        <v>621</v>
      </c>
      <c r="AF233" s="500" t="s">
        <v>621</v>
      </c>
      <c r="AG233" s="556" t="s">
        <v>621</v>
      </c>
      <c r="AH233" s="503" t="str">
        <f>IF($G233="","",IF(AND($G233&gt;=30,$AT$3&lt;=AG$7),ROUND(AG233*($AP$3+#REF!),-1),""))</f>
        <v/>
      </c>
      <c r="AI233" s="506" t="s">
        <v>621</v>
      </c>
      <c r="AJ233" s="503" t="str">
        <f>IF($G233="","",IF(AND($G233&gt;=30,$AT$3&lt;=AI$7),ROUND(AI233*($AP$3+#REF!),-1),""))</f>
        <v/>
      </c>
      <c r="AK233" s="506" t="s">
        <v>621</v>
      </c>
      <c r="AL233" s="503" t="str">
        <f>IF($G233="","",IF(AND($G233&gt;=30,$AT$3&lt;=AK$7),ROUND(AK233*($AP$3+#REF!),-1),""))</f>
        <v/>
      </c>
      <c r="AM233" s="506" t="s">
        <v>621</v>
      </c>
      <c r="AN233" s="503" t="str">
        <f>IF($G233="","",IF(AND($G233&gt;=30,$AT$3&lt;=AM$7),ROUND(AM233*($AP$3+#REF!),-1),""))</f>
        <v/>
      </c>
      <c r="AO233" s="503" t="e">
        <v>#REF!</v>
      </c>
      <c r="AP233" s="503" t="str">
        <f>IF($G233="","",IF(AND($G233&gt;=30,$AT$3&lt;=AO$7),ROUND(AO233*($AP$3+#REF!),-1),""))</f>
        <v/>
      </c>
      <c r="AQ233" s="503" t="s">
        <v>621</v>
      </c>
      <c r="AR233" s="503" t="str">
        <f>IF($G233="","",IF(AND($G233&gt;=30,$AT$3&lt;=AQ$7),ROUND(AQ233*($AP$3+#REF!),-1),""))</f>
        <v/>
      </c>
      <c r="AS233" s="503" t="s">
        <v>621</v>
      </c>
      <c r="AT233" s="503" t="str">
        <f>IF($G233="","",IF(AND($G233&gt;=30,$AT$3&lt;=AS$7),ROUND(AS233*($AP$3+#REF!),-1),""))</f>
        <v/>
      </c>
      <c r="AU233" s="503" t="s">
        <v>621</v>
      </c>
      <c r="AV233" s="503" t="str">
        <f>IF($G233="","",IF(AND($G233&gt;=30,$AT$3&lt;=AU$7),ROUND(AU233*($AP$3+#REF!),-1),""))</f>
        <v/>
      </c>
      <c r="AW233" s="503" t="s">
        <v>621</v>
      </c>
      <c r="AX233" s="503" t="str">
        <f>IF($G233="","",IF(AND($G233&gt;=30,$AT$3&lt;=AW$7),ROUND(AW233*($AP$3+#REF!),-1),""))</f>
        <v/>
      </c>
      <c r="AY233" s="503" t="s">
        <v>621</v>
      </c>
      <c r="AZ233" s="503" t="str">
        <f>IF($G233="","",IF(AND($G233&gt;=30,$AT$3&lt;=AY$7),ROUND(AY233*($AP$3+#REF!),-1),""))</f>
        <v/>
      </c>
      <c r="BA233" s="503" t="s">
        <v>621</v>
      </c>
      <c r="BB233" s="503" t="str">
        <f>IF($G233="","",IF(AND($G233&gt;=30,$AT$3&lt;=BA$7),ROUND(BA233*($AP$3+#REF!),-1),""))</f>
        <v/>
      </c>
      <c r="BC233" s="503" t="s">
        <v>621</v>
      </c>
      <c r="BD233" s="503" t="str">
        <f>IF($G233="","",IF(AND($G233&gt;=30,$AT$3&lt;=BC$7),ROUND(BC233*($AP$3+#REF!),-1),""))</f>
        <v/>
      </c>
      <c r="BE233" s="503" t="s">
        <v>621</v>
      </c>
      <c r="BF233" s="503" t="str">
        <f>IF($G233="","",IF(AND($G233&gt;=30,$AT$3&lt;=BE$7),ROUND(BE233*($AP$3+#REF!),-1),""))</f>
        <v/>
      </c>
      <c r="BG233" s="503" t="s">
        <v>621</v>
      </c>
      <c r="BH233" s="503" t="str">
        <f>IF($G233="","",IF(AND($G233&gt;=30,$AT$3&lt;=BG$7),ROUND(BG233*($AP$3+#REF!),-1),""))</f>
        <v/>
      </c>
      <c r="BI233" s="503" t="s">
        <v>621</v>
      </c>
      <c r="BJ233" s="503" t="str">
        <f>IF($G233="","",IF(AND($G233&gt;=30,$AT$3&lt;=BI$7),ROUND(BI233*($AP$3+#REF!),-1),""))</f>
        <v/>
      </c>
      <c r="BK233" s="503" t="s">
        <v>621</v>
      </c>
      <c r="BL233" s="503" t="str">
        <f>IF($G233="","",IF(AND($G233&gt;=30,$AT$3&lt;=BK$7),ROUND(BK233*($AP$3+#REF!),-1),""))</f>
        <v/>
      </c>
      <c r="BM233" s="503" t="s">
        <v>621</v>
      </c>
      <c r="BN233" s="503" t="str">
        <f>IF($G233="","",IF(AND($G233&gt;=30,$AT$3&lt;=BM$7),ROUND(BM233*($AP$3+#REF!),-1),""))</f>
        <v/>
      </c>
      <c r="BO233" s="503" t="s">
        <v>621</v>
      </c>
      <c r="BP233" s="503" t="str">
        <f>IF($G233="","",IF(AND($G233&gt;=30,$AT$3&lt;=BO$7),ROUND(BO233*($AP$3+#REF!),-1),""))</f>
        <v/>
      </c>
      <c r="BQ233" s="517" t="e">
        <v>#REF!</v>
      </c>
      <c r="BR233" s="503" t="str">
        <f>IF($G233="","",IF(AND($G233&gt;=30,$AT$3&lt;=BQ$7),ROUND(BQ233*($AP$3+#REF!),-1),""))</f>
        <v/>
      </c>
      <c r="BS233" s="502"/>
      <c r="BT233" s="503" t="str">
        <f>IF($G233="","",IF(AND($G233&gt;=30,$AT$3&lt;=BS$7),ROUND(BS233*($AP$3+#REF!),-1),""))</f>
        <v/>
      </c>
      <c r="BU233" s="503"/>
      <c r="BV233" s="503" t="str">
        <f>IF($G233="","",IF(AND($G233&gt;=30,$AT$3&lt;=BU$7),ROUND(BU233*($AP$3+#REF!),-1),""))</f>
        <v/>
      </c>
      <c r="BW233" s="502"/>
      <c r="BX233" s="503" t="str">
        <f>IF($G233="","",IF(AND($G233&gt;=30,$AT$3&lt;=BW$7),ROUND(BW233*($AP$3+#REF!),-1),""))</f>
        <v/>
      </c>
      <c r="BY233" s="503"/>
      <c r="BZ233" s="503" t="str">
        <f>IF($G233="","",IF(AND($G233&gt;=30,$AT$3&lt;=BY$7),ROUND(BY233*($AP$3+#REF!),-1),""))</f>
        <v/>
      </c>
      <c r="CA233" s="502"/>
      <c r="CB233" s="503" t="str">
        <f>IF($G233="","",IF(AND($G233&gt;=30,$AT$3&lt;=CA$7),ROUND(CA233*($AP$3+#REF!),-1),""))</f>
        <v/>
      </c>
      <c r="CC233" s="503"/>
      <c r="CD233" s="503" t="str">
        <f>IF($G233="","",IF(AND($G233&gt;=30,$AT$3&lt;=CC$7),ROUND(CC233*($AP$3+#REF!),-1),""))</f>
        <v/>
      </c>
      <c r="CE233" s="502"/>
      <c r="CF233" s="503" t="str">
        <f>IF($G233="","",IF(AND($G233&gt;=30,$AT$3&lt;=CE$7),ROUND(CE233*($AP$3+#REF!),-1),""))</f>
        <v/>
      </c>
      <c r="CG233" s="503"/>
      <c r="CH233" s="503" t="str">
        <f>IF($G233="","",IF(AND($G233&gt;=30,$AT$3&lt;=CG$7),ROUND(CG233*($AP$3+#REF!),-1),""))</f>
        <v/>
      </c>
      <c r="CI233" s="502"/>
      <c r="CJ233" s="503" t="str">
        <f>IF($G233="","",IF(AND($G233&gt;=30,$AT$3&lt;=CI$7),ROUND(CI233*($AP$3+#REF!),-1),""))</f>
        <v/>
      </c>
      <c r="CK233" s="503"/>
      <c r="CL233" s="503" t="str">
        <f>IF($G233="","",IF(AND($G233&gt;=30,$AT$3&lt;=CK$7),ROUND(CK233*($AP$3+#REF!),-1),""))</f>
        <v/>
      </c>
      <c r="CM233" s="502"/>
      <c r="CN233" s="503" t="str">
        <f>IF($G233="","",IF(AND($G233&gt;=30,$AT$3&lt;=CM$7),ROUND(CM233*($AP$3+#REF!),-1),""))</f>
        <v/>
      </c>
      <c r="CO233" s="503"/>
      <c r="CP233" s="503" t="str">
        <f>IF($G233="","",IF(AND($G233&gt;=30,$AT$3&lt;=CO$7),ROUND(CO233*($AP$3+#REF!),-1),""))</f>
        <v/>
      </c>
      <c r="CQ233" s="502"/>
      <c r="CR233" s="503" t="str">
        <f>IF($G233="","",IF(AND($G233&gt;=30,$AT$3&lt;=CQ$7),ROUND(CQ233*($AP$3+#REF!),-1),""))</f>
        <v/>
      </c>
      <c r="CS233" s="503"/>
      <c r="CT233" s="503" t="str">
        <f>IF($G233="","",IF(AND($G233&gt;=30,$AT$3&lt;=CS$7),ROUND(CS233*($AP$3+#REF!),-1),""))</f>
        <v/>
      </c>
      <c r="CU233" s="502"/>
      <c r="CV233" s="503" t="str">
        <f>IF($G233="","",IF(AND($G233&gt;=30,$AT$3&lt;=CU$7),ROUND(CU233*($AP$3+#REF!),-1),""))</f>
        <v/>
      </c>
      <c r="CW233" s="503"/>
      <c r="CX233" s="503" t="str">
        <f>IF($G233="","",IF(AND($G233&gt;=30,$AT$3&lt;=CW$7),ROUND(CW233*($AP$3+#REF!),-1),""))</f>
        <v/>
      </c>
      <c r="CY233" s="502"/>
      <c r="CZ233" s="503" t="str">
        <f>IF($G233="","",IF(AND($G233&gt;=30,$AT$3&lt;=CY$7),ROUND(CY233*($AP$3+#REF!),-1),""))</f>
        <v/>
      </c>
      <c r="DA233" s="503"/>
      <c r="DB233" s="503" t="str">
        <f>IF($G233="","",IF(AND($G233&gt;=30,$AT$3&lt;=DA$7),ROUND(DA233*($AP$3+#REF!),-1),""))</f>
        <v/>
      </c>
      <c r="DC233" s="502"/>
      <c r="DD233" s="503" t="str">
        <f>IF($G233="","",IF(AND($G233&gt;=30,$AT$3&lt;=DC$7),ROUND(DC233*($AP$3+#REF!),-1),""))</f>
        <v/>
      </c>
      <c r="DE233" s="503"/>
      <c r="DF233" s="503" t="str">
        <f>IF($G233="","",IF(AND($G233&gt;=30,$AT$3&lt;=DE$7),ROUND(DE233*($AP$3+#REF!),-1),""))</f>
        <v/>
      </c>
      <c r="DG233" s="503"/>
      <c r="DH233" s="503" t="str">
        <f>IF($G233="","",IF(AND($G233&gt;=30,$AT$3&lt;=DG$7),ROUND(DG233*($AP$3+#REF!),-1),""))</f>
        <v/>
      </c>
      <c r="DI233" s="503"/>
      <c r="DJ233" s="503" t="str">
        <f>IF($G233="","",IF(AND($G233&gt;=30,$AT$3&lt;=DI$7),ROUND(DI233*($AP$3+#REF!),-1),""))</f>
        <v/>
      </c>
      <c r="DK233" s="503"/>
      <c r="DL233" s="503" t="str">
        <f>IF($G233="","",IF(AND($G233&gt;=30,$AT$3&lt;=DK$7),ROUND(DK233*($AP$3+#REF!),-1),""))</f>
        <v/>
      </c>
      <c r="DM233" s="503"/>
      <c r="DN233" s="503" t="str">
        <f>IF($G233="","",IF(AND($G233&gt;=30,$AT$3&lt;=DM$7),ROUND(DM233*($AP$3+#REF!),-1),""))</f>
        <v/>
      </c>
      <c r="DO233" s="503"/>
      <c r="DP233" s="503" t="str">
        <f>IF($G233="","",IF(AND($G233&gt;=30,$AT$3&lt;=DO$7),ROUND(DO233*($AP$3+#REF!),-1),""))</f>
        <v/>
      </c>
      <c r="DQ233" s="503"/>
      <c r="DR233" s="503" t="str">
        <f>IF($G233="","",IF(AND($G233&gt;=30,$AT$3&lt;=DQ$7),ROUND(DQ233*($AP$3+#REF!),-1),""))</f>
        <v/>
      </c>
      <c r="DS233" s="503"/>
      <c r="DT233" s="503" t="str">
        <f>IF($G233="","",IF(AND($G233&gt;=30,$AT$3&lt;=DS$7),ROUND(DS233*($AP$3+#REF!),-1),""))</f>
        <v/>
      </c>
      <c r="DU233" s="503"/>
      <c r="DV233" s="503" t="str">
        <f>IF($G233="","",IF(AND($G233&gt;=30,$AT$3&lt;=DU$7),ROUND(DU233*($AP$3+#REF!),-1),""))</f>
        <v/>
      </c>
      <c r="DW233" s="503"/>
      <c r="DX233" s="503" t="str">
        <f>IF($G233="","",IF(AND($G233&gt;=30,$AT$3&lt;=DW$7),ROUND(DW233*($AP$3+#REF!),-1),""))</f>
        <v/>
      </c>
      <c r="DY233" s="503"/>
      <c r="DZ233" s="503" t="str">
        <f>IF($G233="","",IF(AND($G233&gt;=30,$AT$3&lt;=DY$7),ROUND(DY233*($AP$3+#REF!),-1),""))</f>
        <v/>
      </c>
      <c r="EA233" s="503"/>
      <c r="EB233" s="503" t="str">
        <f>IF($G233="","",IF(AND($G233&gt;=30,$AT$3&lt;=EA$7),ROUND(EA233*($AP$3+#REF!),-1),""))</f>
        <v/>
      </c>
      <c r="EC233" s="504" t="s">
        <v>621</v>
      </c>
      <c r="ED233" s="1124"/>
      <c r="EE233" s="325">
        <v>9</v>
      </c>
    </row>
    <row r="234" spans="1:135" ht="9.75" customHeight="1">
      <c r="A234" s="321" t="str">
        <f t="shared" si="54"/>
        <v/>
      </c>
      <c r="B234" s="567">
        <f>(ii!$D$13*12+V234)+1</f>
        <v>128</v>
      </c>
      <c r="C234" s="337">
        <f t="shared" si="58"/>
        <v>49248</v>
      </c>
      <c r="D234" s="484">
        <f t="shared" si="61"/>
        <v>2034</v>
      </c>
      <c r="E234" s="484">
        <f t="shared" si="59"/>
        <v>0.83333333333333337</v>
      </c>
      <c r="F234" s="484">
        <f t="shared" si="62"/>
        <v>2034.8333333333333</v>
      </c>
      <c r="G234" s="485" t="str">
        <f>IF(OR(C234&lt;$I$2,C234&gt;$J$3),"",(ii!$D$13*12+V234+1)/12)</f>
        <v/>
      </c>
      <c r="H234" s="486"/>
      <c r="I234" s="486"/>
      <c r="J234" s="487"/>
      <c r="K234" s="488"/>
      <c r="L234" s="548"/>
      <c r="M234" s="489" t="str">
        <f t="shared" si="63"/>
        <v/>
      </c>
      <c r="N234" s="490" t="s">
        <v>621</v>
      </c>
      <c r="O234" s="490" t="str">
        <f t="shared" si="56"/>
        <v/>
      </c>
      <c r="P234" s="491"/>
      <c r="Q234" s="491"/>
      <c r="R234" s="491" t="str">
        <f t="shared" si="57"/>
        <v/>
      </c>
      <c r="S234" s="528" t="str">
        <f t="shared" si="55"/>
        <v/>
      </c>
      <c r="T234" s="528" t="str">
        <f t="shared" si="53"/>
        <v/>
      </c>
      <c r="U234" s="493" t="str">
        <f>IF(H234="","",#REF!*12+#REF!+#REF!*12+#REF!)</f>
        <v/>
      </c>
      <c r="V234" s="338">
        <f>IF(ii!$J$3&gt;gg!C234,"",IF(AND((YEAR(C234)=YEAR($I$2)),MONTH(C234)=MONTH($I$2)),ii!$B$14*12+ii!$C$14+ii!$B$15*12+ii!$C$15-1,V233+1))</f>
        <v>127</v>
      </c>
      <c r="W234" s="339">
        <f t="shared" si="60"/>
        <v>10.583333333333334</v>
      </c>
      <c r="X234" s="494" t="s">
        <v>621</v>
      </c>
      <c r="Y234" s="495" t="s">
        <v>621</v>
      </c>
      <c r="Z234" s="496"/>
      <c r="AA234" s="497"/>
      <c r="AB234" s="498" t="e">
        <f t="shared" si="66"/>
        <v>#VALUE!</v>
      </c>
      <c r="AC234" s="484" t="str">
        <f t="shared" si="64"/>
        <v/>
      </c>
      <c r="AD234" s="495" t="str">
        <f t="shared" si="65"/>
        <v/>
      </c>
      <c r="AE234" s="499" t="s">
        <v>621</v>
      </c>
      <c r="AF234" s="500" t="s">
        <v>621</v>
      </c>
      <c r="AG234" s="556" t="s">
        <v>621</v>
      </c>
      <c r="AH234" s="503" t="str">
        <f>IF($G234="","",IF(AND($G234&gt;=30,$AT$3&lt;=AG$7),ROUND(AG234*($AP$3+#REF!),-1),""))</f>
        <v/>
      </c>
      <c r="AI234" s="506" t="s">
        <v>621</v>
      </c>
      <c r="AJ234" s="503" t="str">
        <f>IF($G234="","",IF(AND($G234&gt;=30,$AT$3&lt;=AI$7),ROUND(AI234*($AP$3+#REF!),-1),""))</f>
        <v/>
      </c>
      <c r="AK234" s="506" t="s">
        <v>621</v>
      </c>
      <c r="AL234" s="503" t="str">
        <f>IF($G234="","",IF(AND($G234&gt;=30,$AT$3&lt;=AK$7),ROUND(AK234*($AP$3+#REF!),-1),""))</f>
        <v/>
      </c>
      <c r="AM234" s="506" t="s">
        <v>621</v>
      </c>
      <c r="AN234" s="503" t="str">
        <f>IF($G234="","",IF(AND($G234&gt;=30,$AT$3&lt;=AM$7),ROUND(AM234*($AP$3+#REF!),-1),""))</f>
        <v/>
      </c>
      <c r="AO234" s="503" t="e">
        <v>#REF!</v>
      </c>
      <c r="AP234" s="503" t="str">
        <f>IF($G234="","",IF(AND($G234&gt;=30,$AT$3&lt;=AO$7),ROUND(AO234*($AP$3+#REF!),-1),""))</f>
        <v/>
      </c>
      <c r="AQ234" s="503" t="s">
        <v>621</v>
      </c>
      <c r="AR234" s="503" t="str">
        <f>IF($G234="","",IF(AND($G234&gt;=30,$AT$3&lt;=AQ$7),ROUND(AQ234*($AP$3+#REF!),-1),""))</f>
        <v/>
      </c>
      <c r="AS234" s="503" t="s">
        <v>621</v>
      </c>
      <c r="AT234" s="503" t="str">
        <f>IF($G234="","",IF(AND($G234&gt;=30,$AT$3&lt;=AS$7),ROUND(AS234*($AP$3+#REF!),-1),""))</f>
        <v/>
      </c>
      <c r="AU234" s="503" t="s">
        <v>621</v>
      </c>
      <c r="AV234" s="503" t="str">
        <f>IF($G234="","",IF(AND($G234&gt;=30,$AT$3&lt;=AU$7),ROUND(AU234*($AP$3+#REF!),-1),""))</f>
        <v/>
      </c>
      <c r="AW234" s="503" t="s">
        <v>621</v>
      </c>
      <c r="AX234" s="503" t="str">
        <f>IF($G234="","",IF(AND($G234&gt;=30,$AT$3&lt;=AW$7),ROUND(AW234*($AP$3+#REF!),-1),""))</f>
        <v/>
      </c>
      <c r="AY234" s="503" t="s">
        <v>621</v>
      </c>
      <c r="AZ234" s="503" t="str">
        <f>IF($G234="","",IF(AND($G234&gt;=30,$AT$3&lt;=AY$7),ROUND(AY234*($AP$3+#REF!),-1),""))</f>
        <v/>
      </c>
      <c r="BA234" s="503" t="s">
        <v>621</v>
      </c>
      <c r="BB234" s="503" t="str">
        <f>IF($G234="","",IF(AND($G234&gt;=30,$AT$3&lt;=BA$7),ROUND(BA234*($AP$3+#REF!),-1),""))</f>
        <v/>
      </c>
      <c r="BC234" s="503" t="s">
        <v>621</v>
      </c>
      <c r="BD234" s="503" t="str">
        <f>IF($G234="","",IF(AND($G234&gt;=30,$AT$3&lt;=BC$7),ROUND(BC234*($AP$3+#REF!),-1),""))</f>
        <v/>
      </c>
      <c r="BE234" s="503" t="s">
        <v>621</v>
      </c>
      <c r="BF234" s="503" t="str">
        <f>IF($G234="","",IF(AND($G234&gt;=30,$AT$3&lt;=BE$7),ROUND(BE234*($AP$3+#REF!),-1),""))</f>
        <v/>
      </c>
      <c r="BG234" s="503" t="s">
        <v>621</v>
      </c>
      <c r="BH234" s="503" t="str">
        <f>IF($G234="","",IF(AND($G234&gt;=30,$AT$3&lt;=BG$7),ROUND(BG234*($AP$3+#REF!),-1),""))</f>
        <v/>
      </c>
      <c r="BI234" s="503" t="s">
        <v>621</v>
      </c>
      <c r="BJ234" s="503" t="str">
        <f>IF($G234="","",IF(AND($G234&gt;=30,$AT$3&lt;=BI$7),ROUND(BI234*($AP$3+#REF!),-1),""))</f>
        <v/>
      </c>
      <c r="BK234" s="503" t="s">
        <v>621</v>
      </c>
      <c r="BL234" s="503" t="str">
        <f>IF($G234="","",IF(AND($G234&gt;=30,$AT$3&lt;=BK$7),ROUND(BK234*($AP$3+#REF!),-1),""))</f>
        <v/>
      </c>
      <c r="BM234" s="503" t="s">
        <v>621</v>
      </c>
      <c r="BN234" s="503" t="str">
        <f>IF($G234="","",IF(AND($G234&gt;=30,$AT$3&lt;=BM$7),ROUND(BM234*($AP$3+#REF!),-1),""))</f>
        <v/>
      </c>
      <c r="BO234" s="503" t="s">
        <v>621</v>
      </c>
      <c r="BP234" s="503" t="str">
        <f>IF($G234="","",IF(AND($G234&gt;=30,$AT$3&lt;=BO$7),ROUND(BO234*($AP$3+#REF!),-1),""))</f>
        <v/>
      </c>
      <c r="BQ234" s="517" t="e">
        <v>#REF!</v>
      </c>
      <c r="BR234" s="503" t="str">
        <f>IF($G234="","",IF(AND($G234&gt;=30,$AT$3&lt;=BQ$7),ROUND(BQ234*($AP$3+#REF!),-1),""))</f>
        <v/>
      </c>
      <c r="BS234" s="502"/>
      <c r="BT234" s="503" t="str">
        <f>IF($G234="","",IF(AND($G234&gt;=30,$AT$3&lt;=BS$7),ROUND(BS234*($AP$3+#REF!),-1),""))</f>
        <v/>
      </c>
      <c r="BU234" s="503"/>
      <c r="BV234" s="503" t="str">
        <f>IF($G234="","",IF(AND($G234&gt;=30,$AT$3&lt;=BU$7),ROUND(BU234*($AP$3+#REF!),-1),""))</f>
        <v/>
      </c>
      <c r="BW234" s="502"/>
      <c r="BX234" s="503" t="str">
        <f>IF($G234="","",IF(AND($G234&gt;=30,$AT$3&lt;=BW$7),ROUND(BW234*($AP$3+#REF!),-1),""))</f>
        <v/>
      </c>
      <c r="BY234" s="503"/>
      <c r="BZ234" s="503" t="str">
        <f>IF($G234="","",IF(AND($G234&gt;=30,$AT$3&lt;=BY$7),ROUND(BY234*($AP$3+#REF!),-1),""))</f>
        <v/>
      </c>
      <c r="CA234" s="502"/>
      <c r="CB234" s="503" t="str">
        <f>IF($G234="","",IF(AND($G234&gt;=30,$AT$3&lt;=CA$7),ROUND(CA234*($AP$3+#REF!),-1),""))</f>
        <v/>
      </c>
      <c r="CC234" s="503"/>
      <c r="CD234" s="503" t="str">
        <f>IF($G234="","",IF(AND($G234&gt;=30,$AT$3&lt;=CC$7),ROUND(CC234*($AP$3+#REF!),-1),""))</f>
        <v/>
      </c>
      <c r="CE234" s="502"/>
      <c r="CF234" s="503" t="str">
        <f>IF($G234="","",IF(AND($G234&gt;=30,$AT$3&lt;=CE$7),ROUND(CE234*($AP$3+#REF!),-1),""))</f>
        <v/>
      </c>
      <c r="CG234" s="503"/>
      <c r="CH234" s="503" t="str">
        <f>IF($G234="","",IF(AND($G234&gt;=30,$AT$3&lt;=CG$7),ROUND(CG234*($AP$3+#REF!),-1),""))</f>
        <v/>
      </c>
      <c r="CI234" s="502"/>
      <c r="CJ234" s="503" t="str">
        <f>IF($G234="","",IF(AND($G234&gt;=30,$AT$3&lt;=CI$7),ROUND(CI234*($AP$3+#REF!),-1),""))</f>
        <v/>
      </c>
      <c r="CK234" s="503"/>
      <c r="CL234" s="503" t="str">
        <f>IF($G234="","",IF(AND($G234&gt;=30,$AT$3&lt;=CK$7),ROUND(CK234*($AP$3+#REF!),-1),""))</f>
        <v/>
      </c>
      <c r="CM234" s="502"/>
      <c r="CN234" s="503" t="str">
        <f>IF($G234="","",IF(AND($G234&gt;=30,$AT$3&lt;=CM$7),ROUND(CM234*($AP$3+#REF!),-1),""))</f>
        <v/>
      </c>
      <c r="CO234" s="503"/>
      <c r="CP234" s="503" t="str">
        <f>IF($G234="","",IF(AND($G234&gt;=30,$AT$3&lt;=CO$7),ROUND(CO234*($AP$3+#REF!),-1),""))</f>
        <v/>
      </c>
      <c r="CQ234" s="502"/>
      <c r="CR234" s="503" t="str">
        <f>IF($G234="","",IF(AND($G234&gt;=30,$AT$3&lt;=CQ$7),ROUND(CQ234*($AP$3+#REF!),-1),""))</f>
        <v/>
      </c>
      <c r="CS234" s="503"/>
      <c r="CT234" s="503" t="str">
        <f>IF($G234="","",IF(AND($G234&gt;=30,$AT$3&lt;=CS$7),ROUND(CS234*($AP$3+#REF!),-1),""))</f>
        <v/>
      </c>
      <c r="CU234" s="502"/>
      <c r="CV234" s="503" t="str">
        <f>IF($G234="","",IF(AND($G234&gt;=30,$AT$3&lt;=CU$7),ROUND(CU234*($AP$3+#REF!),-1),""))</f>
        <v/>
      </c>
      <c r="CW234" s="503"/>
      <c r="CX234" s="503" t="str">
        <f>IF($G234="","",IF(AND($G234&gt;=30,$AT$3&lt;=CW$7),ROUND(CW234*($AP$3+#REF!),-1),""))</f>
        <v/>
      </c>
      <c r="CY234" s="502"/>
      <c r="CZ234" s="503" t="str">
        <f>IF($G234="","",IF(AND($G234&gt;=30,$AT$3&lt;=CY$7),ROUND(CY234*($AP$3+#REF!),-1),""))</f>
        <v/>
      </c>
      <c r="DA234" s="503"/>
      <c r="DB234" s="503" t="str">
        <f>IF($G234="","",IF(AND($G234&gt;=30,$AT$3&lt;=DA$7),ROUND(DA234*($AP$3+#REF!),-1),""))</f>
        <v/>
      </c>
      <c r="DC234" s="502"/>
      <c r="DD234" s="503" t="str">
        <f>IF($G234="","",IF(AND($G234&gt;=30,$AT$3&lt;=DC$7),ROUND(DC234*($AP$3+#REF!),-1),""))</f>
        <v/>
      </c>
      <c r="DE234" s="503"/>
      <c r="DF234" s="503" t="str">
        <f>IF($G234="","",IF(AND($G234&gt;=30,$AT$3&lt;=DE$7),ROUND(DE234*($AP$3+#REF!),-1),""))</f>
        <v/>
      </c>
      <c r="DG234" s="503"/>
      <c r="DH234" s="503" t="str">
        <f>IF($G234="","",IF(AND($G234&gt;=30,$AT$3&lt;=DG$7),ROUND(DG234*($AP$3+#REF!),-1),""))</f>
        <v/>
      </c>
      <c r="DI234" s="503"/>
      <c r="DJ234" s="503" t="str">
        <f>IF($G234="","",IF(AND($G234&gt;=30,$AT$3&lt;=DI$7),ROUND(DI234*($AP$3+#REF!),-1),""))</f>
        <v/>
      </c>
      <c r="DK234" s="503"/>
      <c r="DL234" s="503" t="str">
        <f>IF($G234="","",IF(AND($G234&gt;=30,$AT$3&lt;=DK$7),ROUND(DK234*($AP$3+#REF!),-1),""))</f>
        <v/>
      </c>
      <c r="DM234" s="503"/>
      <c r="DN234" s="503" t="str">
        <f>IF($G234="","",IF(AND($G234&gt;=30,$AT$3&lt;=DM$7),ROUND(DM234*($AP$3+#REF!),-1),""))</f>
        <v/>
      </c>
      <c r="DO234" s="503"/>
      <c r="DP234" s="503" t="str">
        <f>IF($G234="","",IF(AND($G234&gt;=30,$AT$3&lt;=DO$7),ROUND(DO234*($AP$3+#REF!),-1),""))</f>
        <v/>
      </c>
      <c r="DQ234" s="503"/>
      <c r="DR234" s="503" t="str">
        <f>IF($G234="","",IF(AND($G234&gt;=30,$AT$3&lt;=DQ$7),ROUND(DQ234*($AP$3+#REF!),-1),""))</f>
        <v/>
      </c>
      <c r="DS234" s="503"/>
      <c r="DT234" s="503" t="str">
        <f>IF($G234="","",IF(AND($G234&gt;=30,$AT$3&lt;=DS$7),ROUND(DS234*($AP$3+#REF!),-1),""))</f>
        <v/>
      </c>
      <c r="DU234" s="503"/>
      <c r="DV234" s="503" t="str">
        <f>IF($G234="","",IF(AND($G234&gt;=30,$AT$3&lt;=DU$7),ROUND(DU234*($AP$3+#REF!),-1),""))</f>
        <v/>
      </c>
      <c r="DW234" s="503"/>
      <c r="DX234" s="503" t="str">
        <f>IF($G234="","",IF(AND($G234&gt;=30,$AT$3&lt;=DW$7),ROUND(DW234*($AP$3+#REF!),-1),""))</f>
        <v/>
      </c>
      <c r="DY234" s="503"/>
      <c r="DZ234" s="503" t="str">
        <f>IF($G234="","",IF(AND($G234&gt;=30,$AT$3&lt;=DY$7),ROUND(DY234*($AP$3+#REF!),-1),""))</f>
        <v/>
      </c>
      <c r="EA234" s="503"/>
      <c r="EB234" s="503" t="str">
        <f>IF($G234="","",IF(AND($G234&gt;=30,$AT$3&lt;=EA$7),ROUND(EA234*($AP$3+#REF!),-1),""))</f>
        <v/>
      </c>
      <c r="EC234" s="504" t="s">
        <v>621</v>
      </c>
      <c r="ED234" s="1124"/>
      <c r="EE234" s="325">
        <v>10</v>
      </c>
    </row>
    <row r="235" spans="1:135" ht="9.75" customHeight="1">
      <c r="A235" s="321" t="str">
        <f t="shared" si="54"/>
        <v/>
      </c>
      <c r="B235" s="567">
        <f>(ii!$D$13*12+V235)+1</f>
        <v>129</v>
      </c>
      <c r="C235" s="337">
        <f t="shared" si="58"/>
        <v>49278</v>
      </c>
      <c r="D235" s="484">
        <f t="shared" si="61"/>
        <v>2034</v>
      </c>
      <c r="E235" s="484">
        <f t="shared" si="59"/>
        <v>0.91666666666666663</v>
      </c>
      <c r="F235" s="484">
        <f t="shared" si="62"/>
        <v>2034.9166666666667</v>
      </c>
      <c r="G235" s="485" t="str">
        <f>IF(OR(C235&lt;$I$2,C235&gt;$J$3),"",(ii!$D$13*12+V235+1)/12)</f>
        <v/>
      </c>
      <c r="H235" s="486"/>
      <c r="I235" s="486"/>
      <c r="J235" s="487"/>
      <c r="K235" s="488"/>
      <c r="L235" s="548"/>
      <c r="M235" s="489" t="str">
        <f t="shared" si="63"/>
        <v/>
      </c>
      <c r="N235" s="490" t="s">
        <v>621</v>
      </c>
      <c r="O235" s="490" t="str">
        <f t="shared" si="56"/>
        <v/>
      </c>
      <c r="P235" s="491"/>
      <c r="Q235" s="491"/>
      <c r="R235" s="491" t="str">
        <f t="shared" si="57"/>
        <v/>
      </c>
      <c r="S235" s="528" t="str">
        <f t="shared" si="55"/>
        <v/>
      </c>
      <c r="T235" s="528" t="str">
        <f t="shared" si="53"/>
        <v/>
      </c>
      <c r="U235" s="493" t="str">
        <f>IF(H235="","",#REF!*12+#REF!+#REF!*12+#REF!)</f>
        <v/>
      </c>
      <c r="V235" s="338">
        <f>IF(ii!$J$3&gt;gg!C235,"",IF(AND((YEAR(C235)=YEAR($I$2)),MONTH(C235)=MONTH($I$2)),ii!$B$14*12+ii!$C$14+ii!$B$15*12+ii!$C$15-1,V234+1))</f>
        <v>128</v>
      </c>
      <c r="W235" s="339">
        <f t="shared" si="60"/>
        <v>10.666666666666666</v>
      </c>
      <c r="X235" s="494" t="s">
        <v>621</v>
      </c>
      <c r="Y235" s="495" t="s">
        <v>621</v>
      </c>
      <c r="Z235" s="496"/>
      <c r="AA235" s="497"/>
      <c r="AB235" s="498" t="e">
        <f t="shared" si="66"/>
        <v>#VALUE!</v>
      </c>
      <c r="AC235" s="484" t="str">
        <f t="shared" si="64"/>
        <v/>
      </c>
      <c r="AD235" s="495" t="str">
        <f t="shared" si="65"/>
        <v/>
      </c>
      <c r="AE235" s="499" t="s">
        <v>621</v>
      </c>
      <c r="AF235" s="500" t="s">
        <v>621</v>
      </c>
      <c r="AG235" s="556" t="s">
        <v>621</v>
      </c>
      <c r="AH235" s="503" t="str">
        <f>IF($G235="","",IF(AND($G235&gt;=30,$AT$3&lt;=AG$7),ROUND(AG235*($AP$3+#REF!),-1),""))</f>
        <v/>
      </c>
      <c r="AI235" s="506" t="s">
        <v>621</v>
      </c>
      <c r="AJ235" s="503" t="str">
        <f>IF($G235="","",IF(AND($G235&gt;=30,$AT$3&lt;=AI$7),ROUND(AI235*($AP$3+#REF!),-1),""))</f>
        <v/>
      </c>
      <c r="AK235" s="506" t="s">
        <v>621</v>
      </c>
      <c r="AL235" s="503" t="str">
        <f>IF($G235="","",IF(AND($G235&gt;=30,$AT$3&lt;=AK$7),ROUND(AK235*($AP$3+#REF!),-1),""))</f>
        <v/>
      </c>
      <c r="AM235" s="506" t="s">
        <v>621</v>
      </c>
      <c r="AN235" s="503" t="str">
        <f>IF($G235="","",IF(AND($G235&gt;=30,$AT$3&lt;=AM$7),ROUND(AM235*($AP$3+#REF!),-1),""))</f>
        <v/>
      </c>
      <c r="AO235" s="503" t="e">
        <v>#REF!</v>
      </c>
      <c r="AP235" s="503" t="str">
        <f>IF($G235="","",IF(AND($G235&gt;=30,$AT$3&lt;=AO$7),ROUND(AO235*($AP$3+#REF!),-1),""))</f>
        <v/>
      </c>
      <c r="AQ235" s="503" t="s">
        <v>621</v>
      </c>
      <c r="AR235" s="503" t="str">
        <f>IF($G235="","",IF(AND($G235&gt;=30,$AT$3&lt;=AQ$7),ROUND(AQ235*($AP$3+#REF!),-1),""))</f>
        <v/>
      </c>
      <c r="AS235" s="503" t="s">
        <v>621</v>
      </c>
      <c r="AT235" s="503" t="str">
        <f>IF($G235="","",IF(AND($G235&gt;=30,$AT$3&lt;=AS$7),ROUND(AS235*($AP$3+#REF!),-1),""))</f>
        <v/>
      </c>
      <c r="AU235" s="503" t="s">
        <v>621</v>
      </c>
      <c r="AV235" s="503" t="str">
        <f>IF($G235="","",IF(AND($G235&gt;=30,$AT$3&lt;=AU$7),ROUND(AU235*($AP$3+#REF!),-1),""))</f>
        <v/>
      </c>
      <c r="AW235" s="503" t="s">
        <v>621</v>
      </c>
      <c r="AX235" s="503" t="str">
        <f>IF($G235="","",IF(AND($G235&gt;=30,$AT$3&lt;=AW$7),ROUND(AW235*($AP$3+#REF!),-1),""))</f>
        <v/>
      </c>
      <c r="AY235" s="503" t="s">
        <v>621</v>
      </c>
      <c r="AZ235" s="503" t="str">
        <f>IF($G235="","",IF(AND($G235&gt;=30,$AT$3&lt;=AY$7),ROUND(AY235*($AP$3+#REF!),-1),""))</f>
        <v/>
      </c>
      <c r="BA235" s="503" t="s">
        <v>621</v>
      </c>
      <c r="BB235" s="503" t="str">
        <f>IF($G235="","",IF(AND($G235&gt;=30,$AT$3&lt;=BA$7),ROUND(BA235*($AP$3+#REF!),-1),""))</f>
        <v/>
      </c>
      <c r="BC235" s="503" t="s">
        <v>621</v>
      </c>
      <c r="BD235" s="503" t="str">
        <f>IF($G235="","",IF(AND($G235&gt;=30,$AT$3&lt;=BC$7),ROUND(BC235*($AP$3+#REF!),-1),""))</f>
        <v/>
      </c>
      <c r="BE235" s="503" t="s">
        <v>621</v>
      </c>
      <c r="BF235" s="503" t="str">
        <f>IF($G235="","",IF(AND($G235&gt;=30,$AT$3&lt;=BE$7),ROUND(BE235*($AP$3+#REF!),-1),""))</f>
        <v/>
      </c>
      <c r="BG235" s="503" t="s">
        <v>621</v>
      </c>
      <c r="BH235" s="503" t="str">
        <f>IF($G235="","",IF(AND($G235&gt;=30,$AT$3&lt;=BG$7),ROUND(BG235*($AP$3+#REF!),-1),""))</f>
        <v/>
      </c>
      <c r="BI235" s="503" t="s">
        <v>621</v>
      </c>
      <c r="BJ235" s="503" t="str">
        <f>IF($G235="","",IF(AND($G235&gt;=30,$AT$3&lt;=BI$7),ROUND(BI235*($AP$3+#REF!),-1),""))</f>
        <v/>
      </c>
      <c r="BK235" s="503" t="s">
        <v>621</v>
      </c>
      <c r="BL235" s="503" t="str">
        <f>IF($G235="","",IF(AND($G235&gt;=30,$AT$3&lt;=BK$7),ROUND(BK235*($AP$3+#REF!),-1),""))</f>
        <v/>
      </c>
      <c r="BM235" s="503" t="s">
        <v>621</v>
      </c>
      <c r="BN235" s="503" t="str">
        <f>IF($G235="","",IF(AND($G235&gt;=30,$AT$3&lt;=BM$7),ROUND(BM235*($AP$3+#REF!),-1),""))</f>
        <v/>
      </c>
      <c r="BO235" s="503" t="s">
        <v>621</v>
      </c>
      <c r="BP235" s="503" t="str">
        <f>IF($G235="","",IF(AND($G235&gt;=30,$AT$3&lt;=BO$7),ROUND(BO235*($AP$3+#REF!),-1),""))</f>
        <v/>
      </c>
      <c r="BQ235" s="517" t="e">
        <v>#REF!</v>
      </c>
      <c r="BR235" s="503" t="str">
        <f>IF($G235="","",IF(AND($G235&gt;=30,$AT$3&lt;=BQ$7),ROUND(BQ235*($AP$3+#REF!),-1),""))</f>
        <v/>
      </c>
      <c r="BS235" s="502"/>
      <c r="BT235" s="503" t="str">
        <f>IF($G235="","",IF(AND($G235&gt;=30,$AT$3&lt;=BS$7),ROUND(BS235*($AP$3+#REF!),-1),""))</f>
        <v/>
      </c>
      <c r="BU235" s="503"/>
      <c r="BV235" s="503" t="str">
        <f>IF($G235="","",IF(AND($G235&gt;=30,$AT$3&lt;=BU$7),ROUND(BU235*($AP$3+#REF!),-1),""))</f>
        <v/>
      </c>
      <c r="BW235" s="502"/>
      <c r="BX235" s="503" t="str">
        <f>IF($G235="","",IF(AND($G235&gt;=30,$AT$3&lt;=BW$7),ROUND(BW235*($AP$3+#REF!),-1),""))</f>
        <v/>
      </c>
      <c r="BY235" s="503"/>
      <c r="BZ235" s="503" t="str">
        <f>IF($G235="","",IF(AND($G235&gt;=30,$AT$3&lt;=BY$7),ROUND(BY235*($AP$3+#REF!),-1),""))</f>
        <v/>
      </c>
      <c r="CA235" s="502"/>
      <c r="CB235" s="503" t="str">
        <f>IF($G235="","",IF(AND($G235&gt;=30,$AT$3&lt;=CA$7),ROUND(CA235*($AP$3+#REF!),-1),""))</f>
        <v/>
      </c>
      <c r="CC235" s="503"/>
      <c r="CD235" s="503" t="str">
        <f>IF($G235="","",IF(AND($G235&gt;=30,$AT$3&lt;=CC$7),ROUND(CC235*($AP$3+#REF!),-1),""))</f>
        <v/>
      </c>
      <c r="CE235" s="502"/>
      <c r="CF235" s="503" t="str">
        <f>IF($G235="","",IF(AND($G235&gt;=30,$AT$3&lt;=CE$7),ROUND(CE235*($AP$3+#REF!),-1),""))</f>
        <v/>
      </c>
      <c r="CG235" s="503"/>
      <c r="CH235" s="503" t="str">
        <f>IF($G235="","",IF(AND($G235&gt;=30,$AT$3&lt;=CG$7),ROUND(CG235*($AP$3+#REF!),-1),""))</f>
        <v/>
      </c>
      <c r="CI235" s="502"/>
      <c r="CJ235" s="503" t="str">
        <f>IF($G235="","",IF(AND($G235&gt;=30,$AT$3&lt;=CI$7),ROUND(CI235*($AP$3+#REF!),-1),""))</f>
        <v/>
      </c>
      <c r="CK235" s="503"/>
      <c r="CL235" s="503" t="str">
        <f>IF($G235="","",IF(AND($G235&gt;=30,$AT$3&lt;=CK$7),ROUND(CK235*($AP$3+#REF!),-1),""))</f>
        <v/>
      </c>
      <c r="CM235" s="502"/>
      <c r="CN235" s="503" t="str">
        <f>IF($G235="","",IF(AND($G235&gt;=30,$AT$3&lt;=CM$7),ROUND(CM235*($AP$3+#REF!),-1),""))</f>
        <v/>
      </c>
      <c r="CO235" s="503"/>
      <c r="CP235" s="503" t="str">
        <f>IF($G235="","",IF(AND($G235&gt;=30,$AT$3&lt;=CO$7),ROUND(CO235*($AP$3+#REF!),-1),""))</f>
        <v/>
      </c>
      <c r="CQ235" s="502"/>
      <c r="CR235" s="503" t="str">
        <f>IF($G235="","",IF(AND($G235&gt;=30,$AT$3&lt;=CQ$7),ROUND(CQ235*($AP$3+#REF!),-1),""))</f>
        <v/>
      </c>
      <c r="CS235" s="503"/>
      <c r="CT235" s="503" t="str">
        <f>IF($G235="","",IF(AND($G235&gt;=30,$AT$3&lt;=CS$7),ROUND(CS235*($AP$3+#REF!),-1),""))</f>
        <v/>
      </c>
      <c r="CU235" s="502"/>
      <c r="CV235" s="503" t="str">
        <f>IF($G235="","",IF(AND($G235&gt;=30,$AT$3&lt;=CU$7),ROUND(CU235*($AP$3+#REF!),-1),""))</f>
        <v/>
      </c>
      <c r="CW235" s="503"/>
      <c r="CX235" s="503" t="str">
        <f>IF($G235="","",IF(AND($G235&gt;=30,$AT$3&lt;=CW$7),ROUND(CW235*($AP$3+#REF!),-1),""))</f>
        <v/>
      </c>
      <c r="CY235" s="502"/>
      <c r="CZ235" s="503" t="str">
        <f>IF($G235="","",IF(AND($G235&gt;=30,$AT$3&lt;=CY$7),ROUND(CY235*($AP$3+#REF!),-1),""))</f>
        <v/>
      </c>
      <c r="DA235" s="503"/>
      <c r="DB235" s="503" t="str">
        <f>IF($G235="","",IF(AND($G235&gt;=30,$AT$3&lt;=DA$7),ROUND(DA235*($AP$3+#REF!),-1),""))</f>
        <v/>
      </c>
      <c r="DC235" s="502"/>
      <c r="DD235" s="503" t="str">
        <f>IF($G235="","",IF(AND($G235&gt;=30,$AT$3&lt;=DC$7),ROUND(DC235*($AP$3+#REF!),-1),""))</f>
        <v/>
      </c>
      <c r="DE235" s="503"/>
      <c r="DF235" s="503" t="str">
        <f>IF($G235="","",IF(AND($G235&gt;=30,$AT$3&lt;=DE$7),ROUND(DE235*($AP$3+#REF!),-1),""))</f>
        <v/>
      </c>
      <c r="DG235" s="503"/>
      <c r="DH235" s="503" t="str">
        <f>IF($G235="","",IF(AND($G235&gt;=30,$AT$3&lt;=DG$7),ROUND(DG235*($AP$3+#REF!),-1),""))</f>
        <v/>
      </c>
      <c r="DI235" s="503"/>
      <c r="DJ235" s="503" t="str">
        <f>IF($G235="","",IF(AND($G235&gt;=30,$AT$3&lt;=DI$7),ROUND(DI235*($AP$3+#REF!),-1),""))</f>
        <v/>
      </c>
      <c r="DK235" s="503"/>
      <c r="DL235" s="503" t="str">
        <f>IF($G235="","",IF(AND($G235&gt;=30,$AT$3&lt;=DK$7),ROUND(DK235*($AP$3+#REF!),-1),""))</f>
        <v/>
      </c>
      <c r="DM235" s="503"/>
      <c r="DN235" s="503" t="str">
        <f>IF($G235="","",IF(AND($G235&gt;=30,$AT$3&lt;=DM$7),ROUND(DM235*($AP$3+#REF!),-1),""))</f>
        <v/>
      </c>
      <c r="DO235" s="503"/>
      <c r="DP235" s="503" t="str">
        <f>IF($G235="","",IF(AND($G235&gt;=30,$AT$3&lt;=DO$7),ROUND(DO235*($AP$3+#REF!),-1),""))</f>
        <v/>
      </c>
      <c r="DQ235" s="503"/>
      <c r="DR235" s="503" t="str">
        <f>IF($G235="","",IF(AND($G235&gt;=30,$AT$3&lt;=DQ$7),ROUND(DQ235*($AP$3+#REF!),-1),""))</f>
        <v/>
      </c>
      <c r="DS235" s="503"/>
      <c r="DT235" s="503" t="str">
        <f>IF($G235="","",IF(AND($G235&gt;=30,$AT$3&lt;=DS$7),ROUND(DS235*($AP$3+#REF!),-1),""))</f>
        <v/>
      </c>
      <c r="DU235" s="503"/>
      <c r="DV235" s="503" t="str">
        <f>IF($G235="","",IF(AND($G235&gt;=30,$AT$3&lt;=DU$7),ROUND(DU235*($AP$3+#REF!),-1),""))</f>
        <v/>
      </c>
      <c r="DW235" s="503"/>
      <c r="DX235" s="503" t="str">
        <f>IF($G235="","",IF(AND($G235&gt;=30,$AT$3&lt;=DW$7),ROUND(DW235*($AP$3+#REF!),-1),""))</f>
        <v/>
      </c>
      <c r="DY235" s="503"/>
      <c r="DZ235" s="503" t="str">
        <f>IF($G235="","",IF(AND($G235&gt;=30,$AT$3&lt;=DY$7),ROUND(DY235*($AP$3+#REF!),-1),""))</f>
        <v/>
      </c>
      <c r="EA235" s="503"/>
      <c r="EB235" s="503" t="str">
        <f>IF($G235="","",IF(AND($G235&gt;=30,$AT$3&lt;=EA$7),ROUND(EA235*($AP$3+#REF!),-1),""))</f>
        <v/>
      </c>
      <c r="EC235" s="504" t="s">
        <v>621</v>
      </c>
      <c r="ED235" s="1124"/>
      <c r="EE235" s="325">
        <v>11</v>
      </c>
    </row>
    <row r="236" spans="1:135" ht="9.75" customHeight="1">
      <c r="A236" s="321" t="str">
        <f t="shared" si="54"/>
        <v/>
      </c>
      <c r="B236" s="567">
        <f>(ii!$D$13*12+V236)+1</f>
        <v>130</v>
      </c>
      <c r="C236" s="337">
        <f t="shared" si="58"/>
        <v>49309</v>
      </c>
      <c r="D236" s="484">
        <f t="shared" si="61"/>
        <v>2034</v>
      </c>
      <c r="E236" s="484">
        <f t="shared" si="59"/>
        <v>1</v>
      </c>
      <c r="F236" s="484">
        <f t="shared" si="62"/>
        <v>2035</v>
      </c>
      <c r="G236" s="485" t="str">
        <f>IF(OR(C236&lt;$I$2,C236&gt;$J$3),"",(ii!$D$13*12+V236+1)/12)</f>
        <v/>
      </c>
      <c r="H236" s="486"/>
      <c r="I236" s="486"/>
      <c r="J236" s="487"/>
      <c r="K236" s="488"/>
      <c r="L236" s="548"/>
      <c r="M236" s="489" t="str">
        <f t="shared" si="63"/>
        <v/>
      </c>
      <c r="N236" s="490" t="s">
        <v>621</v>
      </c>
      <c r="O236" s="490" t="str">
        <f t="shared" si="56"/>
        <v/>
      </c>
      <c r="P236" s="491"/>
      <c r="Q236" s="491"/>
      <c r="R236" s="491" t="str">
        <f t="shared" si="57"/>
        <v/>
      </c>
      <c r="S236" s="528" t="str">
        <f t="shared" si="55"/>
        <v/>
      </c>
      <c r="T236" s="528" t="str">
        <f t="shared" si="53"/>
        <v/>
      </c>
      <c r="U236" s="493" t="str">
        <f>IF(H236="","",#REF!*12+#REF!+#REF!*12+#REF!)</f>
        <v/>
      </c>
      <c r="V236" s="338">
        <f>IF(ii!$J$3&gt;gg!C236,"",IF(AND((YEAR(C236)=YEAR($I$2)),MONTH(C236)=MONTH($I$2)),ii!$B$14*12+ii!$C$14+ii!$B$15*12+ii!$C$15-1,V235+1))</f>
        <v>129</v>
      </c>
      <c r="W236" s="339">
        <f t="shared" si="60"/>
        <v>10.75</v>
      </c>
      <c r="X236" s="494" t="s">
        <v>621</v>
      </c>
      <c r="Y236" s="495" t="s">
        <v>621</v>
      </c>
      <c r="Z236" s="496"/>
      <c r="AA236" s="497"/>
      <c r="AB236" s="498" t="e">
        <f t="shared" si="66"/>
        <v>#VALUE!</v>
      </c>
      <c r="AC236" s="484" t="str">
        <f t="shared" si="64"/>
        <v/>
      </c>
      <c r="AD236" s="495" t="str">
        <f t="shared" si="65"/>
        <v/>
      </c>
      <c r="AE236" s="499" t="s">
        <v>621</v>
      </c>
      <c r="AF236" s="500" t="s">
        <v>621</v>
      </c>
      <c r="AG236" s="556" t="s">
        <v>621</v>
      </c>
      <c r="AH236" s="503" t="str">
        <f>IF($G236="","",IF(AND($G236&gt;=30,$AT$3&lt;=AG$7),ROUND(AG236*($AP$3+#REF!),-1),""))</f>
        <v/>
      </c>
      <c r="AI236" s="506" t="s">
        <v>621</v>
      </c>
      <c r="AJ236" s="503" t="str">
        <f>IF($G236="","",IF(AND($G236&gt;=30,$AT$3&lt;=AI$7),ROUND(AI236*($AP$3+#REF!),-1),""))</f>
        <v/>
      </c>
      <c r="AK236" s="506" t="s">
        <v>621</v>
      </c>
      <c r="AL236" s="503" t="str">
        <f>IF($G236="","",IF(AND($G236&gt;=30,$AT$3&lt;=AK$7),ROUND(AK236*($AP$3+#REF!),-1),""))</f>
        <v/>
      </c>
      <c r="AM236" s="506" t="s">
        <v>621</v>
      </c>
      <c r="AN236" s="503" t="str">
        <f>IF($G236="","",IF(AND($G236&gt;=30,$AT$3&lt;=AM$7),ROUND(AM236*($AP$3+#REF!),-1),""))</f>
        <v/>
      </c>
      <c r="AO236" s="503" t="e">
        <v>#REF!</v>
      </c>
      <c r="AP236" s="503" t="str">
        <f>IF($G236="","",IF(AND($G236&gt;=30,$AT$3&lt;=AO$7),ROUND(AO236*($AP$3+#REF!),-1),""))</f>
        <v/>
      </c>
      <c r="AQ236" s="503" t="s">
        <v>621</v>
      </c>
      <c r="AR236" s="503" t="str">
        <f>IF($G236="","",IF(AND($G236&gt;=30,$AT$3&lt;=AQ$7),ROUND(AQ236*($AP$3+#REF!),-1),""))</f>
        <v/>
      </c>
      <c r="AS236" s="503" t="s">
        <v>621</v>
      </c>
      <c r="AT236" s="503" t="str">
        <f>IF($G236="","",IF(AND($G236&gt;=30,$AT$3&lt;=AS$7),ROUND(AS236*($AP$3+#REF!),-1),""))</f>
        <v/>
      </c>
      <c r="AU236" s="503" t="s">
        <v>621</v>
      </c>
      <c r="AV236" s="503" t="str">
        <f>IF($G236="","",IF(AND($G236&gt;=30,$AT$3&lt;=AU$7),ROUND(AU236*($AP$3+#REF!),-1),""))</f>
        <v/>
      </c>
      <c r="AW236" s="503" t="s">
        <v>621</v>
      </c>
      <c r="AX236" s="503" t="str">
        <f>IF($G236="","",IF(AND($G236&gt;=30,$AT$3&lt;=AW$7),ROUND(AW236*($AP$3+#REF!),-1),""))</f>
        <v/>
      </c>
      <c r="AY236" s="503" t="s">
        <v>621</v>
      </c>
      <c r="AZ236" s="503" t="str">
        <f>IF($G236="","",IF(AND($G236&gt;=30,$AT$3&lt;=AY$7),ROUND(AY236*($AP$3+#REF!),-1),""))</f>
        <v/>
      </c>
      <c r="BA236" s="503" t="s">
        <v>621</v>
      </c>
      <c r="BB236" s="503" t="str">
        <f>IF($G236="","",IF(AND($G236&gt;=30,$AT$3&lt;=BA$7),ROUND(BA236*($AP$3+#REF!),-1),""))</f>
        <v/>
      </c>
      <c r="BC236" s="503" t="s">
        <v>621</v>
      </c>
      <c r="BD236" s="503" t="str">
        <f>IF($G236="","",IF(AND($G236&gt;=30,$AT$3&lt;=BC$7),ROUND(BC236*($AP$3+#REF!),-1),""))</f>
        <v/>
      </c>
      <c r="BE236" s="503" t="s">
        <v>621</v>
      </c>
      <c r="BF236" s="503" t="str">
        <f>IF($G236="","",IF(AND($G236&gt;=30,$AT$3&lt;=BE$7),ROUND(BE236*($AP$3+#REF!),-1),""))</f>
        <v/>
      </c>
      <c r="BG236" s="503" t="s">
        <v>621</v>
      </c>
      <c r="BH236" s="503" t="str">
        <f>IF($G236="","",IF(AND($G236&gt;=30,$AT$3&lt;=BG$7),ROUND(BG236*($AP$3+#REF!),-1),""))</f>
        <v/>
      </c>
      <c r="BI236" s="503" t="s">
        <v>621</v>
      </c>
      <c r="BJ236" s="503" t="str">
        <f>IF($G236="","",IF(AND($G236&gt;=30,$AT$3&lt;=BI$7),ROUND(BI236*($AP$3+#REF!),-1),""))</f>
        <v/>
      </c>
      <c r="BK236" s="503" t="s">
        <v>621</v>
      </c>
      <c r="BL236" s="503" t="str">
        <f>IF($G236="","",IF(AND($G236&gt;=30,$AT$3&lt;=BK$7),ROUND(BK236*($AP$3+#REF!),-1),""))</f>
        <v/>
      </c>
      <c r="BM236" s="503" t="s">
        <v>621</v>
      </c>
      <c r="BN236" s="503" t="str">
        <f>IF($G236="","",IF(AND($G236&gt;=30,$AT$3&lt;=BM$7),ROUND(BM236*($AP$3+#REF!),-1),""))</f>
        <v/>
      </c>
      <c r="BO236" s="503" t="s">
        <v>621</v>
      </c>
      <c r="BP236" s="503" t="str">
        <f>IF($G236="","",IF(AND($G236&gt;=30,$AT$3&lt;=BO$7),ROUND(BO236*($AP$3+#REF!),-1),""))</f>
        <v/>
      </c>
      <c r="BQ236" s="517" t="e">
        <v>#REF!</v>
      </c>
      <c r="BR236" s="503" t="str">
        <f>IF($G236="","",IF(AND($G236&gt;=30,$AT$3&lt;=BQ$7),ROUND(BQ236*($AP$3+#REF!),-1),""))</f>
        <v/>
      </c>
      <c r="BS236" s="502"/>
      <c r="BT236" s="503" t="str">
        <f>IF($G236="","",IF(AND($G236&gt;=30,$AT$3&lt;=BS$7),ROUND(BS236*($AP$3+#REF!),-1),""))</f>
        <v/>
      </c>
      <c r="BU236" s="503"/>
      <c r="BV236" s="503" t="str">
        <f>IF($G236="","",IF(AND($G236&gt;=30,$AT$3&lt;=BU$7),ROUND(BU236*($AP$3+#REF!),-1),""))</f>
        <v/>
      </c>
      <c r="BW236" s="502"/>
      <c r="BX236" s="503" t="str">
        <f>IF($G236="","",IF(AND($G236&gt;=30,$AT$3&lt;=BW$7),ROUND(BW236*($AP$3+#REF!),-1),""))</f>
        <v/>
      </c>
      <c r="BY236" s="503"/>
      <c r="BZ236" s="503" t="str">
        <f>IF($G236="","",IF(AND($G236&gt;=30,$AT$3&lt;=BY$7),ROUND(BY236*($AP$3+#REF!),-1),""))</f>
        <v/>
      </c>
      <c r="CA236" s="502"/>
      <c r="CB236" s="503" t="str">
        <f>IF($G236="","",IF(AND($G236&gt;=30,$AT$3&lt;=CA$7),ROUND(CA236*($AP$3+#REF!),-1),""))</f>
        <v/>
      </c>
      <c r="CC236" s="503"/>
      <c r="CD236" s="503" t="str">
        <f>IF($G236="","",IF(AND($G236&gt;=30,$AT$3&lt;=CC$7),ROUND(CC236*($AP$3+#REF!),-1),""))</f>
        <v/>
      </c>
      <c r="CE236" s="502"/>
      <c r="CF236" s="503" t="str">
        <f>IF($G236="","",IF(AND($G236&gt;=30,$AT$3&lt;=CE$7),ROUND(CE236*($AP$3+#REF!),-1),""))</f>
        <v/>
      </c>
      <c r="CG236" s="503"/>
      <c r="CH236" s="503" t="str">
        <f>IF($G236="","",IF(AND($G236&gt;=30,$AT$3&lt;=CG$7),ROUND(CG236*($AP$3+#REF!),-1),""))</f>
        <v/>
      </c>
      <c r="CI236" s="502"/>
      <c r="CJ236" s="503" t="str">
        <f>IF($G236="","",IF(AND($G236&gt;=30,$AT$3&lt;=CI$7),ROUND(CI236*($AP$3+#REF!),-1),""))</f>
        <v/>
      </c>
      <c r="CK236" s="503"/>
      <c r="CL236" s="503" t="str">
        <f>IF($G236="","",IF(AND($G236&gt;=30,$AT$3&lt;=CK$7),ROUND(CK236*($AP$3+#REF!),-1),""))</f>
        <v/>
      </c>
      <c r="CM236" s="502"/>
      <c r="CN236" s="503" t="str">
        <f>IF($G236="","",IF(AND($G236&gt;=30,$AT$3&lt;=CM$7),ROUND(CM236*($AP$3+#REF!),-1),""))</f>
        <v/>
      </c>
      <c r="CO236" s="503"/>
      <c r="CP236" s="503" t="str">
        <f>IF($G236="","",IF(AND($G236&gt;=30,$AT$3&lt;=CO$7),ROUND(CO236*($AP$3+#REF!),-1),""))</f>
        <v/>
      </c>
      <c r="CQ236" s="502"/>
      <c r="CR236" s="503" t="str">
        <f>IF($G236="","",IF(AND($G236&gt;=30,$AT$3&lt;=CQ$7),ROUND(CQ236*($AP$3+#REF!),-1),""))</f>
        <v/>
      </c>
      <c r="CS236" s="503"/>
      <c r="CT236" s="503" t="str">
        <f>IF($G236="","",IF(AND($G236&gt;=30,$AT$3&lt;=CS$7),ROUND(CS236*($AP$3+#REF!),-1),""))</f>
        <v/>
      </c>
      <c r="CU236" s="502"/>
      <c r="CV236" s="503" t="str">
        <f>IF($G236="","",IF(AND($G236&gt;=30,$AT$3&lt;=CU$7),ROUND(CU236*($AP$3+#REF!),-1),""))</f>
        <v/>
      </c>
      <c r="CW236" s="503"/>
      <c r="CX236" s="503" t="str">
        <f>IF($G236="","",IF(AND($G236&gt;=30,$AT$3&lt;=CW$7),ROUND(CW236*($AP$3+#REF!),-1),""))</f>
        <v/>
      </c>
      <c r="CY236" s="502"/>
      <c r="CZ236" s="503" t="str">
        <f>IF($G236="","",IF(AND($G236&gt;=30,$AT$3&lt;=CY$7),ROUND(CY236*($AP$3+#REF!),-1),""))</f>
        <v/>
      </c>
      <c r="DA236" s="503"/>
      <c r="DB236" s="503" t="str">
        <f>IF($G236="","",IF(AND($G236&gt;=30,$AT$3&lt;=DA$7),ROUND(DA236*($AP$3+#REF!),-1),""))</f>
        <v/>
      </c>
      <c r="DC236" s="502"/>
      <c r="DD236" s="503" t="str">
        <f>IF($G236="","",IF(AND($G236&gt;=30,$AT$3&lt;=DC$7),ROUND(DC236*($AP$3+#REF!),-1),""))</f>
        <v/>
      </c>
      <c r="DE236" s="503"/>
      <c r="DF236" s="503" t="str">
        <f>IF($G236="","",IF(AND($G236&gt;=30,$AT$3&lt;=DE$7),ROUND(DE236*($AP$3+#REF!),-1),""))</f>
        <v/>
      </c>
      <c r="DG236" s="503"/>
      <c r="DH236" s="503" t="str">
        <f>IF($G236="","",IF(AND($G236&gt;=30,$AT$3&lt;=DG$7),ROUND(DG236*($AP$3+#REF!),-1),""))</f>
        <v/>
      </c>
      <c r="DI236" s="503"/>
      <c r="DJ236" s="503" t="str">
        <f>IF($G236="","",IF(AND($G236&gt;=30,$AT$3&lt;=DI$7),ROUND(DI236*($AP$3+#REF!),-1),""))</f>
        <v/>
      </c>
      <c r="DK236" s="503"/>
      <c r="DL236" s="503" t="str">
        <f>IF($G236="","",IF(AND($G236&gt;=30,$AT$3&lt;=DK$7),ROUND(DK236*($AP$3+#REF!),-1),""))</f>
        <v/>
      </c>
      <c r="DM236" s="503"/>
      <c r="DN236" s="503" t="str">
        <f>IF($G236="","",IF(AND($G236&gt;=30,$AT$3&lt;=DM$7),ROUND(DM236*($AP$3+#REF!),-1),""))</f>
        <v/>
      </c>
      <c r="DO236" s="503"/>
      <c r="DP236" s="503" t="str">
        <f>IF($G236="","",IF(AND($G236&gt;=30,$AT$3&lt;=DO$7),ROUND(DO236*($AP$3+#REF!),-1),""))</f>
        <v/>
      </c>
      <c r="DQ236" s="503"/>
      <c r="DR236" s="503" t="str">
        <f>IF($G236="","",IF(AND($G236&gt;=30,$AT$3&lt;=DQ$7),ROUND(DQ236*($AP$3+#REF!),-1),""))</f>
        <v/>
      </c>
      <c r="DS236" s="503"/>
      <c r="DT236" s="503" t="str">
        <f>IF($G236="","",IF(AND($G236&gt;=30,$AT$3&lt;=DS$7),ROUND(DS236*($AP$3+#REF!),-1),""))</f>
        <v/>
      </c>
      <c r="DU236" s="503"/>
      <c r="DV236" s="503" t="str">
        <f>IF($G236="","",IF(AND($G236&gt;=30,$AT$3&lt;=DU$7),ROUND(DU236*($AP$3+#REF!),-1),""))</f>
        <v/>
      </c>
      <c r="DW236" s="503"/>
      <c r="DX236" s="503" t="str">
        <f>IF($G236="","",IF(AND($G236&gt;=30,$AT$3&lt;=DW$7),ROUND(DW236*($AP$3+#REF!),-1),""))</f>
        <v/>
      </c>
      <c r="DY236" s="503"/>
      <c r="DZ236" s="503" t="str">
        <f>IF($G236="","",IF(AND($G236&gt;=30,$AT$3&lt;=DY$7),ROUND(DY236*($AP$3+#REF!),-1),""))</f>
        <v/>
      </c>
      <c r="EA236" s="503"/>
      <c r="EB236" s="503" t="str">
        <f>IF($G236="","",IF(AND($G236&gt;=30,$AT$3&lt;=EA$7),ROUND(EA236*($AP$3+#REF!),-1),""))</f>
        <v/>
      </c>
      <c r="EC236" s="504" t="s">
        <v>621</v>
      </c>
      <c r="ED236" s="1125"/>
      <c r="EE236" s="325">
        <v>12</v>
      </c>
    </row>
    <row r="237" spans="1:135" ht="9.75" customHeight="1">
      <c r="A237" s="321" t="str">
        <f t="shared" si="54"/>
        <v/>
      </c>
      <c r="B237" s="567">
        <f>(ii!$D$13*12+V237)+1</f>
        <v>131</v>
      </c>
      <c r="C237" s="345">
        <f t="shared" si="58"/>
        <v>49340</v>
      </c>
      <c r="D237" s="340">
        <f t="shared" si="61"/>
        <v>2035</v>
      </c>
      <c r="E237" s="340">
        <f t="shared" si="59"/>
        <v>8.3333333333333329E-2</v>
      </c>
      <c r="F237" s="340">
        <f t="shared" si="62"/>
        <v>2035.0833333333333</v>
      </c>
      <c r="G237" s="531" t="str">
        <f>IF(OR(C237&lt;$I$2,C237&gt;$J$3),"",(ii!$D$13*12+V237+1)/12)</f>
        <v/>
      </c>
      <c r="H237" s="532"/>
      <c r="I237" s="532"/>
      <c r="J237" s="533"/>
      <c r="K237" s="553"/>
      <c r="L237" s="534"/>
      <c r="M237" s="489" t="str">
        <f t="shared" si="63"/>
        <v/>
      </c>
      <c r="N237" s="536" t="s">
        <v>621</v>
      </c>
      <c r="O237" s="490" t="str">
        <f t="shared" si="56"/>
        <v/>
      </c>
      <c r="P237" s="537"/>
      <c r="Q237" s="537"/>
      <c r="R237" s="533" t="str">
        <f t="shared" si="57"/>
        <v/>
      </c>
      <c r="S237" s="538" t="str">
        <f t="shared" si="55"/>
        <v/>
      </c>
      <c r="T237" s="538" t="str">
        <f t="shared" si="53"/>
        <v/>
      </c>
      <c r="U237" s="539" t="str">
        <f>IF(H237="","",#REF!*12+#REF!+#REF!*12+#REF!)</f>
        <v/>
      </c>
      <c r="V237" s="338">
        <f>IF(ii!$J$3&gt;gg!C237,"",IF(AND((YEAR(C237)=YEAR($I$2)),MONTH(C237)=MONTH($I$2)),ii!$B$14*12+ii!$C$14+ii!$B$15*12+ii!$C$15-1,V236+1))</f>
        <v>130</v>
      </c>
      <c r="W237" s="339">
        <f t="shared" si="60"/>
        <v>10.833333333333334</v>
      </c>
      <c r="X237" s="540" t="s">
        <v>621</v>
      </c>
      <c r="Y237" s="538" t="s">
        <v>621</v>
      </c>
      <c r="Z237" s="541">
        <f>Z225+$Z$26</f>
        <v>0.51000000000000023</v>
      </c>
      <c r="AA237" s="542" t="str">
        <f>IF(Y237="","",(Y237-Y236)/Y236)</f>
        <v/>
      </c>
      <c r="AB237" s="543" t="e">
        <f t="shared" si="66"/>
        <v>#VALUE!</v>
      </c>
      <c r="AC237" s="544" t="str">
        <f t="shared" si="64"/>
        <v/>
      </c>
      <c r="AD237" s="538" t="str">
        <f t="shared" si="65"/>
        <v/>
      </c>
      <c r="AE237" s="545" t="s">
        <v>621</v>
      </c>
      <c r="AF237" s="546" t="s">
        <v>621</v>
      </c>
      <c r="AG237" s="558" t="s">
        <v>621</v>
      </c>
      <c r="AH237" s="547" t="str">
        <f>IF($G237="","",IF(AND($G237&gt;=30,$AT$3&lt;=AG$7),ROUND(AG237*($AP$3+#REF!),-1),""))</f>
        <v/>
      </c>
      <c r="AI237" s="558" t="s">
        <v>621</v>
      </c>
      <c r="AJ237" s="547" t="str">
        <f>IF($G237="","",IF(AND($G237&gt;=30,$AT$3&lt;=AI$7),ROUND(AI237*($AP$3+#REF!),-1),""))</f>
        <v/>
      </c>
      <c r="AK237" s="560" t="s">
        <v>621</v>
      </c>
      <c r="AL237" s="547" t="str">
        <f>IF($G237="","",IF(AND($G237&gt;=30,$AT$3&lt;=AK$7),ROUND(AK237*($AP$3+#REF!),-1),""))</f>
        <v/>
      </c>
      <c r="AM237" s="560" t="s">
        <v>621</v>
      </c>
      <c r="AN237" s="547" t="str">
        <f>IF($G237="","",IF(AND($G237&gt;=30,$AT$3&lt;=AM$7),ROUND(AM237*($AP$3+#REF!),-1),""))</f>
        <v/>
      </c>
      <c r="AO237" s="547" t="e">
        <v>#REF!</v>
      </c>
      <c r="AP237" s="547" t="str">
        <f>IF($G237="","",IF(AND($G237&gt;=30,$AT$3&lt;=AO$7),ROUND(AO237*($AP$3+#REF!),-1),""))</f>
        <v/>
      </c>
      <c r="AQ237" s="547" t="s">
        <v>621</v>
      </c>
      <c r="AR237" s="547" t="str">
        <f>IF($G237="","",IF(AND($G237&gt;=30,$AT$3&lt;=AQ$7),ROUND(AQ237*($AP$3+#REF!),-1),""))</f>
        <v/>
      </c>
      <c r="AS237" s="547" t="s">
        <v>621</v>
      </c>
      <c r="AT237" s="547" t="str">
        <f>IF($G237="","",IF(AND($G237&gt;=30,$AT$3&lt;=AS$7),ROUND(AS237*($AP$3+#REF!),-1),""))</f>
        <v/>
      </c>
      <c r="AU237" s="547" t="s">
        <v>621</v>
      </c>
      <c r="AV237" s="547" t="str">
        <f>IF($G237="","",IF(AND($G237&gt;=30,$AT$3&lt;=AU$7),ROUND(AU237*($AP$3+#REF!),-1),""))</f>
        <v/>
      </c>
      <c r="AW237" s="547" t="s">
        <v>621</v>
      </c>
      <c r="AX237" s="547" t="str">
        <f>IF($G237="","",IF(AND($G237&gt;=30,$AT$3&lt;=AW$7),ROUND(AW237*($AP$3+#REF!),-1),""))</f>
        <v/>
      </c>
      <c r="AY237" s="547" t="s">
        <v>621</v>
      </c>
      <c r="AZ237" s="547" t="str">
        <f>IF($G237="","",IF(AND($G237&gt;=30,$AT$3&lt;=AY$7),ROUND(AY237*($AP$3+#REF!),-1),""))</f>
        <v/>
      </c>
      <c r="BA237" s="547" t="s">
        <v>621</v>
      </c>
      <c r="BB237" s="547" t="str">
        <f>IF($G237="","",IF(AND($G237&gt;=30,$AT$3&lt;=BA$7),ROUND(BA237*($AP$3+#REF!),-1),""))</f>
        <v/>
      </c>
      <c r="BC237" s="547" t="s">
        <v>621</v>
      </c>
      <c r="BD237" s="547" t="str">
        <f>IF($G237="","",IF(AND($G237&gt;=30,$AT$3&lt;=BC$7),ROUND(BC237*($AP$3+#REF!),-1),""))</f>
        <v/>
      </c>
      <c r="BE237" s="547" t="s">
        <v>621</v>
      </c>
      <c r="BF237" s="547" t="str">
        <f>IF($G237="","",IF(AND($G237&gt;=30,$AT$3&lt;=BE$7),ROUND(BE237*($AP$3+#REF!),-1),""))</f>
        <v/>
      </c>
      <c r="BG237" s="547" t="s">
        <v>621</v>
      </c>
      <c r="BH237" s="547" t="str">
        <f>IF($G237="","",IF(AND($G237&gt;=30,$AT$3&lt;=BG$7),ROUND(BG237*($AP$3+#REF!),-1),""))</f>
        <v/>
      </c>
      <c r="BI237" s="547" t="s">
        <v>621</v>
      </c>
      <c r="BJ237" s="547" t="str">
        <f>IF($G237="","",IF(AND($G237&gt;=30,$AT$3&lt;=BI$7),ROUND(BI237*($AP$3+#REF!),-1),""))</f>
        <v/>
      </c>
      <c r="BK237" s="547" t="s">
        <v>621</v>
      </c>
      <c r="BL237" s="547" t="str">
        <f>IF($G237="","",IF(AND($G237&gt;=30,$AT$3&lt;=BK$7),ROUND(BK237*($AP$3+#REF!),-1),""))</f>
        <v/>
      </c>
      <c r="BM237" s="547" t="s">
        <v>621</v>
      </c>
      <c r="BN237" s="547" t="str">
        <f>IF($G237="","",IF(AND($G237&gt;=30,$AT$3&lt;=BM$7),ROUND(BM237*($AP$3+#REF!),-1),""))</f>
        <v/>
      </c>
      <c r="BO237" s="547" t="s">
        <v>621</v>
      </c>
      <c r="BP237" s="547" t="str">
        <f>IF($G237="","",IF(AND($G237&gt;=30,$AT$3&lt;=BO$7),ROUND(BO237*($AP$3+#REF!),-1),""))</f>
        <v/>
      </c>
      <c r="BQ237" s="547" t="s">
        <v>621</v>
      </c>
      <c r="BR237" s="547" t="str">
        <f>IF($G237="","",IF(AND($G237&gt;=30,$AT$3&lt;=BQ$7),ROUND(BQ237*($AP$3+#REF!),-1),""))</f>
        <v/>
      </c>
      <c r="BS237" s="533" t="e">
        <v>#REF!</v>
      </c>
      <c r="BT237" s="547" t="str">
        <f>IF($G237="","",IF(AND($G237&gt;=30,$AT$3&lt;=BS$7),ROUND(BS237*($AP$3+#REF!),-1),""))</f>
        <v/>
      </c>
      <c r="BU237" s="547"/>
      <c r="BV237" s="547" t="str">
        <f>IF($G237="","",IF(AND($G237&gt;=30,$AT$3&lt;=BU$7),ROUND(BU237*($AP$3+#REF!),-1),""))</f>
        <v/>
      </c>
      <c r="BW237" s="547"/>
      <c r="BX237" s="547" t="str">
        <f>IF($G237="","",IF(AND($G237&gt;=30,$AT$3&lt;=BW$7),ROUND(BW237*($AP$3+#REF!),-1),""))</f>
        <v/>
      </c>
      <c r="BY237" s="547"/>
      <c r="BZ237" s="547" t="str">
        <f>IF($G237="","",IF(AND($G237&gt;=30,$AT$3&lt;=BY$7),ROUND(BY237*($AP$3+#REF!),-1),""))</f>
        <v/>
      </c>
      <c r="CA237" s="547"/>
      <c r="CB237" s="547" t="str">
        <f>IF($G237="","",IF(AND($G237&gt;=30,$AT$3&lt;=CA$7),ROUND(CA237*($AP$3+#REF!),-1),""))</f>
        <v/>
      </c>
      <c r="CC237" s="547"/>
      <c r="CD237" s="547" t="str">
        <f>IF($G237="","",IF(AND($G237&gt;=30,$AT$3&lt;=CC$7),ROUND(CC237*($AP$3+#REF!),-1),""))</f>
        <v/>
      </c>
      <c r="CE237" s="547"/>
      <c r="CF237" s="547" t="str">
        <f>IF($G237="","",IF(AND($G237&gt;=30,$AT$3&lt;=CE$7),ROUND(CE237*($AP$3+#REF!),-1),""))</f>
        <v/>
      </c>
      <c r="CG237" s="547"/>
      <c r="CH237" s="547" t="str">
        <f>IF($G237="","",IF(AND($G237&gt;=30,$AT$3&lt;=CG$7),ROUND(CG237*($AP$3+#REF!),-1),""))</f>
        <v/>
      </c>
      <c r="CI237" s="547"/>
      <c r="CJ237" s="547" t="str">
        <f>IF($G237="","",IF(AND($G237&gt;=30,$AT$3&lt;=CI$7),ROUND(CI237*($AP$3+#REF!),-1),""))</f>
        <v/>
      </c>
      <c r="CK237" s="547"/>
      <c r="CL237" s="547" t="str">
        <f>IF($G237="","",IF(AND($G237&gt;=30,$AT$3&lt;=CK$7),ROUND(CK237*($AP$3+#REF!),-1),""))</f>
        <v/>
      </c>
      <c r="CM237" s="547"/>
      <c r="CN237" s="547" t="str">
        <f>IF($G237="","",IF(AND($G237&gt;=30,$AT$3&lt;=CM$7),ROUND(CM237*($AP$3+#REF!),-1),""))</f>
        <v/>
      </c>
      <c r="CO237" s="547"/>
      <c r="CP237" s="547" t="str">
        <f>IF($G237="","",IF(AND($G237&gt;=30,$AT$3&lt;=CO$7),ROUND(CO237*($AP$3+#REF!),-1),""))</f>
        <v/>
      </c>
      <c r="CQ237" s="547"/>
      <c r="CR237" s="547" t="str">
        <f>IF($G237="","",IF(AND($G237&gt;=30,$AT$3&lt;=CQ$7),ROUND(CQ237*($AP$3+#REF!),-1),""))</f>
        <v/>
      </c>
      <c r="CS237" s="547"/>
      <c r="CT237" s="547" t="str">
        <f>IF($G237="","",IF(AND($G237&gt;=30,$AT$3&lt;=CS$7),ROUND(CS237*($AP$3+#REF!),-1),""))</f>
        <v/>
      </c>
      <c r="CU237" s="547"/>
      <c r="CV237" s="547" t="str">
        <f>IF($G237="","",IF(AND($G237&gt;=30,$AT$3&lt;=CU$7),ROUND(CU237*($AP$3+#REF!),-1),""))</f>
        <v/>
      </c>
      <c r="CW237" s="547"/>
      <c r="CX237" s="547" t="str">
        <f>IF($G237="","",IF(AND($G237&gt;=30,$AT$3&lt;=CW$7),ROUND(CW237*($AP$3+#REF!),-1),""))</f>
        <v/>
      </c>
      <c r="CY237" s="547"/>
      <c r="CZ237" s="547" t="str">
        <f>IF($G237="","",IF(AND($G237&gt;=30,$AT$3&lt;=CY$7),ROUND(CY237*($AP$3+#REF!),-1),""))</f>
        <v/>
      </c>
      <c r="DA237" s="547"/>
      <c r="DB237" s="547" t="str">
        <f>IF($G237="","",IF(AND($G237&gt;=30,$AT$3&lt;=DA$7),ROUND(DA237*($AP$3+#REF!),-1),""))</f>
        <v/>
      </c>
      <c r="DC237" s="547"/>
      <c r="DD237" s="547" t="str">
        <f>IF($G237="","",IF(AND($G237&gt;=30,$AT$3&lt;=DC$7),ROUND(DC237*($AP$3+#REF!),-1),""))</f>
        <v/>
      </c>
      <c r="DE237" s="547"/>
      <c r="DF237" s="547" t="str">
        <f>IF($G237="","",IF(AND($G237&gt;=30,$AT$3&lt;=DE$7),ROUND(DE237*($AP$3+#REF!),-1),""))</f>
        <v/>
      </c>
      <c r="DG237" s="547"/>
      <c r="DH237" s="547" t="str">
        <f>IF($G237="","",IF(AND($G237&gt;=30,$AT$3&lt;=DG$7),ROUND(DG237*($AP$3+#REF!),-1),""))</f>
        <v/>
      </c>
      <c r="DI237" s="547"/>
      <c r="DJ237" s="547" t="str">
        <f>IF($G237="","",IF(AND($G237&gt;=30,$AT$3&lt;=DI$7),ROUND(DI237*($AP$3+#REF!),-1),""))</f>
        <v/>
      </c>
      <c r="DK237" s="547"/>
      <c r="DL237" s="547" t="str">
        <f>IF($G237="","",IF(AND($G237&gt;=30,$AT$3&lt;=DK$7),ROUND(DK237*($AP$3+#REF!),-1),""))</f>
        <v/>
      </c>
      <c r="DM237" s="547"/>
      <c r="DN237" s="547" t="str">
        <f>IF($G237="","",IF(AND($G237&gt;=30,$AT$3&lt;=DM$7),ROUND(DM237*($AP$3+#REF!),-1),""))</f>
        <v/>
      </c>
      <c r="DO237" s="547"/>
      <c r="DP237" s="547" t="str">
        <f>IF($G237="","",IF(AND($G237&gt;=30,$AT$3&lt;=DO$7),ROUND(DO237*($AP$3+#REF!),-1),""))</f>
        <v/>
      </c>
      <c r="DQ237" s="547"/>
      <c r="DR237" s="547" t="str">
        <f>IF($G237="","",IF(AND($G237&gt;=30,$AT$3&lt;=DQ$7),ROUND(DQ237*($AP$3+#REF!),-1),""))</f>
        <v/>
      </c>
      <c r="DS237" s="547"/>
      <c r="DT237" s="547" t="str">
        <f>IF($G237="","",IF(AND($G237&gt;=30,$AT$3&lt;=DS$7),ROUND(DS237*($AP$3+#REF!),-1),""))</f>
        <v/>
      </c>
      <c r="DU237" s="547"/>
      <c r="DV237" s="547" t="str">
        <f>IF($G237="","",IF(AND($G237&gt;=30,$AT$3&lt;=DU$7),ROUND(DU237*($AP$3+#REF!),-1),""))</f>
        <v/>
      </c>
      <c r="DW237" s="547"/>
      <c r="DX237" s="547" t="str">
        <f>IF($G237="","",IF(AND($G237&gt;=30,$AT$3&lt;=DW$7),ROUND(DW237*($AP$3+#REF!),-1),""))</f>
        <v/>
      </c>
      <c r="DY237" s="547"/>
      <c r="DZ237" s="547" t="str">
        <f>IF($G237="","",IF(AND($G237&gt;=30,$AT$3&lt;=DY$7),ROUND(DY237*($AP$3+#REF!),-1),""))</f>
        <v/>
      </c>
      <c r="EA237" s="547"/>
      <c r="EB237" s="547" t="str">
        <f>IF($G237="","",IF(AND($G237&gt;=30,$AT$3&lt;=EA$7),ROUND(EA237*($AP$3+#REF!),-1),""))</f>
        <v/>
      </c>
      <c r="EC237" s="547" t="s">
        <v>621</v>
      </c>
      <c r="ED237" s="1123">
        <f>SUM(EC237:EC248)</f>
        <v>0</v>
      </c>
      <c r="EE237" s="325">
        <v>1</v>
      </c>
    </row>
    <row r="238" spans="1:135" ht="9.75" customHeight="1">
      <c r="A238" s="321" t="str">
        <f t="shared" si="54"/>
        <v/>
      </c>
      <c r="B238" s="567">
        <f>(ii!$D$13*12+V238)+1</f>
        <v>132</v>
      </c>
      <c r="C238" s="337">
        <f t="shared" si="58"/>
        <v>49368</v>
      </c>
      <c r="D238" s="484">
        <f t="shared" si="61"/>
        <v>2035</v>
      </c>
      <c r="E238" s="484">
        <f t="shared" si="59"/>
        <v>0.16666666666666666</v>
      </c>
      <c r="F238" s="484">
        <f t="shared" si="62"/>
        <v>2035.1666666666667</v>
      </c>
      <c r="G238" s="485" t="str">
        <f>IF(OR(C238&lt;$I$2,C238&gt;$J$3),"",(ii!$D$13*12+V238+1)/12)</f>
        <v/>
      </c>
      <c r="H238" s="486"/>
      <c r="I238" s="486"/>
      <c r="J238" s="487"/>
      <c r="K238" s="488"/>
      <c r="L238" s="548"/>
      <c r="M238" s="489" t="str">
        <f t="shared" si="63"/>
        <v/>
      </c>
      <c r="N238" s="490" t="s">
        <v>621</v>
      </c>
      <c r="O238" s="490" t="str">
        <f t="shared" si="56"/>
        <v/>
      </c>
      <c r="P238" s="491"/>
      <c r="Q238" s="491"/>
      <c r="R238" s="491" t="str">
        <f t="shared" si="57"/>
        <v/>
      </c>
      <c r="S238" s="528" t="str">
        <f t="shared" si="55"/>
        <v/>
      </c>
      <c r="T238" s="528" t="str">
        <f t="shared" si="53"/>
        <v/>
      </c>
      <c r="U238" s="493" t="str">
        <f>IF(H238="","",#REF!*12+#REF!+#REF!*12+#REF!)</f>
        <v/>
      </c>
      <c r="V238" s="338">
        <f>IF(ii!$J$3&gt;gg!C238,"",IF(AND((YEAR(C238)=YEAR($I$2)),MONTH(C238)=MONTH($I$2)),ii!$B$14*12+ii!$C$14+ii!$B$15*12+ii!$C$15-1,V237+1))</f>
        <v>131</v>
      </c>
      <c r="W238" s="339">
        <f t="shared" si="60"/>
        <v>10.916666666666666</v>
      </c>
      <c r="X238" s="494" t="s">
        <v>621</v>
      </c>
      <c r="Y238" s="495" t="s">
        <v>621</v>
      </c>
      <c r="Z238" s="496"/>
      <c r="AA238" s="497"/>
      <c r="AB238" s="498" t="e">
        <f t="shared" si="66"/>
        <v>#VALUE!</v>
      </c>
      <c r="AC238" s="484" t="str">
        <f t="shared" si="64"/>
        <v/>
      </c>
      <c r="AD238" s="495" t="str">
        <f t="shared" si="65"/>
        <v/>
      </c>
      <c r="AE238" s="499" t="s">
        <v>621</v>
      </c>
      <c r="AF238" s="500" t="s">
        <v>621</v>
      </c>
      <c r="AG238" s="556" t="s">
        <v>621</v>
      </c>
      <c r="AH238" s="503" t="str">
        <f>IF($G238="","",IF(AND($G238&gt;=30,$AT$3&lt;=AG$7),ROUND(AG238*($AP$3+#REF!),-1),""))</f>
        <v/>
      </c>
      <c r="AI238" s="506" t="s">
        <v>621</v>
      </c>
      <c r="AJ238" s="503" t="str">
        <f>IF($G238="","",IF(AND($G238&gt;=30,$AT$3&lt;=AI$7),ROUND(AI238*($AP$3+#REF!),-1),""))</f>
        <v/>
      </c>
      <c r="AK238" s="506" t="s">
        <v>621</v>
      </c>
      <c r="AL238" s="503" t="str">
        <f>IF($G238="","",IF(AND($G238&gt;=30,$AT$3&lt;=AK$7),ROUND(AK238*($AP$3+#REF!),-1),""))</f>
        <v/>
      </c>
      <c r="AM238" s="506" t="s">
        <v>621</v>
      </c>
      <c r="AN238" s="503" t="str">
        <f>IF($G238="","",IF(AND($G238&gt;=30,$AT$3&lt;=AM$7),ROUND(AM238*($AP$3+#REF!),-1),""))</f>
        <v/>
      </c>
      <c r="AO238" s="503" t="e">
        <f>IF(AO237="","",AO237*1.001)</f>
        <v>#REF!</v>
      </c>
      <c r="AP238" s="503" t="str">
        <f>IF($G238="","",IF(AND($G238&gt;=30,$AT$3&lt;=AO$7),ROUND(AO238*($AP$3+#REF!),-1),""))</f>
        <v/>
      </c>
      <c r="AQ238" s="503" t="s">
        <v>621</v>
      </c>
      <c r="AR238" s="503" t="str">
        <f>IF($G238="","",IF(AND($G238&gt;=30,$AT$3&lt;=AQ$7),ROUND(AQ238*($AP$3+#REF!),-1),""))</f>
        <v/>
      </c>
      <c r="AS238" s="503" t="s">
        <v>621</v>
      </c>
      <c r="AT238" s="503" t="str">
        <f>IF($G238="","",IF(AND($G238&gt;=30,$AT$3&lt;=AS$7),ROUND(AS238*($AP$3+#REF!),-1),""))</f>
        <v/>
      </c>
      <c r="AU238" s="503" t="s">
        <v>621</v>
      </c>
      <c r="AV238" s="503" t="str">
        <f>IF($G238="","",IF(AND($G238&gt;=30,$AT$3&lt;=AU$7),ROUND(AU238*($AP$3+#REF!),-1),""))</f>
        <v/>
      </c>
      <c r="AW238" s="503" t="s">
        <v>621</v>
      </c>
      <c r="AX238" s="503" t="str">
        <f>IF($G238="","",IF(AND($G238&gt;=30,$AT$3&lt;=AW$7),ROUND(AW238*($AP$3+#REF!),-1),""))</f>
        <v/>
      </c>
      <c r="AY238" s="503" t="s">
        <v>621</v>
      </c>
      <c r="AZ238" s="503" t="str">
        <f>IF($G238="","",IF(AND($G238&gt;=30,$AT$3&lt;=AY$7),ROUND(AY238*($AP$3+#REF!),-1),""))</f>
        <v/>
      </c>
      <c r="BA238" s="503" t="s">
        <v>621</v>
      </c>
      <c r="BB238" s="503" t="str">
        <f>IF($G238="","",IF(AND($G238&gt;=30,$AT$3&lt;=BA$7),ROUND(BA238*($AP$3+#REF!),-1),""))</f>
        <v/>
      </c>
      <c r="BC238" s="503" t="s">
        <v>621</v>
      </c>
      <c r="BD238" s="503" t="str">
        <f>IF($G238="","",IF(AND($G238&gt;=30,$AT$3&lt;=BC$7),ROUND(BC238*($AP$3+#REF!),-1),""))</f>
        <v/>
      </c>
      <c r="BE238" s="503" t="s">
        <v>621</v>
      </c>
      <c r="BF238" s="503" t="str">
        <f>IF($G238="","",IF(AND($G238&gt;=30,$AT$3&lt;=BE$7),ROUND(BE238*($AP$3+#REF!),-1),""))</f>
        <v/>
      </c>
      <c r="BG238" s="503" t="s">
        <v>621</v>
      </c>
      <c r="BH238" s="503" t="str">
        <f>IF($G238="","",IF(AND($G238&gt;=30,$AT$3&lt;=BG$7),ROUND(BG238*($AP$3+#REF!),-1),""))</f>
        <v/>
      </c>
      <c r="BI238" s="503" t="s">
        <v>621</v>
      </c>
      <c r="BJ238" s="503" t="str">
        <f>IF($G238="","",IF(AND($G238&gt;=30,$AT$3&lt;=BI$7),ROUND(BI238*($AP$3+#REF!),-1),""))</f>
        <v/>
      </c>
      <c r="BK238" s="503" t="s">
        <v>621</v>
      </c>
      <c r="BL238" s="503" t="str">
        <f>IF($G238="","",IF(AND($G238&gt;=30,$AT$3&lt;=BK$7),ROUND(BK238*($AP$3+#REF!),-1),""))</f>
        <v/>
      </c>
      <c r="BM238" s="503" t="s">
        <v>621</v>
      </c>
      <c r="BN238" s="503" t="str">
        <f>IF($G238="","",IF(AND($G238&gt;=30,$AT$3&lt;=BM$7),ROUND(BM238*($AP$3+#REF!),-1),""))</f>
        <v/>
      </c>
      <c r="BO238" s="503" t="s">
        <v>621</v>
      </c>
      <c r="BP238" s="503" t="str">
        <f>IF($G238="","",IF(AND($G238&gt;=30,$AT$3&lt;=BO$7),ROUND(BO238*($AP$3+#REF!),-1),""))</f>
        <v/>
      </c>
      <c r="BQ238" s="503" t="s">
        <v>621</v>
      </c>
      <c r="BR238" s="503" t="str">
        <f>IF($G238="","",IF(AND($G238&gt;=30,$AT$3&lt;=BQ$7),ROUND(BQ238*($AP$3+#REF!),-1),""))</f>
        <v/>
      </c>
      <c r="BS238" s="517" t="e">
        <v>#REF!</v>
      </c>
      <c r="BT238" s="503" t="str">
        <f>IF($G238="","",IF(AND($G238&gt;=30,$AT$3&lt;=BS$7),ROUND(BS238*($AP$3+#REF!),-1),""))</f>
        <v/>
      </c>
      <c r="BU238" s="503"/>
      <c r="BV238" s="503" t="str">
        <f>IF($G238="","",IF(AND($G238&gt;=30,$AT$3&lt;=BU$7),ROUND(BU238*($AP$3+#REF!),-1),""))</f>
        <v/>
      </c>
      <c r="BW238" s="502"/>
      <c r="BX238" s="503" t="str">
        <f>IF($G238="","",IF(AND($G238&gt;=30,$AT$3&lt;=BW$7),ROUND(BW238*($AP$3+#REF!),-1),""))</f>
        <v/>
      </c>
      <c r="BY238" s="503"/>
      <c r="BZ238" s="503" t="str">
        <f>IF($G238="","",IF(AND($G238&gt;=30,$AT$3&lt;=BY$7),ROUND(BY238*($AP$3+#REF!),-1),""))</f>
        <v/>
      </c>
      <c r="CA238" s="502"/>
      <c r="CB238" s="503" t="str">
        <f>IF($G238="","",IF(AND($G238&gt;=30,$AT$3&lt;=CA$7),ROUND(CA238*($AP$3+#REF!),-1),""))</f>
        <v/>
      </c>
      <c r="CC238" s="503"/>
      <c r="CD238" s="503" t="str">
        <f>IF($G238="","",IF(AND($G238&gt;=30,$AT$3&lt;=CC$7),ROUND(CC238*($AP$3+#REF!),-1),""))</f>
        <v/>
      </c>
      <c r="CE238" s="502"/>
      <c r="CF238" s="503" t="str">
        <f>IF($G238="","",IF(AND($G238&gt;=30,$AT$3&lt;=CE$7),ROUND(CE238*($AP$3+#REF!),-1),""))</f>
        <v/>
      </c>
      <c r="CG238" s="503"/>
      <c r="CH238" s="503" t="str">
        <f>IF($G238="","",IF(AND($G238&gt;=30,$AT$3&lt;=CG$7),ROUND(CG238*($AP$3+#REF!),-1),""))</f>
        <v/>
      </c>
      <c r="CI238" s="502"/>
      <c r="CJ238" s="503" t="str">
        <f>IF($G238="","",IF(AND($G238&gt;=30,$AT$3&lt;=CI$7),ROUND(CI238*($AP$3+#REF!),-1),""))</f>
        <v/>
      </c>
      <c r="CK238" s="503"/>
      <c r="CL238" s="503" t="str">
        <f>IF($G238="","",IF(AND($G238&gt;=30,$AT$3&lt;=CK$7),ROUND(CK238*($AP$3+#REF!),-1),""))</f>
        <v/>
      </c>
      <c r="CM238" s="502"/>
      <c r="CN238" s="503" t="str">
        <f>IF($G238="","",IF(AND($G238&gt;=30,$AT$3&lt;=CM$7),ROUND(CM238*($AP$3+#REF!),-1),""))</f>
        <v/>
      </c>
      <c r="CO238" s="503"/>
      <c r="CP238" s="503" t="str">
        <f>IF($G238="","",IF(AND($G238&gt;=30,$AT$3&lt;=CO$7),ROUND(CO238*($AP$3+#REF!),-1),""))</f>
        <v/>
      </c>
      <c r="CQ238" s="502"/>
      <c r="CR238" s="503" t="str">
        <f>IF($G238="","",IF(AND($G238&gt;=30,$AT$3&lt;=CQ$7),ROUND(CQ238*($AP$3+#REF!),-1),""))</f>
        <v/>
      </c>
      <c r="CS238" s="503"/>
      <c r="CT238" s="503" t="str">
        <f>IF($G238="","",IF(AND($G238&gt;=30,$AT$3&lt;=CS$7),ROUND(CS238*($AP$3+#REF!),-1),""))</f>
        <v/>
      </c>
      <c r="CU238" s="502"/>
      <c r="CV238" s="503" t="str">
        <f>IF($G238="","",IF(AND($G238&gt;=30,$AT$3&lt;=CU$7),ROUND(CU238*($AP$3+#REF!),-1),""))</f>
        <v/>
      </c>
      <c r="CW238" s="503"/>
      <c r="CX238" s="503" t="str">
        <f>IF($G238="","",IF(AND($G238&gt;=30,$AT$3&lt;=CW$7),ROUND(CW238*($AP$3+#REF!),-1),""))</f>
        <v/>
      </c>
      <c r="CY238" s="502"/>
      <c r="CZ238" s="503" t="str">
        <f>IF($G238="","",IF(AND($G238&gt;=30,$AT$3&lt;=CY$7),ROUND(CY238*($AP$3+#REF!),-1),""))</f>
        <v/>
      </c>
      <c r="DA238" s="503"/>
      <c r="DB238" s="503" t="str">
        <f>IF($G238="","",IF(AND($G238&gt;=30,$AT$3&lt;=DA$7),ROUND(DA238*($AP$3+#REF!),-1),""))</f>
        <v/>
      </c>
      <c r="DC238" s="502"/>
      <c r="DD238" s="503" t="str">
        <f>IF($G238="","",IF(AND($G238&gt;=30,$AT$3&lt;=DC$7),ROUND(DC238*($AP$3+#REF!),-1),""))</f>
        <v/>
      </c>
      <c r="DE238" s="503"/>
      <c r="DF238" s="503" t="str">
        <f>IF($G238="","",IF(AND($G238&gt;=30,$AT$3&lt;=DE$7),ROUND(DE238*($AP$3+#REF!),-1),""))</f>
        <v/>
      </c>
      <c r="DG238" s="503"/>
      <c r="DH238" s="503" t="str">
        <f>IF($G238="","",IF(AND($G238&gt;=30,$AT$3&lt;=DG$7),ROUND(DG238*($AP$3+#REF!),-1),""))</f>
        <v/>
      </c>
      <c r="DI238" s="503"/>
      <c r="DJ238" s="503" t="str">
        <f>IF($G238="","",IF(AND($G238&gt;=30,$AT$3&lt;=DI$7),ROUND(DI238*($AP$3+#REF!),-1),""))</f>
        <v/>
      </c>
      <c r="DK238" s="503"/>
      <c r="DL238" s="503" t="str">
        <f>IF($G238="","",IF(AND($G238&gt;=30,$AT$3&lt;=DK$7),ROUND(DK238*($AP$3+#REF!),-1),""))</f>
        <v/>
      </c>
      <c r="DM238" s="503"/>
      <c r="DN238" s="503" t="str">
        <f>IF($G238="","",IF(AND($G238&gt;=30,$AT$3&lt;=DM$7),ROUND(DM238*($AP$3+#REF!),-1),""))</f>
        <v/>
      </c>
      <c r="DO238" s="503"/>
      <c r="DP238" s="503" t="str">
        <f>IF($G238="","",IF(AND($G238&gt;=30,$AT$3&lt;=DO$7),ROUND(DO238*($AP$3+#REF!),-1),""))</f>
        <v/>
      </c>
      <c r="DQ238" s="503"/>
      <c r="DR238" s="503" t="str">
        <f>IF($G238="","",IF(AND($G238&gt;=30,$AT$3&lt;=DQ$7),ROUND(DQ238*($AP$3+#REF!),-1),""))</f>
        <v/>
      </c>
      <c r="DS238" s="503"/>
      <c r="DT238" s="503" t="str">
        <f>IF($G238="","",IF(AND($G238&gt;=30,$AT$3&lt;=DS$7),ROUND(DS238*($AP$3+#REF!),-1),""))</f>
        <v/>
      </c>
      <c r="DU238" s="503"/>
      <c r="DV238" s="503" t="str">
        <f>IF($G238="","",IF(AND($G238&gt;=30,$AT$3&lt;=DU$7),ROUND(DU238*($AP$3+#REF!),-1),""))</f>
        <v/>
      </c>
      <c r="DW238" s="503"/>
      <c r="DX238" s="503" t="str">
        <f>IF($G238="","",IF(AND($G238&gt;=30,$AT$3&lt;=DW$7),ROUND(DW238*($AP$3+#REF!),-1),""))</f>
        <v/>
      </c>
      <c r="DY238" s="503"/>
      <c r="DZ238" s="503" t="str">
        <f>IF($G238="","",IF(AND($G238&gt;=30,$AT$3&lt;=DY$7),ROUND(DY238*($AP$3+#REF!),-1),""))</f>
        <v/>
      </c>
      <c r="EA238" s="503"/>
      <c r="EB238" s="503" t="str">
        <f>IF($G238="","",IF(AND($G238&gt;=30,$AT$3&lt;=EA$7),ROUND(EA238*($AP$3+#REF!),-1),""))</f>
        <v/>
      </c>
      <c r="EC238" s="504" t="s">
        <v>621</v>
      </c>
      <c r="ED238" s="1124"/>
      <c r="EE238" s="325">
        <v>2</v>
      </c>
    </row>
    <row r="239" spans="1:135" ht="9.75" customHeight="1">
      <c r="A239" s="321" t="str">
        <f t="shared" si="54"/>
        <v/>
      </c>
      <c r="B239" s="567">
        <f>(ii!$D$13*12+V239)+1</f>
        <v>133</v>
      </c>
      <c r="C239" s="337">
        <f t="shared" si="58"/>
        <v>49399</v>
      </c>
      <c r="D239" s="484">
        <f t="shared" si="61"/>
        <v>2035</v>
      </c>
      <c r="E239" s="484">
        <f t="shared" si="59"/>
        <v>0.25</v>
      </c>
      <c r="F239" s="484">
        <f t="shared" si="62"/>
        <v>2035.25</v>
      </c>
      <c r="G239" s="485" t="str">
        <f>IF(OR(C239&lt;$I$2,C239&gt;$J$3),"",(ii!$D$13*12+V239+1)/12)</f>
        <v/>
      </c>
      <c r="H239" s="486"/>
      <c r="I239" s="486"/>
      <c r="J239" s="487"/>
      <c r="K239" s="488"/>
      <c r="L239" s="548"/>
      <c r="M239" s="489" t="str">
        <f t="shared" si="63"/>
        <v/>
      </c>
      <c r="N239" s="490" t="s">
        <v>621</v>
      </c>
      <c r="O239" s="490" t="str">
        <f t="shared" si="56"/>
        <v/>
      </c>
      <c r="P239" s="491"/>
      <c r="Q239" s="491"/>
      <c r="R239" s="491" t="str">
        <f t="shared" si="57"/>
        <v/>
      </c>
      <c r="S239" s="528" t="str">
        <f t="shared" si="55"/>
        <v/>
      </c>
      <c r="T239" s="528" t="str">
        <f t="shared" si="53"/>
        <v/>
      </c>
      <c r="U239" s="493" t="str">
        <f>IF(H239="","",#REF!*12+#REF!+#REF!*12+#REF!)</f>
        <v/>
      </c>
      <c r="V239" s="338">
        <f>IF(ii!$J$3&gt;gg!C239,"",IF(AND((YEAR(C239)=YEAR($I$2)),MONTH(C239)=MONTH($I$2)),ii!$B$14*12+ii!$C$14+ii!$B$15*12+ii!$C$15-1,V238+1))</f>
        <v>132</v>
      </c>
      <c r="W239" s="339">
        <f t="shared" si="60"/>
        <v>11</v>
      </c>
      <c r="X239" s="494" t="s">
        <v>621</v>
      </c>
      <c r="Y239" s="495" t="s">
        <v>621</v>
      </c>
      <c r="Z239" s="496"/>
      <c r="AA239" s="497"/>
      <c r="AB239" s="498" t="e">
        <f t="shared" si="66"/>
        <v>#VALUE!</v>
      </c>
      <c r="AC239" s="484" t="str">
        <f t="shared" si="64"/>
        <v/>
      </c>
      <c r="AD239" s="495" t="str">
        <f t="shared" si="65"/>
        <v/>
      </c>
      <c r="AE239" s="499" t="s">
        <v>621</v>
      </c>
      <c r="AF239" s="500" t="s">
        <v>621</v>
      </c>
      <c r="AG239" s="556" t="s">
        <v>621</v>
      </c>
      <c r="AH239" s="503" t="str">
        <f>IF($G239="","",IF(AND($G239&gt;=30,$AT$3&lt;=AG$7),ROUND(AG239*($AP$3+#REF!),-1),""))</f>
        <v/>
      </c>
      <c r="AI239" s="506" t="s">
        <v>621</v>
      </c>
      <c r="AJ239" s="503" t="str">
        <f>IF($G239="","",IF(AND($G239&gt;=30,$AT$3&lt;=AI$7),ROUND(AI239*($AP$3+#REF!),-1),""))</f>
        <v/>
      </c>
      <c r="AK239" s="506" t="s">
        <v>621</v>
      </c>
      <c r="AL239" s="503" t="str">
        <f>IF($G239="","",IF(AND($G239&gt;=30,$AT$3&lt;=AK$7),ROUND(AK239*($AP$3+#REF!),-1),""))</f>
        <v/>
      </c>
      <c r="AM239" s="506" t="s">
        <v>621</v>
      </c>
      <c r="AN239" s="503" t="str">
        <f>IF($G239="","",IF(AND($G239&gt;=30,$AT$3&lt;=AM$7),ROUND(AM239*($AP$3+#REF!),-1),""))</f>
        <v/>
      </c>
      <c r="AO239" s="503" t="e">
        <v>#REF!</v>
      </c>
      <c r="AP239" s="503" t="str">
        <f>IF($G239="","",IF(AND($G239&gt;=30,$AT$3&lt;=AO$7),ROUND(AO239*($AP$3+#REF!),-1),""))</f>
        <v/>
      </c>
      <c r="AQ239" s="503" t="s">
        <v>621</v>
      </c>
      <c r="AR239" s="503" t="str">
        <f>IF($G239="","",IF(AND($G239&gt;=30,$AT$3&lt;=AQ$7),ROUND(AQ239*($AP$3+#REF!),-1),""))</f>
        <v/>
      </c>
      <c r="AS239" s="503" t="s">
        <v>621</v>
      </c>
      <c r="AT239" s="503" t="str">
        <f>IF($G239="","",IF(AND($G239&gt;=30,$AT$3&lt;=AS$7),ROUND(AS239*($AP$3+#REF!),-1),""))</f>
        <v/>
      </c>
      <c r="AU239" s="503" t="s">
        <v>621</v>
      </c>
      <c r="AV239" s="503" t="str">
        <f>IF($G239="","",IF(AND($G239&gt;=30,$AT$3&lt;=AU$7),ROUND(AU239*($AP$3+#REF!),-1),""))</f>
        <v/>
      </c>
      <c r="AW239" s="503" t="s">
        <v>621</v>
      </c>
      <c r="AX239" s="503" t="str">
        <f>IF($G239="","",IF(AND($G239&gt;=30,$AT$3&lt;=AW$7),ROUND(AW239*($AP$3+#REF!),-1),""))</f>
        <v/>
      </c>
      <c r="AY239" s="503" t="s">
        <v>621</v>
      </c>
      <c r="AZ239" s="503" t="str">
        <f>IF($G239="","",IF(AND($G239&gt;=30,$AT$3&lt;=AY$7),ROUND(AY239*($AP$3+#REF!),-1),""))</f>
        <v/>
      </c>
      <c r="BA239" s="503" t="s">
        <v>621</v>
      </c>
      <c r="BB239" s="503" t="str">
        <f>IF($G239="","",IF(AND($G239&gt;=30,$AT$3&lt;=BA$7),ROUND(BA239*($AP$3+#REF!),-1),""))</f>
        <v/>
      </c>
      <c r="BC239" s="503" t="s">
        <v>621</v>
      </c>
      <c r="BD239" s="503" t="str">
        <f>IF($G239="","",IF(AND($G239&gt;=30,$AT$3&lt;=BC$7),ROUND(BC239*($AP$3+#REF!),-1),""))</f>
        <v/>
      </c>
      <c r="BE239" s="503" t="s">
        <v>621</v>
      </c>
      <c r="BF239" s="503" t="str">
        <f>IF($G239="","",IF(AND($G239&gt;=30,$AT$3&lt;=BE$7),ROUND(BE239*($AP$3+#REF!),-1),""))</f>
        <v/>
      </c>
      <c r="BG239" s="503" t="s">
        <v>621</v>
      </c>
      <c r="BH239" s="503" t="str">
        <f>IF($G239="","",IF(AND($G239&gt;=30,$AT$3&lt;=BG$7),ROUND(BG239*($AP$3+#REF!),-1),""))</f>
        <v/>
      </c>
      <c r="BI239" s="503" t="s">
        <v>621</v>
      </c>
      <c r="BJ239" s="503" t="str">
        <f>IF($G239="","",IF(AND($G239&gt;=30,$AT$3&lt;=BI$7),ROUND(BI239*($AP$3+#REF!),-1),""))</f>
        <v/>
      </c>
      <c r="BK239" s="503" t="s">
        <v>621</v>
      </c>
      <c r="BL239" s="503" t="str">
        <f>IF($G239="","",IF(AND($G239&gt;=30,$AT$3&lt;=BK$7),ROUND(BK239*($AP$3+#REF!),-1),""))</f>
        <v/>
      </c>
      <c r="BM239" s="503" t="s">
        <v>621</v>
      </c>
      <c r="BN239" s="503" t="str">
        <f>IF($G239="","",IF(AND($G239&gt;=30,$AT$3&lt;=BM$7),ROUND(BM239*($AP$3+#REF!),-1),""))</f>
        <v/>
      </c>
      <c r="BO239" s="503" t="s">
        <v>621</v>
      </c>
      <c r="BP239" s="503" t="str">
        <f>IF($G239="","",IF(AND($G239&gt;=30,$AT$3&lt;=BO$7),ROUND(BO239*($AP$3+#REF!),-1),""))</f>
        <v/>
      </c>
      <c r="BQ239" s="503" t="s">
        <v>621</v>
      </c>
      <c r="BR239" s="503" t="str">
        <f>IF($G239="","",IF(AND($G239&gt;=30,$AT$3&lt;=BQ$7),ROUND(BQ239*($AP$3+#REF!),-1),""))</f>
        <v/>
      </c>
      <c r="BS239" s="517" t="e">
        <v>#REF!</v>
      </c>
      <c r="BT239" s="503" t="str">
        <f>IF($G239="","",IF(AND($G239&gt;=30,$AT$3&lt;=BS$7),ROUND(BS239*($AP$3+#REF!),-1),""))</f>
        <v/>
      </c>
      <c r="BU239" s="503"/>
      <c r="BV239" s="503" t="str">
        <f>IF($G239="","",IF(AND($G239&gt;=30,$AT$3&lt;=BU$7),ROUND(BU239*($AP$3+#REF!),-1),""))</f>
        <v/>
      </c>
      <c r="BW239" s="502"/>
      <c r="BX239" s="503" t="str">
        <f>IF($G239="","",IF(AND($G239&gt;=30,$AT$3&lt;=BW$7),ROUND(BW239*($AP$3+#REF!),-1),""))</f>
        <v/>
      </c>
      <c r="BY239" s="503"/>
      <c r="BZ239" s="503" t="str">
        <f>IF($G239="","",IF(AND($G239&gt;=30,$AT$3&lt;=BY$7),ROUND(BY239*($AP$3+#REF!),-1),""))</f>
        <v/>
      </c>
      <c r="CA239" s="502"/>
      <c r="CB239" s="503" t="str">
        <f>IF($G239="","",IF(AND($G239&gt;=30,$AT$3&lt;=CA$7),ROUND(CA239*($AP$3+#REF!),-1),""))</f>
        <v/>
      </c>
      <c r="CC239" s="503"/>
      <c r="CD239" s="503" t="str">
        <f>IF($G239="","",IF(AND($G239&gt;=30,$AT$3&lt;=CC$7),ROUND(CC239*($AP$3+#REF!),-1),""))</f>
        <v/>
      </c>
      <c r="CE239" s="502"/>
      <c r="CF239" s="503" t="str">
        <f>IF($G239="","",IF(AND($G239&gt;=30,$AT$3&lt;=CE$7),ROUND(CE239*($AP$3+#REF!),-1),""))</f>
        <v/>
      </c>
      <c r="CG239" s="503"/>
      <c r="CH239" s="503" t="str">
        <f>IF($G239="","",IF(AND($G239&gt;=30,$AT$3&lt;=CG$7),ROUND(CG239*($AP$3+#REF!),-1),""))</f>
        <v/>
      </c>
      <c r="CI239" s="502"/>
      <c r="CJ239" s="503" t="str">
        <f>IF($G239="","",IF(AND($G239&gt;=30,$AT$3&lt;=CI$7),ROUND(CI239*($AP$3+#REF!),-1),""))</f>
        <v/>
      </c>
      <c r="CK239" s="503"/>
      <c r="CL239" s="503" t="str">
        <f>IF($G239="","",IF(AND($G239&gt;=30,$AT$3&lt;=CK$7),ROUND(CK239*($AP$3+#REF!),-1),""))</f>
        <v/>
      </c>
      <c r="CM239" s="502"/>
      <c r="CN239" s="503" t="str">
        <f>IF($G239="","",IF(AND($G239&gt;=30,$AT$3&lt;=CM$7),ROUND(CM239*($AP$3+#REF!),-1),""))</f>
        <v/>
      </c>
      <c r="CO239" s="503"/>
      <c r="CP239" s="503" t="str">
        <f>IF($G239="","",IF(AND($G239&gt;=30,$AT$3&lt;=CO$7),ROUND(CO239*($AP$3+#REF!),-1),""))</f>
        <v/>
      </c>
      <c r="CQ239" s="502"/>
      <c r="CR239" s="503" t="str">
        <f>IF($G239="","",IF(AND($G239&gt;=30,$AT$3&lt;=CQ$7),ROUND(CQ239*($AP$3+#REF!),-1),""))</f>
        <v/>
      </c>
      <c r="CS239" s="503"/>
      <c r="CT239" s="503" t="str">
        <f>IF($G239="","",IF(AND($G239&gt;=30,$AT$3&lt;=CS$7),ROUND(CS239*($AP$3+#REF!),-1),""))</f>
        <v/>
      </c>
      <c r="CU239" s="502"/>
      <c r="CV239" s="503" t="str">
        <f>IF($G239="","",IF(AND($G239&gt;=30,$AT$3&lt;=CU$7),ROUND(CU239*($AP$3+#REF!),-1),""))</f>
        <v/>
      </c>
      <c r="CW239" s="503"/>
      <c r="CX239" s="503" t="str">
        <f>IF($G239="","",IF(AND($G239&gt;=30,$AT$3&lt;=CW$7),ROUND(CW239*($AP$3+#REF!),-1),""))</f>
        <v/>
      </c>
      <c r="CY239" s="502"/>
      <c r="CZ239" s="503" t="str">
        <f>IF($G239="","",IF(AND($G239&gt;=30,$AT$3&lt;=CY$7),ROUND(CY239*($AP$3+#REF!),-1),""))</f>
        <v/>
      </c>
      <c r="DA239" s="503"/>
      <c r="DB239" s="503" t="str">
        <f>IF($G239="","",IF(AND($G239&gt;=30,$AT$3&lt;=DA$7),ROUND(DA239*($AP$3+#REF!),-1),""))</f>
        <v/>
      </c>
      <c r="DC239" s="502"/>
      <c r="DD239" s="503" t="str">
        <f>IF($G239="","",IF(AND($G239&gt;=30,$AT$3&lt;=DC$7),ROUND(DC239*($AP$3+#REF!),-1),""))</f>
        <v/>
      </c>
      <c r="DE239" s="503"/>
      <c r="DF239" s="503" t="str">
        <f>IF($G239="","",IF(AND($G239&gt;=30,$AT$3&lt;=DE$7),ROUND(DE239*($AP$3+#REF!),-1),""))</f>
        <v/>
      </c>
      <c r="DG239" s="503"/>
      <c r="DH239" s="503" t="str">
        <f>IF($G239="","",IF(AND($G239&gt;=30,$AT$3&lt;=DG$7),ROUND(DG239*($AP$3+#REF!),-1),""))</f>
        <v/>
      </c>
      <c r="DI239" s="503"/>
      <c r="DJ239" s="503" t="str">
        <f>IF($G239="","",IF(AND($G239&gt;=30,$AT$3&lt;=DI$7),ROUND(DI239*($AP$3+#REF!),-1),""))</f>
        <v/>
      </c>
      <c r="DK239" s="503"/>
      <c r="DL239" s="503" t="str">
        <f>IF($G239="","",IF(AND($G239&gt;=30,$AT$3&lt;=DK$7),ROUND(DK239*($AP$3+#REF!),-1),""))</f>
        <v/>
      </c>
      <c r="DM239" s="503"/>
      <c r="DN239" s="503" t="str">
        <f>IF($G239="","",IF(AND($G239&gt;=30,$AT$3&lt;=DM$7),ROUND(DM239*($AP$3+#REF!),-1),""))</f>
        <v/>
      </c>
      <c r="DO239" s="503"/>
      <c r="DP239" s="503" t="str">
        <f>IF($G239="","",IF(AND($G239&gt;=30,$AT$3&lt;=DO$7),ROUND(DO239*($AP$3+#REF!),-1),""))</f>
        <v/>
      </c>
      <c r="DQ239" s="503"/>
      <c r="DR239" s="503" t="str">
        <f>IF($G239="","",IF(AND($G239&gt;=30,$AT$3&lt;=DQ$7),ROUND(DQ239*($AP$3+#REF!),-1),""))</f>
        <v/>
      </c>
      <c r="DS239" s="503"/>
      <c r="DT239" s="503" t="str">
        <f>IF($G239="","",IF(AND($G239&gt;=30,$AT$3&lt;=DS$7),ROUND(DS239*($AP$3+#REF!),-1),""))</f>
        <v/>
      </c>
      <c r="DU239" s="503"/>
      <c r="DV239" s="503" t="str">
        <f>IF($G239="","",IF(AND($G239&gt;=30,$AT$3&lt;=DU$7),ROUND(DU239*($AP$3+#REF!),-1),""))</f>
        <v/>
      </c>
      <c r="DW239" s="503"/>
      <c r="DX239" s="503" t="str">
        <f>IF($G239="","",IF(AND($G239&gt;=30,$AT$3&lt;=DW$7),ROUND(DW239*($AP$3+#REF!),-1),""))</f>
        <v/>
      </c>
      <c r="DY239" s="503"/>
      <c r="DZ239" s="503" t="str">
        <f>IF($G239="","",IF(AND($G239&gt;=30,$AT$3&lt;=DY$7),ROUND(DY239*($AP$3+#REF!),-1),""))</f>
        <v/>
      </c>
      <c r="EA239" s="503"/>
      <c r="EB239" s="503" t="str">
        <f>IF($G239="","",IF(AND($G239&gt;=30,$AT$3&lt;=EA$7),ROUND(EA239*($AP$3+#REF!),-1),""))</f>
        <v/>
      </c>
      <c r="EC239" s="504" t="s">
        <v>621</v>
      </c>
      <c r="ED239" s="1124"/>
      <c r="EE239" s="325">
        <v>3</v>
      </c>
    </row>
    <row r="240" spans="1:135" ht="9.75" customHeight="1">
      <c r="A240" s="321" t="str">
        <f t="shared" si="54"/>
        <v/>
      </c>
      <c r="B240" s="567">
        <f>(ii!$D$13*12+V240)+1</f>
        <v>134</v>
      </c>
      <c r="C240" s="337">
        <f t="shared" si="58"/>
        <v>49429</v>
      </c>
      <c r="D240" s="484">
        <f t="shared" si="61"/>
        <v>2035</v>
      </c>
      <c r="E240" s="484">
        <f t="shared" si="59"/>
        <v>0.33333333333333331</v>
      </c>
      <c r="F240" s="484">
        <f t="shared" si="62"/>
        <v>2035.3333333333333</v>
      </c>
      <c r="G240" s="485" t="str">
        <f>IF(OR(C240&lt;$I$2,C240&gt;$J$3),"",(ii!$D$13*12+V240+1)/12)</f>
        <v/>
      </c>
      <c r="H240" s="486"/>
      <c r="I240" s="486"/>
      <c r="J240" s="487"/>
      <c r="K240" s="488"/>
      <c r="L240" s="548"/>
      <c r="M240" s="489" t="str">
        <f t="shared" si="63"/>
        <v/>
      </c>
      <c r="N240" s="490" t="s">
        <v>621</v>
      </c>
      <c r="O240" s="490" t="str">
        <f t="shared" si="56"/>
        <v/>
      </c>
      <c r="P240" s="491"/>
      <c r="Q240" s="491"/>
      <c r="R240" s="491" t="str">
        <f t="shared" si="57"/>
        <v/>
      </c>
      <c r="S240" s="528" t="str">
        <f t="shared" si="55"/>
        <v/>
      </c>
      <c r="T240" s="528" t="str">
        <f t="shared" si="53"/>
        <v/>
      </c>
      <c r="U240" s="493" t="str">
        <f>IF(H240="","",#REF!*12+#REF!+#REF!*12+#REF!)</f>
        <v/>
      </c>
      <c r="V240" s="338">
        <f>IF(ii!$J$3&gt;gg!C240,"",IF(AND((YEAR(C240)=YEAR($I$2)),MONTH(C240)=MONTH($I$2)),ii!$B$14*12+ii!$C$14+ii!$B$15*12+ii!$C$15-1,V239+1))</f>
        <v>133</v>
      </c>
      <c r="W240" s="339">
        <f t="shared" si="60"/>
        <v>11.083333333333334</v>
      </c>
      <c r="X240" s="494" t="s">
        <v>621</v>
      </c>
      <c r="Y240" s="495" t="s">
        <v>621</v>
      </c>
      <c r="Z240" s="496"/>
      <c r="AA240" s="497"/>
      <c r="AB240" s="498" t="e">
        <f t="shared" si="66"/>
        <v>#VALUE!</v>
      </c>
      <c r="AC240" s="484" t="str">
        <f t="shared" si="64"/>
        <v/>
      </c>
      <c r="AD240" s="495" t="str">
        <f t="shared" si="65"/>
        <v/>
      </c>
      <c r="AE240" s="499" t="s">
        <v>621</v>
      </c>
      <c r="AF240" s="500" t="s">
        <v>621</v>
      </c>
      <c r="AG240" s="556" t="s">
        <v>621</v>
      </c>
      <c r="AH240" s="503" t="str">
        <f>IF($G240="","",IF(AND($G240&gt;=30,$AT$3&lt;=AG$7),ROUND(AG240*($AP$3+#REF!),-1),""))</f>
        <v/>
      </c>
      <c r="AI240" s="506" t="s">
        <v>621</v>
      </c>
      <c r="AJ240" s="503" t="str">
        <f>IF($G240="","",IF(AND($G240&gt;=30,$AT$3&lt;=AI$7),ROUND(AI240*($AP$3+#REF!),-1),""))</f>
        <v/>
      </c>
      <c r="AK240" s="506" t="s">
        <v>621</v>
      </c>
      <c r="AL240" s="503" t="str">
        <f>IF($G240="","",IF(AND($G240&gt;=30,$AT$3&lt;=AK$7),ROUND(AK240*($AP$3+#REF!),-1),""))</f>
        <v/>
      </c>
      <c r="AM240" s="506" t="s">
        <v>621</v>
      </c>
      <c r="AN240" s="503" t="str">
        <f>IF($G240="","",IF(AND($G240&gt;=30,$AT$3&lt;=AM$7),ROUND(AM240*($AP$3+#REF!),-1),""))</f>
        <v/>
      </c>
      <c r="AO240" s="503" t="e">
        <v>#REF!</v>
      </c>
      <c r="AP240" s="503" t="str">
        <f>IF($G240="","",IF(AND($G240&gt;=30,$AT$3&lt;=AO$7),ROUND(AO240*($AP$3+#REF!),-1),""))</f>
        <v/>
      </c>
      <c r="AQ240" s="503" t="s">
        <v>621</v>
      </c>
      <c r="AR240" s="503" t="str">
        <f>IF($G240="","",IF(AND($G240&gt;=30,$AT$3&lt;=AQ$7),ROUND(AQ240*($AP$3+#REF!),-1),""))</f>
        <v/>
      </c>
      <c r="AS240" s="503" t="s">
        <v>621</v>
      </c>
      <c r="AT240" s="503" t="str">
        <f>IF($G240="","",IF(AND($G240&gt;=30,$AT$3&lt;=AS$7),ROUND(AS240*($AP$3+#REF!),-1),""))</f>
        <v/>
      </c>
      <c r="AU240" s="503" t="s">
        <v>621</v>
      </c>
      <c r="AV240" s="503" t="str">
        <f>IF($G240="","",IF(AND($G240&gt;=30,$AT$3&lt;=AU$7),ROUND(AU240*($AP$3+#REF!),-1),""))</f>
        <v/>
      </c>
      <c r="AW240" s="503" t="s">
        <v>621</v>
      </c>
      <c r="AX240" s="503" t="str">
        <f>IF($G240="","",IF(AND($G240&gt;=30,$AT$3&lt;=AW$7),ROUND(AW240*($AP$3+#REF!),-1),""))</f>
        <v/>
      </c>
      <c r="AY240" s="503" t="s">
        <v>621</v>
      </c>
      <c r="AZ240" s="503" t="str">
        <f>IF($G240="","",IF(AND($G240&gt;=30,$AT$3&lt;=AY$7),ROUND(AY240*($AP$3+#REF!),-1),""))</f>
        <v/>
      </c>
      <c r="BA240" s="503" t="s">
        <v>621</v>
      </c>
      <c r="BB240" s="503" t="str">
        <f>IF($G240="","",IF(AND($G240&gt;=30,$AT$3&lt;=BA$7),ROUND(BA240*($AP$3+#REF!),-1),""))</f>
        <v/>
      </c>
      <c r="BC240" s="503" t="s">
        <v>621</v>
      </c>
      <c r="BD240" s="503" t="str">
        <f>IF($G240="","",IF(AND($G240&gt;=30,$AT$3&lt;=BC$7),ROUND(BC240*($AP$3+#REF!),-1),""))</f>
        <v/>
      </c>
      <c r="BE240" s="503" t="s">
        <v>621</v>
      </c>
      <c r="BF240" s="503" t="str">
        <f>IF($G240="","",IF(AND($G240&gt;=30,$AT$3&lt;=BE$7),ROUND(BE240*($AP$3+#REF!),-1),""))</f>
        <v/>
      </c>
      <c r="BG240" s="503" t="s">
        <v>621</v>
      </c>
      <c r="BH240" s="503" t="str">
        <f>IF($G240="","",IF(AND($G240&gt;=30,$AT$3&lt;=BG$7),ROUND(BG240*($AP$3+#REF!),-1),""))</f>
        <v/>
      </c>
      <c r="BI240" s="503" t="s">
        <v>621</v>
      </c>
      <c r="BJ240" s="503" t="str">
        <f>IF($G240="","",IF(AND($G240&gt;=30,$AT$3&lt;=BI$7),ROUND(BI240*($AP$3+#REF!),-1),""))</f>
        <v/>
      </c>
      <c r="BK240" s="503" t="s">
        <v>621</v>
      </c>
      <c r="BL240" s="503" t="str">
        <f>IF($G240="","",IF(AND($G240&gt;=30,$AT$3&lt;=BK$7),ROUND(BK240*($AP$3+#REF!),-1),""))</f>
        <v/>
      </c>
      <c r="BM240" s="503" t="s">
        <v>621</v>
      </c>
      <c r="BN240" s="503" t="str">
        <f>IF($G240="","",IF(AND($G240&gt;=30,$AT$3&lt;=BM$7),ROUND(BM240*($AP$3+#REF!),-1),""))</f>
        <v/>
      </c>
      <c r="BO240" s="503" t="s">
        <v>621</v>
      </c>
      <c r="BP240" s="503" t="str">
        <f>IF($G240="","",IF(AND($G240&gt;=30,$AT$3&lt;=BO$7),ROUND(BO240*($AP$3+#REF!),-1),""))</f>
        <v/>
      </c>
      <c r="BQ240" s="503" t="s">
        <v>621</v>
      </c>
      <c r="BR240" s="503" t="str">
        <f>IF($G240="","",IF(AND($G240&gt;=30,$AT$3&lt;=BQ$7),ROUND(BQ240*($AP$3+#REF!),-1),""))</f>
        <v/>
      </c>
      <c r="BS240" s="517" t="e">
        <v>#REF!</v>
      </c>
      <c r="BT240" s="503" t="str">
        <f>IF($G240="","",IF(AND($G240&gt;=30,$AT$3&lt;=BS$7),ROUND(BS240*($AP$3+#REF!),-1),""))</f>
        <v/>
      </c>
      <c r="BU240" s="503"/>
      <c r="BV240" s="503" t="str">
        <f>IF($G240="","",IF(AND($G240&gt;=30,$AT$3&lt;=BU$7),ROUND(BU240*($AP$3+#REF!),-1),""))</f>
        <v/>
      </c>
      <c r="BW240" s="502"/>
      <c r="BX240" s="503" t="str">
        <f>IF($G240="","",IF(AND($G240&gt;=30,$AT$3&lt;=BW$7),ROUND(BW240*($AP$3+#REF!),-1),""))</f>
        <v/>
      </c>
      <c r="BY240" s="503"/>
      <c r="BZ240" s="503" t="str">
        <f>IF($G240="","",IF(AND($G240&gt;=30,$AT$3&lt;=BY$7),ROUND(BY240*($AP$3+#REF!),-1),""))</f>
        <v/>
      </c>
      <c r="CA240" s="502"/>
      <c r="CB240" s="503" t="str">
        <f>IF($G240="","",IF(AND($G240&gt;=30,$AT$3&lt;=CA$7),ROUND(CA240*($AP$3+#REF!),-1),""))</f>
        <v/>
      </c>
      <c r="CC240" s="503"/>
      <c r="CD240" s="503" t="str">
        <f>IF($G240="","",IF(AND($G240&gt;=30,$AT$3&lt;=CC$7),ROUND(CC240*($AP$3+#REF!),-1),""))</f>
        <v/>
      </c>
      <c r="CE240" s="502"/>
      <c r="CF240" s="503" t="str">
        <f>IF($G240="","",IF(AND($G240&gt;=30,$AT$3&lt;=CE$7),ROUND(CE240*($AP$3+#REF!),-1),""))</f>
        <v/>
      </c>
      <c r="CG240" s="503"/>
      <c r="CH240" s="503" t="str">
        <f>IF($G240="","",IF(AND($G240&gt;=30,$AT$3&lt;=CG$7),ROUND(CG240*($AP$3+#REF!),-1),""))</f>
        <v/>
      </c>
      <c r="CI240" s="502"/>
      <c r="CJ240" s="503" t="str">
        <f>IF($G240="","",IF(AND($G240&gt;=30,$AT$3&lt;=CI$7),ROUND(CI240*($AP$3+#REF!),-1),""))</f>
        <v/>
      </c>
      <c r="CK240" s="503"/>
      <c r="CL240" s="503" t="str">
        <f>IF($G240="","",IF(AND($G240&gt;=30,$AT$3&lt;=CK$7),ROUND(CK240*($AP$3+#REF!),-1),""))</f>
        <v/>
      </c>
      <c r="CM240" s="502"/>
      <c r="CN240" s="503" t="str">
        <f>IF($G240="","",IF(AND($G240&gt;=30,$AT$3&lt;=CM$7),ROUND(CM240*($AP$3+#REF!),-1),""))</f>
        <v/>
      </c>
      <c r="CO240" s="503"/>
      <c r="CP240" s="503" t="str">
        <f>IF($G240="","",IF(AND($G240&gt;=30,$AT$3&lt;=CO$7),ROUND(CO240*($AP$3+#REF!),-1),""))</f>
        <v/>
      </c>
      <c r="CQ240" s="502"/>
      <c r="CR240" s="503" t="str">
        <f>IF($G240="","",IF(AND($G240&gt;=30,$AT$3&lt;=CQ$7),ROUND(CQ240*($AP$3+#REF!),-1),""))</f>
        <v/>
      </c>
      <c r="CS240" s="503"/>
      <c r="CT240" s="503" t="str">
        <f>IF($G240="","",IF(AND($G240&gt;=30,$AT$3&lt;=CS$7),ROUND(CS240*($AP$3+#REF!),-1),""))</f>
        <v/>
      </c>
      <c r="CU240" s="502"/>
      <c r="CV240" s="503" t="str">
        <f>IF($G240="","",IF(AND($G240&gt;=30,$AT$3&lt;=CU$7),ROUND(CU240*($AP$3+#REF!),-1),""))</f>
        <v/>
      </c>
      <c r="CW240" s="503"/>
      <c r="CX240" s="503" t="str">
        <f>IF($G240="","",IF(AND($G240&gt;=30,$AT$3&lt;=CW$7),ROUND(CW240*($AP$3+#REF!),-1),""))</f>
        <v/>
      </c>
      <c r="CY240" s="502"/>
      <c r="CZ240" s="503" t="str">
        <f>IF($G240="","",IF(AND($G240&gt;=30,$AT$3&lt;=CY$7),ROUND(CY240*($AP$3+#REF!),-1),""))</f>
        <v/>
      </c>
      <c r="DA240" s="503"/>
      <c r="DB240" s="503" t="str">
        <f>IF($G240="","",IF(AND($G240&gt;=30,$AT$3&lt;=DA$7),ROUND(DA240*($AP$3+#REF!),-1),""))</f>
        <v/>
      </c>
      <c r="DC240" s="502"/>
      <c r="DD240" s="503" t="str">
        <f>IF($G240="","",IF(AND($G240&gt;=30,$AT$3&lt;=DC$7),ROUND(DC240*($AP$3+#REF!),-1),""))</f>
        <v/>
      </c>
      <c r="DE240" s="503"/>
      <c r="DF240" s="503" t="str">
        <f>IF($G240="","",IF(AND($G240&gt;=30,$AT$3&lt;=DE$7),ROUND(DE240*($AP$3+#REF!),-1),""))</f>
        <v/>
      </c>
      <c r="DG240" s="503"/>
      <c r="DH240" s="503" t="str">
        <f>IF($G240="","",IF(AND($G240&gt;=30,$AT$3&lt;=DG$7),ROUND(DG240*($AP$3+#REF!),-1),""))</f>
        <v/>
      </c>
      <c r="DI240" s="503"/>
      <c r="DJ240" s="503" t="str">
        <f>IF($G240="","",IF(AND($G240&gt;=30,$AT$3&lt;=DI$7),ROUND(DI240*($AP$3+#REF!),-1),""))</f>
        <v/>
      </c>
      <c r="DK240" s="503"/>
      <c r="DL240" s="503" t="str">
        <f>IF($G240="","",IF(AND($G240&gt;=30,$AT$3&lt;=DK$7),ROUND(DK240*($AP$3+#REF!),-1),""))</f>
        <v/>
      </c>
      <c r="DM240" s="503"/>
      <c r="DN240" s="503" t="str">
        <f>IF($G240="","",IF(AND($G240&gt;=30,$AT$3&lt;=DM$7),ROUND(DM240*($AP$3+#REF!),-1),""))</f>
        <v/>
      </c>
      <c r="DO240" s="503"/>
      <c r="DP240" s="503" t="str">
        <f>IF($G240="","",IF(AND($G240&gt;=30,$AT$3&lt;=DO$7),ROUND(DO240*($AP$3+#REF!),-1),""))</f>
        <v/>
      </c>
      <c r="DQ240" s="503"/>
      <c r="DR240" s="503" t="str">
        <f>IF($G240="","",IF(AND($G240&gt;=30,$AT$3&lt;=DQ$7),ROUND(DQ240*($AP$3+#REF!),-1),""))</f>
        <v/>
      </c>
      <c r="DS240" s="503"/>
      <c r="DT240" s="503" t="str">
        <f>IF($G240="","",IF(AND($G240&gt;=30,$AT$3&lt;=DS$7),ROUND(DS240*($AP$3+#REF!),-1),""))</f>
        <v/>
      </c>
      <c r="DU240" s="503"/>
      <c r="DV240" s="503" t="str">
        <f>IF($G240="","",IF(AND($G240&gt;=30,$AT$3&lt;=DU$7),ROUND(DU240*($AP$3+#REF!),-1),""))</f>
        <v/>
      </c>
      <c r="DW240" s="503"/>
      <c r="DX240" s="503" t="str">
        <f>IF($G240="","",IF(AND($G240&gt;=30,$AT$3&lt;=DW$7),ROUND(DW240*($AP$3+#REF!),-1),""))</f>
        <v/>
      </c>
      <c r="DY240" s="503"/>
      <c r="DZ240" s="503" t="str">
        <f>IF($G240="","",IF(AND($G240&gt;=30,$AT$3&lt;=DY$7),ROUND(DY240*($AP$3+#REF!),-1),""))</f>
        <v/>
      </c>
      <c r="EA240" s="503"/>
      <c r="EB240" s="503" t="str">
        <f>IF($G240="","",IF(AND($G240&gt;=30,$AT$3&lt;=EA$7),ROUND(EA240*($AP$3+#REF!),-1),""))</f>
        <v/>
      </c>
      <c r="EC240" s="504" t="s">
        <v>621</v>
      </c>
      <c r="ED240" s="1124"/>
      <c r="EE240" s="325">
        <v>4</v>
      </c>
    </row>
    <row r="241" spans="1:135" ht="9.75" customHeight="1">
      <c r="A241" s="321" t="str">
        <f t="shared" si="54"/>
        <v/>
      </c>
      <c r="B241" s="567">
        <f>(ii!$D$13*12+V241)+1</f>
        <v>135</v>
      </c>
      <c r="C241" s="337">
        <f t="shared" si="58"/>
        <v>49460</v>
      </c>
      <c r="D241" s="484">
        <f t="shared" si="61"/>
        <v>2035</v>
      </c>
      <c r="E241" s="484">
        <f t="shared" si="59"/>
        <v>0.41666666666666669</v>
      </c>
      <c r="F241" s="484">
        <f t="shared" si="62"/>
        <v>2035.4166666666667</v>
      </c>
      <c r="G241" s="485" t="str">
        <f>IF(OR(C241&lt;$I$2,C241&gt;$J$3),"",(ii!$D$13*12+V241+1)/12)</f>
        <v/>
      </c>
      <c r="H241" s="486"/>
      <c r="I241" s="486"/>
      <c r="J241" s="507"/>
      <c r="K241" s="508"/>
      <c r="L241" s="548"/>
      <c r="M241" s="489" t="str">
        <f t="shared" si="63"/>
        <v/>
      </c>
      <c r="N241" s="490" t="s">
        <v>621</v>
      </c>
      <c r="O241" s="490" t="str">
        <f t="shared" si="56"/>
        <v/>
      </c>
      <c r="P241" s="507"/>
      <c r="Q241" s="507"/>
      <c r="R241" s="491" t="str">
        <f t="shared" si="57"/>
        <v/>
      </c>
      <c r="S241" s="528" t="str">
        <f t="shared" si="55"/>
        <v/>
      </c>
      <c r="T241" s="528" t="str">
        <f t="shared" si="53"/>
        <v/>
      </c>
      <c r="U241" s="493" t="str">
        <f>IF(H241="","",#REF!*12+#REF!+#REF!*12+#REF!)</f>
        <v/>
      </c>
      <c r="V241" s="338">
        <f>IF(ii!$J$3&gt;gg!C241,"",IF(AND((YEAR(C241)=YEAR($I$2)),MONTH(C241)=MONTH($I$2)),ii!$B$14*12+ii!$C$14+ii!$B$15*12+ii!$C$15-1,V240+1))</f>
        <v>134</v>
      </c>
      <c r="W241" s="339">
        <f t="shared" si="60"/>
        <v>11.166666666666666</v>
      </c>
      <c r="X241" s="494" t="s">
        <v>621</v>
      </c>
      <c r="Y241" s="495" t="s">
        <v>621</v>
      </c>
      <c r="Z241" s="496"/>
      <c r="AA241" s="497"/>
      <c r="AB241" s="498" t="e">
        <f t="shared" si="66"/>
        <v>#VALUE!</v>
      </c>
      <c r="AC241" s="484" t="str">
        <f t="shared" si="64"/>
        <v/>
      </c>
      <c r="AD241" s="495" t="str">
        <f t="shared" si="65"/>
        <v/>
      </c>
      <c r="AE241" s="499" t="s">
        <v>621</v>
      </c>
      <c r="AF241" s="500" t="s">
        <v>621</v>
      </c>
      <c r="AG241" s="556" t="s">
        <v>621</v>
      </c>
      <c r="AH241" s="503" t="str">
        <f>IF($G241="","",IF(AND($G241&gt;=30,$AT$3&lt;=AG$7),ROUND(AG241*($AP$3+#REF!),-1),""))</f>
        <v/>
      </c>
      <c r="AI241" s="506" t="s">
        <v>621</v>
      </c>
      <c r="AJ241" s="503" t="str">
        <f>IF($G241="","",IF(AND($G241&gt;=30,$AT$3&lt;=AI$7),ROUND(AI241*($AP$3+#REF!),-1),""))</f>
        <v/>
      </c>
      <c r="AK241" s="506" t="s">
        <v>621</v>
      </c>
      <c r="AL241" s="503" t="str">
        <f>IF($G241="","",IF(AND($G241&gt;=30,$AT$3&lt;=AK$7),ROUND(AK241*($AP$3+#REF!),-1),""))</f>
        <v/>
      </c>
      <c r="AM241" s="506" t="s">
        <v>621</v>
      </c>
      <c r="AN241" s="503" t="str">
        <f>IF($G241="","",IF(AND($G241&gt;=30,$AT$3&lt;=AM$7),ROUND(AM241*($AP$3+#REF!),-1),""))</f>
        <v/>
      </c>
      <c r="AO241" s="503" t="e">
        <v>#REF!</v>
      </c>
      <c r="AP241" s="503" t="str">
        <f>IF($G241="","",IF(AND($G241&gt;=30,$AT$3&lt;=AO$7),ROUND(AO241*($AP$3+#REF!),-1),""))</f>
        <v/>
      </c>
      <c r="AQ241" s="503" t="s">
        <v>621</v>
      </c>
      <c r="AR241" s="503" t="str">
        <f>IF($G241="","",IF(AND($G241&gt;=30,$AT$3&lt;=AQ$7),ROUND(AQ241*($AP$3+#REF!),-1),""))</f>
        <v/>
      </c>
      <c r="AS241" s="503" t="s">
        <v>621</v>
      </c>
      <c r="AT241" s="503" t="str">
        <f>IF($G241="","",IF(AND($G241&gt;=30,$AT$3&lt;=AS$7),ROUND(AS241*($AP$3+#REF!),-1),""))</f>
        <v/>
      </c>
      <c r="AU241" s="503" t="s">
        <v>621</v>
      </c>
      <c r="AV241" s="503" t="str">
        <f>IF($G241="","",IF(AND($G241&gt;=30,$AT$3&lt;=AU$7),ROUND(AU241*($AP$3+#REF!),-1),""))</f>
        <v/>
      </c>
      <c r="AW241" s="503" t="s">
        <v>621</v>
      </c>
      <c r="AX241" s="503" t="str">
        <f>IF($G241="","",IF(AND($G241&gt;=30,$AT$3&lt;=AW$7),ROUND(AW241*($AP$3+#REF!),-1),""))</f>
        <v/>
      </c>
      <c r="AY241" s="503" t="s">
        <v>621</v>
      </c>
      <c r="AZ241" s="503" t="str">
        <f>IF($G241="","",IF(AND($G241&gt;=30,$AT$3&lt;=AY$7),ROUND(AY241*($AP$3+#REF!),-1),""))</f>
        <v/>
      </c>
      <c r="BA241" s="503" t="s">
        <v>621</v>
      </c>
      <c r="BB241" s="503" t="str">
        <f>IF($G241="","",IF(AND($G241&gt;=30,$AT$3&lt;=BA$7),ROUND(BA241*($AP$3+#REF!),-1),""))</f>
        <v/>
      </c>
      <c r="BC241" s="503" t="s">
        <v>621</v>
      </c>
      <c r="BD241" s="503" t="str">
        <f>IF($G241="","",IF(AND($G241&gt;=30,$AT$3&lt;=BC$7),ROUND(BC241*($AP$3+#REF!),-1),""))</f>
        <v/>
      </c>
      <c r="BE241" s="503" t="s">
        <v>621</v>
      </c>
      <c r="BF241" s="503" t="str">
        <f>IF($G241="","",IF(AND($G241&gt;=30,$AT$3&lt;=BE$7),ROUND(BE241*($AP$3+#REF!),-1),""))</f>
        <v/>
      </c>
      <c r="BG241" s="503" t="s">
        <v>621</v>
      </c>
      <c r="BH241" s="503" t="str">
        <f>IF($G241="","",IF(AND($G241&gt;=30,$AT$3&lt;=BG$7),ROUND(BG241*($AP$3+#REF!),-1),""))</f>
        <v/>
      </c>
      <c r="BI241" s="503" t="s">
        <v>621</v>
      </c>
      <c r="BJ241" s="503" t="str">
        <f>IF($G241="","",IF(AND($G241&gt;=30,$AT$3&lt;=BI$7),ROUND(BI241*($AP$3+#REF!),-1),""))</f>
        <v/>
      </c>
      <c r="BK241" s="503" t="s">
        <v>621</v>
      </c>
      <c r="BL241" s="503" t="str">
        <f>IF($G241="","",IF(AND($G241&gt;=30,$AT$3&lt;=BK$7),ROUND(BK241*($AP$3+#REF!),-1),""))</f>
        <v/>
      </c>
      <c r="BM241" s="503" t="s">
        <v>621</v>
      </c>
      <c r="BN241" s="503" t="str">
        <f>IF($G241="","",IF(AND($G241&gt;=30,$AT$3&lt;=BM$7),ROUND(BM241*($AP$3+#REF!),-1),""))</f>
        <v/>
      </c>
      <c r="BO241" s="503" t="s">
        <v>621</v>
      </c>
      <c r="BP241" s="503" t="str">
        <f>IF($G241="","",IF(AND($G241&gt;=30,$AT$3&lt;=BO$7),ROUND(BO241*($AP$3+#REF!),-1),""))</f>
        <v/>
      </c>
      <c r="BQ241" s="503" t="s">
        <v>621</v>
      </c>
      <c r="BR241" s="503" t="str">
        <f>IF($G241="","",IF(AND($G241&gt;=30,$AT$3&lt;=BQ$7),ROUND(BQ241*($AP$3+#REF!),-1),""))</f>
        <v/>
      </c>
      <c r="BS241" s="517" t="e">
        <v>#REF!</v>
      </c>
      <c r="BT241" s="503" t="str">
        <f>IF($G241="","",IF(AND($G241&gt;=30,$AT$3&lt;=BS$7),ROUND(BS241*($AP$3+#REF!),-1),""))</f>
        <v/>
      </c>
      <c r="BU241" s="503"/>
      <c r="BV241" s="503" t="str">
        <f>IF($G241="","",IF(AND($G241&gt;=30,$AT$3&lt;=BU$7),ROUND(BU241*($AP$3+#REF!),-1),""))</f>
        <v/>
      </c>
      <c r="BW241" s="502"/>
      <c r="BX241" s="503" t="str">
        <f>IF($G241="","",IF(AND($G241&gt;=30,$AT$3&lt;=BW$7),ROUND(BW241*($AP$3+#REF!),-1),""))</f>
        <v/>
      </c>
      <c r="BY241" s="503"/>
      <c r="BZ241" s="503" t="str">
        <f>IF($G241="","",IF(AND($G241&gt;=30,$AT$3&lt;=BY$7),ROUND(BY241*($AP$3+#REF!),-1),""))</f>
        <v/>
      </c>
      <c r="CA241" s="502"/>
      <c r="CB241" s="503" t="str">
        <f>IF($G241="","",IF(AND($G241&gt;=30,$AT$3&lt;=CA$7),ROUND(CA241*($AP$3+#REF!),-1),""))</f>
        <v/>
      </c>
      <c r="CC241" s="503"/>
      <c r="CD241" s="503" t="str">
        <f>IF($G241="","",IF(AND($G241&gt;=30,$AT$3&lt;=CC$7),ROUND(CC241*($AP$3+#REF!),-1),""))</f>
        <v/>
      </c>
      <c r="CE241" s="502"/>
      <c r="CF241" s="503" t="str">
        <f>IF($G241="","",IF(AND($G241&gt;=30,$AT$3&lt;=CE$7),ROUND(CE241*($AP$3+#REF!),-1),""))</f>
        <v/>
      </c>
      <c r="CG241" s="503"/>
      <c r="CH241" s="503" t="str">
        <f>IF($G241="","",IF(AND($G241&gt;=30,$AT$3&lt;=CG$7),ROUND(CG241*($AP$3+#REF!),-1),""))</f>
        <v/>
      </c>
      <c r="CI241" s="502"/>
      <c r="CJ241" s="503" t="str">
        <f>IF($G241="","",IF(AND($G241&gt;=30,$AT$3&lt;=CI$7),ROUND(CI241*($AP$3+#REF!),-1),""))</f>
        <v/>
      </c>
      <c r="CK241" s="503"/>
      <c r="CL241" s="503" t="str">
        <f>IF($G241="","",IF(AND($G241&gt;=30,$AT$3&lt;=CK$7),ROUND(CK241*($AP$3+#REF!),-1),""))</f>
        <v/>
      </c>
      <c r="CM241" s="502"/>
      <c r="CN241" s="503" t="str">
        <f>IF($G241="","",IF(AND($G241&gt;=30,$AT$3&lt;=CM$7),ROUND(CM241*($AP$3+#REF!),-1),""))</f>
        <v/>
      </c>
      <c r="CO241" s="503"/>
      <c r="CP241" s="503" t="str">
        <f>IF($G241="","",IF(AND($G241&gt;=30,$AT$3&lt;=CO$7),ROUND(CO241*($AP$3+#REF!),-1),""))</f>
        <v/>
      </c>
      <c r="CQ241" s="502"/>
      <c r="CR241" s="503" t="str">
        <f>IF($G241="","",IF(AND($G241&gt;=30,$AT$3&lt;=CQ$7),ROUND(CQ241*($AP$3+#REF!),-1),""))</f>
        <v/>
      </c>
      <c r="CS241" s="503"/>
      <c r="CT241" s="503" t="str">
        <f>IF($G241="","",IF(AND($G241&gt;=30,$AT$3&lt;=CS$7),ROUND(CS241*($AP$3+#REF!),-1),""))</f>
        <v/>
      </c>
      <c r="CU241" s="502"/>
      <c r="CV241" s="503" t="str">
        <f>IF($G241="","",IF(AND($G241&gt;=30,$AT$3&lt;=CU$7),ROUND(CU241*($AP$3+#REF!),-1),""))</f>
        <v/>
      </c>
      <c r="CW241" s="503"/>
      <c r="CX241" s="503" t="str">
        <f>IF($G241="","",IF(AND($G241&gt;=30,$AT$3&lt;=CW$7),ROUND(CW241*($AP$3+#REF!),-1),""))</f>
        <v/>
      </c>
      <c r="CY241" s="502"/>
      <c r="CZ241" s="503" t="str">
        <f>IF($G241="","",IF(AND($G241&gt;=30,$AT$3&lt;=CY$7),ROUND(CY241*($AP$3+#REF!),-1),""))</f>
        <v/>
      </c>
      <c r="DA241" s="503"/>
      <c r="DB241" s="503" t="str">
        <f>IF($G241="","",IF(AND($G241&gt;=30,$AT$3&lt;=DA$7),ROUND(DA241*($AP$3+#REF!),-1),""))</f>
        <v/>
      </c>
      <c r="DC241" s="502"/>
      <c r="DD241" s="503" t="str">
        <f>IF($G241="","",IF(AND($G241&gt;=30,$AT$3&lt;=DC$7),ROUND(DC241*($AP$3+#REF!),-1),""))</f>
        <v/>
      </c>
      <c r="DE241" s="503"/>
      <c r="DF241" s="503" t="str">
        <f>IF($G241="","",IF(AND($G241&gt;=30,$AT$3&lt;=DE$7),ROUND(DE241*($AP$3+#REF!),-1),""))</f>
        <v/>
      </c>
      <c r="DG241" s="503"/>
      <c r="DH241" s="503" t="str">
        <f>IF($G241="","",IF(AND($G241&gt;=30,$AT$3&lt;=DG$7),ROUND(DG241*($AP$3+#REF!),-1),""))</f>
        <v/>
      </c>
      <c r="DI241" s="503"/>
      <c r="DJ241" s="503" t="str">
        <f>IF($G241="","",IF(AND($G241&gt;=30,$AT$3&lt;=DI$7),ROUND(DI241*($AP$3+#REF!),-1),""))</f>
        <v/>
      </c>
      <c r="DK241" s="503"/>
      <c r="DL241" s="503" t="str">
        <f>IF($G241="","",IF(AND($G241&gt;=30,$AT$3&lt;=DK$7),ROUND(DK241*($AP$3+#REF!),-1),""))</f>
        <v/>
      </c>
      <c r="DM241" s="503"/>
      <c r="DN241" s="503" t="str">
        <f>IF($G241="","",IF(AND($G241&gt;=30,$AT$3&lt;=DM$7),ROUND(DM241*($AP$3+#REF!),-1),""))</f>
        <v/>
      </c>
      <c r="DO241" s="503"/>
      <c r="DP241" s="503" t="str">
        <f>IF($G241="","",IF(AND($G241&gt;=30,$AT$3&lt;=DO$7),ROUND(DO241*($AP$3+#REF!),-1),""))</f>
        <v/>
      </c>
      <c r="DQ241" s="503"/>
      <c r="DR241" s="503" t="str">
        <f>IF($G241="","",IF(AND($G241&gt;=30,$AT$3&lt;=DQ$7),ROUND(DQ241*($AP$3+#REF!),-1),""))</f>
        <v/>
      </c>
      <c r="DS241" s="503"/>
      <c r="DT241" s="503" t="str">
        <f>IF($G241="","",IF(AND($G241&gt;=30,$AT$3&lt;=DS$7),ROUND(DS241*($AP$3+#REF!),-1),""))</f>
        <v/>
      </c>
      <c r="DU241" s="503"/>
      <c r="DV241" s="503" t="str">
        <f>IF($G241="","",IF(AND($G241&gt;=30,$AT$3&lt;=DU$7),ROUND(DU241*($AP$3+#REF!),-1),""))</f>
        <v/>
      </c>
      <c r="DW241" s="503"/>
      <c r="DX241" s="503" t="str">
        <f>IF($G241="","",IF(AND($G241&gt;=30,$AT$3&lt;=DW$7),ROUND(DW241*($AP$3+#REF!),-1),""))</f>
        <v/>
      </c>
      <c r="DY241" s="503"/>
      <c r="DZ241" s="503" t="str">
        <f>IF($G241="","",IF(AND($G241&gt;=30,$AT$3&lt;=DY$7),ROUND(DY241*($AP$3+#REF!),-1),""))</f>
        <v/>
      </c>
      <c r="EA241" s="503"/>
      <c r="EB241" s="503" t="str">
        <f>IF($G241="","",IF(AND($G241&gt;=30,$AT$3&lt;=EA$7),ROUND(EA241*($AP$3+#REF!),-1),""))</f>
        <v/>
      </c>
      <c r="EC241" s="504" t="s">
        <v>621</v>
      </c>
      <c r="ED241" s="1124"/>
      <c r="EE241" s="325">
        <v>5</v>
      </c>
    </row>
    <row r="242" spans="1:135" ht="9.75" customHeight="1">
      <c r="A242" s="321" t="str">
        <f t="shared" si="54"/>
        <v/>
      </c>
      <c r="B242" s="567">
        <f>(ii!$D$13*12+V242)+1</f>
        <v>136</v>
      </c>
      <c r="C242" s="337">
        <f t="shared" si="58"/>
        <v>49490</v>
      </c>
      <c r="D242" s="484">
        <f t="shared" si="61"/>
        <v>2035</v>
      </c>
      <c r="E242" s="484">
        <f t="shared" si="59"/>
        <v>0.5</v>
      </c>
      <c r="F242" s="484">
        <f t="shared" si="62"/>
        <v>2035.5</v>
      </c>
      <c r="G242" s="485" t="str">
        <f>IF(OR(C242&lt;$I$2,C242&gt;$J$3),"",(ii!$D$13*12+V242+1)/12)</f>
        <v/>
      </c>
      <c r="H242" s="486"/>
      <c r="I242" s="486"/>
      <c r="J242" s="487"/>
      <c r="K242" s="488"/>
      <c r="L242" s="548"/>
      <c r="M242" s="489" t="str">
        <f t="shared" si="63"/>
        <v/>
      </c>
      <c r="N242" s="490" t="s">
        <v>621</v>
      </c>
      <c r="O242" s="490" t="str">
        <f t="shared" si="56"/>
        <v/>
      </c>
      <c r="P242" s="491"/>
      <c r="Q242" s="491"/>
      <c r="R242" s="491" t="str">
        <f t="shared" si="57"/>
        <v/>
      </c>
      <c r="S242" s="528" t="str">
        <f t="shared" si="55"/>
        <v/>
      </c>
      <c r="T242" s="528" t="str">
        <f t="shared" si="53"/>
        <v/>
      </c>
      <c r="U242" s="493" t="str">
        <f>IF(H242="","",#REF!*12+#REF!+#REF!*12+#REF!)</f>
        <v/>
      </c>
      <c r="V242" s="338">
        <f>IF(ii!$J$3&gt;gg!C242,"",IF(AND((YEAR(C242)=YEAR($I$2)),MONTH(C242)=MONTH($I$2)),ii!$B$14*12+ii!$C$14+ii!$B$15*12+ii!$C$15-1,V241+1))</f>
        <v>135</v>
      </c>
      <c r="W242" s="339">
        <f t="shared" si="60"/>
        <v>11.25</v>
      </c>
      <c r="X242" s="494" t="s">
        <v>621</v>
      </c>
      <c r="Y242" s="495" t="s">
        <v>621</v>
      </c>
      <c r="Z242" s="496"/>
      <c r="AA242" s="497"/>
      <c r="AB242" s="498" t="e">
        <f t="shared" si="66"/>
        <v>#VALUE!</v>
      </c>
      <c r="AC242" s="484" t="str">
        <f t="shared" si="64"/>
        <v/>
      </c>
      <c r="AD242" s="495" t="str">
        <f t="shared" si="65"/>
        <v/>
      </c>
      <c r="AE242" s="499" t="s">
        <v>621</v>
      </c>
      <c r="AF242" s="500" t="s">
        <v>621</v>
      </c>
      <c r="AG242" s="556" t="s">
        <v>621</v>
      </c>
      <c r="AH242" s="503" t="str">
        <f>IF($G242="","",IF(AND($G242&gt;=30,$AT$3&lt;=AG$7),ROUND(AG242*($AP$3+#REF!),-1),""))</f>
        <v/>
      </c>
      <c r="AI242" s="506" t="s">
        <v>621</v>
      </c>
      <c r="AJ242" s="503" t="str">
        <f>IF($G242="","",IF(AND($G242&gt;=30,$AT$3&lt;=AI$7),ROUND(AI242*($AP$3+#REF!),-1),""))</f>
        <v/>
      </c>
      <c r="AK242" s="506" t="s">
        <v>621</v>
      </c>
      <c r="AL242" s="503" t="str">
        <f>IF($G242="","",IF(AND($G242&gt;=30,$AT$3&lt;=AK$7),ROUND(AK242*($AP$3+#REF!),-1),""))</f>
        <v/>
      </c>
      <c r="AM242" s="506" t="s">
        <v>621</v>
      </c>
      <c r="AN242" s="503" t="str">
        <f>IF($G242="","",IF(AND($G242&gt;=30,$AT$3&lt;=AM$7),ROUND(AM242*($AP$3+#REF!),-1),""))</f>
        <v/>
      </c>
      <c r="AO242" s="503" t="e">
        <v>#REF!</v>
      </c>
      <c r="AP242" s="503" t="str">
        <f>IF($G242="","",IF(AND($G242&gt;=30,$AT$3&lt;=AO$7),ROUND(AO242*($AP$3+#REF!),-1),""))</f>
        <v/>
      </c>
      <c r="AQ242" s="503" t="s">
        <v>621</v>
      </c>
      <c r="AR242" s="503" t="str">
        <f>IF($G242="","",IF(AND($G242&gt;=30,$AT$3&lt;=AQ$7),ROUND(AQ242*($AP$3+#REF!),-1),""))</f>
        <v/>
      </c>
      <c r="AS242" s="503" t="s">
        <v>621</v>
      </c>
      <c r="AT242" s="503" t="str">
        <f>IF($G242="","",IF(AND($G242&gt;=30,$AT$3&lt;=AS$7),ROUND(AS242*($AP$3+#REF!),-1),""))</f>
        <v/>
      </c>
      <c r="AU242" s="503" t="s">
        <v>621</v>
      </c>
      <c r="AV242" s="503" t="str">
        <f>IF($G242="","",IF(AND($G242&gt;=30,$AT$3&lt;=AU$7),ROUND(AU242*($AP$3+#REF!),-1),""))</f>
        <v/>
      </c>
      <c r="AW242" s="503" t="s">
        <v>621</v>
      </c>
      <c r="AX242" s="503" t="str">
        <f>IF($G242="","",IF(AND($G242&gt;=30,$AT$3&lt;=AW$7),ROUND(AW242*($AP$3+#REF!),-1),""))</f>
        <v/>
      </c>
      <c r="AY242" s="503" t="s">
        <v>621</v>
      </c>
      <c r="AZ242" s="503" t="str">
        <f>IF($G242="","",IF(AND($G242&gt;=30,$AT$3&lt;=AY$7),ROUND(AY242*($AP$3+#REF!),-1),""))</f>
        <v/>
      </c>
      <c r="BA242" s="503" t="s">
        <v>621</v>
      </c>
      <c r="BB242" s="503" t="str">
        <f>IF($G242="","",IF(AND($G242&gt;=30,$AT$3&lt;=BA$7),ROUND(BA242*($AP$3+#REF!),-1),""))</f>
        <v/>
      </c>
      <c r="BC242" s="503" t="s">
        <v>621</v>
      </c>
      <c r="BD242" s="503" t="str">
        <f>IF($G242="","",IF(AND($G242&gt;=30,$AT$3&lt;=BC$7),ROUND(BC242*($AP$3+#REF!),-1),""))</f>
        <v/>
      </c>
      <c r="BE242" s="503" t="s">
        <v>621</v>
      </c>
      <c r="BF242" s="503" t="str">
        <f>IF($G242="","",IF(AND($G242&gt;=30,$AT$3&lt;=BE$7),ROUND(BE242*($AP$3+#REF!),-1),""))</f>
        <v/>
      </c>
      <c r="BG242" s="503" t="s">
        <v>621</v>
      </c>
      <c r="BH242" s="503" t="str">
        <f>IF($G242="","",IF(AND($G242&gt;=30,$AT$3&lt;=BG$7),ROUND(BG242*($AP$3+#REF!),-1),""))</f>
        <v/>
      </c>
      <c r="BI242" s="503" t="s">
        <v>621</v>
      </c>
      <c r="BJ242" s="503" t="str">
        <f>IF($G242="","",IF(AND($G242&gt;=30,$AT$3&lt;=BI$7),ROUND(BI242*($AP$3+#REF!),-1),""))</f>
        <v/>
      </c>
      <c r="BK242" s="503" t="s">
        <v>621</v>
      </c>
      <c r="BL242" s="503" t="str">
        <f>IF($G242="","",IF(AND($G242&gt;=30,$AT$3&lt;=BK$7),ROUND(BK242*($AP$3+#REF!),-1),""))</f>
        <v/>
      </c>
      <c r="BM242" s="503" t="s">
        <v>621</v>
      </c>
      <c r="BN242" s="503" t="str">
        <f>IF($G242="","",IF(AND($G242&gt;=30,$AT$3&lt;=BM$7),ROUND(BM242*($AP$3+#REF!),-1),""))</f>
        <v/>
      </c>
      <c r="BO242" s="503" t="s">
        <v>621</v>
      </c>
      <c r="BP242" s="503" t="str">
        <f>IF($G242="","",IF(AND($G242&gt;=30,$AT$3&lt;=BO$7),ROUND(BO242*($AP$3+#REF!),-1),""))</f>
        <v/>
      </c>
      <c r="BQ242" s="503" t="s">
        <v>621</v>
      </c>
      <c r="BR242" s="503" t="str">
        <f>IF($G242="","",IF(AND($G242&gt;=30,$AT$3&lt;=BQ$7),ROUND(BQ242*($AP$3+#REF!),-1),""))</f>
        <v/>
      </c>
      <c r="BS242" s="517" t="e">
        <v>#REF!</v>
      </c>
      <c r="BT242" s="503" t="str">
        <f>IF($G242="","",IF(AND($G242&gt;=30,$AT$3&lt;=BS$7),ROUND(BS242*($AP$3+#REF!),-1),""))</f>
        <v/>
      </c>
      <c r="BU242" s="503"/>
      <c r="BV242" s="503" t="str">
        <f>IF($G242="","",IF(AND($G242&gt;=30,$AT$3&lt;=BU$7),ROUND(BU242*($AP$3+#REF!),-1),""))</f>
        <v/>
      </c>
      <c r="BW242" s="502"/>
      <c r="BX242" s="503" t="str">
        <f>IF($G242="","",IF(AND($G242&gt;=30,$AT$3&lt;=BW$7),ROUND(BW242*($AP$3+#REF!),-1),""))</f>
        <v/>
      </c>
      <c r="BY242" s="503"/>
      <c r="BZ242" s="503" t="str">
        <f>IF($G242="","",IF(AND($G242&gt;=30,$AT$3&lt;=BY$7),ROUND(BY242*($AP$3+#REF!),-1),""))</f>
        <v/>
      </c>
      <c r="CA242" s="502"/>
      <c r="CB242" s="503" t="str">
        <f>IF($G242="","",IF(AND($G242&gt;=30,$AT$3&lt;=CA$7),ROUND(CA242*($AP$3+#REF!),-1),""))</f>
        <v/>
      </c>
      <c r="CC242" s="503"/>
      <c r="CD242" s="503" t="str">
        <f>IF($G242="","",IF(AND($G242&gt;=30,$AT$3&lt;=CC$7),ROUND(CC242*($AP$3+#REF!),-1),""))</f>
        <v/>
      </c>
      <c r="CE242" s="502"/>
      <c r="CF242" s="503" t="str">
        <f>IF($G242="","",IF(AND($G242&gt;=30,$AT$3&lt;=CE$7),ROUND(CE242*($AP$3+#REF!),-1),""))</f>
        <v/>
      </c>
      <c r="CG242" s="503"/>
      <c r="CH242" s="503" t="str">
        <f>IF($G242="","",IF(AND($G242&gt;=30,$AT$3&lt;=CG$7),ROUND(CG242*($AP$3+#REF!),-1),""))</f>
        <v/>
      </c>
      <c r="CI242" s="502"/>
      <c r="CJ242" s="503" t="str">
        <f>IF($G242="","",IF(AND($G242&gt;=30,$AT$3&lt;=CI$7),ROUND(CI242*($AP$3+#REF!),-1),""))</f>
        <v/>
      </c>
      <c r="CK242" s="503"/>
      <c r="CL242" s="503" t="str">
        <f>IF($G242="","",IF(AND($G242&gt;=30,$AT$3&lt;=CK$7),ROUND(CK242*($AP$3+#REF!),-1),""))</f>
        <v/>
      </c>
      <c r="CM242" s="502"/>
      <c r="CN242" s="503" t="str">
        <f>IF($G242="","",IF(AND($G242&gt;=30,$AT$3&lt;=CM$7),ROUND(CM242*($AP$3+#REF!),-1),""))</f>
        <v/>
      </c>
      <c r="CO242" s="503"/>
      <c r="CP242" s="503" t="str">
        <f>IF($G242="","",IF(AND($G242&gt;=30,$AT$3&lt;=CO$7),ROUND(CO242*($AP$3+#REF!),-1),""))</f>
        <v/>
      </c>
      <c r="CQ242" s="502"/>
      <c r="CR242" s="503" t="str">
        <f>IF($G242="","",IF(AND($G242&gt;=30,$AT$3&lt;=CQ$7),ROUND(CQ242*($AP$3+#REF!),-1),""))</f>
        <v/>
      </c>
      <c r="CS242" s="503"/>
      <c r="CT242" s="503" t="str">
        <f>IF($G242="","",IF(AND($G242&gt;=30,$AT$3&lt;=CS$7),ROUND(CS242*($AP$3+#REF!),-1),""))</f>
        <v/>
      </c>
      <c r="CU242" s="502"/>
      <c r="CV242" s="503" t="str">
        <f>IF($G242="","",IF(AND($G242&gt;=30,$AT$3&lt;=CU$7),ROUND(CU242*($AP$3+#REF!),-1),""))</f>
        <v/>
      </c>
      <c r="CW242" s="503"/>
      <c r="CX242" s="503" t="str">
        <f>IF($G242="","",IF(AND($G242&gt;=30,$AT$3&lt;=CW$7),ROUND(CW242*($AP$3+#REF!),-1),""))</f>
        <v/>
      </c>
      <c r="CY242" s="502"/>
      <c r="CZ242" s="503" t="str">
        <f>IF($G242="","",IF(AND($G242&gt;=30,$AT$3&lt;=CY$7),ROUND(CY242*($AP$3+#REF!),-1),""))</f>
        <v/>
      </c>
      <c r="DA242" s="503"/>
      <c r="DB242" s="503" t="str">
        <f>IF($G242="","",IF(AND($G242&gt;=30,$AT$3&lt;=DA$7),ROUND(DA242*($AP$3+#REF!),-1),""))</f>
        <v/>
      </c>
      <c r="DC242" s="502"/>
      <c r="DD242" s="503" t="str">
        <f>IF($G242="","",IF(AND($G242&gt;=30,$AT$3&lt;=DC$7),ROUND(DC242*($AP$3+#REF!),-1),""))</f>
        <v/>
      </c>
      <c r="DE242" s="503"/>
      <c r="DF242" s="503" t="str">
        <f>IF($G242="","",IF(AND($G242&gt;=30,$AT$3&lt;=DE$7),ROUND(DE242*($AP$3+#REF!),-1),""))</f>
        <v/>
      </c>
      <c r="DG242" s="503"/>
      <c r="DH242" s="503" t="str">
        <f>IF($G242="","",IF(AND($G242&gt;=30,$AT$3&lt;=DG$7),ROUND(DG242*($AP$3+#REF!),-1),""))</f>
        <v/>
      </c>
      <c r="DI242" s="503"/>
      <c r="DJ242" s="503" t="str">
        <f>IF($G242="","",IF(AND($G242&gt;=30,$AT$3&lt;=DI$7),ROUND(DI242*($AP$3+#REF!),-1),""))</f>
        <v/>
      </c>
      <c r="DK242" s="503"/>
      <c r="DL242" s="503" t="str">
        <f>IF($G242="","",IF(AND($G242&gt;=30,$AT$3&lt;=DK$7),ROUND(DK242*($AP$3+#REF!),-1),""))</f>
        <v/>
      </c>
      <c r="DM242" s="503"/>
      <c r="DN242" s="503" t="str">
        <f>IF($G242="","",IF(AND($G242&gt;=30,$AT$3&lt;=DM$7),ROUND(DM242*($AP$3+#REF!),-1),""))</f>
        <v/>
      </c>
      <c r="DO242" s="503"/>
      <c r="DP242" s="503" t="str">
        <f>IF($G242="","",IF(AND($G242&gt;=30,$AT$3&lt;=DO$7),ROUND(DO242*($AP$3+#REF!),-1),""))</f>
        <v/>
      </c>
      <c r="DQ242" s="503"/>
      <c r="DR242" s="503" t="str">
        <f>IF($G242="","",IF(AND($G242&gt;=30,$AT$3&lt;=DQ$7),ROUND(DQ242*($AP$3+#REF!),-1),""))</f>
        <v/>
      </c>
      <c r="DS242" s="503"/>
      <c r="DT242" s="503" t="str">
        <f>IF($G242="","",IF(AND($G242&gt;=30,$AT$3&lt;=DS$7),ROUND(DS242*($AP$3+#REF!),-1),""))</f>
        <v/>
      </c>
      <c r="DU242" s="503"/>
      <c r="DV242" s="503" t="str">
        <f>IF($G242="","",IF(AND($G242&gt;=30,$AT$3&lt;=DU$7),ROUND(DU242*($AP$3+#REF!),-1),""))</f>
        <v/>
      </c>
      <c r="DW242" s="503"/>
      <c r="DX242" s="503" t="str">
        <f>IF($G242="","",IF(AND($G242&gt;=30,$AT$3&lt;=DW$7),ROUND(DW242*($AP$3+#REF!),-1),""))</f>
        <v/>
      </c>
      <c r="DY242" s="503"/>
      <c r="DZ242" s="503" t="str">
        <f>IF($G242="","",IF(AND($G242&gt;=30,$AT$3&lt;=DY$7),ROUND(DY242*($AP$3+#REF!),-1),""))</f>
        <v/>
      </c>
      <c r="EA242" s="503"/>
      <c r="EB242" s="503" t="str">
        <f>IF($G242="","",IF(AND($G242&gt;=30,$AT$3&lt;=EA$7),ROUND(EA242*($AP$3+#REF!),-1),""))</f>
        <v/>
      </c>
      <c r="EC242" s="504" t="s">
        <v>621</v>
      </c>
      <c r="ED242" s="1124"/>
      <c r="EE242" s="325">
        <v>6</v>
      </c>
    </row>
    <row r="243" spans="1:135" ht="9.75" customHeight="1">
      <c r="A243" s="321" t="str">
        <f t="shared" si="54"/>
        <v/>
      </c>
      <c r="B243" s="567">
        <f>(ii!$D$13*12+V243)+1</f>
        <v>137</v>
      </c>
      <c r="C243" s="337">
        <f t="shared" si="58"/>
        <v>49521</v>
      </c>
      <c r="D243" s="484">
        <f t="shared" si="61"/>
        <v>2035</v>
      </c>
      <c r="E243" s="484">
        <f t="shared" si="59"/>
        <v>0.58333333333333337</v>
      </c>
      <c r="F243" s="484">
        <f t="shared" si="62"/>
        <v>2035.5833333333333</v>
      </c>
      <c r="G243" s="485" t="str">
        <f>IF(OR(C243&lt;$I$2,C243&gt;$J$3),"",(ii!$D$13*12+V243+1)/12)</f>
        <v/>
      </c>
      <c r="H243" s="486"/>
      <c r="I243" s="486"/>
      <c r="J243" s="487"/>
      <c r="K243" s="488"/>
      <c r="L243" s="548"/>
      <c r="M243" s="489" t="str">
        <f t="shared" si="63"/>
        <v/>
      </c>
      <c r="N243" s="490" t="s">
        <v>621</v>
      </c>
      <c r="O243" s="490" t="str">
        <f t="shared" si="56"/>
        <v/>
      </c>
      <c r="P243" s="491"/>
      <c r="Q243" s="491"/>
      <c r="R243" s="491" t="str">
        <f t="shared" si="57"/>
        <v/>
      </c>
      <c r="S243" s="528" t="str">
        <f t="shared" si="55"/>
        <v/>
      </c>
      <c r="T243" s="528" t="str">
        <f t="shared" si="53"/>
        <v/>
      </c>
      <c r="U243" s="493" t="str">
        <f>IF(H243="","",#REF!*12+#REF!+#REF!*12+#REF!)</f>
        <v/>
      </c>
      <c r="V243" s="338">
        <f>IF(ii!$J$3&gt;gg!C243,"",IF(AND((YEAR(C243)=YEAR($I$2)),MONTH(C243)=MONTH($I$2)),ii!$B$14*12+ii!$C$14+ii!$B$15*12+ii!$C$15-1,V242+1))</f>
        <v>136</v>
      </c>
      <c r="W243" s="339">
        <f t="shared" si="60"/>
        <v>11.333333333333334</v>
      </c>
      <c r="X243" s="494" t="s">
        <v>621</v>
      </c>
      <c r="Y243" s="495" t="s">
        <v>621</v>
      </c>
      <c r="Z243" s="496"/>
      <c r="AA243" s="497"/>
      <c r="AB243" s="498" t="e">
        <f t="shared" si="66"/>
        <v>#VALUE!</v>
      </c>
      <c r="AC243" s="484" t="str">
        <f t="shared" si="64"/>
        <v/>
      </c>
      <c r="AD243" s="495" t="str">
        <f t="shared" si="65"/>
        <v/>
      </c>
      <c r="AE243" s="499" t="s">
        <v>621</v>
      </c>
      <c r="AF243" s="500" t="s">
        <v>621</v>
      </c>
      <c r="AG243" s="556" t="s">
        <v>621</v>
      </c>
      <c r="AH243" s="503" t="str">
        <f>IF($G243="","",IF(AND($G243&gt;=30,$AT$3&lt;=AG$7),ROUND(AG243*($AP$3+#REF!),-1),""))</f>
        <v/>
      </c>
      <c r="AI243" s="506" t="s">
        <v>621</v>
      </c>
      <c r="AJ243" s="503" t="str">
        <f>IF($G243="","",IF(AND($G243&gt;=30,$AT$3&lt;=AI$7),ROUND(AI243*($AP$3+#REF!),-1),""))</f>
        <v/>
      </c>
      <c r="AK243" s="506" t="s">
        <v>621</v>
      </c>
      <c r="AL243" s="503" t="str">
        <f>IF($G243="","",IF(AND($G243&gt;=30,$AT$3&lt;=AK$7),ROUND(AK243*($AP$3+#REF!),-1),""))</f>
        <v/>
      </c>
      <c r="AM243" s="506" t="s">
        <v>621</v>
      </c>
      <c r="AN243" s="503" t="str">
        <f>IF($G243="","",IF(AND($G243&gt;=30,$AT$3&lt;=AM$7),ROUND(AM243*($AP$3+#REF!),-1),""))</f>
        <v/>
      </c>
      <c r="AO243" s="503" t="e">
        <v>#REF!</v>
      </c>
      <c r="AP243" s="503" t="str">
        <f>IF($G243="","",IF(AND($G243&gt;=30,$AT$3&lt;=AO$7),ROUND(AO243*($AP$3+#REF!),-1),""))</f>
        <v/>
      </c>
      <c r="AQ243" s="503" t="s">
        <v>621</v>
      </c>
      <c r="AR243" s="503" t="str">
        <f>IF($G243="","",IF(AND($G243&gt;=30,$AT$3&lt;=AQ$7),ROUND(AQ243*($AP$3+#REF!),-1),""))</f>
        <v/>
      </c>
      <c r="AS243" s="503" t="s">
        <v>621</v>
      </c>
      <c r="AT243" s="503" t="str">
        <f>IF($G243="","",IF(AND($G243&gt;=30,$AT$3&lt;=AS$7),ROUND(AS243*($AP$3+#REF!),-1),""))</f>
        <v/>
      </c>
      <c r="AU243" s="503" t="s">
        <v>621</v>
      </c>
      <c r="AV243" s="503" t="str">
        <f>IF($G243="","",IF(AND($G243&gt;=30,$AT$3&lt;=AU$7),ROUND(AU243*($AP$3+#REF!),-1),""))</f>
        <v/>
      </c>
      <c r="AW243" s="503" t="s">
        <v>621</v>
      </c>
      <c r="AX243" s="503" t="str">
        <f>IF($G243="","",IF(AND($G243&gt;=30,$AT$3&lt;=AW$7),ROUND(AW243*($AP$3+#REF!),-1),""))</f>
        <v/>
      </c>
      <c r="AY243" s="503" t="s">
        <v>621</v>
      </c>
      <c r="AZ243" s="503" t="str">
        <f>IF($G243="","",IF(AND($G243&gt;=30,$AT$3&lt;=AY$7),ROUND(AY243*($AP$3+#REF!),-1),""))</f>
        <v/>
      </c>
      <c r="BA243" s="503" t="s">
        <v>621</v>
      </c>
      <c r="BB243" s="503" t="str">
        <f>IF($G243="","",IF(AND($G243&gt;=30,$AT$3&lt;=BA$7),ROUND(BA243*($AP$3+#REF!),-1),""))</f>
        <v/>
      </c>
      <c r="BC243" s="503" t="s">
        <v>621</v>
      </c>
      <c r="BD243" s="503" t="str">
        <f>IF($G243="","",IF(AND($G243&gt;=30,$AT$3&lt;=BC$7),ROUND(BC243*($AP$3+#REF!),-1),""))</f>
        <v/>
      </c>
      <c r="BE243" s="503" t="s">
        <v>621</v>
      </c>
      <c r="BF243" s="503" t="str">
        <f>IF($G243="","",IF(AND($G243&gt;=30,$AT$3&lt;=BE$7),ROUND(BE243*($AP$3+#REF!),-1),""))</f>
        <v/>
      </c>
      <c r="BG243" s="503" t="s">
        <v>621</v>
      </c>
      <c r="BH243" s="503" t="str">
        <f>IF($G243="","",IF(AND($G243&gt;=30,$AT$3&lt;=BG$7),ROUND(BG243*($AP$3+#REF!),-1),""))</f>
        <v/>
      </c>
      <c r="BI243" s="503" t="s">
        <v>621</v>
      </c>
      <c r="BJ243" s="503" t="str">
        <f>IF($G243="","",IF(AND($G243&gt;=30,$AT$3&lt;=BI$7),ROUND(BI243*($AP$3+#REF!),-1),""))</f>
        <v/>
      </c>
      <c r="BK243" s="503" t="s">
        <v>621</v>
      </c>
      <c r="BL243" s="503" t="str">
        <f>IF($G243="","",IF(AND($G243&gt;=30,$AT$3&lt;=BK$7),ROUND(BK243*($AP$3+#REF!),-1),""))</f>
        <v/>
      </c>
      <c r="BM243" s="503" t="s">
        <v>621</v>
      </c>
      <c r="BN243" s="503" t="str">
        <f>IF($G243="","",IF(AND($G243&gt;=30,$AT$3&lt;=BM$7),ROUND(BM243*($AP$3+#REF!),-1),""))</f>
        <v/>
      </c>
      <c r="BO243" s="503" t="s">
        <v>621</v>
      </c>
      <c r="BP243" s="503" t="str">
        <f>IF($G243="","",IF(AND($G243&gt;=30,$AT$3&lt;=BO$7),ROUND(BO243*($AP$3+#REF!),-1),""))</f>
        <v/>
      </c>
      <c r="BQ243" s="503" t="s">
        <v>621</v>
      </c>
      <c r="BR243" s="503" t="str">
        <f>IF($G243="","",IF(AND($G243&gt;=30,$AT$3&lt;=BQ$7),ROUND(BQ243*($AP$3+#REF!),-1),""))</f>
        <v/>
      </c>
      <c r="BS243" s="517" t="e">
        <v>#REF!</v>
      </c>
      <c r="BT243" s="503" t="str">
        <f>IF($G243="","",IF(AND($G243&gt;=30,$AT$3&lt;=BS$7),ROUND(BS243*($AP$3+#REF!),-1),""))</f>
        <v/>
      </c>
      <c r="BU243" s="503"/>
      <c r="BV243" s="503" t="str">
        <f>IF($G243="","",IF(AND($G243&gt;=30,$AT$3&lt;=BU$7),ROUND(BU243*($AP$3+#REF!),-1),""))</f>
        <v/>
      </c>
      <c r="BW243" s="502"/>
      <c r="BX243" s="503" t="str">
        <f>IF($G243="","",IF(AND($G243&gt;=30,$AT$3&lt;=BW$7),ROUND(BW243*($AP$3+#REF!),-1),""))</f>
        <v/>
      </c>
      <c r="BY243" s="503"/>
      <c r="BZ243" s="503" t="str">
        <f>IF($G243="","",IF(AND($G243&gt;=30,$AT$3&lt;=BY$7),ROUND(BY243*($AP$3+#REF!),-1),""))</f>
        <v/>
      </c>
      <c r="CA243" s="502"/>
      <c r="CB243" s="503" t="str">
        <f>IF($G243="","",IF(AND($G243&gt;=30,$AT$3&lt;=CA$7),ROUND(CA243*($AP$3+#REF!),-1),""))</f>
        <v/>
      </c>
      <c r="CC243" s="503"/>
      <c r="CD243" s="503" t="str">
        <f>IF($G243="","",IF(AND($G243&gt;=30,$AT$3&lt;=CC$7),ROUND(CC243*($AP$3+#REF!),-1),""))</f>
        <v/>
      </c>
      <c r="CE243" s="502"/>
      <c r="CF243" s="503" t="str">
        <f>IF($G243="","",IF(AND($G243&gt;=30,$AT$3&lt;=CE$7),ROUND(CE243*($AP$3+#REF!),-1),""))</f>
        <v/>
      </c>
      <c r="CG243" s="503"/>
      <c r="CH243" s="503" t="str">
        <f>IF($G243="","",IF(AND($G243&gt;=30,$AT$3&lt;=CG$7),ROUND(CG243*($AP$3+#REF!),-1),""))</f>
        <v/>
      </c>
      <c r="CI243" s="502"/>
      <c r="CJ243" s="503" t="str">
        <f>IF($G243="","",IF(AND($G243&gt;=30,$AT$3&lt;=CI$7),ROUND(CI243*($AP$3+#REF!),-1),""))</f>
        <v/>
      </c>
      <c r="CK243" s="503"/>
      <c r="CL243" s="503" t="str">
        <f>IF($G243="","",IF(AND($G243&gt;=30,$AT$3&lt;=CK$7),ROUND(CK243*($AP$3+#REF!),-1),""))</f>
        <v/>
      </c>
      <c r="CM243" s="502"/>
      <c r="CN243" s="503" t="str">
        <f>IF($G243="","",IF(AND($G243&gt;=30,$AT$3&lt;=CM$7),ROUND(CM243*($AP$3+#REF!),-1),""))</f>
        <v/>
      </c>
      <c r="CO243" s="503"/>
      <c r="CP243" s="503" t="str">
        <f>IF($G243="","",IF(AND($G243&gt;=30,$AT$3&lt;=CO$7),ROUND(CO243*($AP$3+#REF!),-1),""))</f>
        <v/>
      </c>
      <c r="CQ243" s="502"/>
      <c r="CR243" s="503" t="str">
        <f>IF($G243="","",IF(AND($G243&gt;=30,$AT$3&lt;=CQ$7),ROUND(CQ243*($AP$3+#REF!),-1),""))</f>
        <v/>
      </c>
      <c r="CS243" s="503"/>
      <c r="CT243" s="503" t="str">
        <f>IF($G243="","",IF(AND($G243&gt;=30,$AT$3&lt;=CS$7),ROUND(CS243*($AP$3+#REF!),-1),""))</f>
        <v/>
      </c>
      <c r="CU243" s="502"/>
      <c r="CV243" s="503" t="str">
        <f>IF($G243="","",IF(AND($G243&gt;=30,$AT$3&lt;=CU$7),ROUND(CU243*($AP$3+#REF!),-1),""))</f>
        <v/>
      </c>
      <c r="CW243" s="503"/>
      <c r="CX243" s="503" t="str">
        <f>IF($G243="","",IF(AND($G243&gt;=30,$AT$3&lt;=CW$7),ROUND(CW243*($AP$3+#REF!),-1),""))</f>
        <v/>
      </c>
      <c r="CY243" s="502"/>
      <c r="CZ243" s="503" t="str">
        <f>IF($G243="","",IF(AND($G243&gt;=30,$AT$3&lt;=CY$7),ROUND(CY243*($AP$3+#REF!),-1),""))</f>
        <v/>
      </c>
      <c r="DA243" s="503"/>
      <c r="DB243" s="503" t="str">
        <f>IF($G243="","",IF(AND($G243&gt;=30,$AT$3&lt;=DA$7),ROUND(DA243*($AP$3+#REF!),-1),""))</f>
        <v/>
      </c>
      <c r="DC243" s="502"/>
      <c r="DD243" s="503" t="str">
        <f>IF($G243="","",IF(AND($G243&gt;=30,$AT$3&lt;=DC$7),ROUND(DC243*($AP$3+#REF!),-1),""))</f>
        <v/>
      </c>
      <c r="DE243" s="503"/>
      <c r="DF243" s="503" t="str">
        <f>IF($G243="","",IF(AND($G243&gt;=30,$AT$3&lt;=DE$7),ROUND(DE243*($AP$3+#REF!),-1),""))</f>
        <v/>
      </c>
      <c r="DG243" s="503"/>
      <c r="DH243" s="503" t="str">
        <f>IF($G243="","",IF(AND($G243&gt;=30,$AT$3&lt;=DG$7),ROUND(DG243*($AP$3+#REF!),-1),""))</f>
        <v/>
      </c>
      <c r="DI243" s="503"/>
      <c r="DJ243" s="503" t="str">
        <f>IF($G243="","",IF(AND($G243&gt;=30,$AT$3&lt;=DI$7),ROUND(DI243*($AP$3+#REF!),-1),""))</f>
        <v/>
      </c>
      <c r="DK243" s="503"/>
      <c r="DL243" s="503" t="str">
        <f>IF($G243="","",IF(AND($G243&gt;=30,$AT$3&lt;=DK$7),ROUND(DK243*($AP$3+#REF!),-1),""))</f>
        <v/>
      </c>
      <c r="DM243" s="503"/>
      <c r="DN243" s="503" t="str">
        <f>IF($G243="","",IF(AND($G243&gt;=30,$AT$3&lt;=DM$7),ROUND(DM243*($AP$3+#REF!),-1),""))</f>
        <v/>
      </c>
      <c r="DO243" s="503"/>
      <c r="DP243" s="503" t="str">
        <f>IF($G243="","",IF(AND($G243&gt;=30,$AT$3&lt;=DO$7),ROUND(DO243*($AP$3+#REF!),-1),""))</f>
        <v/>
      </c>
      <c r="DQ243" s="503"/>
      <c r="DR243" s="503" t="str">
        <f>IF($G243="","",IF(AND($G243&gt;=30,$AT$3&lt;=DQ$7),ROUND(DQ243*($AP$3+#REF!),-1),""))</f>
        <v/>
      </c>
      <c r="DS243" s="503"/>
      <c r="DT243" s="503" t="str">
        <f>IF($G243="","",IF(AND($G243&gt;=30,$AT$3&lt;=DS$7),ROUND(DS243*($AP$3+#REF!),-1),""))</f>
        <v/>
      </c>
      <c r="DU243" s="503"/>
      <c r="DV243" s="503" t="str">
        <f>IF($G243="","",IF(AND($G243&gt;=30,$AT$3&lt;=DU$7),ROUND(DU243*($AP$3+#REF!),-1),""))</f>
        <v/>
      </c>
      <c r="DW243" s="503"/>
      <c r="DX243" s="503" t="str">
        <f>IF($G243="","",IF(AND($G243&gt;=30,$AT$3&lt;=DW$7),ROUND(DW243*($AP$3+#REF!),-1),""))</f>
        <v/>
      </c>
      <c r="DY243" s="503"/>
      <c r="DZ243" s="503" t="str">
        <f>IF($G243="","",IF(AND($G243&gt;=30,$AT$3&lt;=DY$7),ROUND(DY243*($AP$3+#REF!),-1),""))</f>
        <v/>
      </c>
      <c r="EA243" s="503"/>
      <c r="EB243" s="503" t="str">
        <f>IF($G243="","",IF(AND($G243&gt;=30,$AT$3&lt;=EA$7),ROUND(EA243*($AP$3+#REF!),-1),""))</f>
        <v/>
      </c>
      <c r="EC243" s="504" t="s">
        <v>621</v>
      </c>
      <c r="ED243" s="1124"/>
      <c r="EE243" s="325">
        <v>7</v>
      </c>
    </row>
    <row r="244" spans="1:135" ht="9.75" customHeight="1">
      <c r="A244" s="321" t="str">
        <f t="shared" si="54"/>
        <v/>
      </c>
      <c r="B244" s="567">
        <f>(ii!$D$13*12+V244)+1</f>
        <v>138</v>
      </c>
      <c r="C244" s="337">
        <f t="shared" si="58"/>
        <v>49552</v>
      </c>
      <c r="D244" s="484">
        <f t="shared" si="61"/>
        <v>2035</v>
      </c>
      <c r="E244" s="484">
        <f t="shared" si="59"/>
        <v>0.66666666666666663</v>
      </c>
      <c r="F244" s="484">
        <f t="shared" si="62"/>
        <v>2035.6666666666667</v>
      </c>
      <c r="G244" s="485" t="str">
        <f>IF(OR(C244&lt;$I$2,C244&gt;$J$3),"",(ii!$D$13*12+V244+1)/12)</f>
        <v/>
      </c>
      <c r="H244" s="486"/>
      <c r="I244" s="486"/>
      <c r="J244" s="487"/>
      <c r="K244" s="488"/>
      <c r="L244" s="548"/>
      <c r="M244" s="489" t="str">
        <f t="shared" si="63"/>
        <v/>
      </c>
      <c r="N244" s="490" t="s">
        <v>621</v>
      </c>
      <c r="O244" s="490" t="str">
        <f t="shared" si="56"/>
        <v/>
      </c>
      <c r="P244" s="491"/>
      <c r="Q244" s="491"/>
      <c r="R244" s="491" t="str">
        <f t="shared" si="57"/>
        <v/>
      </c>
      <c r="S244" s="528" t="str">
        <f t="shared" si="55"/>
        <v/>
      </c>
      <c r="T244" s="528" t="str">
        <f t="shared" si="53"/>
        <v/>
      </c>
      <c r="U244" s="493" t="str">
        <f>IF(H244="","",#REF!*12+#REF!+#REF!*12+#REF!)</f>
        <v/>
      </c>
      <c r="V244" s="338">
        <f>IF(ii!$J$3&gt;gg!C244,"",IF(AND((YEAR(C244)=YEAR($I$2)),MONTH(C244)=MONTH($I$2)),ii!$B$14*12+ii!$C$14+ii!$B$15*12+ii!$C$15-1,V243+1))</f>
        <v>137</v>
      </c>
      <c r="W244" s="339">
        <f t="shared" si="60"/>
        <v>11.416666666666666</v>
      </c>
      <c r="X244" s="494" t="s">
        <v>621</v>
      </c>
      <c r="Y244" s="495" t="s">
        <v>621</v>
      </c>
      <c r="Z244" s="496"/>
      <c r="AA244" s="497"/>
      <c r="AB244" s="498" t="e">
        <f t="shared" si="66"/>
        <v>#VALUE!</v>
      </c>
      <c r="AC244" s="484" t="str">
        <f t="shared" si="64"/>
        <v/>
      </c>
      <c r="AD244" s="495" t="str">
        <f t="shared" si="65"/>
        <v/>
      </c>
      <c r="AE244" s="499" t="s">
        <v>621</v>
      </c>
      <c r="AF244" s="500" t="s">
        <v>621</v>
      </c>
      <c r="AG244" s="556" t="s">
        <v>621</v>
      </c>
      <c r="AH244" s="503" t="str">
        <f>IF($G244="","",IF(AND($G244&gt;=30,$AT$3&lt;=AG$7),ROUND(AG244*($AP$3+#REF!),-1),""))</f>
        <v/>
      </c>
      <c r="AI244" s="506" t="s">
        <v>621</v>
      </c>
      <c r="AJ244" s="503" t="str">
        <f>IF($G244="","",IF(AND($G244&gt;=30,$AT$3&lt;=AI$7),ROUND(AI244*($AP$3+#REF!),-1),""))</f>
        <v/>
      </c>
      <c r="AK244" s="506" t="s">
        <v>621</v>
      </c>
      <c r="AL244" s="503" t="str">
        <f>IF($G244="","",IF(AND($G244&gt;=30,$AT$3&lt;=AK$7),ROUND(AK244*($AP$3+#REF!),-1),""))</f>
        <v/>
      </c>
      <c r="AM244" s="506" t="s">
        <v>621</v>
      </c>
      <c r="AN244" s="503" t="str">
        <f>IF($G244="","",IF(AND($G244&gt;=30,$AT$3&lt;=AM$7),ROUND(AM244*($AP$3+#REF!),-1),""))</f>
        <v/>
      </c>
      <c r="AO244" s="503" t="e">
        <v>#REF!</v>
      </c>
      <c r="AP244" s="503" t="str">
        <f>IF($G244="","",IF(AND($G244&gt;=30,$AT$3&lt;=AO$7),ROUND(AO244*($AP$3+#REF!),-1),""))</f>
        <v/>
      </c>
      <c r="AQ244" s="503" t="s">
        <v>621</v>
      </c>
      <c r="AR244" s="503" t="str">
        <f>IF($G244="","",IF(AND($G244&gt;=30,$AT$3&lt;=AQ$7),ROUND(AQ244*($AP$3+#REF!),-1),""))</f>
        <v/>
      </c>
      <c r="AS244" s="503" t="s">
        <v>621</v>
      </c>
      <c r="AT244" s="503" t="str">
        <f>IF($G244="","",IF(AND($G244&gt;=30,$AT$3&lt;=AS$7),ROUND(AS244*($AP$3+#REF!),-1),""))</f>
        <v/>
      </c>
      <c r="AU244" s="503" t="s">
        <v>621</v>
      </c>
      <c r="AV244" s="503" t="str">
        <f>IF($G244="","",IF(AND($G244&gt;=30,$AT$3&lt;=AU$7),ROUND(AU244*($AP$3+#REF!),-1),""))</f>
        <v/>
      </c>
      <c r="AW244" s="503" t="s">
        <v>621</v>
      </c>
      <c r="AX244" s="503" t="str">
        <f>IF($G244="","",IF(AND($G244&gt;=30,$AT$3&lt;=AW$7),ROUND(AW244*($AP$3+#REF!),-1),""))</f>
        <v/>
      </c>
      <c r="AY244" s="503" t="s">
        <v>621</v>
      </c>
      <c r="AZ244" s="503" t="str">
        <f>IF($G244="","",IF(AND($G244&gt;=30,$AT$3&lt;=AY$7),ROUND(AY244*($AP$3+#REF!),-1),""))</f>
        <v/>
      </c>
      <c r="BA244" s="503" t="s">
        <v>621</v>
      </c>
      <c r="BB244" s="503" t="str">
        <f>IF($G244="","",IF(AND($G244&gt;=30,$AT$3&lt;=BA$7),ROUND(BA244*($AP$3+#REF!),-1),""))</f>
        <v/>
      </c>
      <c r="BC244" s="503" t="s">
        <v>621</v>
      </c>
      <c r="BD244" s="503" t="str">
        <f>IF($G244="","",IF(AND($G244&gt;=30,$AT$3&lt;=BC$7),ROUND(BC244*($AP$3+#REF!),-1),""))</f>
        <v/>
      </c>
      <c r="BE244" s="503" t="s">
        <v>621</v>
      </c>
      <c r="BF244" s="503" t="str">
        <f>IF($G244="","",IF(AND($G244&gt;=30,$AT$3&lt;=BE$7),ROUND(BE244*($AP$3+#REF!),-1),""))</f>
        <v/>
      </c>
      <c r="BG244" s="503" t="s">
        <v>621</v>
      </c>
      <c r="BH244" s="503" t="str">
        <f>IF($G244="","",IF(AND($G244&gt;=30,$AT$3&lt;=BG$7),ROUND(BG244*($AP$3+#REF!),-1),""))</f>
        <v/>
      </c>
      <c r="BI244" s="503" t="s">
        <v>621</v>
      </c>
      <c r="BJ244" s="503" t="str">
        <f>IF($G244="","",IF(AND($G244&gt;=30,$AT$3&lt;=BI$7),ROUND(BI244*($AP$3+#REF!),-1),""))</f>
        <v/>
      </c>
      <c r="BK244" s="503" t="s">
        <v>621</v>
      </c>
      <c r="BL244" s="503" t="str">
        <f>IF($G244="","",IF(AND($G244&gt;=30,$AT$3&lt;=BK$7),ROUND(BK244*($AP$3+#REF!),-1),""))</f>
        <v/>
      </c>
      <c r="BM244" s="503" t="s">
        <v>621</v>
      </c>
      <c r="BN244" s="503" t="str">
        <f>IF($G244="","",IF(AND($G244&gt;=30,$AT$3&lt;=BM$7),ROUND(BM244*($AP$3+#REF!),-1),""))</f>
        <v/>
      </c>
      <c r="BO244" s="503" t="s">
        <v>621</v>
      </c>
      <c r="BP244" s="503" t="str">
        <f>IF($G244="","",IF(AND($G244&gt;=30,$AT$3&lt;=BO$7),ROUND(BO244*($AP$3+#REF!),-1),""))</f>
        <v/>
      </c>
      <c r="BQ244" s="503" t="s">
        <v>621</v>
      </c>
      <c r="BR244" s="503" t="str">
        <f>IF($G244="","",IF(AND($G244&gt;=30,$AT$3&lt;=BQ$7),ROUND(BQ244*($AP$3+#REF!),-1),""))</f>
        <v/>
      </c>
      <c r="BS244" s="517" t="e">
        <v>#REF!</v>
      </c>
      <c r="BT244" s="503" t="str">
        <f>IF($G244="","",IF(AND($G244&gt;=30,$AT$3&lt;=BS$7),ROUND(BS244*($AP$3+#REF!),-1),""))</f>
        <v/>
      </c>
      <c r="BU244" s="503"/>
      <c r="BV244" s="503" t="str">
        <f>IF($G244="","",IF(AND($G244&gt;=30,$AT$3&lt;=BU$7),ROUND(BU244*($AP$3+#REF!),-1),""))</f>
        <v/>
      </c>
      <c r="BW244" s="502"/>
      <c r="BX244" s="503" t="str">
        <f>IF($G244="","",IF(AND($G244&gt;=30,$AT$3&lt;=BW$7),ROUND(BW244*($AP$3+#REF!),-1),""))</f>
        <v/>
      </c>
      <c r="BY244" s="503"/>
      <c r="BZ244" s="503" t="str">
        <f>IF($G244="","",IF(AND($G244&gt;=30,$AT$3&lt;=BY$7),ROUND(BY244*($AP$3+#REF!),-1),""))</f>
        <v/>
      </c>
      <c r="CA244" s="502"/>
      <c r="CB244" s="503" t="str">
        <f>IF($G244="","",IF(AND($G244&gt;=30,$AT$3&lt;=CA$7),ROUND(CA244*($AP$3+#REF!),-1),""))</f>
        <v/>
      </c>
      <c r="CC244" s="503"/>
      <c r="CD244" s="503" t="str">
        <f>IF($G244="","",IF(AND($G244&gt;=30,$AT$3&lt;=CC$7),ROUND(CC244*($AP$3+#REF!),-1),""))</f>
        <v/>
      </c>
      <c r="CE244" s="502"/>
      <c r="CF244" s="503" t="str">
        <f>IF($G244="","",IF(AND($G244&gt;=30,$AT$3&lt;=CE$7),ROUND(CE244*($AP$3+#REF!),-1),""))</f>
        <v/>
      </c>
      <c r="CG244" s="503"/>
      <c r="CH244" s="503" t="str">
        <f>IF($G244="","",IF(AND($G244&gt;=30,$AT$3&lt;=CG$7),ROUND(CG244*($AP$3+#REF!),-1),""))</f>
        <v/>
      </c>
      <c r="CI244" s="502"/>
      <c r="CJ244" s="503" t="str">
        <f>IF($G244="","",IF(AND($G244&gt;=30,$AT$3&lt;=CI$7),ROUND(CI244*($AP$3+#REF!),-1),""))</f>
        <v/>
      </c>
      <c r="CK244" s="503"/>
      <c r="CL244" s="503" t="str">
        <f>IF($G244="","",IF(AND($G244&gt;=30,$AT$3&lt;=CK$7),ROUND(CK244*($AP$3+#REF!),-1),""))</f>
        <v/>
      </c>
      <c r="CM244" s="502"/>
      <c r="CN244" s="503" t="str">
        <f>IF($G244="","",IF(AND($G244&gt;=30,$AT$3&lt;=CM$7),ROUND(CM244*($AP$3+#REF!),-1),""))</f>
        <v/>
      </c>
      <c r="CO244" s="503"/>
      <c r="CP244" s="503" t="str">
        <f>IF($G244="","",IF(AND($G244&gt;=30,$AT$3&lt;=CO$7),ROUND(CO244*($AP$3+#REF!),-1),""))</f>
        <v/>
      </c>
      <c r="CQ244" s="502"/>
      <c r="CR244" s="503" t="str">
        <f>IF($G244="","",IF(AND($G244&gt;=30,$AT$3&lt;=CQ$7),ROUND(CQ244*($AP$3+#REF!),-1),""))</f>
        <v/>
      </c>
      <c r="CS244" s="503"/>
      <c r="CT244" s="503" t="str">
        <f>IF($G244="","",IF(AND($G244&gt;=30,$AT$3&lt;=CS$7),ROUND(CS244*($AP$3+#REF!),-1),""))</f>
        <v/>
      </c>
      <c r="CU244" s="502"/>
      <c r="CV244" s="503" t="str">
        <f>IF($G244="","",IF(AND($G244&gt;=30,$AT$3&lt;=CU$7),ROUND(CU244*($AP$3+#REF!),-1),""))</f>
        <v/>
      </c>
      <c r="CW244" s="503"/>
      <c r="CX244" s="503" t="str">
        <f>IF($G244="","",IF(AND($G244&gt;=30,$AT$3&lt;=CW$7),ROUND(CW244*($AP$3+#REF!),-1),""))</f>
        <v/>
      </c>
      <c r="CY244" s="502"/>
      <c r="CZ244" s="503" t="str">
        <f>IF($G244="","",IF(AND($G244&gt;=30,$AT$3&lt;=CY$7),ROUND(CY244*($AP$3+#REF!),-1),""))</f>
        <v/>
      </c>
      <c r="DA244" s="503"/>
      <c r="DB244" s="503" t="str">
        <f>IF($G244="","",IF(AND($G244&gt;=30,$AT$3&lt;=DA$7),ROUND(DA244*($AP$3+#REF!),-1),""))</f>
        <v/>
      </c>
      <c r="DC244" s="502"/>
      <c r="DD244" s="503" t="str">
        <f>IF($G244="","",IF(AND($G244&gt;=30,$AT$3&lt;=DC$7),ROUND(DC244*($AP$3+#REF!),-1),""))</f>
        <v/>
      </c>
      <c r="DE244" s="503"/>
      <c r="DF244" s="503" t="str">
        <f>IF($G244="","",IF(AND($G244&gt;=30,$AT$3&lt;=DE$7),ROUND(DE244*($AP$3+#REF!),-1),""))</f>
        <v/>
      </c>
      <c r="DG244" s="503"/>
      <c r="DH244" s="503" t="str">
        <f>IF($G244="","",IF(AND($G244&gt;=30,$AT$3&lt;=DG$7),ROUND(DG244*($AP$3+#REF!),-1),""))</f>
        <v/>
      </c>
      <c r="DI244" s="503"/>
      <c r="DJ244" s="503" t="str">
        <f>IF($G244="","",IF(AND($G244&gt;=30,$AT$3&lt;=DI$7),ROUND(DI244*($AP$3+#REF!),-1),""))</f>
        <v/>
      </c>
      <c r="DK244" s="503"/>
      <c r="DL244" s="503" t="str">
        <f>IF($G244="","",IF(AND($G244&gt;=30,$AT$3&lt;=DK$7),ROUND(DK244*($AP$3+#REF!),-1),""))</f>
        <v/>
      </c>
      <c r="DM244" s="503"/>
      <c r="DN244" s="503" t="str">
        <f>IF($G244="","",IF(AND($G244&gt;=30,$AT$3&lt;=DM$7),ROUND(DM244*($AP$3+#REF!),-1),""))</f>
        <v/>
      </c>
      <c r="DO244" s="503"/>
      <c r="DP244" s="503" t="str">
        <f>IF($G244="","",IF(AND($G244&gt;=30,$AT$3&lt;=DO$7),ROUND(DO244*($AP$3+#REF!),-1),""))</f>
        <v/>
      </c>
      <c r="DQ244" s="503"/>
      <c r="DR244" s="503" t="str">
        <f>IF($G244="","",IF(AND($G244&gt;=30,$AT$3&lt;=DQ$7),ROUND(DQ244*($AP$3+#REF!),-1),""))</f>
        <v/>
      </c>
      <c r="DS244" s="503"/>
      <c r="DT244" s="503" t="str">
        <f>IF($G244="","",IF(AND($G244&gt;=30,$AT$3&lt;=DS$7),ROUND(DS244*($AP$3+#REF!),-1),""))</f>
        <v/>
      </c>
      <c r="DU244" s="503"/>
      <c r="DV244" s="503" t="str">
        <f>IF($G244="","",IF(AND($G244&gt;=30,$AT$3&lt;=DU$7),ROUND(DU244*($AP$3+#REF!),-1),""))</f>
        <v/>
      </c>
      <c r="DW244" s="503"/>
      <c r="DX244" s="503" t="str">
        <f>IF($G244="","",IF(AND($G244&gt;=30,$AT$3&lt;=DW$7),ROUND(DW244*($AP$3+#REF!),-1),""))</f>
        <v/>
      </c>
      <c r="DY244" s="503"/>
      <c r="DZ244" s="503" t="str">
        <f>IF($G244="","",IF(AND($G244&gt;=30,$AT$3&lt;=DY$7),ROUND(DY244*($AP$3+#REF!),-1),""))</f>
        <v/>
      </c>
      <c r="EA244" s="503"/>
      <c r="EB244" s="503" t="str">
        <f>IF($G244="","",IF(AND($G244&gt;=30,$AT$3&lt;=EA$7),ROUND(EA244*($AP$3+#REF!),-1),""))</f>
        <v/>
      </c>
      <c r="EC244" s="504" t="s">
        <v>621</v>
      </c>
      <c r="ED244" s="1124"/>
      <c r="EE244" s="325">
        <v>8</v>
      </c>
    </row>
    <row r="245" spans="1:135" ht="9.75" customHeight="1">
      <c r="A245" s="321" t="str">
        <f t="shared" si="54"/>
        <v/>
      </c>
      <c r="B245" s="567">
        <f>(ii!$D$13*12+V245)+1</f>
        <v>139</v>
      </c>
      <c r="C245" s="337">
        <f t="shared" si="58"/>
        <v>49582</v>
      </c>
      <c r="D245" s="484">
        <f t="shared" si="61"/>
        <v>2035</v>
      </c>
      <c r="E245" s="484">
        <f t="shared" si="59"/>
        <v>0.75</v>
      </c>
      <c r="F245" s="484">
        <f t="shared" si="62"/>
        <v>2035.75</v>
      </c>
      <c r="G245" s="485" t="str">
        <f>IF(OR(C245&lt;$I$2,C245&gt;$J$3),"",(ii!$D$13*12+V245+1)/12)</f>
        <v/>
      </c>
      <c r="H245" s="486"/>
      <c r="I245" s="486"/>
      <c r="J245" s="487"/>
      <c r="K245" s="488"/>
      <c r="L245" s="548"/>
      <c r="M245" s="489" t="str">
        <f t="shared" si="63"/>
        <v/>
      </c>
      <c r="N245" s="490" t="s">
        <v>621</v>
      </c>
      <c r="O245" s="490" t="str">
        <f t="shared" si="56"/>
        <v/>
      </c>
      <c r="P245" s="491"/>
      <c r="Q245" s="491"/>
      <c r="R245" s="491" t="str">
        <f t="shared" si="57"/>
        <v/>
      </c>
      <c r="S245" s="528" t="str">
        <f t="shared" si="55"/>
        <v/>
      </c>
      <c r="T245" s="528" t="str">
        <f t="shared" si="53"/>
        <v/>
      </c>
      <c r="U245" s="493" t="str">
        <f>IF(H245="","",#REF!*12+#REF!+#REF!*12+#REF!)</f>
        <v/>
      </c>
      <c r="V245" s="338">
        <f>IF(ii!$J$3&gt;gg!C245,"",IF(AND((YEAR(C245)=YEAR($I$2)),MONTH(C245)=MONTH($I$2)),ii!$B$14*12+ii!$C$14+ii!$B$15*12+ii!$C$15-1,V244+1))</f>
        <v>138</v>
      </c>
      <c r="W245" s="339">
        <f t="shared" si="60"/>
        <v>11.5</v>
      </c>
      <c r="X245" s="494" t="s">
        <v>621</v>
      </c>
      <c r="Y245" s="495" t="s">
        <v>621</v>
      </c>
      <c r="Z245" s="496"/>
      <c r="AA245" s="497"/>
      <c r="AB245" s="498" t="e">
        <f t="shared" si="66"/>
        <v>#VALUE!</v>
      </c>
      <c r="AC245" s="484" t="str">
        <f t="shared" si="64"/>
        <v/>
      </c>
      <c r="AD245" s="495" t="str">
        <f t="shared" si="65"/>
        <v/>
      </c>
      <c r="AE245" s="499" t="s">
        <v>621</v>
      </c>
      <c r="AF245" s="500" t="s">
        <v>621</v>
      </c>
      <c r="AG245" s="556" t="s">
        <v>621</v>
      </c>
      <c r="AH245" s="503" t="str">
        <f>IF($G245="","",IF(AND($G245&gt;=30,$AT$3&lt;=AG$7),ROUND(AG245*($AP$3+#REF!),-1),""))</f>
        <v/>
      </c>
      <c r="AI245" s="506" t="s">
        <v>621</v>
      </c>
      <c r="AJ245" s="503" t="str">
        <f>IF($G245="","",IF(AND($G245&gt;=30,$AT$3&lt;=AI$7),ROUND(AI245*($AP$3+#REF!),-1),""))</f>
        <v/>
      </c>
      <c r="AK245" s="506" t="s">
        <v>621</v>
      </c>
      <c r="AL245" s="503" t="str">
        <f>IF($G245="","",IF(AND($G245&gt;=30,$AT$3&lt;=AK$7),ROUND(AK245*($AP$3+#REF!),-1),""))</f>
        <v/>
      </c>
      <c r="AM245" s="506" t="s">
        <v>621</v>
      </c>
      <c r="AN245" s="503" t="str">
        <f>IF($G245="","",IF(AND($G245&gt;=30,$AT$3&lt;=AM$7),ROUND(AM245*($AP$3+#REF!),-1),""))</f>
        <v/>
      </c>
      <c r="AO245" s="503" t="e">
        <v>#REF!</v>
      </c>
      <c r="AP245" s="503" t="str">
        <f>IF($G245="","",IF(AND($G245&gt;=30,$AT$3&lt;=AO$7),ROUND(AO245*($AP$3+#REF!),-1),""))</f>
        <v/>
      </c>
      <c r="AQ245" s="503" t="s">
        <v>621</v>
      </c>
      <c r="AR245" s="503" t="str">
        <f>IF($G245="","",IF(AND($G245&gt;=30,$AT$3&lt;=AQ$7),ROUND(AQ245*($AP$3+#REF!),-1),""))</f>
        <v/>
      </c>
      <c r="AS245" s="503" t="s">
        <v>621</v>
      </c>
      <c r="AT245" s="503" t="str">
        <f>IF($G245="","",IF(AND($G245&gt;=30,$AT$3&lt;=AS$7),ROUND(AS245*($AP$3+#REF!),-1),""))</f>
        <v/>
      </c>
      <c r="AU245" s="503" t="s">
        <v>621</v>
      </c>
      <c r="AV245" s="503" t="str">
        <f>IF($G245="","",IF(AND($G245&gt;=30,$AT$3&lt;=AU$7),ROUND(AU245*($AP$3+#REF!),-1),""))</f>
        <v/>
      </c>
      <c r="AW245" s="503" t="s">
        <v>621</v>
      </c>
      <c r="AX245" s="503" t="str">
        <f>IF($G245="","",IF(AND($G245&gt;=30,$AT$3&lt;=AW$7),ROUND(AW245*($AP$3+#REF!),-1),""))</f>
        <v/>
      </c>
      <c r="AY245" s="503" t="s">
        <v>621</v>
      </c>
      <c r="AZ245" s="503" t="str">
        <f>IF($G245="","",IF(AND($G245&gt;=30,$AT$3&lt;=AY$7),ROUND(AY245*($AP$3+#REF!),-1),""))</f>
        <v/>
      </c>
      <c r="BA245" s="503" t="s">
        <v>621</v>
      </c>
      <c r="BB245" s="503" t="str">
        <f>IF($G245="","",IF(AND($G245&gt;=30,$AT$3&lt;=BA$7),ROUND(BA245*($AP$3+#REF!),-1),""))</f>
        <v/>
      </c>
      <c r="BC245" s="503" t="s">
        <v>621</v>
      </c>
      <c r="BD245" s="503" t="str">
        <f>IF($G245="","",IF(AND($G245&gt;=30,$AT$3&lt;=BC$7),ROUND(BC245*($AP$3+#REF!),-1),""))</f>
        <v/>
      </c>
      <c r="BE245" s="503" t="s">
        <v>621</v>
      </c>
      <c r="BF245" s="503" t="str">
        <f>IF($G245="","",IF(AND($G245&gt;=30,$AT$3&lt;=BE$7),ROUND(BE245*($AP$3+#REF!),-1),""))</f>
        <v/>
      </c>
      <c r="BG245" s="503" t="s">
        <v>621</v>
      </c>
      <c r="BH245" s="503" t="str">
        <f>IF($G245="","",IF(AND($G245&gt;=30,$AT$3&lt;=BG$7),ROUND(BG245*($AP$3+#REF!),-1),""))</f>
        <v/>
      </c>
      <c r="BI245" s="503" t="s">
        <v>621</v>
      </c>
      <c r="BJ245" s="503" t="str">
        <f>IF($G245="","",IF(AND($G245&gt;=30,$AT$3&lt;=BI$7),ROUND(BI245*($AP$3+#REF!),-1),""))</f>
        <v/>
      </c>
      <c r="BK245" s="503" t="s">
        <v>621</v>
      </c>
      <c r="BL245" s="503" t="str">
        <f>IF($G245="","",IF(AND($G245&gt;=30,$AT$3&lt;=BK$7),ROUND(BK245*($AP$3+#REF!),-1),""))</f>
        <v/>
      </c>
      <c r="BM245" s="503" t="s">
        <v>621</v>
      </c>
      <c r="BN245" s="503" t="str">
        <f>IF($G245="","",IF(AND($G245&gt;=30,$AT$3&lt;=BM$7),ROUND(BM245*($AP$3+#REF!),-1),""))</f>
        <v/>
      </c>
      <c r="BO245" s="503" t="s">
        <v>621</v>
      </c>
      <c r="BP245" s="503" t="str">
        <f>IF($G245="","",IF(AND($G245&gt;=30,$AT$3&lt;=BO$7),ROUND(BO245*($AP$3+#REF!),-1),""))</f>
        <v/>
      </c>
      <c r="BQ245" s="503" t="s">
        <v>621</v>
      </c>
      <c r="BR245" s="503" t="str">
        <f>IF($G245="","",IF(AND($G245&gt;=30,$AT$3&lt;=BQ$7),ROUND(BQ245*($AP$3+#REF!),-1),""))</f>
        <v/>
      </c>
      <c r="BS245" s="517" t="e">
        <v>#REF!</v>
      </c>
      <c r="BT245" s="503" t="str">
        <f>IF($G245="","",IF(AND($G245&gt;=30,$AT$3&lt;=BS$7),ROUND(BS245*($AP$3+#REF!),-1),""))</f>
        <v/>
      </c>
      <c r="BU245" s="503"/>
      <c r="BV245" s="503" t="str">
        <f>IF($G245="","",IF(AND($G245&gt;=30,$AT$3&lt;=BU$7),ROUND(BU245*($AP$3+#REF!),-1),""))</f>
        <v/>
      </c>
      <c r="BW245" s="502"/>
      <c r="BX245" s="503" t="str">
        <f>IF($G245="","",IF(AND($G245&gt;=30,$AT$3&lt;=BW$7),ROUND(BW245*($AP$3+#REF!),-1),""))</f>
        <v/>
      </c>
      <c r="BY245" s="503"/>
      <c r="BZ245" s="503" t="str">
        <f>IF($G245="","",IF(AND($G245&gt;=30,$AT$3&lt;=BY$7),ROUND(BY245*($AP$3+#REF!),-1),""))</f>
        <v/>
      </c>
      <c r="CA245" s="502"/>
      <c r="CB245" s="503" t="str">
        <f>IF($G245="","",IF(AND($G245&gt;=30,$AT$3&lt;=CA$7),ROUND(CA245*($AP$3+#REF!),-1),""))</f>
        <v/>
      </c>
      <c r="CC245" s="503"/>
      <c r="CD245" s="503" t="str">
        <f>IF($G245="","",IF(AND($G245&gt;=30,$AT$3&lt;=CC$7),ROUND(CC245*($AP$3+#REF!),-1),""))</f>
        <v/>
      </c>
      <c r="CE245" s="502"/>
      <c r="CF245" s="503" t="str">
        <f>IF($G245="","",IF(AND($G245&gt;=30,$AT$3&lt;=CE$7),ROUND(CE245*($AP$3+#REF!),-1),""))</f>
        <v/>
      </c>
      <c r="CG245" s="503"/>
      <c r="CH245" s="503" t="str">
        <f>IF($G245="","",IF(AND($G245&gt;=30,$AT$3&lt;=CG$7),ROUND(CG245*($AP$3+#REF!),-1),""))</f>
        <v/>
      </c>
      <c r="CI245" s="502"/>
      <c r="CJ245" s="503" t="str">
        <f>IF($G245="","",IF(AND($G245&gt;=30,$AT$3&lt;=CI$7),ROUND(CI245*($AP$3+#REF!),-1),""))</f>
        <v/>
      </c>
      <c r="CK245" s="503"/>
      <c r="CL245" s="503" t="str">
        <f>IF($G245="","",IF(AND($G245&gt;=30,$AT$3&lt;=CK$7),ROUND(CK245*($AP$3+#REF!),-1),""))</f>
        <v/>
      </c>
      <c r="CM245" s="502"/>
      <c r="CN245" s="503" t="str">
        <f>IF($G245="","",IF(AND($G245&gt;=30,$AT$3&lt;=CM$7),ROUND(CM245*($AP$3+#REF!),-1),""))</f>
        <v/>
      </c>
      <c r="CO245" s="503"/>
      <c r="CP245" s="503" t="str">
        <f>IF($G245="","",IF(AND($G245&gt;=30,$AT$3&lt;=CO$7),ROUND(CO245*($AP$3+#REF!),-1),""))</f>
        <v/>
      </c>
      <c r="CQ245" s="502"/>
      <c r="CR245" s="503" t="str">
        <f>IF($G245="","",IF(AND($G245&gt;=30,$AT$3&lt;=CQ$7),ROUND(CQ245*($AP$3+#REF!),-1),""))</f>
        <v/>
      </c>
      <c r="CS245" s="503"/>
      <c r="CT245" s="503" t="str">
        <f>IF($G245="","",IF(AND($G245&gt;=30,$AT$3&lt;=CS$7),ROUND(CS245*($AP$3+#REF!),-1),""))</f>
        <v/>
      </c>
      <c r="CU245" s="502"/>
      <c r="CV245" s="503" t="str">
        <f>IF($G245="","",IF(AND($G245&gt;=30,$AT$3&lt;=CU$7),ROUND(CU245*($AP$3+#REF!),-1),""))</f>
        <v/>
      </c>
      <c r="CW245" s="503"/>
      <c r="CX245" s="503" t="str">
        <f>IF($G245="","",IF(AND($G245&gt;=30,$AT$3&lt;=CW$7),ROUND(CW245*($AP$3+#REF!),-1),""))</f>
        <v/>
      </c>
      <c r="CY245" s="502"/>
      <c r="CZ245" s="503" t="str">
        <f>IF($G245="","",IF(AND($G245&gt;=30,$AT$3&lt;=CY$7),ROUND(CY245*($AP$3+#REF!),-1),""))</f>
        <v/>
      </c>
      <c r="DA245" s="503"/>
      <c r="DB245" s="503" t="str">
        <f>IF($G245="","",IF(AND($G245&gt;=30,$AT$3&lt;=DA$7),ROUND(DA245*($AP$3+#REF!),-1),""))</f>
        <v/>
      </c>
      <c r="DC245" s="502"/>
      <c r="DD245" s="503" t="str">
        <f>IF($G245="","",IF(AND($G245&gt;=30,$AT$3&lt;=DC$7),ROUND(DC245*($AP$3+#REF!),-1),""))</f>
        <v/>
      </c>
      <c r="DE245" s="503"/>
      <c r="DF245" s="503" t="str">
        <f>IF($G245="","",IF(AND($G245&gt;=30,$AT$3&lt;=DE$7),ROUND(DE245*($AP$3+#REF!),-1),""))</f>
        <v/>
      </c>
      <c r="DG245" s="503"/>
      <c r="DH245" s="503" t="str">
        <f>IF($G245="","",IF(AND($G245&gt;=30,$AT$3&lt;=DG$7),ROUND(DG245*($AP$3+#REF!),-1),""))</f>
        <v/>
      </c>
      <c r="DI245" s="503"/>
      <c r="DJ245" s="503" t="str">
        <f>IF($G245="","",IF(AND($G245&gt;=30,$AT$3&lt;=DI$7),ROUND(DI245*($AP$3+#REF!),-1),""))</f>
        <v/>
      </c>
      <c r="DK245" s="503"/>
      <c r="DL245" s="503" t="str">
        <f>IF($G245="","",IF(AND($G245&gt;=30,$AT$3&lt;=DK$7),ROUND(DK245*($AP$3+#REF!),-1),""))</f>
        <v/>
      </c>
      <c r="DM245" s="503"/>
      <c r="DN245" s="503" t="str">
        <f>IF($G245="","",IF(AND($G245&gt;=30,$AT$3&lt;=DM$7),ROUND(DM245*($AP$3+#REF!),-1),""))</f>
        <v/>
      </c>
      <c r="DO245" s="503"/>
      <c r="DP245" s="503" t="str">
        <f>IF($G245="","",IF(AND($G245&gt;=30,$AT$3&lt;=DO$7),ROUND(DO245*($AP$3+#REF!),-1),""))</f>
        <v/>
      </c>
      <c r="DQ245" s="503"/>
      <c r="DR245" s="503" t="str">
        <f>IF($G245="","",IF(AND($G245&gt;=30,$AT$3&lt;=DQ$7),ROUND(DQ245*($AP$3+#REF!),-1),""))</f>
        <v/>
      </c>
      <c r="DS245" s="503"/>
      <c r="DT245" s="503" t="str">
        <f>IF($G245="","",IF(AND($G245&gt;=30,$AT$3&lt;=DS$7),ROUND(DS245*($AP$3+#REF!),-1),""))</f>
        <v/>
      </c>
      <c r="DU245" s="503"/>
      <c r="DV245" s="503" t="str">
        <f>IF($G245="","",IF(AND($G245&gt;=30,$AT$3&lt;=DU$7),ROUND(DU245*($AP$3+#REF!),-1),""))</f>
        <v/>
      </c>
      <c r="DW245" s="503"/>
      <c r="DX245" s="503" t="str">
        <f>IF($G245="","",IF(AND($G245&gt;=30,$AT$3&lt;=DW$7),ROUND(DW245*($AP$3+#REF!),-1),""))</f>
        <v/>
      </c>
      <c r="DY245" s="503"/>
      <c r="DZ245" s="503" t="str">
        <f>IF($G245="","",IF(AND($G245&gt;=30,$AT$3&lt;=DY$7),ROUND(DY245*($AP$3+#REF!),-1),""))</f>
        <v/>
      </c>
      <c r="EA245" s="503"/>
      <c r="EB245" s="503" t="str">
        <f>IF($G245="","",IF(AND($G245&gt;=30,$AT$3&lt;=EA$7),ROUND(EA245*($AP$3+#REF!),-1),""))</f>
        <v/>
      </c>
      <c r="EC245" s="504" t="s">
        <v>621</v>
      </c>
      <c r="ED245" s="1124"/>
      <c r="EE245" s="325">
        <v>9</v>
      </c>
    </row>
    <row r="246" spans="1:135" ht="9.75" customHeight="1">
      <c r="A246" s="321" t="str">
        <f t="shared" si="54"/>
        <v/>
      </c>
      <c r="B246" s="567">
        <f>(ii!$D$13*12+V246)+1</f>
        <v>140</v>
      </c>
      <c r="C246" s="337">
        <f t="shared" si="58"/>
        <v>49613</v>
      </c>
      <c r="D246" s="484">
        <f t="shared" si="61"/>
        <v>2035</v>
      </c>
      <c r="E246" s="484">
        <f t="shared" si="59"/>
        <v>0.83333333333333337</v>
      </c>
      <c r="F246" s="484">
        <f t="shared" si="62"/>
        <v>2035.8333333333333</v>
      </c>
      <c r="G246" s="485" t="str">
        <f>IF(OR(C246&lt;$I$2,C246&gt;$J$3),"",(ii!$D$13*12+V246+1)/12)</f>
        <v/>
      </c>
      <c r="H246" s="486"/>
      <c r="I246" s="486"/>
      <c r="J246" s="487"/>
      <c r="K246" s="488"/>
      <c r="L246" s="548"/>
      <c r="M246" s="489" t="str">
        <f t="shared" si="63"/>
        <v/>
      </c>
      <c r="N246" s="490" t="s">
        <v>621</v>
      </c>
      <c r="O246" s="490" t="str">
        <f t="shared" si="56"/>
        <v/>
      </c>
      <c r="P246" s="491"/>
      <c r="Q246" s="491"/>
      <c r="R246" s="491" t="str">
        <f t="shared" si="57"/>
        <v/>
      </c>
      <c r="S246" s="528" t="str">
        <f t="shared" si="55"/>
        <v/>
      </c>
      <c r="T246" s="528" t="str">
        <f t="shared" si="53"/>
        <v/>
      </c>
      <c r="U246" s="493" t="str">
        <f>IF(H246="","",#REF!*12+#REF!+#REF!*12+#REF!)</f>
        <v/>
      </c>
      <c r="V246" s="338">
        <f>IF(ii!$J$3&gt;gg!C246,"",IF(AND((YEAR(C246)=YEAR($I$2)),MONTH(C246)=MONTH($I$2)),ii!$B$14*12+ii!$C$14+ii!$B$15*12+ii!$C$15-1,V245+1))</f>
        <v>139</v>
      </c>
      <c r="W246" s="339">
        <f t="shared" si="60"/>
        <v>11.583333333333334</v>
      </c>
      <c r="X246" s="494" t="s">
        <v>621</v>
      </c>
      <c r="Y246" s="495" t="s">
        <v>621</v>
      </c>
      <c r="Z246" s="496"/>
      <c r="AA246" s="497"/>
      <c r="AB246" s="498" t="e">
        <f t="shared" si="66"/>
        <v>#VALUE!</v>
      </c>
      <c r="AC246" s="484" t="str">
        <f t="shared" si="64"/>
        <v/>
      </c>
      <c r="AD246" s="495" t="str">
        <f t="shared" si="65"/>
        <v/>
      </c>
      <c r="AE246" s="499" t="s">
        <v>621</v>
      </c>
      <c r="AF246" s="500" t="s">
        <v>621</v>
      </c>
      <c r="AG246" s="556" t="s">
        <v>621</v>
      </c>
      <c r="AH246" s="503" t="str">
        <f>IF($G246="","",IF(AND($G246&gt;=30,$AT$3&lt;=AG$7),ROUND(AG246*($AP$3+#REF!),-1),""))</f>
        <v/>
      </c>
      <c r="AI246" s="506" t="s">
        <v>621</v>
      </c>
      <c r="AJ246" s="503" t="str">
        <f>IF($G246="","",IF(AND($G246&gt;=30,$AT$3&lt;=AI$7),ROUND(AI246*($AP$3+#REF!),-1),""))</f>
        <v/>
      </c>
      <c r="AK246" s="506" t="s">
        <v>621</v>
      </c>
      <c r="AL246" s="503" t="str">
        <f>IF($G246="","",IF(AND($G246&gt;=30,$AT$3&lt;=AK$7),ROUND(AK246*($AP$3+#REF!),-1),""))</f>
        <v/>
      </c>
      <c r="AM246" s="506" t="s">
        <v>621</v>
      </c>
      <c r="AN246" s="503" t="str">
        <f>IF($G246="","",IF(AND($G246&gt;=30,$AT$3&lt;=AM$7),ROUND(AM246*($AP$3+#REF!),-1),""))</f>
        <v/>
      </c>
      <c r="AO246" s="503" t="e">
        <v>#REF!</v>
      </c>
      <c r="AP246" s="503" t="str">
        <f>IF($G246="","",IF(AND($G246&gt;=30,$AT$3&lt;=AO$7),ROUND(AO246*($AP$3+#REF!),-1),""))</f>
        <v/>
      </c>
      <c r="AQ246" s="503" t="s">
        <v>621</v>
      </c>
      <c r="AR246" s="503" t="str">
        <f>IF($G246="","",IF(AND($G246&gt;=30,$AT$3&lt;=AQ$7),ROUND(AQ246*($AP$3+#REF!),-1),""))</f>
        <v/>
      </c>
      <c r="AS246" s="503" t="s">
        <v>621</v>
      </c>
      <c r="AT246" s="503" t="str">
        <f>IF($G246="","",IF(AND($G246&gt;=30,$AT$3&lt;=AS$7),ROUND(AS246*($AP$3+#REF!),-1),""))</f>
        <v/>
      </c>
      <c r="AU246" s="503" t="s">
        <v>621</v>
      </c>
      <c r="AV246" s="503" t="str">
        <f>IF($G246="","",IF(AND($G246&gt;=30,$AT$3&lt;=AU$7),ROUND(AU246*($AP$3+#REF!),-1),""))</f>
        <v/>
      </c>
      <c r="AW246" s="503" t="s">
        <v>621</v>
      </c>
      <c r="AX246" s="503" t="str">
        <f>IF($G246="","",IF(AND($G246&gt;=30,$AT$3&lt;=AW$7),ROUND(AW246*($AP$3+#REF!),-1),""))</f>
        <v/>
      </c>
      <c r="AY246" s="503" t="s">
        <v>621</v>
      </c>
      <c r="AZ246" s="503" t="str">
        <f>IF($G246="","",IF(AND($G246&gt;=30,$AT$3&lt;=AY$7),ROUND(AY246*($AP$3+#REF!),-1),""))</f>
        <v/>
      </c>
      <c r="BA246" s="503" t="s">
        <v>621</v>
      </c>
      <c r="BB246" s="503" t="str">
        <f>IF($G246="","",IF(AND($G246&gt;=30,$AT$3&lt;=BA$7),ROUND(BA246*($AP$3+#REF!),-1),""))</f>
        <v/>
      </c>
      <c r="BC246" s="503" t="s">
        <v>621</v>
      </c>
      <c r="BD246" s="503" t="str">
        <f>IF($G246="","",IF(AND($G246&gt;=30,$AT$3&lt;=BC$7),ROUND(BC246*($AP$3+#REF!),-1),""))</f>
        <v/>
      </c>
      <c r="BE246" s="503" t="s">
        <v>621</v>
      </c>
      <c r="BF246" s="503" t="str">
        <f>IF($G246="","",IF(AND($G246&gt;=30,$AT$3&lt;=BE$7),ROUND(BE246*($AP$3+#REF!),-1),""))</f>
        <v/>
      </c>
      <c r="BG246" s="503" t="s">
        <v>621</v>
      </c>
      <c r="BH246" s="503" t="str">
        <f>IF($G246="","",IF(AND($G246&gt;=30,$AT$3&lt;=BG$7),ROUND(BG246*($AP$3+#REF!),-1),""))</f>
        <v/>
      </c>
      <c r="BI246" s="503" t="s">
        <v>621</v>
      </c>
      <c r="BJ246" s="503" t="str">
        <f>IF($G246="","",IF(AND($G246&gt;=30,$AT$3&lt;=BI$7),ROUND(BI246*($AP$3+#REF!),-1),""))</f>
        <v/>
      </c>
      <c r="BK246" s="503" t="s">
        <v>621</v>
      </c>
      <c r="BL246" s="503" t="str">
        <f>IF($G246="","",IF(AND($G246&gt;=30,$AT$3&lt;=BK$7),ROUND(BK246*($AP$3+#REF!),-1),""))</f>
        <v/>
      </c>
      <c r="BM246" s="503" t="s">
        <v>621</v>
      </c>
      <c r="BN246" s="503" t="str">
        <f>IF($G246="","",IF(AND($G246&gt;=30,$AT$3&lt;=BM$7),ROUND(BM246*($AP$3+#REF!),-1),""))</f>
        <v/>
      </c>
      <c r="BO246" s="503" t="s">
        <v>621</v>
      </c>
      <c r="BP246" s="503" t="str">
        <f>IF($G246="","",IF(AND($G246&gt;=30,$AT$3&lt;=BO$7),ROUND(BO246*($AP$3+#REF!),-1),""))</f>
        <v/>
      </c>
      <c r="BQ246" s="503" t="s">
        <v>621</v>
      </c>
      <c r="BR246" s="503" t="str">
        <f>IF($G246="","",IF(AND($G246&gt;=30,$AT$3&lt;=BQ$7),ROUND(BQ246*($AP$3+#REF!),-1),""))</f>
        <v/>
      </c>
      <c r="BS246" s="517" t="e">
        <v>#REF!</v>
      </c>
      <c r="BT246" s="503" t="str">
        <f>IF($G246="","",IF(AND($G246&gt;=30,$AT$3&lt;=BS$7),ROUND(BS246*($AP$3+#REF!),-1),""))</f>
        <v/>
      </c>
      <c r="BU246" s="503"/>
      <c r="BV246" s="503" t="str">
        <f>IF($G246="","",IF(AND($G246&gt;=30,$AT$3&lt;=BU$7),ROUND(BU246*($AP$3+#REF!),-1),""))</f>
        <v/>
      </c>
      <c r="BW246" s="502"/>
      <c r="BX246" s="503" t="str">
        <f>IF($G246="","",IF(AND($G246&gt;=30,$AT$3&lt;=BW$7),ROUND(BW246*($AP$3+#REF!),-1),""))</f>
        <v/>
      </c>
      <c r="BY246" s="503"/>
      <c r="BZ246" s="503" t="str">
        <f>IF($G246="","",IF(AND($G246&gt;=30,$AT$3&lt;=BY$7),ROUND(BY246*($AP$3+#REF!),-1),""))</f>
        <v/>
      </c>
      <c r="CA246" s="502"/>
      <c r="CB246" s="503" t="str">
        <f>IF($G246="","",IF(AND($G246&gt;=30,$AT$3&lt;=CA$7),ROUND(CA246*($AP$3+#REF!),-1),""))</f>
        <v/>
      </c>
      <c r="CC246" s="503"/>
      <c r="CD246" s="503" t="str">
        <f>IF($G246="","",IF(AND($G246&gt;=30,$AT$3&lt;=CC$7),ROUND(CC246*($AP$3+#REF!),-1),""))</f>
        <v/>
      </c>
      <c r="CE246" s="502"/>
      <c r="CF246" s="503" t="str">
        <f>IF($G246="","",IF(AND($G246&gt;=30,$AT$3&lt;=CE$7),ROUND(CE246*($AP$3+#REF!),-1),""))</f>
        <v/>
      </c>
      <c r="CG246" s="503"/>
      <c r="CH246" s="503" t="str">
        <f>IF($G246="","",IF(AND($G246&gt;=30,$AT$3&lt;=CG$7),ROUND(CG246*($AP$3+#REF!),-1),""))</f>
        <v/>
      </c>
      <c r="CI246" s="502"/>
      <c r="CJ246" s="503" t="str">
        <f>IF($G246="","",IF(AND($G246&gt;=30,$AT$3&lt;=CI$7),ROUND(CI246*($AP$3+#REF!),-1),""))</f>
        <v/>
      </c>
      <c r="CK246" s="503"/>
      <c r="CL246" s="503" t="str">
        <f>IF($G246="","",IF(AND($G246&gt;=30,$AT$3&lt;=CK$7),ROUND(CK246*($AP$3+#REF!),-1),""))</f>
        <v/>
      </c>
      <c r="CM246" s="502"/>
      <c r="CN246" s="503" t="str">
        <f>IF($G246="","",IF(AND($G246&gt;=30,$AT$3&lt;=CM$7),ROUND(CM246*($AP$3+#REF!),-1),""))</f>
        <v/>
      </c>
      <c r="CO246" s="503"/>
      <c r="CP246" s="503" t="str">
        <f>IF($G246="","",IF(AND($G246&gt;=30,$AT$3&lt;=CO$7),ROUND(CO246*($AP$3+#REF!),-1),""))</f>
        <v/>
      </c>
      <c r="CQ246" s="502"/>
      <c r="CR246" s="503" t="str">
        <f>IF($G246="","",IF(AND($G246&gt;=30,$AT$3&lt;=CQ$7),ROUND(CQ246*($AP$3+#REF!),-1),""))</f>
        <v/>
      </c>
      <c r="CS246" s="503"/>
      <c r="CT246" s="503" t="str">
        <f>IF($G246="","",IF(AND($G246&gt;=30,$AT$3&lt;=CS$7),ROUND(CS246*($AP$3+#REF!),-1),""))</f>
        <v/>
      </c>
      <c r="CU246" s="502"/>
      <c r="CV246" s="503" t="str">
        <f>IF($G246="","",IF(AND($G246&gt;=30,$AT$3&lt;=CU$7),ROUND(CU246*($AP$3+#REF!),-1),""))</f>
        <v/>
      </c>
      <c r="CW246" s="503"/>
      <c r="CX246" s="503" t="str">
        <f>IF($G246="","",IF(AND($G246&gt;=30,$AT$3&lt;=CW$7),ROUND(CW246*($AP$3+#REF!),-1),""))</f>
        <v/>
      </c>
      <c r="CY246" s="502"/>
      <c r="CZ246" s="503" t="str">
        <f>IF($G246="","",IF(AND($G246&gt;=30,$AT$3&lt;=CY$7),ROUND(CY246*($AP$3+#REF!),-1),""))</f>
        <v/>
      </c>
      <c r="DA246" s="503"/>
      <c r="DB246" s="503" t="str">
        <f>IF($G246="","",IF(AND($G246&gt;=30,$AT$3&lt;=DA$7),ROUND(DA246*($AP$3+#REF!),-1),""))</f>
        <v/>
      </c>
      <c r="DC246" s="502"/>
      <c r="DD246" s="503" t="str">
        <f>IF($G246="","",IF(AND($G246&gt;=30,$AT$3&lt;=DC$7),ROUND(DC246*($AP$3+#REF!),-1),""))</f>
        <v/>
      </c>
      <c r="DE246" s="503"/>
      <c r="DF246" s="503" t="str">
        <f>IF($G246="","",IF(AND($G246&gt;=30,$AT$3&lt;=DE$7),ROUND(DE246*($AP$3+#REF!),-1),""))</f>
        <v/>
      </c>
      <c r="DG246" s="503"/>
      <c r="DH246" s="503" t="str">
        <f>IF($G246="","",IF(AND($G246&gt;=30,$AT$3&lt;=DG$7),ROUND(DG246*($AP$3+#REF!),-1),""))</f>
        <v/>
      </c>
      <c r="DI246" s="503"/>
      <c r="DJ246" s="503" t="str">
        <f>IF($G246="","",IF(AND($G246&gt;=30,$AT$3&lt;=DI$7),ROUND(DI246*($AP$3+#REF!),-1),""))</f>
        <v/>
      </c>
      <c r="DK246" s="503"/>
      <c r="DL246" s="503" t="str">
        <f>IF($G246="","",IF(AND($G246&gt;=30,$AT$3&lt;=DK$7),ROUND(DK246*($AP$3+#REF!),-1),""))</f>
        <v/>
      </c>
      <c r="DM246" s="503"/>
      <c r="DN246" s="503" t="str">
        <f>IF($G246="","",IF(AND($G246&gt;=30,$AT$3&lt;=DM$7),ROUND(DM246*($AP$3+#REF!),-1),""))</f>
        <v/>
      </c>
      <c r="DO246" s="503"/>
      <c r="DP246" s="503" t="str">
        <f>IF($G246="","",IF(AND($G246&gt;=30,$AT$3&lt;=DO$7),ROUND(DO246*($AP$3+#REF!),-1),""))</f>
        <v/>
      </c>
      <c r="DQ246" s="503"/>
      <c r="DR246" s="503" t="str">
        <f>IF($G246="","",IF(AND($G246&gt;=30,$AT$3&lt;=DQ$7),ROUND(DQ246*($AP$3+#REF!),-1),""))</f>
        <v/>
      </c>
      <c r="DS246" s="503"/>
      <c r="DT246" s="503" t="str">
        <f>IF($G246="","",IF(AND($G246&gt;=30,$AT$3&lt;=DS$7),ROUND(DS246*($AP$3+#REF!),-1),""))</f>
        <v/>
      </c>
      <c r="DU246" s="503"/>
      <c r="DV246" s="503" t="str">
        <f>IF($G246="","",IF(AND($G246&gt;=30,$AT$3&lt;=DU$7),ROUND(DU246*($AP$3+#REF!),-1),""))</f>
        <v/>
      </c>
      <c r="DW246" s="503"/>
      <c r="DX246" s="503" t="str">
        <f>IF($G246="","",IF(AND($G246&gt;=30,$AT$3&lt;=DW$7),ROUND(DW246*($AP$3+#REF!),-1),""))</f>
        <v/>
      </c>
      <c r="DY246" s="503"/>
      <c r="DZ246" s="503" t="str">
        <f>IF($G246="","",IF(AND($G246&gt;=30,$AT$3&lt;=DY$7),ROUND(DY246*($AP$3+#REF!),-1),""))</f>
        <v/>
      </c>
      <c r="EA246" s="503"/>
      <c r="EB246" s="503" t="str">
        <f>IF($G246="","",IF(AND($G246&gt;=30,$AT$3&lt;=EA$7),ROUND(EA246*($AP$3+#REF!),-1),""))</f>
        <v/>
      </c>
      <c r="EC246" s="504" t="s">
        <v>621</v>
      </c>
      <c r="ED246" s="1124"/>
      <c r="EE246" s="325">
        <v>10</v>
      </c>
    </row>
    <row r="247" spans="1:135" ht="9.75" customHeight="1">
      <c r="A247" s="321" t="str">
        <f t="shared" si="54"/>
        <v/>
      </c>
      <c r="B247" s="567">
        <f>(ii!$D$13*12+V247)+1</f>
        <v>141</v>
      </c>
      <c r="C247" s="337">
        <f t="shared" si="58"/>
        <v>49643</v>
      </c>
      <c r="D247" s="484">
        <f t="shared" si="61"/>
        <v>2035</v>
      </c>
      <c r="E247" s="484">
        <f t="shared" si="59"/>
        <v>0.91666666666666663</v>
      </c>
      <c r="F247" s="484">
        <f t="shared" si="62"/>
        <v>2035.9166666666667</v>
      </c>
      <c r="G247" s="485" t="str">
        <f>IF(OR(C247&lt;$I$2,C247&gt;$J$3),"",(ii!$D$13*12+V247+1)/12)</f>
        <v/>
      </c>
      <c r="H247" s="486"/>
      <c r="I247" s="486"/>
      <c r="J247" s="487"/>
      <c r="K247" s="488"/>
      <c r="L247" s="548"/>
      <c r="M247" s="489" t="str">
        <f t="shared" si="63"/>
        <v/>
      </c>
      <c r="N247" s="490" t="s">
        <v>621</v>
      </c>
      <c r="O247" s="490" t="str">
        <f t="shared" si="56"/>
        <v/>
      </c>
      <c r="P247" s="491"/>
      <c r="Q247" s="491"/>
      <c r="R247" s="491" t="str">
        <f t="shared" si="57"/>
        <v/>
      </c>
      <c r="S247" s="528" t="str">
        <f t="shared" si="55"/>
        <v/>
      </c>
      <c r="T247" s="528" t="str">
        <f t="shared" si="53"/>
        <v/>
      </c>
      <c r="U247" s="493" t="str">
        <f>IF(H247="","",#REF!*12+#REF!+#REF!*12+#REF!)</f>
        <v/>
      </c>
      <c r="V247" s="338">
        <f>IF(ii!$J$3&gt;gg!C247,"",IF(AND((YEAR(C247)=YEAR($I$2)),MONTH(C247)=MONTH($I$2)),ii!$B$14*12+ii!$C$14+ii!$B$15*12+ii!$C$15-1,V246+1))</f>
        <v>140</v>
      </c>
      <c r="W247" s="339">
        <f t="shared" si="60"/>
        <v>11.666666666666666</v>
      </c>
      <c r="X247" s="494" t="s">
        <v>621</v>
      </c>
      <c r="Y247" s="495" t="s">
        <v>621</v>
      </c>
      <c r="Z247" s="496"/>
      <c r="AA247" s="497"/>
      <c r="AB247" s="498" t="e">
        <f t="shared" si="66"/>
        <v>#VALUE!</v>
      </c>
      <c r="AC247" s="484" t="str">
        <f t="shared" si="64"/>
        <v/>
      </c>
      <c r="AD247" s="495" t="str">
        <f t="shared" si="65"/>
        <v/>
      </c>
      <c r="AE247" s="499" t="s">
        <v>621</v>
      </c>
      <c r="AF247" s="500" t="s">
        <v>621</v>
      </c>
      <c r="AG247" s="556" t="s">
        <v>621</v>
      </c>
      <c r="AH247" s="503" t="str">
        <f>IF($G247="","",IF(AND($G247&gt;=30,$AT$3&lt;=AG$7),ROUND(AG247*($AP$3+#REF!),-1),""))</f>
        <v/>
      </c>
      <c r="AI247" s="506" t="s">
        <v>621</v>
      </c>
      <c r="AJ247" s="503" t="str">
        <f>IF($G247="","",IF(AND($G247&gt;=30,$AT$3&lt;=AI$7),ROUND(AI247*($AP$3+#REF!),-1),""))</f>
        <v/>
      </c>
      <c r="AK247" s="506" t="s">
        <v>621</v>
      </c>
      <c r="AL247" s="503" t="str">
        <f>IF($G247="","",IF(AND($G247&gt;=30,$AT$3&lt;=AK$7),ROUND(AK247*($AP$3+#REF!),-1),""))</f>
        <v/>
      </c>
      <c r="AM247" s="506" t="s">
        <v>621</v>
      </c>
      <c r="AN247" s="503" t="str">
        <f>IF($G247="","",IF(AND($G247&gt;=30,$AT$3&lt;=AM$7),ROUND(AM247*($AP$3+#REF!),-1),""))</f>
        <v/>
      </c>
      <c r="AO247" s="503" t="e">
        <v>#REF!</v>
      </c>
      <c r="AP247" s="503" t="str">
        <f>IF($G247="","",IF(AND($G247&gt;=30,$AT$3&lt;=AO$7),ROUND(AO247*($AP$3+#REF!),-1),""))</f>
        <v/>
      </c>
      <c r="AQ247" s="503" t="s">
        <v>621</v>
      </c>
      <c r="AR247" s="503" t="str">
        <f>IF($G247="","",IF(AND($G247&gt;=30,$AT$3&lt;=AQ$7),ROUND(AQ247*($AP$3+#REF!),-1),""))</f>
        <v/>
      </c>
      <c r="AS247" s="503" t="s">
        <v>621</v>
      </c>
      <c r="AT247" s="503" t="str">
        <f>IF($G247="","",IF(AND($G247&gt;=30,$AT$3&lt;=AS$7),ROUND(AS247*($AP$3+#REF!),-1),""))</f>
        <v/>
      </c>
      <c r="AU247" s="503" t="s">
        <v>621</v>
      </c>
      <c r="AV247" s="503" t="str">
        <f>IF($G247="","",IF(AND($G247&gt;=30,$AT$3&lt;=AU$7),ROUND(AU247*($AP$3+#REF!),-1),""))</f>
        <v/>
      </c>
      <c r="AW247" s="503" t="s">
        <v>621</v>
      </c>
      <c r="AX247" s="503" t="str">
        <f>IF($G247="","",IF(AND($G247&gt;=30,$AT$3&lt;=AW$7),ROUND(AW247*($AP$3+#REF!),-1),""))</f>
        <v/>
      </c>
      <c r="AY247" s="503" t="s">
        <v>621</v>
      </c>
      <c r="AZ247" s="503" t="str">
        <f>IF($G247="","",IF(AND($G247&gt;=30,$AT$3&lt;=AY$7),ROUND(AY247*($AP$3+#REF!),-1),""))</f>
        <v/>
      </c>
      <c r="BA247" s="503" t="s">
        <v>621</v>
      </c>
      <c r="BB247" s="503" t="str">
        <f>IF($G247="","",IF(AND($G247&gt;=30,$AT$3&lt;=BA$7),ROUND(BA247*($AP$3+#REF!),-1),""))</f>
        <v/>
      </c>
      <c r="BC247" s="503" t="s">
        <v>621</v>
      </c>
      <c r="BD247" s="503" t="str">
        <f>IF($G247="","",IF(AND($G247&gt;=30,$AT$3&lt;=BC$7),ROUND(BC247*($AP$3+#REF!),-1),""))</f>
        <v/>
      </c>
      <c r="BE247" s="503" t="s">
        <v>621</v>
      </c>
      <c r="BF247" s="503" t="str">
        <f>IF($G247="","",IF(AND($G247&gt;=30,$AT$3&lt;=BE$7),ROUND(BE247*($AP$3+#REF!),-1),""))</f>
        <v/>
      </c>
      <c r="BG247" s="503" t="s">
        <v>621</v>
      </c>
      <c r="BH247" s="503" t="str">
        <f>IF($G247="","",IF(AND($G247&gt;=30,$AT$3&lt;=BG$7),ROUND(BG247*($AP$3+#REF!),-1),""))</f>
        <v/>
      </c>
      <c r="BI247" s="503" t="s">
        <v>621</v>
      </c>
      <c r="BJ247" s="503" t="str">
        <f>IF($G247="","",IF(AND($G247&gt;=30,$AT$3&lt;=BI$7),ROUND(BI247*($AP$3+#REF!),-1),""))</f>
        <v/>
      </c>
      <c r="BK247" s="503" t="s">
        <v>621</v>
      </c>
      <c r="BL247" s="503" t="str">
        <f>IF($G247="","",IF(AND($G247&gt;=30,$AT$3&lt;=BK$7),ROUND(BK247*($AP$3+#REF!),-1),""))</f>
        <v/>
      </c>
      <c r="BM247" s="503" t="s">
        <v>621</v>
      </c>
      <c r="BN247" s="503" t="str">
        <f>IF($G247="","",IF(AND($G247&gt;=30,$AT$3&lt;=BM$7),ROUND(BM247*($AP$3+#REF!),-1),""))</f>
        <v/>
      </c>
      <c r="BO247" s="503" t="s">
        <v>621</v>
      </c>
      <c r="BP247" s="503" t="str">
        <f>IF($G247="","",IF(AND($G247&gt;=30,$AT$3&lt;=BO$7),ROUND(BO247*($AP$3+#REF!),-1),""))</f>
        <v/>
      </c>
      <c r="BQ247" s="503" t="s">
        <v>621</v>
      </c>
      <c r="BR247" s="503" t="str">
        <f>IF($G247="","",IF(AND($G247&gt;=30,$AT$3&lt;=BQ$7),ROUND(BQ247*($AP$3+#REF!),-1),""))</f>
        <v/>
      </c>
      <c r="BS247" s="517" t="e">
        <v>#REF!</v>
      </c>
      <c r="BT247" s="503" t="str">
        <f>IF($G247="","",IF(AND($G247&gt;=30,$AT$3&lt;=BS$7),ROUND(BS247*($AP$3+#REF!),-1),""))</f>
        <v/>
      </c>
      <c r="BU247" s="503"/>
      <c r="BV247" s="503" t="str">
        <f>IF($G247="","",IF(AND($G247&gt;=30,$AT$3&lt;=BU$7),ROUND(BU247*($AP$3+#REF!),-1),""))</f>
        <v/>
      </c>
      <c r="BW247" s="502"/>
      <c r="BX247" s="503" t="str">
        <f>IF($G247="","",IF(AND($G247&gt;=30,$AT$3&lt;=BW$7),ROUND(BW247*($AP$3+#REF!),-1),""))</f>
        <v/>
      </c>
      <c r="BY247" s="503"/>
      <c r="BZ247" s="503" t="str">
        <f>IF($G247="","",IF(AND($G247&gt;=30,$AT$3&lt;=BY$7),ROUND(BY247*($AP$3+#REF!),-1),""))</f>
        <v/>
      </c>
      <c r="CA247" s="502"/>
      <c r="CB247" s="503" t="str">
        <f>IF($G247="","",IF(AND($G247&gt;=30,$AT$3&lt;=CA$7),ROUND(CA247*($AP$3+#REF!),-1),""))</f>
        <v/>
      </c>
      <c r="CC247" s="503"/>
      <c r="CD247" s="503" t="str">
        <f>IF($G247="","",IF(AND($G247&gt;=30,$AT$3&lt;=CC$7),ROUND(CC247*($AP$3+#REF!),-1),""))</f>
        <v/>
      </c>
      <c r="CE247" s="502"/>
      <c r="CF247" s="503" t="str">
        <f>IF($G247="","",IF(AND($G247&gt;=30,$AT$3&lt;=CE$7),ROUND(CE247*($AP$3+#REF!),-1),""))</f>
        <v/>
      </c>
      <c r="CG247" s="503"/>
      <c r="CH247" s="503" t="str">
        <f>IF($G247="","",IF(AND($G247&gt;=30,$AT$3&lt;=CG$7),ROUND(CG247*($AP$3+#REF!),-1),""))</f>
        <v/>
      </c>
      <c r="CI247" s="502"/>
      <c r="CJ247" s="503" t="str">
        <f>IF($G247="","",IF(AND($G247&gt;=30,$AT$3&lt;=CI$7),ROUND(CI247*($AP$3+#REF!),-1),""))</f>
        <v/>
      </c>
      <c r="CK247" s="503"/>
      <c r="CL247" s="503" t="str">
        <f>IF($G247="","",IF(AND($G247&gt;=30,$AT$3&lt;=CK$7),ROUND(CK247*($AP$3+#REF!),-1),""))</f>
        <v/>
      </c>
      <c r="CM247" s="502"/>
      <c r="CN247" s="503" t="str">
        <f>IF($G247="","",IF(AND($G247&gt;=30,$AT$3&lt;=CM$7),ROUND(CM247*($AP$3+#REF!),-1),""))</f>
        <v/>
      </c>
      <c r="CO247" s="503"/>
      <c r="CP247" s="503" t="str">
        <f>IF($G247="","",IF(AND($G247&gt;=30,$AT$3&lt;=CO$7),ROUND(CO247*($AP$3+#REF!),-1),""))</f>
        <v/>
      </c>
      <c r="CQ247" s="502"/>
      <c r="CR247" s="503" t="str">
        <f>IF($G247="","",IF(AND($G247&gt;=30,$AT$3&lt;=CQ$7),ROUND(CQ247*($AP$3+#REF!),-1),""))</f>
        <v/>
      </c>
      <c r="CS247" s="503"/>
      <c r="CT247" s="503" t="str">
        <f>IF($G247="","",IF(AND($G247&gt;=30,$AT$3&lt;=CS$7),ROUND(CS247*($AP$3+#REF!),-1),""))</f>
        <v/>
      </c>
      <c r="CU247" s="502"/>
      <c r="CV247" s="503" t="str">
        <f>IF($G247="","",IF(AND($G247&gt;=30,$AT$3&lt;=CU$7),ROUND(CU247*($AP$3+#REF!),-1),""))</f>
        <v/>
      </c>
      <c r="CW247" s="503"/>
      <c r="CX247" s="503" t="str">
        <f>IF($G247="","",IF(AND($G247&gt;=30,$AT$3&lt;=CW$7),ROUND(CW247*($AP$3+#REF!),-1),""))</f>
        <v/>
      </c>
      <c r="CY247" s="502"/>
      <c r="CZ247" s="503" t="str">
        <f>IF($G247="","",IF(AND($G247&gt;=30,$AT$3&lt;=CY$7),ROUND(CY247*($AP$3+#REF!),-1),""))</f>
        <v/>
      </c>
      <c r="DA247" s="503"/>
      <c r="DB247" s="503" t="str">
        <f>IF($G247="","",IF(AND($G247&gt;=30,$AT$3&lt;=DA$7),ROUND(DA247*($AP$3+#REF!),-1),""))</f>
        <v/>
      </c>
      <c r="DC247" s="502"/>
      <c r="DD247" s="503" t="str">
        <f>IF($G247="","",IF(AND($G247&gt;=30,$AT$3&lt;=DC$7),ROUND(DC247*($AP$3+#REF!),-1),""))</f>
        <v/>
      </c>
      <c r="DE247" s="503"/>
      <c r="DF247" s="503" t="str">
        <f>IF($G247="","",IF(AND($G247&gt;=30,$AT$3&lt;=DE$7),ROUND(DE247*($AP$3+#REF!),-1),""))</f>
        <v/>
      </c>
      <c r="DG247" s="503"/>
      <c r="DH247" s="503" t="str">
        <f>IF($G247="","",IF(AND($G247&gt;=30,$AT$3&lt;=DG$7),ROUND(DG247*($AP$3+#REF!),-1),""))</f>
        <v/>
      </c>
      <c r="DI247" s="503"/>
      <c r="DJ247" s="503" t="str">
        <f>IF($G247="","",IF(AND($G247&gt;=30,$AT$3&lt;=DI$7),ROUND(DI247*($AP$3+#REF!),-1),""))</f>
        <v/>
      </c>
      <c r="DK247" s="503"/>
      <c r="DL247" s="503" t="str">
        <f>IF($G247="","",IF(AND($G247&gt;=30,$AT$3&lt;=DK$7),ROUND(DK247*($AP$3+#REF!),-1),""))</f>
        <v/>
      </c>
      <c r="DM247" s="503"/>
      <c r="DN247" s="503" t="str">
        <f>IF($G247="","",IF(AND($G247&gt;=30,$AT$3&lt;=DM$7),ROUND(DM247*($AP$3+#REF!),-1),""))</f>
        <v/>
      </c>
      <c r="DO247" s="503"/>
      <c r="DP247" s="503" t="str">
        <f>IF($G247="","",IF(AND($G247&gt;=30,$AT$3&lt;=DO$7),ROUND(DO247*($AP$3+#REF!),-1),""))</f>
        <v/>
      </c>
      <c r="DQ247" s="503"/>
      <c r="DR247" s="503" t="str">
        <f>IF($G247="","",IF(AND($G247&gt;=30,$AT$3&lt;=DQ$7),ROUND(DQ247*($AP$3+#REF!),-1),""))</f>
        <v/>
      </c>
      <c r="DS247" s="503"/>
      <c r="DT247" s="503" t="str">
        <f>IF($G247="","",IF(AND($G247&gt;=30,$AT$3&lt;=DS$7),ROUND(DS247*($AP$3+#REF!),-1),""))</f>
        <v/>
      </c>
      <c r="DU247" s="503"/>
      <c r="DV247" s="503" t="str">
        <f>IF($G247="","",IF(AND($G247&gt;=30,$AT$3&lt;=DU$7),ROUND(DU247*($AP$3+#REF!),-1),""))</f>
        <v/>
      </c>
      <c r="DW247" s="503"/>
      <c r="DX247" s="503" t="str">
        <f>IF($G247="","",IF(AND($G247&gt;=30,$AT$3&lt;=DW$7),ROUND(DW247*($AP$3+#REF!),-1),""))</f>
        <v/>
      </c>
      <c r="DY247" s="503"/>
      <c r="DZ247" s="503" t="str">
        <f>IF($G247="","",IF(AND($G247&gt;=30,$AT$3&lt;=DY$7),ROUND(DY247*($AP$3+#REF!),-1),""))</f>
        <v/>
      </c>
      <c r="EA247" s="503"/>
      <c r="EB247" s="503" t="str">
        <f>IF($G247="","",IF(AND($G247&gt;=30,$AT$3&lt;=EA$7),ROUND(EA247*($AP$3+#REF!),-1),""))</f>
        <v/>
      </c>
      <c r="EC247" s="504" t="s">
        <v>621</v>
      </c>
      <c r="ED247" s="1124"/>
      <c r="EE247" s="325">
        <v>11</v>
      </c>
    </row>
    <row r="248" spans="1:135" ht="9.75" customHeight="1">
      <c r="A248" s="321" t="str">
        <f t="shared" si="54"/>
        <v/>
      </c>
      <c r="B248" s="567">
        <f>(ii!$D$13*12+V248)+1</f>
        <v>142</v>
      </c>
      <c r="C248" s="337">
        <f t="shared" si="58"/>
        <v>49674</v>
      </c>
      <c r="D248" s="484">
        <f t="shared" si="61"/>
        <v>2035</v>
      </c>
      <c r="E248" s="484">
        <f t="shared" si="59"/>
        <v>1</v>
      </c>
      <c r="F248" s="484">
        <f t="shared" si="62"/>
        <v>2036</v>
      </c>
      <c r="G248" s="485" t="str">
        <f>IF(OR(C248&lt;$I$2,C248&gt;$J$3),"",(ii!$D$13*12+V248+1)/12)</f>
        <v/>
      </c>
      <c r="H248" s="486"/>
      <c r="I248" s="486"/>
      <c r="J248" s="487"/>
      <c r="K248" s="488"/>
      <c r="L248" s="548"/>
      <c r="M248" s="489" t="str">
        <f t="shared" si="63"/>
        <v/>
      </c>
      <c r="N248" s="490" t="s">
        <v>621</v>
      </c>
      <c r="O248" s="490" t="str">
        <f t="shared" si="56"/>
        <v/>
      </c>
      <c r="P248" s="491"/>
      <c r="Q248" s="491"/>
      <c r="R248" s="491" t="str">
        <f t="shared" si="57"/>
        <v/>
      </c>
      <c r="S248" s="528" t="str">
        <f t="shared" si="55"/>
        <v/>
      </c>
      <c r="T248" s="528" t="str">
        <f t="shared" si="53"/>
        <v/>
      </c>
      <c r="U248" s="493" t="str">
        <f>IF(H248="","",#REF!*12+#REF!+#REF!*12+#REF!)</f>
        <v/>
      </c>
      <c r="V248" s="338">
        <f>IF(ii!$J$3&gt;gg!C248,"",IF(AND((YEAR(C248)=YEAR($I$2)),MONTH(C248)=MONTH($I$2)),ii!$B$14*12+ii!$C$14+ii!$B$15*12+ii!$C$15-1,V247+1))</f>
        <v>141</v>
      </c>
      <c r="W248" s="339">
        <f t="shared" si="60"/>
        <v>11.75</v>
      </c>
      <c r="X248" s="494" t="s">
        <v>621</v>
      </c>
      <c r="Y248" s="495" t="s">
        <v>621</v>
      </c>
      <c r="Z248" s="496"/>
      <c r="AA248" s="497"/>
      <c r="AB248" s="498" t="e">
        <f t="shared" si="66"/>
        <v>#VALUE!</v>
      </c>
      <c r="AC248" s="484" t="str">
        <f t="shared" si="64"/>
        <v/>
      </c>
      <c r="AD248" s="495" t="str">
        <f t="shared" si="65"/>
        <v/>
      </c>
      <c r="AE248" s="499" t="s">
        <v>621</v>
      </c>
      <c r="AF248" s="500" t="s">
        <v>621</v>
      </c>
      <c r="AG248" s="556" t="s">
        <v>621</v>
      </c>
      <c r="AH248" s="503" t="str">
        <f>IF($G248="","",IF(AND($G248&gt;=30,$AT$3&lt;=AG$7),ROUND(AG248*($AP$3+#REF!),-1),""))</f>
        <v/>
      </c>
      <c r="AI248" s="506" t="s">
        <v>621</v>
      </c>
      <c r="AJ248" s="503" t="str">
        <f>IF($G248="","",IF(AND($G248&gt;=30,$AT$3&lt;=AI$7),ROUND(AI248*($AP$3+#REF!),-1),""))</f>
        <v/>
      </c>
      <c r="AK248" s="506" t="s">
        <v>621</v>
      </c>
      <c r="AL248" s="503" t="str">
        <f>IF($G248="","",IF(AND($G248&gt;=30,$AT$3&lt;=AK$7),ROUND(AK248*($AP$3+#REF!),-1),""))</f>
        <v/>
      </c>
      <c r="AM248" s="506" t="s">
        <v>621</v>
      </c>
      <c r="AN248" s="503" t="str">
        <f>IF($G248="","",IF(AND($G248&gt;=30,$AT$3&lt;=AM$7),ROUND(AM248*($AP$3+#REF!),-1),""))</f>
        <v/>
      </c>
      <c r="AO248" s="503" t="e">
        <v>#REF!</v>
      </c>
      <c r="AP248" s="503" t="str">
        <f>IF($G248="","",IF(AND($G248&gt;=30,$AT$3&lt;=AO$7),ROUND(AO248*($AP$3+#REF!),-1),""))</f>
        <v/>
      </c>
      <c r="AQ248" s="503" t="s">
        <v>621</v>
      </c>
      <c r="AR248" s="503" t="str">
        <f>IF($G248="","",IF(AND($G248&gt;=30,$AT$3&lt;=AQ$7),ROUND(AQ248*($AP$3+#REF!),-1),""))</f>
        <v/>
      </c>
      <c r="AS248" s="503" t="s">
        <v>621</v>
      </c>
      <c r="AT248" s="503" t="str">
        <f>IF($G248="","",IF(AND($G248&gt;=30,$AT$3&lt;=AS$7),ROUND(AS248*($AP$3+#REF!),-1),""))</f>
        <v/>
      </c>
      <c r="AU248" s="503" t="s">
        <v>621</v>
      </c>
      <c r="AV248" s="503" t="str">
        <f>IF($G248="","",IF(AND($G248&gt;=30,$AT$3&lt;=AU$7),ROUND(AU248*($AP$3+#REF!),-1),""))</f>
        <v/>
      </c>
      <c r="AW248" s="503" t="s">
        <v>621</v>
      </c>
      <c r="AX248" s="503" t="str">
        <f>IF($G248="","",IF(AND($G248&gt;=30,$AT$3&lt;=AW$7),ROUND(AW248*($AP$3+#REF!),-1),""))</f>
        <v/>
      </c>
      <c r="AY248" s="503" t="s">
        <v>621</v>
      </c>
      <c r="AZ248" s="503" t="str">
        <f>IF($G248="","",IF(AND($G248&gt;=30,$AT$3&lt;=AY$7),ROUND(AY248*($AP$3+#REF!),-1),""))</f>
        <v/>
      </c>
      <c r="BA248" s="503" t="s">
        <v>621</v>
      </c>
      <c r="BB248" s="503" t="str">
        <f>IF($G248="","",IF(AND($G248&gt;=30,$AT$3&lt;=BA$7),ROUND(BA248*($AP$3+#REF!),-1),""))</f>
        <v/>
      </c>
      <c r="BC248" s="503" t="s">
        <v>621</v>
      </c>
      <c r="BD248" s="503" t="str">
        <f>IF($G248="","",IF(AND($G248&gt;=30,$AT$3&lt;=BC$7),ROUND(BC248*($AP$3+#REF!),-1),""))</f>
        <v/>
      </c>
      <c r="BE248" s="503" t="s">
        <v>621</v>
      </c>
      <c r="BF248" s="503" t="str">
        <f>IF($G248="","",IF(AND($G248&gt;=30,$AT$3&lt;=BE$7),ROUND(BE248*($AP$3+#REF!),-1),""))</f>
        <v/>
      </c>
      <c r="BG248" s="503" t="s">
        <v>621</v>
      </c>
      <c r="BH248" s="503" t="str">
        <f>IF($G248="","",IF(AND($G248&gt;=30,$AT$3&lt;=BG$7),ROUND(BG248*($AP$3+#REF!),-1),""))</f>
        <v/>
      </c>
      <c r="BI248" s="503" t="s">
        <v>621</v>
      </c>
      <c r="BJ248" s="503" t="str">
        <f>IF($G248="","",IF(AND($G248&gt;=30,$AT$3&lt;=BI$7),ROUND(BI248*($AP$3+#REF!),-1),""))</f>
        <v/>
      </c>
      <c r="BK248" s="503" t="s">
        <v>621</v>
      </c>
      <c r="BL248" s="503" t="str">
        <f>IF($G248="","",IF(AND($G248&gt;=30,$AT$3&lt;=BK$7),ROUND(BK248*($AP$3+#REF!),-1),""))</f>
        <v/>
      </c>
      <c r="BM248" s="503" t="s">
        <v>621</v>
      </c>
      <c r="BN248" s="503" t="str">
        <f>IF($G248="","",IF(AND($G248&gt;=30,$AT$3&lt;=BM$7),ROUND(BM248*($AP$3+#REF!),-1),""))</f>
        <v/>
      </c>
      <c r="BO248" s="503" t="s">
        <v>621</v>
      </c>
      <c r="BP248" s="503" t="str">
        <f>IF($G248="","",IF(AND($G248&gt;=30,$AT$3&lt;=BO$7),ROUND(BO248*($AP$3+#REF!),-1),""))</f>
        <v/>
      </c>
      <c r="BQ248" s="503" t="s">
        <v>621</v>
      </c>
      <c r="BR248" s="503" t="str">
        <f>IF($G248="","",IF(AND($G248&gt;=30,$AT$3&lt;=BQ$7),ROUND(BQ248*($AP$3+#REF!),-1),""))</f>
        <v/>
      </c>
      <c r="BS248" s="517" t="e">
        <v>#REF!</v>
      </c>
      <c r="BT248" s="503" t="str">
        <f>IF($G248="","",IF(AND($G248&gt;=30,$AT$3&lt;=BS$7),ROUND(BS248*($AP$3+#REF!),-1),""))</f>
        <v/>
      </c>
      <c r="BU248" s="503"/>
      <c r="BV248" s="503" t="str">
        <f>IF($G248="","",IF(AND($G248&gt;=30,$AT$3&lt;=BU$7),ROUND(BU248*($AP$3+#REF!),-1),""))</f>
        <v/>
      </c>
      <c r="BW248" s="502"/>
      <c r="BX248" s="503" t="str">
        <f>IF($G248="","",IF(AND($G248&gt;=30,$AT$3&lt;=BW$7),ROUND(BW248*($AP$3+#REF!),-1),""))</f>
        <v/>
      </c>
      <c r="BY248" s="503"/>
      <c r="BZ248" s="503" t="str">
        <f>IF($G248="","",IF(AND($G248&gt;=30,$AT$3&lt;=BY$7),ROUND(BY248*($AP$3+#REF!),-1),""))</f>
        <v/>
      </c>
      <c r="CA248" s="502"/>
      <c r="CB248" s="503" t="str">
        <f>IF($G248="","",IF(AND($G248&gt;=30,$AT$3&lt;=CA$7),ROUND(CA248*($AP$3+#REF!),-1),""))</f>
        <v/>
      </c>
      <c r="CC248" s="503"/>
      <c r="CD248" s="503" t="str">
        <f>IF($G248="","",IF(AND($G248&gt;=30,$AT$3&lt;=CC$7),ROUND(CC248*($AP$3+#REF!),-1),""))</f>
        <v/>
      </c>
      <c r="CE248" s="502"/>
      <c r="CF248" s="503" t="str">
        <f>IF($G248="","",IF(AND($G248&gt;=30,$AT$3&lt;=CE$7),ROUND(CE248*($AP$3+#REF!),-1),""))</f>
        <v/>
      </c>
      <c r="CG248" s="503"/>
      <c r="CH248" s="503" t="str">
        <f>IF($G248="","",IF(AND($G248&gt;=30,$AT$3&lt;=CG$7),ROUND(CG248*($AP$3+#REF!),-1),""))</f>
        <v/>
      </c>
      <c r="CI248" s="502"/>
      <c r="CJ248" s="503" t="str">
        <f>IF($G248="","",IF(AND($G248&gt;=30,$AT$3&lt;=CI$7),ROUND(CI248*($AP$3+#REF!),-1),""))</f>
        <v/>
      </c>
      <c r="CK248" s="503"/>
      <c r="CL248" s="503" t="str">
        <f>IF($G248="","",IF(AND($G248&gt;=30,$AT$3&lt;=CK$7),ROUND(CK248*($AP$3+#REF!),-1),""))</f>
        <v/>
      </c>
      <c r="CM248" s="502"/>
      <c r="CN248" s="503" t="str">
        <f>IF($G248="","",IF(AND($G248&gt;=30,$AT$3&lt;=CM$7),ROUND(CM248*($AP$3+#REF!),-1),""))</f>
        <v/>
      </c>
      <c r="CO248" s="503"/>
      <c r="CP248" s="503" t="str">
        <f>IF($G248="","",IF(AND($G248&gt;=30,$AT$3&lt;=CO$7),ROUND(CO248*($AP$3+#REF!),-1),""))</f>
        <v/>
      </c>
      <c r="CQ248" s="502"/>
      <c r="CR248" s="503" t="str">
        <f>IF($G248="","",IF(AND($G248&gt;=30,$AT$3&lt;=CQ$7),ROUND(CQ248*($AP$3+#REF!),-1),""))</f>
        <v/>
      </c>
      <c r="CS248" s="503"/>
      <c r="CT248" s="503" t="str">
        <f>IF($G248="","",IF(AND($G248&gt;=30,$AT$3&lt;=CS$7),ROUND(CS248*($AP$3+#REF!),-1),""))</f>
        <v/>
      </c>
      <c r="CU248" s="502"/>
      <c r="CV248" s="503" t="str">
        <f>IF($G248="","",IF(AND($G248&gt;=30,$AT$3&lt;=CU$7),ROUND(CU248*($AP$3+#REF!),-1),""))</f>
        <v/>
      </c>
      <c r="CW248" s="503"/>
      <c r="CX248" s="503" t="str">
        <f>IF($G248="","",IF(AND($G248&gt;=30,$AT$3&lt;=CW$7),ROUND(CW248*($AP$3+#REF!),-1),""))</f>
        <v/>
      </c>
      <c r="CY248" s="502"/>
      <c r="CZ248" s="503" t="str">
        <f>IF($G248="","",IF(AND($G248&gt;=30,$AT$3&lt;=CY$7),ROUND(CY248*($AP$3+#REF!),-1),""))</f>
        <v/>
      </c>
      <c r="DA248" s="503"/>
      <c r="DB248" s="503" t="str">
        <f>IF($G248="","",IF(AND($G248&gt;=30,$AT$3&lt;=DA$7),ROUND(DA248*($AP$3+#REF!),-1),""))</f>
        <v/>
      </c>
      <c r="DC248" s="502"/>
      <c r="DD248" s="503" t="str">
        <f>IF($G248="","",IF(AND($G248&gt;=30,$AT$3&lt;=DC$7),ROUND(DC248*($AP$3+#REF!),-1),""))</f>
        <v/>
      </c>
      <c r="DE248" s="503"/>
      <c r="DF248" s="503" t="str">
        <f>IF($G248="","",IF(AND($G248&gt;=30,$AT$3&lt;=DE$7),ROUND(DE248*($AP$3+#REF!),-1),""))</f>
        <v/>
      </c>
      <c r="DG248" s="503"/>
      <c r="DH248" s="503" t="str">
        <f>IF($G248="","",IF(AND($G248&gt;=30,$AT$3&lt;=DG$7),ROUND(DG248*($AP$3+#REF!),-1),""))</f>
        <v/>
      </c>
      <c r="DI248" s="503"/>
      <c r="DJ248" s="503" t="str">
        <f>IF($G248="","",IF(AND($G248&gt;=30,$AT$3&lt;=DI$7),ROUND(DI248*($AP$3+#REF!),-1),""))</f>
        <v/>
      </c>
      <c r="DK248" s="503"/>
      <c r="DL248" s="503" t="str">
        <f>IF($G248="","",IF(AND($G248&gt;=30,$AT$3&lt;=DK$7),ROUND(DK248*($AP$3+#REF!),-1),""))</f>
        <v/>
      </c>
      <c r="DM248" s="503"/>
      <c r="DN248" s="503" t="str">
        <f>IF($G248="","",IF(AND($G248&gt;=30,$AT$3&lt;=DM$7),ROUND(DM248*($AP$3+#REF!),-1),""))</f>
        <v/>
      </c>
      <c r="DO248" s="503"/>
      <c r="DP248" s="503" t="str">
        <f>IF($G248="","",IF(AND($G248&gt;=30,$AT$3&lt;=DO$7),ROUND(DO248*($AP$3+#REF!),-1),""))</f>
        <v/>
      </c>
      <c r="DQ248" s="503"/>
      <c r="DR248" s="503" t="str">
        <f>IF($G248="","",IF(AND($G248&gt;=30,$AT$3&lt;=DQ$7),ROUND(DQ248*($AP$3+#REF!),-1),""))</f>
        <v/>
      </c>
      <c r="DS248" s="503"/>
      <c r="DT248" s="503" t="str">
        <f>IF($G248="","",IF(AND($G248&gt;=30,$AT$3&lt;=DS$7),ROUND(DS248*($AP$3+#REF!),-1),""))</f>
        <v/>
      </c>
      <c r="DU248" s="503"/>
      <c r="DV248" s="503" t="str">
        <f>IF($G248="","",IF(AND($G248&gt;=30,$AT$3&lt;=DU$7),ROUND(DU248*($AP$3+#REF!),-1),""))</f>
        <v/>
      </c>
      <c r="DW248" s="503"/>
      <c r="DX248" s="503" t="str">
        <f>IF($G248="","",IF(AND($G248&gt;=30,$AT$3&lt;=DW$7),ROUND(DW248*($AP$3+#REF!),-1),""))</f>
        <v/>
      </c>
      <c r="DY248" s="503"/>
      <c r="DZ248" s="503" t="str">
        <f>IF($G248="","",IF(AND($G248&gt;=30,$AT$3&lt;=DY$7),ROUND(DY248*($AP$3+#REF!),-1),""))</f>
        <v/>
      </c>
      <c r="EA248" s="503"/>
      <c r="EB248" s="503" t="str">
        <f>IF($G248="","",IF(AND($G248&gt;=30,$AT$3&lt;=EA$7),ROUND(EA248*($AP$3+#REF!),-1),""))</f>
        <v/>
      </c>
      <c r="EC248" s="504" t="s">
        <v>621</v>
      </c>
      <c r="ED248" s="1125"/>
      <c r="EE248" s="325">
        <v>12</v>
      </c>
    </row>
    <row r="249" spans="1:135" ht="9.75" customHeight="1">
      <c r="A249" s="321" t="str">
        <f t="shared" si="54"/>
        <v/>
      </c>
      <c r="B249" s="567">
        <f>(ii!$D$13*12+V249)+1</f>
        <v>143</v>
      </c>
      <c r="C249" s="345">
        <f t="shared" si="58"/>
        <v>49705</v>
      </c>
      <c r="D249" s="340">
        <f t="shared" si="61"/>
        <v>2036</v>
      </c>
      <c r="E249" s="340">
        <f t="shared" si="59"/>
        <v>8.3333333333333329E-2</v>
      </c>
      <c r="F249" s="340">
        <f t="shared" si="62"/>
        <v>2036.0833333333333</v>
      </c>
      <c r="G249" s="531" t="str">
        <f>IF(OR(C249&lt;$I$2,C249&gt;$J$3),"",(ii!$D$13*12+V249+1)/12)</f>
        <v/>
      </c>
      <c r="H249" s="532"/>
      <c r="I249" s="532"/>
      <c r="J249" s="533"/>
      <c r="K249" s="553"/>
      <c r="L249" s="534"/>
      <c r="M249" s="489" t="str">
        <f t="shared" si="63"/>
        <v/>
      </c>
      <c r="N249" s="536" t="s">
        <v>621</v>
      </c>
      <c r="O249" s="490" t="str">
        <f t="shared" si="56"/>
        <v/>
      </c>
      <c r="P249" s="537"/>
      <c r="Q249" s="537"/>
      <c r="R249" s="533" t="str">
        <f t="shared" si="57"/>
        <v/>
      </c>
      <c r="S249" s="538" t="str">
        <f t="shared" si="55"/>
        <v/>
      </c>
      <c r="T249" s="538" t="str">
        <f t="shared" ref="T249:T312" si="67">IF(OR(S249="",S248=""),"",S249-S248)</f>
        <v/>
      </c>
      <c r="U249" s="539" t="str">
        <f>IF(H249="","",#REF!*12+#REF!+#REF!*12+#REF!)</f>
        <v/>
      </c>
      <c r="V249" s="338">
        <f>IF(ii!$J$3&gt;gg!C249,"",IF(AND((YEAR(C249)=YEAR($I$2)),MONTH(C249)=MONTH($I$2)),ii!$B$14*12+ii!$C$14+ii!$B$15*12+ii!$C$15-1,V248+1))</f>
        <v>142</v>
      </c>
      <c r="W249" s="339">
        <f t="shared" si="60"/>
        <v>11.833333333333334</v>
      </c>
      <c r="X249" s="540" t="s">
        <v>621</v>
      </c>
      <c r="Y249" s="538" t="s">
        <v>621</v>
      </c>
      <c r="Z249" s="541">
        <f>Z237+$Z$26</f>
        <v>0.54000000000000026</v>
      </c>
      <c r="AA249" s="542" t="str">
        <f>IF(Y249="","",(Y249-Y248)/Y248)</f>
        <v/>
      </c>
      <c r="AB249" s="543" t="e">
        <f t="shared" si="66"/>
        <v>#VALUE!</v>
      </c>
      <c r="AC249" s="544" t="str">
        <f t="shared" si="64"/>
        <v/>
      </c>
      <c r="AD249" s="538" t="str">
        <f t="shared" si="65"/>
        <v/>
      </c>
      <c r="AE249" s="545" t="s">
        <v>621</v>
      </c>
      <c r="AF249" s="546" t="s">
        <v>621</v>
      </c>
      <c r="AG249" s="558" t="s">
        <v>621</v>
      </c>
      <c r="AH249" s="547" t="str">
        <f>IF($G249="","",IF(AND($G249&gt;=30,$AT$3&lt;=AG$7),ROUND(AG249*($AP$3+#REF!),-1),""))</f>
        <v/>
      </c>
      <c r="AI249" s="558" t="s">
        <v>621</v>
      </c>
      <c r="AJ249" s="547" t="str">
        <f>IF($G249="","",IF(AND($G249&gt;=30,$AT$3&lt;=AI$7),ROUND(AI249*($AP$3+#REF!),-1),""))</f>
        <v/>
      </c>
      <c r="AK249" s="560" t="s">
        <v>621</v>
      </c>
      <c r="AL249" s="547" t="str">
        <f>IF($G249="","",IF(AND($G249&gt;=30,$AT$3&lt;=AK$7),ROUND(AK249*($AP$3+#REF!),-1),""))</f>
        <v/>
      </c>
      <c r="AM249" s="560" t="s">
        <v>621</v>
      </c>
      <c r="AN249" s="547" t="str">
        <f>IF($G249="","",IF(AND($G249&gt;=30,$AT$3&lt;=AM$7),ROUND(AM249*($AP$3+#REF!),-1),""))</f>
        <v/>
      </c>
      <c r="AO249" s="547" t="e">
        <v>#REF!</v>
      </c>
      <c r="AP249" s="547" t="str">
        <f>IF($G249="","",IF(AND($G249&gt;=30,$AT$3&lt;=AO$7),ROUND(AO249*($AP$3+#REF!),-1),""))</f>
        <v/>
      </c>
      <c r="AQ249" s="547" t="s">
        <v>621</v>
      </c>
      <c r="AR249" s="547" t="str">
        <f>IF($G249="","",IF(AND($G249&gt;=30,$AT$3&lt;=AQ$7),ROUND(AQ249*($AP$3+#REF!),-1),""))</f>
        <v/>
      </c>
      <c r="AS249" s="547" t="s">
        <v>621</v>
      </c>
      <c r="AT249" s="547" t="str">
        <f>IF($G249="","",IF(AND($G249&gt;=30,$AT$3&lt;=AS$7),ROUND(AS249*($AP$3+#REF!),-1),""))</f>
        <v/>
      </c>
      <c r="AU249" s="547" t="s">
        <v>621</v>
      </c>
      <c r="AV249" s="547" t="str">
        <f>IF($G249="","",IF(AND($G249&gt;=30,$AT$3&lt;=AU$7),ROUND(AU249*($AP$3+#REF!),-1),""))</f>
        <v/>
      </c>
      <c r="AW249" s="547" t="s">
        <v>621</v>
      </c>
      <c r="AX249" s="547" t="str">
        <f>IF($G249="","",IF(AND($G249&gt;=30,$AT$3&lt;=AW$7),ROUND(AW249*($AP$3+#REF!),-1),""))</f>
        <v/>
      </c>
      <c r="AY249" s="547" t="s">
        <v>621</v>
      </c>
      <c r="AZ249" s="547" t="str">
        <f>IF($G249="","",IF(AND($G249&gt;=30,$AT$3&lt;=AY$7),ROUND(AY249*($AP$3+#REF!),-1),""))</f>
        <v/>
      </c>
      <c r="BA249" s="547" t="s">
        <v>621</v>
      </c>
      <c r="BB249" s="547" t="str">
        <f>IF($G249="","",IF(AND($G249&gt;=30,$AT$3&lt;=BA$7),ROUND(BA249*($AP$3+#REF!),-1),""))</f>
        <v/>
      </c>
      <c r="BC249" s="547" t="s">
        <v>621</v>
      </c>
      <c r="BD249" s="547" t="str">
        <f>IF($G249="","",IF(AND($G249&gt;=30,$AT$3&lt;=BC$7),ROUND(BC249*($AP$3+#REF!),-1),""))</f>
        <v/>
      </c>
      <c r="BE249" s="547" t="s">
        <v>621</v>
      </c>
      <c r="BF249" s="547" t="str">
        <f>IF($G249="","",IF(AND($G249&gt;=30,$AT$3&lt;=BE$7),ROUND(BE249*($AP$3+#REF!),-1),""))</f>
        <v/>
      </c>
      <c r="BG249" s="547" t="s">
        <v>621</v>
      </c>
      <c r="BH249" s="547" t="str">
        <f>IF($G249="","",IF(AND($G249&gt;=30,$AT$3&lt;=BG$7),ROUND(BG249*($AP$3+#REF!),-1),""))</f>
        <v/>
      </c>
      <c r="BI249" s="547" t="s">
        <v>621</v>
      </c>
      <c r="BJ249" s="547" t="str">
        <f>IF($G249="","",IF(AND($G249&gt;=30,$AT$3&lt;=BI$7),ROUND(BI249*($AP$3+#REF!),-1),""))</f>
        <v/>
      </c>
      <c r="BK249" s="547" t="s">
        <v>621</v>
      </c>
      <c r="BL249" s="547" t="str">
        <f>IF($G249="","",IF(AND($G249&gt;=30,$AT$3&lt;=BK$7),ROUND(BK249*($AP$3+#REF!),-1),""))</f>
        <v/>
      </c>
      <c r="BM249" s="547" t="s">
        <v>621</v>
      </c>
      <c r="BN249" s="547" t="str">
        <f>IF($G249="","",IF(AND($G249&gt;=30,$AT$3&lt;=BM$7),ROUND(BM249*($AP$3+#REF!),-1),""))</f>
        <v/>
      </c>
      <c r="BO249" s="547" t="s">
        <v>621</v>
      </c>
      <c r="BP249" s="547" t="str">
        <f>IF($G249="","",IF(AND($G249&gt;=30,$AT$3&lt;=BO$7),ROUND(BO249*($AP$3+#REF!),-1),""))</f>
        <v/>
      </c>
      <c r="BQ249" s="547" t="s">
        <v>621</v>
      </c>
      <c r="BR249" s="547" t="str">
        <f>IF($G249="","",IF(AND($G249&gt;=30,$AT$3&lt;=BQ$7),ROUND(BQ249*($AP$3+#REF!),-1),""))</f>
        <v/>
      </c>
      <c r="BS249" s="547" t="s">
        <v>621</v>
      </c>
      <c r="BT249" s="547" t="str">
        <f>IF($G249="","",IF(AND($G249&gt;=30,$AT$3&lt;=BS$7),ROUND(BS249*($AP$3+#REF!),-1),""))</f>
        <v/>
      </c>
      <c r="BU249" s="533" t="e">
        <v>#REF!</v>
      </c>
      <c r="BV249" s="547" t="str">
        <f>IF($G249="","",IF(AND($G249&gt;=30,$AT$3&lt;=BU$7),ROUND(BU249*($AP$3+#REF!),-1),""))</f>
        <v/>
      </c>
      <c r="BW249" s="547"/>
      <c r="BX249" s="547" t="str">
        <f>IF($G249="","",IF(AND($G249&gt;=30,$AT$3&lt;=BW$7),ROUND(BW249*($AP$3+#REF!),-1),""))</f>
        <v/>
      </c>
      <c r="BY249" s="547"/>
      <c r="BZ249" s="547" t="str">
        <f>IF($G249="","",IF(AND($G249&gt;=30,$AT$3&lt;=BY$7),ROUND(BY249*($AP$3+#REF!),-1),""))</f>
        <v/>
      </c>
      <c r="CA249" s="547"/>
      <c r="CB249" s="547" t="str">
        <f>IF($G249="","",IF(AND($G249&gt;=30,$AT$3&lt;=CA$7),ROUND(CA249*($AP$3+#REF!),-1),""))</f>
        <v/>
      </c>
      <c r="CC249" s="547"/>
      <c r="CD249" s="547" t="str">
        <f>IF($G249="","",IF(AND($G249&gt;=30,$AT$3&lt;=CC$7),ROUND(CC249*($AP$3+#REF!),-1),""))</f>
        <v/>
      </c>
      <c r="CE249" s="547"/>
      <c r="CF249" s="547" t="str">
        <f>IF($G249="","",IF(AND($G249&gt;=30,$AT$3&lt;=CE$7),ROUND(CE249*($AP$3+#REF!),-1),""))</f>
        <v/>
      </c>
      <c r="CG249" s="547"/>
      <c r="CH249" s="547" t="str">
        <f>IF($G249="","",IF(AND($G249&gt;=30,$AT$3&lt;=CG$7),ROUND(CG249*($AP$3+#REF!),-1),""))</f>
        <v/>
      </c>
      <c r="CI249" s="547"/>
      <c r="CJ249" s="547" t="str">
        <f>IF($G249="","",IF(AND($G249&gt;=30,$AT$3&lt;=CI$7),ROUND(CI249*($AP$3+#REF!),-1),""))</f>
        <v/>
      </c>
      <c r="CK249" s="547"/>
      <c r="CL249" s="547" t="str">
        <f>IF($G249="","",IF(AND($G249&gt;=30,$AT$3&lt;=CK$7),ROUND(CK249*($AP$3+#REF!),-1),""))</f>
        <v/>
      </c>
      <c r="CM249" s="547"/>
      <c r="CN249" s="547" t="str">
        <f>IF($G249="","",IF(AND($G249&gt;=30,$AT$3&lt;=CM$7),ROUND(CM249*($AP$3+#REF!),-1),""))</f>
        <v/>
      </c>
      <c r="CO249" s="547"/>
      <c r="CP249" s="547" t="str">
        <f>IF($G249="","",IF(AND($G249&gt;=30,$AT$3&lt;=CO$7),ROUND(CO249*($AP$3+#REF!),-1),""))</f>
        <v/>
      </c>
      <c r="CQ249" s="547"/>
      <c r="CR249" s="547" t="str">
        <f>IF($G249="","",IF(AND($G249&gt;=30,$AT$3&lt;=CQ$7),ROUND(CQ249*($AP$3+#REF!),-1),""))</f>
        <v/>
      </c>
      <c r="CS249" s="547"/>
      <c r="CT249" s="547" t="str">
        <f>IF($G249="","",IF(AND($G249&gt;=30,$AT$3&lt;=CS$7),ROUND(CS249*($AP$3+#REF!),-1),""))</f>
        <v/>
      </c>
      <c r="CU249" s="547"/>
      <c r="CV249" s="547" t="str">
        <f>IF($G249="","",IF(AND($G249&gt;=30,$AT$3&lt;=CU$7),ROUND(CU249*($AP$3+#REF!),-1),""))</f>
        <v/>
      </c>
      <c r="CW249" s="547"/>
      <c r="CX249" s="547" t="str">
        <f>IF($G249="","",IF(AND($G249&gt;=30,$AT$3&lt;=CW$7),ROUND(CW249*($AP$3+#REF!),-1),""))</f>
        <v/>
      </c>
      <c r="CY249" s="547"/>
      <c r="CZ249" s="547" t="str">
        <f>IF($G249="","",IF(AND($G249&gt;=30,$AT$3&lt;=CY$7),ROUND(CY249*($AP$3+#REF!),-1),""))</f>
        <v/>
      </c>
      <c r="DA249" s="547"/>
      <c r="DB249" s="547" t="str">
        <f>IF($G249="","",IF(AND($G249&gt;=30,$AT$3&lt;=DA$7),ROUND(DA249*($AP$3+#REF!),-1),""))</f>
        <v/>
      </c>
      <c r="DC249" s="547"/>
      <c r="DD249" s="547" t="str">
        <f>IF($G249="","",IF(AND($G249&gt;=30,$AT$3&lt;=DC$7),ROUND(DC249*($AP$3+#REF!),-1),""))</f>
        <v/>
      </c>
      <c r="DE249" s="547"/>
      <c r="DF249" s="547" t="str">
        <f>IF($G249="","",IF(AND($G249&gt;=30,$AT$3&lt;=DE$7),ROUND(DE249*($AP$3+#REF!),-1),""))</f>
        <v/>
      </c>
      <c r="DG249" s="547"/>
      <c r="DH249" s="547" t="str">
        <f>IF($G249="","",IF(AND($G249&gt;=30,$AT$3&lt;=DG$7),ROUND(DG249*($AP$3+#REF!),-1),""))</f>
        <v/>
      </c>
      <c r="DI249" s="547"/>
      <c r="DJ249" s="547" t="str">
        <f>IF($G249="","",IF(AND($G249&gt;=30,$AT$3&lt;=DI$7),ROUND(DI249*($AP$3+#REF!),-1),""))</f>
        <v/>
      </c>
      <c r="DK249" s="547"/>
      <c r="DL249" s="547" t="str">
        <f>IF($G249="","",IF(AND($G249&gt;=30,$AT$3&lt;=DK$7),ROUND(DK249*($AP$3+#REF!),-1),""))</f>
        <v/>
      </c>
      <c r="DM249" s="547"/>
      <c r="DN249" s="547" t="str">
        <f>IF($G249="","",IF(AND($G249&gt;=30,$AT$3&lt;=DM$7),ROUND(DM249*($AP$3+#REF!),-1),""))</f>
        <v/>
      </c>
      <c r="DO249" s="547"/>
      <c r="DP249" s="547" t="str">
        <f>IF($G249="","",IF(AND($G249&gt;=30,$AT$3&lt;=DO$7),ROUND(DO249*($AP$3+#REF!),-1),""))</f>
        <v/>
      </c>
      <c r="DQ249" s="547"/>
      <c r="DR249" s="547" t="str">
        <f>IF($G249="","",IF(AND($G249&gt;=30,$AT$3&lt;=DQ$7),ROUND(DQ249*($AP$3+#REF!),-1),""))</f>
        <v/>
      </c>
      <c r="DS249" s="547"/>
      <c r="DT249" s="547" t="str">
        <f>IF($G249="","",IF(AND($G249&gt;=30,$AT$3&lt;=DS$7),ROUND(DS249*($AP$3+#REF!),-1),""))</f>
        <v/>
      </c>
      <c r="DU249" s="547"/>
      <c r="DV249" s="547" t="str">
        <f>IF($G249="","",IF(AND($G249&gt;=30,$AT$3&lt;=DU$7),ROUND(DU249*($AP$3+#REF!),-1),""))</f>
        <v/>
      </c>
      <c r="DW249" s="547"/>
      <c r="DX249" s="547" t="str">
        <f>IF($G249="","",IF(AND($G249&gt;=30,$AT$3&lt;=DW$7),ROUND(DW249*($AP$3+#REF!),-1),""))</f>
        <v/>
      </c>
      <c r="DY249" s="547"/>
      <c r="DZ249" s="547" t="str">
        <f>IF($G249="","",IF(AND($G249&gt;=30,$AT$3&lt;=DY$7),ROUND(DY249*($AP$3+#REF!),-1),""))</f>
        <v/>
      </c>
      <c r="EA249" s="547"/>
      <c r="EB249" s="547" t="str">
        <f>IF($G249="","",IF(AND($G249&gt;=30,$AT$3&lt;=EA$7),ROUND(EA249*($AP$3+#REF!),-1),""))</f>
        <v/>
      </c>
      <c r="EC249" s="547" t="s">
        <v>621</v>
      </c>
      <c r="ED249" s="1123">
        <f>SUM(EC249:EC260)</f>
        <v>0</v>
      </c>
      <c r="EE249" s="325">
        <v>1</v>
      </c>
    </row>
    <row r="250" spans="1:135" ht="9.75" customHeight="1">
      <c r="A250" s="321" t="str">
        <f t="shared" ref="A250:A313" si="68">G250</f>
        <v/>
      </c>
      <c r="B250" s="567">
        <f>(ii!$D$13*12+V250)+1</f>
        <v>144</v>
      </c>
      <c r="C250" s="337">
        <f t="shared" si="58"/>
        <v>49734</v>
      </c>
      <c r="D250" s="484">
        <f t="shared" si="61"/>
        <v>2036</v>
      </c>
      <c r="E250" s="484">
        <f t="shared" si="59"/>
        <v>0.16666666666666666</v>
      </c>
      <c r="F250" s="484">
        <f t="shared" si="62"/>
        <v>2036.1666666666667</v>
      </c>
      <c r="G250" s="485" t="str">
        <f>IF(OR(C250&lt;$I$2,C250&gt;$J$3),"",(ii!$D$13*12+V250+1)/12)</f>
        <v/>
      </c>
      <c r="H250" s="486"/>
      <c r="I250" s="486"/>
      <c r="J250" s="487"/>
      <c r="K250" s="488"/>
      <c r="L250" s="548"/>
      <c r="M250" s="489" t="str">
        <f t="shared" si="63"/>
        <v/>
      </c>
      <c r="N250" s="490" t="s">
        <v>621</v>
      </c>
      <c r="O250" s="490" t="str">
        <f t="shared" si="56"/>
        <v/>
      </c>
      <c r="P250" s="491"/>
      <c r="Q250" s="491"/>
      <c r="R250" s="491" t="str">
        <f t="shared" si="57"/>
        <v/>
      </c>
      <c r="S250" s="528" t="str">
        <f t="shared" si="55"/>
        <v/>
      </c>
      <c r="T250" s="528" t="str">
        <f t="shared" si="67"/>
        <v/>
      </c>
      <c r="U250" s="493" t="str">
        <f>IF(H250="","",#REF!*12+#REF!+#REF!*12+#REF!)</f>
        <v/>
      </c>
      <c r="V250" s="338">
        <f>IF(ii!$J$3&gt;gg!C250,"",IF(AND((YEAR(C250)=YEAR($I$2)),MONTH(C250)=MONTH($I$2)),ii!$B$14*12+ii!$C$14+ii!$B$15*12+ii!$C$15-1,V249+1))</f>
        <v>143</v>
      </c>
      <c r="W250" s="339">
        <f t="shared" si="60"/>
        <v>11.916666666666666</v>
      </c>
      <c r="X250" s="494" t="s">
        <v>621</v>
      </c>
      <c r="Y250" s="495" t="s">
        <v>621</v>
      </c>
      <c r="Z250" s="496"/>
      <c r="AA250" s="497"/>
      <c r="AB250" s="498" t="e">
        <f t="shared" si="66"/>
        <v>#VALUE!</v>
      </c>
      <c r="AC250" s="484" t="str">
        <f t="shared" si="64"/>
        <v/>
      </c>
      <c r="AD250" s="495" t="str">
        <f t="shared" si="65"/>
        <v/>
      </c>
      <c r="AE250" s="499" t="s">
        <v>621</v>
      </c>
      <c r="AF250" s="500" t="s">
        <v>621</v>
      </c>
      <c r="AG250" s="556" t="s">
        <v>621</v>
      </c>
      <c r="AH250" s="503" t="str">
        <f>IF($G250="","",IF(AND($G250&gt;=30,$AT$3&lt;=AG$7),ROUND(AG250*($AP$3+#REF!),-1),""))</f>
        <v/>
      </c>
      <c r="AI250" s="506" t="s">
        <v>621</v>
      </c>
      <c r="AJ250" s="503" t="str">
        <f>IF($G250="","",IF(AND($G250&gt;=30,$AT$3&lt;=AI$7),ROUND(AI250*($AP$3+#REF!),-1),""))</f>
        <v/>
      </c>
      <c r="AK250" s="506" t="s">
        <v>621</v>
      </c>
      <c r="AL250" s="503" t="str">
        <f>IF($G250="","",IF(AND($G250&gt;=30,$AT$3&lt;=AK$7),ROUND(AK250*($AP$3+#REF!),-1),""))</f>
        <v/>
      </c>
      <c r="AM250" s="506" t="s">
        <v>621</v>
      </c>
      <c r="AN250" s="503" t="str">
        <f>IF($G250="","",IF(AND($G250&gt;=30,$AT$3&lt;=AM$7),ROUND(AM250*($AP$3+#REF!),-1),""))</f>
        <v/>
      </c>
      <c r="AO250" s="503" t="e">
        <f>IF(AO249="","",AO249*1.001)</f>
        <v>#REF!</v>
      </c>
      <c r="AP250" s="503" t="str">
        <f>IF($G250="","",IF(AND($G250&gt;=30,$AT$3&lt;=AO$7),ROUND(AO250*($AP$3+#REF!),-1),""))</f>
        <v/>
      </c>
      <c r="AQ250" s="503" t="s">
        <v>621</v>
      </c>
      <c r="AR250" s="503" t="str">
        <f>IF($G250="","",IF(AND($G250&gt;=30,$AT$3&lt;=AQ$7),ROUND(AQ250*($AP$3+#REF!),-1),""))</f>
        <v/>
      </c>
      <c r="AS250" s="503" t="s">
        <v>621</v>
      </c>
      <c r="AT250" s="503" t="str">
        <f>IF($G250="","",IF(AND($G250&gt;=30,$AT$3&lt;=AS$7),ROUND(AS250*($AP$3+#REF!),-1),""))</f>
        <v/>
      </c>
      <c r="AU250" s="503" t="s">
        <v>621</v>
      </c>
      <c r="AV250" s="503" t="str">
        <f>IF($G250="","",IF(AND($G250&gt;=30,$AT$3&lt;=AU$7),ROUND(AU250*($AP$3+#REF!),-1),""))</f>
        <v/>
      </c>
      <c r="AW250" s="503" t="s">
        <v>621</v>
      </c>
      <c r="AX250" s="503" t="str">
        <f>IF($G250="","",IF(AND($G250&gt;=30,$AT$3&lt;=AW$7),ROUND(AW250*($AP$3+#REF!),-1),""))</f>
        <v/>
      </c>
      <c r="AY250" s="503" t="s">
        <v>621</v>
      </c>
      <c r="AZ250" s="503" t="str">
        <f>IF($G250="","",IF(AND($G250&gt;=30,$AT$3&lt;=AY$7),ROUND(AY250*($AP$3+#REF!),-1),""))</f>
        <v/>
      </c>
      <c r="BA250" s="503" t="s">
        <v>621</v>
      </c>
      <c r="BB250" s="503" t="str">
        <f>IF($G250="","",IF(AND($G250&gt;=30,$AT$3&lt;=BA$7),ROUND(BA250*($AP$3+#REF!),-1),""))</f>
        <v/>
      </c>
      <c r="BC250" s="503" t="s">
        <v>621</v>
      </c>
      <c r="BD250" s="503" t="str">
        <f>IF($G250="","",IF(AND($G250&gt;=30,$AT$3&lt;=BC$7),ROUND(BC250*($AP$3+#REF!),-1),""))</f>
        <v/>
      </c>
      <c r="BE250" s="503" t="s">
        <v>621</v>
      </c>
      <c r="BF250" s="503" t="str">
        <f>IF($G250="","",IF(AND($G250&gt;=30,$AT$3&lt;=BE$7),ROUND(BE250*($AP$3+#REF!),-1),""))</f>
        <v/>
      </c>
      <c r="BG250" s="503" t="s">
        <v>621</v>
      </c>
      <c r="BH250" s="503" t="str">
        <f>IF($G250="","",IF(AND($G250&gt;=30,$AT$3&lt;=BG$7),ROUND(BG250*($AP$3+#REF!),-1),""))</f>
        <v/>
      </c>
      <c r="BI250" s="503" t="s">
        <v>621</v>
      </c>
      <c r="BJ250" s="503" t="str">
        <f>IF($G250="","",IF(AND($G250&gt;=30,$AT$3&lt;=BI$7),ROUND(BI250*($AP$3+#REF!),-1),""))</f>
        <v/>
      </c>
      <c r="BK250" s="503" t="s">
        <v>621</v>
      </c>
      <c r="BL250" s="503" t="str">
        <f>IF($G250="","",IF(AND($G250&gt;=30,$AT$3&lt;=BK$7),ROUND(BK250*($AP$3+#REF!),-1),""))</f>
        <v/>
      </c>
      <c r="BM250" s="503" t="s">
        <v>621</v>
      </c>
      <c r="BN250" s="503" t="str">
        <f>IF($G250="","",IF(AND($G250&gt;=30,$AT$3&lt;=BM$7),ROUND(BM250*($AP$3+#REF!),-1),""))</f>
        <v/>
      </c>
      <c r="BO250" s="503" t="s">
        <v>621</v>
      </c>
      <c r="BP250" s="503" t="str">
        <f>IF($G250="","",IF(AND($G250&gt;=30,$AT$3&lt;=BO$7),ROUND(BO250*($AP$3+#REF!),-1),""))</f>
        <v/>
      </c>
      <c r="BQ250" s="503" t="s">
        <v>621</v>
      </c>
      <c r="BR250" s="503" t="str">
        <f>IF($G250="","",IF(AND($G250&gt;=30,$AT$3&lt;=BQ$7),ROUND(BQ250*($AP$3+#REF!),-1),""))</f>
        <v/>
      </c>
      <c r="BS250" s="503" t="s">
        <v>621</v>
      </c>
      <c r="BT250" s="503" t="str">
        <f>IF($G250="","",IF(AND($G250&gt;=30,$AT$3&lt;=BS$7),ROUND(BS250*($AP$3+#REF!),-1),""))</f>
        <v/>
      </c>
      <c r="BU250" s="517" t="e">
        <v>#REF!</v>
      </c>
      <c r="BV250" s="503" t="str">
        <f>IF($G250="","",IF(AND($G250&gt;=30,$AT$3&lt;=BU$7),ROUND(BU250*($AP$3+#REF!),-1),""))</f>
        <v/>
      </c>
      <c r="BW250" s="517"/>
      <c r="BX250" s="503" t="str">
        <f>IF($G250="","",IF(AND($G250&gt;=30,$AT$3&lt;=BW$7),ROUND(BW250*($AP$3+#REF!),-1),""))</f>
        <v/>
      </c>
      <c r="BY250" s="503"/>
      <c r="BZ250" s="503" t="str">
        <f>IF($G250="","",IF(AND($G250&gt;=30,$AT$3&lt;=BY$7),ROUND(BY250*($AP$3+#REF!),-1),""))</f>
        <v/>
      </c>
      <c r="CA250" s="502"/>
      <c r="CB250" s="503" t="str">
        <f>IF($G250="","",IF(AND($G250&gt;=30,$AT$3&lt;=CA$7),ROUND(CA250*($AP$3+#REF!),-1),""))</f>
        <v/>
      </c>
      <c r="CC250" s="503"/>
      <c r="CD250" s="503" t="str">
        <f>IF($G250="","",IF(AND($G250&gt;=30,$AT$3&lt;=CC$7),ROUND(CC250*($AP$3+#REF!),-1),""))</f>
        <v/>
      </c>
      <c r="CE250" s="502"/>
      <c r="CF250" s="503" t="str">
        <f>IF($G250="","",IF(AND($G250&gt;=30,$AT$3&lt;=CE$7),ROUND(CE250*($AP$3+#REF!),-1),""))</f>
        <v/>
      </c>
      <c r="CG250" s="503"/>
      <c r="CH250" s="503" t="str">
        <f>IF($G250="","",IF(AND($G250&gt;=30,$AT$3&lt;=CG$7),ROUND(CG250*($AP$3+#REF!),-1),""))</f>
        <v/>
      </c>
      <c r="CI250" s="502"/>
      <c r="CJ250" s="503" t="str">
        <f>IF($G250="","",IF(AND($G250&gt;=30,$AT$3&lt;=CI$7),ROUND(CI250*($AP$3+#REF!),-1),""))</f>
        <v/>
      </c>
      <c r="CK250" s="503"/>
      <c r="CL250" s="503" t="str">
        <f>IF($G250="","",IF(AND($G250&gt;=30,$AT$3&lt;=CK$7),ROUND(CK250*($AP$3+#REF!),-1),""))</f>
        <v/>
      </c>
      <c r="CM250" s="502"/>
      <c r="CN250" s="503" t="str">
        <f>IF($G250="","",IF(AND($G250&gt;=30,$AT$3&lt;=CM$7),ROUND(CM250*($AP$3+#REF!),-1),""))</f>
        <v/>
      </c>
      <c r="CO250" s="503"/>
      <c r="CP250" s="503" t="str">
        <f>IF($G250="","",IF(AND($G250&gt;=30,$AT$3&lt;=CO$7),ROUND(CO250*($AP$3+#REF!),-1),""))</f>
        <v/>
      </c>
      <c r="CQ250" s="502"/>
      <c r="CR250" s="503" t="str">
        <f>IF($G250="","",IF(AND($G250&gt;=30,$AT$3&lt;=CQ$7),ROUND(CQ250*($AP$3+#REF!),-1),""))</f>
        <v/>
      </c>
      <c r="CS250" s="503"/>
      <c r="CT250" s="503" t="str">
        <f>IF($G250="","",IF(AND($G250&gt;=30,$AT$3&lt;=CS$7),ROUND(CS250*($AP$3+#REF!),-1),""))</f>
        <v/>
      </c>
      <c r="CU250" s="502"/>
      <c r="CV250" s="503" t="str">
        <f>IF($G250="","",IF(AND($G250&gt;=30,$AT$3&lt;=CU$7),ROUND(CU250*($AP$3+#REF!),-1),""))</f>
        <v/>
      </c>
      <c r="CW250" s="503"/>
      <c r="CX250" s="503" t="str">
        <f>IF($G250="","",IF(AND($G250&gt;=30,$AT$3&lt;=CW$7),ROUND(CW250*($AP$3+#REF!),-1),""))</f>
        <v/>
      </c>
      <c r="CY250" s="502"/>
      <c r="CZ250" s="503" t="str">
        <f>IF($G250="","",IF(AND($G250&gt;=30,$AT$3&lt;=CY$7),ROUND(CY250*($AP$3+#REF!),-1),""))</f>
        <v/>
      </c>
      <c r="DA250" s="503"/>
      <c r="DB250" s="503" t="str">
        <f>IF($G250="","",IF(AND($G250&gt;=30,$AT$3&lt;=DA$7),ROUND(DA250*($AP$3+#REF!),-1),""))</f>
        <v/>
      </c>
      <c r="DC250" s="502"/>
      <c r="DD250" s="503" t="str">
        <f>IF($G250="","",IF(AND($G250&gt;=30,$AT$3&lt;=DC$7),ROUND(DC250*($AP$3+#REF!),-1),""))</f>
        <v/>
      </c>
      <c r="DE250" s="503"/>
      <c r="DF250" s="503" t="str">
        <f>IF($G250="","",IF(AND($G250&gt;=30,$AT$3&lt;=DE$7),ROUND(DE250*($AP$3+#REF!),-1),""))</f>
        <v/>
      </c>
      <c r="DG250" s="503"/>
      <c r="DH250" s="503" t="str">
        <f>IF($G250="","",IF(AND($G250&gt;=30,$AT$3&lt;=DG$7),ROUND(DG250*($AP$3+#REF!),-1),""))</f>
        <v/>
      </c>
      <c r="DI250" s="503"/>
      <c r="DJ250" s="503" t="str">
        <f>IF($G250="","",IF(AND($G250&gt;=30,$AT$3&lt;=DI$7),ROUND(DI250*($AP$3+#REF!),-1),""))</f>
        <v/>
      </c>
      <c r="DK250" s="503"/>
      <c r="DL250" s="503" t="str">
        <f>IF($G250="","",IF(AND($G250&gt;=30,$AT$3&lt;=DK$7),ROUND(DK250*($AP$3+#REF!),-1),""))</f>
        <v/>
      </c>
      <c r="DM250" s="503"/>
      <c r="DN250" s="503" t="str">
        <f>IF($G250="","",IF(AND($G250&gt;=30,$AT$3&lt;=DM$7),ROUND(DM250*($AP$3+#REF!),-1),""))</f>
        <v/>
      </c>
      <c r="DO250" s="503"/>
      <c r="DP250" s="503" t="str">
        <f>IF($G250="","",IF(AND($G250&gt;=30,$AT$3&lt;=DO$7),ROUND(DO250*($AP$3+#REF!),-1),""))</f>
        <v/>
      </c>
      <c r="DQ250" s="503"/>
      <c r="DR250" s="503" t="str">
        <f>IF($G250="","",IF(AND($G250&gt;=30,$AT$3&lt;=DQ$7),ROUND(DQ250*($AP$3+#REF!),-1),""))</f>
        <v/>
      </c>
      <c r="DS250" s="503"/>
      <c r="DT250" s="503" t="str">
        <f>IF($G250="","",IF(AND($G250&gt;=30,$AT$3&lt;=DS$7),ROUND(DS250*($AP$3+#REF!),-1),""))</f>
        <v/>
      </c>
      <c r="DU250" s="503"/>
      <c r="DV250" s="503" t="str">
        <f>IF($G250="","",IF(AND($G250&gt;=30,$AT$3&lt;=DU$7),ROUND(DU250*($AP$3+#REF!),-1),""))</f>
        <v/>
      </c>
      <c r="DW250" s="503"/>
      <c r="DX250" s="503" t="str">
        <f>IF($G250="","",IF(AND($G250&gt;=30,$AT$3&lt;=DW$7),ROUND(DW250*($AP$3+#REF!),-1),""))</f>
        <v/>
      </c>
      <c r="DY250" s="503"/>
      <c r="DZ250" s="503" t="str">
        <f>IF($G250="","",IF(AND($G250&gt;=30,$AT$3&lt;=DY$7),ROUND(DY250*($AP$3+#REF!),-1),""))</f>
        <v/>
      </c>
      <c r="EA250" s="503"/>
      <c r="EB250" s="503" t="str">
        <f>IF($G250="","",IF(AND($G250&gt;=30,$AT$3&lt;=EA$7),ROUND(EA250*($AP$3+#REF!),-1),""))</f>
        <v/>
      </c>
      <c r="EC250" s="504" t="s">
        <v>621</v>
      </c>
      <c r="ED250" s="1124"/>
      <c r="EE250" s="325">
        <v>2</v>
      </c>
    </row>
    <row r="251" spans="1:135" ht="9.75" customHeight="1">
      <c r="A251" s="321" t="str">
        <f t="shared" si="68"/>
        <v/>
      </c>
      <c r="B251" s="567">
        <f>(ii!$D$13*12+V251)+1</f>
        <v>145</v>
      </c>
      <c r="C251" s="337">
        <f t="shared" si="58"/>
        <v>49765</v>
      </c>
      <c r="D251" s="484">
        <f t="shared" si="61"/>
        <v>2036</v>
      </c>
      <c r="E251" s="484">
        <f t="shared" si="59"/>
        <v>0.25</v>
      </c>
      <c r="F251" s="484">
        <f t="shared" si="62"/>
        <v>2036.25</v>
      </c>
      <c r="G251" s="485" t="str">
        <f>IF(OR(C251&lt;$I$2,C251&gt;$J$3),"",(ii!$D$13*12+V251+1)/12)</f>
        <v/>
      </c>
      <c r="H251" s="486"/>
      <c r="I251" s="486"/>
      <c r="J251" s="487"/>
      <c r="K251" s="488"/>
      <c r="L251" s="548"/>
      <c r="M251" s="489" t="str">
        <f t="shared" si="63"/>
        <v/>
      </c>
      <c r="N251" s="490" t="s">
        <v>621</v>
      </c>
      <c r="O251" s="490" t="str">
        <f t="shared" si="56"/>
        <v/>
      </c>
      <c r="P251" s="491"/>
      <c r="Q251" s="491"/>
      <c r="R251" s="491" t="str">
        <f t="shared" si="57"/>
        <v/>
      </c>
      <c r="S251" s="528" t="str">
        <f t="shared" si="55"/>
        <v/>
      </c>
      <c r="T251" s="528" t="str">
        <f t="shared" si="67"/>
        <v/>
      </c>
      <c r="U251" s="493" t="str">
        <f>IF(H251="","",#REF!*12+#REF!+#REF!*12+#REF!)</f>
        <v/>
      </c>
      <c r="V251" s="338">
        <f>IF(ii!$J$3&gt;gg!C251,"",IF(AND((YEAR(C251)=YEAR($I$2)),MONTH(C251)=MONTH($I$2)),ii!$B$14*12+ii!$C$14+ii!$B$15*12+ii!$C$15-1,V250+1))</f>
        <v>144</v>
      </c>
      <c r="W251" s="339">
        <f t="shared" si="60"/>
        <v>12</v>
      </c>
      <c r="X251" s="494" t="s">
        <v>621</v>
      </c>
      <c r="Y251" s="495" t="s">
        <v>621</v>
      </c>
      <c r="Z251" s="496"/>
      <c r="AA251" s="497"/>
      <c r="AB251" s="498" t="e">
        <f t="shared" si="66"/>
        <v>#VALUE!</v>
      </c>
      <c r="AC251" s="484" t="str">
        <f t="shared" si="64"/>
        <v/>
      </c>
      <c r="AD251" s="495" t="str">
        <f t="shared" si="65"/>
        <v/>
      </c>
      <c r="AE251" s="499" t="s">
        <v>621</v>
      </c>
      <c r="AF251" s="500" t="s">
        <v>621</v>
      </c>
      <c r="AG251" s="556" t="s">
        <v>621</v>
      </c>
      <c r="AH251" s="503" t="str">
        <f>IF($G251="","",IF(AND($G251&gt;=30,$AT$3&lt;=AG$7),ROUND(AG251*($AP$3+#REF!),-1),""))</f>
        <v/>
      </c>
      <c r="AI251" s="506" t="s">
        <v>621</v>
      </c>
      <c r="AJ251" s="503" t="str">
        <f>IF($G251="","",IF(AND($G251&gt;=30,$AT$3&lt;=AI$7),ROUND(AI251*($AP$3+#REF!),-1),""))</f>
        <v/>
      </c>
      <c r="AK251" s="506" t="s">
        <v>621</v>
      </c>
      <c r="AL251" s="503" t="str">
        <f>IF($G251="","",IF(AND($G251&gt;=30,$AT$3&lt;=AK$7),ROUND(AK251*($AP$3+#REF!),-1),""))</f>
        <v/>
      </c>
      <c r="AM251" s="506" t="s">
        <v>621</v>
      </c>
      <c r="AN251" s="503" t="str">
        <f>IF($G251="","",IF(AND($G251&gt;=30,$AT$3&lt;=AM$7),ROUND(AM251*($AP$3+#REF!),-1),""))</f>
        <v/>
      </c>
      <c r="AO251" s="503" t="e">
        <v>#REF!</v>
      </c>
      <c r="AP251" s="503" t="str">
        <f>IF($G251="","",IF(AND($G251&gt;=30,$AT$3&lt;=AO$7),ROUND(AO251*($AP$3+#REF!),-1),""))</f>
        <v/>
      </c>
      <c r="AQ251" s="503" t="s">
        <v>621</v>
      </c>
      <c r="AR251" s="503" t="str">
        <f>IF($G251="","",IF(AND($G251&gt;=30,$AT$3&lt;=AQ$7),ROUND(AQ251*($AP$3+#REF!),-1),""))</f>
        <v/>
      </c>
      <c r="AS251" s="503" t="s">
        <v>621</v>
      </c>
      <c r="AT251" s="503" t="str">
        <f>IF($G251="","",IF(AND($G251&gt;=30,$AT$3&lt;=AS$7),ROUND(AS251*($AP$3+#REF!),-1),""))</f>
        <v/>
      </c>
      <c r="AU251" s="503" t="s">
        <v>621</v>
      </c>
      <c r="AV251" s="503" t="str">
        <f>IF($G251="","",IF(AND($G251&gt;=30,$AT$3&lt;=AU$7),ROUND(AU251*($AP$3+#REF!),-1),""))</f>
        <v/>
      </c>
      <c r="AW251" s="503" t="s">
        <v>621</v>
      </c>
      <c r="AX251" s="503" t="str">
        <f>IF($G251="","",IF(AND($G251&gt;=30,$AT$3&lt;=AW$7),ROUND(AW251*($AP$3+#REF!),-1),""))</f>
        <v/>
      </c>
      <c r="AY251" s="503" t="s">
        <v>621</v>
      </c>
      <c r="AZ251" s="503" t="str">
        <f>IF($G251="","",IF(AND($G251&gt;=30,$AT$3&lt;=AY$7),ROUND(AY251*($AP$3+#REF!),-1),""))</f>
        <v/>
      </c>
      <c r="BA251" s="503" t="s">
        <v>621</v>
      </c>
      <c r="BB251" s="503" t="str">
        <f>IF($G251="","",IF(AND($G251&gt;=30,$AT$3&lt;=BA$7),ROUND(BA251*($AP$3+#REF!),-1),""))</f>
        <v/>
      </c>
      <c r="BC251" s="503" t="s">
        <v>621</v>
      </c>
      <c r="BD251" s="503" t="str">
        <f>IF($G251="","",IF(AND($G251&gt;=30,$AT$3&lt;=BC$7),ROUND(BC251*($AP$3+#REF!),-1),""))</f>
        <v/>
      </c>
      <c r="BE251" s="503" t="s">
        <v>621</v>
      </c>
      <c r="BF251" s="503" t="str">
        <f>IF($G251="","",IF(AND($G251&gt;=30,$AT$3&lt;=BE$7),ROUND(BE251*($AP$3+#REF!),-1),""))</f>
        <v/>
      </c>
      <c r="BG251" s="503" t="s">
        <v>621</v>
      </c>
      <c r="BH251" s="503" t="str">
        <f>IF($G251="","",IF(AND($G251&gt;=30,$AT$3&lt;=BG$7),ROUND(BG251*($AP$3+#REF!),-1),""))</f>
        <v/>
      </c>
      <c r="BI251" s="503" t="s">
        <v>621</v>
      </c>
      <c r="BJ251" s="503" t="str">
        <f>IF($G251="","",IF(AND($G251&gt;=30,$AT$3&lt;=BI$7),ROUND(BI251*($AP$3+#REF!),-1),""))</f>
        <v/>
      </c>
      <c r="BK251" s="503" t="s">
        <v>621</v>
      </c>
      <c r="BL251" s="503" t="str">
        <f>IF($G251="","",IF(AND($G251&gt;=30,$AT$3&lt;=BK$7),ROUND(BK251*($AP$3+#REF!),-1),""))</f>
        <v/>
      </c>
      <c r="BM251" s="503" t="s">
        <v>621</v>
      </c>
      <c r="BN251" s="503" t="str">
        <f>IF($G251="","",IF(AND($G251&gt;=30,$AT$3&lt;=BM$7),ROUND(BM251*($AP$3+#REF!),-1),""))</f>
        <v/>
      </c>
      <c r="BO251" s="503" t="s">
        <v>621</v>
      </c>
      <c r="BP251" s="503" t="str">
        <f>IF($G251="","",IF(AND($G251&gt;=30,$AT$3&lt;=BO$7),ROUND(BO251*($AP$3+#REF!),-1),""))</f>
        <v/>
      </c>
      <c r="BQ251" s="503" t="s">
        <v>621</v>
      </c>
      <c r="BR251" s="503" t="str">
        <f>IF($G251="","",IF(AND($G251&gt;=30,$AT$3&lt;=BQ$7),ROUND(BQ251*($AP$3+#REF!),-1),""))</f>
        <v/>
      </c>
      <c r="BS251" s="503" t="s">
        <v>621</v>
      </c>
      <c r="BT251" s="503" t="str">
        <f>IF($G251="","",IF(AND($G251&gt;=30,$AT$3&lt;=BS$7),ROUND(BS251*($AP$3+#REF!),-1),""))</f>
        <v/>
      </c>
      <c r="BU251" s="517" t="e">
        <v>#REF!</v>
      </c>
      <c r="BV251" s="503" t="str">
        <f>IF($G251="","",IF(AND($G251&gt;=30,$AT$3&lt;=BU$7),ROUND(BU251*($AP$3+#REF!),-1),""))</f>
        <v/>
      </c>
      <c r="BW251" s="517"/>
      <c r="BX251" s="503" t="str">
        <f>IF($G251="","",IF(AND($G251&gt;=30,$AT$3&lt;=BW$7),ROUND(BW251*($AP$3+#REF!),-1),""))</f>
        <v/>
      </c>
      <c r="BY251" s="503"/>
      <c r="BZ251" s="503" t="str">
        <f>IF($G251="","",IF(AND($G251&gt;=30,$AT$3&lt;=BY$7),ROUND(BY251*($AP$3+#REF!),-1),""))</f>
        <v/>
      </c>
      <c r="CA251" s="502"/>
      <c r="CB251" s="503" t="str">
        <f>IF($G251="","",IF(AND($G251&gt;=30,$AT$3&lt;=CA$7),ROUND(CA251*($AP$3+#REF!),-1),""))</f>
        <v/>
      </c>
      <c r="CC251" s="503"/>
      <c r="CD251" s="503" t="str">
        <f>IF($G251="","",IF(AND($G251&gt;=30,$AT$3&lt;=CC$7),ROUND(CC251*($AP$3+#REF!),-1),""))</f>
        <v/>
      </c>
      <c r="CE251" s="502"/>
      <c r="CF251" s="503" t="str">
        <f>IF($G251="","",IF(AND($G251&gt;=30,$AT$3&lt;=CE$7),ROUND(CE251*($AP$3+#REF!),-1),""))</f>
        <v/>
      </c>
      <c r="CG251" s="503"/>
      <c r="CH251" s="503" t="str">
        <f>IF($G251="","",IF(AND($G251&gt;=30,$AT$3&lt;=CG$7),ROUND(CG251*($AP$3+#REF!),-1),""))</f>
        <v/>
      </c>
      <c r="CI251" s="502"/>
      <c r="CJ251" s="503" t="str">
        <f>IF($G251="","",IF(AND($G251&gt;=30,$AT$3&lt;=CI$7),ROUND(CI251*($AP$3+#REF!),-1),""))</f>
        <v/>
      </c>
      <c r="CK251" s="503"/>
      <c r="CL251" s="503" t="str">
        <f>IF($G251="","",IF(AND($G251&gt;=30,$AT$3&lt;=CK$7),ROUND(CK251*($AP$3+#REF!),-1),""))</f>
        <v/>
      </c>
      <c r="CM251" s="502"/>
      <c r="CN251" s="503" t="str">
        <f>IF($G251="","",IF(AND($G251&gt;=30,$AT$3&lt;=CM$7),ROUND(CM251*($AP$3+#REF!),-1),""))</f>
        <v/>
      </c>
      <c r="CO251" s="503"/>
      <c r="CP251" s="503" t="str">
        <f>IF($G251="","",IF(AND($G251&gt;=30,$AT$3&lt;=CO$7),ROUND(CO251*($AP$3+#REF!),-1),""))</f>
        <v/>
      </c>
      <c r="CQ251" s="502"/>
      <c r="CR251" s="503" t="str">
        <f>IF($G251="","",IF(AND($G251&gt;=30,$AT$3&lt;=CQ$7),ROUND(CQ251*($AP$3+#REF!),-1),""))</f>
        <v/>
      </c>
      <c r="CS251" s="503"/>
      <c r="CT251" s="503" t="str">
        <f>IF($G251="","",IF(AND($G251&gt;=30,$AT$3&lt;=CS$7),ROUND(CS251*($AP$3+#REF!),-1),""))</f>
        <v/>
      </c>
      <c r="CU251" s="502"/>
      <c r="CV251" s="503" t="str">
        <f>IF($G251="","",IF(AND($G251&gt;=30,$AT$3&lt;=CU$7),ROUND(CU251*($AP$3+#REF!),-1),""))</f>
        <v/>
      </c>
      <c r="CW251" s="503"/>
      <c r="CX251" s="503" t="str">
        <f>IF($G251="","",IF(AND($G251&gt;=30,$AT$3&lt;=CW$7),ROUND(CW251*($AP$3+#REF!),-1),""))</f>
        <v/>
      </c>
      <c r="CY251" s="502"/>
      <c r="CZ251" s="503" t="str">
        <f>IF($G251="","",IF(AND($G251&gt;=30,$AT$3&lt;=CY$7),ROUND(CY251*($AP$3+#REF!),-1),""))</f>
        <v/>
      </c>
      <c r="DA251" s="503"/>
      <c r="DB251" s="503" t="str">
        <f>IF($G251="","",IF(AND($G251&gt;=30,$AT$3&lt;=DA$7),ROUND(DA251*($AP$3+#REF!),-1),""))</f>
        <v/>
      </c>
      <c r="DC251" s="502"/>
      <c r="DD251" s="503" t="str">
        <f>IF($G251="","",IF(AND($G251&gt;=30,$AT$3&lt;=DC$7),ROUND(DC251*($AP$3+#REF!),-1),""))</f>
        <v/>
      </c>
      <c r="DE251" s="503"/>
      <c r="DF251" s="503" t="str">
        <f>IF($G251="","",IF(AND($G251&gt;=30,$AT$3&lt;=DE$7),ROUND(DE251*($AP$3+#REF!),-1),""))</f>
        <v/>
      </c>
      <c r="DG251" s="503"/>
      <c r="DH251" s="503" t="str">
        <f>IF($G251="","",IF(AND($G251&gt;=30,$AT$3&lt;=DG$7),ROUND(DG251*($AP$3+#REF!),-1),""))</f>
        <v/>
      </c>
      <c r="DI251" s="503"/>
      <c r="DJ251" s="503" t="str">
        <f>IF($G251="","",IF(AND($G251&gt;=30,$AT$3&lt;=DI$7),ROUND(DI251*($AP$3+#REF!),-1),""))</f>
        <v/>
      </c>
      <c r="DK251" s="503"/>
      <c r="DL251" s="503" t="str">
        <f>IF($G251="","",IF(AND($G251&gt;=30,$AT$3&lt;=DK$7),ROUND(DK251*($AP$3+#REF!),-1),""))</f>
        <v/>
      </c>
      <c r="DM251" s="503"/>
      <c r="DN251" s="503" t="str">
        <f>IF($G251="","",IF(AND($G251&gt;=30,$AT$3&lt;=DM$7),ROUND(DM251*($AP$3+#REF!),-1),""))</f>
        <v/>
      </c>
      <c r="DO251" s="503"/>
      <c r="DP251" s="503" t="str">
        <f>IF($G251="","",IF(AND($G251&gt;=30,$AT$3&lt;=DO$7),ROUND(DO251*($AP$3+#REF!),-1),""))</f>
        <v/>
      </c>
      <c r="DQ251" s="503"/>
      <c r="DR251" s="503" t="str">
        <f>IF($G251="","",IF(AND($G251&gt;=30,$AT$3&lt;=DQ$7),ROUND(DQ251*($AP$3+#REF!),-1),""))</f>
        <v/>
      </c>
      <c r="DS251" s="503"/>
      <c r="DT251" s="503" t="str">
        <f>IF($G251="","",IF(AND($G251&gt;=30,$AT$3&lt;=DS$7),ROUND(DS251*($AP$3+#REF!),-1),""))</f>
        <v/>
      </c>
      <c r="DU251" s="503"/>
      <c r="DV251" s="503" t="str">
        <f>IF($G251="","",IF(AND($G251&gt;=30,$AT$3&lt;=DU$7),ROUND(DU251*($AP$3+#REF!),-1),""))</f>
        <v/>
      </c>
      <c r="DW251" s="503"/>
      <c r="DX251" s="503" t="str">
        <f>IF($G251="","",IF(AND($G251&gt;=30,$AT$3&lt;=DW$7),ROUND(DW251*($AP$3+#REF!),-1),""))</f>
        <v/>
      </c>
      <c r="DY251" s="503"/>
      <c r="DZ251" s="503" t="str">
        <f>IF($G251="","",IF(AND($G251&gt;=30,$AT$3&lt;=DY$7),ROUND(DY251*($AP$3+#REF!),-1),""))</f>
        <v/>
      </c>
      <c r="EA251" s="503"/>
      <c r="EB251" s="503" t="str">
        <f>IF($G251="","",IF(AND($G251&gt;=30,$AT$3&lt;=EA$7),ROUND(EA251*($AP$3+#REF!),-1),""))</f>
        <v/>
      </c>
      <c r="EC251" s="504" t="s">
        <v>621</v>
      </c>
      <c r="ED251" s="1124"/>
      <c r="EE251" s="325">
        <v>3</v>
      </c>
    </row>
    <row r="252" spans="1:135" ht="9.75" customHeight="1">
      <c r="A252" s="321" t="str">
        <f t="shared" si="68"/>
        <v/>
      </c>
      <c r="B252" s="567">
        <f>(ii!$D$13*12+V252)+1</f>
        <v>146</v>
      </c>
      <c r="C252" s="337">
        <f t="shared" si="58"/>
        <v>49795</v>
      </c>
      <c r="D252" s="484">
        <f t="shared" si="61"/>
        <v>2036</v>
      </c>
      <c r="E252" s="484">
        <f t="shared" si="59"/>
        <v>0.33333333333333331</v>
      </c>
      <c r="F252" s="484">
        <f t="shared" si="62"/>
        <v>2036.3333333333333</v>
      </c>
      <c r="G252" s="485" t="str">
        <f>IF(OR(C252&lt;$I$2,C252&gt;$J$3),"",(ii!$D$13*12+V252+1)/12)</f>
        <v/>
      </c>
      <c r="H252" s="486"/>
      <c r="I252" s="486"/>
      <c r="J252" s="487"/>
      <c r="K252" s="488"/>
      <c r="L252" s="548"/>
      <c r="M252" s="489" t="str">
        <f t="shared" si="63"/>
        <v/>
      </c>
      <c r="N252" s="490" t="s">
        <v>621</v>
      </c>
      <c r="O252" s="490" t="str">
        <f t="shared" si="56"/>
        <v/>
      </c>
      <c r="P252" s="491"/>
      <c r="Q252" s="491"/>
      <c r="R252" s="491" t="str">
        <f t="shared" si="57"/>
        <v/>
      </c>
      <c r="S252" s="528" t="str">
        <f t="shared" si="55"/>
        <v/>
      </c>
      <c r="T252" s="528" t="str">
        <f t="shared" si="67"/>
        <v/>
      </c>
      <c r="U252" s="493" t="str">
        <f>IF(H252="","",#REF!*12+#REF!+#REF!*12+#REF!)</f>
        <v/>
      </c>
      <c r="V252" s="338">
        <f>IF(ii!$J$3&gt;gg!C252,"",IF(AND((YEAR(C252)=YEAR($I$2)),MONTH(C252)=MONTH($I$2)),ii!$B$14*12+ii!$C$14+ii!$B$15*12+ii!$C$15-1,V251+1))</f>
        <v>145</v>
      </c>
      <c r="W252" s="339">
        <f t="shared" si="60"/>
        <v>12.083333333333334</v>
      </c>
      <c r="X252" s="494" t="s">
        <v>621</v>
      </c>
      <c r="Y252" s="495" t="s">
        <v>621</v>
      </c>
      <c r="Z252" s="496"/>
      <c r="AA252" s="497"/>
      <c r="AB252" s="498" t="e">
        <f t="shared" si="66"/>
        <v>#VALUE!</v>
      </c>
      <c r="AC252" s="484" t="str">
        <f t="shared" si="64"/>
        <v/>
      </c>
      <c r="AD252" s="495" t="str">
        <f t="shared" si="65"/>
        <v/>
      </c>
      <c r="AE252" s="499" t="s">
        <v>621</v>
      </c>
      <c r="AF252" s="500" t="s">
        <v>621</v>
      </c>
      <c r="AG252" s="556" t="s">
        <v>621</v>
      </c>
      <c r="AH252" s="503" t="str">
        <f>IF($G252="","",IF(AND($G252&gt;=30,$AT$3&lt;=AG$7),ROUND(AG252*($AP$3+#REF!),-1),""))</f>
        <v/>
      </c>
      <c r="AI252" s="506" t="s">
        <v>621</v>
      </c>
      <c r="AJ252" s="503" t="str">
        <f>IF($G252="","",IF(AND($G252&gt;=30,$AT$3&lt;=AI$7),ROUND(AI252*($AP$3+#REF!),-1),""))</f>
        <v/>
      </c>
      <c r="AK252" s="506" t="s">
        <v>621</v>
      </c>
      <c r="AL252" s="503" t="str">
        <f>IF($G252="","",IF(AND($G252&gt;=30,$AT$3&lt;=AK$7),ROUND(AK252*($AP$3+#REF!),-1),""))</f>
        <v/>
      </c>
      <c r="AM252" s="506" t="s">
        <v>621</v>
      </c>
      <c r="AN252" s="503" t="str">
        <f>IF($G252="","",IF(AND($G252&gt;=30,$AT$3&lt;=AM$7),ROUND(AM252*($AP$3+#REF!),-1),""))</f>
        <v/>
      </c>
      <c r="AO252" s="503" t="e">
        <v>#REF!</v>
      </c>
      <c r="AP252" s="503" t="str">
        <f>IF($G252="","",IF(AND($G252&gt;=30,$AT$3&lt;=AO$7),ROUND(AO252*($AP$3+#REF!),-1),""))</f>
        <v/>
      </c>
      <c r="AQ252" s="503" t="s">
        <v>621</v>
      </c>
      <c r="AR252" s="503" t="str">
        <f>IF($G252="","",IF(AND($G252&gt;=30,$AT$3&lt;=AQ$7),ROUND(AQ252*($AP$3+#REF!),-1),""))</f>
        <v/>
      </c>
      <c r="AS252" s="503" t="s">
        <v>621</v>
      </c>
      <c r="AT252" s="503" t="str">
        <f>IF($G252="","",IF(AND($G252&gt;=30,$AT$3&lt;=AS$7),ROUND(AS252*($AP$3+#REF!),-1),""))</f>
        <v/>
      </c>
      <c r="AU252" s="503" t="s">
        <v>621</v>
      </c>
      <c r="AV252" s="503" t="str">
        <f>IF($G252="","",IF(AND($G252&gt;=30,$AT$3&lt;=AU$7),ROUND(AU252*($AP$3+#REF!),-1),""))</f>
        <v/>
      </c>
      <c r="AW252" s="503" t="s">
        <v>621</v>
      </c>
      <c r="AX252" s="503" t="str">
        <f>IF($G252="","",IF(AND($G252&gt;=30,$AT$3&lt;=AW$7),ROUND(AW252*($AP$3+#REF!),-1),""))</f>
        <v/>
      </c>
      <c r="AY252" s="503" t="s">
        <v>621</v>
      </c>
      <c r="AZ252" s="503" t="str">
        <f>IF($G252="","",IF(AND($G252&gt;=30,$AT$3&lt;=AY$7),ROUND(AY252*($AP$3+#REF!),-1),""))</f>
        <v/>
      </c>
      <c r="BA252" s="503" t="s">
        <v>621</v>
      </c>
      <c r="BB252" s="503" t="str">
        <f>IF($G252="","",IF(AND($G252&gt;=30,$AT$3&lt;=BA$7),ROUND(BA252*($AP$3+#REF!),-1),""))</f>
        <v/>
      </c>
      <c r="BC252" s="503" t="s">
        <v>621</v>
      </c>
      <c r="BD252" s="503" t="str">
        <f>IF($G252="","",IF(AND($G252&gt;=30,$AT$3&lt;=BC$7),ROUND(BC252*($AP$3+#REF!),-1),""))</f>
        <v/>
      </c>
      <c r="BE252" s="503" t="s">
        <v>621</v>
      </c>
      <c r="BF252" s="503" t="str">
        <f>IF($G252="","",IF(AND($G252&gt;=30,$AT$3&lt;=BE$7),ROUND(BE252*($AP$3+#REF!),-1),""))</f>
        <v/>
      </c>
      <c r="BG252" s="503" t="s">
        <v>621</v>
      </c>
      <c r="BH252" s="503" t="str">
        <f>IF($G252="","",IF(AND($G252&gt;=30,$AT$3&lt;=BG$7),ROUND(BG252*($AP$3+#REF!),-1),""))</f>
        <v/>
      </c>
      <c r="BI252" s="503" t="s">
        <v>621</v>
      </c>
      <c r="BJ252" s="503" t="str">
        <f>IF($G252="","",IF(AND($G252&gt;=30,$AT$3&lt;=BI$7),ROUND(BI252*($AP$3+#REF!),-1),""))</f>
        <v/>
      </c>
      <c r="BK252" s="503" t="s">
        <v>621</v>
      </c>
      <c r="BL252" s="503" t="str">
        <f>IF($G252="","",IF(AND($G252&gt;=30,$AT$3&lt;=BK$7),ROUND(BK252*($AP$3+#REF!),-1),""))</f>
        <v/>
      </c>
      <c r="BM252" s="503" t="s">
        <v>621</v>
      </c>
      <c r="BN252" s="503" t="str">
        <f>IF($G252="","",IF(AND($G252&gt;=30,$AT$3&lt;=BM$7),ROUND(BM252*($AP$3+#REF!),-1),""))</f>
        <v/>
      </c>
      <c r="BO252" s="503" t="s">
        <v>621</v>
      </c>
      <c r="BP252" s="503" t="str">
        <f>IF($G252="","",IF(AND($G252&gt;=30,$AT$3&lt;=BO$7),ROUND(BO252*($AP$3+#REF!),-1),""))</f>
        <v/>
      </c>
      <c r="BQ252" s="503" t="s">
        <v>621</v>
      </c>
      <c r="BR252" s="503" t="str">
        <f>IF($G252="","",IF(AND($G252&gt;=30,$AT$3&lt;=BQ$7),ROUND(BQ252*($AP$3+#REF!),-1),""))</f>
        <v/>
      </c>
      <c r="BS252" s="503" t="s">
        <v>621</v>
      </c>
      <c r="BT252" s="503" t="str">
        <f>IF($G252="","",IF(AND($G252&gt;=30,$AT$3&lt;=BS$7),ROUND(BS252*($AP$3+#REF!),-1),""))</f>
        <v/>
      </c>
      <c r="BU252" s="517" t="e">
        <v>#REF!</v>
      </c>
      <c r="BV252" s="503" t="str">
        <f>IF($G252="","",IF(AND($G252&gt;=30,$AT$3&lt;=BU$7),ROUND(BU252*($AP$3+#REF!),-1),""))</f>
        <v/>
      </c>
      <c r="BW252" s="517"/>
      <c r="BX252" s="503" t="str">
        <f>IF($G252="","",IF(AND($G252&gt;=30,$AT$3&lt;=BW$7),ROUND(BW252*($AP$3+#REF!),-1),""))</f>
        <v/>
      </c>
      <c r="BY252" s="503"/>
      <c r="BZ252" s="503" t="str">
        <f>IF($G252="","",IF(AND($G252&gt;=30,$AT$3&lt;=BY$7),ROUND(BY252*($AP$3+#REF!),-1),""))</f>
        <v/>
      </c>
      <c r="CA252" s="502"/>
      <c r="CB252" s="503" t="str">
        <f>IF($G252="","",IF(AND($G252&gt;=30,$AT$3&lt;=CA$7),ROUND(CA252*($AP$3+#REF!),-1),""))</f>
        <v/>
      </c>
      <c r="CC252" s="503"/>
      <c r="CD252" s="503" t="str">
        <f>IF($G252="","",IF(AND($G252&gt;=30,$AT$3&lt;=CC$7),ROUND(CC252*($AP$3+#REF!),-1),""))</f>
        <v/>
      </c>
      <c r="CE252" s="502"/>
      <c r="CF252" s="503" t="str">
        <f>IF($G252="","",IF(AND($G252&gt;=30,$AT$3&lt;=CE$7),ROUND(CE252*($AP$3+#REF!),-1),""))</f>
        <v/>
      </c>
      <c r="CG252" s="503"/>
      <c r="CH252" s="503" t="str">
        <f>IF($G252="","",IF(AND($G252&gt;=30,$AT$3&lt;=CG$7),ROUND(CG252*($AP$3+#REF!),-1),""))</f>
        <v/>
      </c>
      <c r="CI252" s="502"/>
      <c r="CJ252" s="503" t="str">
        <f>IF($G252="","",IF(AND($G252&gt;=30,$AT$3&lt;=CI$7),ROUND(CI252*($AP$3+#REF!),-1),""))</f>
        <v/>
      </c>
      <c r="CK252" s="503"/>
      <c r="CL252" s="503" t="str">
        <f>IF($G252="","",IF(AND($G252&gt;=30,$AT$3&lt;=CK$7),ROUND(CK252*($AP$3+#REF!),-1),""))</f>
        <v/>
      </c>
      <c r="CM252" s="502"/>
      <c r="CN252" s="503" t="str">
        <f>IF($G252="","",IF(AND($G252&gt;=30,$AT$3&lt;=CM$7),ROUND(CM252*($AP$3+#REF!),-1),""))</f>
        <v/>
      </c>
      <c r="CO252" s="503"/>
      <c r="CP252" s="503" t="str">
        <f>IF($G252="","",IF(AND($G252&gt;=30,$AT$3&lt;=CO$7),ROUND(CO252*($AP$3+#REF!),-1),""))</f>
        <v/>
      </c>
      <c r="CQ252" s="502"/>
      <c r="CR252" s="503" t="str">
        <f>IF($G252="","",IF(AND($G252&gt;=30,$AT$3&lt;=CQ$7),ROUND(CQ252*($AP$3+#REF!),-1),""))</f>
        <v/>
      </c>
      <c r="CS252" s="503"/>
      <c r="CT252" s="503" t="str">
        <f>IF($G252="","",IF(AND($G252&gt;=30,$AT$3&lt;=CS$7),ROUND(CS252*($AP$3+#REF!),-1),""))</f>
        <v/>
      </c>
      <c r="CU252" s="502"/>
      <c r="CV252" s="503" t="str">
        <f>IF($G252="","",IF(AND($G252&gt;=30,$AT$3&lt;=CU$7),ROUND(CU252*($AP$3+#REF!),-1),""))</f>
        <v/>
      </c>
      <c r="CW252" s="503"/>
      <c r="CX252" s="503" t="str">
        <f>IF($G252="","",IF(AND($G252&gt;=30,$AT$3&lt;=CW$7),ROUND(CW252*($AP$3+#REF!),-1),""))</f>
        <v/>
      </c>
      <c r="CY252" s="502"/>
      <c r="CZ252" s="503" t="str">
        <f>IF($G252="","",IF(AND($G252&gt;=30,$AT$3&lt;=CY$7),ROUND(CY252*($AP$3+#REF!),-1),""))</f>
        <v/>
      </c>
      <c r="DA252" s="503"/>
      <c r="DB252" s="503" t="str">
        <f>IF($G252="","",IF(AND($G252&gt;=30,$AT$3&lt;=DA$7),ROUND(DA252*($AP$3+#REF!),-1),""))</f>
        <v/>
      </c>
      <c r="DC252" s="502"/>
      <c r="DD252" s="503" t="str">
        <f>IF($G252="","",IF(AND($G252&gt;=30,$AT$3&lt;=DC$7),ROUND(DC252*($AP$3+#REF!),-1),""))</f>
        <v/>
      </c>
      <c r="DE252" s="503"/>
      <c r="DF252" s="503" t="str">
        <f>IF($G252="","",IF(AND($G252&gt;=30,$AT$3&lt;=DE$7),ROUND(DE252*($AP$3+#REF!),-1),""))</f>
        <v/>
      </c>
      <c r="DG252" s="503"/>
      <c r="DH252" s="503" t="str">
        <f>IF($G252="","",IF(AND($G252&gt;=30,$AT$3&lt;=DG$7),ROUND(DG252*($AP$3+#REF!),-1),""))</f>
        <v/>
      </c>
      <c r="DI252" s="503"/>
      <c r="DJ252" s="503" t="str">
        <f>IF($G252="","",IF(AND($G252&gt;=30,$AT$3&lt;=DI$7),ROUND(DI252*($AP$3+#REF!),-1),""))</f>
        <v/>
      </c>
      <c r="DK252" s="503"/>
      <c r="DL252" s="503" t="str">
        <f>IF($G252="","",IF(AND($G252&gt;=30,$AT$3&lt;=DK$7),ROUND(DK252*($AP$3+#REF!),-1),""))</f>
        <v/>
      </c>
      <c r="DM252" s="503"/>
      <c r="DN252" s="503" t="str">
        <f>IF($G252="","",IF(AND($G252&gt;=30,$AT$3&lt;=DM$7),ROUND(DM252*($AP$3+#REF!),-1),""))</f>
        <v/>
      </c>
      <c r="DO252" s="503"/>
      <c r="DP252" s="503" t="str">
        <f>IF($G252="","",IF(AND($G252&gt;=30,$AT$3&lt;=DO$7),ROUND(DO252*($AP$3+#REF!),-1),""))</f>
        <v/>
      </c>
      <c r="DQ252" s="503"/>
      <c r="DR252" s="503" t="str">
        <f>IF($G252="","",IF(AND($G252&gt;=30,$AT$3&lt;=DQ$7),ROUND(DQ252*($AP$3+#REF!),-1),""))</f>
        <v/>
      </c>
      <c r="DS252" s="503"/>
      <c r="DT252" s="503" t="str">
        <f>IF($G252="","",IF(AND($G252&gt;=30,$AT$3&lt;=DS$7),ROUND(DS252*($AP$3+#REF!),-1),""))</f>
        <v/>
      </c>
      <c r="DU252" s="503"/>
      <c r="DV252" s="503" t="str">
        <f>IF($G252="","",IF(AND($G252&gt;=30,$AT$3&lt;=DU$7),ROUND(DU252*($AP$3+#REF!),-1),""))</f>
        <v/>
      </c>
      <c r="DW252" s="503"/>
      <c r="DX252" s="503" t="str">
        <f>IF($G252="","",IF(AND($G252&gt;=30,$AT$3&lt;=DW$7),ROUND(DW252*($AP$3+#REF!),-1),""))</f>
        <v/>
      </c>
      <c r="DY252" s="503"/>
      <c r="DZ252" s="503" t="str">
        <f>IF($G252="","",IF(AND($G252&gt;=30,$AT$3&lt;=DY$7),ROUND(DY252*($AP$3+#REF!),-1),""))</f>
        <v/>
      </c>
      <c r="EA252" s="503"/>
      <c r="EB252" s="503" t="str">
        <f>IF($G252="","",IF(AND($G252&gt;=30,$AT$3&lt;=EA$7),ROUND(EA252*($AP$3+#REF!),-1),""))</f>
        <v/>
      </c>
      <c r="EC252" s="504" t="s">
        <v>621</v>
      </c>
      <c r="ED252" s="1124"/>
      <c r="EE252" s="325">
        <v>4</v>
      </c>
    </row>
    <row r="253" spans="1:135" ht="9.75" customHeight="1">
      <c r="A253" s="321" t="str">
        <f t="shared" si="68"/>
        <v/>
      </c>
      <c r="B253" s="567">
        <f>(ii!$D$13*12+V253)+1</f>
        <v>147</v>
      </c>
      <c r="C253" s="337">
        <f t="shared" si="58"/>
        <v>49826</v>
      </c>
      <c r="D253" s="484">
        <f t="shared" si="61"/>
        <v>2036</v>
      </c>
      <c r="E253" s="484">
        <f t="shared" si="59"/>
        <v>0.41666666666666669</v>
      </c>
      <c r="F253" s="484">
        <f t="shared" si="62"/>
        <v>2036.4166666666667</v>
      </c>
      <c r="G253" s="485" t="str">
        <f>IF(OR(C253&lt;$I$2,C253&gt;$J$3),"",(ii!$D$13*12+V253+1)/12)</f>
        <v/>
      </c>
      <c r="H253" s="486"/>
      <c r="I253" s="486"/>
      <c r="J253" s="507"/>
      <c r="K253" s="508"/>
      <c r="L253" s="548"/>
      <c r="M253" s="489" t="str">
        <f t="shared" si="63"/>
        <v/>
      </c>
      <c r="N253" s="490" t="s">
        <v>621</v>
      </c>
      <c r="O253" s="490" t="str">
        <f t="shared" si="56"/>
        <v/>
      </c>
      <c r="P253" s="507"/>
      <c r="Q253" s="507"/>
      <c r="R253" s="491" t="str">
        <f t="shared" si="57"/>
        <v/>
      </c>
      <c r="S253" s="528" t="str">
        <f t="shared" si="55"/>
        <v/>
      </c>
      <c r="T253" s="528" t="str">
        <f t="shared" si="67"/>
        <v/>
      </c>
      <c r="U253" s="493" t="str">
        <f>IF(H253="","",#REF!*12+#REF!+#REF!*12+#REF!)</f>
        <v/>
      </c>
      <c r="V253" s="338">
        <f>IF(ii!$J$3&gt;gg!C253,"",IF(AND((YEAR(C253)=YEAR($I$2)),MONTH(C253)=MONTH($I$2)),ii!$B$14*12+ii!$C$14+ii!$B$15*12+ii!$C$15-1,V252+1))</f>
        <v>146</v>
      </c>
      <c r="W253" s="339">
        <f t="shared" si="60"/>
        <v>12.166666666666666</v>
      </c>
      <c r="X253" s="494" t="s">
        <v>621</v>
      </c>
      <c r="Y253" s="495" t="s">
        <v>621</v>
      </c>
      <c r="Z253" s="496"/>
      <c r="AA253" s="497"/>
      <c r="AB253" s="498" t="e">
        <f t="shared" si="66"/>
        <v>#VALUE!</v>
      </c>
      <c r="AC253" s="484" t="str">
        <f t="shared" si="64"/>
        <v/>
      </c>
      <c r="AD253" s="495" t="str">
        <f t="shared" si="65"/>
        <v/>
      </c>
      <c r="AE253" s="499" t="s">
        <v>621</v>
      </c>
      <c r="AF253" s="500" t="s">
        <v>621</v>
      </c>
      <c r="AG253" s="556" t="s">
        <v>621</v>
      </c>
      <c r="AH253" s="503" t="str">
        <f>IF($G253="","",IF(AND($G253&gt;=30,$AT$3&lt;=AG$7),ROUND(AG253*($AP$3+#REF!),-1),""))</f>
        <v/>
      </c>
      <c r="AI253" s="506" t="s">
        <v>621</v>
      </c>
      <c r="AJ253" s="503" t="str">
        <f>IF($G253="","",IF(AND($G253&gt;=30,$AT$3&lt;=AI$7),ROUND(AI253*($AP$3+#REF!),-1),""))</f>
        <v/>
      </c>
      <c r="AK253" s="506" t="s">
        <v>621</v>
      </c>
      <c r="AL253" s="503" t="str">
        <f>IF($G253="","",IF(AND($G253&gt;=30,$AT$3&lt;=AK$7),ROUND(AK253*($AP$3+#REF!),-1),""))</f>
        <v/>
      </c>
      <c r="AM253" s="506" t="s">
        <v>621</v>
      </c>
      <c r="AN253" s="503" t="str">
        <f>IF($G253="","",IF(AND($G253&gt;=30,$AT$3&lt;=AM$7),ROUND(AM253*($AP$3+#REF!),-1),""))</f>
        <v/>
      </c>
      <c r="AO253" s="503" t="e">
        <v>#REF!</v>
      </c>
      <c r="AP253" s="503" t="str">
        <f>IF($G253="","",IF(AND($G253&gt;=30,$AT$3&lt;=AO$7),ROUND(AO253*($AP$3+#REF!),-1),""))</f>
        <v/>
      </c>
      <c r="AQ253" s="503" t="s">
        <v>621</v>
      </c>
      <c r="AR253" s="503" t="str">
        <f>IF($G253="","",IF(AND($G253&gt;=30,$AT$3&lt;=AQ$7),ROUND(AQ253*($AP$3+#REF!),-1),""))</f>
        <v/>
      </c>
      <c r="AS253" s="503" t="s">
        <v>621</v>
      </c>
      <c r="AT253" s="503" t="str">
        <f>IF($G253="","",IF(AND($G253&gt;=30,$AT$3&lt;=AS$7),ROUND(AS253*($AP$3+#REF!),-1),""))</f>
        <v/>
      </c>
      <c r="AU253" s="503" t="s">
        <v>621</v>
      </c>
      <c r="AV253" s="503" t="str">
        <f>IF($G253="","",IF(AND($G253&gt;=30,$AT$3&lt;=AU$7),ROUND(AU253*($AP$3+#REF!),-1),""))</f>
        <v/>
      </c>
      <c r="AW253" s="503" t="s">
        <v>621</v>
      </c>
      <c r="AX253" s="503" t="str">
        <f>IF($G253="","",IF(AND($G253&gt;=30,$AT$3&lt;=AW$7),ROUND(AW253*($AP$3+#REF!),-1),""))</f>
        <v/>
      </c>
      <c r="AY253" s="503" t="s">
        <v>621</v>
      </c>
      <c r="AZ253" s="503" t="str">
        <f>IF($G253="","",IF(AND($G253&gt;=30,$AT$3&lt;=AY$7),ROUND(AY253*($AP$3+#REF!),-1),""))</f>
        <v/>
      </c>
      <c r="BA253" s="503" t="s">
        <v>621</v>
      </c>
      <c r="BB253" s="503" t="str">
        <f>IF($G253="","",IF(AND($G253&gt;=30,$AT$3&lt;=BA$7),ROUND(BA253*($AP$3+#REF!),-1),""))</f>
        <v/>
      </c>
      <c r="BC253" s="503" t="s">
        <v>621</v>
      </c>
      <c r="BD253" s="503" t="str">
        <f>IF($G253="","",IF(AND($G253&gt;=30,$AT$3&lt;=BC$7),ROUND(BC253*($AP$3+#REF!),-1),""))</f>
        <v/>
      </c>
      <c r="BE253" s="503" t="s">
        <v>621</v>
      </c>
      <c r="BF253" s="503" t="str">
        <f>IF($G253="","",IF(AND($G253&gt;=30,$AT$3&lt;=BE$7),ROUND(BE253*($AP$3+#REF!),-1),""))</f>
        <v/>
      </c>
      <c r="BG253" s="503" t="s">
        <v>621</v>
      </c>
      <c r="BH253" s="503" t="str">
        <f>IF($G253="","",IF(AND($G253&gt;=30,$AT$3&lt;=BG$7),ROUND(BG253*($AP$3+#REF!),-1),""))</f>
        <v/>
      </c>
      <c r="BI253" s="503" t="s">
        <v>621</v>
      </c>
      <c r="BJ253" s="503" t="str">
        <f>IF($G253="","",IF(AND($G253&gt;=30,$AT$3&lt;=BI$7),ROUND(BI253*($AP$3+#REF!),-1),""))</f>
        <v/>
      </c>
      <c r="BK253" s="503" t="s">
        <v>621</v>
      </c>
      <c r="BL253" s="503" t="str">
        <f>IF($G253="","",IF(AND($G253&gt;=30,$AT$3&lt;=BK$7),ROUND(BK253*($AP$3+#REF!),-1),""))</f>
        <v/>
      </c>
      <c r="BM253" s="503" t="s">
        <v>621</v>
      </c>
      <c r="BN253" s="503" t="str">
        <f>IF($G253="","",IF(AND($G253&gt;=30,$AT$3&lt;=BM$7),ROUND(BM253*($AP$3+#REF!),-1),""))</f>
        <v/>
      </c>
      <c r="BO253" s="503" t="s">
        <v>621</v>
      </c>
      <c r="BP253" s="503" t="str">
        <f>IF($G253="","",IF(AND($G253&gt;=30,$AT$3&lt;=BO$7),ROUND(BO253*($AP$3+#REF!),-1),""))</f>
        <v/>
      </c>
      <c r="BQ253" s="503" t="s">
        <v>621</v>
      </c>
      <c r="BR253" s="503" t="str">
        <f>IF($G253="","",IF(AND($G253&gt;=30,$AT$3&lt;=BQ$7),ROUND(BQ253*($AP$3+#REF!),-1),""))</f>
        <v/>
      </c>
      <c r="BS253" s="503" t="s">
        <v>621</v>
      </c>
      <c r="BT253" s="503" t="str">
        <f>IF($G253="","",IF(AND($G253&gt;=30,$AT$3&lt;=BS$7),ROUND(BS253*($AP$3+#REF!),-1),""))</f>
        <v/>
      </c>
      <c r="BU253" s="517" t="e">
        <v>#REF!</v>
      </c>
      <c r="BV253" s="503" t="str">
        <f>IF($G253="","",IF(AND($G253&gt;=30,$AT$3&lt;=BU$7),ROUND(BU253*($AP$3+#REF!),-1),""))</f>
        <v/>
      </c>
      <c r="BW253" s="517"/>
      <c r="BX253" s="503" t="str">
        <f>IF($G253="","",IF(AND($G253&gt;=30,$AT$3&lt;=BW$7),ROUND(BW253*($AP$3+#REF!),-1),""))</f>
        <v/>
      </c>
      <c r="BY253" s="503"/>
      <c r="BZ253" s="503" t="str">
        <f>IF($G253="","",IF(AND($G253&gt;=30,$AT$3&lt;=BY$7),ROUND(BY253*($AP$3+#REF!),-1),""))</f>
        <v/>
      </c>
      <c r="CA253" s="502"/>
      <c r="CB253" s="503" t="str">
        <f>IF($G253="","",IF(AND($G253&gt;=30,$AT$3&lt;=CA$7),ROUND(CA253*($AP$3+#REF!),-1),""))</f>
        <v/>
      </c>
      <c r="CC253" s="503"/>
      <c r="CD253" s="503" t="str">
        <f>IF($G253="","",IF(AND($G253&gt;=30,$AT$3&lt;=CC$7),ROUND(CC253*($AP$3+#REF!),-1),""))</f>
        <v/>
      </c>
      <c r="CE253" s="502"/>
      <c r="CF253" s="503" t="str">
        <f>IF($G253="","",IF(AND($G253&gt;=30,$AT$3&lt;=CE$7),ROUND(CE253*($AP$3+#REF!),-1),""))</f>
        <v/>
      </c>
      <c r="CG253" s="503"/>
      <c r="CH253" s="503" t="str">
        <f>IF($G253="","",IF(AND($G253&gt;=30,$AT$3&lt;=CG$7),ROUND(CG253*($AP$3+#REF!),-1),""))</f>
        <v/>
      </c>
      <c r="CI253" s="502"/>
      <c r="CJ253" s="503" t="str">
        <f>IF($G253="","",IF(AND($G253&gt;=30,$AT$3&lt;=CI$7),ROUND(CI253*($AP$3+#REF!),-1),""))</f>
        <v/>
      </c>
      <c r="CK253" s="503"/>
      <c r="CL253" s="503" t="str">
        <f>IF($G253="","",IF(AND($G253&gt;=30,$AT$3&lt;=CK$7),ROUND(CK253*($AP$3+#REF!),-1),""))</f>
        <v/>
      </c>
      <c r="CM253" s="502"/>
      <c r="CN253" s="503" t="str">
        <f>IF($G253="","",IF(AND($G253&gt;=30,$AT$3&lt;=CM$7),ROUND(CM253*($AP$3+#REF!),-1),""))</f>
        <v/>
      </c>
      <c r="CO253" s="503"/>
      <c r="CP253" s="503" t="str">
        <f>IF($G253="","",IF(AND($G253&gt;=30,$AT$3&lt;=CO$7),ROUND(CO253*($AP$3+#REF!),-1),""))</f>
        <v/>
      </c>
      <c r="CQ253" s="502"/>
      <c r="CR253" s="503" t="str">
        <f>IF($G253="","",IF(AND($G253&gt;=30,$AT$3&lt;=CQ$7),ROUND(CQ253*($AP$3+#REF!),-1),""))</f>
        <v/>
      </c>
      <c r="CS253" s="503"/>
      <c r="CT253" s="503" t="str">
        <f>IF($G253="","",IF(AND($G253&gt;=30,$AT$3&lt;=CS$7),ROUND(CS253*($AP$3+#REF!),-1),""))</f>
        <v/>
      </c>
      <c r="CU253" s="502"/>
      <c r="CV253" s="503" t="str">
        <f>IF($G253="","",IF(AND($G253&gt;=30,$AT$3&lt;=CU$7),ROUND(CU253*($AP$3+#REF!),-1),""))</f>
        <v/>
      </c>
      <c r="CW253" s="503"/>
      <c r="CX253" s="503" t="str">
        <f>IF($G253="","",IF(AND($G253&gt;=30,$AT$3&lt;=CW$7),ROUND(CW253*($AP$3+#REF!),-1),""))</f>
        <v/>
      </c>
      <c r="CY253" s="502"/>
      <c r="CZ253" s="503" t="str">
        <f>IF($G253="","",IF(AND($G253&gt;=30,$AT$3&lt;=CY$7),ROUND(CY253*($AP$3+#REF!),-1),""))</f>
        <v/>
      </c>
      <c r="DA253" s="503"/>
      <c r="DB253" s="503" t="str">
        <f>IF($G253="","",IF(AND($G253&gt;=30,$AT$3&lt;=DA$7),ROUND(DA253*($AP$3+#REF!),-1),""))</f>
        <v/>
      </c>
      <c r="DC253" s="502"/>
      <c r="DD253" s="503" t="str">
        <f>IF($G253="","",IF(AND($G253&gt;=30,$AT$3&lt;=DC$7),ROUND(DC253*($AP$3+#REF!),-1),""))</f>
        <v/>
      </c>
      <c r="DE253" s="503"/>
      <c r="DF253" s="503" t="str">
        <f>IF($G253="","",IF(AND($G253&gt;=30,$AT$3&lt;=DE$7),ROUND(DE253*($AP$3+#REF!),-1),""))</f>
        <v/>
      </c>
      <c r="DG253" s="503"/>
      <c r="DH253" s="503" t="str">
        <f>IF($G253="","",IF(AND($G253&gt;=30,$AT$3&lt;=DG$7),ROUND(DG253*($AP$3+#REF!),-1),""))</f>
        <v/>
      </c>
      <c r="DI253" s="503"/>
      <c r="DJ253" s="503" t="str">
        <f>IF($G253="","",IF(AND($G253&gt;=30,$AT$3&lt;=DI$7),ROUND(DI253*($AP$3+#REF!),-1),""))</f>
        <v/>
      </c>
      <c r="DK253" s="503"/>
      <c r="DL253" s="503" t="str">
        <f>IF($G253="","",IF(AND($G253&gt;=30,$AT$3&lt;=DK$7),ROUND(DK253*($AP$3+#REF!),-1),""))</f>
        <v/>
      </c>
      <c r="DM253" s="503"/>
      <c r="DN253" s="503" t="str">
        <f>IF($G253="","",IF(AND($G253&gt;=30,$AT$3&lt;=DM$7),ROUND(DM253*($AP$3+#REF!),-1),""))</f>
        <v/>
      </c>
      <c r="DO253" s="503"/>
      <c r="DP253" s="503" t="str">
        <f>IF($G253="","",IF(AND($G253&gt;=30,$AT$3&lt;=DO$7),ROUND(DO253*($AP$3+#REF!),-1),""))</f>
        <v/>
      </c>
      <c r="DQ253" s="503"/>
      <c r="DR253" s="503" t="str">
        <f>IF($G253="","",IF(AND($G253&gt;=30,$AT$3&lt;=DQ$7),ROUND(DQ253*($AP$3+#REF!),-1),""))</f>
        <v/>
      </c>
      <c r="DS253" s="503"/>
      <c r="DT253" s="503" t="str">
        <f>IF($G253="","",IF(AND($G253&gt;=30,$AT$3&lt;=DS$7),ROUND(DS253*($AP$3+#REF!),-1),""))</f>
        <v/>
      </c>
      <c r="DU253" s="503"/>
      <c r="DV253" s="503" t="str">
        <f>IF($G253="","",IF(AND($G253&gt;=30,$AT$3&lt;=DU$7),ROUND(DU253*($AP$3+#REF!),-1),""))</f>
        <v/>
      </c>
      <c r="DW253" s="503"/>
      <c r="DX253" s="503" t="str">
        <f>IF($G253="","",IF(AND($G253&gt;=30,$AT$3&lt;=DW$7),ROUND(DW253*($AP$3+#REF!),-1),""))</f>
        <v/>
      </c>
      <c r="DY253" s="503"/>
      <c r="DZ253" s="503" t="str">
        <f>IF($G253="","",IF(AND($G253&gt;=30,$AT$3&lt;=DY$7),ROUND(DY253*($AP$3+#REF!),-1),""))</f>
        <v/>
      </c>
      <c r="EA253" s="503"/>
      <c r="EB253" s="503" t="str">
        <f>IF($G253="","",IF(AND($G253&gt;=30,$AT$3&lt;=EA$7),ROUND(EA253*($AP$3+#REF!),-1),""))</f>
        <v/>
      </c>
      <c r="EC253" s="504" t="s">
        <v>621</v>
      </c>
      <c r="ED253" s="1124"/>
      <c r="EE253" s="325">
        <v>5</v>
      </c>
    </row>
    <row r="254" spans="1:135" ht="9.75" customHeight="1">
      <c r="A254" s="321" t="str">
        <f t="shared" si="68"/>
        <v/>
      </c>
      <c r="B254" s="567">
        <f>(ii!$D$13*12+V254)+1</f>
        <v>148</v>
      </c>
      <c r="C254" s="337">
        <f t="shared" si="58"/>
        <v>49856</v>
      </c>
      <c r="D254" s="484">
        <f t="shared" si="61"/>
        <v>2036</v>
      </c>
      <c r="E254" s="484">
        <f t="shared" si="59"/>
        <v>0.5</v>
      </c>
      <c r="F254" s="484">
        <f t="shared" si="62"/>
        <v>2036.5</v>
      </c>
      <c r="G254" s="485" t="str">
        <f>IF(OR(C254&lt;$I$2,C254&gt;$J$3),"",(ii!$D$13*12+V254+1)/12)</f>
        <v/>
      </c>
      <c r="H254" s="486"/>
      <c r="I254" s="486"/>
      <c r="J254" s="487"/>
      <c r="K254" s="488"/>
      <c r="L254" s="548"/>
      <c r="M254" s="489" t="str">
        <f t="shared" si="63"/>
        <v/>
      </c>
      <c r="N254" s="490" t="s">
        <v>621</v>
      </c>
      <c r="O254" s="490" t="str">
        <f t="shared" si="56"/>
        <v/>
      </c>
      <c r="P254" s="491"/>
      <c r="Q254" s="491"/>
      <c r="R254" s="491" t="str">
        <f t="shared" si="57"/>
        <v/>
      </c>
      <c r="S254" s="528" t="str">
        <f t="shared" si="55"/>
        <v/>
      </c>
      <c r="T254" s="528" t="str">
        <f t="shared" si="67"/>
        <v/>
      </c>
      <c r="U254" s="493" t="str">
        <f>IF(H254="","",#REF!*12+#REF!+#REF!*12+#REF!)</f>
        <v/>
      </c>
      <c r="V254" s="338">
        <f>IF(ii!$J$3&gt;gg!C254,"",IF(AND((YEAR(C254)=YEAR($I$2)),MONTH(C254)=MONTH($I$2)),ii!$B$14*12+ii!$C$14+ii!$B$15*12+ii!$C$15-1,V253+1))</f>
        <v>147</v>
      </c>
      <c r="W254" s="339">
        <f t="shared" si="60"/>
        <v>12.25</v>
      </c>
      <c r="X254" s="494" t="s">
        <v>621</v>
      </c>
      <c r="Y254" s="495" t="s">
        <v>621</v>
      </c>
      <c r="Z254" s="496"/>
      <c r="AA254" s="497"/>
      <c r="AB254" s="498" t="e">
        <f t="shared" si="66"/>
        <v>#VALUE!</v>
      </c>
      <c r="AC254" s="484" t="str">
        <f t="shared" si="64"/>
        <v/>
      </c>
      <c r="AD254" s="495" t="str">
        <f t="shared" si="65"/>
        <v/>
      </c>
      <c r="AE254" s="499" t="s">
        <v>621</v>
      </c>
      <c r="AF254" s="500" t="s">
        <v>621</v>
      </c>
      <c r="AG254" s="556" t="s">
        <v>621</v>
      </c>
      <c r="AH254" s="503" t="str">
        <f>IF($G254="","",IF(AND($G254&gt;=30,$AT$3&lt;=AG$7),ROUND(AG254*($AP$3+#REF!),-1),""))</f>
        <v/>
      </c>
      <c r="AI254" s="506" t="s">
        <v>621</v>
      </c>
      <c r="AJ254" s="503" t="str">
        <f>IF($G254="","",IF(AND($G254&gt;=30,$AT$3&lt;=AI$7),ROUND(AI254*($AP$3+#REF!),-1),""))</f>
        <v/>
      </c>
      <c r="AK254" s="506" t="s">
        <v>621</v>
      </c>
      <c r="AL254" s="503" t="str">
        <f>IF($G254="","",IF(AND($G254&gt;=30,$AT$3&lt;=AK$7),ROUND(AK254*($AP$3+#REF!),-1),""))</f>
        <v/>
      </c>
      <c r="AM254" s="506" t="s">
        <v>621</v>
      </c>
      <c r="AN254" s="503" t="str">
        <f>IF($G254="","",IF(AND($G254&gt;=30,$AT$3&lt;=AM$7),ROUND(AM254*($AP$3+#REF!),-1),""))</f>
        <v/>
      </c>
      <c r="AO254" s="503" t="e">
        <v>#REF!</v>
      </c>
      <c r="AP254" s="503" t="str">
        <f>IF($G254="","",IF(AND($G254&gt;=30,$AT$3&lt;=AO$7),ROUND(AO254*($AP$3+#REF!),-1),""))</f>
        <v/>
      </c>
      <c r="AQ254" s="503" t="s">
        <v>621</v>
      </c>
      <c r="AR254" s="503" t="str">
        <f>IF($G254="","",IF(AND($G254&gt;=30,$AT$3&lt;=AQ$7),ROUND(AQ254*($AP$3+#REF!),-1),""))</f>
        <v/>
      </c>
      <c r="AS254" s="503" t="s">
        <v>621</v>
      </c>
      <c r="AT254" s="503" t="str">
        <f>IF($G254="","",IF(AND($G254&gt;=30,$AT$3&lt;=AS$7),ROUND(AS254*($AP$3+#REF!),-1),""))</f>
        <v/>
      </c>
      <c r="AU254" s="503" t="s">
        <v>621</v>
      </c>
      <c r="AV254" s="503" t="str">
        <f>IF($G254="","",IF(AND($G254&gt;=30,$AT$3&lt;=AU$7),ROUND(AU254*($AP$3+#REF!),-1),""))</f>
        <v/>
      </c>
      <c r="AW254" s="503" t="s">
        <v>621</v>
      </c>
      <c r="AX254" s="503" t="str">
        <f>IF($G254="","",IF(AND($G254&gt;=30,$AT$3&lt;=AW$7),ROUND(AW254*($AP$3+#REF!),-1),""))</f>
        <v/>
      </c>
      <c r="AY254" s="503" t="s">
        <v>621</v>
      </c>
      <c r="AZ254" s="503" t="str">
        <f>IF($G254="","",IF(AND($G254&gt;=30,$AT$3&lt;=AY$7),ROUND(AY254*($AP$3+#REF!),-1),""))</f>
        <v/>
      </c>
      <c r="BA254" s="503" t="s">
        <v>621</v>
      </c>
      <c r="BB254" s="503" t="str">
        <f>IF($G254="","",IF(AND($G254&gt;=30,$AT$3&lt;=BA$7),ROUND(BA254*($AP$3+#REF!),-1),""))</f>
        <v/>
      </c>
      <c r="BC254" s="503" t="s">
        <v>621</v>
      </c>
      <c r="BD254" s="503" t="str">
        <f>IF($G254="","",IF(AND($G254&gt;=30,$AT$3&lt;=BC$7),ROUND(BC254*($AP$3+#REF!),-1),""))</f>
        <v/>
      </c>
      <c r="BE254" s="503" t="s">
        <v>621</v>
      </c>
      <c r="BF254" s="503" t="str">
        <f>IF($G254="","",IF(AND($G254&gt;=30,$AT$3&lt;=BE$7),ROUND(BE254*($AP$3+#REF!),-1),""))</f>
        <v/>
      </c>
      <c r="BG254" s="503" t="s">
        <v>621</v>
      </c>
      <c r="BH254" s="503" t="str">
        <f>IF($G254="","",IF(AND($G254&gt;=30,$AT$3&lt;=BG$7),ROUND(BG254*($AP$3+#REF!),-1),""))</f>
        <v/>
      </c>
      <c r="BI254" s="503" t="s">
        <v>621</v>
      </c>
      <c r="BJ254" s="503" t="str">
        <f>IF($G254="","",IF(AND($G254&gt;=30,$AT$3&lt;=BI$7),ROUND(BI254*($AP$3+#REF!),-1),""))</f>
        <v/>
      </c>
      <c r="BK254" s="503" t="s">
        <v>621</v>
      </c>
      <c r="BL254" s="503" t="str">
        <f>IF($G254="","",IF(AND($G254&gt;=30,$AT$3&lt;=BK$7),ROUND(BK254*($AP$3+#REF!),-1),""))</f>
        <v/>
      </c>
      <c r="BM254" s="503" t="s">
        <v>621</v>
      </c>
      <c r="BN254" s="503" t="str">
        <f>IF($G254="","",IF(AND($G254&gt;=30,$AT$3&lt;=BM$7),ROUND(BM254*($AP$3+#REF!),-1),""))</f>
        <v/>
      </c>
      <c r="BO254" s="503" t="s">
        <v>621</v>
      </c>
      <c r="BP254" s="503" t="str">
        <f>IF($G254="","",IF(AND($G254&gt;=30,$AT$3&lt;=BO$7),ROUND(BO254*($AP$3+#REF!),-1),""))</f>
        <v/>
      </c>
      <c r="BQ254" s="503" t="s">
        <v>621</v>
      </c>
      <c r="BR254" s="503" t="str">
        <f>IF($G254="","",IF(AND($G254&gt;=30,$AT$3&lt;=BQ$7),ROUND(BQ254*($AP$3+#REF!),-1),""))</f>
        <v/>
      </c>
      <c r="BS254" s="503" t="s">
        <v>621</v>
      </c>
      <c r="BT254" s="503" t="str">
        <f>IF($G254="","",IF(AND($G254&gt;=30,$AT$3&lt;=BS$7),ROUND(BS254*($AP$3+#REF!),-1),""))</f>
        <v/>
      </c>
      <c r="BU254" s="517" t="e">
        <v>#REF!</v>
      </c>
      <c r="BV254" s="503" t="str">
        <f>IF($G254="","",IF(AND($G254&gt;=30,$AT$3&lt;=BU$7),ROUND(BU254*($AP$3+#REF!),-1),""))</f>
        <v/>
      </c>
      <c r="BW254" s="517"/>
      <c r="BX254" s="503" t="str">
        <f>IF($G254="","",IF(AND($G254&gt;=30,$AT$3&lt;=BW$7),ROUND(BW254*($AP$3+#REF!),-1),""))</f>
        <v/>
      </c>
      <c r="BY254" s="503"/>
      <c r="BZ254" s="503" t="str">
        <f>IF($G254="","",IF(AND($G254&gt;=30,$AT$3&lt;=BY$7),ROUND(BY254*($AP$3+#REF!),-1),""))</f>
        <v/>
      </c>
      <c r="CA254" s="502"/>
      <c r="CB254" s="503" t="str">
        <f>IF($G254="","",IF(AND($G254&gt;=30,$AT$3&lt;=CA$7),ROUND(CA254*($AP$3+#REF!),-1),""))</f>
        <v/>
      </c>
      <c r="CC254" s="503"/>
      <c r="CD254" s="503" t="str">
        <f>IF($G254="","",IF(AND($G254&gt;=30,$AT$3&lt;=CC$7),ROUND(CC254*($AP$3+#REF!),-1),""))</f>
        <v/>
      </c>
      <c r="CE254" s="502"/>
      <c r="CF254" s="503" t="str">
        <f>IF($G254="","",IF(AND($G254&gt;=30,$AT$3&lt;=CE$7),ROUND(CE254*($AP$3+#REF!),-1),""))</f>
        <v/>
      </c>
      <c r="CG254" s="503"/>
      <c r="CH254" s="503" t="str">
        <f>IF($G254="","",IF(AND($G254&gt;=30,$AT$3&lt;=CG$7),ROUND(CG254*($AP$3+#REF!),-1),""))</f>
        <v/>
      </c>
      <c r="CI254" s="502"/>
      <c r="CJ254" s="503" t="str">
        <f>IF($G254="","",IF(AND($G254&gt;=30,$AT$3&lt;=CI$7),ROUND(CI254*($AP$3+#REF!),-1),""))</f>
        <v/>
      </c>
      <c r="CK254" s="503"/>
      <c r="CL254" s="503" t="str">
        <f>IF($G254="","",IF(AND($G254&gt;=30,$AT$3&lt;=CK$7),ROUND(CK254*($AP$3+#REF!),-1),""))</f>
        <v/>
      </c>
      <c r="CM254" s="502"/>
      <c r="CN254" s="503" t="str">
        <f>IF($G254="","",IF(AND($G254&gt;=30,$AT$3&lt;=CM$7),ROUND(CM254*($AP$3+#REF!),-1),""))</f>
        <v/>
      </c>
      <c r="CO254" s="503"/>
      <c r="CP254" s="503" t="str">
        <f>IF($G254="","",IF(AND($G254&gt;=30,$AT$3&lt;=CO$7),ROUND(CO254*($AP$3+#REF!),-1),""))</f>
        <v/>
      </c>
      <c r="CQ254" s="502"/>
      <c r="CR254" s="503" t="str">
        <f>IF($G254="","",IF(AND($G254&gt;=30,$AT$3&lt;=CQ$7),ROUND(CQ254*($AP$3+#REF!),-1),""))</f>
        <v/>
      </c>
      <c r="CS254" s="503"/>
      <c r="CT254" s="503" t="str">
        <f>IF($G254="","",IF(AND($G254&gt;=30,$AT$3&lt;=CS$7),ROUND(CS254*($AP$3+#REF!),-1),""))</f>
        <v/>
      </c>
      <c r="CU254" s="502"/>
      <c r="CV254" s="503" t="str">
        <f>IF($G254="","",IF(AND($G254&gt;=30,$AT$3&lt;=CU$7),ROUND(CU254*($AP$3+#REF!),-1),""))</f>
        <v/>
      </c>
      <c r="CW254" s="503"/>
      <c r="CX254" s="503" t="str">
        <f>IF($G254="","",IF(AND($G254&gt;=30,$AT$3&lt;=CW$7),ROUND(CW254*($AP$3+#REF!),-1),""))</f>
        <v/>
      </c>
      <c r="CY254" s="502"/>
      <c r="CZ254" s="503" t="str">
        <f>IF($G254="","",IF(AND($G254&gt;=30,$AT$3&lt;=CY$7),ROUND(CY254*($AP$3+#REF!),-1),""))</f>
        <v/>
      </c>
      <c r="DA254" s="503"/>
      <c r="DB254" s="503" t="str">
        <f>IF($G254="","",IF(AND($G254&gt;=30,$AT$3&lt;=DA$7),ROUND(DA254*($AP$3+#REF!),-1),""))</f>
        <v/>
      </c>
      <c r="DC254" s="502"/>
      <c r="DD254" s="503" t="str">
        <f>IF($G254="","",IF(AND($G254&gt;=30,$AT$3&lt;=DC$7),ROUND(DC254*($AP$3+#REF!),-1),""))</f>
        <v/>
      </c>
      <c r="DE254" s="503"/>
      <c r="DF254" s="503" t="str">
        <f>IF($G254="","",IF(AND($G254&gt;=30,$AT$3&lt;=DE$7),ROUND(DE254*($AP$3+#REF!),-1),""))</f>
        <v/>
      </c>
      <c r="DG254" s="503"/>
      <c r="DH254" s="503" t="str">
        <f>IF($G254="","",IF(AND($G254&gt;=30,$AT$3&lt;=DG$7),ROUND(DG254*($AP$3+#REF!),-1),""))</f>
        <v/>
      </c>
      <c r="DI254" s="503"/>
      <c r="DJ254" s="503" t="str">
        <f>IF($G254="","",IF(AND($G254&gt;=30,$AT$3&lt;=DI$7),ROUND(DI254*($AP$3+#REF!),-1),""))</f>
        <v/>
      </c>
      <c r="DK254" s="503"/>
      <c r="DL254" s="503" t="str">
        <f>IF($G254="","",IF(AND($G254&gt;=30,$AT$3&lt;=DK$7),ROUND(DK254*($AP$3+#REF!),-1),""))</f>
        <v/>
      </c>
      <c r="DM254" s="503"/>
      <c r="DN254" s="503" t="str">
        <f>IF($G254="","",IF(AND($G254&gt;=30,$AT$3&lt;=DM$7),ROUND(DM254*($AP$3+#REF!),-1),""))</f>
        <v/>
      </c>
      <c r="DO254" s="503"/>
      <c r="DP254" s="503" t="str">
        <f>IF($G254="","",IF(AND($G254&gt;=30,$AT$3&lt;=DO$7),ROUND(DO254*($AP$3+#REF!),-1),""))</f>
        <v/>
      </c>
      <c r="DQ254" s="503"/>
      <c r="DR254" s="503" t="str">
        <f>IF($G254="","",IF(AND($G254&gt;=30,$AT$3&lt;=DQ$7),ROUND(DQ254*($AP$3+#REF!),-1),""))</f>
        <v/>
      </c>
      <c r="DS254" s="503"/>
      <c r="DT254" s="503" t="str">
        <f>IF($G254="","",IF(AND($G254&gt;=30,$AT$3&lt;=DS$7),ROUND(DS254*($AP$3+#REF!),-1),""))</f>
        <v/>
      </c>
      <c r="DU254" s="503"/>
      <c r="DV254" s="503" t="str">
        <f>IF($G254="","",IF(AND($G254&gt;=30,$AT$3&lt;=DU$7),ROUND(DU254*($AP$3+#REF!),-1),""))</f>
        <v/>
      </c>
      <c r="DW254" s="503"/>
      <c r="DX254" s="503" t="str">
        <f>IF($G254="","",IF(AND($G254&gt;=30,$AT$3&lt;=DW$7),ROUND(DW254*($AP$3+#REF!),-1),""))</f>
        <v/>
      </c>
      <c r="DY254" s="503"/>
      <c r="DZ254" s="503" t="str">
        <f>IF($G254="","",IF(AND($G254&gt;=30,$AT$3&lt;=DY$7),ROUND(DY254*($AP$3+#REF!),-1),""))</f>
        <v/>
      </c>
      <c r="EA254" s="503"/>
      <c r="EB254" s="503" t="str">
        <f>IF($G254="","",IF(AND($G254&gt;=30,$AT$3&lt;=EA$7),ROUND(EA254*($AP$3+#REF!),-1),""))</f>
        <v/>
      </c>
      <c r="EC254" s="504" t="s">
        <v>621</v>
      </c>
      <c r="ED254" s="1124"/>
      <c r="EE254" s="325">
        <v>6</v>
      </c>
    </row>
    <row r="255" spans="1:135" ht="9.75" customHeight="1">
      <c r="A255" s="321" t="str">
        <f t="shared" si="68"/>
        <v/>
      </c>
      <c r="B255" s="567">
        <f>(ii!$D$13*12+V255)+1</f>
        <v>149</v>
      </c>
      <c r="C255" s="337">
        <f t="shared" si="58"/>
        <v>49887</v>
      </c>
      <c r="D255" s="484">
        <f t="shared" si="61"/>
        <v>2036</v>
      </c>
      <c r="E255" s="484">
        <f t="shared" si="59"/>
        <v>0.58333333333333337</v>
      </c>
      <c r="F255" s="484">
        <f t="shared" si="62"/>
        <v>2036.5833333333333</v>
      </c>
      <c r="G255" s="485" t="str">
        <f>IF(OR(C255&lt;$I$2,C255&gt;$J$3),"",(ii!$D$13*12+V255+1)/12)</f>
        <v/>
      </c>
      <c r="H255" s="486"/>
      <c r="I255" s="486"/>
      <c r="J255" s="487"/>
      <c r="K255" s="488"/>
      <c r="L255" s="548"/>
      <c r="M255" s="489" t="str">
        <f t="shared" si="63"/>
        <v/>
      </c>
      <c r="N255" s="490" t="s">
        <v>621</v>
      </c>
      <c r="O255" s="490" t="str">
        <f t="shared" si="56"/>
        <v/>
      </c>
      <c r="P255" s="491"/>
      <c r="Q255" s="491"/>
      <c r="R255" s="491" t="str">
        <f t="shared" si="57"/>
        <v/>
      </c>
      <c r="S255" s="528" t="str">
        <f t="shared" si="55"/>
        <v/>
      </c>
      <c r="T255" s="528" t="str">
        <f t="shared" si="67"/>
        <v/>
      </c>
      <c r="U255" s="493" t="str">
        <f>IF(H255="","",#REF!*12+#REF!+#REF!*12+#REF!)</f>
        <v/>
      </c>
      <c r="V255" s="338">
        <f>IF(ii!$J$3&gt;gg!C255,"",IF(AND((YEAR(C255)=YEAR($I$2)),MONTH(C255)=MONTH($I$2)),ii!$B$14*12+ii!$C$14+ii!$B$15*12+ii!$C$15-1,V254+1))</f>
        <v>148</v>
      </c>
      <c r="W255" s="339">
        <f t="shared" si="60"/>
        <v>12.333333333333334</v>
      </c>
      <c r="X255" s="494" t="s">
        <v>621</v>
      </c>
      <c r="Y255" s="495" t="s">
        <v>621</v>
      </c>
      <c r="Z255" s="496"/>
      <c r="AA255" s="497"/>
      <c r="AB255" s="498" t="e">
        <f t="shared" si="66"/>
        <v>#VALUE!</v>
      </c>
      <c r="AC255" s="484" t="str">
        <f t="shared" si="64"/>
        <v/>
      </c>
      <c r="AD255" s="495" t="str">
        <f t="shared" si="65"/>
        <v/>
      </c>
      <c r="AE255" s="499" t="s">
        <v>621</v>
      </c>
      <c r="AF255" s="500" t="s">
        <v>621</v>
      </c>
      <c r="AG255" s="556" t="s">
        <v>621</v>
      </c>
      <c r="AH255" s="503" t="str">
        <f>IF($G255="","",IF(AND($G255&gt;=30,$AT$3&lt;=AG$7),ROUND(AG255*($AP$3+#REF!),-1),""))</f>
        <v/>
      </c>
      <c r="AI255" s="506" t="s">
        <v>621</v>
      </c>
      <c r="AJ255" s="503" t="str">
        <f>IF($G255="","",IF(AND($G255&gt;=30,$AT$3&lt;=AI$7),ROUND(AI255*($AP$3+#REF!),-1),""))</f>
        <v/>
      </c>
      <c r="AK255" s="506" t="s">
        <v>621</v>
      </c>
      <c r="AL255" s="503" t="str">
        <f>IF($G255="","",IF(AND($G255&gt;=30,$AT$3&lt;=AK$7),ROUND(AK255*($AP$3+#REF!),-1),""))</f>
        <v/>
      </c>
      <c r="AM255" s="506" t="s">
        <v>621</v>
      </c>
      <c r="AN255" s="503" t="str">
        <f>IF($G255="","",IF(AND($G255&gt;=30,$AT$3&lt;=AM$7),ROUND(AM255*($AP$3+#REF!),-1),""))</f>
        <v/>
      </c>
      <c r="AO255" s="503" t="e">
        <v>#REF!</v>
      </c>
      <c r="AP255" s="503" t="str">
        <f>IF($G255="","",IF(AND($G255&gt;=30,$AT$3&lt;=AO$7),ROUND(AO255*($AP$3+#REF!),-1),""))</f>
        <v/>
      </c>
      <c r="AQ255" s="503" t="s">
        <v>621</v>
      </c>
      <c r="AR255" s="503" t="str">
        <f>IF($G255="","",IF(AND($G255&gt;=30,$AT$3&lt;=AQ$7),ROUND(AQ255*($AP$3+#REF!),-1),""))</f>
        <v/>
      </c>
      <c r="AS255" s="503" t="s">
        <v>621</v>
      </c>
      <c r="AT255" s="503" t="str">
        <f>IF($G255="","",IF(AND($G255&gt;=30,$AT$3&lt;=AS$7),ROUND(AS255*($AP$3+#REF!),-1),""))</f>
        <v/>
      </c>
      <c r="AU255" s="503" t="s">
        <v>621</v>
      </c>
      <c r="AV255" s="503" t="str">
        <f>IF($G255="","",IF(AND($G255&gt;=30,$AT$3&lt;=AU$7),ROUND(AU255*($AP$3+#REF!),-1),""))</f>
        <v/>
      </c>
      <c r="AW255" s="503" t="s">
        <v>621</v>
      </c>
      <c r="AX255" s="503" t="str">
        <f>IF($G255="","",IF(AND($G255&gt;=30,$AT$3&lt;=AW$7),ROUND(AW255*($AP$3+#REF!),-1),""))</f>
        <v/>
      </c>
      <c r="AY255" s="503" t="s">
        <v>621</v>
      </c>
      <c r="AZ255" s="503" t="str">
        <f>IF($G255="","",IF(AND($G255&gt;=30,$AT$3&lt;=AY$7),ROUND(AY255*($AP$3+#REF!),-1),""))</f>
        <v/>
      </c>
      <c r="BA255" s="503" t="s">
        <v>621</v>
      </c>
      <c r="BB255" s="503" t="str">
        <f>IF($G255="","",IF(AND($G255&gt;=30,$AT$3&lt;=BA$7),ROUND(BA255*($AP$3+#REF!),-1),""))</f>
        <v/>
      </c>
      <c r="BC255" s="503" t="s">
        <v>621</v>
      </c>
      <c r="BD255" s="503" t="str">
        <f>IF($G255="","",IF(AND($G255&gt;=30,$AT$3&lt;=BC$7),ROUND(BC255*($AP$3+#REF!),-1),""))</f>
        <v/>
      </c>
      <c r="BE255" s="503" t="s">
        <v>621</v>
      </c>
      <c r="BF255" s="503" t="str">
        <f>IF($G255="","",IF(AND($G255&gt;=30,$AT$3&lt;=BE$7),ROUND(BE255*($AP$3+#REF!),-1),""))</f>
        <v/>
      </c>
      <c r="BG255" s="503" t="s">
        <v>621</v>
      </c>
      <c r="BH255" s="503" t="str">
        <f>IF($G255="","",IF(AND($G255&gt;=30,$AT$3&lt;=BG$7),ROUND(BG255*($AP$3+#REF!),-1),""))</f>
        <v/>
      </c>
      <c r="BI255" s="503" t="s">
        <v>621</v>
      </c>
      <c r="BJ255" s="503" t="str">
        <f>IF($G255="","",IF(AND($G255&gt;=30,$AT$3&lt;=BI$7),ROUND(BI255*($AP$3+#REF!),-1),""))</f>
        <v/>
      </c>
      <c r="BK255" s="503" t="s">
        <v>621</v>
      </c>
      <c r="BL255" s="503" t="str">
        <f>IF($G255="","",IF(AND($G255&gt;=30,$AT$3&lt;=BK$7),ROUND(BK255*($AP$3+#REF!),-1),""))</f>
        <v/>
      </c>
      <c r="BM255" s="503" t="s">
        <v>621</v>
      </c>
      <c r="BN255" s="503" t="str">
        <f>IF($G255="","",IF(AND($G255&gt;=30,$AT$3&lt;=BM$7),ROUND(BM255*($AP$3+#REF!),-1),""))</f>
        <v/>
      </c>
      <c r="BO255" s="503" t="s">
        <v>621</v>
      </c>
      <c r="BP255" s="503" t="str">
        <f>IF($G255="","",IF(AND($G255&gt;=30,$AT$3&lt;=BO$7),ROUND(BO255*($AP$3+#REF!),-1),""))</f>
        <v/>
      </c>
      <c r="BQ255" s="503" t="s">
        <v>621</v>
      </c>
      <c r="BR255" s="503" t="str">
        <f>IF($G255="","",IF(AND($G255&gt;=30,$AT$3&lt;=BQ$7),ROUND(BQ255*($AP$3+#REF!),-1),""))</f>
        <v/>
      </c>
      <c r="BS255" s="503" t="s">
        <v>621</v>
      </c>
      <c r="BT255" s="503" t="str">
        <f>IF($G255="","",IF(AND($G255&gt;=30,$AT$3&lt;=BS$7),ROUND(BS255*($AP$3+#REF!),-1),""))</f>
        <v/>
      </c>
      <c r="BU255" s="517" t="e">
        <v>#REF!</v>
      </c>
      <c r="BV255" s="503" t="str">
        <f>IF($G255="","",IF(AND($G255&gt;=30,$AT$3&lt;=BU$7),ROUND(BU255*($AP$3+#REF!),-1),""))</f>
        <v/>
      </c>
      <c r="BW255" s="517"/>
      <c r="BX255" s="503" t="str">
        <f>IF($G255="","",IF(AND($G255&gt;=30,$AT$3&lt;=BW$7),ROUND(BW255*($AP$3+#REF!),-1),""))</f>
        <v/>
      </c>
      <c r="BY255" s="503"/>
      <c r="BZ255" s="503" t="str">
        <f>IF($G255="","",IF(AND($G255&gt;=30,$AT$3&lt;=BY$7),ROUND(BY255*($AP$3+#REF!),-1),""))</f>
        <v/>
      </c>
      <c r="CA255" s="502"/>
      <c r="CB255" s="503" t="str">
        <f>IF($G255="","",IF(AND($G255&gt;=30,$AT$3&lt;=CA$7),ROUND(CA255*($AP$3+#REF!),-1),""))</f>
        <v/>
      </c>
      <c r="CC255" s="503"/>
      <c r="CD255" s="503" t="str">
        <f>IF($G255="","",IF(AND($G255&gt;=30,$AT$3&lt;=CC$7),ROUND(CC255*($AP$3+#REF!),-1),""))</f>
        <v/>
      </c>
      <c r="CE255" s="502"/>
      <c r="CF255" s="503" t="str">
        <f>IF($G255="","",IF(AND($G255&gt;=30,$AT$3&lt;=CE$7),ROUND(CE255*($AP$3+#REF!),-1),""))</f>
        <v/>
      </c>
      <c r="CG255" s="503"/>
      <c r="CH255" s="503" t="str">
        <f>IF($G255="","",IF(AND($G255&gt;=30,$AT$3&lt;=CG$7),ROUND(CG255*($AP$3+#REF!),-1),""))</f>
        <v/>
      </c>
      <c r="CI255" s="502"/>
      <c r="CJ255" s="503" t="str">
        <f>IF($G255="","",IF(AND($G255&gt;=30,$AT$3&lt;=CI$7),ROUND(CI255*($AP$3+#REF!),-1),""))</f>
        <v/>
      </c>
      <c r="CK255" s="503"/>
      <c r="CL255" s="503" t="str">
        <f>IF($G255="","",IF(AND($G255&gt;=30,$AT$3&lt;=CK$7),ROUND(CK255*($AP$3+#REF!),-1),""))</f>
        <v/>
      </c>
      <c r="CM255" s="502"/>
      <c r="CN255" s="503" t="str">
        <f>IF($G255="","",IF(AND($G255&gt;=30,$AT$3&lt;=CM$7),ROUND(CM255*($AP$3+#REF!),-1),""))</f>
        <v/>
      </c>
      <c r="CO255" s="503"/>
      <c r="CP255" s="503" t="str">
        <f>IF($G255="","",IF(AND($G255&gt;=30,$AT$3&lt;=CO$7),ROUND(CO255*($AP$3+#REF!),-1),""))</f>
        <v/>
      </c>
      <c r="CQ255" s="502"/>
      <c r="CR255" s="503" t="str">
        <f>IF($G255="","",IF(AND($G255&gt;=30,$AT$3&lt;=CQ$7),ROUND(CQ255*($AP$3+#REF!),-1),""))</f>
        <v/>
      </c>
      <c r="CS255" s="503"/>
      <c r="CT255" s="503" t="str">
        <f>IF($G255="","",IF(AND($G255&gt;=30,$AT$3&lt;=CS$7),ROUND(CS255*($AP$3+#REF!),-1),""))</f>
        <v/>
      </c>
      <c r="CU255" s="502"/>
      <c r="CV255" s="503" t="str">
        <f>IF($G255="","",IF(AND($G255&gt;=30,$AT$3&lt;=CU$7),ROUND(CU255*($AP$3+#REF!),-1),""))</f>
        <v/>
      </c>
      <c r="CW255" s="503"/>
      <c r="CX255" s="503" t="str">
        <f>IF($G255="","",IF(AND($G255&gt;=30,$AT$3&lt;=CW$7),ROUND(CW255*($AP$3+#REF!),-1),""))</f>
        <v/>
      </c>
      <c r="CY255" s="502"/>
      <c r="CZ255" s="503" t="str">
        <f>IF($G255="","",IF(AND($G255&gt;=30,$AT$3&lt;=CY$7),ROUND(CY255*($AP$3+#REF!),-1),""))</f>
        <v/>
      </c>
      <c r="DA255" s="503"/>
      <c r="DB255" s="503" t="str">
        <f>IF($G255="","",IF(AND($G255&gt;=30,$AT$3&lt;=DA$7),ROUND(DA255*($AP$3+#REF!),-1),""))</f>
        <v/>
      </c>
      <c r="DC255" s="502"/>
      <c r="DD255" s="503" t="str">
        <f>IF($G255="","",IF(AND($G255&gt;=30,$AT$3&lt;=DC$7),ROUND(DC255*($AP$3+#REF!),-1),""))</f>
        <v/>
      </c>
      <c r="DE255" s="503"/>
      <c r="DF255" s="503" t="str">
        <f>IF($G255="","",IF(AND($G255&gt;=30,$AT$3&lt;=DE$7),ROUND(DE255*($AP$3+#REF!),-1),""))</f>
        <v/>
      </c>
      <c r="DG255" s="503"/>
      <c r="DH255" s="503" t="str">
        <f>IF($G255="","",IF(AND($G255&gt;=30,$AT$3&lt;=DG$7),ROUND(DG255*($AP$3+#REF!),-1),""))</f>
        <v/>
      </c>
      <c r="DI255" s="503"/>
      <c r="DJ255" s="503" t="str">
        <f>IF($G255="","",IF(AND($G255&gt;=30,$AT$3&lt;=DI$7),ROUND(DI255*($AP$3+#REF!),-1),""))</f>
        <v/>
      </c>
      <c r="DK255" s="503"/>
      <c r="DL255" s="503" t="str">
        <f>IF($G255="","",IF(AND($G255&gt;=30,$AT$3&lt;=DK$7),ROUND(DK255*($AP$3+#REF!),-1),""))</f>
        <v/>
      </c>
      <c r="DM255" s="503"/>
      <c r="DN255" s="503" t="str">
        <f>IF($G255="","",IF(AND($G255&gt;=30,$AT$3&lt;=DM$7),ROUND(DM255*($AP$3+#REF!),-1),""))</f>
        <v/>
      </c>
      <c r="DO255" s="503"/>
      <c r="DP255" s="503" t="str">
        <f>IF($G255="","",IF(AND($G255&gt;=30,$AT$3&lt;=DO$7),ROUND(DO255*($AP$3+#REF!),-1),""))</f>
        <v/>
      </c>
      <c r="DQ255" s="503"/>
      <c r="DR255" s="503" t="str">
        <f>IF($G255="","",IF(AND($G255&gt;=30,$AT$3&lt;=DQ$7),ROUND(DQ255*($AP$3+#REF!),-1),""))</f>
        <v/>
      </c>
      <c r="DS255" s="503"/>
      <c r="DT255" s="503" t="str">
        <f>IF($G255="","",IF(AND($G255&gt;=30,$AT$3&lt;=DS$7),ROUND(DS255*($AP$3+#REF!),-1),""))</f>
        <v/>
      </c>
      <c r="DU255" s="503"/>
      <c r="DV255" s="503" t="str">
        <f>IF($G255="","",IF(AND($G255&gt;=30,$AT$3&lt;=DU$7),ROUND(DU255*($AP$3+#REF!),-1),""))</f>
        <v/>
      </c>
      <c r="DW255" s="503"/>
      <c r="DX255" s="503" t="str">
        <f>IF($G255="","",IF(AND($G255&gt;=30,$AT$3&lt;=DW$7),ROUND(DW255*($AP$3+#REF!),-1),""))</f>
        <v/>
      </c>
      <c r="DY255" s="503"/>
      <c r="DZ255" s="503" t="str">
        <f>IF($G255="","",IF(AND($G255&gt;=30,$AT$3&lt;=DY$7),ROUND(DY255*($AP$3+#REF!),-1),""))</f>
        <v/>
      </c>
      <c r="EA255" s="503"/>
      <c r="EB255" s="503" t="str">
        <f>IF($G255="","",IF(AND($G255&gt;=30,$AT$3&lt;=EA$7),ROUND(EA255*($AP$3+#REF!),-1),""))</f>
        <v/>
      </c>
      <c r="EC255" s="504" t="s">
        <v>621</v>
      </c>
      <c r="ED255" s="1124"/>
      <c r="EE255" s="325">
        <v>7</v>
      </c>
    </row>
    <row r="256" spans="1:135" ht="9.75" customHeight="1">
      <c r="A256" s="321" t="str">
        <f t="shared" si="68"/>
        <v/>
      </c>
      <c r="B256" s="567">
        <f>(ii!$D$13*12+V256)+1</f>
        <v>150</v>
      </c>
      <c r="C256" s="337">
        <f t="shared" si="58"/>
        <v>49918</v>
      </c>
      <c r="D256" s="484">
        <f t="shared" si="61"/>
        <v>2036</v>
      </c>
      <c r="E256" s="484">
        <f t="shared" si="59"/>
        <v>0.66666666666666663</v>
      </c>
      <c r="F256" s="484">
        <f t="shared" si="62"/>
        <v>2036.6666666666667</v>
      </c>
      <c r="G256" s="485" t="str">
        <f>IF(OR(C256&lt;$I$2,C256&gt;$J$3),"",(ii!$D$13*12+V256+1)/12)</f>
        <v/>
      </c>
      <c r="H256" s="486"/>
      <c r="I256" s="486"/>
      <c r="J256" s="487"/>
      <c r="K256" s="488"/>
      <c r="L256" s="548"/>
      <c r="M256" s="489" t="str">
        <f t="shared" si="63"/>
        <v/>
      </c>
      <c r="N256" s="490" t="s">
        <v>621</v>
      </c>
      <c r="O256" s="490" t="str">
        <f t="shared" si="56"/>
        <v/>
      </c>
      <c r="P256" s="491"/>
      <c r="Q256" s="491"/>
      <c r="R256" s="491" t="str">
        <f t="shared" si="57"/>
        <v/>
      </c>
      <c r="S256" s="528" t="str">
        <f t="shared" ref="S256:S319" si="69">IF(G256="","",SUM(AF256:EB256))</f>
        <v/>
      </c>
      <c r="T256" s="528" t="str">
        <f t="shared" si="67"/>
        <v/>
      </c>
      <c r="U256" s="493" t="str">
        <f>IF(H256="","",#REF!*12+#REF!+#REF!*12+#REF!)</f>
        <v/>
      </c>
      <c r="V256" s="338">
        <f>IF(ii!$J$3&gt;gg!C256,"",IF(AND((YEAR(C256)=YEAR($I$2)),MONTH(C256)=MONTH($I$2)),ii!$B$14*12+ii!$C$14+ii!$B$15*12+ii!$C$15-1,V255+1))</f>
        <v>149</v>
      </c>
      <c r="W256" s="339">
        <f t="shared" si="60"/>
        <v>12.416666666666666</v>
      </c>
      <c r="X256" s="494" t="s">
        <v>621</v>
      </c>
      <c r="Y256" s="495" t="s">
        <v>621</v>
      </c>
      <c r="Z256" s="496"/>
      <c r="AA256" s="497"/>
      <c r="AB256" s="498" t="e">
        <f t="shared" si="66"/>
        <v>#VALUE!</v>
      </c>
      <c r="AC256" s="484" t="str">
        <f t="shared" si="64"/>
        <v/>
      </c>
      <c r="AD256" s="495" t="str">
        <f t="shared" si="65"/>
        <v/>
      </c>
      <c r="AE256" s="499" t="s">
        <v>621</v>
      </c>
      <c r="AF256" s="500" t="s">
        <v>621</v>
      </c>
      <c r="AG256" s="556" t="s">
        <v>621</v>
      </c>
      <c r="AH256" s="503" t="str">
        <f>IF($G256="","",IF(AND($G256&gt;=30,$AT$3&lt;=AG$7),ROUND(AG256*($AP$3+#REF!),-1),""))</f>
        <v/>
      </c>
      <c r="AI256" s="506" t="s">
        <v>621</v>
      </c>
      <c r="AJ256" s="503" t="str">
        <f>IF($G256="","",IF(AND($G256&gt;=30,$AT$3&lt;=AI$7),ROUND(AI256*($AP$3+#REF!),-1),""))</f>
        <v/>
      </c>
      <c r="AK256" s="506" t="s">
        <v>621</v>
      </c>
      <c r="AL256" s="503" t="str">
        <f>IF($G256="","",IF(AND($G256&gt;=30,$AT$3&lt;=AK$7),ROUND(AK256*($AP$3+#REF!),-1),""))</f>
        <v/>
      </c>
      <c r="AM256" s="506" t="s">
        <v>621</v>
      </c>
      <c r="AN256" s="503" t="str">
        <f>IF($G256="","",IF(AND($G256&gt;=30,$AT$3&lt;=AM$7),ROUND(AM256*($AP$3+#REF!),-1),""))</f>
        <v/>
      </c>
      <c r="AO256" s="503" t="e">
        <v>#REF!</v>
      </c>
      <c r="AP256" s="503" t="str">
        <f>IF($G256="","",IF(AND($G256&gt;=30,$AT$3&lt;=AO$7),ROUND(AO256*($AP$3+#REF!),-1),""))</f>
        <v/>
      </c>
      <c r="AQ256" s="503" t="s">
        <v>621</v>
      </c>
      <c r="AR256" s="503" t="str">
        <f>IF($G256="","",IF(AND($G256&gt;=30,$AT$3&lt;=AQ$7),ROUND(AQ256*($AP$3+#REF!),-1),""))</f>
        <v/>
      </c>
      <c r="AS256" s="503" t="s">
        <v>621</v>
      </c>
      <c r="AT256" s="503" t="str">
        <f>IF($G256="","",IF(AND($G256&gt;=30,$AT$3&lt;=AS$7),ROUND(AS256*($AP$3+#REF!),-1),""))</f>
        <v/>
      </c>
      <c r="AU256" s="503" t="s">
        <v>621</v>
      </c>
      <c r="AV256" s="503" t="str">
        <f>IF($G256="","",IF(AND($G256&gt;=30,$AT$3&lt;=AU$7),ROUND(AU256*($AP$3+#REF!),-1),""))</f>
        <v/>
      </c>
      <c r="AW256" s="503" t="s">
        <v>621</v>
      </c>
      <c r="AX256" s="503" t="str">
        <f>IF($G256="","",IF(AND($G256&gt;=30,$AT$3&lt;=AW$7),ROUND(AW256*($AP$3+#REF!),-1),""))</f>
        <v/>
      </c>
      <c r="AY256" s="503" t="s">
        <v>621</v>
      </c>
      <c r="AZ256" s="503" t="str">
        <f>IF($G256="","",IF(AND($G256&gt;=30,$AT$3&lt;=AY$7),ROUND(AY256*($AP$3+#REF!),-1),""))</f>
        <v/>
      </c>
      <c r="BA256" s="503" t="s">
        <v>621</v>
      </c>
      <c r="BB256" s="503" t="str">
        <f>IF($G256="","",IF(AND($G256&gt;=30,$AT$3&lt;=BA$7),ROUND(BA256*($AP$3+#REF!),-1),""))</f>
        <v/>
      </c>
      <c r="BC256" s="503" t="s">
        <v>621</v>
      </c>
      <c r="BD256" s="503" t="str">
        <f>IF($G256="","",IF(AND($G256&gt;=30,$AT$3&lt;=BC$7),ROUND(BC256*($AP$3+#REF!),-1),""))</f>
        <v/>
      </c>
      <c r="BE256" s="503" t="s">
        <v>621</v>
      </c>
      <c r="BF256" s="503" t="str">
        <f>IF($G256="","",IF(AND($G256&gt;=30,$AT$3&lt;=BE$7),ROUND(BE256*($AP$3+#REF!),-1),""))</f>
        <v/>
      </c>
      <c r="BG256" s="503" t="s">
        <v>621</v>
      </c>
      <c r="BH256" s="503" t="str">
        <f>IF($G256="","",IF(AND($G256&gt;=30,$AT$3&lt;=BG$7),ROUND(BG256*($AP$3+#REF!),-1),""))</f>
        <v/>
      </c>
      <c r="BI256" s="503" t="s">
        <v>621</v>
      </c>
      <c r="BJ256" s="503" t="str">
        <f>IF($G256="","",IF(AND($G256&gt;=30,$AT$3&lt;=BI$7),ROUND(BI256*($AP$3+#REF!),-1),""))</f>
        <v/>
      </c>
      <c r="BK256" s="503" t="s">
        <v>621</v>
      </c>
      <c r="BL256" s="503" t="str">
        <f>IF($G256="","",IF(AND($G256&gt;=30,$AT$3&lt;=BK$7),ROUND(BK256*($AP$3+#REF!),-1),""))</f>
        <v/>
      </c>
      <c r="BM256" s="503" t="s">
        <v>621</v>
      </c>
      <c r="BN256" s="503" t="str">
        <f>IF($G256="","",IF(AND($G256&gt;=30,$AT$3&lt;=BM$7),ROUND(BM256*($AP$3+#REF!),-1),""))</f>
        <v/>
      </c>
      <c r="BO256" s="503" t="s">
        <v>621</v>
      </c>
      <c r="BP256" s="503" t="str">
        <f>IF($G256="","",IF(AND($G256&gt;=30,$AT$3&lt;=BO$7),ROUND(BO256*($AP$3+#REF!),-1),""))</f>
        <v/>
      </c>
      <c r="BQ256" s="503" t="s">
        <v>621</v>
      </c>
      <c r="BR256" s="503" t="str">
        <f>IF($G256="","",IF(AND($G256&gt;=30,$AT$3&lt;=BQ$7),ROUND(BQ256*($AP$3+#REF!),-1),""))</f>
        <v/>
      </c>
      <c r="BS256" s="503" t="s">
        <v>621</v>
      </c>
      <c r="BT256" s="503" t="str">
        <f>IF($G256="","",IF(AND($G256&gt;=30,$AT$3&lt;=BS$7),ROUND(BS256*($AP$3+#REF!),-1),""))</f>
        <v/>
      </c>
      <c r="BU256" s="517" t="e">
        <v>#REF!</v>
      </c>
      <c r="BV256" s="503" t="str">
        <f>IF($G256="","",IF(AND($G256&gt;=30,$AT$3&lt;=BU$7),ROUND(BU256*($AP$3+#REF!),-1),""))</f>
        <v/>
      </c>
      <c r="BW256" s="517"/>
      <c r="BX256" s="503" t="str">
        <f>IF($G256="","",IF(AND($G256&gt;=30,$AT$3&lt;=BW$7),ROUND(BW256*($AP$3+#REF!),-1),""))</f>
        <v/>
      </c>
      <c r="BY256" s="503"/>
      <c r="BZ256" s="503" t="str">
        <f>IF($G256="","",IF(AND($G256&gt;=30,$AT$3&lt;=BY$7),ROUND(BY256*($AP$3+#REF!),-1),""))</f>
        <v/>
      </c>
      <c r="CA256" s="502"/>
      <c r="CB256" s="503" t="str">
        <f>IF($G256="","",IF(AND($G256&gt;=30,$AT$3&lt;=CA$7),ROUND(CA256*($AP$3+#REF!),-1),""))</f>
        <v/>
      </c>
      <c r="CC256" s="503"/>
      <c r="CD256" s="503" t="str">
        <f>IF($G256="","",IF(AND($G256&gt;=30,$AT$3&lt;=CC$7),ROUND(CC256*($AP$3+#REF!),-1),""))</f>
        <v/>
      </c>
      <c r="CE256" s="502"/>
      <c r="CF256" s="503" t="str">
        <f>IF($G256="","",IF(AND($G256&gt;=30,$AT$3&lt;=CE$7),ROUND(CE256*($AP$3+#REF!),-1),""))</f>
        <v/>
      </c>
      <c r="CG256" s="503"/>
      <c r="CH256" s="503" t="str">
        <f>IF($G256="","",IF(AND($G256&gt;=30,$AT$3&lt;=CG$7),ROUND(CG256*($AP$3+#REF!),-1),""))</f>
        <v/>
      </c>
      <c r="CI256" s="502"/>
      <c r="CJ256" s="503" t="str">
        <f>IF($G256="","",IF(AND($G256&gt;=30,$AT$3&lt;=CI$7),ROUND(CI256*($AP$3+#REF!),-1),""))</f>
        <v/>
      </c>
      <c r="CK256" s="503"/>
      <c r="CL256" s="503" t="str">
        <f>IF($G256="","",IF(AND($G256&gt;=30,$AT$3&lt;=CK$7),ROUND(CK256*($AP$3+#REF!),-1),""))</f>
        <v/>
      </c>
      <c r="CM256" s="502"/>
      <c r="CN256" s="503" t="str">
        <f>IF($G256="","",IF(AND($G256&gt;=30,$AT$3&lt;=CM$7),ROUND(CM256*($AP$3+#REF!),-1),""))</f>
        <v/>
      </c>
      <c r="CO256" s="503"/>
      <c r="CP256" s="503" t="str">
        <f>IF($G256="","",IF(AND($G256&gt;=30,$AT$3&lt;=CO$7),ROUND(CO256*($AP$3+#REF!),-1),""))</f>
        <v/>
      </c>
      <c r="CQ256" s="502"/>
      <c r="CR256" s="503" t="str">
        <f>IF($G256="","",IF(AND($G256&gt;=30,$AT$3&lt;=CQ$7),ROUND(CQ256*($AP$3+#REF!),-1),""))</f>
        <v/>
      </c>
      <c r="CS256" s="503"/>
      <c r="CT256" s="503" t="str">
        <f>IF($G256="","",IF(AND($G256&gt;=30,$AT$3&lt;=CS$7),ROUND(CS256*($AP$3+#REF!),-1),""))</f>
        <v/>
      </c>
      <c r="CU256" s="502"/>
      <c r="CV256" s="503" t="str">
        <f>IF($G256="","",IF(AND($G256&gt;=30,$AT$3&lt;=CU$7),ROUND(CU256*($AP$3+#REF!),-1),""))</f>
        <v/>
      </c>
      <c r="CW256" s="503"/>
      <c r="CX256" s="503" t="str">
        <f>IF($G256="","",IF(AND($G256&gt;=30,$AT$3&lt;=CW$7),ROUND(CW256*($AP$3+#REF!),-1),""))</f>
        <v/>
      </c>
      <c r="CY256" s="502"/>
      <c r="CZ256" s="503" t="str">
        <f>IF($G256="","",IF(AND($G256&gt;=30,$AT$3&lt;=CY$7),ROUND(CY256*($AP$3+#REF!),-1),""))</f>
        <v/>
      </c>
      <c r="DA256" s="503"/>
      <c r="DB256" s="503" t="str">
        <f>IF($G256="","",IF(AND($G256&gt;=30,$AT$3&lt;=DA$7),ROUND(DA256*($AP$3+#REF!),-1),""))</f>
        <v/>
      </c>
      <c r="DC256" s="502"/>
      <c r="DD256" s="503" t="str">
        <f>IF($G256="","",IF(AND($G256&gt;=30,$AT$3&lt;=DC$7),ROUND(DC256*($AP$3+#REF!),-1),""))</f>
        <v/>
      </c>
      <c r="DE256" s="503"/>
      <c r="DF256" s="503" t="str">
        <f>IF($G256="","",IF(AND($G256&gt;=30,$AT$3&lt;=DE$7),ROUND(DE256*($AP$3+#REF!),-1),""))</f>
        <v/>
      </c>
      <c r="DG256" s="503"/>
      <c r="DH256" s="503" t="str">
        <f>IF($G256="","",IF(AND($G256&gt;=30,$AT$3&lt;=DG$7),ROUND(DG256*($AP$3+#REF!),-1),""))</f>
        <v/>
      </c>
      <c r="DI256" s="503"/>
      <c r="DJ256" s="503" t="str">
        <f>IF($G256="","",IF(AND($G256&gt;=30,$AT$3&lt;=DI$7),ROUND(DI256*($AP$3+#REF!),-1),""))</f>
        <v/>
      </c>
      <c r="DK256" s="503"/>
      <c r="DL256" s="503" t="str">
        <f>IF($G256="","",IF(AND($G256&gt;=30,$AT$3&lt;=DK$7),ROUND(DK256*($AP$3+#REF!),-1),""))</f>
        <v/>
      </c>
      <c r="DM256" s="503"/>
      <c r="DN256" s="503" t="str">
        <f>IF($G256="","",IF(AND($G256&gt;=30,$AT$3&lt;=DM$7),ROUND(DM256*($AP$3+#REF!),-1),""))</f>
        <v/>
      </c>
      <c r="DO256" s="503"/>
      <c r="DP256" s="503" t="str">
        <f>IF($G256="","",IF(AND($G256&gt;=30,$AT$3&lt;=DO$7),ROUND(DO256*($AP$3+#REF!),-1),""))</f>
        <v/>
      </c>
      <c r="DQ256" s="503"/>
      <c r="DR256" s="503" t="str">
        <f>IF($G256="","",IF(AND($G256&gt;=30,$AT$3&lt;=DQ$7),ROUND(DQ256*($AP$3+#REF!),-1),""))</f>
        <v/>
      </c>
      <c r="DS256" s="503"/>
      <c r="DT256" s="503" t="str">
        <f>IF($G256="","",IF(AND($G256&gt;=30,$AT$3&lt;=DS$7),ROUND(DS256*($AP$3+#REF!),-1),""))</f>
        <v/>
      </c>
      <c r="DU256" s="503"/>
      <c r="DV256" s="503" t="str">
        <f>IF($G256="","",IF(AND($G256&gt;=30,$AT$3&lt;=DU$7),ROUND(DU256*($AP$3+#REF!),-1),""))</f>
        <v/>
      </c>
      <c r="DW256" s="503"/>
      <c r="DX256" s="503" t="str">
        <f>IF($G256="","",IF(AND($G256&gt;=30,$AT$3&lt;=DW$7),ROUND(DW256*($AP$3+#REF!),-1),""))</f>
        <v/>
      </c>
      <c r="DY256" s="503"/>
      <c r="DZ256" s="503" t="str">
        <f>IF($G256="","",IF(AND($G256&gt;=30,$AT$3&lt;=DY$7),ROUND(DY256*($AP$3+#REF!),-1),""))</f>
        <v/>
      </c>
      <c r="EA256" s="503"/>
      <c r="EB256" s="503" t="str">
        <f>IF($G256="","",IF(AND($G256&gt;=30,$AT$3&lt;=EA$7),ROUND(EA256*($AP$3+#REF!),-1),""))</f>
        <v/>
      </c>
      <c r="EC256" s="504" t="s">
        <v>621</v>
      </c>
      <c r="ED256" s="1124"/>
      <c r="EE256" s="325">
        <v>8</v>
      </c>
    </row>
    <row r="257" spans="1:135" ht="9.75" customHeight="1">
      <c r="A257" s="321" t="str">
        <f t="shared" si="68"/>
        <v/>
      </c>
      <c r="B257" s="567">
        <f>(ii!$D$13*12+V257)+1</f>
        <v>151</v>
      </c>
      <c r="C257" s="337">
        <f t="shared" si="58"/>
        <v>49948</v>
      </c>
      <c r="D257" s="484">
        <f t="shared" si="61"/>
        <v>2036</v>
      </c>
      <c r="E257" s="484">
        <f t="shared" si="59"/>
        <v>0.75</v>
      </c>
      <c r="F257" s="484">
        <f t="shared" si="62"/>
        <v>2036.75</v>
      </c>
      <c r="G257" s="485" t="str">
        <f>IF(OR(C257&lt;$I$2,C257&gt;$J$3),"",(ii!$D$13*12+V257+1)/12)</f>
        <v/>
      </c>
      <c r="H257" s="486"/>
      <c r="I257" s="486"/>
      <c r="J257" s="487"/>
      <c r="K257" s="488"/>
      <c r="L257" s="548"/>
      <c r="M257" s="489" t="str">
        <f t="shared" si="63"/>
        <v/>
      </c>
      <c r="N257" s="490" t="s">
        <v>621</v>
      </c>
      <c r="O257" s="490" t="str">
        <f t="shared" si="56"/>
        <v/>
      </c>
      <c r="P257" s="491"/>
      <c r="Q257" s="491"/>
      <c r="R257" s="491" t="str">
        <f t="shared" si="57"/>
        <v/>
      </c>
      <c r="S257" s="528" t="str">
        <f t="shared" si="69"/>
        <v/>
      </c>
      <c r="T257" s="528" t="str">
        <f t="shared" si="67"/>
        <v/>
      </c>
      <c r="U257" s="493" t="str">
        <f>IF(H257="","",#REF!*12+#REF!+#REF!*12+#REF!)</f>
        <v/>
      </c>
      <c r="V257" s="338">
        <f>IF(ii!$J$3&gt;gg!C257,"",IF(AND((YEAR(C257)=YEAR($I$2)),MONTH(C257)=MONTH($I$2)),ii!$B$14*12+ii!$C$14+ii!$B$15*12+ii!$C$15-1,V256+1))</f>
        <v>150</v>
      </c>
      <c r="W257" s="339">
        <f t="shared" si="60"/>
        <v>12.5</v>
      </c>
      <c r="X257" s="494" t="s">
        <v>621</v>
      </c>
      <c r="Y257" s="495" t="s">
        <v>621</v>
      </c>
      <c r="Z257" s="496"/>
      <c r="AA257" s="497"/>
      <c r="AB257" s="498" t="e">
        <f t="shared" si="66"/>
        <v>#VALUE!</v>
      </c>
      <c r="AC257" s="484" t="str">
        <f t="shared" si="64"/>
        <v/>
      </c>
      <c r="AD257" s="495" t="str">
        <f t="shared" si="65"/>
        <v/>
      </c>
      <c r="AE257" s="499" t="s">
        <v>621</v>
      </c>
      <c r="AF257" s="500" t="s">
        <v>621</v>
      </c>
      <c r="AG257" s="556" t="s">
        <v>621</v>
      </c>
      <c r="AH257" s="503" t="str">
        <f>IF($G257="","",IF(AND($G257&gt;=30,$AT$3&lt;=AG$7),ROUND(AG257*($AP$3+#REF!),-1),""))</f>
        <v/>
      </c>
      <c r="AI257" s="506" t="s">
        <v>621</v>
      </c>
      <c r="AJ257" s="503" t="str">
        <f>IF($G257="","",IF(AND($G257&gt;=30,$AT$3&lt;=AI$7),ROUND(AI257*($AP$3+#REF!),-1),""))</f>
        <v/>
      </c>
      <c r="AK257" s="506" t="s">
        <v>621</v>
      </c>
      <c r="AL257" s="503" t="str">
        <f>IF($G257="","",IF(AND($G257&gt;=30,$AT$3&lt;=AK$7),ROUND(AK257*($AP$3+#REF!),-1),""))</f>
        <v/>
      </c>
      <c r="AM257" s="506" t="s">
        <v>621</v>
      </c>
      <c r="AN257" s="503" t="str">
        <f>IF($G257="","",IF(AND($G257&gt;=30,$AT$3&lt;=AM$7),ROUND(AM257*($AP$3+#REF!),-1),""))</f>
        <v/>
      </c>
      <c r="AO257" s="503" t="e">
        <v>#REF!</v>
      </c>
      <c r="AP257" s="503" t="str">
        <f>IF($G257="","",IF(AND($G257&gt;=30,$AT$3&lt;=AO$7),ROUND(AO257*($AP$3+#REF!),-1),""))</f>
        <v/>
      </c>
      <c r="AQ257" s="503" t="s">
        <v>621</v>
      </c>
      <c r="AR257" s="503" t="str">
        <f>IF($G257="","",IF(AND($G257&gt;=30,$AT$3&lt;=AQ$7),ROUND(AQ257*($AP$3+#REF!),-1),""))</f>
        <v/>
      </c>
      <c r="AS257" s="503" t="s">
        <v>621</v>
      </c>
      <c r="AT257" s="503" t="str">
        <f>IF($G257="","",IF(AND($G257&gt;=30,$AT$3&lt;=AS$7),ROUND(AS257*($AP$3+#REF!),-1),""))</f>
        <v/>
      </c>
      <c r="AU257" s="503" t="s">
        <v>621</v>
      </c>
      <c r="AV257" s="503" t="str">
        <f>IF($G257="","",IF(AND($G257&gt;=30,$AT$3&lt;=AU$7),ROUND(AU257*($AP$3+#REF!),-1),""))</f>
        <v/>
      </c>
      <c r="AW257" s="503" t="s">
        <v>621</v>
      </c>
      <c r="AX257" s="503" t="str">
        <f>IF($G257="","",IF(AND($G257&gt;=30,$AT$3&lt;=AW$7),ROUND(AW257*($AP$3+#REF!),-1),""))</f>
        <v/>
      </c>
      <c r="AY257" s="503" t="s">
        <v>621</v>
      </c>
      <c r="AZ257" s="503" t="str">
        <f>IF($G257="","",IF(AND($G257&gt;=30,$AT$3&lt;=AY$7),ROUND(AY257*($AP$3+#REF!),-1),""))</f>
        <v/>
      </c>
      <c r="BA257" s="503" t="s">
        <v>621</v>
      </c>
      <c r="BB257" s="503" t="str">
        <f>IF($G257="","",IF(AND($G257&gt;=30,$AT$3&lt;=BA$7),ROUND(BA257*($AP$3+#REF!),-1),""))</f>
        <v/>
      </c>
      <c r="BC257" s="503" t="s">
        <v>621</v>
      </c>
      <c r="BD257" s="503" t="str">
        <f>IF($G257="","",IF(AND($G257&gt;=30,$AT$3&lt;=BC$7),ROUND(BC257*($AP$3+#REF!),-1),""))</f>
        <v/>
      </c>
      <c r="BE257" s="503" t="s">
        <v>621</v>
      </c>
      <c r="BF257" s="503" t="str">
        <f>IF($G257="","",IF(AND($G257&gt;=30,$AT$3&lt;=BE$7),ROUND(BE257*($AP$3+#REF!),-1),""))</f>
        <v/>
      </c>
      <c r="BG257" s="503" t="s">
        <v>621</v>
      </c>
      <c r="BH257" s="503" t="str">
        <f>IF($G257="","",IF(AND($G257&gt;=30,$AT$3&lt;=BG$7),ROUND(BG257*($AP$3+#REF!),-1),""))</f>
        <v/>
      </c>
      <c r="BI257" s="503" t="s">
        <v>621</v>
      </c>
      <c r="BJ257" s="503" t="str">
        <f>IF($G257="","",IF(AND($G257&gt;=30,$AT$3&lt;=BI$7),ROUND(BI257*($AP$3+#REF!),-1),""))</f>
        <v/>
      </c>
      <c r="BK257" s="503" t="s">
        <v>621</v>
      </c>
      <c r="BL257" s="503" t="str">
        <f>IF($G257="","",IF(AND($G257&gt;=30,$AT$3&lt;=BK$7),ROUND(BK257*($AP$3+#REF!),-1),""))</f>
        <v/>
      </c>
      <c r="BM257" s="503" t="s">
        <v>621</v>
      </c>
      <c r="BN257" s="503" t="str">
        <f>IF($G257="","",IF(AND($G257&gt;=30,$AT$3&lt;=BM$7),ROUND(BM257*($AP$3+#REF!),-1),""))</f>
        <v/>
      </c>
      <c r="BO257" s="503" t="s">
        <v>621</v>
      </c>
      <c r="BP257" s="503" t="str">
        <f>IF($G257="","",IF(AND($G257&gt;=30,$AT$3&lt;=BO$7),ROUND(BO257*($AP$3+#REF!),-1),""))</f>
        <v/>
      </c>
      <c r="BQ257" s="503" t="s">
        <v>621</v>
      </c>
      <c r="BR257" s="503" t="str">
        <f>IF($G257="","",IF(AND($G257&gt;=30,$AT$3&lt;=BQ$7),ROUND(BQ257*($AP$3+#REF!),-1),""))</f>
        <v/>
      </c>
      <c r="BS257" s="503" t="s">
        <v>621</v>
      </c>
      <c r="BT257" s="503" t="str">
        <f>IF($G257="","",IF(AND($G257&gt;=30,$AT$3&lt;=BS$7),ROUND(BS257*($AP$3+#REF!),-1),""))</f>
        <v/>
      </c>
      <c r="BU257" s="517" t="e">
        <v>#REF!</v>
      </c>
      <c r="BV257" s="503" t="str">
        <f>IF($G257="","",IF(AND($G257&gt;=30,$AT$3&lt;=BU$7),ROUND(BU257*($AP$3+#REF!),-1),""))</f>
        <v/>
      </c>
      <c r="BW257" s="517"/>
      <c r="BX257" s="503" t="str">
        <f>IF($G257="","",IF(AND($G257&gt;=30,$AT$3&lt;=BW$7),ROUND(BW257*($AP$3+#REF!),-1),""))</f>
        <v/>
      </c>
      <c r="BY257" s="503"/>
      <c r="BZ257" s="503" t="str">
        <f>IF($G257="","",IF(AND($G257&gt;=30,$AT$3&lt;=BY$7),ROUND(BY257*($AP$3+#REF!),-1),""))</f>
        <v/>
      </c>
      <c r="CA257" s="502"/>
      <c r="CB257" s="503" t="str">
        <f>IF($G257="","",IF(AND($G257&gt;=30,$AT$3&lt;=CA$7),ROUND(CA257*($AP$3+#REF!),-1),""))</f>
        <v/>
      </c>
      <c r="CC257" s="503"/>
      <c r="CD257" s="503" t="str">
        <f>IF($G257="","",IF(AND($G257&gt;=30,$AT$3&lt;=CC$7),ROUND(CC257*($AP$3+#REF!),-1),""))</f>
        <v/>
      </c>
      <c r="CE257" s="502"/>
      <c r="CF257" s="503" t="str">
        <f>IF($G257="","",IF(AND($G257&gt;=30,$AT$3&lt;=CE$7),ROUND(CE257*($AP$3+#REF!),-1),""))</f>
        <v/>
      </c>
      <c r="CG257" s="503"/>
      <c r="CH257" s="503" t="str">
        <f>IF($G257="","",IF(AND($G257&gt;=30,$AT$3&lt;=CG$7),ROUND(CG257*($AP$3+#REF!),-1),""))</f>
        <v/>
      </c>
      <c r="CI257" s="502"/>
      <c r="CJ257" s="503" t="str">
        <f>IF($G257="","",IF(AND($G257&gt;=30,$AT$3&lt;=CI$7),ROUND(CI257*($AP$3+#REF!),-1),""))</f>
        <v/>
      </c>
      <c r="CK257" s="503"/>
      <c r="CL257" s="503" t="str">
        <f>IF($G257="","",IF(AND($G257&gt;=30,$AT$3&lt;=CK$7),ROUND(CK257*($AP$3+#REF!),-1),""))</f>
        <v/>
      </c>
      <c r="CM257" s="502"/>
      <c r="CN257" s="503" t="str">
        <f>IF($G257="","",IF(AND($G257&gt;=30,$AT$3&lt;=CM$7),ROUND(CM257*($AP$3+#REF!),-1),""))</f>
        <v/>
      </c>
      <c r="CO257" s="503"/>
      <c r="CP257" s="503" t="str">
        <f>IF($G257="","",IF(AND($G257&gt;=30,$AT$3&lt;=CO$7),ROUND(CO257*($AP$3+#REF!),-1),""))</f>
        <v/>
      </c>
      <c r="CQ257" s="502"/>
      <c r="CR257" s="503" t="str">
        <f>IF($G257="","",IF(AND($G257&gt;=30,$AT$3&lt;=CQ$7),ROUND(CQ257*($AP$3+#REF!),-1),""))</f>
        <v/>
      </c>
      <c r="CS257" s="503"/>
      <c r="CT257" s="503" t="str">
        <f>IF($G257="","",IF(AND($G257&gt;=30,$AT$3&lt;=CS$7),ROUND(CS257*($AP$3+#REF!),-1),""))</f>
        <v/>
      </c>
      <c r="CU257" s="502"/>
      <c r="CV257" s="503" t="str">
        <f>IF($G257="","",IF(AND($G257&gt;=30,$AT$3&lt;=CU$7),ROUND(CU257*($AP$3+#REF!),-1),""))</f>
        <v/>
      </c>
      <c r="CW257" s="503"/>
      <c r="CX257" s="503" t="str">
        <f>IF($G257="","",IF(AND($G257&gt;=30,$AT$3&lt;=CW$7),ROUND(CW257*($AP$3+#REF!),-1),""))</f>
        <v/>
      </c>
      <c r="CY257" s="502"/>
      <c r="CZ257" s="503" t="str">
        <f>IF($G257="","",IF(AND($G257&gt;=30,$AT$3&lt;=CY$7),ROUND(CY257*($AP$3+#REF!),-1),""))</f>
        <v/>
      </c>
      <c r="DA257" s="503"/>
      <c r="DB257" s="503" t="str">
        <f>IF($G257="","",IF(AND($G257&gt;=30,$AT$3&lt;=DA$7),ROUND(DA257*($AP$3+#REF!),-1),""))</f>
        <v/>
      </c>
      <c r="DC257" s="502"/>
      <c r="DD257" s="503" t="str">
        <f>IF($G257="","",IF(AND($G257&gt;=30,$AT$3&lt;=DC$7),ROUND(DC257*($AP$3+#REF!),-1),""))</f>
        <v/>
      </c>
      <c r="DE257" s="503"/>
      <c r="DF257" s="503" t="str">
        <f>IF($G257="","",IF(AND($G257&gt;=30,$AT$3&lt;=DE$7),ROUND(DE257*($AP$3+#REF!),-1),""))</f>
        <v/>
      </c>
      <c r="DG257" s="503"/>
      <c r="DH257" s="503" t="str">
        <f>IF($G257="","",IF(AND($G257&gt;=30,$AT$3&lt;=DG$7),ROUND(DG257*($AP$3+#REF!),-1),""))</f>
        <v/>
      </c>
      <c r="DI257" s="503"/>
      <c r="DJ257" s="503" t="str">
        <f>IF($G257="","",IF(AND($G257&gt;=30,$AT$3&lt;=DI$7),ROUND(DI257*($AP$3+#REF!),-1),""))</f>
        <v/>
      </c>
      <c r="DK257" s="503"/>
      <c r="DL257" s="503" t="str">
        <f>IF($G257="","",IF(AND($G257&gt;=30,$AT$3&lt;=DK$7),ROUND(DK257*($AP$3+#REF!),-1),""))</f>
        <v/>
      </c>
      <c r="DM257" s="503"/>
      <c r="DN257" s="503" t="str">
        <f>IF($G257="","",IF(AND($G257&gt;=30,$AT$3&lt;=DM$7),ROUND(DM257*($AP$3+#REF!),-1),""))</f>
        <v/>
      </c>
      <c r="DO257" s="503"/>
      <c r="DP257" s="503" t="str">
        <f>IF($G257="","",IF(AND($G257&gt;=30,$AT$3&lt;=DO$7),ROUND(DO257*($AP$3+#REF!),-1),""))</f>
        <v/>
      </c>
      <c r="DQ257" s="503"/>
      <c r="DR257" s="503" t="str">
        <f>IF($G257="","",IF(AND($G257&gt;=30,$AT$3&lt;=DQ$7),ROUND(DQ257*($AP$3+#REF!),-1),""))</f>
        <v/>
      </c>
      <c r="DS257" s="503"/>
      <c r="DT257" s="503" t="str">
        <f>IF($G257="","",IF(AND($G257&gt;=30,$AT$3&lt;=DS$7),ROUND(DS257*($AP$3+#REF!),-1),""))</f>
        <v/>
      </c>
      <c r="DU257" s="503"/>
      <c r="DV257" s="503" t="str">
        <f>IF($G257="","",IF(AND($G257&gt;=30,$AT$3&lt;=DU$7),ROUND(DU257*($AP$3+#REF!),-1),""))</f>
        <v/>
      </c>
      <c r="DW257" s="503"/>
      <c r="DX257" s="503" t="str">
        <f>IF($G257="","",IF(AND($G257&gt;=30,$AT$3&lt;=DW$7),ROUND(DW257*($AP$3+#REF!),-1),""))</f>
        <v/>
      </c>
      <c r="DY257" s="503"/>
      <c r="DZ257" s="503" t="str">
        <f>IF($G257="","",IF(AND($G257&gt;=30,$AT$3&lt;=DY$7),ROUND(DY257*($AP$3+#REF!),-1),""))</f>
        <v/>
      </c>
      <c r="EA257" s="503"/>
      <c r="EB257" s="503" t="str">
        <f>IF($G257="","",IF(AND($G257&gt;=30,$AT$3&lt;=EA$7),ROUND(EA257*($AP$3+#REF!),-1),""))</f>
        <v/>
      </c>
      <c r="EC257" s="504" t="s">
        <v>621</v>
      </c>
      <c r="ED257" s="1124"/>
      <c r="EE257" s="325">
        <v>9</v>
      </c>
    </row>
    <row r="258" spans="1:135" ht="9.75" customHeight="1">
      <c r="A258" s="321" t="str">
        <f t="shared" si="68"/>
        <v/>
      </c>
      <c r="B258" s="567">
        <f>(ii!$D$13*12+V258)+1</f>
        <v>152</v>
      </c>
      <c r="C258" s="337">
        <f t="shared" si="58"/>
        <v>49979</v>
      </c>
      <c r="D258" s="484">
        <f t="shared" si="61"/>
        <v>2036</v>
      </c>
      <c r="E258" s="484">
        <f t="shared" si="59"/>
        <v>0.83333333333333337</v>
      </c>
      <c r="F258" s="484">
        <f t="shared" si="62"/>
        <v>2036.8333333333333</v>
      </c>
      <c r="G258" s="485" t="str">
        <f>IF(OR(C258&lt;$I$2,C258&gt;$J$3),"",(ii!$D$13*12+V258+1)/12)</f>
        <v/>
      </c>
      <c r="H258" s="486"/>
      <c r="I258" s="486"/>
      <c r="J258" s="487"/>
      <c r="K258" s="488"/>
      <c r="L258" s="548"/>
      <c r="M258" s="489" t="str">
        <f t="shared" si="63"/>
        <v/>
      </c>
      <c r="N258" s="490" t="s">
        <v>621</v>
      </c>
      <c r="O258" s="490" t="str">
        <f t="shared" si="56"/>
        <v/>
      </c>
      <c r="P258" s="491"/>
      <c r="Q258" s="491"/>
      <c r="R258" s="491" t="str">
        <f t="shared" si="57"/>
        <v/>
      </c>
      <c r="S258" s="528" t="str">
        <f t="shared" si="69"/>
        <v/>
      </c>
      <c r="T258" s="528" t="str">
        <f t="shared" si="67"/>
        <v/>
      </c>
      <c r="U258" s="493" t="str">
        <f>IF(H258="","",#REF!*12+#REF!+#REF!*12+#REF!)</f>
        <v/>
      </c>
      <c r="V258" s="338">
        <f>IF(ii!$J$3&gt;gg!C258,"",IF(AND((YEAR(C258)=YEAR($I$2)),MONTH(C258)=MONTH($I$2)),ii!$B$14*12+ii!$C$14+ii!$B$15*12+ii!$C$15-1,V257+1))</f>
        <v>151</v>
      </c>
      <c r="W258" s="339">
        <f t="shared" si="60"/>
        <v>12.583333333333334</v>
      </c>
      <c r="X258" s="494" t="s">
        <v>621</v>
      </c>
      <c r="Y258" s="495" t="s">
        <v>621</v>
      </c>
      <c r="Z258" s="496"/>
      <c r="AA258" s="497"/>
      <c r="AB258" s="498" t="e">
        <f t="shared" si="66"/>
        <v>#VALUE!</v>
      </c>
      <c r="AC258" s="484" t="str">
        <f t="shared" si="64"/>
        <v/>
      </c>
      <c r="AD258" s="495" t="str">
        <f t="shared" si="65"/>
        <v/>
      </c>
      <c r="AE258" s="499" t="s">
        <v>621</v>
      </c>
      <c r="AF258" s="500" t="s">
        <v>621</v>
      </c>
      <c r="AG258" s="556" t="s">
        <v>621</v>
      </c>
      <c r="AH258" s="503" t="str">
        <f>IF($G258="","",IF(AND($G258&gt;=30,$AT$3&lt;=AG$7),ROUND(AG258*($AP$3+#REF!),-1),""))</f>
        <v/>
      </c>
      <c r="AI258" s="506" t="s">
        <v>621</v>
      </c>
      <c r="AJ258" s="503" t="str">
        <f>IF($G258="","",IF(AND($G258&gt;=30,$AT$3&lt;=AI$7),ROUND(AI258*($AP$3+#REF!),-1),""))</f>
        <v/>
      </c>
      <c r="AK258" s="506" t="s">
        <v>621</v>
      </c>
      <c r="AL258" s="503" t="str">
        <f>IF($G258="","",IF(AND($G258&gt;=30,$AT$3&lt;=AK$7),ROUND(AK258*($AP$3+#REF!),-1),""))</f>
        <v/>
      </c>
      <c r="AM258" s="506" t="s">
        <v>621</v>
      </c>
      <c r="AN258" s="503" t="str">
        <f>IF($G258="","",IF(AND($G258&gt;=30,$AT$3&lt;=AM$7),ROUND(AM258*($AP$3+#REF!),-1),""))</f>
        <v/>
      </c>
      <c r="AO258" s="503" t="e">
        <v>#REF!</v>
      </c>
      <c r="AP258" s="503" t="str">
        <f>IF($G258="","",IF(AND($G258&gt;=30,$AT$3&lt;=AO$7),ROUND(AO258*($AP$3+#REF!),-1),""))</f>
        <v/>
      </c>
      <c r="AQ258" s="503" t="s">
        <v>621</v>
      </c>
      <c r="AR258" s="503" t="str">
        <f>IF($G258="","",IF(AND($G258&gt;=30,$AT$3&lt;=AQ$7),ROUND(AQ258*($AP$3+#REF!),-1),""))</f>
        <v/>
      </c>
      <c r="AS258" s="503" t="s">
        <v>621</v>
      </c>
      <c r="AT258" s="503" t="str">
        <f>IF($G258="","",IF(AND($G258&gt;=30,$AT$3&lt;=AS$7),ROUND(AS258*($AP$3+#REF!),-1),""))</f>
        <v/>
      </c>
      <c r="AU258" s="503" t="s">
        <v>621</v>
      </c>
      <c r="AV258" s="503" t="str">
        <f>IF($G258="","",IF(AND($G258&gt;=30,$AT$3&lt;=AU$7),ROUND(AU258*($AP$3+#REF!),-1),""))</f>
        <v/>
      </c>
      <c r="AW258" s="503" t="s">
        <v>621</v>
      </c>
      <c r="AX258" s="503" t="str">
        <f>IF($G258="","",IF(AND($G258&gt;=30,$AT$3&lt;=AW$7),ROUND(AW258*($AP$3+#REF!),-1),""))</f>
        <v/>
      </c>
      <c r="AY258" s="503" t="s">
        <v>621</v>
      </c>
      <c r="AZ258" s="503" t="str">
        <f>IF($G258="","",IF(AND($G258&gt;=30,$AT$3&lt;=AY$7),ROUND(AY258*($AP$3+#REF!),-1),""))</f>
        <v/>
      </c>
      <c r="BA258" s="503" t="s">
        <v>621</v>
      </c>
      <c r="BB258" s="503" t="str">
        <f>IF($G258="","",IF(AND($G258&gt;=30,$AT$3&lt;=BA$7),ROUND(BA258*($AP$3+#REF!),-1),""))</f>
        <v/>
      </c>
      <c r="BC258" s="503" t="s">
        <v>621</v>
      </c>
      <c r="BD258" s="503" t="str">
        <f>IF($G258="","",IF(AND($G258&gt;=30,$AT$3&lt;=BC$7),ROUND(BC258*($AP$3+#REF!),-1),""))</f>
        <v/>
      </c>
      <c r="BE258" s="503" t="s">
        <v>621</v>
      </c>
      <c r="BF258" s="503" t="str">
        <f>IF($G258="","",IF(AND($G258&gt;=30,$AT$3&lt;=BE$7),ROUND(BE258*($AP$3+#REF!),-1),""))</f>
        <v/>
      </c>
      <c r="BG258" s="503" t="s">
        <v>621</v>
      </c>
      <c r="BH258" s="503" t="str">
        <f>IF($G258="","",IF(AND($G258&gt;=30,$AT$3&lt;=BG$7),ROUND(BG258*($AP$3+#REF!),-1),""))</f>
        <v/>
      </c>
      <c r="BI258" s="503" t="s">
        <v>621</v>
      </c>
      <c r="BJ258" s="503" t="str">
        <f>IF($G258="","",IF(AND($G258&gt;=30,$AT$3&lt;=BI$7),ROUND(BI258*($AP$3+#REF!),-1),""))</f>
        <v/>
      </c>
      <c r="BK258" s="503" t="s">
        <v>621</v>
      </c>
      <c r="BL258" s="503" t="str">
        <f>IF($G258="","",IF(AND($G258&gt;=30,$AT$3&lt;=BK$7),ROUND(BK258*($AP$3+#REF!),-1),""))</f>
        <v/>
      </c>
      <c r="BM258" s="503" t="s">
        <v>621</v>
      </c>
      <c r="BN258" s="503" t="str">
        <f>IF($G258="","",IF(AND($G258&gt;=30,$AT$3&lt;=BM$7),ROUND(BM258*($AP$3+#REF!),-1),""))</f>
        <v/>
      </c>
      <c r="BO258" s="503" t="s">
        <v>621</v>
      </c>
      <c r="BP258" s="503" t="str">
        <f>IF($G258="","",IF(AND($G258&gt;=30,$AT$3&lt;=BO$7),ROUND(BO258*($AP$3+#REF!),-1),""))</f>
        <v/>
      </c>
      <c r="BQ258" s="503" t="s">
        <v>621</v>
      </c>
      <c r="BR258" s="503" t="str">
        <f>IF($G258="","",IF(AND($G258&gt;=30,$AT$3&lt;=BQ$7),ROUND(BQ258*($AP$3+#REF!),-1),""))</f>
        <v/>
      </c>
      <c r="BS258" s="503" t="s">
        <v>621</v>
      </c>
      <c r="BT258" s="503" t="str">
        <f>IF($G258="","",IF(AND($G258&gt;=30,$AT$3&lt;=BS$7),ROUND(BS258*($AP$3+#REF!),-1),""))</f>
        <v/>
      </c>
      <c r="BU258" s="517" t="e">
        <v>#REF!</v>
      </c>
      <c r="BV258" s="503" t="str">
        <f>IF($G258="","",IF(AND($G258&gt;=30,$AT$3&lt;=BU$7),ROUND(BU258*($AP$3+#REF!),-1),""))</f>
        <v/>
      </c>
      <c r="BW258" s="517"/>
      <c r="BX258" s="503" t="str">
        <f>IF($G258="","",IF(AND($G258&gt;=30,$AT$3&lt;=BW$7),ROUND(BW258*($AP$3+#REF!),-1),""))</f>
        <v/>
      </c>
      <c r="BY258" s="503"/>
      <c r="BZ258" s="503" t="str">
        <f>IF($G258="","",IF(AND($G258&gt;=30,$AT$3&lt;=BY$7),ROUND(BY258*($AP$3+#REF!),-1),""))</f>
        <v/>
      </c>
      <c r="CA258" s="502"/>
      <c r="CB258" s="503" t="str">
        <f>IF($G258="","",IF(AND($G258&gt;=30,$AT$3&lt;=CA$7),ROUND(CA258*($AP$3+#REF!),-1),""))</f>
        <v/>
      </c>
      <c r="CC258" s="503"/>
      <c r="CD258" s="503" t="str">
        <f>IF($G258="","",IF(AND($G258&gt;=30,$AT$3&lt;=CC$7),ROUND(CC258*($AP$3+#REF!),-1),""))</f>
        <v/>
      </c>
      <c r="CE258" s="502"/>
      <c r="CF258" s="503" t="str">
        <f>IF($G258="","",IF(AND($G258&gt;=30,$AT$3&lt;=CE$7),ROUND(CE258*($AP$3+#REF!),-1),""))</f>
        <v/>
      </c>
      <c r="CG258" s="503"/>
      <c r="CH258" s="503" t="str">
        <f>IF($G258="","",IF(AND($G258&gt;=30,$AT$3&lt;=CG$7),ROUND(CG258*($AP$3+#REF!),-1),""))</f>
        <v/>
      </c>
      <c r="CI258" s="502"/>
      <c r="CJ258" s="503" t="str">
        <f>IF($G258="","",IF(AND($G258&gt;=30,$AT$3&lt;=CI$7),ROUND(CI258*($AP$3+#REF!),-1),""))</f>
        <v/>
      </c>
      <c r="CK258" s="503"/>
      <c r="CL258" s="503" t="str">
        <f>IF($G258="","",IF(AND($G258&gt;=30,$AT$3&lt;=CK$7),ROUND(CK258*($AP$3+#REF!),-1),""))</f>
        <v/>
      </c>
      <c r="CM258" s="502"/>
      <c r="CN258" s="503" t="str">
        <f>IF($G258="","",IF(AND($G258&gt;=30,$AT$3&lt;=CM$7),ROUND(CM258*($AP$3+#REF!),-1),""))</f>
        <v/>
      </c>
      <c r="CO258" s="503"/>
      <c r="CP258" s="503" t="str">
        <f>IF($G258="","",IF(AND($G258&gt;=30,$AT$3&lt;=CO$7),ROUND(CO258*($AP$3+#REF!),-1),""))</f>
        <v/>
      </c>
      <c r="CQ258" s="502"/>
      <c r="CR258" s="503" t="str">
        <f>IF($G258="","",IF(AND($G258&gt;=30,$AT$3&lt;=CQ$7),ROUND(CQ258*($AP$3+#REF!),-1),""))</f>
        <v/>
      </c>
      <c r="CS258" s="503"/>
      <c r="CT258" s="503" t="str">
        <f>IF($G258="","",IF(AND($G258&gt;=30,$AT$3&lt;=CS$7),ROUND(CS258*($AP$3+#REF!),-1),""))</f>
        <v/>
      </c>
      <c r="CU258" s="502"/>
      <c r="CV258" s="503" t="str">
        <f>IF($G258="","",IF(AND($G258&gt;=30,$AT$3&lt;=CU$7),ROUND(CU258*($AP$3+#REF!),-1),""))</f>
        <v/>
      </c>
      <c r="CW258" s="503"/>
      <c r="CX258" s="503" t="str">
        <f>IF($G258="","",IF(AND($G258&gt;=30,$AT$3&lt;=CW$7),ROUND(CW258*($AP$3+#REF!),-1),""))</f>
        <v/>
      </c>
      <c r="CY258" s="502"/>
      <c r="CZ258" s="503" t="str">
        <f>IF($G258="","",IF(AND($G258&gt;=30,$AT$3&lt;=CY$7),ROUND(CY258*($AP$3+#REF!),-1),""))</f>
        <v/>
      </c>
      <c r="DA258" s="503"/>
      <c r="DB258" s="503" t="str">
        <f>IF($G258="","",IF(AND($G258&gt;=30,$AT$3&lt;=DA$7),ROUND(DA258*($AP$3+#REF!),-1),""))</f>
        <v/>
      </c>
      <c r="DC258" s="502"/>
      <c r="DD258" s="503" t="str">
        <f>IF($G258="","",IF(AND($G258&gt;=30,$AT$3&lt;=DC$7),ROUND(DC258*($AP$3+#REF!),-1),""))</f>
        <v/>
      </c>
      <c r="DE258" s="503"/>
      <c r="DF258" s="503" t="str">
        <f>IF($G258="","",IF(AND($G258&gt;=30,$AT$3&lt;=DE$7),ROUND(DE258*($AP$3+#REF!),-1),""))</f>
        <v/>
      </c>
      <c r="DG258" s="503"/>
      <c r="DH258" s="503" t="str">
        <f>IF($G258="","",IF(AND($G258&gt;=30,$AT$3&lt;=DG$7),ROUND(DG258*($AP$3+#REF!),-1),""))</f>
        <v/>
      </c>
      <c r="DI258" s="503"/>
      <c r="DJ258" s="503" t="str">
        <f>IF($G258="","",IF(AND($G258&gt;=30,$AT$3&lt;=DI$7),ROUND(DI258*($AP$3+#REF!),-1),""))</f>
        <v/>
      </c>
      <c r="DK258" s="503"/>
      <c r="DL258" s="503" t="str">
        <f>IF($G258="","",IF(AND($G258&gt;=30,$AT$3&lt;=DK$7),ROUND(DK258*($AP$3+#REF!),-1),""))</f>
        <v/>
      </c>
      <c r="DM258" s="503"/>
      <c r="DN258" s="503" t="str">
        <f>IF($G258="","",IF(AND($G258&gt;=30,$AT$3&lt;=DM$7),ROUND(DM258*($AP$3+#REF!),-1),""))</f>
        <v/>
      </c>
      <c r="DO258" s="503"/>
      <c r="DP258" s="503" t="str">
        <f>IF($G258="","",IF(AND($G258&gt;=30,$AT$3&lt;=DO$7),ROUND(DO258*($AP$3+#REF!),-1),""))</f>
        <v/>
      </c>
      <c r="DQ258" s="503"/>
      <c r="DR258" s="503" t="str">
        <f>IF($G258="","",IF(AND($G258&gt;=30,$AT$3&lt;=DQ$7),ROUND(DQ258*($AP$3+#REF!),-1),""))</f>
        <v/>
      </c>
      <c r="DS258" s="503"/>
      <c r="DT258" s="503" t="str">
        <f>IF($G258="","",IF(AND($G258&gt;=30,$AT$3&lt;=DS$7),ROUND(DS258*($AP$3+#REF!),-1),""))</f>
        <v/>
      </c>
      <c r="DU258" s="503"/>
      <c r="DV258" s="503" t="str">
        <f>IF($G258="","",IF(AND($G258&gt;=30,$AT$3&lt;=DU$7),ROUND(DU258*($AP$3+#REF!),-1),""))</f>
        <v/>
      </c>
      <c r="DW258" s="503"/>
      <c r="DX258" s="503" t="str">
        <f>IF($G258="","",IF(AND($G258&gt;=30,$AT$3&lt;=DW$7),ROUND(DW258*($AP$3+#REF!),-1),""))</f>
        <v/>
      </c>
      <c r="DY258" s="503"/>
      <c r="DZ258" s="503" t="str">
        <f>IF($G258="","",IF(AND($G258&gt;=30,$AT$3&lt;=DY$7),ROUND(DY258*($AP$3+#REF!),-1),""))</f>
        <v/>
      </c>
      <c r="EA258" s="503"/>
      <c r="EB258" s="503" t="str">
        <f>IF($G258="","",IF(AND($G258&gt;=30,$AT$3&lt;=EA$7),ROUND(EA258*($AP$3+#REF!),-1),""))</f>
        <v/>
      </c>
      <c r="EC258" s="504" t="s">
        <v>621</v>
      </c>
      <c r="ED258" s="1124"/>
      <c r="EE258" s="325">
        <v>10</v>
      </c>
    </row>
    <row r="259" spans="1:135" ht="9.75" customHeight="1">
      <c r="A259" s="321" t="str">
        <f t="shared" si="68"/>
        <v/>
      </c>
      <c r="B259" s="567">
        <f>(ii!$D$13*12+V259)+1</f>
        <v>153</v>
      </c>
      <c r="C259" s="337">
        <f t="shared" si="58"/>
        <v>50009</v>
      </c>
      <c r="D259" s="484">
        <f t="shared" si="61"/>
        <v>2036</v>
      </c>
      <c r="E259" s="484">
        <f t="shared" si="59"/>
        <v>0.91666666666666663</v>
      </c>
      <c r="F259" s="484">
        <f t="shared" si="62"/>
        <v>2036.9166666666667</v>
      </c>
      <c r="G259" s="485" t="str">
        <f>IF(OR(C259&lt;$I$2,C259&gt;$J$3),"",(ii!$D$13*12+V259+1)/12)</f>
        <v/>
      </c>
      <c r="H259" s="486"/>
      <c r="I259" s="486"/>
      <c r="J259" s="487"/>
      <c r="K259" s="488"/>
      <c r="L259" s="548"/>
      <c r="M259" s="489" t="str">
        <f t="shared" si="63"/>
        <v/>
      </c>
      <c r="N259" s="490" t="s">
        <v>621</v>
      </c>
      <c r="O259" s="490" t="str">
        <f t="shared" si="56"/>
        <v/>
      </c>
      <c r="P259" s="491"/>
      <c r="Q259" s="491"/>
      <c r="R259" s="491" t="str">
        <f t="shared" si="57"/>
        <v/>
      </c>
      <c r="S259" s="528" t="str">
        <f t="shared" si="69"/>
        <v/>
      </c>
      <c r="T259" s="528" t="str">
        <f t="shared" si="67"/>
        <v/>
      </c>
      <c r="U259" s="493" t="str">
        <f>IF(H259="","",#REF!*12+#REF!+#REF!*12+#REF!)</f>
        <v/>
      </c>
      <c r="V259" s="338">
        <f>IF(ii!$J$3&gt;gg!C259,"",IF(AND((YEAR(C259)=YEAR($I$2)),MONTH(C259)=MONTH($I$2)),ii!$B$14*12+ii!$C$14+ii!$B$15*12+ii!$C$15-1,V258+1))</f>
        <v>152</v>
      </c>
      <c r="W259" s="339">
        <f t="shared" si="60"/>
        <v>12.666666666666666</v>
      </c>
      <c r="X259" s="494" t="s">
        <v>621</v>
      </c>
      <c r="Y259" s="495" t="s">
        <v>621</v>
      </c>
      <c r="Z259" s="496"/>
      <c r="AA259" s="497"/>
      <c r="AB259" s="498" t="e">
        <f t="shared" si="66"/>
        <v>#VALUE!</v>
      </c>
      <c r="AC259" s="484" t="str">
        <f t="shared" si="64"/>
        <v/>
      </c>
      <c r="AD259" s="495" t="str">
        <f t="shared" si="65"/>
        <v/>
      </c>
      <c r="AE259" s="499" t="s">
        <v>621</v>
      </c>
      <c r="AF259" s="500" t="s">
        <v>621</v>
      </c>
      <c r="AG259" s="556" t="s">
        <v>621</v>
      </c>
      <c r="AH259" s="503" t="str">
        <f>IF($G259="","",IF(AND($G259&gt;=30,$AT$3&lt;=AG$7),ROUND(AG259*($AP$3+#REF!),-1),""))</f>
        <v/>
      </c>
      <c r="AI259" s="506" t="s">
        <v>621</v>
      </c>
      <c r="AJ259" s="503" t="str">
        <f>IF($G259="","",IF(AND($G259&gt;=30,$AT$3&lt;=AI$7),ROUND(AI259*($AP$3+#REF!),-1),""))</f>
        <v/>
      </c>
      <c r="AK259" s="506" t="s">
        <v>621</v>
      </c>
      <c r="AL259" s="503" t="str">
        <f>IF($G259="","",IF(AND($G259&gt;=30,$AT$3&lt;=AK$7),ROUND(AK259*($AP$3+#REF!),-1),""))</f>
        <v/>
      </c>
      <c r="AM259" s="506" t="s">
        <v>621</v>
      </c>
      <c r="AN259" s="503" t="str">
        <f>IF($G259="","",IF(AND($G259&gt;=30,$AT$3&lt;=AM$7),ROUND(AM259*($AP$3+#REF!),-1),""))</f>
        <v/>
      </c>
      <c r="AO259" s="503" t="e">
        <v>#REF!</v>
      </c>
      <c r="AP259" s="503" t="str">
        <f>IF($G259="","",IF(AND($G259&gt;=30,$AT$3&lt;=AO$7),ROUND(AO259*($AP$3+#REF!),-1),""))</f>
        <v/>
      </c>
      <c r="AQ259" s="503" t="s">
        <v>621</v>
      </c>
      <c r="AR259" s="503" t="str">
        <f>IF($G259="","",IF(AND($G259&gt;=30,$AT$3&lt;=AQ$7),ROUND(AQ259*($AP$3+#REF!),-1),""))</f>
        <v/>
      </c>
      <c r="AS259" s="503" t="s">
        <v>621</v>
      </c>
      <c r="AT259" s="503" t="str">
        <f>IF($G259="","",IF(AND($G259&gt;=30,$AT$3&lt;=AS$7),ROUND(AS259*($AP$3+#REF!),-1),""))</f>
        <v/>
      </c>
      <c r="AU259" s="503" t="s">
        <v>621</v>
      </c>
      <c r="AV259" s="503" t="str">
        <f>IF($G259="","",IF(AND($G259&gt;=30,$AT$3&lt;=AU$7),ROUND(AU259*($AP$3+#REF!),-1),""))</f>
        <v/>
      </c>
      <c r="AW259" s="503" t="s">
        <v>621</v>
      </c>
      <c r="AX259" s="503" t="str">
        <f>IF($G259="","",IF(AND($G259&gt;=30,$AT$3&lt;=AW$7),ROUND(AW259*($AP$3+#REF!),-1),""))</f>
        <v/>
      </c>
      <c r="AY259" s="503" t="s">
        <v>621</v>
      </c>
      <c r="AZ259" s="503" t="str">
        <f>IF($G259="","",IF(AND($G259&gt;=30,$AT$3&lt;=AY$7),ROUND(AY259*($AP$3+#REF!),-1),""))</f>
        <v/>
      </c>
      <c r="BA259" s="503" t="s">
        <v>621</v>
      </c>
      <c r="BB259" s="503" t="str">
        <f>IF($G259="","",IF(AND($G259&gt;=30,$AT$3&lt;=BA$7),ROUND(BA259*($AP$3+#REF!),-1),""))</f>
        <v/>
      </c>
      <c r="BC259" s="503" t="s">
        <v>621</v>
      </c>
      <c r="BD259" s="503" t="str">
        <f>IF($G259="","",IF(AND($G259&gt;=30,$AT$3&lt;=BC$7),ROUND(BC259*($AP$3+#REF!),-1),""))</f>
        <v/>
      </c>
      <c r="BE259" s="503" t="s">
        <v>621</v>
      </c>
      <c r="BF259" s="503" t="str">
        <f>IF($G259="","",IF(AND($G259&gt;=30,$AT$3&lt;=BE$7),ROUND(BE259*($AP$3+#REF!),-1),""))</f>
        <v/>
      </c>
      <c r="BG259" s="503" t="s">
        <v>621</v>
      </c>
      <c r="BH259" s="503" t="str">
        <f>IF($G259="","",IF(AND($G259&gt;=30,$AT$3&lt;=BG$7),ROUND(BG259*($AP$3+#REF!),-1),""))</f>
        <v/>
      </c>
      <c r="BI259" s="503" t="s">
        <v>621</v>
      </c>
      <c r="BJ259" s="503" t="str">
        <f>IF($G259="","",IF(AND($G259&gt;=30,$AT$3&lt;=BI$7),ROUND(BI259*($AP$3+#REF!),-1),""))</f>
        <v/>
      </c>
      <c r="BK259" s="503" t="s">
        <v>621</v>
      </c>
      <c r="BL259" s="503" t="str">
        <f>IF($G259="","",IF(AND($G259&gt;=30,$AT$3&lt;=BK$7),ROUND(BK259*($AP$3+#REF!),-1),""))</f>
        <v/>
      </c>
      <c r="BM259" s="503" t="s">
        <v>621</v>
      </c>
      <c r="BN259" s="503" t="str">
        <f>IF($G259="","",IF(AND($G259&gt;=30,$AT$3&lt;=BM$7),ROUND(BM259*($AP$3+#REF!),-1),""))</f>
        <v/>
      </c>
      <c r="BO259" s="503" t="s">
        <v>621</v>
      </c>
      <c r="BP259" s="503" t="str">
        <f>IF($G259="","",IF(AND($G259&gt;=30,$AT$3&lt;=BO$7),ROUND(BO259*($AP$3+#REF!),-1),""))</f>
        <v/>
      </c>
      <c r="BQ259" s="503" t="s">
        <v>621</v>
      </c>
      <c r="BR259" s="503" t="str">
        <f>IF($G259="","",IF(AND($G259&gt;=30,$AT$3&lt;=BQ$7),ROUND(BQ259*($AP$3+#REF!),-1),""))</f>
        <v/>
      </c>
      <c r="BS259" s="503" t="s">
        <v>621</v>
      </c>
      <c r="BT259" s="503" t="str">
        <f>IF($G259="","",IF(AND($G259&gt;=30,$AT$3&lt;=BS$7),ROUND(BS259*($AP$3+#REF!),-1),""))</f>
        <v/>
      </c>
      <c r="BU259" s="517" t="e">
        <v>#REF!</v>
      </c>
      <c r="BV259" s="503" t="str">
        <f>IF($G259="","",IF(AND($G259&gt;=30,$AT$3&lt;=BU$7),ROUND(BU259*($AP$3+#REF!),-1),""))</f>
        <v/>
      </c>
      <c r="BW259" s="517"/>
      <c r="BX259" s="503" t="str">
        <f>IF($G259="","",IF(AND($G259&gt;=30,$AT$3&lt;=BW$7),ROUND(BW259*($AP$3+#REF!),-1),""))</f>
        <v/>
      </c>
      <c r="BY259" s="503"/>
      <c r="BZ259" s="503" t="str">
        <f>IF($G259="","",IF(AND($G259&gt;=30,$AT$3&lt;=BY$7),ROUND(BY259*($AP$3+#REF!),-1),""))</f>
        <v/>
      </c>
      <c r="CA259" s="502"/>
      <c r="CB259" s="503" t="str">
        <f>IF($G259="","",IF(AND($G259&gt;=30,$AT$3&lt;=CA$7),ROUND(CA259*($AP$3+#REF!),-1),""))</f>
        <v/>
      </c>
      <c r="CC259" s="503"/>
      <c r="CD259" s="503" t="str">
        <f>IF($G259="","",IF(AND($G259&gt;=30,$AT$3&lt;=CC$7),ROUND(CC259*($AP$3+#REF!),-1),""))</f>
        <v/>
      </c>
      <c r="CE259" s="502"/>
      <c r="CF259" s="503" t="str">
        <f>IF($G259="","",IF(AND($G259&gt;=30,$AT$3&lt;=CE$7),ROUND(CE259*($AP$3+#REF!),-1),""))</f>
        <v/>
      </c>
      <c r="CG259" s="503"/>
      <c r="CH259" s="503" t="str">
        <f>IF($G259="","",IF(AND($G259&gt;=30,$AT$3&lt;=CG$7),ROUND(CG259*($AP$3+#REF!),-1),""))</f>
        <v/>
      </c>
      <c r="CI259" s="502"/>
      <c r="CJ259" s="503" t="str">
        <f>IF($G259="","",IF(AND($G259&gt;=30,$AT$3&lt;=CI$7),ROUND(CI259*($AP$3+#REF!),-1),""))</f>
        <v/>
      </c>
      <c r="CK259" s="503"/>
      <c r="CL259" s="503" t="str">
        <f>IF($G259="","",IF(AND($G259&gt;=30,$AT$3&lt;=CK$7),ROUND(CK259*($AP$3+#REF!),-1),""))</f>
        <v/>
      </c>
      <c r="CM259" s="502"/>
      <c r="CN259" s="503" t="str">
        <f>IF($G259="","",IF(AND($G259&gt;=30,$AT$3&lt;=CM$7),ROUND(CM259*($AP$3+#REF!),-1),""))</f>
        <v/>
      </c>
      <c r="CO259" s="503"/>
      <c r="CP259" s="503" t="str">
        <f>IF($G259="","",IF(AND($G259&gt;=30,$AT$3&lt;=CO$7),ROUND(CO259*($AP$3+#REF!),-1),""))</f>
        <v/>
      </c>
      <c r="CQ259" s="502"/>
      <c r="CR259" s="503" t="str">
        <f>IF($G259="","",IF(AND($G259&gt;=30,$AT$3&lt;=CQ$7),ROUND(CQ259*($AP$3+#REF!),-1),""))</f>
        <v/>
      </c>
      <c r="CS259" s="503"/>
      <c r="CT259" s="503" t="str">
        <f>IF($G259="","",IF(AND($G259&gt;=30,$AT$3&lt;=CS$7),ROUND(CS259*($AP$3+#REF!),-1),""))</f>
        <v/>
      </c>
      <c r="CU259" s="502"/>
      <c r="CV259" s="503" t="str">
        <f>IF($G259="","",IF(AND($G259&gt;=30,$AT$3&lt;=CU$7),ROUND(CU259*($AP$3+#REF!),-1),""))</f>
        <v/>
      </c>
      <c r="CW259" s="503"/>
      <c r="CX259" s="503" t="str">
        <f>IF($G259="","",IF(AND($G259&gt;=30,$AT$3&lt;=CW$7),ROUND(CW259*($AP$3+#REF!),-1),""))</f>
        <v/>
      </c>
      <c r="CY259" s="502"/>
      <c r="CZ259" s="503" t="str">
        <f>IF($G259="","",IF(AND($G259&gt;=30,$AT$3&lt;=CY$7),ROUND(CY259*($AP$3+#REF!),-1),""))</f>
        <v/>
      </c>
      <c r="DA259" s="503"/>
      <c r="DB259" s="503" t="str">
        <f>IF($G259="","",IF(AND($G259&gt;=30,$AT$3&lt;=DA$7),ROUND(DA259*($AP$3+#REF!),-1),""))</f>
        <v/>
      </c>
      <c r="DC259" s="502"/>
      <c r="DD259" s="503" t="str">
        <f>IF($G259="","",IF(AND($G259&gt;=30,$AT$3&lt;=DC$7),ROUND(DC259*($AP$3+#REF!),-1),""))</f>
        <v/>
      </c>
      <c r="DE259" s="503"/>
      <c r="DF259" s="503" t="str">
        <f>IF($G259="","",IF(AND($G259&gt;=30,$AT$3&lt;=DE$7),ROUND(DE259*($AP$3+#REF!),-1),""))</f>
        <v/>
      </c>
      <c r="DG259" s="503"/>
      <c r="DH259" s="503" t="str">
        <f>IF($G259="","",IF(AND($G259&gt;=30,$AT$3&lt;=DG$7),ROUND(DG259*($AP$3+#REF!),-1),""))</f>
        <v/>
      </c>
      <c r="DI259" s="503"/>
      <c r="DJ259" s="503" t="str">
        <f>IF($G259="","",IF(AND($G259&gt;=30,$AT$3&lt;=DI$7),ROUND(DI259*($AP$3+#REF!),-1),""))</f>
        <v/>
      </c>
      <c r="DK259" s="503"/>
      <c r="DL259" s="503" t="str">
        <f>IF($G259="","",IF(AND($G259&gt;=30,$AT$3&lt;=DK$7),ROUND(DK259*($AP$3+#REF!),-1),""))</f>
        <v/>
      </c>
      <c r="DM259" s="503"/>
      <c r="DN259" s="503" t="str">
        <f>IF($G259="","",IF(AND($G259&gt;=30,$AT$3&lt;=DM$7),ROUND(DM259*($AP$3+#REF!),-1),""))</f>
        <v/>
      </c>
      <c r="DO259" s="503"/>
      <c r="DP259" s="503" t="str">
        <f>IF($G259="","",IF(AND($G259&gt;=30,$AT$3&lt;=DO$7),ROUND(DO259*($AP$3+#REF!),-1),""))</f>
        <v/>
      </c>
      <c r="DQ259" s="503"/>
      <c r="DR259" s="503" t="str">
        <f>IF($G259="","",IF(AND($G259&gt;=30,$AT$3&lt;=DQ$7),ROUND(DQ259*($AP$3+#REF!),-1),""))</f>
        <v/>
      </c>
      <c r="DS259" s="503"/>
      <c r="DT259" s="503" t="str">
        <f>IF($G259="","",IF(AND($G259&gt;=30,$AT$3&lt;=DS$7),ROUND(DS259*($AP$3+#REF!),-1),""))</f>
        <v/>
      </c>
      <c r="DU259" s="503"/>
      <c r="DV259" s="503" t="str">
        <f>IF($G259="","",IF(AND($G259&gt;=30,$AT$3&lt;=DU$7),ROUND(DU259*($AP$3+#REF!),-1),""))</f>
        <v/>
      </c>
      <c r="DW259" s="503"/>
      <c r="DX259" s="503" t="str">
        <f>IF($G259="","",IF(AND($G259&gt;=30,$AT$3&lt;=DW$7),ROUND(DW259*($AP$3+#REF!),-1),""))</f>
        <v/>
      </c>
      <c r="DY259" s="503"/>
      <c r="DZ259" s="503" t="str">
        <f>IF($G259="","",IF(AND($G259&gt;=30,$AT$3&lt;=DY$7),ROUND(DY259*($AP$3+#REF!),-1),""))</f>
        <v/>
      </c>
      <c r="EA259" s="503"/>
      <c r="EB259" s="503" t="str">
        <f>IF($G259="","",IF(AND($G259&gt;=30,$AT$3&lt;=EA$7),ROUND(EA259*($AP$3+#REF!),-1),""))</f>
        <v/>
      </c>
      <c r="EC259" s="504" t="s">
        <v>621</v>
      </c>
      <c r="ED259" s="1124"/>
      <c r="EE259" s="325">
        <v>11</v>
      </c>
    </row>
    <row r="260" spans="1:135" ht="9.75" customHeight="1">
      <c r="A260" s="321" t="str">
        <f t="shared" si="68"/>
        <v/>
      </c>
      <c r="B260" s="567">
        <f>(ii!$D$13*12+V260)+1</f>
        <v>154</v>
      </c>
      <c r="C260" s="337">
        <f t="shared" si="58"/>
        <v>50040</v>
      </c>
      <c r="D260" s="484">
        <f t="shared" si="61"/>
        <v>2036</v>
      </c>
      <c r="E260" s="484">
        <f t="shared" si="59"/>
        <v>1</v>
      </c>
      <c r="F260" s="484">
        <f t="shared" si="62"/>
        <v>2037</v>
      </c>
      <c r="G260" s="485" t="str">
        <f>IF(OR(C260&lt;$I$2,C260&gt;$J$3),"",(ii!$D$13*12+V260+1)/12)</f>
        <v/>
      </c>
      <c r="H260" s="486"/>
      <c r="I260" s="486"/>
      <c r="J260" s="487"/>
      <c r="K260" s="488"/>
      <c r="L260" s="548"/>
      <c r="M260" s="489" t="str">
        <f t="shared" si="63"/>
        <v/>
      </c>
      <c r="N260" s="490" t="s">
        <v>621</v>
      </c>
      <c r="O260" s="490" t="str">
        <f t="shared" si="56"/>
        <v/>
      </c>
      <c r="P260" s="491"/>
      <c r="Q260" s="491"/>
      <c r="R260" s="491" t="str">
        <f t="shared" si="57"/>
        <v/>
      </c>
      <c r="S260" s="528" t="str">
        <f t="shared" si="69"/>
        <v/>
      </c>
      <c r="T260" s="528" t="str">
        <f t="shared" si="67"/>
        <v/>
      </c>
      <c r="U260" s="493" t="str">
        <f>IF(H260="","",#REF!*12+#REF!+#REF!*12+#REF!)</f>
        <v/>
      </c>
      <c r="V260" s="338">
        <f>IF(ii!$J$3&gt;gg!C260,"",IF(AND((YEAR(C260)=YEAR($I$2)),MONTH(C260)=MONTH($I$2)),ii!$B$14*12+ii!$C$14+ii!$B$15*12+ii!$C$15-1,V259+1))</f>
        <v>153</v>
      </c>
      <c r="W260" s="339">
        <f t="shared" si="60"/>
        <v>12.75</v>
      </c>
      <c r="X260" s="494" t="s">
        <v>621</v>
      </c>
      <c r="Y260" s="495" t="s">
        <v>621</v>
      </c>
      <c r="Z260" s="496"/>
      <c r="AA260" s="497"/>
      <c r="AB260" s="498" t="e">
        <f t="shared" si="66"/>
        <v>#VALUE!</v>
      </c>
      <c r="AC260" s="484" t="str">
        <f t="shared" si="64"/>
        <v/>
      </c>
      <c r="AD260" s="495" t="str">
        <f t="shared" si="65"/>
        <v/>
      </c>
      <c r="AE260" s="499" t="s">
        <v>621</v>
      </c>
      <c r="AF260" s="500" t="s">
        <v>621</v>
      </c>
      <c r="AG260" s="556" t="s">
        <v>621</v>
      </c>
      <c r="AH260" s="503" t="str">
        <f>IF($G260="","",IF(AND($G260&gt;=30,$AT$3&lt;=AG$7),ROUND(AG260*($AP$3+#REF!),-1),""))</f>
        <v/>
      </c>
      <c r="AI260" s="506" t="s">
        <v>621</v>
      </c>
      <c r="AJ260" s="503" t="str">
        <f>IF($G260="","",IF(AND($G260&gt;=30,$AT$3&lt;=AI$7),ROUND(AI260*($AP$3+#REF!),-1),""))</f>
        <v/>
      </c>
      <c r="AK260" s="506" t="s">
        <v>621</v>
      </c>
      <c r="AL260" s="503" t="str">
        <f>IF($G260="","",IF(AND($G260&gt;=30,$AT$3&lt;=AK$7),ROUND(AK260*($AP$3+#REF!),-1),""))</f>
        <v/>
      </c>
      <c r="AM260" s="506" t="s">
        <v>621</v>
      </c>
      <c r="AN260" s="503" t="str">
        <f>IF($G260="","",IF(AND($G260&gt;=30,$AT$3&lt;=AM$7),ROUND(AM260*($AP$3+#REF!),-1),""))</f>
        <v/>
      </c>
      <c r="AO260" s="503" t="e">
        <v>#REF!</v>
      </c>
      <c r="AP260" s="503" t="str">
        <f>IF($G260="","",IF(AND($G260&gt;=30,$AT$3&lt;=AO$7),ROUND(AO260*($AP$3+#REF!),-1),""))</f>
        <v/>
      </c>
      <c r="AQ260" s="503" t="s">
        <v>621</v>
      </c>
      <c r="AR260" s="503" t="str">
        <f>IF($G260="","",IF(AND($G260&gt;=30,$AT$3&lt;=AQ$7),ROUND(AQ260*($AP$3+#REF!),-1),""))</f>
        <v/>
      </c>
      <c r="AS260" s="503" t="s">
        <v>621</v>
      </c>
      <c r="AT260" s="503" t="str">
        <f>IF($G260="","",IF(AND($G260&gt;=30,$AT$3&lt;=AS$7),ROUND(AS260*($AP$3+#REF!),-1),""))</f>
        <v/>
      </c>
      <c r="AU260" s="503" t="s">
        <v>621</v>
      </c>
      <c r="AV260" s="503" t="str">
        <f>IF($G260="","",IF(AND($G260&gt;=30,$AT$3&lt;=AU$7),ROUND(AU260*($AP$3+#REF!),-1),""))</f>
        <v/>
      </c>
      <c r="AW260" s="503" t="s">
        <v>621</v>
      </c>
      <c r="AX260" s="503" t="str">
        <f>IF($G260="","",IF(AND($G260&gt;=30,$AT$3&lt;=AW$7),ROUND(AW260*($AP$3+#REF!),-1),""))</f>
        <v/>
      </c>
      <c r="AY260" s="503" t="s">
        <v>621</v>
      </c>
      <c r="AZ260" s="503" t="str">
        <f>IF($G260="","",IF(AND($G260&gt;=30,$AT$3&lt;=AY$7),ROUND(AY260*($AP$3+#REF!),-1),""))</f>
        <v/>
      </c>
      <c r="BA260" s="503" t="s">
        <v>621</v>
      </c>
      <c r="BB260" s="503" t="str">
        <f>IF($G260="","",IF(AND($G260&gt;=30,$AT$3&lt;=BA$7),ROUND(BA260*($AP$3+#REF!),-1),""))</f>
        <v/>
      </c>
      <c r="BC260" s="503" t="s">
        <v>621</v>
      </c>
      <c r="BD260" s="503" t="str">
        <f>IF($G260="","",IF(AND($G260&gt;=30,$AT$3&lt;=BC$7),ROUND(BC260*($AP$3+#REF!),-1),""))</f>
        <v/>
      </c>
      <c r="BE260" s="503" t="s">
        <v>621</v>
      </c>
      <c r="BF260" s="503" t="str">
        <f>IF($G260="","",IF(AND($G260&gt;=30,$AT$3&lt;=BE$7),ROUND(BE260*($AP$3+#REF!),-1),""))</f>
        <v/>
      </c>
      <c r="BG260" s="503" t="s">
        <v>621</v>
      </c>
      <c r="BH260" s="503" t="str">
        <f>IF($G260="","",IF(AND($G260&gt;=30,$AT$3&lt;=BG$7),ROUND(BG260*($AP$3+#REF!),-1),""))</f>
        <v/>
      </c>
      <c r="BI260" s="503" t="s">
        <v>621</v>
      </c>
      <c r="BJ260" s="503" t="str">
        <f>IF($G260="","",IF(AND($G260&gt;=30,$AT$3&lt;=BI$7),ROUND(BI260*($AP$3+#REF!),-1),""))</f>
        <v/>
      </c>
      <c r="BK260" s="503" t="s">
        <v>621</v>
      </c>
      <c r="BL260" s="503" t="str">
        <f>IF($G260="","",IF(AND($G260&gt;=30,$AT$3&lt;=BK$7),ROUND(BK260*($AP$3+#REF!),-1),""))</f>
        <v/>
      </c>
      <c r="BM260" s="503" t="s">
        <v>621</v>
      </c>
      <c r="BN260" s="503" t="str">
        <f>IF($G260="","",IF(AND($G260&gt;=30,$AT$3&lt;=BM$7),ROUND(BM260*($AP$3+#REF!),-1),""))</f>
        <v/>
      </c>
      <c r="BO260" s="503" t="s">
        <v>621</v>
      </c>
      <c r="BP260" s="503" t="str">
        <f>IF($G260="","",IF(AND($G260&gt;=30,$AT$3&lt;=BO$7),ROUND(BO260*($AP$3+#REF!),-1),""))</f>
        <v/>
      </c>
      <c r="BQ260" s="503" t="s">
        <v>621</v>
      </c>
      <c r="BR260" s="503" t="str">
        <f>IF($G260="","",IF(AND($G260&gt;=30,$AT$3&lt;=BQ$7),ROUND(BQ260*($AP$3+#REF!),-1),""))</f>
        <v/>
      </c>
      <c r="BS260" s="503" t="s">
        <v>621</v>
      </c>
      <c r="BT260" s="503" t="str">
        <f>IF($G260="","",IF(AND($G260&gt;=30,$AT$3&lt;=BS$7),ROUND(BS260*($AP$3+#REF!),-1),""))</f>
        <v/>
      </c>
      <c r="BU260" s="517" t="e">
        <v>#REF!</v>
      </c>
      <c r="BV260" s="503" t="str">
        <f>IF($G260="","",IF(AND($G260&gt;=30,$AT$3&lt;=BU$7),ROUND(BU260*($AP$3+#REF!),-1),""))</f>
        <v/>
      </c>
      <c r="BW260" s="517"/>
      <c r="BX260" s="503" t="str">
        <f>IF($G260="","",IF(AND($G260&gt;=30,$AT$3&lt;=BW$7),ROUND(BW260*($AP$3+#REF!),-1),""))</f>
        <v/>
      </c>
      <c r="BY260" s="503"/>
      <c r="BZ260" s="503" t="str">
        <f>IF($G260="","",IF(AND($G260&gt;=30,$AT$3&lt;=BY$7),ROUND(BY260*($AP$3+#REF!),-1),""))</f>
        <v/>
      </c>
      <c r="CA260" s="502"/>
      <c r="CB260" s="503" t="str">
        <f>IF($G260="","",IF(AND($G260&gt;=30,$AT$3&lt;=CA$7),ROUND(CA260*($AP$3+#REF!),-1),""))</f>
        <v/>
      </c>
      <c r="CC260" s="503"/>
      <c r="CD260" s="503" t="str">
        <f>IF($G260="","",IF(AND($G260&gt;=30,$AT$3&lt;=CC$7),ROUND(CC260*($AP$3+#REF!),-1),""))</f>
        <v/>
      </c>
      <c r="CE260" s="502"/>
      <c r="CF260" s="503" t="str">
        <f>IF($G260="","",IF(AND($G260&gt;=30,$AT$3&lt;=CE$7),ROUND(CE260*($AP$3+#REF!),-1),""))</f>
        <v/>
      </c>
      <c r="CG260" s="503"/>
      <c r="CH260" s="503" t="str">
        <f>IF($G260="","",IF(AND($G260&gt;=30,$AT$3&lt;=CG$7),ROUND(CG260*($AP$3+#REF!),-1),""))</f>
        <v/>
      </c>
      <c r="CI260" s="502"/>
      <c r="CJ260" s="503" t="str">
        <f>IF($G260="","",IF(AND($G260&gt;=30,$AT$3&lt;=CI$7),ROUND(CI260*($AP$3+#REF!),-1),""))</f>
        <v/>
      </c>
      <c r="CK260" s="503"/>
      <c r="CL260" s="503" t="str">
        <f>IF($G260="","",IF(AND($G260&gt;=30,$AT$3&lt;=CK$7),ROUND(CK260*($AP$3+#REF!),-1),""))</f>
        <v/>
      </c>
      <c r="CM260" s="502"/>
      <c r="CN260" s="503" t="str">
        <f>IF($G260="","",IF(AND($G260&gt;=30,$AT$3&lt;=CM$7),ROUND(CM260*($AP$3+#REF!),-1),""))</f>
        <v/>
      </c>
      <c r="CO260" s="503"/>
      <c r="CP260" s="503" t="str">
        <f>IF($G260="","",IF(AND($G260&gt;=30,$AT$3&lt;=CO$7),ROUND(CO260*($AP$3+#REF!),-1),""))</f>
        <v/>
      </c>
      <c r="CQ260" s="502"/>
      <c r="CR260" s="503" t="str">
        <f>IF($G260="","",IF(AND($G260&gt;=30,$AT$3&lt;=CQ$7),ROUND(CQ260*($AP$3+#REF!),-1),""))</f>
        <v/>
      </c>
      <c r="CS260" s="503"/>
      <c r="CT260" s="503" t="str">
        <f>IF($G260="","",IF(AND($G260&gt;=30,$AT$3&lt;=CS$7),ROUND(CS260*($AP$3+#REF!),-1),""))</f>
        <v/>
      </c>
      <c r="CU260" s="502"/>
      <c r="CV260" s="503" t="str">
        <f>IF($G260="","",IF(AND($G260&gt;=30,$AT$3&lt;=CU$7),ROUND(CU260*($AP$3+#REF!),-1),""))</f>
        <v/>
      </c>
      <c r="CW260" s="503"/>
      <c r="CX260" s="503" t="str">
        <f>IF($G260="","",IF(AND($G260&gt;=30,$AT$3&lt;=CW$7),ROUND(CW260*($AP$3+#REF!),-1),""))</f>
        <v/>
      </c>
      <c r="CY260" s="502"/>
      <c r="CZ260" s="503" t="str">
        <f>IF($G260="","",IF(AND($G260&gt;=30,$AT$3&lt;=CY$7),ROUND(CY260*($AP$3+#REF!),-1),""))</f>
        <v/>
      </c>
      <c r="DA260" s="503"/>
      <c r="DB260" s="503" t="str">
        <f>IF($G260="","",IF(AND($G260&gt;=30,$AT$3&lt;=DA$7),ROUND(DA260*($AP$3+#REF!),-1),""))</f>
        <v/>
      </c>
      <c r="DC260" s="502"/>
      <c r="DD260" s="503" t="str">
        <f>IF($G260="","",IF(AND($G260&gt;=30,$AT$3&lt;=DC$7),ROUND(DC260*($AP$3+#REF!),-1),""))</f>
        <v/>
      </c>
      <c r="DE260" s="503"/>
      <c r="DF260" s="503" t="str">
        <f>IF($G260="","",IF(AND($G260&gt;=30,$AT$3&lt;=DE$7),ROUND(DE260*($AP$3+#REF!),-1),""))</f>
        <v/>
      </c>
      <c r="DG260" s="503"/>
      <c r="DH260" s="503" t="str">
        <f>IF($G260="","",IF(AND($G260&gt;=30,$AT$3&lt;=DG$7),ROUND(DG260*($AP$3+#REF!),-1),""))</f>
        <v/>
      </c>
      <c r="DI260" s="503"/>
      <c r="DJ260" s="503" t="str">
        <f>IF($G260="","",IF(AND($G260&gt;=30,$AT$3&lt;=DI$7),ROUND(DI260*($AP$3+#REF!),-1),""))</f>
        <v/>
      </c>
      <c r="DK260" s="503"/>
      <c r="DL260" s="503" t="str">
        <f>IF($G260="","",IF(AND($G260&gt;=30,$AT$3&lt;=DK$7),ROUND(DK260*($AP$3+#REF!),-1),""))</f>
        <v/>
      </c>
      <c r="DM260" s="503"/>
      <c r="DN260" s="503" t="str">
        <f>IF($G260="","",IF(AND($G260&gt;=30,$AT$3&lt;=DM$7),ROUND(DM260*($AP$3+#REF!),-1),""))</f>
        <v/>
      </c>
      <c r="DO260" s="503"/>
      <c r="DP260" s="503" t="str">
        <f>IF($G260="","",IF(AND($G260&gt;=30,$AT$3&lt;=DO$7),ROUND(DO260*($AP$3+#REF!),-1),""))</f>
        <v/>
      </c>
      <c r="DQ260" s="503"/>
      <c r="DR260" s="503" t="str">
        <f>IF($G260="","",IF(AND($G260&gt;=30,$AT$3&lt;=DQ$7),ROUND(DQ260*($AP$3+#REF!),-1),""))</f>
        <v/>
      </c>
      <c r="DS260" s="503"/>
      <c r="DT260" s="503" t="str">
        <f>IF($G260="","",IF(AND($G260&gt;=30,$AT$3&lt;=DS$7),ROUND(DS260*($AP$3+#REF!),-1),""))</f>
        <v/>
      </c>
      <c r="DU260" s="503"/>
      <c r="DV260" s="503" t="str">
        <f>IF($G260="","",IF(AND($G260&gt;=30,$AT$3&lt;=DU$7),ROUND(DU260*($AP$3+#REF!),-1),""))</f>
        <v/>
      </c>
      <c r="DW260" s="503"/>
      <c r="DX260" s="503" t="str">
        <f>IF($G260="","",IF(AND($G260&gt;=30,$AT$3&lt;=DW$7),ROUND(DW260*($AP$3+#REF!),-1),""))</f>
        <v/>
      </c>
      <c r="DY260" s="503"/>
      <c r="DZ260" s="503" t="str">
        <f>IF($G260="","",IF(AND($G260&gt;=30,$AT$3&lt;=DY$7),ROUND(DY260*($AP$3+#REF!),-1),""))</f>
        <v/>
      </c>
      <c r="EA260" s="503"/>
      <c r="EB260" s="503" t="str">
        <f>IF($G260="","",IF(AND($G260&gt;=30,$AT$3&lt;=EA$7),ROUND(EA260*($AP$3+#REF!),-1),""))</f>
        <v/>
      </c>
      <c r="EC260" s="504" t="s">
        <v>621</v>
      </c>
      <c r="ED260" s="1125"/>
      <c r="EE260" s="325">
        <v>12</v>
      </c>
    </row>
    <row r="261" spans="1:135" ht="9.75" customHeight="1">
      <c r="A261" s="321" t="str">
        <f t="shared" si="68"/>
        <v/>
      </c>
      <c r="B261" s="567">
        <f>(ii!$D$13*12+V261)+1</f>
        <v>155</v>
      </c>
      <c r="C261" s="345">
        <f t="shared" si="58"/>
        <v>50071</v>
      </c>
      <c r="D261" s="340">
        <f t="shared" si="61"/>
        <v>2037</v>
      </c>
      <c r="E261" s="340">
        <f t="shared" si="59"/>
        <v>8.3333333333333329E-2</v>
      </c>
      <c r="F261" s="340">
        <f t="shared" si="62"/>
        <v>2037.0833333333333</v>
      </c>
      <c r="G261" s="531" t="str">
        <f>IF(OR(C261&lt;$I$2,C261&gt;$J$3),"",(ii!$D$13*12+V261+1)/12)</f>
        <v/>
      </c>
      <c r="H261" s="532"/>
      <c r="I261" s="532"/>
      <c r="J261" s="533"/>
      <c r="K261" s="553"/>
      <c r="L261" s="534"/>
      <c r="M261" s="489" t="str">
        <f t="shared" si="63"/>
        <v/>
      </c>
      <c r="N261" s="536" t="s">
        <v>621</v>
      </c>
      <c r="O261" s="490" t="str">
        <f t="shared" si="56"/>
        <v/>
      </c>
      <c r="P261" s="537"/>
      <c r="Q261" s="537"/>
      <c r="R261" s="533" t="str">
        <f t="shared" si="57"/>
        <v/>
      </c>
      <c r="S261" s="538" t="str">
        <f t="shared" si="69"/>
        <v/>
      </c>
      <c r="T261" s="538" t="str">
        <f t="shared" si="67"/>
        <v/>
      </c>
      <c r="U261" s="539" t="str">
        <f>IF(H261="","",#REF!*12+#REF!+#REF!*12+#REF!)</f>
        <v/>
      </c>
      <c r="V261" s="338">
        <f>IF(ii!$J$3&gt;gg!C261,"",IF(AND((YEAR(C261)=YEAR($I$2)),MONTH(C261)=MONTH($I$2)),ii!$B$14*12+ii!$C$14+ii!$B$15*12+ii!$C$15-1,V260+1))</f>
        <v>154</v>
      </c>
      <c r="W261" s="339">
        <f t="shared" si="60"/>
        <v>12.833333333333334</v>
      </c>
      <c r="X261" s="540" t="s">
        <v>621</v>
      </c>
      <c r="Y261" s="538" t="s">
        <v>621</v>
      </c>
      <c r="Z261" s="541">
        <f>Z249+$Z$26</f>
        <v>0.57000000000000028</v>
      </c>
      <c r="AA261" s="542" t="str">
        <f>IF(Y261="","",(Y261-Y260)/Y260)</f>
        <v/>
      </c>
      <c r="AB261" s="543" t="e">
        <f t="shared" si="66"/>
        <v>#VALUE!</v>
      </c>
      <c r="AC261" s="544" t="str">
        <f t="shared" si="64"/>
        <v/>
      </c>
      <c r="AD261" s="538" t="str">
        <f t="shared" si="65"/>
        <v/>
      </c>
      <c r="AE261" s="545" t="s">
        <v>621</v>
      </c>
      <c r="AF261" s="546" t="s">
        <v>621</v>
      </c>
      <c r="AG261" s="558" t="s">
        <v>621</v>
      </c>
      <c r="AH261" s="547" t="str">
        <f>IF($G261="","",IF(AND($G261&gt;=30,$AT$3&lt;=AG$7),ROUND(AG261*($AP$3+#REF!),-1),""))</f>
        <v/>
      </c>
      <c r="AI261" s="558" t="s">
        <v>621</v>
      </c>
      <c r="AJ261" s="547" t="str">
        <f>IF($G261="","",IF(AND($G261&gt;=30,$AT$3&lt;=AI$7),ROUND(AI261*($AP$3+#REF!),-1),""))</f>
        <v/>
      </c>
      <c r="AK261" s="560" t="s">
        <v>621</v>
      </c>
      <c r="AL261" s="547" t="str">
        <f>IF($G261="","",IF(AND($G261&gt;=30,$AT$3&lt;=AK$7),ROUND(AK261*($AP$3+#REF!),-1),""))</f>
        <v/>
      </c>
      <c r="AM261" s="560" t="s">
        <v>621</v>
      </c>
      <c r="AN261" s="547" t="str">
        <f>IF($G261="","",IF(AND($G261&gt;=30,$AT$3&lt;=AM$7),ROUND(AM261*($AP$3+#REF!),-1),""))</f>
        <v/>
      </c>
      <c r="AO261" s="547" t="e">
        <v>#REF!</v>
      </c>
      <c r="AP261" s="547" t="str">
        <f>IF($G261="","",IF(AND($G261&gt;=30,$AT$3&lt;=AO$7),ROUND(AO261*($AP$3+#REF!),-1),""))</f>
        <v/>
      </c>
      <c r="AQ261" s="547" t="s">
        <v>621</v>
      </c>
      <c r="AR261" s="547" t="str">
        <f>IF($G261="","",IF(AND($G261&gt;=30,$AT$3&lt;=AQ$7),ROUND(AQ261*($AP$3+#REF!),-1),""))</f>
        <v/>
      </c>
      <c r="AS261" s="547" t="s">
        <v>621</v>
      </c>
      <c r="AT261" s="547" t="str">
        <f>IF($G261="","",IF(AND($G261&gt;=30,$AT$3&lt;=AS$7),ROUND(AS261*($AP$3+#REF!),-1),""))</f>
        <v/>
      </c>
      <c r="AU261" s="547" t="s">
        <v>621</v>
      </c>
      <c r="AV261" s="547" t="str">
        <f>IF($G261="","",IF(AND($G261&gt;=30,$AT$3&lt;=AU$7),ROUND(AU261*($AP$3+#REF!),-1),""))</f>
        <v/>
      </c>
      <c r="AW261" s="547" t="s">
        <v>621</v>
      </c>
      <c r="AX261" s="547" t="str">
        <f>IF($G261="","",IF(AND($G261&gt;=30,$AT$3&lt;=AW$7),ROUND(AW261*($AP$3+#REF!),-1),""))</f>
        <v/>
      </c>
      <c r="AY261" s="547" t="s">
        <v>621</v>
      </c>
      <c r="AZ261" s="547" t="str">
        <f>IF($G261="","",IF(AND($G261&gt;=30,$AT$3&lt;=AY$7),ROUND(AY261*($AP$3+#REF!),-1),""))</f>
        <v/>
      </c>
      <c r="BA261" s="547" t="s">
        <v>621</v>
      </c>
      <c r="BB261" s="547" t="str">
        <f>IF($G261="","",IF(AND($G261&gt;=30,$AT$3&lt;=BA$7),ROUND(BA261*($AP$3+#REF!),-1),""))</f>
        <v/>
      </c>
      <c r="BC261" s="547" t="s">
        <v>621</v>
      </c>
      <c r="BD261" s="547" t="str">
        <f>IF($G261="","",IF(AND($G261&gt;=30,$AT$3&lt;=BC$7),ROUND(BC261*($AP$3+#REF!),-1),""))</f>
        <v/>
      </c>
      <c r="BE261" s="547" t="s">
        <v>621</v>
      </c>
      <c r="BF261" s="547" t="str">
        <f>IF($G261="","",IF(AND($G261&gt;=30,$AT$3&lt;=BE$7),ROUND(BE261*($AP$3+#REF!),-1),""))</f>
        <v/>
      </c>
      <c r="BG261" s="547" t="s">
        <v>621</v>
      </c>
      <c r="BH261" s="547" t="str">
        <f>IF($G261="","",IF(AND($G261&gt;=30,$AT$3&lt;=BG$7),ROUND(BG261*($AP$3+#REF!),-1),""))</f>
        <v/>
      </c>
      <c r="BI261" s="547" t="s">
        <v>621</v>
      </c>
      <c r="BJ261" s="547" t="str">
        <f>IF($G261="","",IF(AND($G261&gt;=30,$AT$3&lt;=BI$7),ROUND(BI261*($AP$3+#REF!),-1),""))</f>
        <v/>
      </c>
      <c r="BK261" s="547" t="s">
        <v>621</v>
      </c>
      <c r="BL261" s="547" t="str">
        <f>IF($G261="","",IF(AND($G261&gt;=30,$AT$3&lt;=BK$7),ROUND(BK261*($AP$3+#REF!),-1),""))</f>
        <v/>
      </c>
      <c r="BM261" s="547" t="s">
        <v>621</v>
      </c>
      <c r="BN261" s="547" t="str">
        <f>IF($G261="","",IF(AND($G261&gt;=30,$AT$3&lt;=BM$7),ROUND(BM261*($AP$3+#REF!),-1),""))</f>
        <v/>
      </c>
      <c r="BO261" s="547" t="s">
        <v>621</v>
      </c>
      <c r="BP261" s="547" t="str">
        <f>IF($G261="","",IF(AND($G261&gt;=30,$AT$3&lt;=BO$7),ROUND(BO261*($AP$3+#REF!),-1),""))</f>
        <v/>
      </c>
      <c r="BQ261" s="547" t="s">
        <v>621</v>
      </c>
      <c r="BR261" s="547" t="str">
        <f>IF($G261="","",IF(AND($G261&gt;=30,$AT$3&lt;=BQ$7),ROUND(BQ261*($AP$3+#REF!),-1),""))</f>
        <v/>
      </c>
      <c r="BS261" s="547" t="s">
        <v>621</v>
      </c>
      <c r="BT261" s="547" t="str">
        <f>IF($G261="","",IF(AND($G261&gt;=30,$AT$3&lt;=BS$7),ROUND(BS261*($AP$3+#REF!),-1),""))</f>
        <v/>
      </c>
      <c r="BU261" s="547" t="s">
        <v>621</v>
      </c>
      <c r="BV261" s="547" t="str">
        <f>IF($G261="","",IF(AND($G261&gt;=30,$AT$3&lt;=BU$7),ROUND(BU261*($AP$3+#REF!),-1),""))</f>
        <v/>
      </c>
      <c r="BW261" s="533" t="e">
        <v>#REF!</v>
      </c>
      <c r="BX261" s="547" t="str">
        <f>IF($G261="","",IF(AND($G261&gt;=30,$AT$3&lt;=BW$7),ROUND(BW261*($AP$3+#REF!),-1),""))</f>
        <v/>
      </c>
      <c r="BY261" s="547"/>
      <c r="BZ261" s="547" t="str">
        <f>IF($G261="","",IF(AND($G261&gt;=30,$AT$3&lt;=BY$7),ROUND(BY261*($AP$3+#REF!),-1),""))</f>
        <v/>
      </c>
      <c r="CA261" s="547"/>
      <c r="CB261" s="547" t="str">
        <f>IF($G261="","",IF(AND($G261&gt;=30,$AT$3&lt;=CA$7),ROUND(CA261*($AP$3+#REF!),-1),""))</f>
        <v/>
      </c>
      <c r="CC261" s="547"/>
      <c r="CD261" s="547" t="str">
        <f>IF($G261="","",IF(AND($G261&gt;=30,$AT$3&lt;=CC$7),ROUND(CC261*($AP$3+#REF!),-1),""))</f>
        <v/>
      </c>
      <c r="CE261" s="547"/>
      <c r="CF261" s="547" t="str">
        <f>IF($G261="","",IF(AND($G261&gt;=30,$AT$3&lt;=CE$7),ROUND(CE261*($AP$3+#REF!),-1),""))</f>
        <v/>
      </c>
      <c r="CG261" s="547"/>
      <c r="CH261" s="547" t="str">
        <f>IF($G261="","",IF(AND($G261&gt;=30,$AT$3&lt;=CG$7),ROUND(CG261*($AP$3+#REF!),-1),""))</f>
        <v/>
      </c>
      <c r="CI261" s="547"/>
      <c r="CJ261" s="547" t="str">
        <f>IF($G261="","",IF(AND($G261&gt;=30,$AT$3&lt;=CI$7),ROUND(CI261*($AP$3+#REF!),-1),""))</f>
        <v/>
      </c>
      <c r="CK261" s="547"/>
      <c r="CL261" s="547" t="str">
        <f>IF($G261="","",IF(AND($G261&gt;=30,$AT$3&lt;=CK$7),ROUND(CK261*($AP$3+#REF!),-1),""))</f>
        <v/>
      </c>
      <c r="CM261" s="547"/>
      <c r="CN261" s="547" t="str">
        <f>IF($G261="","",IF(AND($G261&gt;=30,$AT$3&lt;=CM$7),ROUND(CM261*($AP$3+#REF!),-1),""))</f>
        <v/>
      </c>
      <c r="CO261" s="547"/>
      <c r="CP261" s="547" t="str">
        <f>IF($G261="","",IF(AND($G261&gt;=30,$AT$3&lt;=CO$7),ROUND(CO261*($AP$3+#REF!),-1),""))</f>
        <v/>
      </c>
      <c r="CQ261" s="547"/>
      <c r="CR261" s="547" t="str">
        <f>IF($G261="","",IF(AND($G261&gt;=30,$AT$3&lt;=CQ$7),ROUND(CQ261*($AP$3+#REF!),-1),""))</f>
        <v/>
      </c>
      <c r="CS261" s="547"/>
      <c r="CT261" s="547" t="str">
        <f>IF($G261="","",IF(AND($G261&gt;=30,$AT$3&lt;=CS$7),ROUND(CS261*($AP$3+#REF!),-1),""))</f>
        <v/>
      </c>
      <c r="CU261" s="547"/>
      <c r="CV261" s="547" t="str">
        <f>IF($G261="","",IF(AND($G261&gt;=30,$AT$3&lt;=CU$7),ROUND(CU261*($AP$3+#REF!),-1),""))</f>
        <v/>
      </c>
      <c r="CW261" s="547"/>
      <c r="CX261" s="547" t="str">
        <f>IF($G261="","",IF(AND($G261&gt;=30,$AT$3&lt;=CW$7),ROUND(CW261*($AP$3+#REF!),-1),""))</f>
        <v/>
      </c>
      <c r="CY261" s="547"/>
      <c r="CZ261" s="547" t="str">
        <f>IF($G261="","",IF(AND($G261&gt;=30,$AT$3&lt;=CY$7),ROUND(CY261*($AP$3+#REF!),-1),""))</f>
        <v/>
      </c>
      <c r="DA261" s="547"/>
      <c r="DB261" s="547" t="str">
        <f>IF($G261="","",IF(AND($G261&gt;=30,$AT$3&lt;=DA$7),ROUND(DA261*($AP$3+#REF!),-1),""))</f>
        <v/>
      </c>
      <c r="DC261" s="547"/>
      <c r="DD261" s="547" t="str">
        <f>IF($G261="","",IF(AND($G261&gt;=30,$AT$3&lt;=DC$7),ROUND(DC261*($AP$3+#REF!),-1),""))</f>
        <v/>
      </c>
      <c r="DE261" s="547"/>
      <c r="DF261" s="547" t="str">
        <f>IF($G261="","",IF(AND($G261&gt;=30,$AT$3&lt;=DE$7),ROUND(DE261*($AP$3+#REF!),-1),""))</f>
        <v/>
      </c>
      <c r="DG261" s="547"/>
      <c r="DH261" s="547" t="str">
        <f>IF($G261="","",IF(AND($G261&gt;=30,$AT$3&lt;=DG$7),ROUND(DG261*($AP$3+#REF!),-1),""))</f>
        <v/>
      </c>
      <c r="DI261" s="547"/>
      <c r="DJ261" s="547" t="str">
        <f>IF($G261="","",IF(AND($G261&gt;=30,$AT$3&lt;=DI$7),ROUND(DI261*($AP$3+#REF!),-1),""))</f>
        <v/>
      </c>
      <c r="DK261" s="547"/>
      <c r="DL261" s="547" t="str">
        <f>IF($G261="","",IF(AND($G261&gt;=30,$AT$3&lt;=DK$7),ROUND(DK261*($AP$3+#REF!),-1),""))</f>
        <v/>
      </c>
      <c r="DM261" s="547"/>
      <c r="DN261" s="547" t="str">
        <f>IF($G261="","",IF(AND($G261&gt;=30,$AT$3&lt;=DM$7),ROUND(DM261*($AP$3+#REF!),-1),""))</f>
        <v/>
      </c>
      <c r="DO261" s="547"/>
      <c r="DP261" s="547" t="str">
        <f>IF($G261="","",IF(AND($G261&gt;=30,$AT$3&lt;=DO$7),ROUND(DO261*($AP$3+#REF!),-1),""))</f>
        <v/>
      </c>
      <c r="DQ261" s="547"/>
      <c r="DR261" s="547" t="str">
        <f>IF($G261="","",IF(AND($G261&gt;=30,$AT$3&lt;=DQ$7),ROUND(DQ261*($AP$3+#REF!),-1),""))</f>
        <v/>
      </c>
      <c r="DS261" s="547"/>
      <c r="DT261" s="547" t="str">
        <f>IF($G261="","",IF(AND($G261&gt;=30,$AT$3&lt;=DS$7),ROUND(DS261*($AP$3+#REF!),-1),""))</f>
        <v/>
      </c>
      <c r="DU261" s="547"/>
      <c r="DV261" s="547" t="str">
        <f>IF($G261="","",IF(AND($G261&gt;=30,$AT$3&lt;=DU$7),ROUND(DU261*($AP$3+#REF!),-1),""))</f>
        <v/>
      </c>
      <c r="DW261" s="547"/>
      <c r="DX261" s="547" t="str">
        <f>IF($G261="","",IF(AND($G261&gt;=30,$AT$3&lt;=DW$7),ROUND(DW261*($AP$3+#REF!),-1),""))</f>
        <v/>
      </c>
      <c r="DY261" s="547"/>
      <c r="DZ261" s="547" t="str">
        <f>IF($G261="","",IF(AND($G261&gt;=30,$AT$3&lt;=DY$7),ROUND(DY261*($AP$3+#REF!),-1),""))</f>
        <v/>
      </c>
      <c r="EA261" s="547"/>
      <c r="EB261" s="547" t="str">
        <f>IF($G261="","",IF(AND($G261&gt;=30,$AT$3&lt;=EA$7),ROUND(EA261*($AP$3+#REF!),-1),""))</f>
        <v/>
      </c>
      <c r="EC261" s="547" t="s">
        <v>621</v>
      </c>
      <c r="ED261" s="1123">
        <f>SUM(EC261:EC272)</f>
        <v>0</v>
      </c>
      <c r="EE261" s="325">
        <v>1</v>
      </c>
    </row>
    <row r="262" spans="1:135" ht="9.75" customHeight="1">
      <c r="A262" s="321" t="str">
        <f t="shared" si="68"/>
        <v/>
      </c>
      <c r="B262" s="567">
        <f>(ii!$D$13*12+V262)+1</f>
        <v>156</v>
      </c>
      <c r="C262" s="337">
        <f t="shared" si="58"/>
        <v>50099</v>
      </c>
      <c r="D262" s="484">
        <f t="shared" si="61"/>
        <v>2037</v>
      </c>
      <c r="E262" s="484">
        <f t="shared" si="59"/>
        <v>0.16666666666666666</v>
      </c>
      <c r="F262" s="484">
        <f t="shared" si="62"/>
        <v>2037.1666666666667</v>
      </c>
      <c r="G262" s="485" t="str">
        <f>IF(OR(C262&lt;$I$2,C262&gt;$J$3),"",(ii!$D$13*12+V262+1)/12)</f>
        <v/>
      </c>
      <c r="H262" s="486"/>
      <c r="I262" s="486"/>
      <c r="J262" s="487"/>
      <c r="K262" s="488"/>
      <c r="L262" s="548"/>
      <c r="M262" s="489" t="str">
        <f t="shared" si="63"/>
        <v/>
      </c>
      <c r="N262" s="490" t="s">
        <v>621</v>
      </c>
      <c r="O262" s="490" t="str">
        <f t="shared" si="56"/>
        <v/>
      </c>
      <c r="P262" s="491"/>
      <c r="Q262" s="491"/>
      <c r="R262" s="491" t="str">
        <f t="shared" si="57"/>
        <v/>
      </c>
      <c r="S262" s="528" t="str">
        <f t="shared" si="69"/>
        <v/>
      </c>
      <c r="T262" s="528" t="str">
        <f t="shared" si="67"/>
        <v/>
      </c>
      <c r="U262" s="493" t="str">
        <f>IF(H262="","",#REF!*12+#REF!+#REF!*12+#REF!)</f>
        <v/>
      </c>
      <c r="V262" s="338">
        <f>IF(ii!$J$3&gt;gg!C262,"",IF(AND((YEAR(C262)=YEAR($I$2)),MONTH(C262)=MONTH($I$2)),ii!$B$14*12+ii!$C$14+ii!$B$15*12+ii!$C$15-1,V261+1))</f>
        <v>155</v>
      </c>
      <c r="W262" s="339">
        <f t="shared" si="60"/>
        <v>12.916666666666666</v>
      </c>
      <c r="X262" s="494" t="s">
        <v>621</v>
      </c>
      <c r="Y262" s="495" t="s">
        <v>621</v>
      </c>
      <c r="Z262" s="496"/>
      <c r="AA262" s="497"/>
      <c r="AB262" s="498" t="e">
        <f t="shared" si="66"/>
        <v>#VALUE!</v>
      </c>
      <c r="AC262" s="484" t="str">
        <f t="shared" si="64"/>
        <v/>
      </c>
      <c r="AD262" s="495" t="str">
        <f t="shared" si="65"/>
        <v/>
      </c>
      <c r="AE262" s="499" t="s">
        <v>621</v>
      </c>
      <c r="AF262" s="500" t="s">
        <v>621</v>
      </c>
      <c r="AG262" s="556" t="s">
        <v>621</v>
      </c>
      <c r="AH262" s="503" t="str">
        <f>IF($G262="","",IF(AND($G262&gt;=30,$AT$3&lt;=AG$7),ROUND(AG262*($AP$3+#REF!),-1),""))</f>
        <v/>
      </c>
      <c r="AI262" s="506" t="s">
        <v>621</v>
      </c>
      <c r="AJ262" s="503" t="str">
        <f>IF($G262="","",IF(AND($G262&gt;=30,$AT$3&lt;=AI$7),ROUND(AI262*($AP$3+#REF!),-1),""))</f>
        <v/>
      </c>
      <c r="AK262" s="506" t="s">
        <v>621</v>
      </c>
      <c r="AL262" s="503" t="str">
        <f>IF($G262="","",IF(AND($G262&gt;=30,$AT$3&lt;=AK$7),ROUND(AK262*($AP$3+#REF!),-1),""))</f>
        <v/>
      </c>
      <c r="AM262" s="506" t="s">
        <v>621</v>
      </c>
      <c r="AN262" s="503" t="str">
        <f>IF($G262="","",IF(AND($G262&gt;=30,$AT$3&lt;=AM$7),ROUND(AM262*($AP$3+#REF!),-1),""))</f>
        <v/>
      </c>
      <c r="AO262" s="503" t="e">
        <f>IF(AO261="","",AO261*1.001)</f>
        <v>#REF!</v>
      </c>
      <c r="AP262" s="503" t="str">
        <f>IF($G262="","",IF(AND($G262&gt;=30,$AT$3&lt;=AO$7),ROUND(AO262*($AP$3+#REF!),-1),""))</f>
        <v/>
      </c>
      <c r="AQ262" s="503" t="s">
        <v>621</v>
      </c>
      <c r="AR262" s="503" t="str">
        <f>IF($G262="","",IF(AND($G262&gt;=30,$AT$3&lt;=AQ$7),ROUND(AQ262*($AP$3+#REF!),-1),""))</f>
        <v/>
      </c>
      <c r="AS262" s="503" t="s">
        <v>621</v>
      </c>
      <c r="AT262" s="503" t="str">
        <f>IF($G262="","",IF(AND($G262&gt;=30,$AT$3&lt;=AS$7),ROUND(AS262*($AP$3+#REF!),-1),""))</f>
        <v/>
      </c>
      <c r="AU262" s="503" t="s">
        <v>621</v>
      </c>
      <c r="AV262" s="503" t="str">
        <f>IF($G262="","",IF(AND($G262&gt;=30,$AT$3&lt;=AU$7),ROUND(AU262*($AP$3+#REF!),-1),""))</f>
        <v/>
      </c>
      <c r="AW262" s="503" t="s">
        <v>621</v>
      </c>
      <c r="AX262" s="503" t="str">
        <f>IF($G262="","",IF(AND($G262&gt;=30,$AT$3&lt;=AW$7),ROUND(AW262*($AP$3+#REF!),-1),""))</f>
        <v/>
      </c>
      <c r="AY262" s="503" t="s">
        <v>621</v>
      </c>
      <c r="AZ262" s="503" t="str">
        <f>IF($G262="","",IF(AND($G262&gt;=30,$AT$3&lt;=AY$7),ROUND(AY262*($AP$3+#REF!),-1),""))</f>
        <v/>
      </c>
      <c r="BA262" s="503" t="s">
        <v>621</v>
      </c>
      <c r="BB262" s="503" t="str">
        <f>IF($G262="","",IF(AND($G262&gt;=30,$AT$3&lt;=BA$7),ROUND(BA262*($AP$3+#REF!),-1),""))</f>
        <v/>
      </c>
      <c r="BC262" s="503" t="s">
        <v>621</v>
      </c>
      <c r="BD262" s="503" t="str">
        <f>IF($G262="","",IF(AND($G262&gt;=30,$AT$3&lt;=BC$7),ROUND(BC262*($AP$3+#REF!),-1),""))</f>
        <v/>
      </c>
      <c r="BE262" s="503" t="s">
        <v>621</v>
      </c>
      <c r="BF262" s="503" t="str">
        <f>IF($G262="","",IF(AND($G262&gt;=30,$AT$3&lt;=BE$7),ROUND(BE262*($AP$3+#REF!),-1),""))</f>
        <v/>
      </c>
      <c r="BG262" s="503" t="s">
        <v>621</v>
      </c>
      <c r="BH262" s="503" t="str">
        <f>IF($G262="","",IF(AND($G262&gt;=30,$AT$3&lt;=BG$7),ROUND(BG262*($AP$3+#REF!),-1),""))</f>
        <v/>
      </c>
      <c r="BI262" s="503" t="s">
        <v>621</v>
      </c>
      <c r="BJ262" s="503" t="str">
        <f>IF($G262="","",IF(AND($G262&gt;=30,$AT$3&lt;=BI$7),ROUND(BI262*($AP$3+#REF!),-1),""))</f>
        <v/>
      </c>
      <c r="BK262" s="503" t="s">
        <v>621</v>
      </c>
      <c r="BL262" s="503" t="str">
        <f>IF($G262="","",IF(AND($G262&gt;=30,$AT$3&lt;=BK$7),ROUND(BK262*($AP$3+#REF!),-1),""))</f>
        <v/>
      </c>
      <c r="BM262" s="503" t="s">
        <v>621</v>
      </c>
      <c r="BN262" s="503" t="str">
        <f>IF($G262="","",IF(AND($G262&gt;=30,$AT$3&lt;=BM$7),ROUND(BM262*($AP$3+#REF!),-1),""))</f>
        <v/>
      </c>
      <c r="BO262" s="503" t="s">
        <v>621</v>
      </c>
      <c r="BP262" s="503" t="str">
        <f>IF($G262="","",IF(AND($G262&gt;=30,$AT$3&lt;=BO$7),ROUND(BO262*($AP$3+#REF!),-1),""))</f>
        <v/>
      </c>
      <c r="BQ262" s="503" t="s">
        <v>621</v>
      </c>
      <c r="BR262" s="503" t="str">
        <f>IF($G262="","",IF(AND($G262&gt;=30,$AT$3&lt;=BQ$7),ROUND(BQ262*($AP$3+#REF!),-1),""))</f>
        <v/>
      </c>
      <c r="BS262" s="503" t="s">
        <v>621</v>
      </c>
      <c r="BT262" s="503" t="str">
        <f>IF($G262="","",IF(AND($G262&gt;=30,$AT$3&lt;=BS$7),ROUND(BS262*($AP$3+#REF!),-1),""))</f>
        <v/>
      </c>
      <c r="BU262" s="503" t="s">
        <v>621</v>
      </c>
      <c r="BV262" s="503" t="str">
        <f>IF($G262="","",IF(AND($G262&gt;=30,$AT$3&lt;=BU$7),ROUND(BU262*($AP$3+#REF!),-1),""))</f>
        <v/>
      </c>
      <c r="BW262" s="517" t="e">
        <v>#REF!</v>
      </c>
      <c r="BX262" s="503" t="str">
        <f>IF($G262="","",IF(AND($G262&gt;=30,$AT$3&lt;=BW$7),ROUND(BW262*($AP$3+#REF!),-1),""))</f>
        <v/>
      </c>
      <c r="BY262" s="503"/>
      <c r="BZ262" s="503" t="str">
        <f>IF($G262="","",IF(AND($G262&gt;=30,$AT$3&lt;=BY$7),ROUND(BY262*($AP$3+#REF!),-1),""))</f>
        <v/>
      </c>
      <c r="CA262" s="502"/>
      <c r="CB262" s="503" t="str">
        <f>IF($G262="","",IF(AND($G262&gt;=30,$AT$3&lt;=CA$7),ROUND(CA262*($AP$3+#REF!),-1),""))</f>
        <v/>
      </c>
      <c r="CC262" s="503"/>
      <c r="CD262" s="503" t="str">
        <f>IF($G262="","",IF(AND($G262&gt;=30,$AT$3&lt;=CC$7),ROUND(CC262*($AP$3+#REF!),-1),""))</f>
        <v/>
      </c>
      <c r="CE262" s="502"/>
      <c r="CF262" s="503" t="str">
        <f>IF($G262="","",IF(AND($G262&gt;=30,$AT$3&lt;=CE$7),ROUND(CE262*($AP$3+#REF!),-1),""))</f>
        <v/>
      </c>
      <c r="CG262" s="503"/>
      <c r="CH262" s="503" t="str">
        <f>IF($G262="","",IF(AND($G262&gt;=30,$AT$3&lt;=CG$7),ROUND(CG262*($AP$3+#REF!),-1),""))</f>
        <v/>
      </c>
      <c r="CI262" s="502"/>
      <c r="CJ262" s="503" t="str">
        <f>IF($G262="","",IF(AND($G262&gt;=30,$AT$3&lt;=CI$7),ROUND(CI262*($AP$3+#REF!),-1),""))</f>
        <v/>
      </c>
      <c r="CK262" s="503"/>
      <c r="CL262" s="503" t="str">
        <f>IF($G262="","",IF(AND($G262&gt;=30,$AT$3&lt;=CK$7),ROUND(CK262*($AP$3+#REF!),-1),""))</f>
        <v/>
      </c>
      <c r="CM262" s="502"/>
      <c r="CN262" s="503" t="str">
        <f>IF($G262="","",IF(AND($G262&gt;=30,$AT$3&lt;=CM$7),ROUND(CM262*($AP$3+#REF!),-1),""))</f>
        <v/>
      </c>
      <c r="CO262" s="503"/>
      <c r="CP262" s="503" t="str">
        <f>IF($G262="","",IF(AND($G262&gt;=30,$AT$3&lt;=CO$7),ROUND(CO262*($AP$3+#REF!),-1),""))</f>
        <v/>
      </c>
      <c r="CQ262" s="502"/>
      <c r="CR262" s="503" t="str">
        <f>IF($G262="","",IF(AND($G262&gt;=30,$AT$3&lt;=CQ$7),ROUND(CQ262*($AP$3+#REF!),-1),""))</f>
        <v/>
      </c>
      <c r="CS262" s="503"/>
      <c r="CT262" s="503" t="str">
        <f>IF($G262="","",IF(AND($G262&gt;=30,$AT$3&lt;=CS$7),ROUND(CS262*($AP$3+#REF!),-1),""))</f>
        <v/>
      </c>
      <c r="CU262" s="502"/>
      <c r="CV262" s="503" t="str">
        <f>IF($G262="","",IF(AND($G262&gt;=30,$AT$3&lt;=CU$7),ROUND(CU262*($AP$3+#REF!),-1),""))</f>
        <v/>
      </c>
      <c r="CW262" s="503"/>
      <c r="CX262" s="503" t="str">
        <f>IF($G262="","",IF(AND($G262&gt;=30,$AT$3&lt;=CW$7),ROUND(CW262*($AP$3+#REF!),-1),""))</f>
        <v/>
      </c>
      <c r="CY262" s="502"/>
      <c r="CZ262" s="503" t="str">
        <f>IF($G262="","",IF(AND($G262&gt;=30,$AT$3&lt;=CY$7),ROUND(CY262*($AP$3+#REF!),-1),""))</f>
        <v/>
      </c>
      <c r="DA262" s="503"/>
      <c r="DB262" s="503" t="str">
        <f>IF($G262="","",IF(AND($G262&gt;=30,$AT$3&lt;=DA$7),ROUND(DA262*($AP$3+#REF!),-1),""))</f>
        <v/>
      </c>
      <c r="DC262" s="502"/>
      <c r="DD262" s="503" t="str">
        <f>IF($G262="","",IF(AND($G262&gt;=30,$AT$3&lt;=DC$7),ROUND(DC262*($AP$3+#REF!),-1),""))</f>
        <v/>
      </c>
      <c r="DE262" s="503"/>
      <c r="DF262" s="503" t="str">
        <f>IF($G262="","",IF(AND($G262&gt;=30,$AT$3&lt;=DE$7),ROUND(DE262*($AP$3+#REF!),-1),""))</f>
        <v/>
      </c>
      <c r="DG262" s="503"/>
      <c r="DH262" s="503" t="str">
        <f>IF($G262="","",IF(AND($G262&gt;=30,$AT$3&lt;=DG$7),ROUND(DG262*($AP$3+#REF!),-1),""))</f>
        <v/>
      </c>
      <c r="DI262" s="503"/>
      <c r="DJ262" s="503" t="str">
        <f>IF($G262="","",IF(AND($G262&gt;=30,$AT$3&lt;=DI$7),ROUND(DI262*($AP$3+#REF!),-1),""))</f>
        <v/>
      </c>
      <c r="DK262" s="503"/>
      <c r="DL262" s="503" t="str">
        <f>IF($G262="","",IF(AND($G262&gt;=30,$AT$3&lt;=DK$7),ROUND(DK262*($AP$3+#REF!),-1),""))</f>
        <v/>
      </c>
      <c r="DM262" s="503"/>
      <c r="DN262" s="503" t="str">
        <f>IF($G262="","",IF(AND($G262&gt;=30,$AT$3&lt;=DM$7),ROUND(DM262*($AP$3+#REF!),-1),""))</f>
        <v/>
      </c>
      <c r="DO262" s="503"/>
      <c r="DP262" s="503" t="str">
        <f>IF($G262="","",IF(AND($G262&gt;=30,$AT$3&lt;=DO$7),ROUND(DO262*($AP$3+#REF!),-1),""))</f>
        <v/>
      </c>
      <c r="DQ262" s="503"/>
      <c r="DR262" s="503" t="str">
        <f>IF($G262="","",IF(AND($G262&gt;=30,$AT$3&lt;=DQ$7),ROUND(DQ262*($AP$3+#REF!),-1),""))</f>
        <v/>
      </c>
      <c r="DS262" s="503"/>
      <c r="DT262" s="503" t="str">
        <f>IF($G262="","",IF(AND($G262&gt;=30,$AT$3&lt;=DS$7),ROUND(DS262*($AP$3+#REF!),-1),""))</f>
        <v/>
      </c>
      <c r="DU262" s="503"/>
      <c r="DV262" s="503" t="str">
        <f>IF($G262="","",IF(AND($G262&gt;=30,$AT$3&lt;=DU$7),ROUND(DU262*($AP$3+#REF!),-1),""))</f>
        <v/>
      </c>
      <c r="DW262" s="503"/>
      <c r="DX262" s="503" t="str">
        <f>IF($G262="","",IF(AND($G262&gt;=30,$AT$3&lt;=DW$7),ROUND(DW262*($AP$3+#REF!),-1),""))</f>
        <v/>
      </c>
      <c r="DY262" s="503"/>
      <c r="DZ262" s="503" t="str">
        <f>IF($G262="","",IF(AND($G262&gt;=30,$AT$3&lt;=DY$7),ROUND(DY262*($AP$3+#REF!),-1),""))</f>
        <v/>
      </c>
      <c r="EA262" s="503"/>
      <c r="EB262" s="503" t="str">
        <f>IF($G262="","",IF(AND($G262&gt;=30,$AT$3&lt;=EA$7),ROUND(EA262*($AP$3+#REF!),-1),""))</f>
        <v/>
      </c>
      <c r="EC262" s="504" t="s">
        <v>621</v>
      </c>
      <c r="ED262" s="1124"/>
      <c r="EE262" s="325">
        <v>2</v>
      </c>
    </row>
    <row r="263" spans="1:135" ht="9.75" customHeight="1">
      <c r="A263" s="321" t="str">
        <f t="shared" si="68"/>
        <v/>
      </c>
      <c r="B263" s="567">
        <f>(ii!$D$13*12+V263)+1</f>
        <v>157</v>
      </c>
      <c r="C263" s="337">
        <f t="shared" si="58"/>
        <v>50130</v>
      </c>
      <c r="D263" s="484">
        <f t="shared" si="61"/>
        <v>2037</v>
      </c>
      <c r="E263" s="484">
        <f t="shared" si="59"/>
        <v>0.25</v>
      </c>
      <c r="F263" s="484">
        <f t="shared" si="62"/>
        <v>2037.25</v>
      </c>
      <c r="G263" s="485" t="str">
        <f>IF(OR(C263&lt;$I$2,C263&gt;$J$3),"",(ii!$D$13*12+V263+1)/12)</f>
        <v/>
      </c>
      <c r="H263" s="486"/>
      <c r="I263" s="486"/>
      <c r="J263" s="487"/>
      <c r="K263" s="488"/>
      <c r="L263" s="548"/>
      <c r="M263" s="489" t="str">
        <f t="shared" si="63"/>
        <v/>
      </c>
      <c r="N263" s="490" t="s">
        <v>621</v>
      </c>
      <c r="O263" s="490" t="str">
        <f t="shared" si="56"/>
        <v/>
      </c>
      <c r="P263" s="491"/>
      <c r="Q263" s="491"/>
      <c r="R263" s="491" t="str">
        <f t="shared" si="57"/>
        <v/>
      </c>
      <c r="S263" s="528" t="str">
        <f t="shared" si="69"/>
        <v/>
      </c>
      <c r="T263" s="528" t="str">
        <f t="shared" si="67"/>
        <v/>
      </c>
      <c r="U263" s="493" t="str">
        <f>IF(H263="","",#REF!*12+#REF!+#REF!*12+#REF!)</f>
        <v/>
      </c>
      <c r="V263" s="338">
        <f>IF(ii!$J$3&gt;gg!C263,"",IF(AND((YEAR(C263)=YEAR($I$2)),MONTH(C263)=MONTH($I$2)),ii!$B$14*12+ii!$C$14+ii!$B$15*12+ii!$C$15-1,V262+1))</f>
        <v>156</v>
      </c>
      <c r="W263" s="339">
        <f t="shared" si="60"/>
        <v>13</v>
      </c>
      <c r="X263" s="494" t="s">
        <v>621</v>
      </c>
      <c r="Y263" s="495" t="s">
        <v>621</v>
      </c>
      <c r="Z263" s="496"/>
      <c r="AA263" s="497"/>
      <c r="AB263" s="498" t="e">
        <f t="shared" si="66"/>
        <v>#VALUE!</v>
      </c>
      <c r="AC263" s="484" t="str">
        <f t="shared" si="64"/>
        <v/>
      </c>
      <c r="AD263" s="495" t="str">
        <f t="shared" si="65"/>
        <v/>
      </c>
      <c r="AE263" s="499" t="s">
        <v>621</v>
      </c>
      <c r="AF263" s="500" t="s">
        <v>621</v>
      </c>
      <c r="AG263" s="556" t="s">
        <v>621</v>
      </c>
      <c r="AH263" s="503" t="str">
        <f>IF($G263="","",IF(AND($G263&gt;=30,$AT$3&lt;=AG$7),ROUND(AG263*($AP$3+#REF!),-1),""))</f>
        <v/>
      </c>
      <c r="AI263" s="506" t="s">
        <v>621</v>
      </c>
      <c r="AJ263" s="503" t="str">
        <f>IF($G263="","",IF(AND($G263&gt;=30,$AT$3&lt;=AI$7),ROUND(AI263*($AP$3+#REF!),-1),""))</f>
        <v/>
      </c>
      <c r="AK263" s="506" t="s">
        <v>621</v>
      </c>
      <c r="AL263" s="503" t="str">
        <f>IF($G263="","",IF(AND($G263&gt;=30,$AT$3&lt;=AK$7),ROUND(AK263*($AP$3+#REF!),-1),""))</f>
        <v/>
      </c>
      <c r="AM263" s="506" t="s">
        <v>621</v>
      </c>
      <c r="AN263" s="503" t="str">
        <f>IF($G263="","",IF(AND($G263&gt;=30,$AT$3&lt;=AM$7),ROUND(AM263*($AP$3+#REF!),-1),""))</f>
        <v/>
      </c>
      <c r="AO263" s="503" t="e">
        <v>#REF!</v>
      </c>
      <c r="AP263" s="503" t="str">
        <f>IF($G263="","",IF(AND($G263&gt;=30,$AT$3&lt;=AO$7),ROUND(AO263*($AP$3+#REF!),-1),""))</f>
        <v/>
      </c>
      <c r="AQ263" s="503" t="s">
        <v>621</v>
      </c>
      <c r="AR263" s="503" t="str">
        <f>IF($G263="","",IF(AND($G263&gt;=30,$AT$3&lt;=AQ$7),ROUND(AQ263*($AP$3+#REF!),-1),""))</f>
        <v/>
      </c>
      <c r="AS263" s="503" t="s">
        <v>621</v>
      </c>
      <c r="AT263" s="503" t="str">
        <f>IF($G263="","",IF(AND($G263&gt;=30,$AT$3&lt;=AS$7),ROUND(AS263*($AP$3+#REF!),-1),""))</f>
        <v/>
      </c>
      <c r="AU263" s="503" t="s">
        <v>621</v>
      </c>
      <c r="AV263" s="503" t="str">
        <f>IF($G263="","",IF(AND($G263&gt;=30,$AT$3&lt;=AU$7),ROUND(AU263*($AP$3+#REF!),-1),""))</f>
        <v/>
      </c>
      <c r="AW263" s="503" t="s">
        <v>621</v>
      </c>
      <c r="AX263" s="503" t="str">
        <f>IF($G263="","",IF(AND($G263&gt;=30,$AT$3&lt;=AW$7),ROUND(AW263*($AP$3+#REF!),-1),""))</f>
        <v/>
      </c>
      <c r="AY263" s="503" t="s">
        <v>621</v>
      </c>
      <c r="AZ263" s="503" t="str">
        <f>IF($G263="","",IF(AND($G263&gt;=30,$AT$3&lt;=AY$7),ROUND(AY263*($AP$3+#REF!),-1),""))</f>
        <v/>
      </c>
      <c r="BA263" s="503" t="s">
        <v>621</v>
      </c>
      <c r="BB263" s="503" t="str">
        <f>IF($G263="","",IF(AND($G263&gt;=30,$AT$3&lt;=BA$7),ROUND(BA263*($AP$3+#REF!),-1),""))</f>
        <v/>
      </c>
      <c r="BC263" s="503" t="s">
        <v>621</v>
      </c>
      <c r="BD263" s="503" t="str">
        <f>IF($G263="","",IF(AND($G263&gt;=30,$AT$3&lt;=BC$7),ROUND(BC263*($AP$3+#REF!),-1),""))</f>
        <v/>
      </c>
      <c r="BE263" s="503" t="s">
        <v>621</v>
      </c>
      <c r="BF263" s="503" t="str">
        <f>IF($G263="","",IF(AND($G263&gt;=30,$AT$3&lt;=BE$7),ROUND(BE263*($AP$3+#REF!),-1),""))</f>
        <v/>
      </c>
      <c r="BG263" s="503" t="s">
        <v>621</v>
      </c>
      <c r="BH263" s="503" t="str">
        <f>IF($G263="","",IF(AND($G263&gt;=30,$AT$3&lt;=BG$7),ROUND(BG263*($AP$3+#REF!),-1),""))</f>
        <v/>
      </c>
      <c r="BI263" s="503" t="s">
        <v>621</v>
      </c>
      <c r="BJ263" s="503" t="str">
        <f>IF($G263="","",IF(AND($G263&gt;=30,$AT$3&lt;=BI$7),ROUND(BI263*($AP$3+#REF!),-1),""))</f>
        <v/>
      </c>
      <c r="BK263" s="503" t="s">
        <v>621</v>
      </c>
      <c r="BL263" s="503" t="str">
        <f>IF($G263="","",IF(AND($G263&gt;=30,$AT$3&lt;=BK$7),ROUND(BK263*($AP$3+#REF!),-1),""))</f>
        <v/>
      </c>
      <c r="BM263" s="503" t="s">
        <v>621</v>
      </c>
      <c r="BN263" s="503" t="str">
        <f>IF($G263="","",IF(AND($G263&gt;=30,$AT$3&lt;=BM$7),ROUND(BM263*($AP$3+#REF!),-1),""))</f>
        <v/>
      </c>
      <c r="BO263" s="503" t="s">
        <v>621</v>
      </c>
      <c r="BP263" s="503" t="str">
        <f>IF($G263="","",IF(AND($G263&gt;=30,$AT$3&lt;=BO$7),ROUND(BO263*($AP$3+#REF!),-1),""))</f>
        <v/>
      </c>
      <c r="BQ263" s="503" t="s">
        <v>621</v>
      </c>
      <c r="BR263" s="503" t="str">
        <f>IF($G263="","",IF(AND($G263&gt;=30,$AT$3&lt;=BQ$7),ROUND(BQ263*($AP$3+#REF!),-1),""))</f>
        <v/>
      </c>
      <c r="BS263" s="503" t="s">
        <v>621</v>
      </c>
      <c r="BT263" s="503" t="str">
        <f>IF($G263="","",IF(AND($G263&gt;=30,$AT$3&lt;=BS$7),ROUND(BS263*($AP$3+#REF!),-1),""))</f>
        <v/>
      </c>
      <c r="BU263" s="503" t="s">
        <v>621</v>
      </c>
      <c r="BV263" s="503" t="str">
        <f>IF($G263="","",IF(AND($G263&gt;=30,$AT$3&lt;=BU$7),ROUND(BU263*($AP$3+#REF!),-1),""))</f>
        <v/>
      </c>
      <c r="BW263" s="517" t="e">
        <v>#REF!</v>
      </c>
      <c r="BX263" s="503" t="str">
        <f>IF($G263="","",IF(AND($G263&gt;=30,$AT$3&lt;=BW$7),ROUND(BW263*($AP$3+#REF!),-1),""))</f>
        <v/>
      </c>
      <c r="BY263" s="503"/>
      <c r="BZ263" s="503" t="str">
        <f>IF($G263="","",IF(AND($G263&gt;=30,$AT$3&lt;=BY$7),ROUND(BY263*($AP$3+#REF!),-1),""))</f>
        <v/>
      </c>
      <c r="CA263" s="502"/>
      <c r="CB263" s="503" t="str">
        <f>IF($G263="","",IF(AND($G263&gt;=30,$AT$3&lt;=CA$7),ROUND(CA263*($AP$3+#REF!),-1),""))</f>
        <v/>
      </c>
      <c r="CC263" s="503"/>
      <c r="CD263" s="503" t="str">
        <f>IF($G263="","",IF(AND($G263&gt;=30,$AT$3&lt;=CC$7),ROUND(CC263*($AP$3+#REF!),-1),""))</f>
        <v/>
      </c>
      <c r="CE263" s="502"/>
      <c r="CF263" s="503" t="str">
        <f>IF($G263="","",IF(AND($G263&gt;=30,$AT$3&lt;=CE$7),ROUND(CE263*($AP$3+#REF!),-1),""))</f>
        <v/>
      </c>
      <c r="CG263" s="503"/>
      <c r="CH263" s="503" t="str">
        <f>IF($G263="","",IF(AND($G263&gt;=30,$AT$3&lt;=CG$7),ROUND(CG263*($AP$3+#REF!),-1),""))</f>
        <v/>
      </c>
      <c r="CI263" s="502"/>
      <c r="CJ263" s="503" t="str">
        <f>IF($G263="","",IF(AND($G263&gt;=30,$AT$3&lt;=CI$7),ROUND(CI263*($AP$3+#REF!),-1),""))</f>
        <v/>
      </c>
      <c r="CK263" s="503"/>
      <c r="CL263" s="503" t="str">
        <f>IF($G263="","",IF(AND($G263&gt;=30,$AT$3&lt;=CK$7),ROUND(CK263*($AP$3+#REF!),-1),""))</f>
        <v/>
      </c>
      <c r="CM263" s="502"/>
      <c r="CN263" s="503" t="str">
        <f>IF($G263="","",IF(AND($G263&gt;=30,$AT$3&lt;=CM$7),ROUND(CM263*($AP$3+#REF!),-1),""))</f>
        <v/>
      </c>
      <c r="CO263" s="503"/>
      <c r="CP263" s="503" t="str">
        <f>IF($G263="","",IF(AND($G263&gt;=30,$AT$3&lt;=CO$7),ROUND(CO263*($AP$3+#REF!),-1),""))</f>
        <v/>
      </c>
      <c r="CQ263" s="502"/>
      <c r="CR263" s="503" t="str">
        <f>IF($G263="","",IF(AND($G263&gt;=30,$AT$3&lt;=CQ$7),ROUND(CQ263*($AP$3+#REF!),-1),""))</f>
        <v/>
      </c>
      <c r="CS263" s="503"/>
      <c r="CT263" s="503" t="str">
        <f>IF($G263="","",IF(AND($G263&gt;=30,$AT$3&lt;=CS$7),ROUND(CS263*($AP$3+#REF!),-1),""))</f>
        <v/>
      </c>
      <c r="CU263" s="502"/>
      <c r="CV263" s="503" t="str">
        <f>IF($G263="","",IF(AND($G263&gt;=30,$AT$3&lt;=CU$7),ROUND(CU263*($AP$3+#REF!),-1),""))</f>
        <v/>
      </c>
      <c r="CW263" s="503"/>
      <c r="CX263" s="503" t="str">
        <f>IF($G263="","",IF(AND($G263&gt;=30,$AT$3&lt;=CW$7),ROUND(CW263*($AP$3+#REF!),-1),""))</f>
        <v/>
      </c>
      <c r="CY263" s="502"/>
      <c r="CZ263" s="503" t="str">
        <f>IF($G263="","",IF(AND($G263&gt;=30,$AT$3&lt;=CY$7),ROUND(CY263*($AP$3+#REF!),-1),""))</f>
        <v/>
      </c>
      <c r="DA263" s="503"/>
      <c r="DB263" s="503" t="str">
        <f>IF($G263="","",IF(AND($G263&gt;=30,$AT$3&lt;=DA$7),ROUND(DA263*($AP$3+#REF!),-1),""))</f>
        <v/>
      </c>
      <c r="DC263" s="502"/>
      <c r="DD263" s="503" t="str">
        <f>IF($G263="","",IF(AND($G263&gt;=30,$AT$3&lt;=DC$7),ROUND(DC263*($AP$3+#REF!),-1),""))</f>
        <v/>
      </c>
      <c r="DE263" s="503"/>
      <c r="DF263" s="503" t="str">
        <f>IF($G263="","",IF(AND($G263&gt;=30,$AT$3&lt;=DE$7),ROUND(DE263*($AP$3+#REF!),-1),""))</f>
        <v/>
      </c>
      <c r="DG263" s="503"/>
      <c r="DH263" s="503" t="str">
        <f>IF($G263="","",IF(AND($G263&gt;=30,$AT$3&lt;=DG$7),ROUND(DG263*($AP$3+#REF!),-1),""))</f>
        <v/>
      </c>
      <c r="DI263" s="503"/>
      <c r="DJ263" s="503" t="str">
        <f>IF($G263="","",IF(AND($G263&gt;=30,$AT$3&lt;=DI$7),ROUND(DI263*($AP$3+#REF!),-1),""))</f>
        <v/>
      </c>
      <c r="DK263" s="503"/>
      <c r="DL263" s="503" t="str">
        <f>IF($G263="","",IF(AND($G263&gt;=30,$AT$3&lt;=DK$7),ROUND(DK263*($AP$3+#REF!),-1),""))</f>
        <v/>
      </c>
      <c r="DM263" s="503"/>
      <c r="DN263" s="503" t="str">
        <f>IF($G263="","",IF(AND($G263&gt;=30,$AT$3&lt;=DM$7),ROUND(DM263*($AP$3+#REF!),-1),""))</f>
        <v/>
      </c>
      <c r="DO263" s="503"/>
      <c r="DP263" s="503" t="str">
        <f>IF($G263="","",IF(AND($G263&gt;=30,$AT$3&lt;=DO$7),ROUND(DO263*($AP$3+#REF!),-1),""))</f>
        <v/>
      </c>
      <c r="DQ263" s="503"/>
      <c r="DR263" s="503" t="str">
        <f>IF($G263="","",IF(AND($G263&gt;=30,$AT$3&lt;=DQ$7),ROUND(DQ263*($AP$3+#REF!),-1),""))</f>
        <v/>
      </c>
      <c r="DS263" s="503"/>
      <c r="DT263" s="503" t="str">
        <f>IF($G263="","",IF(AND($G263&gt;=30,$AT$3&lt;=DS$7),ROUND(DS263*($AP$3+#REF!),-1),""))</f>
        <v/>
      </c>
      <c r="DU263" s="503"/>
      <c r="DV263" s="503" t="str">
        <f>IF($G263="","",IF(AND($G263&gt;=30,$AT$3&lt;=DU$7),ROUND(DU263*($AP$3+#REF!),-1),""))</f>
        <v/>
      </c>
      <c r="DW263" s="503"/>
      <c r="DX263" s="503" t="str">
        <f>IF($G263="","",IF(AND($G263&gt;=30,$AT$3&lt;=DW$7),ROUND(DW263*($AP$3+#REF!),-1),""))</f>
        <v/>
      </c>
      <c r="DY263" s="503"/>
      <c r="DZ263" s="503" t="str">
        <f>IF($G263="","",IF(AND($G263&gt;=30,$AT$3&lt;=DY$7),ROUND(DY263*($AP$3+#REF!),-1),""))</f>
        <v/>
      </c>
      <c r="EA263" s="503"/>
      <c r="EB263" s="503" t="str">
        <f>IF($G263="","",IF(AND($G263&gt;=30,$AT$3&lt;=EA$7),ROUND(EA263*($AP$3+#REF!),-1),""))</f>
        <v/>
      </c>
      <c r="EC263" s="504" t="s">
        <v>621</v>
      </c>
      <c r="ED263" s="1124"/>
      <c r="EE263" s="325">
        <v>3</v>
      </c>
    </row>
    <row r="264" spans="1:135" ht="9.75" customHeight="1">
      <c r="A264" s="321" t="str">
        <f t="shared" si="68"/>
        <v/>
      </c>
      <c r="B264" s="567">
        <f>(ii!$D$13*12+V264)+1</f>
        <v>158</v>
      </c>
      <c r="C264" s="337">
        <f t="shared" si="58"/>
        <v>50160</v>
      </c>
      <c r="D264" s="484">
        <f t="shared" si="61"/>
        <v>2037</v>
      </c>
      <c r="E264" s="484">
        <f t="shared" si="59"/>
        <v>0.33333333333333331</v>
      </c>
      <c r="F264" s="484">
        <f t="shared" si="62"/>
        <v>2037.3333333333333</v>
      </c>
      <c r="G264" s="485" t="str">
        <f>IF(OR(C264&lt;$I$2,C264&gt;$J$3),"",(ii!$D$13*12+V264+1)/12)</f>
        <v/>
      </c>
      <c r="H264" s="486"/>
      <c r="I264" s="486"/>
      <c r="J264" s="487"/>
      <c r="K264" s="488"/>
      <c r="L264" s="548"/>
      <c r="M264" s="489" t="str">
        <f t="shared" si="63"/>
        <v/>
      </c>
      <c r="N264" s="490" t="s">
        <v>621</v>
      </c>
      <c r="O264" s="490" t="str">
        <f t="shared" si="56"/>
        <v/>
      </c>
      <c r="P264" s="491"/>
      <c r="Q264" s="491"/>
      <c r="R264" s="491" t="str">
        <f t="shared" si="57"/>
        <v/>
      </c>
      <c r="S264" s="528" t="str">
        <f t="shared" si="69"/>
        <v/>
      </c>
      <c r="T264" s="528" t="str">
        <f t="shared" si="67"/>
        <v/>
      </c>
      <c r="U264" s="493" t="str">
        <f>IF(H264="","",#REF!*12+#REF!+#REF!*12+#REF!)</f>
        <v/>
      </c>
      <c r="V264" s="338">
        <f>IF(ii!$J$3&gt;gg!C264,"",IF(AND((YEAR(C264)=YEAR($I$2)),MONTH(C264)=MONTH($I$2)),ii!$B$14*12+ii!$C$14+ii!$B$15*12+ii!$C$15-1,V263+1))</f>
        <v>157</v>
      </c>
      <c r="W264" s="339">
        <f t="shared" si="60"/>
        <v>13.083333333333334</v>
      </c>
      <c r="X264" s="494" t="s">
        <v>621</v>
      </c>
      <c r="Y264" s="495" t="s">
        <v>621</v>
      </c>
      <c r="Z264" s="496"/>
      <c r="AA264" s="497"/>
      <c r="AB264" s="498" t="e">
        <f t="shared" si="66"/>
        <v>#VALUE!</v>
      </c>
      <c r="AC264" s="484" t="str">
        <f t="shared" si="64"/>
        <v/>
      </c>
      <c r="AD264" s="495" t="str">
        <f t="shared" si="65"/>
        <v/>
      </c>
      <c r="AE264" s="499" t="s">
        <v>621</v>
      </c>
      <c r="AF264" s="500" t="s">
        <v>621</v>
      </c>
      <c r="AG264" s="556" t="s">
        <v>621</v>
      </c>
      <c r="AH264" s="503" t="str">
        <f>IF($G264="","",IF(AND($G264&gt;=30,$AT$3&lt;=AG$7),ROUND(AG264*($AP$3+#REF!),-1),""))</f>
        <v/>
      </c>
      <c r="AI264" s="506" t="s">
        <v>621</v>
      </c>
      <c r="AJ264" s="503" t="str">
        <f>IF($G264="","",IF(AND($G264&gt;=30,$AT$3&lt;=AI$7),ROUND(AI264*($AP$3+#REF!),-1),""))</f>
        <v/>
      </c>
      <c r="AK264" s="506" t="s">
        <v>621</v>
      </c>
      <c r="AL264" s="503" t="str">
        <f>IF($G264="","",IF(AND($G264&gt;=30,$AT$3&lt;=AK$7),ROUND(AK264*($AP$3+#REF!),-1),""))</f>
        <v/>
      </c>
      <c r="AM264" s="506" t="s">
        <v>621</v>
      </c>
      <c r="AN264" s="503" t="str">
        <f>IF($G264="","",IF(AND($G264&gt;=30,$AT$3&lt;=AM$7),ROUND(AM264*($AP$3+#REF!),-1),""))</f>
        <v/>
      </c>
      <c r="AO264" s="503" t="e">
        <v>#REF!</v>
      </c>
      <c r="AP264" s="503" t="str">
        <f>IF($G264="","",IF(AND($G264&gt;=30,$AT$3&lt;=AO$7),ROUND(AO264*($AP$3+#REF!),-1),""))</f>
        <v/>
      </c>
      <c r="AQ264" s="503" t="s">
        <v>621</v>
      </c>
      <c r="AR264" s="503" t="str">
        <f>IF($G264="","",IF(AND($G264&gt;=30,$AT$3&lt;=AQ$7),ROUND(AQ264*($AP$3+#REF!),-1),""))</f>
        <v/>
      </c>
      <c r="AS264" s="503" t="s">
        <v>621</v>
      </c>
      <c r="AT264" s="503" t="str">
        <f>IF($G264="","",IF(AND($G264&gt;=30,$AT$3&lt;=AS$7),ROUND(AS264*($AP$3+#REF!),-1),""))</f>
        <v/>
      </c>
      <c r="AU264" s="503" t="s">
        <v>621</v>
      </c>
      <c r="AV264" s="503" t="str">
        <f>IF($G264="","",IF(AND($G264&gt;=30,$AT$3&lt;=AU$7),ROUND(AU264*($AP$3+#REF!),-1),""))</f>
        <v/>
      </c>
      <c r="AW264" s="503" t="s">
        <v>621</v>
      </c>
      <c r="AX264" s="503" t="str">
        <f>IF($G264="","",IF(AND($G264&gt;=30,$AT$3&lt;=AW$7),ROUND(AW264*($AP$3+#REF!),-1),""))</f>
        <v/>
      </c>
      <c r="AY264" s="503" t="s">
        <v>621</v>
      </c>
      <c r="AZ264" s="503" t="str">
        <f>IF($G264="","",IF(AND($G264&gt;=30,$AT$3&lt;=AY$7),ROUND(AY264*($AP$3+#REF!),-1),""))</f>
        <v/>
      </c>
      <c r="BA264" s="503" t="s">
        <v>621</v>
      </c>
      <c r="BB264" s="503" t="str">
        <f>IF($G264="","",IF(AND($G264&gt;=30,$AT$3&lt;=BA$7),ROUND(BA264*($AP$3+#REF!),-1),""))</f>
        <v/>
      </c>
      <c r="BC264" s="503" t="s">
        <v>621</v>
      </c>
      <c r="BD264" s="503" t="str">
        <f>IF($G264="","",IF(AND($G264&gt;=30,$AT$3&lt;=BC$7),ROUND(BC264*($AP$3+#REF!),-1),""))</f>
        <v/>
      </c>
      <c r="BE264" s="503" t="s">
        <v>621</v>
      </c>
      <c r="BF264" s="503" t="str">
        <f>IF($G264="","",IF(AND($G264&gt;=30,$AT$3&lt;=BE$7),ROUND(BE264*($AP$3+#REF!),-1),""))</f>
        <v/>
      </c>
      <c r="BG264" s="503" t="s">
        <v>621</v>
      </c>
      <c r="BH264" s="503" t="str">
        <f>IF($G264="","",IF(AND($G264&gt;=30,$AT$3&lt;=BG$7),ROUND(BG264*($AP$3+#REF!),-1),""))</f>
        <v/>
      </c>
      <c r="BI264" s="503" t="s">
        <v>621</v>
      </c>
      <c r="BJ264" s="503" t="str">
        <f>IF($G264="","",IF(AND($G264&gt;=30,$AT$3&lt;=BI$7),ROUND(BI264*($AP$3+#REF!),-1),""))</f>
        <v/>
      </c>
      <c r="BK264" s="503" t="s">
        <v>621</v>
      </c>
      <c r="BL264" s="503" t="str">
        <f>IF($G264="","",IF(AND($G264&gt;=30,$AT$3&lt;=BK$7),ROUND(BK264*($AP$3+#REF!),-1),""))</f>
        <v/>
      </c>
      <c r="BM264" s="503" t="s">
        <v>621</v>
      </c>
      <c r="BN264" s="503" t="str">
        <f>IF($G264="","",IF(AND($G264&gt;=30,$AT$3&lt;=BM$7),ROUND(BM264*($AP$3+#REF!),-1),""))</f>
        <v/>
      </c>
      <c r="BO264" s="503" t="s">
        <v>621</v>
      </c>
      <c r="BP264" s="503" t="str">
        <f>IF($G264="","",IF(AND($G264&gt;=30,$AT$3&lt;=BO$7),ROUND(BO264*($AP$3+#REF!),-1),""))</f>
        <v/>
      </c>
      <c r="BQ264" s="503" t="s">
        <v>621</v>
      </c>
      <c r="BR264" s="503" t="str">
        <f>IF($G264="","",IF(AND($G264&gt;=30,$AT$3&lt;=BQ$7),ROUND(BQ264*($AP$3+#REF!),-1),""))</f>
        <v/>
      </c>
      <c r="BS264" s="503" t="s">
        <v>621</v>
      </c>
      <c r="BT264" s="503" t="str">
        <f>IF($G264="","",IF(AND($G264&gt;=30,$AT$3&lt;=BS$7),ROUND(BS264*($AP$3+#REF!),-1),""))</f>
        <v/>
      </c>
      <c r="BU264" s="503" t="s">
        <v>621</v>
      </c>
      <c r="BV264" s="503" t="str">
        <f>IF($G264="","",IF(AND($G264&gt;=30,$AT$3&lt;=BU$7),ROUND(BU264*($AP$3+#REF!),-1),""))</f>
        <v/>
      </c>
      <c r="BW264" s="517" t="e">
        <v>#REF!</v>
      </c>
      <c r="BX264" s="503" t="str">
        <f>IF($G264="","",IF(AND($G264&gt;=30,$AT$3&lt;=BW$7),ROUND(BW264*($AP$3+#REF!),-1),""))</f>
        <v/>
      </c>
      <c r="BY264" s="503"/>
      <c r="BZ264" s="503" t="str">
        <f>IF($G264="","",IF(AND($G264&gt;=30,$AT$3&lt;=BY$7),ROUND(BY264*($AP$3+#REF!),-1),""))</f>
        <v/>
      </c>
      <c r="CA264" s="502"/>
      <c r="CB264" s="503" t="str">
        <f>IF($G264="","",IF(AND($G264&gt;=30,$AT$3&lt;=CA$7),ROUND(CA264*($AP$3+#REF!),-1),""))</f>
        <v/>
      </c>
      <c r="CC264" s="503"/>
      <c r="CD264" s="503" t="str">
        <f>IF($G264="","",IF(AND($G264&gt;=30,$AT$3&lt;=CC$7),ROUND(CC264*($AP$3+#REF!),-1),""))</f>
        <v/>
      </c>
      <c r="CE264" s="502"/>
      <c r="CF264" s="503" t="str">
        <f>IF($G264="","",IF(AND($G264&gt;=30,$AT$3&lt;=CE$7),ROUND(CE264*($AP$3+#REF!),-1),""))</f>
        <v/>
      </c>
      <c r="CG264" s="503"/>
      <c r="CH264" s="503" t="str">
        <f>IF($G264="","",IF(AND($G264&gt;=30,$AT$3&lt;=CG$7),ROUND(CG264*($AP$3+#REF!),-1),""))</f>
        <v/>
      </c>
      <c r="CI264" s="502"/>
      <c r="CJ264" s="503" t="str">
        <f>IF($G264="","",IF(AND($G264&gt;=30,$AT$3&lt;=CI$7),ROUND(CI264*($AP$3+#REF!),-1),""))</f>
        <v/>
      </c>
      <c r="CK264" s="503"/>
      <c r="CL264" s="503" t="str">
        <f>IF($G264="","",IF(AND($G264&gt;=30,$AT$3&lt;=CK$7),ROUND(CK264*($AP$3+#REF!),-1),""))</f>
        <v/>
      </c>
      <c r="CM264" s="502"/>
      <c r="CN264" s="503" t="str">
        <f>IF($G264="","",IF(AND($G264&gt;=30,$AT$3&lt;=CM$7),ROUND(CM264*($AP$3+#REF!),-1),""))</f>
        <v/>
      </c>
      <c r="CO264" s="503"/>
      <c r="CP264" s="503" t="str">
        <f>IF($G264="","",IF(AND($G264&gt;=30,$AT$3&lt;=CO$7),ROUND(CO264*($AP$3+#REF!),-1),""))</f>
        <v/>
      </c>
      <c r="CQ264" s="502"/>
      <c r="CR264" s="503" t="str">
        <f>IF($G264="","",IF(AND($G264&gt;=30,$AT$3&lt;=CQ$7),ROUND(CQ264*($AP$3+#REF!),-1),""))</f>
        <v/>
      </c>
      <c r="CS264" s="503"/>
      <c r="CT264" s="503" t="str">
        <f>IF($G264="","",IF(AND($G264&gt;=30,$AT$3&lt;=CS$7),ROUND(CS264*($AP$3+#REF!),-1),""))</f>
        <v/>
      </c>
      <c r="CU264" s="502"/>
      <c r="CV264" s="503" t="str">
        <f>IF($G264="","",IF(AND($G264&gt;=30,$AT$3&lt;=CU$7),ROUND(CU264*($AP$3+#REF!),-1),""))</f>
        <v/>
      </c>
      <c r="CW264" s="503"/>
      <c r="CX264" s="503" t="str">
        <f>IF($G264="","",IF(AND($G264&gt;=30,$AT$3&lt;=CW$7),ROUND(CW264*($AP$3+#REF!),-1),""))</f>
        <v/>
      </c>
      <c r="CY264" s="502"/>
      <c r="CZ264" s="503" t="str">
        <f>IF($G264="","",IF(AND($G264&gt;=30,$AT$3&lt;=CY$7),ROUND(CY264*($AP$3+#REF!),-1),""))</f>
        <v/>
      </c>
      <c r="DA264" s="503"/>
      <c r="DB264" s="503" t="str">
        <f>IF($G264="","",IF(AND($G264&gt;=30,$AT$3&lt;=DA$7),ROUND(DA264*($AP$3+#REF!),-1),""))</f>
        <v/>
      </c>
      <c r="DC264" s="502"/>
      <c r="DD264" s="503" t="str">
        <f>IF($G264="","",IF(AND($G264&gt;=30,$AT$3&lt;=DC$7),ROUND(DC264*($AP$3+#REF!),-1),""))</f>
        <v/>
      </c>
      <c r="DE264" s="503"/>
      <c r="DF264" s="503" t="str">
        <f>IF($G264="","",IF(AND($G264&gt;=30,$AT$3&lt;=DE$7),ROUND(DE264*($AP$3+#REF!),-1),""))</f>
        <v/>
      </c>
      <c r="DG264" s="503"/>
      <c r="DH264" s="503" t="str">
        <f>IF($G264="","",IF(AND($G264&gt;=30,$AT$3&lt;=DG$7),ROUND(DG264*($AP$3+#REF!),-1),""))</f>
        <v/>
      </c>
      <c r="DI264" s="503"/>
      <c r="DJ264" s="503" t="str">
        <f>IF($G264="","",IF(AND($G264&gt;=30,$AT$3&lt;=DI$7),ROUND(DI264*($AP$3+#REF!),-1),""))</f>
        <v/>
      </c>
      <c r="DK264" s="503"/>
      <c r="DL264" s="503" t="str">
        <f>IF($G264="","",IF(AND($G264&gt;=30,$AT$3&lt;=DK$7),ROUND(DK264*($AP$3+#REF!),-1),""))</f>
        <v/>
      </c>
      <c r="DM264" s="503"/>
      <c r="DN264" s="503" t="str">
        <f>IF($G264="","",IF(AND($G264&gt;=30,$AT$3&lt;=DM$7),ROUND(DM264*($AP$3+#REF!),-1),""))</f>
        <v/>
      </c>
      <c r="DO264" s="503"/>
      <c r="DP264" s="503" t="str">
        <f>IF($G264="","",IF(AND($G264&gt;=30,$AT$3&lt;=DO$7),ROUND(DO264*($AP$3+#REF!),-1),""))</f>
        <v/>
      </c>
      <c r="DQ264" s="503"/>
      <c r="DR264" s="503" t="str">
        <f>IF($G264="","",IF(AND($G264&gt;=30,$AT$3&lt;=DQ$7),ROUND(DQ264*($AP$3+#REF!),-1),""))</f>
        <v/>
      </c>
      <c r="DS264" s="503"/>
      <c r="DT264" s="503" t="str">
        <f>IF($G264="","",IF(AND($G264&gt;=30,$AT$3&lt;=DS$7),ROUND(DS264*($AP$3+#REF!),-1),""))</f>
        <v/>
      </c>
      <c r="DU264" s="503"/>
      <c r="DV264" s="503" t="str">
        <f>IF($G264="","",IF(AND($G264&gt;=30,$AT$3&lt;=DU$7),ROUND(DU264*($AP$3+#REF!),-1),""))</f>
        <v/>
      </c>
      <c r="DW264" s="503"/>
      <c r="DX264" s="503" t="str">
        <f>IF($G264="","",IF(AND($G264&gt;=30,$AT$3&lt;=DW$7),ROUND(DW264*($AP$3+#REF!),-1),""))</f>
        <v/>
      </c>
      <c r="DY264" s="503"/>
      <c r="DZ264" s="503" t="str">
        <f>IF($G264="","",IF(AND($G264&gt;=30,$AT$3&lt;=DY$7),ROUND(DY264*($AP$3+#REF!),-1),""))</f>
        <v/>
      </c>
      <c r="EA264" s="503"/>
      <c r="EB264" s="503" t="str">
        <f>IF($G264="","",IF(AND($G264&gt;=30,$AT$3&lt;=EA$7),ROUND(EA264*($AP$3+#REF!),-1),""))</f>
        <v/>
      </c>
      <c r="EC264" s="504" t="s">
        <v>621</v>
      </c>
      <c r="ED264" s="1124"/>
      <c r="EE264" s="325">
        <v>4</v>
      </c>
    </row>
    <row r="265" spans="1:135" ht="9.75" customHeight="1">
      <c r="A265" s="321" t="str">
        <f t="shared" si="68"/>
        <v/>
      </c>
      <c r="B265" s="567">
        <f>(ii!$D$13*12+V265)+1</f>
        <v>159</v>
      </c>
      <c r="C265" s="337">
        <f t="shared" si="58"/>
        <v>50191</v>
      </c>
      <c r="D265" s="484">
        <f t="shared" si="61"/>
        <v>2037</v>
      </c>
      <c r="E265" s="484">
        <f t="shared" si="59"/>
        <v>0.41666666666666669</v>
      </c>
      <c r="F265" s="484">
        <f t="shared" si="62"/>
        <v>2037.4166666666667</v>
      </c>
      <c r="G265" s="485" t="str">
        <f>IF(OR(C265&lt;$I$2,C265&gt;$J$3),"",(ii!$D$13*12+V265+1)/12)</f>
        <v/>
      </c>
      <c r="H265" s="486"/>
      <c r="I265" s="486"/>
      <c r="J265" s="507"/>
      <c r="K265" s="508"/>
      <c r="L265" s="548"/>
      <c r="M265" s="489" t="str">
        <f t="shared" si="63"/>
        <v/>
      </c>
      <c r="N265" s="490" t="s">
        <v>621</v>
      </c>
      <c r="O265" s="490" t="str">
        <f t="shared" ref="O265:O328" si="70">IF(OR(N265="",N264=""),"",N265-N264)</f>
        <v/>
      </c>
      <c r="P265" s="507"/>
      <c r="Q265" s="507"/>
      <c r="R265" s="491" t="str">
        <f t="shared" ref="R265:R328" si="71">IF(OR(P265="",P264=""),"",P265-P264)</f>
        <v/>
      </c>
      <c r="S265" s="528" t="str">
        <f t="shared" si="69"/>
        <v/>
      </c>
      <c r="T265" s="528" t="str">
        <f t="shared" si="67"/>
        <v/>
      </c>
      <c r="U265" s="493" t="str">
        <f>IF(H265="","",#REF!*12+#REF!+#REF!*12+#REF!)</f>
        <v/>
      </c>
      <c r="V265" s="338">
        <f>IF(ii!$J$3&gt;gg!C265,"",IF(AND((YEAR(C265)=YEAR($I$2)),MONTH(C265)=MONTH($I$2)),ii!$B$14*12+ii!$C$14+ii!$B$15*12+ii!$C$15-1,V264+1))</f>
        <v>158</v>
      </c>
      <c r="W265" s="339">
        <f t="shared" si="60"/>
        <v>13.166666666666666</v>
      </c>
      <c r="X265" s="494" t="s">
        <v>621</v>
      </c>
      <c r="Y265" s="495" t="s">
        <v>621</v>
      </c>
      <c r="Z265" s="496"/>
      <c r="AA265" s="497"/>
      <c r="AB265" s="498" t="e">
        <f t="shared" si="66"/>
        <v>#VALUE!</v>
      </c>
      <c r="AC265" s="484" t="str">
        <f t="shared" si="64"/>
        <v/>
      </c>
      <c r="AD265" s="495" t="str">
        <f t="shared" si="65"/>
        <v/>
      </c>
      <c r="AE265" s="499" t="s">
        <v>621</v>
      </c>
      <c r="AF265" s="500" t="s">
        <v>621</v>
      </c>
      <c r="AG265" s="556" t="s">
        <v>621</v>
      </c>
      <c r="AH265" s="503" t="str">
        <f>IF($G265="","",IF(AND($G265&gt;=30,$AT$3&lt;=AG$7),ROUND(AG265*($AP$3+#REF!),-1),""))</f>
        <v/>
      </c>
      <c r="AI265" s="506" t="s">
        <v>621</v>
      </c>
      <c r="AJ265" s="503" t="str">
        <f>IF($G265="","",IF(AND($G265&gt;=30,$AT$3&lt;=AI$7),ROUND(AI265*($AP$3+#REF!),-1),""))</f>
        <v/>
      </c>
      <c r="AK265" s="506" t="s">
        <v>621</v>
      </c>
      <c r="AL265" s="503" t="str">
        <f>IF($G265="","",IF(AND($G265&gt;=30,$AT$3&lt;=AK$7),ROUND(AK265*($AP$3+#REF!),-1),""))</f>
        <v/>
      </c>
      <c r="AM265" s="506" t="s">
        <v>621</v>
      </c>
      <c r="AN265" s="503" t="str">
        <f>IF($G265="","",IF(AND($G265&gt;=30,$AT$3&lt;=AM$7),ROUND(AM265*($AP$3+#REF!),-1),""))</f>
        <v/>
      </c>
      <c r="AO265" s="503" t="e">
        <v>#REF!</v>
      </c>
      <c r="AP265" s="503" t="str">
        <f>IF($G265="","",IF(AND($G265&gt;=30,$AT$3&lt;=AO$7),ROUND(AO265*($AP$3+#REF!),-1),""))</f>
        <v/>
      </c>
      <c r="AQ265" s="503" t="s">
        <v>621</v>
      </c>
      <c r="AR265" s="503" t="str">
        <f>IF($G265="","",IF(AND($G265&gt;=30,$AT$3&lt;=AQ$7),ROUND(AQ265*($AP$3+#REF!),-1),""))</f>
        <v/>
      </c>
      <c r="AS265" s="503" t="s">
        <v>621</v>
      </c>
      <c r="AT265" s="503" t="str">
        <f>IF($G265="","",IF(AND($G265&gt;=30,$AT$3&lt;=AS$7),ROUND(AS265*($AP$3+#REF!),-1),""))</f>
        <v/>
      </c>
      <c r="AU265" s="503" t="s">
        <v>621</v>
      </c>
      <c r="AV265" s="503" t="str">
        <f>IF($G265="","",IF(AND($G265&gt;=30,$AT$3&lt;=AU$7),ROUND(AU265*($AP$3+#REF!),-1),""))</f>
        <v/>
      </c>
      <c r="AW265" s="503" t="s">
        <v>621</v>
      </c>
      <c r="AX265" s="503" t="str">
        <f>IF($G265="","",IF(AND($G265&gt;=30,$AT$3&lt;=AW$7),ROUND(AW265*($AP$3+#REF!),-1),""))</f>
        <v/>
      </c>
      <c r="AY265" s="503" t="s">
        <v>621</v>
      </c>
      <c r="AZ265" s="503" t="str">
        <f>IF($G265="","",IF(AND($G265&gt;=30,$AT$3&lt;=AY$7),ROUND(AY265*($AP$3+#REF!),-1),""))</f>
        <v/>
      </c>
      <c r="BA265" s="503" t="s">
        <v>621</v>
      </c>
      <c r="BB265" s="503" t="str">
        <f>IF($G265="","",IF(AND($G265&gt;=30,$AT$3&lt;=BA$7),ROUND(BA265*($AP$3+#REF!),-1),""))</f>
        <v/>
      </c>
      <c r="BC265" s="503" t="s">
        <v>621</v>
      </c>
      <c r="BD265" s="503" t="str">
        <f>IF($G265="","",IF(AND($G265&gt;=30,$AT$3&lt;=BC$7),ROUND(BC265*($AP$3+#REF!),-1),""))</f>
        <v/>
      </c>
      <c r="BE265" s="503" t="s">
        <v>621</v>
      </c>
      <c r="BF265" s="503" t="str">
        <f>IF($G265="","",IF(AND($G265&gt;=30,$AT$3&lt;=BE$7),ROUND(BE265*($AP$3+#REF!),-1),""))</f>
        <v/>
      </c>
      <c r="BG265" s="503" t="s">
        <v>621</v>
      </c>
      <c r="BH265" s="503" t="str">
        <f>IF($G265="","",IF(AND($G265&gt;=30,$AT$3&lt;=BG$7),ROUND(BG265*($AP$3+#REF!),-1),""))</f>
        <v/>
      </c>
      <c r="BI265" s="503" t="s">
        <v>621</v>
      </c>
      <c r="BJ265" s="503" t="str">
        <f>IF($G265="","",IF(AND($G265&gt;=30,$AT$3&lt;=BI$7),ROUND(BI265*($AP$3+#REF!),-1),""))</f>
        <v/>
      </c>
      <c r="BK265" s="503" t="s">
        <v>621</v>
      </c>
      <c r="BL265" s="503" t="str">
        <f>IF($G265="","",IF(AND($G265&gt;=30,$AT$3&lt;=BK$7),ROUND(BK265*($AP$3+#REF!),-1),""))</f>
        <v/>
      </c>
      <c r="BM265" s="503" t="s">
        <v>621</v>
      </c>
      <c r="BN265" s="503" t="str">
        <f>IF($G265="","",IF(AND($G265&gt;=30,$AT$3&lt;=BM$7),ROUND(BM265*($AP$3+#REF!),-1),""))</f>
        <v/>
      </c>
      <c r="BO265" s="503" t="s">
        <v>621</v>
      </c>
      <c r="BP265" s="503" t="str">
        <f>IF($G265="","",IF(AND($G265&gt;=30,$AT$3&lt;=BO$7),ROUND(BO265*($AP$3+#REF!),-1),""))</f>
        <v/>
      </c>
      <c r="BQ265" s="503" t="s">
        <v>621</v>
      </c>
      <c r="BR265" s="503" t="str">
        <f>IF($G265="","",IF(AND($G265&gt;=30,$AT$3&lt;=BQ$7),ROUND(BQ265*($AP$3+#REF!),-1),""))</f>
        <v/>
      </c>
      <c r="BS265" s="503" t="s">
        <v>621</v>
      </c>
      <c r="BT265" s="503" t="str">
        <f>IF($G265="","",IF(AND($G265&gt;=30,$AT$3&lt;=BS$7),ROUND(BS265*($AP$3+#REF!),-1),""))</f>
        <v/>
      </c>
      <c r="BU265" s="503" t="s">
        <v>621</v>
      </c>
      <c r="BV265" s="503" t="str">
        <f>IF($G265="","",IF(AND($G265&gt;=30,$AT$3&lt;=BU$7),ROUND(BU265*($AP$3+#REF!),-1),""))</f>
        <v/>
      </c>
      <c r="BW265" s="517" t="e">
        <v>#REF!</v>
      </c>
      <c r="BX265" s="503" t="str">
        <f>IF($G265="","",IF(AND($G265&gt;=30,$AT$3&lt;=BW$7),ROUND(BW265*($AP$3+#REF!),-1),""))</f>
        <v/>
      </c>
      <c r="BY265" s="503"/>
      <c r="BZ265" s="503" t="str">
        <f>IF($G265="","",IF(AND($G265&gt;=30,$AT$3&lt;=BY$7),ROUND(BY265*($AP$3+#REF!),-1),""))</f>
        <v/>
      </c>
      <c r="CA265" s="502"/>
      <c r="CB265" s="503" t="str">
        <f>IF($G265="","",IF(AND($G265&gt;=30,$AT$3&lt;=CA$7),ROUND(CA265*($AP$3+#REF!),-1),""))</f>
        <v/>
      </c>
      <c r="CC265" s="503"/>
      <c r="CD265" s="503" t="str">
        <f>IF($G265="","",IF(AND($G265&gt;=30,$AT$3&lt;=CC$7),ROUND(CC265*($AP$3+#REF!),-1),""))</f>
        <v/>
      </c>
      <c r="CE265" s="502"/>
      <c r="CF265" s="503" t="str">
        <f>IF($G265="","",IF(AND($G265&gt;=30,$AT$3&lt;=CE$7),ROUND(CE265*($AP$3+#REF!),-1),""))</f>
        <v/>
      </c>
      <c r="CG265" s="503"/>
      <c r="CH265" s="503" t="str">
        <f>IF($G265="","",IF(AND($G265&gt;=30,$AT$3&lt;=CG$7),ROUND(CG265*($AP$3+#REF!),-1),""))</f>
        <v/>
      </c>
      <c r="CI265" s="502"/>
      <c r="CJ265" s="503" t="str">
        <f>IF($G265="","",IF(AND($G265&gt;=30,$AT$3&lt;=CI$7),ROUND(CI265*($AP$3+#REF!),-1),""))</f>
        <v/>
      </c>
      <c r="CK265" s="503"/>
      <c r="CL265" s="503" t="str">
        <f>IF($G265="","",IF(AND($G265&gt;=30,$AT$3&lt;=CK$7),ROUND(CK265*($AP$3+#REF!),-1),""))</f>
        <v/>
      </c>
      <c r="CM265" s="502"/>
      <c r="CN265" s="503" t="str">
        <f>IF($G265="","",IF(AND($G265&gt;=30,$AT$3&lt;=CM$7),ROUND(CM265*($AP$3+#REF!),-1),""))</f>
        <v/>
      </c>
      <c r="CO265" s="503"/>
      <c r="CP265" s="503" t="str">
        <f>IF($G265="","",IF(AND($G265&gt;=30,$AT$3&lt;=CO$7),ROUND(CO265*($AP$3+#REF!),-1),""))</f>
        <v/>
      </c>
      <c r="CQ265" s="502"/>
      <c r="CR265" s="503" t="str">
        <f>IF($G265="","",IF(AND($G265&gt;=30,$AT$3&lt;=CQ$7),ROUND(CQ265*($AP$3+#REF!),-1),""))</f>
        <v/>
      </c>
      <c r="CS265" s="503"/>
      <c r="CT265" s="503" t="str">
        <f>IF($G265="","",IF(AND($G265&gt;=30,$AT$3&lt;=CS$7),ROUND(CS265*($AP$3+#REF!),-1),""))</f>
        <v/>
      </c>
      <c r="CU265" s="502"/>
      <c r="CV265" s="503" t="str">
        <f>IF($G265="","",IF(AND($G265&gt;=30,$AT$3&lt;=CU$7),ROUND(CU265*($AP$3+#REF!),-1),""))</f>
        <v/>
      </c>
      <c r="CW265" s="503"/>
      <c r="CX265" s="503" t="str">
        <f>IF($G265="","",IF(AND($G265&gt;=30,$AT$3&lt;=CW$7),ROUND(CW265*($AP$3+#REF!),-1),""))</f>
        <v/>
      </c>
      <c r="CY265" s="502"/>
      <c r="CZ265" s="503" t="str">
        <f>IF($G265="","",IF(AND($G265&gt;=30,$AT$3&lt;=CY$7),ROUND(CY265*($AP$3+#REF!),-1),""))</f>
        <v/>
      </c>
      <c r="DA265" s="503"/>
      <c r="DB265" s="503" t="str">
        <f>IF($G265="","",IF(AND($G265&gt;=30,$AT$3&lt;=DA$7),ROUND(DA265*($AP$3+#REF!),-1),""))</f>
        <v/>
      </c>
      <c r="DC265" s="502"/>
      <c r="DD265" s="503" t="str">
        <f>IF($G265="","",IF(AND($G265&gt;=30,$AT$3&lt;=DC$7),ROUND(DC265*($AP$3+#REF!),-1),""))</f>
        <v/>
      </c>
      <c r="DE265" s="503"/>
      <c r="DF265" s="503" t="str">
        <f>IF($G265="","",IF(AND($G265&gt;=30,$AT$3&lt;=DE$7),ROUND(DE265*($AP$3+#REF!),-1),""))</f>
        <v/>
      </c>
      <c r="DG265" s="503"/>
      <c r="DH265" s="503" t="str">
        <f>IF($G265="","",IF(AND($G265&gt;=30,$AT$3&lt;=DG$7),ROUND(DG265*($AP$3+#REF!),-1),""))</f>
        <v/>
      </c>
      <c r="DI265" s="503"/>
      <c r="DJ265" s="503" t="str">
        <f>IF($G265="","",IF(AND($G265&gt;=30,$AT$3&lt;=DI$7),ROUND(DI265*($AP$3+#REF!),-1),""))</f>
        <v/>
      </c>
      <c r="DK265" s="503"/>
      <c r="DL265" s="503" t="str">
        <f>IF($G265="","",IF(AND($G265&gt;=30,$AT$3&lt;=DK$7),ROUND(DK265*($AP$3+#REF!),-1),""))</f>
        <v/>
      </c>
      <c r="DM265" s="503"/>
      <c r="DN265" s="503" t="str">
        <f>IF($G265="","",IF(AND($G265&gt;=30,$AT$3&lt;=DM$7),ROUND(DM265*($AP$3+#REF!),-1),""))</f>
        <v/>
      </c>
      <c r="DO265" s="503"/>
      <c r="DP265" s="503" t="str">
        <f>IF($G265="","",IF(AND($G265&gt;=30,$AT$3&lt;=DO$7),ROUND(DO265*($AP$3+#REF!),-1),""))</f>
        <v/>
      </c>
      <c r="DQ265" s="503"/>
      <c r="DR265" s="503" t="str">
        <f>IF($G265="","",IF(AND($G265&gt;=30,$AT$3&lt;=DQ$7),ROUND(DQ265*($AP$3+#REF!),-1),""))</f>
        <v/>
      </c>
      <c r="DS265" s="503"/>
      <c r="DT265" s="503" t="str">
        <f>IF($G265="","",IF(AND($G265&gt;=30,$AT$3&lt;=DS$7),ROUND(DS265*($AP$3+#REF!),-1),""))</f>
        <v/>
      </c>
      <c r="DU265" s="503"/>
      <c r="DV265" s="503" t="str">
        <f>IF($G265="","",IF(AND($G265&gt;=30,$AT$3&lt;=DU$7),ROUND(DU265*($AP$3+#REF!),-1),""))</f>
        <v/>
      </c>
      <c r="DW265" s="503"/>
      <c r="DX265" s="503" t="str">
        <f>IF($G265="","",IF(AND($G265&gt;=30,$AT$3&lt;=DW$7),ROUND(DW265*($AP$3+#REF!),-1),""))</f>
        <v/>
      </c>
      <c r="DY265" s="503"/>
      <c r="DZ265" s="503" t="str">
        <f>IF($G265="","",IF(AND($G265&gt;=30,$AT$3&lt;=DY$7),ROUND(DY265*($AP$3+#REF!),-1),""))</f>
        <v/>
      </c>
      <c r="EA265" s="503"/>
      <c r="EB265" s="503" t="str">
        <f>IF($G265="","",IF(AND($G265&gt;=30,$AT$3&lt;=EA$7),ROUND(EA265*($AP$3+#REF!),-1),""))</f>
        <v/>
      </c>
      <c r="EC265" s="504" t="s">
        <v>621</v>
      </c>
      <c r="ED265" s="1124"/>
      <c r="EE265" s="325">
        <v>5</v>
      </c>
    </row>
    <row r="266" spans="1:135" ht="9.75" customHeight="1">
      <c r="A266" s="321" t="str">
        <f t="shared" si="68"/>
        <v/>
      </c>
      <c r="B266" s="567">
        <f>(ii!$D$13*12+V266)+1</f>
        <v>160</v>
      </c>
      <c r="C266" s="337">
        <f t="shared" si="58"/>
        <v>50221</v>
      </c>
      <c r="D266" s="484">
        <f t="shared" si="61"/>
        <v>2037</v>
      </c>
      <c r="E266" s="484">
        <f t="shared" si="59"/>
        <v>0.5</v>
      </c>
      <c r="F266" s="484">
        <f t="shared" si="62"/>
        <v>2037.5</v>
      </c>
      <c r="G266" s="485" t="str">
        <f>IF(OR(C266&lt;$I$2,C266&gt;$J$3),"",(ii!$D$13*12+V266+1)/12)</f>
        <v/>
      </c>
      <c r="H266" s="486"/>
      <c r="I266" s="486"/>
      <c r="J266" s="487"/>
      <c r="K266" s="488"/>
      <c r="L266" s="548"/>
      <c r="M266" s="489" t="str">
        <f t="shared" si="63"/>
        <v/>
      </c>
      <c r="N266" s="490" t="s">
        <v>621</v>
      </c>
      <c r="O266" s="490" t="str">
        <f t="shared" si="70"/>
        <v/>
      </c>
      <c r="P266" s="491"/>
      <c r="Q266" s="491"/>
      <c r="R266" s="491" t="str">
        <f t="shared" si="71"/>
        <v/>
      </c>
      <c r="S266" s="528" t="str">
        <f t="shared" si="69"/>
        <v/>
      </c>
      <c r="T266" s="528" t="str">
        <f t="shared" si="67"/>
        <v/>
      </c>
      <c r="U266" s="493" t="str">
        <f>IF(H266="","",#REF!*12+#REF!+#REF!*12+#REF!)</f>
        <v/>
      </c>
      <c r="V266" s="338">
        <f>IF(ii!$J$3&gt;gg!C266,"",IF(AND((YEAR(C266)=YEAR($I$2)),MONTH(C266)=MONTH($I$2)),ii!$B$14*12+ii!$C$14+ii!$B$15*12+ii!$C$15-1,V265+1))</f>
        <v>159</v>
      </c>
      <c r="W266" s="339">
        <f t="shared" si="60"/>
        <v>13.25</v>
      </c>
      <c r="X266" s="494" t="s">
        <v>621</v>
      </c>
      <c r="Y266" s="495" t="s">
        <v>621</v>
      </c>
      <c r="Z266" s="496"/>
      <c r="AA266" s="497"/>
      <c r="AB266" s="498" t="e">
        <f t="shared" si="66"/>
        <v>#VALUE!</v>
      </c>
      <c r="AC266" s="484" t="str">
        <f t="shared" si="64"/>
        <v/>
      </c>
      <c r="AD266" s="495" t="str">
        <f t="shared" si="65"/>
        <v/>
      </c>
      <c r="AE266" s="499" t="s">
        <v>621</v>
      </c>
      <c r="AF266" s="500" t="s">
        <v>621</v>
      </c>
      <c r="AG266" s="556" t="s">
        <v>621</v>
      </c>
      <c r="AH266" s="503" t="str">
        <f>IF($G266="","",IF(AND($G266&gt;=30,$AT$3&lt;=AG$7),ROUND(AG266*($AP$3+#REF!),-1),""))</f>
        <v/>
      </c>
      <c r="AI266" s="506" t="s">
        <v>621</v>
      </c>
      <c r="AJ266" s="503" t="str">
        <f>IF($G266="","",IF(AND($G266&gt;=30,$AT$3&lt;=AI$7),ROUND(AI266*($AP$3+#REF!),-1),""))</f>
        <v/>
      </c>
      <c r="AK266" s="506" t="s">
        <v>621</v>
      </c>
      <c r="AL266" s="503" t="str">
        <f>IF($G266="","",IF(AND($G266&gt;=30,$AT$3&lt;=AK$7),ROUND(AK266*($AP$3+#REF!),-1),""))</f>
        <v/>
      </c>
      <c r="AM266" s="506" t="s">
        <v>621</v>
      </c>
      <c r="AN266" s="503" t="str">
        <f>IF($G266="","",IF(AND($G266&gt;=30,$AT$3&lt;=AM$7),ROUND(AM266*($AP$3+#REF!),-1),""))</f>
        <v/>
      </c>
      <c r="AO266" s="503" t="e">
        <v>#REF!</v>
      </c>
      <c r="AP266" s="503" t="str">
        <f>IF($G266="","",IF(AND($G266&gt;=30,$AT$3&lt;=AO$7),ROUND(AO266*($AP$3+#REF!),-1),""))</f>
        <v/>
      </c>
      <c r="AQ266" s="503" t="s">
        <v>621</v>
      </c>
      <c r="AR266" s="503" t="str">
        <f>IF($G266="","",IF(AND($G266&gt;=30,$AT$3&lt;=AQ$7),ROUND(AQ266*($AP$3+#REF!),-1),""))</f>
        <v/>
      </c>
      <c r="AS266" s="503" t="s">
        <v>621</v>
      </c>
      <c r="AT266" s="503" t="str">
        <f>IF($G266="","",IF(AND($G266&gt;=30,$AT$3&lt;=AS$7),ROUND(AS266*($AP$3+#REF!),-1),""))</f>
        <v/>
      </c>
      <c r="AU266" s="503" t="s">
        <v>621</v>
      </c>
      <c r="AV266" s="503" t="str">
        <f>IF($G266="","",IF(AND($G266&gt;=30,$AT$3&lt;=AU$7),ROUND(AU266*($AP$3+#REF!),-1),""))</f>
        <v/>
      </c>
      <c r="AW266" s="503" t="s">
        <v>621</v>
      </c>
      <c r="AX266" s="503" t="str">
        <f>IF($G266="","",IF(AND($G266&gt;=30,$AT$3&lt;=AW$7),ROUND(AW266*($AP$3+#REF!),-1),""))</f>
        <v/>
      </c>
      <c r="AY266" s="503" t="s">
        <v>621</v>
      </c>
      <c r="AZ266" s="503" t="str">
        <f>IF($G266="","",IF(AND($G266&gt;=30,$AT$3&lt;=AY$7),ROUND(AY266*($AP$3+#REF!),-1),""))</f>
        <v/>
      </c>
      <c r="BA266" s="503" t="s">
        <v>621</v>
      </c>
      <c r="BB266" s="503" t="str">
        <f>IF($G266="","",IF(AND($G266&gt;=30,$AT$3&lt;=BA$7),ROUND(BA266*($AP$3+#REF!),-1),""))</f>
        <v/>
      </c>
      <c r="BC266" s="503" t="s">
        <v>621</v>
      </c>
      <c r="BD266" s="503" t="str">
        <f>IF($G266="","",IF(AND($G266&gt;=30,$AT$3&lt;=BC$7),ROUND(BC266*($AP$3+#REF!),-1),""))</f>
        <v/>
      </c>
      <c r="BE266" s="503" t="s">
        <v>621</v>
      </c>
      <c r="BF266" s="503" t="str">
        <f>IF($G266="","",IF(AND($G266&gt;=30,$AT$3&lt;=BE$7),ROUND(BE266*($AP$3+#REF!),-1),""))</f>
        <v/>
      </c>
      <c r="BG266" s="503" t="s">
        <v>621</v>
      </c>
      <c r="BH266" s="503" t="str">
        <f>IF($G266="","",IF(AND($G266&gt;=30,$AT$3&lt;=BG$7),ROUND(BG266*($AP$3+#REF!),-1),""))</f>
        <v/>
      </c>
      <c r="BI266" s="503" t="s">
        <v>621</v>
      </c>
      <c r="BJ266" s="503" t="str">
        <f>IF($G266="","",IF(AND($G266&gt;=30,$AT$3&lt;=BI$7),ROUND(BI266*($AP$3+#REF!),-1),""))</f>
        <v/>
      </c>
      <c r="BK266" s="503" t="s">
        <v>621</v>
      </c>
      <c r="BL266" s="503" t="str">
        <f>IF($G266="","",IF(AND($G266&gt;=30,$AT$3&lt;=BK$7),ROUND(BK266*($AP$3+#REF!),-1),""))</f>
        <v/>
      </c>
      <c r="BM266" s="503" t="s">
        <v>621</v>
      </c>
      <c r="BN266" s="503" t="str">
        <f>IF($G266="","",IF(AND($G266&gt;=30,$AT$3&lt;=BM$7),ROUND(BM266*($AP$3+#REF!),-1),""))</f>
        <v/>
      </c>
      <c r="BO266" s="503" t="s">
        <v>621</v>
      </c>
      <c r="BP266" s="503" t="str">
        <f>IF($G266="","",IF(AND($G266&gt;=30,$AT$3&lt;=BO$7),ROUND(BO266*($AP$3+#REF!),-1),""))</f>
        <v/>
      </c>
      <c r="BQ266" s="503" t="s">
        <v>621</v>
      </c>
      <c r="BR266" s="503" t="str">
        <f>IF($G266="","",IF(AND($G266&gt;=30,$AT$3&lt;=BQ$7),ROUND(BQ266*($AP$3+#REF!),-1),""))</f>
        <v/>
      </c>
      <c r="BS266" s="503" t="s">
        <v>621</v>
      </c>
      <c r="BT266" s="503" t="str">
        <f>IF($G266="","",IF(AND($G266&gt;=30,$AT$3&lt;=BS$7),ROUND(BS266*($AP$3+#REF!),-1),""))</f>
        <v/>
      </c>
      <c r="BU266" s="503" t="s">
        <v>621</v>
      </c>
      <c r="BV266" s="503" t="str">
        <f>IF($G266="","",IF(AND($G266&gt;=30,$AT$3&lt;=BU$7),ROUND(BU266*($AP$3+#REF!),-1),""))</f>
        <v/>
      </c>
      <c r="BW266" s="517" t="e">
        <v>#REF!</v>
      </c>
      <c r="BX266" s="503" t="str">
        <f>IF($G266="","",IF(AND($G266&gt;=30,$AT$3&lt;=BW$7),ROUND(BW266*($AP$3+#REF!),-1),""))</f>
        <v/>
      </c>
      <c r="BY266" s="503"/>
      <c r="BZ266" s="503" t="str">
        <f>IF($G266="","",IF(AND($G266&gt;=30,$AT$3&lt;=BY$7),ROUND(BY266*($AP$3+#REF!),-1),""))</f>
        <v/>
      </c>
      <c r="CA266" s="502"/>
      <c r="CB266" s="503" t="str">
        <f>IF($G266="","",IF(AND($G266&gt;=30,$AT$3&lt;=CA$7),ROUND(CA266*($AP$3+#REF!),-1),""))</f>
        <v/>
      </c>
      <c r="CC266" s="503"/>
      <c r="CD266" s="503" t="str">
        <f>IF($G266="","",IF(AND($G266&gt;=30,$AT$3&lt;=CC$7),ROUND(CC266*($AP$3+#REF!),-1),""))</f>
        <v/>
      </c>
      <c r="CE266" s="502"/>
      <c r="CF266" s="503" t="str">
        <f>IF($G266="","",IF(AND($G266&gt;=30,$AT$3&lt;=CE$7),ROUND(CE266*($AP$3+#REF!),-1),""))</f>
        <v/>
      </c>
      <c r="CG266" s="503"/>
      <c r="CH266" s="503" t="str">
        <f>IF($G266="","",IF(AND($G266&gt;=30,$AT$3&lt;=CG$7),ROUND(CG266*($AP$3+#REF!),-1),""))</f>
        <v/>
      </c>
      <c r="CI266" s="502"/>
      <c r="CJ266" s="503" t="str">
        <f>IF($G266="","",IF(AND($G266&gt;=30,$AT$3&lt;=CI$7),ROUND(CI266*($AP$3+#REF!),-1),""))</f>
        <v/>
      </c>
      <c r="CK266" s="503"/>
      <c r="CL266" s="503" t="str">
        <f>IF($G266="","",IF(AND($G266&gt;=30,$AT$3&lt;=CK$7),ROUND(CK266*($AP$3+#REF!),-1),""))</f>
        <v/>
      </c>
      <c r="CM266" s="502"/>
      <c r="CN266" s="503" t="str">
        <f>IF($G266="","",IF(AND($G266&gt;=30,$AT$3&lt;=CM$7),ROUND(CM266*($AP$3+#REF!),-1),""))</f>
        <v/>
      </c>
      <c r="CO266" s="503"/>
      <c r="CP266" s="503" t="str">
        <f>IF($G266="","",IF(AND($G266&gt;=30,$AT$3&lt;=CO$7),ROUND(CO266*($AP$3+#REF!),-1),""))</f>
        <v/>
      </c>
      <c r="CQ266" s="502"/>
      <c r="CR266" s="503" t="str">
        <f>IF($G266="","",IF(AND($G266&gt;=30,$AT$3&lt;=CQ$7),ROUND(CQ266*($AP$3+#REF!),-1),""))</f>
        <v/>
      </c>
      <c r="CS266" s="503"/>
      <c r="CT266" s="503" t="str">
        <f>IF($G266="","",IF(AND($G266&gt;=30,$AT$3&lt;=CS$7),ROUND(CS266*($AP$3+#REF!),-1),""))</f>
        <v/>
      </c>
      <c r="CU266" s="502"/>
      <c r="CV266" s="503" t="str">
        <f>IF($G266="","",IF(AND($G266&gt;=30,$AT$3&lt;=CU$7),ROUND(CU266*($AP$3+#REF!),-1),""))</f>
        <v/>
      </c>
      <c r="CW266" s="503"/>
      <c r="CX266" s="503" t="str">
        <f>IF($G266="","",IF(AND($G266&gt;=30,$AT$3&lt;=CW$7),ROUND(CW266*($AP$3+#REF!),-1),""))</f>
        <v/>
      </c>
      <c r="CY266" s="502"/>
      <c r="CZ266" s="503" t="str">
        <f>IF($G266="","",IF(AND($G266&gt;=30,$AT$3&lt;=CY$7),ROUND(CY266*($AP$3+#REF!),-1),""))</f>
        <v/>
      </c>
      <c r="DA266" s="503"/>
      <c r="DB266" s="503" t="str">
        <f>IF($G266="","",IF(AND($G266&gt;=30,$AT$3&lt;=DA$7),ROUND(DA266*($AP$3+#REF!),-1),""))</f>
        <v/>
      </c>
      <c r="DC266" s="502"/>
      <c r="DD266" s="503" t="str">
        <f>IF($G266="","",IF(AND($G266&gt;=30,$AT$3&lt;=DC$7),ROUND(DC266*($AP$3+#REF!),-1),""))</f>
        <v/>
      </c>
      <c r="DE266" s="503"/>
      <c r="DF266" s="503" t="str">
        <f>IF($G266="","",IF(AND($G266&gt;=30,$AT$3&lt;=DE$7),ROUND(DE266*($AP$3+#REF!),-1),""))</f>
        <v/>
      </c>
      <c r="DG266" s="503"/>
      <c r="DH266" s="503" t="str">
        <f>IF($G266="","",IF(AND($G266&gt;=30,$AT$3&lt;=DG$7),ROUND(DG266*($AP$3+#REF!),-1),""))</f>
        <v/>
      </c>
      <c r="DI266" s="503"/>
      <c r="DJ266" s="503" t="str">
        <f>IF($G266="","",IF(AND($G266&gt;=30,$AT$3&lt;=DI$7),ROUND(DI266*($AP$3+#REF!),-1),""))</f>
        <v/>
      </c>
      <c r="DK266" s="503"/>
      <c r="DL266" s="503" t="str">
        <f>IF($G266="","",IF(AND($G266&gt;=30,$AT$3&lt;=DK$7),ROUND(DK266*($AP$3+#REF!),-1),""))</f>
        <v/>
      </c>
      <c r="DM266" s="503"/>
      <c r="DN266" s="503" t="str">
        <f>IF($G266="","",IF(AND($G266&gt;=30,$AT$3&lt;=DM$7),ROUND(DM266*($AP$3+#REF!),-1),""))</f>
        <v/>
      </c>
      <c r="DO266" s="503"/>
      <c r="DP266" s="503" t="str">
        <f>IF($G266="","",IF(AND($G266&gt;=30,$AT$3&lt;=DO$7),ROUND(DO266*($AP$3+#REF!),-1),""))</f>
        <v/>
      </c>
      <c r="DQ266" s="503"/>
      <c r="DR266" s="503" t="str">
        <f>IF($G266="","",IF(AND($G266&gt;=30,$AT$3&lt;=DQ$7),ROUND(DQ266*($AP$3+#REF!),-1),""))</f>
        <v/>
      </c>
      <c r="DS266" s="503"/>
      <c r="DT266" s="503" t="str">
        <f>IF($G266="","",IF(AND($G266&gt;=30,$AT$3&lt;=DS$7),ROUND(DS266*($AP$3+#REF!),-1),""))</f>
        <v/>
      </c>
      <c r="DU266" s="503"/>
      <c r="DV266" s="503" t="str">
        <f>IF($G266="","",IF(AND($G266&gt;=30,$AT$3&lt;=DU$7),ROUND(DU266*($AP$3+#REF!),-1),""))</f>
        <v/>
      </c>
      <c r="DW266" s="503"/>
      <c r="DX266" s="503" t="str">
        <f>IF($G266="","",IF(AND($G266&gt;=30,$AT$3&lt;=DW$7),ROUND(DW266*($AP$3+#REF!),-1),""))</f>
        <v/>
      </c>
      <c r="DY266" s="503"/>
      <c r="DZ266" s="503" t="str">
        <f>IF($G266="","",IF(AND($G266&gt;=30,$AT$3&lt;=DY$7),ROUND(DY266*($AP$3+#REF!),-1),""))</f>
        <v/>
      </c>
      <c r="EA266" s="503"/>
      <c r="EB266" s="503" t="str">
        <f>IF($G266="","",IF(AND($G266&gt;=30,$AT$3&lt;=EA$7),ROUND(EA266*($AP$3+#REF!),-1),""))</f>
        <v/>
      </c>
      <c r="EC266" s="504" t="s">
        <v>621</v>
      </c>
      <c r="ED266" s="1124"/>
      <c r="EE266" s="325">
        <v>6</v>
      </c>
    </row>
    <row r="267" spans="1:135" ht="9.75" customHeight="1">
      <c r="A267" s="321" t="str">
        <f t="shared" si="68"/>
        <v/>
      </c>
      <c r="B267" s="567">
        <f>(ii!$D$13*12+V267)+1</f>
        <v>161</v>
      </c>
      <c r="C267" s="337">
        <f t="shared" ref="C267:C330" si="72">EOMONTH(C266,1)</f>
        <v>50252</v>
      </c>
      <c r="D267" s="484">
        <f t="shared" si="61"/>
        <v>2037</v>
      </c>
      <c r="E267" s="484">
        <f t="shared" si="59"/>
        <v>0.58333333333333337</v>
      </c>
      <c r="F267" s="484">
        <f t="shared" si="62"/>
        <v>2037.5833333333333</v>
      </c>
      <c r="G267" s="485" t="str">
        <f>IF(OR(C267&lt;$I$2,C267&gt;$J$3),"",(ii!$D$13*12+V267+1)/12)</f>
        <v/>
      </c>
      <c r="H267" s="486"/>
      <c r="I267" s="486"/>
      <c r="J267" s="487"/>
      <c r="K267" s="488"/>
      <c r="L267" s="548"/>
      <c r="M267" s="489" t="str">
        <f t="shared" si="63"/>
        <v/>
      </c>
      <c r="N267" s="490" t="s">
        <v>621</v>
      </c>
      <c r="O267" s="490" t="str">
        <f t="shared" si="70"/>
        <v/>
      </c>
      <c r="P267" s="491"/>
      <c r="Q267" s="491"/>
      <c r="R267" s="491" t="str">
        <f t="shared" si="71"/>
        <v/>
      </c>
      <c r="S267" s="528" t="str">
        <f t="shared" si="69"/>
        <v/>
      </c>
      <c r="T267" s="528" t="str">
        <f t="shared" si="67"/>
        <v/>
      </c>
      <c r="U267" s="493" t="str">
        <f>IF(H267="","",#REF!*12+#REF!+#REF!*12+#REF!)</f>
        <v/>
      </c>
      <c r="V267" s="338">
        <f>IF(ii!$J$3&gt;gg!C267,"",IF(AND((YEAR(C267)=YEAR($I$2)),MONTH(C267)=MONTH($I$2)),ii!$B$14*12+ii!$C$14+ii!$B$15*12+ii!$C$15-1,V266+1))</f>
        <v>160</v>
      </c>
      <c r="W267" s="339">
        <f t="shared" si="60"/>
        <v>13.333333333333334</v>
      </c>
      <c r="X267" s="494" t="s">
        <v>621</v>
      </c>
      <c r="Y267" s="495" t="s">
        <v>621</v>
      </c>
      <c r="Z267" s="496"/>
      <c r="AA267" s="497"/>
      <c r="AB267" s="498" t="e">
        <f t="shared" si="66"/>
        <v>#VALUE!</v>
      </c>
      <c r="AC267" s="484" t="str">
        <f t="shared" si="64"/>
        <v/>
      </c>
      <c r="AD267" s="495" t="str">
        <f t="shared" si="65"/>
        <v/>
      </c>
      <c r="AE267" s="499" t="s">
        <v>621</v>
      </c>
      <c r="AF267" s="500" t="s">
        <v>621</v>
      </c>
      <c r="AG267" s="556" t="s">
        <v>621</v>
      </c>
      <c r="AH267" s="503" t="str">
        <f>IF($G267="","",IF(AND($G267&gt;=30,$AT$3&lt;=AG$7),ROUND(AG267*($AP$3+#REF!),-1),""))</f>
        <v/>
      </c>
      <c r="AI267" s="506" t="s">
        <v>621</v>
      </c>
      <c r="AJ267" s="503" t="str">
        <f>IF($G267="","",IF(AND($G267&gt;=30,$AT$3&lt;=AI$7),ROUND(AI267*($AP$3+#REF!),-1),""))</f>
        <v/>
      </c>
      <c r="AK267" s="506" t="s">
        <v>621</v>
      </c>
      <c r="AL267" s="503" t="str">
        <f>IF($G267="","",IF(AND($G267&gt;=30,$AT$3&lt;=AK$7),ROUND(AK267*($AP$3+#REF!),-1),""))</f>
        <v/>
      </c>
      <c r="AM267" s="506" t="s">
        <v>621</v>
      </c>
      <c r="AN267" s="503" t="str">
        <f>IF($G267="","",IF(AND($G267&gt;=30,$AT$3&lt;=AM$7),ROUND(AM267*($AP$3+#REF!),-1),""))</f>
        <v/>
      </c>
      <c r="AO267" s="503" t="e">
        <v>#REF!</v>
      </c>
      <c r="AP267" s="503" t="str">
        <f>IF($G267="","",IF(AND($G267&gt;=30,$AT$3&lt;=AO$7),ROUND(AO267*($AP$3+#REF!),-1),""))</f>
        <v/>
      </c>
      <c r="AQ267" s="503" t="s">
        <v>621</v>
      </c>
      <c r="AR267" s="503" t="str">
        <f>IF($G267="","",IF(AND($G267&gt;=30,$AT$3&lt;=AQ$7),ROUND(AQ267*($AP$3+#REF!),-1),""))</f>
        <v/>
      </c>
      <c r="AS267" s="503" t="s">
        <v>621</v>
      </c>
      <c r="AT267" s="503" t="str">
        <f>IF($G267="","",IF(AND($G267&gt;=30,$AT$3&lt;=AS$7),ROUND(AS267*($AP$3+#REF!),-1),""))</f>
        <v/>
      </c>
      <c r="AU267" s="503" t="s">
        <v>621</v>
      </c>
      <c r="AV267" s="503" t="str">
        <f>IF($G267="","",IF(AND($G267&gt;=30,$AT$3&lt;=AU$7),ROUND(AU267*($AP$3+#REF!),-1),""))</f>
        <v/>
      </c>
      <c r="AW267" s="503" t="s">
        <v>621</v>
      </c>
      <c r="AX267" s="503" t="str">
        <f>IF($G267="","",IF(AND($G267&gt;=30,$AT$3&lt;=AW$7),ROUND(AW267*($AP$3+#REF!),-1),""))</f>
        <v/>
      </c>
      <c r="AY267" s="503" t="s">
        <v>621</v>
      </c>
      <c r="AZ267" s="503" t="str">
        <f>IF($G267="","",IF(AND($G267&gt;=30,$AT$3&lt;=AY$7),ROUND(AY267*($AP$3+#REF!),-1),""))</f>
        <v/>
      </c>
      <c r="BA267" s="503" t="s">
        <v>621</v>
      </c>
      <c r="BB267" s="503" t="str">
        <f>IF($G267="","",IF(AND($G267&gt;=30,$AT$3&lt;=BA$7),ROUND(BA267*($AP$3+#REF!),-1),""))</f>
        <v/>
      </c>
      <c r="BC267" s="503" t="s">
        <v>621</v>
      </c>
      <c r="BD267" s="503" t="str">
        <f>IF($G267="","",IF(AND($G267&gt;=30,$AT$3&lt;=BC$7),ROUND(BC267*($AP$3+#REF!),-1),""))</f>
        <v/>
      </c>
      <c r="BE267" s="503" t="s">
        <v>621</v>
      </c>
      <c r="BF267" s="503" t="str">
        <f>IF($G267="","",IF(AND($G267&gt;=30,$AT$3&lt;=BE$7),ROUND(BE267*($AP$3+#REF!),-1),""))</f>
        <v/>
      </c>
      <c r="BG267" s="503" t="s">
        <v>621</v>
      </c>
      <c r="BH267" s="503" t="str">
        <f>IF($G267="","",IF(AND($G267&gt;=30,$AT$3&lt;=BG$7),ROUND(BG267*($AP$3+#REF!),-1),""))</f>
        <v/>
      </c>
      <c r="BI267" s="503" t="s">
        <v>621</v>
      </c>
      <c r="BJ267" s="503" t="str">
        <f>IF($G267="","",IF(AND($G267&gt;=30,$AT$3&lt;=BI$7),ROUND(BI267*($AP$3+#REF!),-1),""))</f>
        <v/>
      </c>
      <c r="BK267" s="503" t="s">
        <v>621</v>
      </c>
      <c r="BL267" s="503" t="str">
        <f>IF($G267="","",IF(AND($G267&gt;=30,$AT$3&lt;=BK$7),ROUND(BK267*($AP$3+#REF!),-1),""))</f>
        <v/>
      </c>
      <c r="BM267" s="503" t="s">
        <v>621</v>
      </c>
      <c r="BN267" s="503" t="str">
        <f>IF($G267="","",IF(AND($G267&gt;=30,$AT$3&lt;=BM$7),ROUND(BM267*($AP$3+#REF!),-1),""))</f>
        <v/>
      </c>
      <c r="BO267" s="503" t="s">
        <v>621</v>
      </c>
      <c r="BP267" s="503" t="str">
        <f>IF($G267="","",IF(AND($G267&gt;=30,$AT$3&lt;=BO$7),ROUND(BO267*($AP$3+#REF!),-1),""))</f>
        <v/>
      </c>
      <c r="BQ267" s="503" t="s">
        <v>621</v>
      </c>
      <c r="BR267" s="503" t="str">
        <f>IF($G267="","",IF(AND($G267&gt;=30,$AT$3&lt;=BQ$7),ROUND(BQ267*($AP$3+#REF!),-1),""))</f>
        <v/>
      </c>
      <c r="BS267" s="503" t="s">
        <v>621</v>
      </c>
      <c r="BT267" s="503" t="str">
        <f>IF($G267="","",IF(AND($G267&gt;=30,$AT$3&lt;=BS$7),ROUND(BS267*($AP$3+#REF!),-1),""))</f>
        <v/>
      </c>
      <c r="BU267" s="503" t="s">
        <v>621</v>
      </c>
      <c r="BV267" s="503" t="str">
        <f>IF($G267="","",IF(AND($G267&gt;=30,$AT$3&lt;=BU$7),ROUND(BU267*($AP$3+#REF!),-1),""))</f>
        <v/>
      </c>
      <c r="BW267" s="517" t="e">
        <v>#REF!</v>
      </c>
      <c r="BX267" s="503" t="str">
        <f>IF($G267="","",IF(AND($G267&gt;=30,$AT$3&lt;=BW$7),ROUND(BW267*($AP$3+#REF!),-1),""))</f>
        <v/>
      </c>
      <c r="BY267" s="503"/>
      <c r="BZ267" s="503" t="str">
        <f>IF($G267="","",IF(AND($G267&gt;=30,$AT$3&lt;=BY$7),ROUND(BY267*($AP$3+#REF!),-1),""))</f>
        <v/>
      </c>
      <c r="CA267" s="502"/>
      <c r="CB267" s="503" t="str">
        <f>IF($G267="","",IF(AND($G267&gt;=30,$AT$3&lt;=CA$7),ROUND(CA267*($AP$3+#REF!),-1),""))</f>
        <v/>
      </c>
      <c r="CC267" s="503"/>
      <c r="CD267" s="503" t="str">
        <f>IF($G267="","",IF(AND($G267&gt;=30,$AT$3&lt;=CC$7),ROUND(CC267*($AP$3+#REF!),-1),""))</f>
        <v/>
      </c>
      <c r="CE267" s="502"/>
      <c r="CF267" s="503" t="str">
        <f>IF($G267="","",IF(AND($G267&gt;=30,$AT$3&lt;=CE$7),ROUND(CE267*($AP$3+#REF!),-1),""))</f>
        <v/>
      </c>
      <c r="CG267" s="503"/>
      <c r="CH267" s="503" t="str">
        <f>IF($G267="","",IF(AND($G267&gt;=30,$AT$3&lt;=CG$7),ROUND(CG267*($AP$3+#REF!),-1),""))</f>
        <v/>
      </c>
      <c r="CI267" s="502"/>
      <c r="CJ267" s="503" t="str">
        <f>IF($G267="","",IF(AND($G267&gt;=30,$AT$3&lt;=CI$7),ROUND(CI267*($AP$3+#REF!),-1),""))</f>
        <v/>
      </c>
      <c r="CK267" s="503"/>
      <c r="CL267" s="503" t="str">
        <f>IF($G267="","",IF(AND($G267&gt;=30,$AT$3&lt;=CK$7),ROUND(CK267*($AP$3+#REF!),-1),""))</f>
        <v/>
      </c>
      <c r="CM267" s="502"/>
      <c r="CN267" s="503" t="str">
        <f>IF($G267="","",IF(AND($G267&gt;=30,$AT$3&lt;=CM$7),ROUND(CM267*($AP$3+#REF!),-1),""))</f>
        <v/>
      </c>
      <c r="CO267" s="503"/>
      <c r="CP267" s="503" t="str">
        <f>IF($G267="","",IF(AND($G267&gt;=30,$AT$3&lt;=CO$7),ROUND(CO267*($AP$3+#REF!),-1),""))</f>
        <v/>
      </c>
      <c r="CQ267" s="502"/>
      <c r="CR267" s="503" t="str">
        <f>IF($G267="","",IF(AND($G267&gt;=30,$AT$3&lt;=CQ$7),ROUND(CQ267*($AP$3+#REF!),-1),""))</f>
        <v/>
      </c>
      <c r="CS267" s="503"/>
      <c r="CT267" s="503" t="str">
        <f>IF($G267="","",IF(AND($G267&gt;=30,$AT$3&lt;=CS$7),ROUND(CS267*($AP$3+#REF!),-1),""))</f>
        <v/>
      </c>
      <c r="CU267" s="502"/>
      <c r="CV267" s="503" t="str">
        <f>IF($G267="","",IF(AND($G267&gt;=30,$AT$3&lt;=CU$7),ROUND(CU267*($AP$3+#REF!),-1),""))</f>
        <v/>
      </c>
      <c r="CW267" s="503"/>
      <c r="CX267" s="503" t="str">
        <f>IF($G267="","",IF(AND($G267&gt;=30,$AT$3&lt;=CW$7),ROUND(CW267*($AP$3+#REF!),-1),""))</f>
        <v/>
      </c>
      <c r="CY267" s="502"/>
      <c r="CZ267" s="503" t="str">
        <f>IF($G267="","",IF(AND($G267&gt;=30,$AT$3&lt;=CY$7),ROUND(CY267*($AP$3+#REF!),-1),""))</f>
        <v/>
      </c>
      <c r="DA267" s="503"/>
      <c r="DB267" s="503" t="str">
        <f>IF($G267="","",IF(AND($G267&gt;=30,$AT$3&lt;=DA$7),ROUND(DA267*($AP$3+#REF!),-1),""))</f>
        <v/>
      </c>
      <c r="DC267" s="502"/>
      <c r="DD267" s="503" t="str">
        <f>IF($G267="","",IF(AND($G267&gt;=30,$AT$3&lt;=DC$7),ROUND(DC267*($AP$3+#REF!),-1),""))</f>
        <v/>
      </c>
      <c r="DE267" s="503"/>
      <c r="DF267" s="503" t="str">
        <f>IF($G267="","",IF(AND($G267&gt;=30,$AT$3&lt;=DE$7),ROUND(DE267*($AP$3+#REF!),-1),""))</f>
        <v/>
      </c>
      <c r="DG267" s="503"/>
      <c r="DH267" s="503" t="str">
        <f>IF($G267="","",IF(AND($G267&gt;=30,$AT$3&lt;=DG$7),ROUND(DG267*($AP$3+#REF!),-1),""))</f>
        <v/>
      </c>
      <c r="DI267" s="503"/>
      <c r="DJ267" s="503" t="str">
        <f>IF($G267="","",IF(AND($G267&gt;=30,$AT$3&lt;=DI$7),ROUND(DI267*($AP$3+#REF!),-1),""))</f>
        <v/>
      </c>
      <c r="DK267" s="503"/>
      <c r="DL267" s="503" t="str">
        <f>IF($G267="","",IF(AND($G267&gt;=30,$AT$3&lt;=DK$7),ROUND(DK267*($AP$3+#REF!),-1),""))</f>
        <v/>
      </c>
      <c r="DM267" s="503"/>
      <c r="DN267" s="503" t="str">
        <f>IF($G267="","",IF(AND($G267&gt;=30,$AT$3&lt;=DM$7),ROUND(DM267*($AP$3+#REF!),-1),""))</f>
        <v/>
      </c>
      <c r="DO267" s="503"/>
      <c r="DP267" s="503" t="str">
        <f>IF($G267="","",IF(AND($G267&gt;=30,$AT$3&lt;=DO$7),ROUND(DO267*($AP$3+#REF!),-1),""))</f>
        <v/>
      </c>
      <c r="DQ267" s="503"/>
      <c r="DR267" s="503" t="str">
        <f>IF($G267="","",IF(AND($G267&gt;=30,$AT$3&lt;=DQ$7),ROUND(DQ267*($AP$3+#REF!),-1),""))</f>
        <v/>
      </c>
      <c r="DS267" s="503"/>
      <c r="DT267" s="503" t="str">
        <f>IF($G267="","",IF(AND($G267&gt;=30,$AT$3&lt;=DS$7),ROUND(DS267*($AP$3+#REF!),-1),""))</f>
        <v/>
      </c>
      <c r="DU267" s="503"/>
      <c r="DV267" s="503" t="str">
        <f>IF($G267="","",IF(AND($G267&gt;=30,$AT$3&lt;=DU$7),ROUND(DU267*($AP$3+#REF!),-1),""))</f>
        <v/>
      </c>
      <c r="DW267" s="503"/>
      <c r="DX267" s="503" t="str">
        <f>IF($G267="","",IF(AND($G267&gt;=30,$AT$3&lt;=DW$7),ROUND(DW267*($AP$3+#REF!),-1),""))</f>
        <v/>
      </c>
      <c r="DY267" s="503"/>
      <c r="DZ267" s="503" t="str">
        <f>IF($G267="","",IF(AND($G267&gt;=30,$AT$3&lt;=DY$7),ROUND(DY267*($AP$3+#REF!),-1),""))</f>
        <v/>
      </c>
      <c r="EA267" s="503"/>
      <c r="EB267" s="503" t="str">
        <f>IF($G267="","",IF(AND($G267&gt;=30,$AT$3&lt;=EA$7),ROUND(EA267*($AP$3+#REF!),-1),""))</f>
        <v/>
      </c>
      <c r="EC267" s="504" t="s">
        <v>621</v>
      </c>
      <c r="ED267" s="1124"/>
      <c r="EE267" s="325">
        <v>7</v>
      </c>
    </row>
    <row r="268" spans="1:135" ht="9.75" customHeight="1">
      <c r="A268" s="321" t="str">
        <f t="shared" si="68"/>
        <v/>
      </c>
      <c r="B268" s="567">
        <f>(ii!$D$13*12+V268)+1</f>
        <v>162</v>
      </c>
      <c r="C268" s="337">
        <f t="shared" si="72"/>
        <v>50283</v>
      </c>
      <c r="D268" s="484">
        <f t="shared" si="61"/>
        <v>2037</v>
      </c>
      <c r="E268" s="484">
        <f t="shared" si="59"/>
        <v>0.66666666666666663</v>
      </c>
      <c r="F268" s="484">
        <f t="shared" si="62"/>
        <v>2037.6666666666667</v>
      </c>
      <c r="G268" s="485" t="str">
        <f>IF(OR(C268&lt;$I$2,C268&gt;$J$3),"",(ii!$D$13*12+V268+1)/12)</f>
        <v/>
      </c>
      <c r="H268" s="486"/>
      <c r="I268" s="486"/>
      <c r="J268" s="487"/>
      <c r="K268" s="488"/>
      <c r="L268" s="548"/>
      <c r="M268" s="489" t="str">
        <f t="shared" si="63"/>
        <v/>
      </c>
      <c r="N268" s="490" t="s">
        <v>621</v>
      </c>
      <c r="O268" s="490" t="str">
        <f t="shared" si="70"/>
        <v/>
      </c>
      <c r="P268" s="491"/>
      <c r="Q268" s="491"/>
      <c r="R268" s="491" t="str">
        <f t="shared" si="71"/>
        <v/>
      </c>
      <c r="S268" s="528" t="str">
        <f t="shared" si="69"/>
        <v/>
      </c>
      <c r="T268" s="528" t="str">
        <f t="shared" si="67"/>
        <v/>
      </c>
      <c r="U268" s="493" t="str">
        <f>IF(H268="","",#REF!*12+#REF!+#REF!*12+#REF!)</f>
        <v/>
      </c>
      <c r="V268" s="338">
        <f>IF(ii!$J$3&gt;gg!C268,"",IF(AND((YEAR(C268)=YEAR($I$2)),MONTH(C268)=MONTH($I$2)),ii!$B$14*12+ii!$C$14+ii!$B$15*12+ii!$C$15-1,V267+1))</f>
        <v>161</v>
      </c>
      <c r="W268" s="339">
        <f t="shared" si="60"/>
        <v>13.416666666666666</v>
      </c>
      <c r="X268" s="494" t="s">
        <v>621</v>
      </c>
      <c r="Y268" s="495" t="s">
        <v>621</v>
      </c>
      <c r="Z268" s="496"/>
      <c r="AA268" s="497"/>
      <c r="AB268" s="498" t="e">
        <f t="shared" si="66"/>
        <v>#VALUE!</v>
      </c>
      <c r="AC268" s="484" t="str">
        <f t="shared" si="64"/>
        <v/>
      </c>
      <c r="AD268" s="495" t="str">
        <f t="shared" si="65"/>
        <v/>
      </c>
      <c r="AE268" s="499" t="s">
        <v>621</v>
      </c>
      <c r="AF268" s="500" t="s">
        <v>621</v>
      </c>
      <c r="AG268" s="556" t="s">
        <v>621</v>
      </c>
      <c r="AH268" s="503" t="str">
        <f>IF($G268="","",IF(AND($G268&gt;=30,$AT$3&lt;=AG$7),ROUND(AG268*($AP$3+#REF!),-1),""))</f>
        <v/>
      </c>
      <c r="AI268" s="506" t="s">
        <v>621</v>
      </c>
      <c r="AJ268" s="503" t="str">
        <f>IF($G268="","",IF(AND($G268&gt;=30,$AT$3&lt;=AI$7),ROUND(AI268*($AP$3+#REF!),-1),""))</f>
        <v/>
      </c>
      <c r="AK268" s="506" t="s">
        <v>621</v>
      </c>
      <c r="AL268" s="503" t="str">
        <f>IF($G268="","",IF(AND($G268&gt;=30,$AT$3&lt;=AK$7),ROUND(AK268*($AP$3+#REF!),-1),""))</f>
        <v/>
      </c>
      <c r="AM268" s="506" t="s">
        <v>621</v>
      </c>
      <c r="AN268" s="503" t="str">
        <f>IF($G268="","",IF(AND($G268&gt;=30,$AT$3&lt;=AM$7),ROUND(AM268*($AP$3+#REF!),-1),""))</f>
        <v/>
      </c>
      <c r="AO268" s="503" t="e">
        <v>#REF!</v>
      </c>
      <c r="AP268" s="503" t="str">
        <f>IF($G268="","",IF(AND($G268&gt;=30,$AT$3&lt;=AO$7),ROUND(AO268*($AP$3+#REF!),-1),""))</f>
        <v/>
      </c>
      <c r="AQ268" s="503" t="s">
        <v>621</v>
      </c>
      <c r="AR268" s="503" t="str">
        <f>IF($G268="","",IF(AND($G268&gt;=30,$AT$3&lt;=AQ$7),ROUND(AQ268*($AP$3+#REF!),-1),""))</f>
        <v/>
      </c>
      <c r="AS268" s="503" t="s">
        <v>621</v>
      </c>
      <c r="AT268" s="503" t="str">
        <f>IF($G268="","",IF(AND($G268&gt;=30,$AT$3&lt;=AS$7),ROUND(AS268*($AP$3+#REF!),-1),""))</f>
        <v/>
      </c>
      <c r="AU268" s="503" t="s">
        <v>621</v>
      </c>
      <c r="AV268" s="503" t="str">
        <f>IF($G268="","",IF(AND($G268&gt;=30,$AT$3&lt;=AU$7),ROUND(AU268*($AP$3+#REF!),-1),""))</f>
        <v/>
      </c>
      <c r="AW268" s="503" t="s">
        <v>621</v>
      </c>
      <c r="AX268" s="503" t="str">
        <f>IF($G268="","",IF(AND($G268&gt;=30,$AT$3&lt;=AW$7),ROUND(AW268*($AP$3+#REF!),-1),""))</f>
        <v/>
      </c>
      <c r="AY268" s="503" t="s">
        <v>621</v>
      </c>
      <c r="AZ268" s="503" t="str">
        <f>IF($G268="","",IF(AND($G268&gt;=30,$AT$3&lt;=AY$7),ROUND(AY268*($AP$3+#REF!),-1),""))</f>
        <v/>
      </c>
      <c r="BA268" s="503" t="s">
        <v>621</v>
      </c>
      <c r="BB268" s="503" t="str">
        <f>IF($G268="","",IF(AND($G268&gt;=30,$AT$3&lt;=BA$7),ROUND(BA268*($AP$3+#REF!),-1),""))</f>
        <v/>
      </c>
      <c r="BC268" s="503" t="s">
        <v>621</v>
      </c>
      <c r="BD268" s="503" t="str">
        <f>IF($G268="","",IF(AND($G268&gt;=30,$AT$3&lt;=BC$7),ROUND(BC268*($AP$3+#REF!),-1),""))</f>
        <v/>
      </c>
      <c r="BE268" s="503" t="s">
        <v>621</v>
      </c>
      <c r="BF268" s="503" t="str">
        <f>IF($G268="","",IF(AND($G268&gt;=30,$AT$3&lt;=BE$7),ROUND(BE268*($AP$3+#REF!),-1),""))</f>
        <v/>
      </c>
      <c r="BG268" s="503" t="s">
        <v>621</v>
      </c>
      <c r="BH268" s="503" t="str">
        <f>IF($G268="","",IF(AND($G268&gt;=30,$AT$3&lt;=BG$7),ROUND(BG268*($AP$3+#REF!),-1),""))</f>
        <v/>
      </c>
      <c r="BI268" s="503" t="s">
        <v>621</v>
      </c>
      <c r="BJ268" s="503" t="str">
        <f>IF($G268="","",IF(AND($G268&gt;=30,$AT$3&lt;=BI$7),ROUND(BI268*($AP$3+#REF!),-1),""))</f>
        <v/>
      </c>
      <c r="BK268" s="503" t="s">
        <v>621</v>
      </c>
      <c r="BL268" s="503" t="str">
        <f>IF($G268="","",IF(AND($G268&gt;=30,$AT$3&lt;=BK$7),ROUND(BK268*($AP$3+#REF!),-1),""))</f>
        <v/>
      </c>
      <c r="BM268" s="503" t="s">
        <v>621</v>
      </c>
      <c r="BN268" s="503" t="str">
        <f>IF($G268="","",IF(AND($G268&gt;=30,$AT$3&lt;=BM$7),ROUND(BM268*($AP$3+#REF!),-1),""))</f>
        <v/>
      </c>
      <c r="BO268" s="503" t="s">
        <v>621</v>
      </c>
      <c r="BP268" s="503" t="str">
        <f>IF($G268="","",IF(AND($G268&gt;=30,$AT$3&lt;=BO$7),ROUND(BO268*($AP$3+#REF!),-1),""))</f>
        <v/>
      </c>
      <c r="BQ268" s="503" t="s">
        <v>621</v>
      </c>
      <c r="BR268" s="503" t="str">
        <f>IF($G268="","",IF(AND($G268&gt;=30,$AT$3&lt;=BQ$7),ROUND(BQ268*($AP$3+#REF!),-1),""))</f>
        <v/>
      </c>
      <c r="BS268" s="503" t="s">
        <v>621</v>
      </c>
      <c r="BT268" s="503" t="str">
        <f>IF($G268="","",IF(AND($G268&gt;=30,$AT$3&lt;=BS$7),ROUND(BS268*($AP$3+#REF!),-1),""))</f>
        <v/>
      </c>
      <c r="BU268" s="503" t="s">
        <v>621</v>
      </c>
      <c r="BV268" s="503" t="str">
        <f>IF($G268="","",IF(AND($G268&gt;=30,$AT$3&lt;=BU$7),ROUND(BU268*($AP$3+#REF!),-1),""))</f>
        <v/>
      </c>
      <c r="BW268" s="517" t="e">
        <v>#REF!</v>
      </c>
      <c r="BX268" s="503" t="str">
        <f>IF($G268="","",IF(AND($G268&gt;=30,$AT$3&lt;=BW$7),ROUND(BW268*($AP$3+#REF!),-1),""))</f>
        <v/>
      </c>
      <c r="BY268" s="503"/>
      <c r="BZ268" s="503" t="str">
        <f>IF($G268="","",IF(AND($G268&gt;=30,$AT$3&lt;=BY$7),ROUND(BY268*($AP$3+#REF!),-1),""))</f>
        <v/>
      </c>
      <c r="CA268" s="502"/>
      <c r="CB268" s="503" t="str">
        <f>IF($G268="","",IF(AND($G268&gt;=30,$AT$3&lt;=CA$7),ROUND(CA268*($AP$3+#REF!),-1),""))</f>
        <v/>
      </c>
      <c r="CC268" s="503"/>
      <c r="CD268" s="503" t="str">
        <f>IF($G268="","",IF(AND($G268&gt;=30,$AT$3&lt;=CC$7),ROUND(CC268*($AP$3+#REF!),-1),""))</f>
        <v/>
      </c>
      <c r="CE268" s="502"/>
      <c r="CF268" s="503" t="str">
        <f>IF($G268="","",IF(AND($G268&gt;=30,$AT$3&lt;=CE$7),ROUND(CE268*($AP$3+#REF!),-1),""))</f>
        <v/>
      </c>
      <c r="CG268" s="503"/>
      <c r="CH268" s="503" t="str">
        <f>IF($G268="","",IF(AND($G268&gt;=30,$AT$3&lt;=CG$7),ROUND(CG268*($AP$3+#REF!),-1),""))</f>
        <v/>
      </c>
      <c r="CI268" s="502"/>
      <c r="CJ268" s="503" t="str">
        <f>IF($G268="","",IF(AND($G268&gt;=30,$AT$3&lt;=CI$7),ROUND(CI268*($AP$3+#REF!),-1),""))</f>
        <v/>
      </c>
      <c r="CK268" s="503"/>
      <c r="CL268" s="503" t="str">
        <f>IF($G268="","",IF(AND($G268&gt;=30,$AT$3&lt;=CK$7),ROUND(CK268*($AP$3+#REF!),-1),""))</f>
        <v/>
      </c>
      <c r="CM268" s="502"/>
      <c r="CN268" s="503" t="str">
        <f>IF($G268="","",IF(AND($G268&gt;=30,$AT$3&lt;=CM$7),ROUND(CM268*($AP$3+#REF!),-1),""))</f>
        <v/>
      </c>
      <c r="CO268" s="503"/>
      <c r="CP268" s="503" t="str">
        <f>IF($G268="","",IF(AND($G268&gt;=30,$AT$3&lt;=CO$7),ROUND(CO268*($AP$3+#REF!),-1),""))</f>
        <v/>
      </c>
      <c r="CQ268" s="502"/>
      <c r="CR268" s="503" t="str">
        <f>IF($G268="","",IF(AND($G268&gt;=30,$AT$3&lt;=CQ$7),ROUND(CQ268*($AP$3+#REF!),-1),""))</f>
        <v/>
      </c>
      <c r="CS268" s="503"/>
      <c r="CT268" s="503" t="str">
        <f>IF($G268="","",IF(AND($G268&gt;=30,$AT$3&lt;=CS$7),ROUND(CS268*($AP$3+#REF!),-1),""))</f>
        <v/>
      </c>
      <c r="CU268" s="502"/>
      <c r="CV268" s="503" t="str">
        <f>IF($G268="","",IF(AND($G268&gt;=30,$AT$3&lt;=CU$7),ROUND(CU268*($AP$3+#REF!),-1),""))</f>
        <v/>
      </c>
      <c r="CW268" s="503"/>
      <c r="CX268" s="503" t="str">
        <f>IF($G268="","",IF(AND($G268&gt;=30,$AT$3&lt;=CW$7),ROUND(CW268*($AP$3+#REF!),-1),""))</f>
        <v/>
      </c>
      <c r="CY268" s="502"/>
      <c r="CZ268" s="503" t="str">
        <f>IF($G268="","",IF(AND($G268&gt;=30,$AT$3&lt;=CY$7),ROUND(CY268*($AP$3+#REF!),-1),""))</f>
        <v/>
      </c>
      <c r="DA268" s="503"/>
      <c r="DB268" s="503" t="str">
        <f>IF($G268="","",IF(AND($G268&gt;=30,$AT$3&lt;=DA$7),ROUND(DA268*($AP$3+#REF!),-1),""))</f>
        <v/>
      </c>
      <c r="DC268" s="502"/>
      <c r="DD268" s="503" t="str">
        <f>IF($G268="","",IF(AND($G268&gt;=30,$AT$3&lt;=DC$7),ROUND(DC268*($AP$3+#REF!),-1),""))</f>
        <v/>
      </c>
      <c r="DE268" s="503"/>
      <c r="DF268" s="503" t="str">
        <f>IF($G268="","",IF(AND($G268&gt;=30,$AT$3&lt;=DE$7),ROUND(DE268*($AP$3+#REF!),-1),""))</f>
        <v/>
      </c>
      <c r="DG268" s="503"/>
      <c r="DH268" s="503" t="str">
        <f>IF($G268="","",IF(AND($G268&gt;=30,$AT$3&lt;=DG$7),ROUND(DG268*($AP$3+#REF!),-1),""))</f>
        <v/>
      </c>
      <c r="DI268" s="503"/>
      <c r="DJ268" s="503" t="str">
        <f>IF($G268="","",IF(AND($G268&gt;=30,$AT$3&lt;=DI$7),ROUND(DI268*($AP$3+#REF!),-1),""))</f>
        <v/>
      </c>
      <c r="DK268" s="503"/>
      <c r="DL268" s="503" t="str">
        <f>IF($G268="","",IF(AND($G268&gt;=30,$AT$3&lt;=DK$7),ROUND(DK268*($AP$3+#REF!),-1),""))</f>
        <v/>
      </c>
      <c r="DM268" s="503"/>
      <c r="DN268" s="503" t="str">
        <f>IF($G268="","",IF(AND($G268&gt;=30,$AT$3&lt;=DM$7),ROUND(DM268*($AP$3+#REF!),-1),""))</f>
        <v/>
      </c>
      <c r="DO268" s="503"/>
      <c r="DP268" s="503" t="str">
        <f>IF($G268="","",IF(AND($G268&gt;=30,$AT$3&lt;=DO$7),ROUND(DO268*($AP$3+#REF!),-1),""))</f>
        <v/>
      </c>
      <c r="DQ268" s="503"/>
      <c r="DR268" s="503" t="str">
        <f>IF($G268="","",IF(AND($G268&gt;=30,$AT$3&lt;=DQ$7),ROUND(DQ268*($AP$3+#REF!),-1),""))</f>
        <v/>
      </c>
      <c r="DS268" s="503"/>
      <c r="DT268" s="503" t="str">
        <f>IF($G268="","",IF(AND($G268&gt;=30,$AT$3&lt;=DS$7),ROUND(DS268*($AP$3+#REF!),-1),""))</f>
        <v/>
      </c>
      <c r="DU268" s="503"/>
      <c r="DV268" s="503" t="str">
        <f>IF($G268="","",IF(AND($G268&gt;=30,$AT$3&lt;=DU$7),ROUND(DU268*($AP$3+#REF!),-1),""))</f>
        <v/>
      </c>
      <c r="DW268" s="503"/>
      <c r="DX268" s="503" t="str">
        <f>IF($G268="","",IF(AND($G268&gt;=30,$AT$3&lt;=DW$7),ROUND(DW268*($AP$3+#REF!),-1),""))</f>
        <v/>
      </c>
      <c r="DY268" s="503"/>
      <c r="DZ268" s="503" t="str">
        <f>IF($G268="","",IF(AND($G268&gt;=30,$AT$3&lt;=DY$7),ROUND(DY268*($AP$3+#REF!),-1),""))</f>
        <v/>
      </c>
      <c r="EA268" s="503"/>
      <c r="EB268" s="503" t="str">
        <f>IF($G268="","",IF(AND($G268&gt;=30,$AT$3&lt;=EA$7),ROUND(EA268*($AP$3+#REF!),-1),""))</f>
        <v/>
      </c>
      <c r="EC268" s="504" t="s">
        <v>621</v>
      </c>
      <c r="ED268" s="1124"/>
      <c r="EE268" s="325">
        <v>8</v>
      </c>
    </row>
    <row r="269" spans="1:135" ht="9.75" customHeight="1">
      <c r="A269" s="321" t="str">
        <f t="shared" si="68"/>
        <v/>
      </c>
      <c r="B269" s="567">
        <f>(ii!$D$13*12+V269)+1</f>
        <v>163</v>
      </c>
      <c r="C269" s="337">
        <f t="shared" si="72"/>
        <v>50313</v>
      </c>
      <c r="D269" s="484">
        <f t="shared" si="61"/>
        <v>2037</v>
      </c>
      <c r="E269" s="484">
        <f t="shared" si="59"/>
        <v>0.75</v>
      </c>
      <c r="F269" s="484">
        <f t="shared" si="62"/>
        <v>2037.75</v>
      </c>
      <c r="G269" s="485" t="str">
        <f>IF(OR(C269&lt;$I$2,C269&gt;$J$3),"",(ii!$D$13*12+V269+1)/12)</f>
        <v/>
      </c>
      <c r="H269" s="486"/>
      <c r="I269" s="486"/>
      <c r="J269" s="487"/>
      <c r="K269" s="488"/>
      <c r="L269" s="548"/>
      <c r="M269" s="489" t="str">
        <f t="shared" si="63"/>
        <v/>
      </c>
      <c r="N269" s="490" t="s">
        <v>621</v>
      </c>
      <c r="O269" s="490" t="str">
        <f t="shared" si="70"/>
        <v/>
      </c>
      <c r="P269" s="491"/>
      <c r="Q269" s="491"/>
      <c r="R269" s="491" t="str">
        <f t="shared" si="71"/>
        <v/>
      </c>
      <c r="S269" s="528" t="str">
        <f t="shared" si="69"/>
        <v/>
      </c>
      <c r="T269" s="528" t="str">
        <f t="shared" si="67"/>
        <v/>
      </c>
      <c r="U269" s="493" t="str">
        <f>IF(H269="","",#REF!*12+#REF!+#REF!*12+#REF!)</f>
        <v/>
      </c>
      <c r="V269" s="338">
        <f>IF(ii!$J$3&gt;gg!C269,"",IF(AND((YEAR(C269)=YEAR($I$2)),MONTH(C269)=MONTH($I$2)),ii!$B$14*12+ii!$C$14+ii!$B$15*12+ii!$C$15-1,V268+1))</f>
        <v>162</v>
      </c>
      <c r="W269" s="339">
        <f t="shared" si="60"/>
        <v>13.5</v>
      </c>
      <c r="X269" s="494" t="s">
        <v>621</v>
      </c>
      <c r="Y269" s="495" t="s">
        <v>621</v>
      </c>
      <c r="Z269" s="496"/>
      <c r="AA269" s="497"/>
      <c r="AB269" s="498" t="e">
        <f t="shared" si="66"/>
        <v>#VALUE!</v>
      </c>
      <c r="AC269" s="484" t="str">
        <f t="shared" si="64"/>
        <v/>
      </c>
      <c r="AD269" s="495" t="str">
        <f t="shared" si="65"/>
        <v/>
      </c>
      <c r="AE269" s="499" t="s">
        <v>621</v>
      </c>
      <c r="AF269" s="500" t="s">
        <v>621</v>
      </c>
      <c r="AG269" s="556" t="s">
        <v>621</v>
      </c>
      <c r="AH269" s="503" t="str">
        <f>IF($G269="","",IF(AND($G269&gt;=30,$AT$3&lt;=AG$7),ROUND(AG269*($AP$3+#REF!),-1),""))</f>
        <v/>
      </c>
      <c r="AI269" s="506" t="s">
        <v>621</v>
      </c>
      <c r="AJ269" s="503" t="str">
        <f>IF($G269="","",IF(AND($G269&gt;=30,$AT$3&lt;=AI$7),ROUND(AI269*($AP$3+#REF!),-1),""))</f>
        <v/>
      </c>
      <c r="AK269" s="506" t="s">
        <v>621</v>
      </c>
      <c r="AL269" s="503" t="str">
        <f>IF($G269="","",IF(AND($G269&gt;=30,$AT$3&lt;=AK$7),ROUND(AK269*($AP$3+#REF!),-1),""))</f>
        <v/>
      </c>
      <c r="AM269" s="506" t="s">
        <v>621</v>
      </c>
      <c r="AN269" s="503" t="str">
        <f>IF($G269="","",IF(AND($G269&gt;=30,$AT$3&lt;=AM$7),ROUND(AM269*($AP$3+#REF!),-1),""))</f>
        <v/>
      </c>
      <c r="AO269" s="503" t="e">
        <v>#REF!</v>
      </c>
      <c r="AP269" s="503" t="str">
        <f>IF($G269="","",IF(AND($G269&gt;=30,$AT$3&lt;=AO$7),ROUND(AO269*($AP$3+#REF!),-1),""))</f>
        <v/>
      </c>
      <c r="AQ269" s="503" t="s">
        <v>621</v>
      </c>
      <c r="AR269" s="503" t="str">
        <f>IF($G269="","",IF(AND($G269&gt;=30,$AT$3&lt;=AQ$7),ROUND(AQ269*($AP$3+#REF!),-1),""))</f>
        <v/>
      </c>
      <c r="AS269" s="503" t="s">
        <v>621</v>
      </c>
      <c r="AT269" s="503" t="str">
        <f>IF($G269="","",IF(AND($G269&gt;=30,$AT$3&lt;=AS$7),ROUND(AS269*($AP$3+#REF!),-1),""))</f>
        <v/>
      </c>
      <c r="AU269" s="503" t="s">
        <v>621</v>
      </c>
      <c r="AV269" s="503" t="str">
        <f>IF($G269="","",IF(AND($G269&gt;=30,$AT$3&lt;=AU$7),ROUND(AU269*($AP$3+#REF!),-1),""))</f>
        <v/>
      </c>
      <c r="AW269" s="503" t="s">
        <v>621</v>
      </c>
      <c r="AX269" s="503" t="str">
        <f>IF($G269="","",IF(AND($G269&gt;=30,$AT$3&lt;=AW$7),ROUND(AW269*($AP$3+#REF!),-1),""))</f>
        <v/>
      </c>
      <c r="AY269" s="503" t="s">
        <v>621</v>
      </c>
      <c r="AZ269" s="503" t="str">
        <f>IF($G269="","",IF(AND($G269&gt;=30,$AT$3&lt;=AY$7),ROUND(AY269*($AP$3+#REF!),-1),""))</f>
        <v/>
      </c>
      <c r="BA269" s="503" t="s">
        <v>621</v>
      </c>
      <c r="BB269" s="503" t="str">
        <f>IF($G269="","",IF(AND($G269&gt;=30,$AT$3&lt;=BA$7),ROUND(BA269*($AP$3+#REF!),-1),""))</f>
        <v/>
      </c>
      <c r="BC269" s="503" t="s">
        <v>621</v>
      </c>
      <c r="BD269" s="503" t="str">
        <f>IF($G269="","",IF(AND($G269&gt;=30,$AT$3&lt;=BC$7),ROUND(BC269*($AP$3+#REF!),-1),""))</f>
        <v/>
      </c>
      <c r="BE269" s="503" t="s">
        <v>621</v>
      </c>
      <c r="BF269" s="503" t="str">
        <f>IF($G269="","",IF(AND($G269&gt;=30,$AT$3&lt;=BE$7),ROUND(BE269*($AP$3+#REF!),-1),""))</f>
        <v/>
      </c>
      <c r="BG269" s="503" t="s">
        <v>621</v>
      </c>
      <c r="BH269" s="503" t="str">
        <f>IF($G269="","",IF(AND($G269&gt;=30,$AT$3&lt;=BG$7),ROUND(BG269*($AP$3+#REF!),-1),""))</f>
        <v/>
      </c>
      <c r="BI269" s="503" t="s">
        <v>621</v>
      </c>
      <c r="BJ269" s="503" t="str">
        <f>IF($G269="","",IF(AND($G269&gt;=30,$AT$3&lt;=BI$7),ROUND(BI269*($AP$3+#REF!),-1),""))</f>
        <v/>
      </c>
      <c r="BK269" s="503" t="s">
        <v>621</v>
      </c>
      <c r="BL269" s="503" t="str">
        <f>IF($G269="","",IF(AND($G269&gt;=30,$AT$3&lt;=BK$7),ROUND(BK269*($AP$3+#REF!),-1),""))</f>
        <v/>
      </c>
      <c r="BM269" s="503" t="s">
        <v>621</v>
      </c>
      <c r="BN269" s="503" t="str">
        <f>IF($G269="","",IF(AND($G269&gt;=30,$AT$3&lt;=BM$7),ROUND(BM269*($AP$3+#REF!),-1),""))</f>
        <v/>
      </c>
      <c r="BO269" s="503" t="s">
        <v>621</v>
      </c>
      <c r="BP269" s="503" t="str">
        <f>IF($G269="","",IF(AND($G269&gt;=30,$AT$3&lt;=BO$7),ROUND(BO269*($AP$3+#REF!),-1),""))</f>
        <v/>
      </c>
      <c r="BQ269" s="503" t="s">
        <v>621</v>
      </c>
      <c r="BR269" s="503" t="str">
        <f>IF($G269="","",IF(AND($G269&gt;=30,$AT$3&lt;=BQ$7),ROUND(BQ269*($AP$3+#REF!),-1),""))</f>
        <v/>
      </c>
      <c r="BS269" s="503" t="s">
        <v>621</v>
      </c>
      <c r="BT269" s="503" t="str">
        <f>IF($G269="","",IF(AND($G269&gt;=30,$AT$3&lt;=BS$7),ROUND(BS269*($AP$3+#REF!),-1),""))</f>
        <v/>
      </c>
      <c r="BU269" s="503" t="s">
        <v>621</v>
      </c>
      <c r="BV269" s="503" t="str">
        <f>IF($G269="","",IF(AND($G269&gt;=30,$AT$3&lt;=BU$7),ROUND(BU269*($AP$3+#REF!),-1),""))</f>
        <v/>
      </c>
      <c r="BW269" s="517" t="e">
        <v>#REF!</v>
      </c>
      <c r="BX269" s="503" t="str">
        <f>IF($G269="","",IF(AND($G269&gt;=30,$AT$3&lt;=BW$7),ROUND(BW269*($AP$3+#REF!),-1),""))</f>
        <v/>
      </c>
      <c r="BY269" s="503"/>
      <c r="BZ269" s="503" t="str">
        <f>IF($G269="","",IF(AND($G269&gt;=30,$AT$3&lt;=BY$7),ROUND(BY269*($AP$3+#REF!),-1),""))</f>
        <v/>
      </c>
      <c r="CA269" s="502"/>
      <c r="CB269" s="503" t="str">
        <f>IF($G269="","",IF(AND($G269&gt;=30,$AT$3&lt;=CA$7),ROUND(CA269*($AP$3+#REF!),-1),""))</f>
        <v/>
      </c>
      <c r="CC269" s="503"/>
      <c r="CD269" s="503" t="str">
        <f>IF($G269="","",IF(AND($G269&gt;=30,$AT$3&lt;=CC$7),ROUND(CC269*($AP$3+#REF!),-1),""))</f>
        <v/>
      </c>
      <c r="CE269" s="502"/>
      <c r="CF269" s="503" t="str">
        <f>IF($G269="","",IF(AND($G269&gt;=30,$AT$3&lt;=CE$7),ROUND(CE269*($AP$3+#REF!),-1),""))</f>
        <v/>
      </c>
      <c r="CG269" s="503"/>
      <c r="CH269" s="503" t="str">
        <f>IF($G269="","",IF(AND($G269&gt;=30,$AT$3&lt;=CG$7),ROUND(CG269*($AP$3+#REF!),-1),""))</f>
        <v/>
      </c>
      <c r="CI269" s="502"/>
      <c r="CJ269" s="503" t="str">
        <f>IF($G269="","",IF(AND($G269&gt;=30,$AT$3&lt;=CI$7),ROUND(CI269*($AP$3+#REF!),-1),""))</f>
        <v/>
      </c>
      <c r="CK269" s="503"/>
      <c r="CL269" s="503" t="str">
        <f>IF($G269="","",IF(AND($G269&gt;=30,$AT$3&lt;=CK$7),ROUND(CK269*($AP$3+#REF!),-1),""))</f>
        <v/>
      </c>
      <c r="CM269" s="502"/>
      <c r="CN269" s="503" t="str">
        <f>IF($G269="","",IF(AND($G269&gt;=30,$AT$3&lt;=CM$7),ROUND(CM269*($AP$3+#REF!),-1),""))</f>
        <v/>
      </c>
      <c r="CO269" s="503"/>
      <c r="CP269" s="503" t="str">
        <f>IF($G269="","",IF(AND($G269&gt;=30,$AT$3&lt;=CO$7),ROUND(CO269*($AP$3+#REF!),-1),""))</f>
        <v/>
      </c>
      <c r="CQ269" s="502"/>
      <c r="CR269" s="503" t="str">
        <f>IF($G269="","",IF(AND($G269&gt;=30,$AT$3&lt;=CQ$7),ROUND(CQ269*($AP$3+#REF!),-1),""))</f>
        <v/>
      </c>
      <c r="CS269" s="503"/>
      <c r="CT269" s="503" t="str">
        <f>IF($G269="","",IF(AND($G269&gt;=30,$AT$3&lt;=CS$7),ROUND(CS269*($AP$3+#REF!),-1),""))</f>
        <v/>
      </c>
      <c r="CU269" s="502"/>
      <c r="CV269" s="503" t="str">
        <f>IF($G269="","",IF(AND($G269&gt;=30,$AT$3&lt;=CU$7),ROUND(CU269*($AP$3+#REF!),-1),""))</f>
        <v/>
      </c>
      <c r="CW269" s="503"/>
      <c r="CX269" s="503" t="str">
        <f>IF($G269="","",IF(AND($G269&gt;=30,$AT$3&lt;=CW$7),ROUND(CW269*($AP$3+#REF!),-1),""))</f>
        <v/>
      </c>
      <c r="CY269" s="502"/>
      <c r="CZ269" s="503" t="str">
        <f>IF($G269="","",IF(AND($G269&gt;=30,$AT$3&lt;=CY$7),ROUND(CY269*($AP$3+#REF!),-1),""))</f>
        <v/>
      </c>
      <c r="DA269" s="503"/>
      <c r="DB269" s="503" t="str">
        <f>IF($G269="","",IF(AND($G269&gt;=30,$AT$3&lt;=DA$7),ROUND(DA269*($AP$3+#REF!),-1),""))</f>
        <v/>
      </c>
      <c r="DC269" s="502"/>
      <c r="DD269" s="503" t="str">
        <f>IF($G269="","",IF(AND($G269&gt;=30,$AT$3&lt;=DC$7),ROUND(DC269*($AP$3+#REF!),-1),""))</f>
        <v/>
      </c>
      <c r="DE269" s="503"/>
      <c r="DF269" s="503" t="str">
        <f>IF($G269="","",IF(AND($G269&gt;=30,$AT$3&lt;=DE$7),ROUND(DE269*($AP$3+#REF!),-1),""))</f>
        <v/>
      </c>
      <c r="DG269" s="503"/>
      <c r="DH269" s="503" t="str">
        <f>IF($G269="","",IF(AND($G269&gt;=30,$AT$3&lt;=DG$7),ROUND(DG269*($AP$3+#REF!),-1),""))</f>
        <v/>
      </c>
      <c r="DI269" s="503"/>
      <c r="DJ269" s="503" t="str">
        <f>IF($G269="","",IF(AND($G269&gt;=30,$AT$3&lt;=DI$7),ROUND(DI269*($AP$3+#REF!),-1),""))</f>
        <v/>
      </c>
      <c r="DK269" s="503"/>
      <c r="DL269" s="503" t="str">
        <f>IF($G269="","",IF(AND($G269&gt;=30,$AT$3&lt;=DK$7),ROUND(DK269*($AP$3+#REF!),-1),""))</f>
        <v/>
      </c>
      <c r="DM269" s="503"/>
      <c r="DN269" s="503" t="str">
        <f>IF($G269="","",IF(AND($G269&gt;=30,$AT$3&lt;=DM$7),ROUND(DM269*($AP$3+#REF!),-1),""))</f>
        <v/>
      </c>
      <c r="DO269" s="503"/>
      <c r="DP269" s="503" t="str">
        <f>IF($G269="","",IF(AND($G269&gt;=30,$AT$3&lt;=DO$7),ROUND(DO269*($AP$3+#REF!),-1),""))</f>
        <v/>
      </c>
      <c r="DQ269" s="503"/>
      <c r="DR269" s="503" t="str">
        <f>IF($G269="","",IF(AND($G269&gt;=30,$AT$3&lt;=DQ$7),ROUND(DQ269*($AP$3+#REF!),-1),""))</f>
        <v/>
      </c>
      <c r="DS269" s="503"/>
      <c r="DT269" s="503" t="str">
        <f>IF($G269="","",IF(AND($G269&gt;=30,$AT$3&lt;=DS$7),ROUND(DS269*($AP$3+#REF!),-1),""))</f>
        <v/>
      </c>
      <c r="DU269" s="503"/>
      <c r="DV269" s="503" t="str">
        <f>IF($G269="","",IF(AND($G269&gt;=30,$AT$3&lt;=DU$7),ROUND(DU269*($AP$3+#REF!),-1),""))</f>
        <v/>
      </c>
      <c r="DW269" s="503"/>
      <c r="DX269" s="503" t="str">
        <f>IF($G269="","",IF(AND($G269&gt;=30,$AT$3&lt;=DW$7),ROUND(DW269*($AP$3+#REF!),-1),""))</f>
        <v/>
      </c>
      <c r="DY269" s="503"/>
      <c r="DZ269" s="503" t="str">
        <f>IF($G269="","",IF(AND($G269&gt;=30,$AT$3&lt;=DY$7),ROUND(DY269*($AP$3+#REF!),-1),""))</f>
        <v/>
      </c>
      <c r="EA269" s="503"/>
      <c r="EB269" s="503" t="str">
        <f>IF($G269="","",IF(AND($G269&gt;=30,$AT$3&lt;=EA$7),ROUND(EA269*($AP$3+#REF!),-1),""))</f>
        <v/>
      </c>
      <c r="EC269" s="504" t="s">
        <v>621</v>
      </c>
      <c r="ED269" s="1124"/>
      <c r="EE269" s="325">
        <v>9</v>
      </c>
    </row>
    <row r="270" spans="1:135" ht="9.75" customHeight="1">
      <c r="A270" s="321" t="str">
        <f t="shared" si="68"/>
        <v/>
      </c>
      <c r="B270" s="567">
        <f>(ii!$D$13*12+V270)+1</f>
        <v>164</v>
      </c>
      <c r="C270" s="337">
        <f t="shared" si="72"/>
        <v>50344</v>
      </c>
      <c r="D270" s="484">
        <f t="shared" si="61"/>
        <v>2037</v>
      </c>
      <c r="E270" s="484">
        <f t="shared" ref="E270:E333" si="73">MONTH(C270)/12</f>
        <v>0.83333333333333337</v>
      </c>
      <c r="F270" s="484">
        <f t="shared" si="62"/>
        <v>2037.8333333333333</v>
      </c>
      <c r="G270" s="485" t="str">
        <f>IF(OR(C270&lt;$I$2,C270&gt;$J$3),"",(ii!$D$13*12+V270+1)/12)</f>
        <v/>
      </c>
      <c r="H270" s="486"/>
      <c r="I270" s="486"/>
      <c r="J270" s="487"/>
      <c r="K270" s="488"/>
      <c r="L270" s="548"/>
      <c r="M270" s="489" t="str">
        <f t="shared" si="63"/>
        <v/>
      </c>
      <c r="N270" s="490" t="s">
        <v>621</v>
      </c>
      <c r="O270" s="490" t="str">
        <f t="shared" si="70"/>
        <v/>
      </c>
      <c r="P270" s="491"/>
      <c r="Q270" s="491"/>
      <c r="R270" s="491" t="str">
        <f t="shared" si="71"/>
        <v/>
      </c>
      <c r="S270" s="528" t="str">
        <f t="shared" si="69"/>
        <v/>
      </c>
      <c r="T270" s="528" t="str">
        <f t="shared" si="67"/>
        <v/>
      </c>
      <c r="U270" s="493" t="str">
        <f>IF(H270="","",#REF!*12+#REF!+#REF!*12+#REF!)</f>
        <v/>
      </c>
      <c r="V270" s="338">
        <f>IF(ii!$J$3&gt;gg!C270,"",IF(AND((YEAR(C270)=YEAR($I$2)),MONTH(C270)=MONTH($I$2)),ii!$B$14*12+ii!$C$14+ii!$B$15*12+ii!$C$15-1,V269+1))</f>
        <v>163</v>
      </c>
      <c r="W270" s="339">
        <f t="shared" si="60"/>
        <v>13.583333333333334</v>
      </c>
      <c r="X270" s="494" t="s">
        <v>621</v>
      </c>
      <c r="Y270" s="495" t="s">
        <v>621</v>
      </c>
      <c r="Z270" s="496"/>
      <c r="AA270" s="497"/>
      <c r="AB270" s="498" t="e">
        <f t="shared" si="66"/>
        <v>#VALUE!</v>
      </c>
      <c r="AC270" s="484" t="str">
        <f t="shared" si="64"/>
        <v/>
      </c>
      <c r="AD270" s="495" t="str">
        <f t="shared" si="65"/>
        <v/>
      </c>
      <c r="AE270" s="499" t="s">
        <v>621</v>
      </c>
      <c r="AF270" s="500" t="s">
        <v>621</v>
      </c>
      <c r="AG270" s="556" t="s">
        <v>621</v>
      </c>
      <c r="AH270" s="503" t="str">
        <f>IF($G270="","",IF(AND($G270&gt;=30,$AT$3&lt;=AG$7),ROUND(AG270*($AP$3+#REF!),-1),""))</f>
        <v/>
      </c>
      <c r="AI270" s="506" t="s">
        <v>621</v>
      </c>
      <c r="AJ270" s="503" t="str">
        <f>IF($G270="","",IF(AND($G270&gt;=30,$AT$3&lt;=AI$7),ROUND(AI270*($AP$3+#REF!),-1),""))</f>
        <v/>
      </c>
      <c r="AK270" s="506" t="s">
        <v>621</v>
      </c>
      <c r="AL270" s="503" t="str">
        <f>IF($G270="","",IF(AND($G270&gt;=30,$AT$3&lt;=AK$7),ROUND(AK270*($AP$3+#REF!),-1),""))</f>
        <v/>
      </c>
      <c r="AM270" s="506" t="s">
        <v>621</v>
      </c>
      <c r="AN270" s="503" t="str">
        <f>IF($G270="","",IF(AND($G270&gt;=30,$AT$3&lt;=AM$7),ROUND(AM270*($AP$3+#REF!),-1),""))</f>
        <v/>
      </c>
      <c r="AO270" s="503" t="e">
        <v>#REF!</v>
      </c>
      <c r="AP270" s="503" t="str">
        <f>IF($G270="","",IF(AND($G270&gt;=30,$AT$3&lt;=AO$7),ROUND(AO270*($AP$3+#REF!),-1),""))</f>
        <v/>
      </c>
      <c r="AQ270" s="503" t="s">
        <v>621</v>
      </c>
      <c r="AR270" s="503" t="str">
        <f>IF($G270="","",IF(AND($G270&gt;=30,$AT$3&lt;=AQ$7),ROUND(AQ270*($AP$3+#REF!),-1),""))</f>
        <v/>
      </c>
      <c r="AS270" s="503" t="s">
        <v>621</v>
      </c>
      <c r="AT270" s="503" t="str">
        <f>IF($G270="","",IF(AND($G270&gt;=30,$AT$3&lt;=AS$7),ROUND(AS270*($AP$3+#REF!),-1),""))</f>
        <v/>
      </c>
      <c r="AU270" s="503" t="s">
        <v>621</v>
      </c>
      <c r="AV270" s="503" t="str">
        <f>IF($G270="","",IF(AND($G270&gt;=30,$AT$3&lt;=AU$7),ROUND(AU270*($AP$3+#REF!),-1),""))</f>
        <v/>
      </c>
      <c r="AW270" s="503" t="s">
        <v>621</v>
      </c>
      <c r="AX270" s="503" t="str">
        <f>IF($G270="","",IF(AND($G270&gt;=30,$AT$3&lt;=AW$7),ROUND(AW270*($AP$3+#REF!),-1),""))</f>
        <v/>
      </c>
      <c r="AY270" s="503" t="s">
        <v>621</v>
      </c>
      <c r="AZ270" s="503" t="str">
        <f>IF($G270="","",IF(AND($G270&gt;=30,$AT$3&lt;=AY$7),ROUND(AY270*($AP$3+#REF!),-1),""))</f>
        <v/>
      </c>
      <c r="BA270" s="503" t="s">
        <v>621</v>
      </c>
      <c r="BB270" s="503" t="str">
        <f>IF($G270="","",IF(AND($G270&gt;=30,$AT$3&lt;=BA$7),ROUND(BA270*($AP$3+#REF!),-1),""))</f>
        <v/>
      </c>
      <c r="BC270" s="503" t="s">
        <v>621</v>
      </c>
      <c r="BD270" s="503" t="str">
        <f>IF($G270="","",IF(AND($G270&gt;=30,$AT$3&lt;=BC$7),ROUND(BC270*($AP$3+#REF!),-1),""))</f>
        <v/>
      </c>
      <c r="BE270" s="503" t="s">
        <v>621</v>
      </c>
      <c r="BF270" s="503" t="str">
        <f>IF($G270="","",IF(AND($G270&gt;=30,$AT$3&lt;=BE$7),ROUND(BE270*($AP$3+#REF!),-1),""))</f>
        <v/>
      </c>
      <c r="BG270" s="503" t="s">
        <v>621</v>
      </c>
      <c r="BH270" s="503" t="str">
        <f>IF($G270="","",IF(AND($G270&gt;=30,$AT$3&lt;=BG$7),ROUND(BG270*($AP$3+#REF!),-1),""))</f>
        <v/>
      </c>
      <c r="BI270" s="503" t="s">
        <v>621</v>
      </c>
      <c r="BJ270" s="503" t="str">
        <f>IF($G270="","",IF(AND($G270&gt;=30,$AT$3&lt;=BI$7),ROUND(BI270*($AP$3+#REF!),-1),""))</f>
        <v/>
      </c>
      <c r="BK270" s="503" t="s">
        <v>621</v>
      </c>
      <c r="BL270" s="503" t="str">
        <f>IF($G270="","",IF(AND($G270&gt;=30,$AT$3&lt;=BK$7),ROUND(BK270*($AP$3+#REF!),-1),""))</f>
        <v/>
      </c>
      <c r="BM270" s="503" t="s">
        <v>621</v>
      </c>
      <c r="BN270" s="503" t="str">
        <f>IF($G270="","",IF(AND($G270&gt;=30,$AT$3&lt;=BM$7),ROUND(BM270*($AP$3+#REF!),-1),""))</f>
        <v/>
      </c>
      <c r="BO270" s="503" t="s">
        <v>621</v>
      </c>
      <c r="BP270" s="503" t="str">
        <f>IF($G270="","",IF(AND($G270&gt;=30,$AT$3&lt;=BO$7),ROUND(BO270*($AP$3+#REF!),-1),""))</f>
        <v/>
      </c>
      <c r="BQ270" s="503" t="s">
        <v>621</v>
      </c>
      <c r="BR270" s="503" t="str">
        <f>IF($G270="","",IF(AND($G270&gt;=30,$AT$3&lt;=BQ$7),ROUND(BQ270*($AP$3+#REF!),-1),""))</f>
        <v/>
      </c>
      <c r="BS270" s="503" t="s">
        <v>621</v>
      </c>
      <c r="BT270" s="503" t="str">
        <f>IF($G270="","",IF(AND($G270&gt;=30,$AT$3&lt;=BS$7),ROUND(BS270*($AP$3+#REF!),-1),""))</f>
        <v/>
      </c>
      <c r="BU270" s="503" t="s">
        <v>621</v>
      </c>
      <c r="BV270" s="503" t="str">
        <f>IF($G270="","",IF(AND($G270&gt;=30,$AT$3&lt;=BU$7),ROUND(BU270*($AP$3+#REF!),-1),""))</f>
        <v/>
      </c>
      <c r="BW270" s="517" t="e">
        <v>#REF!</v>
      </c>
      <c r="BX270" s="503" t="str">
        <f>IF($G270="","",IF(AND($G270&gt;=30,$AT$3&lt;=BW$7),ROUND(BW270*($AP$3+#REF!),-1),""))</f>
        <v/>
      </c>
      <c r="BY270" s="503"/>
      <c r="BZ270" s="503" t="str">
        <f>IF($G270="","",IF(AND($G270&gt;=30,$AT$3&lt;=BY$7),ROUND(BY270*($AP$3+#REF!),-1),""))</f>
        <v/>
      </c>
      <c r="CA270" s="502"/>
      <c r="CB270" s="503" t="str">
        <f>IF($G270="","",IF(AND($G270&gt;=30,$AT$3&lt;=CA$7),ROUND(CA270*($AP$3+#REF!),-1),""))</f>
        <v/>
      </c>
      <c r="CC270" s="503"/>
      <c r="CD270" s="503" t="str">
        <f>IF($G270="","",IF(AND($G270&gt;=30,$AT$3&lt;=CC$7),ROUND(CC270*($AP$3+#REF!),-1),""))</f>
        <v/>
      </c>
      <c r="CE270" s="502"/>
      <c r="CF270" s="503" t="str">
        <f>IF($G270="","",IF(AND($G270&gt;=30,$AT$3&lt;=CE$7),ROUND(CE270*($AP$3+#REF!),-1),""))</f>
        <v/>
      </c>
      <c r="CG270" s="503"/>
      <c r="CH270" s="503" t="str">
        <f>IF($G270="","",IF(AND($G270&gt;=30,$AT$3&lt;=CG$7),ROUND(CG270*($AP$3+#REF!),-1),""))</f>
        <v/>
      </c>
      <c r="CI270" s="502"/>
      <c r="CJ270" s="503" t="str">
        <f>IF($G270="","",IF(AND($G270&gt;=30,$AT$3&lt;=CI$7),ROUND(CI270*($AP$3+#REF!),-1),""))</f>
        <v/>
      </c>
      <c r="CK270" s="503"/>
      <c r="CL270" s="503" t="str">
        <f>IF($G270="","",IF(AND($G270&gt;=30,$AT$3&lt;=CK$7),ROUND(CK270*($AP$3+#REF!),-1),""))</f>
        <v/>
      </c>
      <c r="CM270" s="502"/>
      <c r="CN270" s="503" t="str">
        <f>IF($G270="","",IF(AND($G270&gt;=30,$AT$3&lt;=CM$7),ROUND(CM270*($AP$3+#REF!),-1),""))</f>
        <v/>
      </c>
      <c r="CO270" s="503"/>
      <c r="CP270" s="503" t="str">
        <f>IF($G270="","",IF(AND($G270&gt;=30,$AT$3&lt;=CO$7),ROUND(CO270*($AP$3+#REF!),-1),""))</f>
        <v/>
      </c>
      <c r="CQ270" s="502"/>
      <c r="CR270" s="503" t="str">
        <f>IF($G270="","",IF(AND($G270&gt;=30,$AT$3&lt;=CQ$7),ROUND(CQ270*($AP$3+#REF!),-1),""))</f>
        <v/>
      </c>
      <c r="CS270" s="503"/>
      <c r="CT270" s="503" t="str">
        <f>IF($G270="","",IF(AND($G270&gt;=30,$AT$3&lt;=CS$7),ROUND(CS270*($AP$3+#REF!),-1),""))</f>
        <v/>
      </c>
      <c r="CU270" s="502"/>
      <c r="CV270" s="503" t="str">
        <f>IF($G270="","",IF(AND($G270&gt;=30,$AT$3&lt;=CU$7),ROUND(CU270*($AP$3+#REF!),-1),""))</f>
        <v/>
      </c>
      <c r="CW270" s="503"/>
      <c r="CX270" s="503" t="str">
        <f>IF($G270="","",IF(AND($G270&gt;=30,$AT$3&lt;=CW$7),ROUND(CW270*($AP$3+#REF!),-1),""))</f>
        <v/>
      </c>
      <c r="CY270" s="502"/>
      <c r="CZ270" s="503" t="str">
        <f>IF($G270="","",IF(AND($G270&gt;=30,$AT$3&lt;=CY$7),ROUND(CY270*($AP$3+#REF!),-1),""))</f>
        <v/>
      </c>
      <c r="DA270" s="503"/>
      <c r="DB270" s="503" t="str">
        <f>IF($G270="","",IF(AND($G270&gt;=30,$AT$3&lt;=DA$7),ROUND(DA270*($AP$3+#REF!),-1),""))</f>
        <v/>
      </c>
      <c r="DC270" s="502"/>
      <c r="DD270" s="503" t="str">
        <f>IF($G270="","",IF(AND($G270&gt;=30,$AT$3&lt;=DC$7),ROUND(DC270*($AP$3+#REF!),-1),""))</f>
        <v/>
      </c>
      <c r="DE270" s="503"/>
      <c r="DF270" s="503" t="str">
        <f>IF($G270="","",IF(AND($G270&gt;=30,$AT$3&lt;=DE$7),ROUND(DE270*($AP$3+#REF!),-1),""))</f>
        <v/>
      </c>
      <c r="DG270" s="503"/>
      <c r="DH270" s="503" t="str">
        <f>IF($G270="","",IF(AND($G270&gt;=30,$AT$3&lt;=DG$7),ROUND(DG270*($AP$3+#REF!),-1),""))</f>
        <v/>
      </c>
      <c r="DI270" s="503"/>
      <c r="DJ270" s="503" t="str">
        <f>IF($G270="","",IF(AND($G270&gt;=30,$AT$3&lt;=DI$7),ROUND(DI270*($AP$3+#REF!),-1),""))</f>
        <v/>
      </c>
      <c r="DK270" s="503"/>
      <c r="DL270" s="503" t="str">
        <f>IF($G270="","",IF(AND($G270&gt;=30,$AT$3&lt;=DK$7),ROUND(DK270*($AP$3+#REF!),-1),""))</f>
        <v/>
      </c>
      <c r="DM270" s="503"/>
      <c r="DN270" s="503" t="str">
        <f>IF($G270="","",IF(AND($G270&gt;=30,$AT$3&lt;=DM$7),ROUND(DM270*($AP$3+#REF!),-1),""))</f>
        <v/>
      </c>
      <c r="DO270" s="503"/>
      <c r="DP270" s="503" t="str">
        <f>IF($G270="","",IF(AND($G270&gt;=30,$AT$3&lt;=DO$7),ROUND(DO270*($AP$3+#REF!),-1),""))</f>
        <v/>
      </c>
      <c r="DQ270" s="503"/>
      <c r="DR270" s="503" t="str">
        <f>IF($G270="","",IF(AND($G270&gt;=30,$AT$3&lt;=DQ$7),ROUND(DQ270*($AP$3+#REF!),-1),""))</f>
        <v/>
      </c>
      <c r="DS270" s="503"/>
      <c r="DT270" s="503" t="str">
        <f>IF($G270="","",IF(AND($G270&gt;=30,$AT$3&lt;=DS$7),ROUND(DS270*($AP$3+#REF!),-1),""))</f>
        <v/>
      </c>
      <c r="DU270" s="503"/>
      <c r="DV270" s="503" t="str">
        <f>IF($G270="","",IF(AND($G270&gt;=30,$AT$3&lt;=DU$7),ROUND(DU270*($AP$3+#REF!),-1),""))</f>
        <v/>
      </c>
      <c r="DW270" s="503"/>
      <c r="DX270" s="503" t="str">
        <f>IF($G270="","",IF(AND($G270&gt;=30,$AT$3&lt;=DW$7),ROUND(DW270*($AP$3+#REF!),-1),""))</f>
        <v/>
      </c>
      <c r="DY270" s="503"/>
      <c r="DZ270" s="503" t="str">
        <f>IF($G270="","",IF(AND($G270&gt;=30,$AT$3&lt;=DY$7),ROUND(DY270*($AP$3+#REF!),-1),""))</f>
        <v/>
      </c>
      <c r="EA270" s="503"/>
      <c r="EB270" s="503" t="str">
        <f>IF($G270="","",IF(AND($G270&gt;=30,$AT$3&lt;=EA$7),ROUND(EA270*($AP$3+#REF!),-1),""))</f>
        <v/>
      </c>
      <c r="EC270" s="504" t="s">
        <v>621</v>
      </c>
      <c r="ED270" s="1124"/>
      <c r="EE270" s="325">
        <v>10</v>
      </c>
    </row>
    <row r="271" spans="1:135" ht="9.75" customHeight="1">
      <c r="A271" s="321" t="str">
        <f t="shared" si="68"/>
        <v/>
      </c>
      <c r="B271" s="567">
        <f>(ii!$D$13*12+V271)+1</f>
        <v>165</v>
      </c>
      <c r="C271" s="337">
        <f t="shared" si="72"/>
        <v>50374</v>
      </c>
      <c r="D271" s="484">
        <f t="shared" si="61"/>
        <v>2037</v>
      </c>
      <c r="E271" s="484">
        <f t="shared" si="73"/>
        <v>0.91666666666666663</v>
      </c>
      <c r="F271" s="484">
        <f t="shared" si="62"/>
        <v>2037.9166666666667</v>
      </c>
      <c r="G271" s="485" t="str">
        <f>IF(OR(C271&lt;$I$2,C271&gt;$J$3),"",(ii!$D$13*12+V271+1)/12)</f>
        <v/>
      </c>
      <c r="H271" s="486"/>
      <c r="I271" s="486"/>
      <c r="J271" s="487"/>
      <c r="K271" s="488"/>
      <c r="L271" s="548"/>
      <c r="M271" s="489" t="str">
        <f t="shared" si="63"/>
        <v/>
      </c>
      <c r="N271" s="490" t="s">
        <v>621</v>
      </c>
      <c r="O271" s="490" t="str">
        <f t="shared" si="70"/>
        <v/>
      </c>
      <c r="P271" s="491"/>
      <c r="Q271" s="491"/>
      <c r="R271" s="491" t="str">
        <f t="shared" si="71"/>
        <v/>
      </c>
      <c r="S271" s="528" t="str">
        <f t="shared" si="69"/>
        <v/>
      </c>
      <c r="T271" s="528" t="str">
        <f t="shared" si="67"/>
        <v/>
      </c>
      <c r="U271" s="493" t="str">
        <f>IF(H271="","",#REF!*12+#REF!+#REF!*12+#REF!)</f>
        <v/>
      </c>
      <c r="V271" s="338">
        <f>IF(ii!$J$3&gt;gg!C271,"",IF(AND((YEAR(C271)=YEAR($I$2)),MONTH(C271)=MONTH($I$2)),ii!$B$14*12+ii!$C$14+ii!$B$15*12+ii!$C$15-1,V270+1))</f>
        <v>164</v>
      </c>
      <c r="W271" s="339">
        <f t="shared" si="60"/>
        <v>13.666666666666666</v>
      </c>
      <c r="X271" s="494" t="s">
        <v>621</v>
      </c>
      <c r="Y271" s="495" t="s">
        <v>621</v>
      </c>
      <c r="Z271" s="496"/>
      <c r="AA271" s="497"/>
      <c r="AB271" s="498" t="e">
        <f t="shared" si="66"/>
        <v>#VALUE!</v>
      </c>
      <c r="AC271" s="484" t="str">
        <f t="shared" si="64"/>
        <v/>
      </c>
      <c r="AD271" s="495" t="str">
        <f t="shared" si="65"/>
        <v/>
      </c>
      <c r="AE271" s="499" t="s">
        <v>621</v>
      </c>
      <c r="AF271" s="500" t="s">
        <v>621</v>
      </c>
      <c r="AG271" s="556" t="s">
        <v>621</v>
      </c>
      <c r="AH271" s="503" t="str">
        <f>IF($G271="","",IF(AND($G271&gt;=30,$AT$3&lt;=AG$7),ROUND(AG271*($AP$3+#REF!),-1),""))</f>
        <v/>
      </c>
      <c r="AI271" s="506" t="s">
        <v>621</v>
      </c>
      <c r="AJ271" s="503" t="str">
        <f>IF($G271="","",IF(AND($G271&gt;=30,$AT$3&lt;=AI$7),ROUND(AI271*($AP$3+#REF!),-1),""))</f>
        <v/>
      </c>
      <c r="AK271" s="506" t="s">
        <v>621</v>
      </c>
      <c r="AL271" s="503" t="str">
        <f>IF($G271="","",IF(AND($G271&gt;=30,$AT$3&lt;=AK$7),ROUND(AK271*($AP$3+#REF!),-1),""))</f>
        <v/>
      </c>
      <c r="AM271" s="506" t="s">
        <v>621</v>
      </c>
      <c r="AN271" s="503" t="str">
        <f>IF($G271="","",IF(AND($G271&gt;=30,$AT$3&lt;=AM$7),ROUND(AM271*($AP$3+#REF!),-1),""))</f>
        <v/>
      </c>
      <c r="AO271" s="503" t="e">
        <v>#REF!</v>
      </c>
      <c r="AP271" s="503" t="str">
        <f>IF($G271="","",IF(AND($G271&gt;=30,$AT$3&lt;=AO$7),ROUND(AO271*($AP$3+#REF!),-1),""))</f>
        <v/>
      </c>
      <c r="AQ271" s="503" t="s">
        <v>621</v>
      </c>
      <c r="AR271" s="503" t="str">
        <f>IF($G271="","",IF(AND($G271&gt;=30,$AT$3&lt;=AQ$7),ROUND(AQ271*($AP$3+#REF!),-1),""))</f>
        <v/>
      </c>
      <c r="AS271" s="503" t="s">
        <v>621</v>
      </c>
      <c r="AT271" s="503" t="str">
        <f>IF($G271="","",IF(AND($G271&gt;=30,$AT$3&lt;=AS$7),ROUND(AS271*($AP$3+#REF!),-1),""))</f>
        <v/>
      </c>
      <c r="AU271" s="503" t="s">
        <v>621</v>
      </c>
      <c r="AV271" s="503" t="str">
        <f>IF($G271="","",IF(AND($G271&gt;=30,$AT$3&lt;=AU$7),ROUND(AU271*($AP$3+#REF!),-1),""))</f>
        <v/>
      </c>
      <c r="AW271" s="503" t="s">
        <v>621</v>
      </c>
      <c r="AX271" s="503" t="str">
        <f>IF($G271="","",IF(AND($G271&gt;=30,$AT$3&lt;=AW$7),ROUND(AW271*($AP$3+#REF!),-1),""))</f>
        <v/>
      </c>
      <c r="AY271" s="503" t="s">
        <v>621</v>
      </c>
      <c r="AZ271" s="503" t="str">
        <f>IF($G271="","",IF(AND($G271&gt;=30,$AT$3&lt;=AY$7),ROUND(AY271*($AP$3+#REF!),-1),""))</f>
        <v/>
      </c>
      <c r="BA271" s="503" t="s">
        <v>621</v>
      </c>
      <c r="BB271" s="503" t="str">
        <f>IF($G271="","",IF(AND($G271&gt;=30,$AT$3&lt;=BA$7),ROUND(BA271*($AP$3+#REF!),-1),""))</f>
        <v/>
      </c>
      <c r="BC271" s="503" t="s">
        <v>621</v>
      </c>
      <c r="BD271" s="503" t="str">
        <f>IF($G271="","",IF(AND($G271&gt;=30,$AT$3&lt;=BC$7),ROUND(BC271*($AP$3+#REF!),-1),""))</f>
        <v/>
      </c>
      <c r="BE271" s="503" t="s">
        <v>621</v>
      </c>
      <c r="BF271" s="503" t="str">
        <f>IF($G271="","",IF(AND($G271&gt;=30,$AT$3&lt;=BE$7),ROUND(BE271*($AP$3+#REF!),-1),""))</f>
        <v/>
      </c>
      <c r="BG271" s="503" t="s">
        <v>621</v>
      </c>
      <c r="BH271" s="503" t="str">
        <f>IF($G271="","",IF(AND($G271&gt;=30,$AT$3&lt;=BG$7),ROUND(BG271*($AP$3+#REF!),-1),""))</f>
        <v/>
      </c>
      <c r="BI271" s="503" t="s">
        <v>621</v>
      </c>
      <c r="BJ271" s="503" t="str">
        <f>IF($G271="","",IF(AND($G271&gt;=30,$AT$3&lt;=BI$7),ROUND(BI271*($AP$3+#REF!),-1),""))</f>
        <v/>
      </c>
      <c r="BK271" s="503" t="s">
        <v>621</v>
      </c>
      <c r="BL271" s="503" t="str">
        <f>IF($G271="","",IF(AND($G271&gt;=30,$AT$3&lt;=BK$7),ROUND(BK271*($AP$3+#REF!),-1),""))</f>
        <v/>
      </c>
      <c r="BM271" s="503" t="s">
        <v>621</v>
      </c>
      <c r="BN271" s="503" t="str">
        <f>IF($G271="","",IF(AND($G271&gt;=30,$AT$3&lt;=BM$7),ROUND(BM271*($AP$3+#REF!),-1),""))</f>
        <v/>
      </c>
      <c r="BO271" s="503" t="s">
        <v>621</v>
      </c>
      <c r="BP271" s="503" t="str">
        <f>IF($G271="","",IF(AND($G271&gt;=30,$AT$3&lt;=BO$7),ROUND(BO271*($AP$3+#REF!),-1),""))</f>
        <v/>
      </c>
      <c r="BQ271" s="503" t="s">
        <v>621</v>
      </c>
      <c r="BR271" s="503" t="str">
        <f>IF($G271="","",IF(AND($G271&gt;=30,$AT$3&lt;=BQ$7),ROUND(BQ271*($AP$3+#REF!),-1),""))</f>
        <v/>
      </c>
      <c r="BS271" s="503" t="s">
        <v>621</v>
      </c>
      <c r="BT271" s="503" t="str">
        <f>IF($G271="","",IF(AND($G271&gt;=30,$AT$3&lt;=BS$7),ROUND(BS271*($AP$3+#REF!),-1),""))</f>
        <v/>
      </c>
      <c r="BU271" s="503" t="s">
        <v>621</v>
      </c>
      <c r="BV271" s="503" t="str">
        <f>IF($G271="","",IF(AND($G271&gt;=30,$AT$3&lt;=BU$7),ROUND(BU271*($AP$3+#REF!),-1),""))</f>
        <v/>
      </c>
      <c r="BW271" s="517" t="e">
        <v>#REF!</v>
      </c>
      <c r="BX271" s="503" t="str">
        <f>IF($G271="","",IF(AND($G271&gt;=30,$AT$3&lt;=BW$7),ROUND(BW271*($AP$3+#REF!),-1),""))</f>
        <v/>
      </c>
      <c r="BY271" s="503"/>
      <c r="BZ271" s="503" t="str">
        <f>IF($G271="","",IF(AND($G271&gt;=30,$AT$3&lt;=BY$7),ROUND(BY271*($AP$3+#REF!),-1),""))</f>
        <v/>
      </c>
      <c r="CA271" s="502"/>
      <c r="CB271" s="503" t="str">
        <f>IF($G271="","",IF(AND($G271&gt;=30,$AT$3&lt;=CA$7),ROUND(CA271*($AP$3+#REF!),-1),""))</f>
        <v/>
      </c>
      <c r="CC271" s="503"/>
      <c r="CD271" s="503" t="str">
        <f>IF($G271="","",IF(AND($G271&gt;=30,$AT$3&lt;=CC$7),ROUND(CC271*($AP$3+#REF!),-1),""))</f>
        <v/>
      </c>
      <c r="CE271" s="502"/>
      <c r="CF271" s="503" t="str">
        <f>IF($G271="","",IF(AND($G271&gt;=30,$AT$3&lt;=CE$7),ROUND(CE271*($AP$3+#REF!),-1),""))</f>
        <v/>
      </c>
      <c r="CG271" s="503"/>
      <c r="CH271" s="503" t="str">
        <f>IF($G271="","",IF(AND($G271&gt;=30,$AT$3&lt;=CG$7),ROUND(CG271*($AP$3+#REF!),-1),""))</f>
        <v/>
      </c>
      <c r="CI271" s="502"/>
      <c r="CJ271" s="503" t="str">
        <f>IF($G271="","",IF(AND($G271&gt;=30,$AT$3&lt;=CI$7),ROUND(CI271*($AP$3+#REF!),-1),""))</f>
        <v/>
      </c>
      <c r="CK271" s="503"/>
      <c r="CL271" s="503" t="str">
        <f>IF($G271="","",IF(AND($G271&gt;=30,$AT$3&lt;=CK$7),ROUND(CK271*($AP$3+#REF!),-1),""))</f>
        <v/>
      </c>
      <c r="CM271" s="502"/>
      <c r="CN271" s="503" t="str">
        <f>IF($G271="","",IF(AND($G271&gt;=30,$AT$3&lt;=CM$7),ROUND(CM271*($AP$3+#REF!),-1),""))</f>
        <v/>
      </c>
      <c r="CO271" s="503"/>
      <c r="CP271" s="503" t="str">
        <f>IF($G271="","",IF(AND($G271&gt;=30,$AT$3&lt;=CO$7),ROUND(CO271*($AP$3+#REF!),-1),""))</f>
        <v/>
      </c>
      <c r="CQ271" s="502"/>
      <c r="CR271" s="503" t="str">
        <f>IF($G271="","",IF(AND($G271&gt;=30,$AT$3&lt;=CQ$7),ROUND(CQ271*($AP$3+#REF!),-1),""))</f>
        <v/>
      </c>
      <c r="CS271" s="503"/>
      <c r="CT271" s="503" t="str">
        <f>IF($G271="","",IF(AND($G271&gt;=30,$AT$3&lt;=CS$7),ROUND(CS271*($AP$3+#REF!),-1),""))</f>
        <v/>
      </c>
      <c r="CU271" s="502"/>
      <c r="CV271" s="503" t="str">
        <f>IF($G271="","",IF(AND($G271&gt;=30,$AT$3&lt;=CU$7),ROUND(CU271*($AP$3+#REF!),-1),""))</f>
        <v/>
      </c>
      <c r="CW271" s="503"/>
      <c r="CX271" s="503" t="str">
        <f>IF($G271="","",IF(AND($G271&gt;=30,$AT$3&lt;=CW$7),ROUND(CW271*($AP$3+#REF!),-1),""))</f>
        <v/>
      </c>
      <c r="CY271" s="502"/>
      <c r="CZ271" s="503" t="str">
        <f>IF($G271="","",IF(AND($G271&gt;=30,$AT$3&lt;=CY$7),ROUND(CY271*($AP$3+#REF!),-1),""))</f>
        <v/>
      </c>
      <c r="DA271" s="503"/>
      <c r="DB271" s="503" t="str">
        <f>IF($G271="","",IF(AND($G271&gt;=30,$AT$3&lt;=DA$7),ROUND(DA271*($AP$3+#REF!),-1),""))</f>
        <v/>
      </c>
      <c r="DC271" s="502"/>
      <c r="DD271" s="503" t="str">
        <f>IF($G271="","",IF(AND($G271&gt;=30,$AT$3&lt;=DC$7),ROUND(DC271*($AP$3+#REF!),-1),""))</f>
        <v/>
      </c>
      <c r="DE271" s="503"/>
      <c r="DF271" s="503" t="str">
        <f>IF($G271="","",IF(AND($G271&gt;=30,$AT$3&lt;=DE$7),ROUND(DE271*($AP$3+#REF!),-1),""))</f>
        <v/>
      </c>
      <c r="DG271" s="503"/>
      <c r="DH271" s="503" t="str">
        <f>IF($G271="","",IF(AND($G271&gt;=30,$AT$3&lt;=DG$7),ROUND(DG271*($AP$3+#REF!),-1),""))</f>
        <v/>
      </c>
      <c r="DI271" s="503"/>
      <c r="DJ271" s="503" t="str">
        <f>IF($G271="","",IF(AND($G271&gt;=30,$AT$3&lt;=DI$7),ROUND(DI271*($AP$3+#REF!),-1),""))</f>
        <v/>
      </c>
      <c r="DK271" s="503"/>
      <c r="DL271" s="503" t="str">
        <f>IF($G271="","",IF(AND($G271&gt;=30,$AT$3&lt;=DK$7),ROUND(DK271*($AP$3+#REF!),-1),""))</f>
        <v/>
      </c>
      <c r="DM271" s="503"/>
      <c r="DN271" s="503" t="str">
        <f>IF($G271="","",IF(AND($G271&gt;=30,$AT$3&lt;=DM$7),ROUND(DM271*($AP$3+#REF!),-1),""))</f>
        <v/>
      </c>
      <c r="DO271" s="503"/>
      <c r="DP271" s="503" t="str">
        <f>IF($G271="","",IF(AND($G271&gt;=30,$AT$3&lt;=DO$7),ROUND(DO271*($AP$3+#REF!),-1),""))</f>
        <v/>
      </c>
      <c r="DQ271" s="503"/>
      <c r="DR271" s="503" t="str">
        <f>IF($G271="","",IF(AND($G271&gt;=30,$AT$3&lt;=DQ$7),ROUND(DQ271*($AP$3+#REF!),-1),""))</f>
        <v/>
      </c>
      <c r="DS271" s="503"/>
      <c r="DT271" s="503" t="str">
        <f>IF($G271="","",IF(AND($G271&gt;=30,$AT$3&lt;=DS$7),ROUND(DS271*($AP$3+#REF!),-1),""))</f>
        <v/>
      </c>
      <c r="DU271" s="503"/>
      <c r="DV271" s="503" t="str">
        <f>IF($G271="","",IF(AND($G271&gt;=30,$AT$3&lt;=DU$7),ROUND(DU271*($AP$3+#REF!),-1),""))</f>
        <v/>
      </c>
      <c r="DW271" s="503"/>
      <c r="DX271" s="503" t="str">
        <f>IF($G271="","",IF(AND($G271&gt;=30,$AT$3&lt;=DW$7),ROUND(DW271*($AP$3+#REF!),-1),""))</f>
        <v/>
      </c>
      <c r="DY271" s="503"/>
      <c r="DZ271" s="503" t="str">
        <f>IF($G271="","",IF(AND($G271&gt;=30,$AT$3&lt;=DY$7),ROUND(DY271*($AP$3+#REF!),-1),""))</f>
        <v/>
      </c>
      <c r="EA271" s="503"/>
      <c r="EB271" s="503" t="str">
        <f>IF($G271="","",IF(AND($G271&gt;=30,$AT$3&lt;=EA$7),ROUND(EA271*($AP$3+#REF!),-1),""))</f>
        <v/>
      </c>
      <c r="EC271" s="504" t="s">
        <v>621</v>
      </c>
      <c r="ED271" s="1124"/>
      <c r="EE271" s="325">
        <v>11</v>
      </c>
    </row>
    <row r="272" spans="1:135" ht="9.75" customHeight="1">
      <c r="A272" s="321" t="str">
        <f t="shared" si="68"/>
        <v/>
      </c>
      <c r="B272" s="567">
        <f>(ii!$D$13*12+V272)+1</f>
        <v>166</v>
      </c>
      <c r="C272" s="337">
        <f t="shared" si="72"/>
        <v>50405</v>
      </c>
      <c r="D272" s="484">
        <f t="shared" si="61"/>
        <v>2037</v>
      </c>
      <c r="E272" s="484">
        <f t="shared" si="73"/>
        <v>1</v>
      </c>
      <c r="F272" s="484">
        <f t="shared" si="62"/>
        <v>2038</v>
      </c>
      <c r="G272" s="485" t="str">
        <f>IF(OR(C272&lt;$I$2,C272&gt;$J$3),"",(ii!$D$13*12+V272+1)/12)</f>
        <v/>
      </c>
      <c r="H272" s="486"/>
      <c r="I272" s="486"/>
      <c r="J272" s="487"/>
      <c r="K272" s="488"/>
      <c r="L272" s="548"/>
      <c r="M272" s="489" t="str">
        <f t="shared" si="63"/>
        <v/>
      </c>
      <c r="N272" s="490" t="s">
        <v>621</v>
      </c>
      <c r="O272" s="490" t="str">
        <f t="shared" si="70"/>
        <v/>
      </c>
      <c r="P272" s="491"/>
      <c r="Q272" s="491"/>
      <c r="R272" s="491" t="str">
        <f t="shared" si="71"/>
        <v/>
      </c>
      <c r="S272" s="528" t="str">
        <f t="shared" si="69"/>
        <v/>
      </c>
      <c r="T272" s="528" t="str">
        <f t="shared" si="67"/>
        <v/>
      </c>
      <c r="U272" s="493" t="str">
        <f>IF(H272="","",#REF!*12+#REF!+#REF!*12+#REF!)</f>
        <v/>
      </c>
      <c r="V272" s="338">
        <f>IF(ii!$J$3&gt;gg!C272,"",IF(AND((YEAR(C272)=YEAR($I$2)),MONTH(C272)=MONTH($I$2)),ii!$B$14*12+ii!$C$14+ii!$B$15*12+ii!$C$15-1,V271+1))</f>
        <v>165</v>
      </c>
      <c r="W272" s="339">
        <f t="shared" si="60"/>
        <v>13.75</v>
      </c>
      <c r="X272" s="494" t="s">
        <v>621</v>
      </c>
      <c r="Y272" s="495" t="s">
        <v>621</v>
      </c>
      <c r="Z272" s="496"/>
      <c r="AA272" s="497"/>
      <c r="AB272" s="498" t="e">
        <f t="shared" si="66"/>
        <v>#VALUE!</v>
      </c>
      <c r="AC272" s="484" t="str">
        <f t="shared" si="64"/>
        <v/>
      </c>
      <c r="AD272" s="495" t="str">
        <f t="shared" si="65"/>
        <v/>
      </c>
      <c r="AE272" s="499" t="s">
        <v>621</v>
      </c>
      <c r="AF272" s="500" t="s">
        <v>621</v>
      </c>
      <c r="AG272" s="556" t="s">
        <v>621</v>
      </c>
      <c r="AH272" s="503" t="str">
        <f>IF($G272="","",IF(AND($G272&gt;=30,$AT$3&lt;=AG$7),ROUND(AG272*($AP$3+#REF!),-1),""))</f>
        <v/>
      </c>
      <c r="AI272" s="506" t="s">
        <v>621</v>
      </c>
      <c r="AJ272" s="503" t="str">
        <f>IF($G272="","",IF(AND($G272&gt;=30,$AT$3&lt;=AI$7),ROUND(AI272*($AP$3+#REF!),-1),""))</f>
        <v/>
      </c>
      <c r="AK272" s="506" t="s">
        <v>621</v>
      </c>
      <c r="AL272" s="503" t="str">
        <f>IF($G272="","",IF(AND($G272&gt;=30,$AT$3&lt;=AK$7),ROUND(AK272*($AP$3+#REF!),-1),""))</f>
        <v/>
      </c>
      <c r="AM272" s="506" t="s">
        <v>621</v>
      </c>
      <c r="AN272" s="503" t="str">
        <f>IF($G272="","",IF(AND($G272&gt;=30,$AT$3&lt;=AM$7),ROUND(AM272*($AP$3+#REF!),-1),""))</f>
        <v/>
      </c>
      <c r="AO272" s="503" t="e">
        <v>#REF!</v>
      </c>
      <c r="AP272" s="503" t="str">
        <f>IF($G272="","",IF(AND($G272&gt;=30,$AT$3&lt;=AO$7),ROUND(AO272*($AP$3+#REF!),-1),""))</f>
        <v/>
      </c>
      <c r="AQ272" s="503" t="s">
        <v>621</v>
      </c>
      <c r="AR272" s="503" t="str">
        <f>IF($G272="","",IF(AND($G272&gt;=30,$AT$3&lt;=AQ$7),ROUND(AQ272*($AP$3+#REF!),-1),""))</f>
        <v/>
      </c>
      <c r="AS272" s="503" t="s">
        <v>621</v>
      </c>
      <c r="AT272" s="503" t="str">
        <f>IF($G272="","",IF(AND($G272&gt;=30,$AT$3&lt;=AS$7),ROUND(AS272*($AP$3+#REF!),-1),""))</f>
        <v/>
      </c>
      <c r="AU272" s="503" t="s">
        <v>621</v>
      </c>
      <c r="AV272" s="503" t="str">
        <f>IF($G272="","",IF(AND($G272&gt;=30,$AT$3&lt;=AU$7),ROUND(AU272*($AP$3+#REF!),-1),""))</f>
        <v/>
      </c>
      <c r="AW272" s="503" t="s">
        <v>621</v>
      </c>
      <c r="AX272" s="503" t="str">
        <f>IF($G272="","",IF(AND($G272&gt;=30,$AT$3&lt;=AW$7),ROUND(AW272*($AP$3+#REF!),-1),""))</f>
        <v/>
      </c>
      <c r="AY272" s="503" t="s">
        <v>621</v>
      </c>
      <c r="AZ272" s="503" t="str">
        <f>IF($G272="","",IF(AND($G272&gt;=30,$AT$3&lt;=AY$7),ROUND(AY272*($AP$3+#REF!),-1),""))</f>
        <v/>
      </c>
      <c r="BA272" s="503" t="s">
        <v>621</v>
      </c>
      <c r="BB272" s="503" t="str">
        <f>IF($G272="","",IF(AND($G272&gt;=30,$AT$3&lt;=BA$7),ROUND(BA272*($AP$3+#REF!),-1),""))</f>
        <v/>
      </c>
      <c r="BC272" s="503" t="s">
        <v>621</v>
      </c>
      <c r="BD272" s="503" t="str">
        <f>IF($G272="","",IF(AND($G272&gt;=30,$AT$3&lt;=BC$7),ROUND(BC272*($AP$3+#REF!),-1),""))</f>
        <v/>
      </c>
      <c r="BE272" s="503" t="s">
        <v>621</v>
      </c>
      <c r="BF272" s="503" t="str">
        <f>IF($G272="","",IF(AND($G272&gt;=30,$AT$3&lt;=BE$7),ROUND(BE272*($AP$3+#REF!),-1),""))</f>
        <v/>
      </c>
      <c r="BG272" s="503" t="s">
        <v>621</v>
      </c>
      <c r="BH272" s="503" t="str">
        <f>IF($G272="","",IF(AND($G272&gt;=30,$AT$3&lt;=BG$7),ROUND(BG272*($AP$3+#REF!),-1),""))</f>
        <v/>
      </c>
      <c r="BI272" s="503" t="s">
        <v>621</v>
      </c>
      <c r="BJ272" s="503" t="str">
        <f>IF($G272="","",IF(AND($G272&gt;=30,$AT$3&lt;=BI$7),ROUND(BI272*($AP$3+#REF!),-1),""))</f>
        <v/>
      </c>
      <c r="BK272" s="503" t="s">
        <v>621</v>
      </c>
      <c r="BL272" s="503" t="str">
        <f>IF($G272="","",IF(AND($G272&gt;=30,$AT$3&lt;=BK$7),ROUND(BK272*($AP$3+#REF!),-1),""))</f>
        <v/>
      </c>
      <c r="BM272" s="503" t="s">
        <v>621</v>
      </c>
      <c r="BN272" s="503" t="str">
        <f>IF($G272="","",IF(AND($G272&gt;=30,$AT$3&lt;=BM$7),ROUND(BM272*($AP$3+#REF!),-1),""))</f>
        <v/>
      </c>
      <c r="BO272" s="503" t="s">
        <v>621</v>
      </c>
      <c r="BP272" s="503" t="str">
        <f>IF($G272="","",IF(AND($G272&gt;=30,$AT$3&lt;=BO$7),ROUND(BO272*($AP$3+#REF!),-1),""))</f>
        <v/>
      </c>
      <c r="BQ272" s="503" t="s">
        <v>621</v>
      </c>
      <c r="BR272" s="503" t="str">
        <f>IF($G272="","",IF(AND($G272&gt;=30,$AT$3&lt;=BQ$7),ROUND(BQ272*($AP$3+#REF!),-1),""))</f>
        <v/>
      </c>
      <c r="BS272" s="503" t="s">
        <v>621</v>
      </c>
      <c r="BT272" s="503" t="str">
        <f>IF($G272="","",IF(AND($G272&gt;=30,$AT$3&lt;=BS$7),ROUND(BS272*($AP$3+#REF!),-1),""))</f>
        <v/>
      </c>
      <c r="BU272" s="503" t="s">
        <v>621</v>
      </c>
      <c r="BV272" s="503" t="str">
        <f>IF($G272="","",IF(AND($G272&gt;=30,$AT$3&lt;=BU$7),ROUND(BU272*($AP$3+#REF!),-1),""))</f>
        <v/>
      </c>
      <c r="BW272" s="517" t="e">
        <v>#REF!</v>
      </c>
      <c r="BX272" s="503" t="str">
        <f>IF($G272="","",IF(AND($G272&gt;=30,$AT$3&lt;=BW$7),ROUND(BW272*($AP$3+#REF!),-1),""))</f>
        <v/>
      </c>
      <c r="BY272" s="503"/>
      <c r="BZ272" s="503" t="str">
        <f>IF($G272="","",IF(AND($G272&gt;=30,$AT$3&lt;=BY$7),ROUND(BY272*($AP$3+#REF!),-1),""))</f>
        <v/>
      </c>
      <c r="CA272" s="502"/>
      <c r="CB272" s="503" t="str">
        <f>IF($G272="","",IF(AND($G272&gt;=30,$AT$3&lt;=CA$7),ROUND(CA272*($AP$3+#REF!),-1),""))</f>
        <v/>
      </c>
      <c r="CC272" s="503"/>
      <c r="CD272" s="503" t="str">
        <f>IF($G272="","",IF(AND($G272&gt;=30,$AT$3&lt;=CC$7),ROUND(CC272*($AP$3+#REF!),-1),""))</f>
        <v/>
      </c>
      <c r="CE272" s="502"/>
      <c r="CF272" s="503" t="str">
        <f>IF($G272="","",IF(AND($G272&gt;=30,$AT$3&lt;=CE$7),ROUND(CE272*($AP$3+#REF!),-1),""))</f>
        <v/>
      </c>
      <c r="CG272" s="503"/>
      <c r="CH272" s="503" t="str">
        <f>IF($G272="","",IF(AND($G272&gt;=30,$AT$3&lt;=CG$7),ROUND(CG272*($AP$3+#REF!),-1),""))</f>
        <v/>
      </c>
      <c r="CI272" s="502"/>
      <c r="CJ272" s="503" t="str">
        <f>IF($G272="","",IF(AND($G272&gt;=30,$AT$3&lt;=CI$7),ROUND(CI272*($AP$3+#REF!),-1),""))</f>
        <v/>
      </c>
      <c r="CK272" s="503"/>
      <c r="CL272" s="503" t="str">
        <f>IF($G272="","",IF(AND($G272&gt;=30,$AT$3&lt;=CK$7),ROUND(CK272*($AP$3+#REF!),-1),""))</f>
        <v/>
      </c>
      <c r="CM272" s="502"/>
      <c r="CN272" s="503" t="str">
        <f>IF($G272="","",IF(AND($G272&gt;=30,$AT$3&lt;=CM$7),ROUND(CM272*($AP$3+#REF!),-1),""))</f>
        <v/>
      </c>
      <c r="CO272" s="503"/>
      <c r="CP272" s="503" t="str">
        <f>IF($G272="","",IF(AND($G272&gt;=30,$AT$3&lt;=CO$7),ROUND(CO272*($AP$3+#REF!),-1),""))</f>
        <v/>
      </c>
      <c r="CQ272" s="502"/>
      <c r="CR272" s="503" t="str">
        <f>IF($G272="","",IF(AND($G272&gt;=30,$AT$3&lt;=CQ$7),ROUND(CQ272*($AP$3+#REF!),-1),""))</f>
        <v/>
      </c>
      <c r="CS272" s="503"/>
      <c r="CT272" s="503" t="str">
        <f>IF($G272="","",IF(AND($G272&gt;=30,$AT$3&lt;=CS$7),ROUND(CS272*($AP$3+#REF!),-1),""))</f>
        <v/>
      </c>
      <c r="CU272" s="502"/>
      <c r="CV272" s="503" t="str">
        <f>IF($G272="","",IF(AND($G272&gt;=30,$AT$3&lt;=CU$7),ROUND(CU272*($AP$3+#REF!),-1),""))</f>
        <v/>
      </c>
      <c r="CW272" s="503"/>
      <c r="CX272" s="503" t="str">
        <f>IF($G272="","",IF(AND($G272&gt;=30,$AT$3&lt;=CW$7),ROUND(CW272*($AP$3+#REF!),-1),""))</f>
        <v/>
      </c>
      <c r="CY272" s="502"/>
      <c r="CZ272" s="503" t="str">
        <f>IF($G272="","",IF(AND($G272&gt;=30,$AT$3&lt;=CY$7),ROUND(CY272*($AP$3+#REF!),-1),""))</f>
        <v/>
      </c>
      <c r="DA272" s="503"/>
      <c r="DB272" s="503" t="str">
        <f>IF($G272="","",IF(AND($G272&gt;=30,$AT$3&lt;=DA$7),ROUND(DA272*($AP$3+#REF!),-1),""))</f>
        <v/>
      </c>
      <c r="DC272" s="502"/>
      <c r="DD272" s="503" t="str">
        <f>IF($G272="","",IF(AND($G272&gt;=30,$AT$3&lt;=DC$7),ROUND(DC272*($AP$3+#REF!),-1),""))</f>
        <v/>
      </c>
      <c r="DE272" s="503"/>
      <c r="DF272" s="503" t="str">
        <f>IF($G272="","",IF(AND($G272&gt;=30,$AT$3&lt;=DE$7),ROUND(DE272*($AP$3+#REF!),-1),""))</f>
        <v/>
      </c>
      <c r="DG272" s="503"/>
      <c r="DH272" s="503" t="str">
        <f>IF($G272="","",IF(AND($G272&gt;=30,$AT$3&lt;=DG$7),ROUND(DG272*($AP$3+#REF!),-1),""))</f>
        <v/>
      </c>
      <c r="DI272" s="503"/>
      <c r="DJ272" s="503" t="str">
        <f>IF($G272="","",IF(AND($G272&gt;=30,$AT$3&lt;=DI$7),ROUND(DI272*($AP$3+#REF!),-1),""))</f>
        <v/>
      </c>
      <c r="DK272" s="503"/>
      <c r="DL272" s="503" t="str">
        <f>IF($G272="","",IF(AND($G272&gt;=30,$AT$3&lt;=DK$7),ROUND(DK272*($AP$3+#REF!),-1),""))</f>
        <v/>
      </c>
      <c r="DM272" s="503"/>
      <c r="DN272" s="503" t="str">
        <f>IF($G272="","",IF(AND($G272&gt;=30,$AT$3&lt;=DM$7),ROUND(DM272*($AP$3+#REF!),-1),""))</f>
        <v/>
      </c>
      <c r="DO272" s="503"/>
      <c r="DP272" s="503" t="str">
        <f>IF($G272="","",IF(AND($G272&gt;=30,$AT$3&lt;=DO$7),ROUND(DO272*($AP$3+#REF!),-1),""))</f>
        <v/>
      </c>
      <c r="DQ272" s="503"/>
      <c r="DR272" s="503" t="str">
        <f>IF($G272="","",IF(AND($G272&gt;=30,$AT$3&lt;=DQ$7),ROUND(DQ272*($AP$3+#REF!),-1),""))</f>
        <v/>
      </c>
      <c r="DS272" s="503"/>
      <c r="DT272" s="503" t="str">
        <f>IF($G272="","",IF(AND($G272&gt;=30,$AT$3&lt;=DS$7),ROUND(DS272*($AP$3+#REF!),-1),""))</f>
        <v/>
      </c>
      <c r="DU272" s="503"/>
      <c r="DV272" s="503" t="str">
        <f>IF($G272="","",IF(AND($G272&gt;=30,$AT$3&lt;=DU$7),ROUND(DU272*($AP$3+#REF!),-1),""))</f>
        <v/>
      </c>
      <c r="DW272" s="503"/>
      <c r="DX272" s="503" t="str">
        <f>IF($G272="","",IF(AND($G272&gt;=30,$AT$3&lt;=DW$7),ROUND(DW272*($AP$3+#REF!),-1),""))</f>
        <v/>
      </c>
      <c r="DY272" s="503"/>
      <c r="DZ272" s="503" t="str">
        <f>IF($G272="","",IF(AND($G272&gt;=30,$AT$3&lt;=DY$7),ROUND(DY272*($AP$3+#REF!),-1),""))</f>
        <v/>
      </c>
      <c r="EA272" s="503"/>
      <c r="EB272" s="503" t="str">
        <f>IF($G272="","",IF(AND($G272&gt;=30,$AT$3&lt;=EA$7),ROUND(EA272*($AP$3+#REF!),-1),""))</f>
        <v/>
      </c>
      <c r="EC272" s="504" t="s">
        <v>621</v>
      </c>
      <c r="ED272" s="1125"/>
      <c r="EE272" s="325">
        <v>12</v>
      </c>
    </row>
    <row r="273" spans="1:135" ht="9.75" customHeight="1">
      <c r="A273" s="321" t="str">
        <f t="shared" si="68"/>
        <v/>
      </c>
      <c r="B273" s="567">
        <f>(ii!$D$13*12+V273)+1</f>
        <v>167</v>
      </c>
      <c r="C273" s="345">
        <f t="shared" si="72"/>
        <v>50436</v>
      </c>
      <c r="D273" s="340">
        <f t="shared" si="61"/>
        <v>2038</v>
      </c>
      <c r="E273" s="340">
        <f t="shared" si="73"/>
        <v>8.3333333333333329E-2</v>
      </c>
      <c r="F273" s="340">
        <f t="shared" si="62"/>
        <v>2038.0833333333333</v>
      </c>
      <c r="G273" s="531" t="str">
        <f>IF(OR(C273&lt;$I$2,C273&gt;$J$3),"",(ii!$D$13*12+V273+1)/12)</f>
        <v/>
      </c>
      <c r="H273" s="532"/>
      <c r="I273" s="532"/>
      <c r="J273" s="533"/>
      <c r="K273" s="553"/>
      <c r="L273" s="534"/>
      <c r="M273" s="489" t="str">
        <f t="shared" si="63"/>
        <v/>
      </c>
      <c r="N273" s="536" t="s">
        <v>621</v>
      </c>
      <c r="O273" s="490" t="str">
        <f t="shared" si="70"/>
        <v/>
      </c>
      <c r="P273" s="537"/>
      <c r="Q273" s="537"/>
      <c r="R273" s="533" t="str">
        <f t="shared" si="71"/>
        <v/>
      </c>
      <c r="S273" s="538" t="str">
        <f t="shared" si="69"/>
        <v/>
      </c>
      <c r="T273" s="538" t="str">
        <f t="shared" si="67"/>
        <v/>
      </c>
      <c r="U273" s="539" t="str">
        <f>IF(H273="","",#REF!*12+#REF!+#REF!*12+#REF!)</f>
        <v/>
      </c>
      <c r="V273" s="338">
        <f>IF(ii!$J$3&gt;gg!C273,"",IF(AND((YEAR(C273)=YEAR($I$2)),MONTH(C273)=MONTH($I$2)),ii!$B$14*12+ii!$C$14+ii!$B$15*12+ii!$C$15-1,V272+1))</f>
        <v>166</v>
      </c>
      <c r="W273" s="339">
        <f t="shared" si="60"/>
        <v>13.833333333333334</v>
      </c>
      <c r="X273" s="540" t="s">
        <v>621</v>
      </c>
      <c r="Y273" s="538" t="s">
        <v>621</v>
      </c>
      <c r="Z273" s="541">
        <f>Z261+$Z$26</f>
        <v>0.60000000000000031</v>
      </c>
      <c r="AA273" s="542" t="str">
        <f>IF(Y273="","",(Y273-Y272)/Y272)</f>
        <v/>
      </c>
      <c r="AB273" s="543" t="e">
        <f t="shared" si="66"/>
        <v>#VALUE!</v>
      </c>
      <c r="AC273" s="544" t="str">
        <f t="shared" si="64"/>
        <v/>
      </c>
      <c r="AD273" s="538" t="str">
        <f t="shared" si="65"/>
        <v/>
      </c>
      <c r="AE273" s="545" t="s">
        <v>621</v>
      </c>
      <c r="AF273" s="546" t="s">
        <v>621</v>
      </c>
      <c r="AG273" s="558" t="s">
        <v>621</v>
      </c>
      <c r="AH273" s="547" t="str">
        <f>IF($G273="","",IF(AND($G273&gt;=30,$AT$3&lt;=AG$7),ROUND(AG273*($AP$3+#REF!),-1),""))</f>
        <v/>
      </c>
      <c r="AI273" s="558" t="s">
        <v>621</v>
      </c>
      <c r="AJ273" s="547" t="str">
        <f>IF($G273="","",IF(AND($G273&gt;=30,$AT$3&lt;=AI$7),ROUND(AI273*($AP$3+#REF!),-1),""))</f>
        <v/>
      </c>
      <c r="AK273" s="560" t="s">
        <v>621</v>
      </c>
      <c r="AL273" s="547" t="str">
        <f>IF($G273="","",IF(AND($G273&gt;=30,$AT$3&lt;=AK$7),ROUND(AK273*($AP$3+#REF!),-1),""))</f>
        <v/>
      </c>
      <c r="AM273" s="560" t="s">
        <v>621</v>
      </c>
      <c r="AN273" s="547" t="str">
        <f>IF($G273="","",IF(AND($G273&gt;=30,$AT$3&lt;=AM$7),ROUND(AM273*($AP$3+#REF!),-1),""))</f>
        <v/>
      </c>
      <c r="AO273" s="547" t="e">
        <v>#REF!</v>
      </c>
      <c r="AP273" s="547" t="str">
        <f>IF($G273="","",IF(AND($G273&gt;=30,$AT$3&lt;=AO$7),ROUND(AO273*($AP$3+#REF!),-1),""))</f>
        <v/>
      </c>
      <c r="AQ273" s="547" t="s">
        <v>621</v>
      </c>
      <c r="AR273" s="547" t="str">
        <f>IF($G273="","",IF(AND($G273&gt;=30,$AT$3&lt;=AQ$7),ROUND(AQ273*($AP$3+#REF!),-1),""))</f>
        <v/>
      </c>
      <c r="AS273" s="547" t="s">
        <v>621</v>
      </c>
      <c r="AT273" s="547" t="str">
        <f>IF($G273="","",IF(AND($G273&gt;=30,$AT$3&lt;=AS$7),ROUND(AS273*($AP$3+#REF!),-1),""))</f>
        <v/>
      </c>
      <c r="AU273" s="547" t="s">
        <v>621</v>
      </c>
      <c r="AV273" s="547" t="str">
        <f>IF($G273="","",IF(AND($G273&gt;=30,$AT$3&lt;=AU$7),ROUND(AU273*($AP$3+#REF!),-1),""))</f>
        <v/>
      </c>
      <c r="AW273" s="547" t="s">
        <v>621</v>
      </c>
      <c r="AX273" s="547" t="str">
        <f>IF($G273="","",IF(AND($G273&gt;=30,$AT$3&lt;=AW$7),ROUND(AW273*($AP$3+#REF!),-1),""))</f>
        <v/>
      </c>
      <c r="AY273" s="547" t="s">
        <v>621</v>
      </c>
      <c r="AZ273" s="547" t="str">
        <f>IF($G273="","",IF(AND($G273&gt;=30,$AT$3&lt;=AY$7),ROUND(AY273*($AP$3+#REF!),-1),""))</f>
        <v/>
      </c>
      <c r="BA273" s="547" t="s">
        <v>621</v>
      </c>
      <c r="BB273" s="547" t="str">
        <f>IF($G273="","",IF(AND($G273&gt;=30,$AT$3&lt;=BA$7),ROUND(BA273*($AP$3+#REF!),-1),""))</f>
        <v/>
      </c>
      <c r="BC273" s="547" t="s">
        <v>621</v>
      </c>
      <c r="BD273" s="547" t="str">
        <f>IF($G273="","",IF(AND($G273&gt;=30,$AT$3&lt;=BC$7),ROUND(BC273*($AP$3+#REF!),-1),""))</f>
        <v/>
      </c>
      <c r="BE273" s="547" t="s">
        <v>621</v>
      </c>
      <c r="BF273" s="547" t="str">
        <f>IF($G273="","",IF(AND($G273&gt;=30,$AT$3&lt;=BE$7),ROUND(BE273*($AP$3+#REF!),-1),""))</f>
        <v/>
      </c>
      <c r="BG273" s="547" t="s">
        <v>621</v>
      </c>
      <c r="BH273" s="547" t="str">
        <f>IF($G273="","",IF(AND($G273&gt;=30,$AT$3&lt;=BG$7),ROUND(BG273*($AP$3+#REF!),-1),""))</f>
        <v/>
      </c>
      <c r="BI273" s="547" t="s">
        <v>621</v>
      </c>
      <c r="BJ273" s="547" t="str">
        <f>IF($G273="","",IF(AND($G273&gt;=30,$AT$3&lt;=BI$7),ROUND(BI273*($AP$3+#REF!),-1),""))</f>
        <v/>
      </c>
      <c r="BK273" s="547" t="s">
        <v>621</v>
      </c>
      <c r="BL273" s="547" t="str">
        <f>IF($G273="","",IF(AND($G273&gt;=30,$AT$3&lt;=BK$7),ROUND(BK273*($AP$3+#REF!),-1),""))</f>
        <v/>
      </c>
      <c r="BM273" s="547" t="s">
        <v>621</v>
      </c>
      <c r="BN273" s="547" t="str">
        <f>IF($G273="","",IF(AND($G273&gt;=30,$AT$3&lt;=BM$7),ROUND(BM273*($AP$3+#REF!),-1),""))</f>
        <v/>
      </c>
      <c r="BO273" s="547" t="s">
        <v>621</v>
      </c>
      <c r="BP273" s="547" t="str">
        <f>IF($G273="","",IF(AND($G273&gt;=30,$AT$3&lt;=BO$7),ROUND(BO273*($AP$3+#REF!),-1),""))</f>
        <v/>
      </c>
      <c r="BQ273" s="547" t="s">
        <v>621</v>
      </c>
      <c r="BR273" s="547" t="str">
        <f>IF($G273="","",IF(AND($G273&gt;=30,$AT$3&lt;=BQ$7),ROUND(BQ273*($AP$3+#REF!),-1),""))</f>
        <v/>
      </c>
      <c r="BS273" s="547" t="s">
        <v>621</v>
      </c>
      <c r="BT273" s="547" t="str">
        <f>IF($G273="","",IF(AND($G273&gt;=30,$AT$3&lt;=BS$7),ROUND(BS273*($AP$3+#REF!),-1),""))</f>
        <v/>
      </c>
      <c r="BU273" s="547" t="s">
        <v>621</v>
      </c>
      <c r="BV273" s="547" t="str">
        <f>IF($G273="","",IF(AND($G273&gt;=30,$AT$3&lt;=BU$7),ROUND(BU273*($AP$3+#REF!),-1),""))</f>
        <v/>
      </c>
      <c r="BW273" s="547" t="s">
        <v>621</v>
      </c>
      <c r="BX273" s="547" t="str">
        <f>IF($G273="","",IF(AND($G273&gt;=30,$AT$3&lt;=BW$7),ROUND(BW273*($AP$3+#REF!),-1),""))</f>
        <v/>
      </c>
      <c r="BY273" s="533" t="e">
        <v>#REF!</v>
      </c>
      <c r="BZ273" s="547" t="str">
        <f>IF($G273="","",IF(AND($G273&gt;=30,$AT$3&lt;=BY$7),ROUND(BY273*($AP$3+#REF!),-1),""))</f>
        <v/>
      </c>
      <c r="CA273" s="547"/>
      <c r="CB273" s="547" t="str">
        <f>IF($G273="","",IF(AND($G273&gt;=30,$AT$3&lt;=CA$7),ROUND(CA273*($AP$3+#REF!),-1),""))</f>
        <v/>
      </c>
      <c r="CC273" s="547"/>
      <c r="CD273" s="547" t="str">
        <f>IF($G273="","",IF(AND($G273&gt;=30,$AT$3&lt;=CC$7),ROUND(CC273*($AP$3+#REF!),-1),""))</f>
        <v/>
      </c>
      <c r="CE273" s="547"/>
      <c r="CF273" s="547" t="str">
        <f>IF($G273="","",IF(AND($G273&gt;=30,$AT$3&lt;=CE$7),ROUND(CE273*($AP$3+#REF!),-1),""))</f>
        <v/>
      </c>
      <c r="CG273" s="547"/>
      <c r="CH273" s="547" t="str">
        <f>IF($G273="","",IF(AND($G273&gt;=30,$AT$3&lt;=CG$7),ROUND(CG273*($AP$3+#REF!),-1),""))</f>
        <v/>
      </c>
      <c r="CI273" s="547"/>
      <c r="CJ273" s="547" t="str">
        <f>IF($G273="","",IF(AND($G273&gt;=30,$AT$3&lt;=CI$7),ROUND(CI273*($AP$3+#REF!),-1),""))</f>
        <v/>
      </c>
      <c r="CK273" s="547"/>
      <c r="CL273" s="547" t="str">
        <f>IF($G273="","",IF(AND($G273&gt;=30,$AT$3&lt;=CK$7),ROUND(CK273*($AP$3+#REF!),-1),""))</f>
        <v/>
      </c>
      <c r="CM273" s="547"/>
      <c r="CN273" s="547" t="str">
        <f>IF($G273="","",IF(AND($G273&gt;=30,$AT$3&lt;=CM$7),ROUND(CM273*($AP$3+#REF!),-1),""))</f>
        <v/>
      </c>
      <c r="CO273" s="547"/>
      <c r="CP273" s="547" t="str">
        <f>IF($G273="","",IF(AND($G273&gt;=30,$AT$3&lt;=CO$7),ROUND(CO273*($AP$3+#REF!),-1),""))</f>
        <v/>
      </c>
      <c r="CQ273" s="547"/>
      <c r="CR273" s="547" t="str">
        <f>IF($G273="","",IF(AND($G273&gt;=30,$AT$3&lt;=CQ$7),ROUND(CQ273*($AP$3+#REF!),-1),""))</f>
        <v/>
      </c>
      <c r="CS273" s="547"/>
      <c r="CT273" s="547" t="str">
        <f>IF($G273="","",IF(AND($G273&gt;=30,$AT$3&lt;=CS$7),ROUND(CS273*($AP$3+#REF!),-1),""))</f>
        <v/>
      </c>
      <c r="CU273" s="547"/>
      <c r="CV273" s="547" t="str">
        <f>IF($G273="","",IF(AND($G273&gt;=30,$AT$3&lt;=CU$7),ROUND(CU273*($AP$3+#REF!),-1),""))</f>
        <v/>
      </c>
      <c r="CW273" s="547"/>
      <c r="CX273" s="547" t="str">
        <f>IF($G273="","",IF(AND($G273&gt;=30,$AT$3&lt;=CW$7),ROUND(CW273*($AP$3+#REF!),-1),""))</f>
        <v/>
      </c>
      <c r="CY273" s="547"/>
      <c r="CZ273" s="547" t="str">
        <f>IF($G273="","",IF(AND($G273&gt;=30,$AT$3&lt;=CY$7),ROUND(CY273*($AP$3+#REF!),-1),""))</f>
        <v/>
      </c>
      <c r="DA273" s="547"/>
      <c r="DB273" s="547" t="str">
        <f>IF($G273="","",IF(AND($G273&gt;=30,$AT$3&lt;=DA$7),ROUND(DA273*($AP$3+#REF!),-1),""))</f>
        <v/>
      </c>
      <c r="DC273" s="547"/>
      <c r="DD273" s="547" t="str">
        <f>IF($G273="","",IF(AND($G273&gt;=30,$AT$3&lt;=DC$7),ROUND(DC273*($AP$3+#REF!),-1),""))</f>
        <v/>
      </c>
      <c r="DE273" s="547"/>
      <c r="DF273" s="547" t="str">
        <f>IF($G273="","",IF(AND($G273&gt;=30,$AT$3&lt;=DE$7),ROUND(DE273*($AP$3+#REF!),-1),""))</f>
        <v/>
      </c>
      <c r="DG273" s="547"/>
      <c r="DH273" s="547" t="str">
        <f>IF($G273="","",IF(AND($G273&gt;=30,$AT$3&lt;=DG$7),ROUND(DG273*($AP$3+#REF!),-1),""))</f>
        <v/>
      </c>
      <c r="DI273" s="547"/>
      <c r="DJ273" s="547" t="str">
        <f>IF($G273="","",IF(AND($G273&gt;=30,$AT$3&lt;=DI$7),ROUND(DI273*($AP$3+#REF!),-1),""))</f>
        <v/>
      </c>
      <c r="DK273" s="547"/>
      <c r="DL273" s="547" t="str">
        <f>IF($G273="","",IF(AND($G273&gt;=30,$AT$3&lt;=DK$7),ROUND(DK273*($AP$3+#REF!),-1),""))</f>
        <v/>
      </c>
      <c r="DM273" s="547"/>
      <c r="DN273" s="547" t="str">
        <f>IF($G273="","",IF(AND($G273&gt;=30,$AT$3&lt;=DM$7),ROUND(DM273*($AP$3+#REF!),-1),""))</f>
        <v/>
      </c>
      <c r="DO273" s="547"/>
      <c r="DP273" s="547" t="str">
        <f>IF($G273="","",IF(AND($G273&gt;=30,$AT$3&lt;=DO$7),ROUND(DO273*($AP$3+#REF!),-1),""))</f>
        <v/>
      </c>
      <c r="DQ273" s="547"/>
      <c r="DR273" s="547" t="str">
        <f>IF($G273="","",IF(AND($G273&gt;=30,$AT$3&lt;=DQ$7),ROUND(DQ273*($AP$3+#REF!),-1),""))</f>
        <v/>
      </c>
      <c r="DS273" s="547"/>
      <c r="DT273" s="547" t="str">
        <f>IF($G273="","",IF(AND($G273&gt;=30,$AT$3&lt;=DS$7),ROUND(DS273*($AP$3+#REF!),-1),""))</f>
        <v/>
      </c>
      <c r="DU273" s="547"/>
      <c r="DV273" s="547" t="str">
        <f>IF($G273="","",IF(AND($G273&gt;=30,$AT$3&lt;=DU$7),ROUND(DU273*($AP$3+#REF!),-1),""))</f>
        <v/>
      </c>
      <c r="DW273" s="547"/>
      <c r="DX273" s="547" t="str">
        <f>IF($G273="","",IF(AND($G273&gt;=30,$AT$3&lt;=DW$7),ROUND(DW273*($AP$3+#REF!),-1),""))</f>
        <v/>
      </c>
      <c r="DY273" s="547"/>
      <c r="DZ273" s="547" t="str">
        <f>IF($G273="","",IF(AND($G273&gt;=30,$AT$3&lt;=DY$7),ROUND(DY273*($AP$3+#REF!),-1),""))</f>
        <v/>
      </c>
      <c r="EA273" s="547"/>
      <c r="EB273" s="547" t="str">
        <f>IF($G273="","",IF(AND($G273&gt;=30,$AT$3&lt;=EA$7),ROUND(EA273*($AP$3+#REF!),-1),""))</f>
        <v/>
      </c>
      <c r="EC273" s="547" t="s">
        <v>621</v>
      </c>
      <c r="ED273" s="1123">
        <f>SUM(EC273:EC284)</f>
        <v>0</v>
      </c>
      <c r="EE273" s="325">
        <v>1</v>
      </c>
    </row>
    <row r="274" spans="1:135" ht="9.75" customHeight="1">
      <c r="A274" s="321" t="str">
        <f t="shared" si="68"/>
        <v/>
      </c>
      <c r="B274" s="567">
        <f>(ii!$D$13*12+V274)+1</f>
        <v>168</v>
      </c>
      <c r="C274" s="337">
        <f t="shared" si="72"/>
        <v>50464</v>
      </c>
      <c r="D274" s="484">
        <f t="shared" si="61"/>
        <v>2038</v>
      </c>
      <c r="E274" s="484">
        <f t="shared" si="73"/>
        <v>0.16666666666666666</v>
      </c>
      <c r="F274" s="484">
        <f t="shared" si="62"/>
        <v>2038.1666666666667</v>
      </c>
      <c r="G274" s="485" t="str">
        <f>IF(OR(C274&lt;$I$2,C274&gt;$J$3),"",(ii!$D$13*12+V274+1)/12)</f>
        <v/>
      </c>
      <c r="H274" s="486"/>
      <c r="I274" s="486"/>
      <c r="J274" s="487"/>
      <c r="K274" s="488"/>
      <c r="L274" s="548"/>
      <c r="M274" s="489" t="str">
        <f t="shared" si="63"/>
        <v/>
      </c>
      <c r="N274" s="490" t="s">
        <v>621</v>
      </c>
      <c r="O274" s="490" t="str">
        <f t="shared" si="70"/>
        <v/>
      </c>
      <c r="P274" s="491"/>
      <c r="Q274" s="491"/>
      <c r="R274" s="491" t="str">
        <f t="shared" si="71"/>
        <v/>
      </c>
      <c r="S274" s="528" t="str">
        <f t="shared" si="69"/>
        <v/>
      </c>
      <c r="T274" s="528" t="str">
        <f t="shared" si="67"/>
        <v/>
      </c>
      <c r="U274" s="493" t="str">
        <f>IF(H274="","",#REF!*12+#REF!+#REF!*12+#REF!)</f>
        <v/>
      </c>
      <c r="V274" s="338">
        <f>IF(ii!$J$3&gt;gg!C274,"",IF(AND((YEAR(C274)=YEAR($I$2)),MONTH(C274)=MONTH($I$2)),ii!$B$14*12+ii!$C$14+ii!$B$15*12+ii!$C$15-1,V273+1))</f>
        <v>167</v>
      </c>
      <c r="W274" s="339">
        <f t="shared" si="60"/>
        <v>13.916666666666666</v>
      </c>
      <c r="X274" s="494" t="s">
        <v>621</v>
      </c>
      <c r="Y274" s="495" t="s">
        <v>621</v>
      </c>
      <c r="Z274" s="496"/>
      <c r="AA274" s="497"/>
      <c r="AB274" s="498" t="e">
        <f t="shared" si="66"/>
        <v>#VALUE!</v>
      </c>
      <c r="AC274" s="484" t="str">
        <f t="shared" si="64"/>
        <v/>
      </c>
      <c r="AD274" s="495" t="str">
        <f t="shared" si="65"/>
        <v/>
      </c>
      <c r="AE274" s="499" t="s">
        <v>621</v>
      </c>
      <c r="AF274" s="500" t="s">
        <v>621</v>
      </c>
      <c r="AG274" s="556" t="s">
        <v>621</v>
      </c>
      <c r="AH274" s="503" t="str">
        <f>IF($G274="","",IF(AND($G274&gt;=30,$AT$3&lt;=AG$7),ROUND(AG274*($AP$3+#REF!),-1),""))</f>
        <v/>
      </c>
      <c r="AI274" s="506" t="s">
        <v>621</v>
      </c>
      <c r="AJ274" s="503" t="str">
        <f>IF($G274="","",IF(AND($G274&gt;=30,$AT$3&lt;=AI$7),ROUND(AI274*($AP$3+#REF!),-1),""))</f>
        <v/>
      </c>
      <c r="AK274" s="506" t="s">
        <v>621</v>
      </c>
      <c r="AL274" s="503" t="str">
        <f>IF($G274="","",IF(AND($G274&gt;=30,$AT$3&lt;=AK$7),ROUND(AK274*($AP$3+#REF!),-1),""))</f>
        <v/>
      </c>
      <c r="AM274" s="506" t="s">
        <v>621</v>
      </c>
      <c r="AN274" s="503" t="str">
        <f>IF($G274="","",IF(AND($G274&gt;=30,$AT$3&lt;=AM$7),ROUND(AM274*($AP$3+#REF!),-1),""))</f>
        <v/>
      </c>
      <c r="AO274" s="503" t="e">
        <f>IF(AO273="","",AO273*1.001)</f>
        <v>#REF!</v>
      </c>
      <c r="AP274" s="503" t="str">
        <f>IF($G274="","",IF(AND($G274&gt;=30,$AT$3&lt;=AO$7),ROUND(AO274*($AP$3+#REF!),-1),""))</f>
        <v/>
      </c>
      <c r="AQ274" s="503" t="s">
        <v>621</v>
      </c>
      <c r="AR274" s="503" t="str">
        <f>IF($G274="","",IF(AND($G274&gt;=30,$AT$3&lt;=AQ$7),ROUND(AQ274*($AP$3+#REF!),-1),""))</f>
        <v/>
      </c>
      <c r="AS274" s="503" t="s">
        <v>621</v>
      </c>
      <c r="AT274" s="503" t="str">
        <f>IF($G274="","",IF(AND($G274&gt;=30,$AT$3&lt;=AS$7),ROUND(AS274*($AP$3+#REF!),-1),""))</f>
        <v/>
      </c>
      <c r="AU274" s="503" t="s">
        <v>621</v>
      </c>
      <c r="AV274" s="503" t="str">
        <f>IF($G274="","",IF(AND($G274&gt;=30,$AT$3&lt;=AU$7),ROUND(AU274*($AP$3+#REF!),-1),""))</f>
        <v/>
      </c>
      <c r="AW274" s="503" t="s">
        <v>621</v>
      </c>
      <c r="AX274" s="503" t="str">
        <f>IF($G274="","",IF(AND($G274&gt;=30,$AT$3&lt;=AW$7),ROUND(AW274*($AP$3+#REF!),-1),""))</f>
        <v/>
      </c>
      <c r="AY274" s="503" t="s">
        <v>621</v>
      </c>
      <c r="AZ274" s="503" t="str">
        <f>IF($G274="","",IF(AND($G274&gt;=30,$AT$3&lt;=AY$7),ROUND(AY274*($AP$3+#REF!),-1),""))</f>
        <v/>
      </c>
      <c r="BA274" s="503" t="s">
        <v>621</v>
      </c>
      <c r="BB274" s="503" t="str">
        <f>IF($G274="","",IF(AND($G274&gt;=30,$AT$3&lt;=BA$7),ROUND(BA274*($AP$3+#REF!),-1),""))</f>
        <v/>
      </c>
      <c r="BC274" s="503" t="s">
        <v>621</v>
      </c>
      <c r="BD274" s="503" t="str">
        <f>IF($G274="","",IF(AND($G274&gt;=30,$AT$3&lt;=BC$7),ROUND(BC274*($AP$3+#REF!),-1),""))</f>
        <v/>
      </c>
      <c r="BE274" s="503" t="s">
        <v>621</v>
      </c>
      <c r="BF274" s="503" t="str">
        <f>IF($G274="","",IF(AND($G274&gt;=30,$AT$3&lt;=BE$7),ROUND(BE274*($AP$3+#REF!),-1),""))</f>
        <v/>
      </c>
      <c r="BG274" s="503" t="s">
        <v>621</v>
      </c>
      <c r="BH274" s="503" t="str">
        <f>IF($G274="","",IF(AND($G274&gt;=30,$AT$3&lt;=BG$7),ROUND(BG274*($AP$3+#REF!),-1),""))</f>
        <v/>
      </c>
      <c r="BI274" s="503" t="s">
        <v>621</v>
      </c>
      <c r="BJ274" s="503" t="str">
        <f>IF($G274="","",IF(AND($G274&gt;=30,$AT$3&lt;=BI$7),ROUND(BI274*($AP$3+#REF!),-1),""))</f>
        <v/>
      </c>
      <c r="BK274" s="503" t="s">
        <v>621</v>
      </c>
      <c r="BL274" s="503" t="str">
        <f>IF($G274="","",IF(AND($G274&gt;=30,$AT$3&lt;=BK$7),ROUND(BK274*($AP$3+#REF!),-1),""))</f>
        <v/>
      </c>
      <c r="BM274" s="503" t="s">
        <v>621</v>
      </c>
      <c r="BN274" s="503" t="str">
        <f>IF($G274="","",IF(AND($G274&gt;=30,$AT$3&lt;=BM$7),ROUND(BM274*($AP$3+#REF!),-1),""))</f>
        <v/>
      </c>
      <c r="BO274" s="503" t="s">
        <v>621</v>
      </c>
      <c r="BP274" s="503" t="str">
        <f>IF($G274="","",IF(AND($G274&gt;=30,$AT$3&lt;=BO$7),ROUND(BO274*($AP$3+#REF!),-1),""))</f>
        <v/>
      </c>
      <c r="BQ274" s="503" t="s">
        <v>621</v>
      </c>
      <c r="BR274" s="503" t="str">
        <f>IF($G274="","",IF(AND($G274&gt;=30,$AT$3&lt;=BQ$7),ROUND(BQ274*($AP$3+#REF!),-1),""))</f>
        <v/>
      </c>
      <c r="BS274" s="503" t="s">
        <v>621</v>
      </c>
      <c r="BT274" s="503" t="str">
        <f>IF($G274="","",IF(AND($G274&gt;=30,$AT$3&lt;=BS$7),ROUND(BS274*($AP$3+#REF!),-1),""))</f>
        <v/>
      </c>
      <c r="BU274" s="503" t="s">
        <v>621</v>
      </c>
      <c r="BV274" s="503" t="str">
        <f>IF($G274="","",IF(AND($G274&gt;=30,$AT$3&lt;=BU$7),ROUND(BU274*($AP$3+#REF!),-1),""))</f>
        <v/>
      </c>
      <c r="BW274" s="503" t="s">
        <v>621</v>
      </c>
      <c r="BX274" s="503" t="str">
        <f>IF($G274="","",IF(AND($G274&gt;=30,$AT$3&lt;=BW$7),ROUND(BW274*($AP$3+#REF!),-1),""))</f>
        <v/>
      </c>
      <c r="BY274" s="517" t="e">
        <v>#REF!</v>
      </c>
      <c r="BZ274" s="503" t="str">
        <f>IF($G274="","",IF(AND($G274&gt;=30,$AT$3&lt;=BY$7),ROUND(BY274*($AP$3+#REF!),-1),""))</f>
        <v/>
      </c>
      <c r="CA274" s="502"/>
      <c r="CB274" s="503" t="str">
        <f>IF($G274="","",IF(AND($G274&gt;=30,$AT$3&lt;=CA$7),ROUND(CA274*($AP$3+#REF!),-1),""))</f>
        <v/>
      </c>
      <c r="CC274" s="503"/>
      <c r="CD274" s="503" t="str">
        <f>IF($G274="","",IF(AND($G274&gt;=30,$AT$3&lt;=CC$7),ROUND(CC274*($AP$3+#REF!),-1),""))</f>
        <v/>
      </c>
      <c r="CE274" s="502"/>
      <c r="CF274" s="503" t="str">
        <f>IF($G274="","",IF(AND($G274&gt;=30,$AT$3&lt;=CE$7),ROUND(CE274*($AP$3+#REF!),-1),""))</f>
        <v/>
      </c>
      <c r="CG274" s="503"/>
      <c r="CH274" s="503" t="str">
        <f>IF($G274="","",IF(AND($G274&gt;=30,$AT$3&lt;=CG$7),ROUND(CG274*($AP$3+#REF!),-1),""))</f>
        <v/>
      </c>
      <c r="CI274" s="502"/>
      <c r="CJ274" s="503" t="str">
        <f>IF($G274="","",IF(AND($G274&gt;=30,$AT$3&lt;=CI$7),ROUND(CI274*($AP$3+#REF!),-1),""))</f>
        <v/>
      </c>
      <c r="CK274" s="503"/>
      <c r="CL274" s="503" t="str">
        <f>IF($G274="","",IF(AND($G274&gt;=30,$AT$3&lt;=CK$7),ROUND(CK274*($AP$3+#REF!),-1),""))</f>
        <v/>
      </c>
      <c r="CM274" s="502"/>
      <c r="CN274" s="503" t="str">
        <f>IF($G274="","",IF(AND($G274&gt;=30,$AT$3&lt;=CM$7),ROUND(CM274*($AP$3+#REF!),-1),""))</f>
        <v/>
      </c>
      <c r="CO274" s="503"/>
      <c r="CP274" s="503" t="str">
        <f>IF($G274="","",IF(AND($G274&gt;=30,$AT$3&lt;=CO$7),ROUND(CO274*($AP$3+#REF!),-1),""))</f>
        <v/>
      </c>
      <c r="CQ274" s="502"/>
      <c r="CR274" s="503" t="str">
        <f>IF($G274="","",IF(AND($G274&gt;=30,$AT$3&lt;=CQ$7),ROUND(CQ274*($AP$3+#REF!),-1),""))</f>
        <v/>
      </c>
      <c r="CS274" s="503"/>
      <c r="CT274" s="503" t="str">
        <f>IF($G274="","",IF(AND($G274&gt;=30,$AT$3&lt;=CS$7),ROUND(CS274*($AP$3+#REF!),-1),""))</f>
        <v/>
      </c>
      <c r="CU274" s="502"/>
      <c r="CV274" s="503" t="str">
        <f>IF($G274="","",IF(AND($G274&gt;=30,$AT$3&lt;=CU$7),ROUND(CU274*($AP$3+#REF!),-1),""))</f>
        <v/>
      </c>
      <c r="CW274" s="503"/>
      <c r="CX274" s="503" t="str">
        <f>IF($G274="","",IF(AND($G274&gt;=30,$AT$3&lt;=CW$7),ROUND(CW274*($AP$3+#REF!),-1),""))</f>
        <v/>
      </c>
      <c r="CY274" s="502"/>
      <c r="CZ274" s="503" t="str">
        <f>IF($G274="","",IF(AND($G274&gt;=30,$AT$3&lt;=CY$7),ROUND(CY274*($AP$3+#REF!),-1),""))</f>
        <v/>
      </c>
      <c r="DA274" s="503"/>
      <c r="DB274" s="503" t="str">
        <f>IF($G274="","",IF(AND($G274&gt;=30,$AT$3&lt;=DA$7),ROUND(DA274*($AP$3+#REF!),-1),""))</f>
        <v/>
      </c>
      <c r="DC274" s="502"/>
      <c r="DD274" s="503" t="str">
        <f>IF($G274="","",IF(AND($G274&gt;=30,$AT$3&lt;=DC$7),ROUND(DC274*($AP$3+#REF!),-1),""))</f>
        <v/>
      </c>
      <c r="DE274" s="503"/>
      <c r="DF274" s="503" t="str">
        <f>IF($G274="","",IF(AND($G274&gt;=30,$AT$3&lt;=DE$7),ROUND(DE274*($AP$3+#REF!),-1),""))</f>
        <v/>
      </c>
      <c r="DG274" s="503"/>
      <c r="DH274" s="503" t="str">
        <f>IF($G274="","",IF(AND($G274&gt;=30,$AT$3&lt;=DG$7),ROUND(DG274*($AP$3+#REF!),-1),""))</f>
        <v/>
      </c>
      <c r="DI274" s="503"/>
      <c r="DJ274" s="503" t="str">
        <f>IF($G274="","",IF(AND($G274&gt;=30,$AT$3&lt;=DI$7),ROUND(DI274*($AP$3+#REF!),-1),""))</f>
        <v/>
      </c>
      <c r="DK274" s="503"/>
      <c r="DL274" s="503" t="str">
        <f>IF($G274="","",IF(AND($G274&gt;=30,$AT$3&lt;=DK$7),ROUND(DK274*($AP$3+#REF!),-1),""))</f>
        <v/>
      </c>
      <c r="DM274" s="503"/>
      <c r="DN274" s="503" t="str">
        <f>IF($G274="","",IF(AND($G274&gt;=30,$AT$3&lt;=DM$7),ROUND(DM274*($AP$3+#REF!),-1),""))</f>
        <v/>
      </c>
      <c r="DO274" s="503"/>
      <c r="DP274" s="503" t="str">
        <f>IF($G274="","",IF(AND($G274&gt;=30,$AT$3&lt;=DO$7),ROUND(DO274*($AP$3+#REF!),-1),""))</f>
        <v/>
      </c>
      <c r="DQ274" s="503"/>
      <c r="DR274" s="503" t="str">
        <f>IF($G274="","",IF(AND($G274&gt;=30,$AT$3&lt;=DQ$7),ROUND(DQ274*($AP$3+#REF!),-1),""))</f>
        <v/>
      </c>
      <c r="DS274" s="503"/>
      <c r="DT274" s="503" t="str">
        <f>IF($G274="","",IF(AND($G274&gt;=30,$AT$3&lt;=DS$7),ROUND(DS274*($AP$3+#REF!),-1),""))</f>
        <v/>
      </c>
      <c r="DU274" s="503"/>
      <c r="DV274" s="503" t="str">
        <f>IF($G274="","",IF(AND($G274&gt;=30,$AT$3&lt;=DU$7),ROUND(DU274*($AP$3+#REF!),-1),""))</f>
        <v/>
      </c>
      <c r="DW274" s="503"/>
      <c r="DX274" s="503" t="str">
        <f>IF($G274="","",IF(AND($G274&gt;=30,$AT$3&lt;=DW$7),ROUND(DW274*($AP$3+#REF!),-1),""))</f>
        <v/>
      </c>
      <c r="DY274" s="503"/>
      <c r="DZ274" s="503" t="str">
        <f>IF($G274="","",IF(AND($G274&gt;=30,$AT$3&lt;=DY$7),ROUND(DY274*($AP$3+#REF!),-1),""))</f>
        <v/>
      </c>
      <c r="EA274" s="503"/>
      <c r="EB274" s="503" t="str">
        <f>IF($G274="","",IF(AND($G274&gt;=30,$AT$3&lt;=EA$7),ROUND(EA274*($AP$3+#REF!),-1),""))</f>
        <v/>
      </c>
      <c r="EC274" s="504" t="s">
        <v>621</v>
      </c>
      <c r="ED274" s="1124"/>
      <c r="EE274" s="325">
        <v>2</v>
      </c>
    </row>
    <row r="275" spans="1:135" ht="9.75" customHeight="1">
      <c r="A275" s="321" t="str">
        <f t="shared" si="68"/>
        <v/>
      </c>
      <c r="B275" s="567">
        <f>(ii!$D$13*12+V275)+1</f>
        <v>169</v>
      </c>
      <c r="C275" s="337">
        <f t="shared" si="72"/>
        <v>50495</v>
      </c>
      <c r="D275" s="484">
        <f t="shared" si="61"/>
        <v>2038</v>
      </c>
      <c r="E275" s="484">
        <f t="shared" si="73"/>
        <v>0.25</v>
      </c>
      <c r="F275" s="484">
        <f t="shared" si="62"/>
        <v>2038.25</v>
      </c>
      <c r="G275" s="485" t="str">
        <f>IF(OR(C275&lt;$I$2,C275&gt;$J$3),"",(ii!$D$13*12+V275+1)/12)</f>
        <v/>
      </c>
      <c r="H275" s="486"/>
      <c r="I275" s="486"/>
      <c r="J275" s="487"/>
      <c r="K275" s="488"/>
      <c r="L275" s="548"/>
      <c r="M275" s="489" t="str">
        <f t="shared" si="63"/>
        <v/>
      </c>
      <c r="N275" s="490" t="s">
        <v>621</v>
      </c>
      <c r="O275" s="490" t="str">
        <f t="shared" si="70"/>
        <v/>
      </c>
      <c r="P275" s="491"/>
      <c r="Q275" s="491"/>
      <c r="R275" s="491" t="str">
        <f t="shared" si="71"/>
        <v/>
      </c>
      <c r="S275" s="528" t="str">
        <f t="shared" si="69"/>
        <v/>
      </c>
      <c r="T275" s="528" t="str">
        <f t="shared" si="67"/>
        <v/>
      </c>
      <c r="U275" s="493" t="str">
        <f>IF(H275="","",#REF!*12+#REF!+#REF!*12+#REF!)</f>
        <v/>
      </c>
      <c r="V275" s="338">
        <f>IF(ii!$J$3&gt;gg!C275,"",IF(AND((YEAR(C275)=YEAR($I$2)),MONTH(C275)=MONTH($I$2)),ii!$B$14*12+ii!$C$14+ii!$B$15*12+ii!$C$15-1,V274+1))</f>
        <v>168</v>
      </c>
      <c r="W275" s="339">
        <f t="shared" ref="W275:W338" si="74">IF(V276="","",(V276-1)/12)</f>
        <v>14</v>
      </c>
      <c r="X275" s="494" t="s">
        <v>621</v>
      </c>
      <c r="Y275" s="495" t="s">
        <v>621</v>
      </c>
      <c r="Z275" s="496"/>
      <c r="AA275" s="497"/>
      <c r="AB275" s="498" t="e">
        <f t="shared" si="66"/>
        <v>#VALUE!</v>
      </c>
      <c r="AC275" s="484" t="str">
        <f t="shared" si="64"/>
        <v/>
      </c>
      <c r="AD275" s="495" t="str">
        <f t="shared" si="65"/>
        <v/>
      </c>
      <c r="AE275" s="499" t="s">
        <v>621</v>
      </c>
      <c r="AF275" s="500" t="s">
        <v>621</v>
      </c>
      <c r="AG275" s="556" t="s">
        <v>621</v>
      </c>
      <c r="AH275" s="503" t="str">
        <f>IF($G275="","",IF(AND($G275&gt;=30,$AT$3&lt;=AG$7),ROUND(AG275*($AP$3+#REF!),-1),""))</f>
        <v/>
      </c>
      <c r="AI275" s="506" t="s">
        <v>621</v>
      </c>
      <c r="AJ275" s="503" t="str">
        <f>IF($G275="","",IF(AND($G275&gt;=30,$AT$3&lt;=AI$7),ROUND(AI275*($AP$3+#REF!),-1),""))</f>
        <v/>
      </c>
      <c r="AK275" s="506" t="s">
        <v>621</v>
      </c>
      <c r="AL275" s="503" t="str">
        <f>IF($G275="","",IF(AND($G275&gt;=30,$AT$3&lt;=AK$7),ROUND(AK275*($AP$3+#REF!),-1),""))</f>
        <v/>
      </c>
      <c r="AM275" s="506" t="s">
        <v>621</v>
      </c>
      <c r="AN275" s="503" t="str">
        <f>IF($G275="","",IF(AND($G275&gt;=30,$AT$3&lt;=AM$7),ROUND(AM275*($AP$3+#REF!),-1),""))</f>
        <v/>
      </c>
      <c r="AO275" s="503" t="e">
        <v>#REF!</v>
      </c>
      <c r="AP275" s="503" t="str">
        <f>IF($G275="","",IF(AND($G275&gt;=30,$AT$3&lt;=AO$7),ROUND(AO275*($AP$3+#REF!),-1),""))</f>
        <v/>
      </c>
      <c r="AQ275" s="503" t="s">
        <v>621</v>
      </c>
      <c r="AR275" s="503" t="str">
        <f>IF($G275="","",IF(AND($G275&gt;=30,$AT$3&lt;=AQ$7),ROUND(AQ275*($AP$3+#REF!),-1),""))</f>
        <v/>
      </c>
      <c r="AS275" s="503" t="s">
        <v>621</v>
      </c>
      <c r="AT275" s="503" t="str">
        <f>IF($G275="","",IF(AND($G275&gt;=30,$AT$3&lt;=AS$7),ROUND(AS275*($AP$3+#REF!),-1),""))</f>
        <v/>
      </c>
      <c r="AU275" s="503" t="s">
        <v>621</v>
      </c>
      <c r="AV275" s="503" t="str">
        <f>IF($G275="","",IF(AND($G275&gt;=30,$AT$3&lt;=AU$7),ROUND(AU275*($AP$3+#REF!),-1),""))</f>
        <v/>
      </c>
      <c r="AW275" s="503" t="s">
        <v>621</v>
      </c>
      <c r="AX275" s="503" t="str">
        <f>IF($G275="","",IF(AND($G275&gt;=30,$AT$3&lt;=AW$7),ROUND(AW275*($AP$3+#REF!),-1),""))</f>
        <v/>
      </c>
      <c r="AY275" s="503" t="s">
        <v>621</v>
      </c>
      <c r="AZ275" s="503" t="str">
        <f>IF($G275="","",IF(AND($G275&gt;=30,$AT$3&lt;=AY$7),ROUND(AY275*($AP$3+#REF!),-1),""))</f>
        <v/>
      </c>
      <c r="BA275" s="503" t="s">
        <v>621</v>
      </c>
      <c r="BB275" s="503" t="str">
        <f>IF($G275="","",IF(AND($G275&gt;=30,$AT$3&lt;=BA$7),ROUND(BA275*($AP$3+#REF!),-1),""))</f>
        <v/>
      </c>
      <c r="BC275" s="503" t="s">
        <v>621</v>
      </c>
      <c r="BD275" s="503" t="str">
        <f>IF($G275="","",IF(AND($G275&gt;=30,$AT$3&lt;=BC$7),ROUND(BC275*($AP$3+#REF!),-1),""))</f>
        <v/>
      </c>
      <c r="BE275" s="503" t="s">
        <v>621</v>
      </c>
      <c r="BF275" s="503" t="str">
        <f>IF($G275="","",IF(AND($G275&gt;=30,$AT$3&lt;=BE$7),ROUND(BE275*($AP$3+#REF!),-1),""))</f>
        <v/>
      </c>
      <c r="BG275" s="503" t="s">
        <v>621</v>
      </c>
      <c r="BH275" s="503" t="str">
        <f>IF($G275="","",IF(AND($G275&gt;=30,$AT$3&lt;=BG$7),ROUND(BG275*($AP$3+#REF!),-1),""))</f>
        <v/>
      </c>
      <c r="BI275" s="503" t="s">
        <v>621</v>
      </c>
      <c r="BJ275" s="503" t="str">
        <f>IF($G275="","",IF(AND($G275&gt;=30,$AT$3&lt;=BI$7),ROUND(BI275*($AP$3+#REF!),-1),""))</f>
        <v/>
      </c>
      <c r="BK275" s="503" t="s">
        <v>621</v>
      </c>
      <c r="BL275" s="503" t="str">
        <f>IF($G275="","",IF(AND($G275&gt;=30,$AT$3&lt;=BK$7),ROUND(BK275*($AP$3+#REF!),-1),""))</f>
        <v/>
      </c>
      <c r="BM275" s="503" t="s">
        <v>621</v>
      </c>
      <c r="BN275" s="503" t="str">
        <f>IF($G275="","",IF(AND($G275&gt;=30,$AT$3&lt;=BM$7),ROUND(BM275*($AP$3+#REF!),-1),""))</f>
        <v/>
      </c>
      <c r="BO275" s="503" t="s">
        <v>621</v>
      </c>
      <c r="BP275" s="503" t="str">
        <f>IF($G275="","",IF(AND($G275&gt;=30,$AT$3&lt;=BO$7),ROUND(BO275*($AP$3+#REF!),-1),""))</f>
        <v/>
      </c>
      <c r="BQ275" s="503" t="s">
        <v>621</v>
      </c>
      <c r="BR275" s="503" t="str">
        <f>IF($G275="","",IF(AND($G275&gt;=30,$AT$3&lt;=BQ$7),ROUND(BQ275*($AP$3+#REF!),-1),""))</f>
        <v/>
      </c>
      <c r="BS275" s="503" t="s">
        <v>621</v>
      </c>
      <c r="BT275" s="503" t="str">
        <f>IF($G275="","",IF(AND($G275&gt;=30,$AT$3&lt;=BS$7),ROUND(BS275*($AP$3+#REF!),-1),""))</f>
        <v/>
      </c>
      <c r="BU275" s="503" t="s">
        <v>621</v>
      </c>
      <c r="BV275" s="503" t="str">
        <f>IF($G275="","",IF(AND($G275&gt;=30,$AT$3&lt;=BU$7),ROUND(BU275*($AP$3+#REF!),-1),""))</f>
        <v/>
      </c>
      <c r="BW275" s="503" t="s">
        <v>621</v>
      </c>
      <c r="BX275" s="503" t="str">
        <f>IF($G275="","",IF(AND($G275&gt;=30,$AT$3&lt;=BW$7),ROUND(BW275*($AP$3+#REF!),-1),""))</f>
        <v/>
      </c>
      <c r="BY275" s="517" t="e">
        <v>#REF!</v>
      </c>
      <c r="BZ275" s="503" t="str">
        <f>IF($G275="","",IF(AND($G275&gt;=30,$AT$3&lt;=BY$7),ROUND(BY275*($AP$3+#REF!),-1),""))</f>
        <v/>
      </c>
      <c r="CA275" s="502"/>
      <c r="CB275" s="503" t="str">
        <f>IF($G275="","",IF(AND($G275&gt;=30,$AT$3&lt;=CA$7),ROUND(CA275*($AP$3+#REF!),-1),""))</f>
        <v/>
      </c>
      <c r="CC275" s="503"/>
      <c r="CD275" s="503" t="str">
        <f>IF($G275="","",IF(AND($G275&gt;=30,$AT$3&lt;=CC$7),ROUND(CC275*($AP$3+#REF!),-1),""))</f>
        <v/>
      </c>
      <c r="CE275" s="502"/>
      <c r="CF275" s="503" t="str">
        <f>IF($G275="","",IF(AND($G275&gt;=30,$AT$3&lt;=CE$7),ROUND(CE275*($AP$3+#REF!),-1),""))</f>
        <v/>
      </c>
      <c r="CG275" s="503"/>
      <c r="CH275" s="503" t="str">
        <f>IF($G275="","",IF(AND($G275&gt;=30,$AT$3&lt;=CG$7),ROUND(CG275*($AP$3+#REF!),-1),""))</f>
        <v/>
      </c>
      <c r="CI275" s="502"/>
      <c r="CJ275" s="503" t="str">
        <f>IF($G275="","",IF(AND($G275&gt;=30,$AT$3&lt;=CI$7),ROUND(CI275*($AP$3+#REF!),-1),""))</f>
        <v/>
      </c>
      <c r="CK275" s="503"/>
      <c r="CL275" s="503" t="str">
        <f>IF($G275="","",IF(AND($G275&gt;=30,$AT$3&lt;=CK$7),ROUND(CK275*($AP$3+#REF!),-1),""))</f>
        <v/>
      </c>
      <c r="CM275" s="502"/>
      <c r="CN275" s="503" t="str">
        <f>IF($G275="","",IF(AND($G275&gt;=30,$AT$3&lt;=CM$7),ROUND(CM275*($AP$3+#REF!),-1),""))</f>
        <v/>
      </c>
      <c r="CO275" s="503"/>
      <c r="CP275" s="503" t="str">
        <f>IF($G275="","",IF(AND($G275&gt;=30,$AT$3&lt;=CO$7),ROUND(CO275*($AP$3+#REF!),-1),""))</f>
        <v/>
      </c>
      <c r="CQ275" s="502"/>
      <c r="CR275" s="503" t="str">
        <f>IF($G275="","",IF(AND($G275&gt;=30,$AT$3&lt;=CQ$7),ROUND(CQ275*($AP$3+#REF!),-1),""))</f>
        <v/>
      </c>
      <c r="CS275" s="503"/>
      <c r="CT275" s="503" t="str">
        <f>IF($G275="","",IF(AND($G275&gt;=30,$AT$3&lt;=CS$7),ROUND(CS275*($AP$3+#REF!),-1),""))</f>
        <v/>
      </c>
      <c r="CU275" s="502"/>
      <c r="CV275" s="503" t="str">
        <f>IF($G275="","",IF(AND($G275&gt;=30,$AT$3&lt;=CU$7),ROUND(CU275*($AP$3+#REF!),-1),""))</f>
        <v/>
      </c>
      <c r="CW275" s="503"/>
      <c r="CX275" s="503" t="str">
        <f>IF($G275="","",IF(AND($G275&gt;=30,$AT$3&lt;=CW$7),ROUND(CW275*($AP$3+#REF!),-1),""))</f>
        <v/>
      </c>
      <c r="CY275" s="502"/>
      <c r="CZ275" s="503" t="str">
        <f>IF($G275="","",IF(AND($G275&gt;=30,$AT$3&lt;=CY$7),ROUND(CY275*($AP$3+#REF!),-1),""))</f>
        <v/>
      </c>
      <c r="DA275" s="503"/>
      <c r="DB275" s="503" t="str">
        <f>IF($G275="","",IF(AND($G275&gt;=30,$AT$3&lt;=DA$7),ROUND(DA275*($AP$3+#REF!),-1),""))</f>
        <v/>
      </c>
      <c r="DC275" s="502"/>
      <c r="DD275" s="503" t="str">
        <f>IF($G275="","",IF(AND($G275&gt;=30,$AT$3&lt;=DC$7),ROUND(DC275*($AP$3+#REF!),-1),""))</f>
        <v/>
      </c>
      <c r="DE275" s="503"/>
      <c r="DF275" s="503" t="str">
        <f>IF($G275="","",IF(AND($G275&gt;=30,$AT$3&lt;=DE$7),ROUND(DE275*($AP$3+#REF!),-1),""))</f>
        <v/>
      </c>
      <c r="DG275" s="503"/>
      <c r="DH275" s="503" t="str">
        <f>IF($G275="","",IF(AND($G275&gt;=30,$AT$3&lt;=DG$7),ROUND(DG275*($AP$3+#REF!),-1),""))</f>
        <v/>
      </c>
      <c r="DI275" s="503"/>
      <c r="DJ275" s="503" t="str">
        <f>IF($G275="","",IF(AND($G275&gt;=30,$AT$3&lt;=DI$7),ROUND(DI275*($AP$3+#REF!),-1),""))</f>
        <v/>
      </c>
      <c r="DK275" s="503"/>
      <c r="DL275" s="503" t="str">
        <f>IF($G275="","",IF(AND($G275&gt;=30,$AT$3&lt;=DK$7),ROUND(DK275*($AP$3+#REF!),-1),""))</f>
        <v/>
      </c>
      <c r="DM275" s="503"/>
      <c r="DN275" s="503" t="str">
        <f>IF($G275="","",IF(AND($G275&gt;=30,$AT$3&lt;=DM$7),ROUND(DM275*($AP$3+#REF!),-1),""))</f>
        <v/>
      </c>
      <c r="DO275" s="503"/>
      <c r="DP275" s="503" t="str">
        <f>IF($G275="","",IF(AND($G275&gt;=30,$AT$3&lt;=DO$7),ROUND(DO275*($AP$3+#REF!),-1),""))</f>
        <v/>
      </c>
      <c r="DQ275" s="503"/>
      <c r="DR275" s="503" t="str">
        <f>IF($G275="","",IF(AND($G275&gt;=30,$AT$3&lt;=DQ$7),ROUND(DQ275*($AP$3+#REF!),-1),""))</f>
        <v/>
      </c>
      <c r="DS275" s="503"/>
      <c r="DT275" s="503" t="str">
        <f>IF($G275="","",IF(AND($G275&gt;=30,$AT$3&lt;=DS$7),ROUND(DS275*($AP$3+#REF!),-1),""))</f>
        <v/>
      </c>
      <c r="DU275" s="503"/>
      <c r="DV275" s="503" t="str">
        <f>IF($G275="","",IF(AND($G275&gt;=30,$AT$3&lt;=DU$7),ROUND(DU275*($AP$3+#REF!),-1),""))</f>
        <v/>
      </c>
      <c r="DW275" s="503"/>
      <c r="DX275" s="503" t="str">
        <f>IF($G275="","",IF(AND($G275&gt;=30,$AT$3&lt;=DW$7),ROUND(DW275*($AP$3+#REF!),-1),""))</f>
        <v/>
      </c>
      <c r="DY275" s="503"/>
      <c r="DZ275" s="503" t="str">
        <f>IF($G275="","",IF(AND($G275&gt;=30,$AT$3&lt;=DY$7),ROUND(DY275*($AP$3+#REF!),-1),""))</f>
        <v/>
      </c>
      <c r="EA275" s="503"/>
      <c r="EB275" s="503" t="str">
        <f>IF($G275="","",IF(AND($G275&gt;=30,$AT$3&lt;=EA$7),ROUND(EA275*($AP$3+#REF!),-1),""))</f>
        <v/>
      </c>
      <c r="EC275" s="504" t="s">
        <v>621</v>
      </c>
      <c r="ED275" s="1124"/>
      <c r="EE275" s="325">
        <v>3</v>
      </c>
    </row>
    <row r="276" spans="1:135" ht="9.75" customHeight="1">
      <c r="A276" s="321" t="str">
        <f t="shared" si="68"/>
        <v/>
      </c>
      <c r="B276" s="567">
        <f>(ii!$D$13*12+V276)+1</f>
        <v>170</v>
      </c>
      <c r="C276" s="337">
        <f t="shared" si="72"/>
        <v>50525</v>
      </c>
      <c r="D276" s="484">
        <f t="shared" si="61"/>
        <v>2038</v>
      </c>
      <c r="E276" s="484">
        <f t="shared" si="73"/>
        <v>0.33333333333333331</v>
      </c>
      <c r="F276" s="484">
        <f t="shared" si="62"/>
        <v>2038.3333333333333</v>
      </c>
      <c r="G276" s="485" t="str">
        <f>IF(OR(C276&lt;$I$2,C276&gt;$J$3),"",(ii!$D$13*12+V276+1)/12)</f>
        <v/>
      </c>
      <c r="H276" s="486"/>
      <c r="I276" s="486"/>
      <c r="J276" s="487"/>
      <c r="K276" s="488"/>
      <c r="L276" s="548"/>
      <c r="M276" s="489" t="str">
        <f t="shared" si="63"/>
        <v/>
      </c>
      <c r="N276" s="490" t="s">
        <v>621</v>
      </c>
      <c r="O276" s="490" t="str">
        <f t="shared" si="70"/>
        <v/>
      </c>
      <c r="P276" s="491"/>
      <c r="Q276" s="491"/>
      <c r="R276" s="491" t="str">
        <f t="shared" si="71"/>
        <v/>
      </c>
      <c r="S276" s="528" t="str">
        <f t="shared" si="69"/>
        <v/>
      </c>
      <c r="T276" s="528" t="str">
        <f t="shared" si="67"/>
        <v/>
      </c>
      <c r="U276" s="493" t="str">
        <f>IF(H276="","",#REF!*12+#REF!+#REF!*12+#REF!)</f>
        <v/>
      </c>
      <c r="V276" s="338">
        <f>IF(ii!$J$3&gt;gg!C276,"",IF(AND((YEAR(C276)=YEAR($I$2)),MONTH(C276)=MONTH($I$2)),ii!$B$14*12+ii!$C$14+ii!$B$15*12+ii!$C$15-1,V275+1))</f>
        <v>169</v>
      </c>
      <c r="W276" s="339">
        <f t="shared" si="74"/>
        <v>14.083333333333334</v>
      </c>
      <c r="X276" s="494" t="s">
        <v>621</v>
      </c>
      <c r="Y276" s="495" t="s">
        <v>621</v>
      </c>
      <c r="Z276" s="496"/>
      <c r="AA276" s="497"/>
      <c r="AB276" s="498" t="e">
        <f t="shared" si="66"/>
        <v>#VALUE!</v>
      </c>
      <c r="AC276" s="484" t="str">
        <f t="shared" si="64"/>
        <v/>
      </c>
      <c r="AD276" s="495" t="str">
        <f t="shared" si="65"/>
        <v/>
      </c>
      <c r="AE276" s="499" t="s">
        <v>621</v>
      </c>
      <c r="AF276" s="500" t="s">
        <v>621</v>
      </c>
      <c r="AG276" s="556" t="s">
        <v>621</v>
      </c>
      <c r="AH276" s="503" t="str">
        <f>IF($G276="","",IF(AND($G276&gt;=30,$AT$3&lt;=AG$7),ROUND(AG276*($AP$3+#REF!),-1),""))</f>
        <v/>
      </c>
      <c r="AI276" s="506" t="s">
        <v>621</v>
      </c>
      <c r="AJ276" s="503" t="str">
        <f>IF($G276="","",IF(AND($G276&gt;=30,$AT$3&lt;=AI$7),ROUND(AI276*($AP$3+#REF!),-1),""))</f>
        <v/>
      </c>
      <c r="AK276" s="506" t="s">
        <v>621</v>
      </c>
      <c r="AL276" s="503" t="str">
        <f>IF($G276="","",IF(AND($G276&gt;=30,$AT$3&lt;=AK$7),ROUND(AK276*($AP$3+#REF!),-1),""))</f>
        <v/>
      </c>
      <c r="AM276" s="506" t="s">
        <v>621</v>
      </c>
      <c r="AN276" s="503" t="str">
        <f>IF($G276="","",IF(AND($G276&gt;=30,$AT$3&lt;=AM$7),ROUND(AM276*($AP$3+#REF!),-1),""))</f>
        <v/>
      </c>
      <c r="AO276" s="503" t="e">
        <v>#REF!</v>
      </c>
      <c r="AP276" s="503" t="str">
        <f>IF($G276="","",IF(AND($G276&gt;=30,$AT$3&lt;=AO$7),ROUND(AO276*($AP$3+#REF!),-1),""))</f>
        <v/>
      </c>
      <c r="AQ276" s="503" t="s">
        <v>621</v>
      </c>
      <c r="AR276" s="503" t="str">
        <f>IF($G276="","",IF(AND($G276&gt;=30,$AT$3&lt;=AQ$7),ROUND(AQ276*($AP$3+#REF!),-1),""))</f>
        <v/>
      </c>
      <c r="AS276" s="503" t="s">
        <v>621</v>
      </c>
      <c r="AT276" s="503" t="str">
        <f>IF($G276="","",IF(AND($G276&gt;=30,$AT$3&lt;=AS$7),ROUND(AS276*($AP$3+#REF!),-1),""))</f>
        <v/>
      </c>
      <c r="AU276" s="503" t="s">
        <v>621</v>
      </c>
      <c r="AV276" s="503" t="str">
        <f>IF($G276="","",IF(AND($G276&gt;=30,$AT$3&lt;=AU$7),ROUND(AU276*($AP$3+#REF!),-1),""))</f>
        <v/>
      </c>
      <c r="AW276" s="503" t="s">
        <v>621</v>
      </c>
      <c r="AX276" s="503" t="str">
        <f>IF($G276="","",IF(AND($G276&gt;=30,$AT$3&lt;=AW$7),ROUND(AW276*($AP$3+#REF!),-1),""))</f>
        <v/>
      </c>
      <c r="AY276" s="503" t="s">
        <v>621</v>
      </c>
      <c r="AZ276" s="503" t="str">
        <f>IF($G276="","",IF(AND($G276&gt;=30,$AT$3&lt;=AY$7),ROUND(AY276*($AP$3+#REF!),-1),""))</f>
        <v/>
      </c>
      <c r="BA276" s="503" t="s">
        <v>621</v>
      </c>
      <c r="BB276" s="503" t="str">
        <f>IF($G276="","",IF(AND($G276&gt;=30,$AT$3&lt;=BA$7),ROUND(BA276*($AP$3+#REF!),-1),""))</f>
        <v/>
      </c>
      <c r="BC276" s="503" t="s">
        <v>621</v>
      </c>
      <c r="BD276" s="503" t="str">
        <f>IF($G276="","",IF(AND($G276&gt;=30,$AT$3&lt;=BC$7),ROUND(BC276*($AP$3+#REF!),-1),""))</f>
        <v/>
      </c>
      <c r="BE276" s="503" t="s">
        <v>621</v>
      </c>
      <c r="BF276" s="503" t="str">
        <f>IF($G276="","",IF(AND($G276&gt;=30,$AT$3&lt;=BE$7),ROUND(BE276*($AP$3+#REF!),-1),""))</f>
        <v/>
      </c>
      <c r="BG276" s="503" t="s">
        <v>621</v>
      </c>
      <c r="BH276" s="503" t="str">
        <f>IF($G276="","",IF(AND($G276&gt;=30,$AT$3&lt;=BG$7),ROUND(BG276*($AP$3+#REF!),-1),""))</f>
        <v/>
      </c>
      <c r="BI276" s="503" t="s">
        <v>621</v>
      </c>
      <c r="BJ276" s="503" t="str">
        <f>IF($G276="","",IF(AND($G276&gt;=30,$AT$3&lt;=BI$7),ROUND(BI276*($AP$3+#REF!),-1),""))</f>
        <v/>
      </c>
      <c r="BK276" s="503" t="s">
        <v>621</v>
      </c>
      <c r="BL276" s="503" t="str">
        <f>IF($G276="","",IF(AND($G276&gt;=30,$AT$3&lt;=BK$7),ROUND(BK276*($AP$3+#REF!),-1),""))</f>
        <v/>
      </c>
      <c r="BM276" s="503" t="s">
        <v>621</v>
      </c>
      <c r="BN276" s="503" t="str">
        <f>IF($G276="","",IF(AND($G276&gt;=30,$AT$3&lt;=BM$7),ROUND(BM276*($AP$3+#REF!),-1),""))</f>
        <v/>
      </c>
      <c r="BO276" s="503" t="s">
        <v>621</v>
      </c>
      <c r="BP276" s="503" t="str">
        <f>IF($G276="","",IF(AND($G276&gt;=30,$AT$3&lt;=BO$7),ROUND(BO276*($AP$3+#REF!),-1),""))</f>
        <v/>
      </c>
      <c r="BQ276" s="503" t="s">
        <v>621</v>
      </c>
      <c r="BR276" s="503" t="str">
        <f>IF($G276="","",IF(AND($G276&gt;=30,$AT$3&lt;=BQ$7),ROUND(BQ276*($AP$3+#REF!),-1),""))</f>
        <v/>
      </c>
      <c r="BS276" s="503" t="s">
        <v>621</v>
      </c>
      <c r="BT276" s="503" t="str">
        <f>IF($G276="","",IF(AND($G276&gt;=30,$AT$3&lt;=BS$7),ROUND(BS276*($AP$3+#REF!),-1),""))</f>
        <v/>
      </c>
      <c r="BU276" s="503" t="s">
        <v>621</v>
      </c>
      <c r="BV276" s="503" t="str">
        <f>IF($G276="","",IF(AND($G276&gt;=30,$AT$3&lt;=BU$7),ROUND(BU276*($AP$3+#REF!),-1),""))</f>
        <v/>
      </c>
      <c r="BW276" s="503" t="s">
        <v>621</v>
      </c>
      <c r="BX276" s="503" t="str">
        <f>IF($G276="","",IF(AND($G276&gt;=30,$AT$3&lt;=BW$7),ROUND(BW276*($AP$3+#REF!),-1),""))</f>
        <v/>
      </c>
      <c r="BY276" s="517" t="e">
        <v>#REF!</v>
      </c>
      <c r="BZ276" s="503" t="str">
        <f>IF($G276="","",IF(AND($G276&gt;=30,$AT$3&lt;=BY$7),ROUND(BY276*($AP$3+#REF!),-1),""))</f>
        <v/>
      </c>
      <c r="CA276" s="502"/>
      <c r="CB276" s="503" t="str">
        <f>IF($G276="","",IF(AND($G276&gt;=30,$AT$3&lt;=CA$7),ROUND(CA276*($AP$3+#REF!),-1),""))</f>
        <v/>
      </c>
      <c r="CC276" s="503"/>
      <c r="CD276" s="503" t="str">
        <f>IF($G276="","",IF(AND($G276&gt;=30,$AT$3&lt;=CC$7),ROUND(CC276*($AP$3+#REF!),-1),""))</f>
        <v/>
      </c>
      <c r="CE276" s="502"/>
      <c r="CF276" s="503" t="str">
        <f>IF($G276="","",IF(AND($G276&gt;=30,$AT$3&lt;=CE$7),ROUND(CE276*($AP$3+#REF!),-1),""))</f>
        <v/>
      </c>
      <c r="CG276" s="503"/>
      <c r="CH276" s="503" t="str">
        <f>IF($G276="","",IF(AND($G276&gt;=30,$AT$3&lt;=CG$7),ROUND(CG276*($AP$3+#REF!),-1),""))</f>
        <v/>
      </c>
      <c r="CI276" s="502"/>
      <c r="CJ276" s="503" t="str">
        <f>IF($G276="","",IF(AND($G276&gt;=30,$AT$3&lt;=CI$7),ROUND(CI276*($AP$3+#REF!),-1),""))</f>
        <v/>
      </c>
      <c r="CK276" s="503"/>
      <c r="CL276" s="503" t="str">
        <f>IF($G276="","",IF(AND($G276&gt;=30,$AT$3&lt;=CK$7),ROUND(CK276*($AP$3+#REF!),-1),""))</f>
        <v/>
      </c>
      <c r="CM276" s="502"/>
      <c r="CN276" s="503" t="str">
        <f>IF($G276="","",IF(AND($G276&gt;=30,$AT$3&lt;=CM$7),ROUND(CM276*($AP$3+#REF!),-1),""))</f>
        <v/>
      </c>
      <c r="CO276" s="503"/>
      <c r="CP276" s="503" t="str">
        <f>IF($G276="","",IF(AND($G276&gt;=30,$AT$3&lt;=CO$7),ROUND(CO276*($AP$3+#REF!),-1),""))</f>
        <v/>
      </c>
      <c r="CQ276" s="502"/>
      <c r="CR276" s="503" t="str">
        <f>IF($G276="","",IF(AND($G276&gt;=30,$AT$3&lt;=CQ$7),ROUND(CQ276*($AP$3+#REF!),-1),""))</f>
        <v/>
      </c>
      <c r="CS276" s="503"/>
      <c r="CT276" s="503" t="str">
        <f>IF($G276="","",IF(AND($G276&gt;=30,$AT$3&lt;=CS$7),ROUND(CS276*($AP$3+#REF!),-1),""))</f>
        <v/>
      </c>
      <c r="CU276" s="502"/>
      <c r="CV276" s="503" t="str">
        <f>IF($G276="","",IF(AND($G276&gt;=30,$AT$3&lt;=CU$7),ROUND(CU276*($AP$3+#REF!),-1),""))</f>
        <v/>
      </c>
      <c r="CW276" s="503"/>
      <c r="CX276" s="503" t="str">
        <f>IF($G276="","",IF(AND($G276&gt;=30,$AT$3&lt;=CW$7),ROUND(CW276*($AP$3+#REF!),-1),""))</f>
        <v/>
      </c>
      <c r="CY276" s="502"/>
      <c r="CZ276" s="503" t="str">
        <f>IF($G276="","",IF(AND($G276&gt;=30,$AT$3&lt;=CY$7),ROUND(CY276*($AP$3+#REF!),-1),""))</f>
        <v/>
      </c>
      <c r="DA276" s="503"/>
      <c r="DB276" s="503" t="str">
        <f>IF($G276="","",IF(AND($G276&gt;=30,$AT$3&lt;=DA$7),ROUND(DA276*($AP$3+#REF!),-1),""))</f>
        <v/>
      </c>
      <c r="DC276" s="502"/>
      <c r="DD276" s="503" t="str">
        <f>IF($G276="","",IF(AND($G276&gt;=30,$AT$3&lt;=DC$7),ROUND(DC276*($AP$3+#REF!),-1),""))</f>
        <v/>
      </c>
      <c r="DE276" s="503"/>
      <c r="DF276" s="503" t="str">
        <f>IF($G276="","",IF(AND($G276&gt;=30,$AT$3&lt;=DE$7),ROUND(DE276*($AP$3+#REF!),-1),""))</f>
        <v/>
      </c>
      <c r="DG276" s="503"/>
      <c r="DH276" s="503" t="str">
        <f>IF($G276="","",IF(AND($G276&gt;=30,$AT$3&lt;=DG$7),ROUND(DG276*($AP$3+#REF!),-1),""))</f>
        <v/>
      </c>
      <c r="DI276" s="503"/>
      <c r="DJ276" s="503" t="str">
        <f>IF($G276="","",IF(AND($G276&gt;=30,$AT$3&lt;=DI$7),ROUND(DI276*($AP$3+#REF!),-1),""))</f>
        <v/>
      </c>
      <c r="DK276" s="503"/>
      <c r="DL276" s="503" t="str">
        <f>IF($G276="","",IF(AND($G276&gt;=30,$AT$3&lt;=DK$7),ROUND(DK276*($AP$3+#REF!),-1),""))</f>
        <v/>
      </c>
      <c r="DM276" s="503"/>
      <c r="DN276" s="503" t="str">
        <f>IF($G276="","",IF(AND($G276&gt;=30,$AT$3&lt;=DM$7),ROUND(DM276*($AP$3+#REF!),-1),""))</f>
        <v/>
      </c>
      <c r="DO276" s="503"/>
      <c r="DP276" s="503" t="str">
        <f>IF($G276="","",IF(AND($G276&gt;=30,$AT$3&lt;=DO$7),ROUND(DO276*($AP$3+#REF!),-1),""))</f>
        <v/>
      </c>
      <c r="DQ276" s="503"/>
      <c r="DR276" s="503" t="str">
        <f>IF($G276="","",IF(AND($G276&gt;=30,$AT$3&lt;=DQ$7),ROUND(DQ276*($AP$3+#REF!),-1),""))</f>
        <v/>
      </c>
      <c r="DS276" s="503"/>
      <c r="DT276" s="503" t="str">
        <f>IF($G276="","",IF(AND($G276&gt;=30,$AT$3&lt;=DS$7),ROUND(DS276*($AP$3+#REF!),-1),""))</f>
        <v/>
      </c>
      <c r="DU276" s="503"/>
      <c r="DV276" s="503" t="str">
        <f>IF($G276="","",IF(AND($G276&gt;=30,$AT$3&lt;=DU$7),ROUND(DU276*($AP$3+#REF!),-1),""))</f>
        <v/>
      </c>
      <c r="DW276" s="503"/>
      <c r="DX276" s="503" t="str">
        <f>IF($G276="","",IF(AND($G276&gt;=30,$AT$3&lt;=DW$7),ROUND(DW276*($AP$3+#REF!),-1),""))</f>
        <v/>
      </c>
      <c r="DY276" s="503"/>
      <c r="DZ276" s="503" t="str">
        <f>IF($G276="","",IF(AND($G276&gt;=30,$AT$3&lt;=DY$7),ROUND(DY276*($AP$3+#REF!),-1),""))</f>
        <v/>
      </c>
      <c r="EA276" s="503"/>
      <c r="EB276" s="503" t="str">
        <f>IF($G276="","",IF(AND($G276&gt;=30,$AT$3&lt;=EA$7),ROUND(EA276*($AP$3+#REF!),-1),""))</f>
        <v/>
      </c>
      <c r="EC276" s="504" t="s">
        <v>621</v>
      </c>
      <c r="ED276" s="1124"/>
      <c r="EE276" s="325">
        <v>4</v>
      </c>
    </row>
    <row r="277" spans="1:135" ht="9.75" customHeight="1">
      <c r="A277" s="321" t="str">
        <f t="shared" si="68"/>
        <v/>
      </c>
      <c r="B277" s="567">
        <f>(ii!$D$13*12+V277)+1</f>
        <v>171</v>
      </c>
      <c r="C277" s="337">
        <f t="shared" si="72"/>
        <v>50556</v>
      </c>
      <c r="D277" s="484">
        <f t="shared" si="61"/>
        <v>2038</v>
      </c>
      <c r="E277" s="484">
        <f t="shared" si="73"/>
        <v>0.41666666666666669</v>
      </c>
      <c r="F277" s="484">
        <f t="shared" si="62"/>
        <v>2038.4166666666667</v>
      </c>
      <c r="G277" s="485" t="str">
        <f>IF(OR(C277&lt;$I$2,C277&gt;$J$3),"",(ii!$D$13*12+V277+1)/12)</f>
        <v/>
      </c>
      <c r="H277" s="486"/>
      <c r="I277" s="486"/>
      <c r="J277" s="507"/>
      <c r="K277" s="508"/>
      <c r="L277" s="548"/>
      <c r="M277" s="489" t="str">
        <f t="shared" si="63"/>
        <v/>
      </c>
      <c r="N277" s="490" t="s">
        <v>621</v>
      </c>
      <c r="O277" s="490" t="str">
        <f t="shared" si="70"/>
        <v/>
      </c>
      <c r="P277" s="507"/>
      <c r="Q277" s="507"/>
      <c r="R277" s="491" t="str">
        <f t="shared" si="71"/>
        <v/>
      </c>
      <c r="S277" s="528" t="str">
        <f t="shared" si="69"/>
        <v/>
      </c>
      <c r="T277" s="528" t="str">
        <f t="shared" si="67"/>
        <v/>
      </c>
      <c r="U277" s="493" t="str">
        <f>IF(H277="","",#REF!*12+#REF!+#REF!*12+#REF!)</f>
        <v/>
      </c>
      <c r="V277" s="338">
        <f>IF(ii!$J$3&gt;gg!C277,"",IF(AND((YEAR(C277)=YEAR($I$2)),MONTH(C277)=MONTH($I$2)),ii!$B$14*12+ii!$C$14+ii!$B$15*12+ii!$C$15-1,V276+1))</f>
        <v>170</v>
      </c>
      <c r="W277" s="339">
        <f t="shared" si="74"/>
        <v>14.166666666666666</v>
      </c>
      <c r="X277" s="494" t="s">
        <v>621</v>
      </c>
      <c r="Y277" s="495" t="s">
        <v>621</v>
      </c>
      <c r="Z277" s="496"/>
      <c r="AA277" s="497"/>
      <c r="AB277" s="498" t="e">
        <f t="shared" si="66"/>
        <v>#VALUE!</v>
      </c>
      <c r="AC277" s="484" t="str">
        <f t="shared" si="64"/>
        <v/>
      </c>
      <c r="AD277" s="495" t="str">
        <f t="shared" si="65"/>
        <v/>
      </c>
      <c r="AE277" s="499" t="s">
        <v>621</v>
      </c>
      <c r="AF277" s="500" t="s">
        <v>621</v>
      </c>
      <c r="AG277" s="556" t="s">
        <v>621</v>
      </c>
      <c r="AH277" s="503" t="str">
        <f>IF($G277="","",IF(AND($G277&gt;=30,$AT$3&lt;=AG$7),ROUND(AG277*($AP$3+#REF!),-1),""))</f>
        <v/>
      </c>
      <c r="AI277" s="506" t="s">
        <v>621</v>
      </c>
      <c r="AJ277" s="503" t="str">
        <f>IF($G277="","",IF(AND($G277&gt;=30,$AT$3&lt;=AI$7),ROUND(AI277*($AP$3+#REF!),-1),""))</f>
        <v/>
      </c>
      <c r="AK277" s="506" t="s">
        <v>621</v>
      </c>
      <c r="AL277" s="503" t="str">
        <f>IF($G277="","",IF(AND($G277&gt;=30,$AT$3&lt;=AK$7),ROUND(AK277*($AP$3+#REF!),-1),""))</f>
        <v/>
      </c>
      <c r="AM277" s="506" t="s">
        <v>621</v>
      </c>
      <c r="AN277" s="503" t="str">
        <f>IF($G277="","",IF(AND($G277&gt;=30,$AT$3&lt;=AM$7),ROUND(AM277*($AP$3+#REF!),-1),""))</f>
        <v/>
      </c>
      <c r="AO277" s="503" t="e">
        <v>#REF!</v>
      </c>
      <c r="AP277" s="503" t="str">
        <f>IF($G277="","",IF(AND($G277&gt;=30,$AT$3&lt;=AO$7),ROUND(AO277*($AP$3+#REF!),-1),""))</f>
        <v/>
      </c>
      <c r="AQ277" s="503" t="s">
        <v>621</v>
      </c>
      <c r="AR277" s="503" t="str">
        <f>IF($G277="","",IF(AND($G277&gt;=30,$AT$3&lt;=AQ$7),ROUND(AQ277*($AP$3+#REF!),-1),""))</f>
        <v/>
      </c>
      <c r="AS277" s="503" t="s">
        <v>621</v>
      </c>
      <c r="AT277" s="503" t="str">
        <f>IF($G277="","",IF(AND($G277&gt;=30,$AT$3&lt;=AS$7),ROUND(AS277*($AP$3+#REF!),-1),""))</f>
        <v/>
      </c>
      <c r="AU277" s="503" t="s">
        <v>621</v>
      </c>
      <c r="AV277" s="503" t="str">
        <f>IF($G277="","",IF(AND($G277&gt;=30,$AT$3&lt;=AU$7),ROUND(AU277*($AP$3+#REF!),-1),""))</f>
        <v/>
      </c>
      <c r="AW277" s="503" t="s">
        <v>621</v>
      </c>
      <c r="AX277" s="503" t="str">
        <f>IF($G277="","",IF(AND($G277&gt;=30,$AT$3&lt;=AW$7),ROUND(AW277*($AP$3+#REF!),-1),""))</f>
        <v/>
      </c>
      <c r="AY277" s="503" t="s">
        <v>621</v>
      </c>
      <c r="AZ277" s="503" t="str">
        <f>IF($G277="","",IF(AND($G277&gt;=30,$AT$3&lt;=AY$7),ROUND(AY277*($AP$3+#REF!),-1),""))</f>
        <v/>
      </c>
      <c r="BA277" s="503" t="s">
        <v>621</v>
      </c>
      <c r="BB277" s="503" t="str">
        <f>IF($G277="","",IF(AND($G277&gt;=30,$AT$3&lt;=BA$7),ROUND(BA277*($AP$3+#REF!),-1),""))</f>
        <v/>
      </c>
      <c r="BC277" s="503" t="s">
        <v>621</v>
      </c>
      <c r="BD277" s="503" t="str">
        <f>IF($G277="","",IF(AND($G277&gt;=30,$AT$3&lt;=BC$7),ROUND(BC277*($AP$3+#REF!),-1),""))</f>
        <v/>
      </c>
      <c r="BE277" s="503" t="s">
        <v>621</v>
      </c>
      <c r="BF277" s="503" t="str">
        <f>IF($G277="","",IF(AND($G277&gt;=30,$AT$3&lt;=BE$7),ROUND(BE277*($AP$3+#REF!),-1),""))</f>
        <v/>
      </c>
      <c r="BG277" s="503" t="s">
        <v>621</v>
      </c>
      <c r="BH277" s="503" t="str">
        <f>IF($G277="","",IF(AND($G277&gt;=30,$AT$3&lt;=BG$7),ROUND(BG277*($AP$3+#REF!),-1),""))</f>
        <v/>
      </c>
      <c r="BI277" s="503" t="s">
        <v>621</v>
      </c>
      <c r="BJ277" s="503" t="str">
        <f>IF($G277="","",IF(AND($G277&gt;=30,$AT$3&lt;=BI$7),ROUND(BI277*($AP$3+#REF!),-1),""))</f>
        <v/>
      </c>
      <c r="BK277" s="503" t="s">
        <v>621</v>
      </c>
      <c r="BL277" s="503" t="str">
        <f>IF($G277="","",IF(AND($G277&gt;=30,$AT$3&lt;=BK$7),ROUND(BK277*($AP$3+#REF!),-1),""))</f>
        <v/>
      </c>
      <c r="BM277" s="503" t="s">
        <v>621</v>
      </c>
      <c r="BN277" s="503" t="str">
        <f>IF($G277="","",IF(AND($G277&gt;=30,$AT$3&lt;=BM$7),ROUND(BM277*($AP$3+#REF!),-1),""))</f>
        <v/>
      </c>
      <c r="BO277" s="503" t="s">
        <v>621</v>
      </c>
      <c r="BP277" s="503" t="str">
        <f>IF($G277="","",IF(AND($G277&gt;=30,$AT$3&lt;=BO$7),ROUND(BO277*($AP$3+#REF!),-1),""))</f>
        <v/>
      </c>
      <c r="BQ277" s="503" t="s">
        <v>621</v>
      </c>
      <c r="BR277" s="503" t="str">
        <f>IF($G277="","",IF(AND($G277&gt;=30,$AT$3&lt;=BQ$7),ROUND(BQ277*($AP$3+#REF!),-1),""))</f>
        <v/>
      </c>
      <c r="BS277" s="503" t="s">
        <v>621</v>
      </c>
      <c r="BT277" s="503" t="str">
        <f>IF($G277="","",IF(AND($G277&gt;=30,$AT$3&lt;=BS$7),ROUND(BS277*($AP$3+#REF!),-1),""))</f>
        <v/>
      </c>
      <c r="BU277" s="503" t="s">
        <v>621</v>
      </c>
      <c r="BV277" s="503" t="str">
        <f>IF($G277="","",IF(AND($G277&gt;=30,$AT$3&lt;=BU$7),ROUND(BU277*($AP$3+#REF!),-1),""))</f>
        <v/>
      </c>
      <c r="BW277" s="503" t="s">
        <v>621</v>
      </c>
      <c r="BX277" s="503" t="str">
        <f>IF($G277="","",IF(AND($G277&gt;=30,$AT$3&lt;=BW$7),ROUND(BW277*($AP$3+#REF!),-1),""))</f>
        <v/>
      </c>
      <c r="BY277" s="517" t="e">
        <v>#REF!</v>
      </c>
      <c r="BZ277" s="503" t="str">
        <f>IF($G277="","",IF(AND($G277&gt;=30,$AT$3&lt;=BY$7),ROUND(BY277*($AP$3+#REF!),-1),""))</f>
        <v/>
      </c>
      <c r="CA277" s="502"/>
      <c r="CB277" s="503" t="str">
        <f>IF($G277="","",IF(AND($G277&gt;=30,$AT$3&lt;=CA$7),ROUND(CA277*($AP$3+#REF!),-1),""))</f>
        <v/>
      </c>
      <c r="CC277" s="503"/>
      <c r="CD277" s="503" t="str">
        <f>IF($G277="","",IF(AND($G277&gt;=30,$AT$3&lt;=CC$7),ROUND(CC277*($AP$3+#REF!),-1),""))</f>
        <v/>
      </c>
      <c r="CE277" s="502"/>
      <c r="CF277" s="503" t="str">
        <f>IF($G277="","",IF(AND($G277&gt;=30,$AT$3&lt;=CE$7),ROUND(CE277*($AP$3+#REF!),-1),""))</f>
        <v/>
      </c>
      <c r="CG277" s="503"/>
      <c r="CH277" s="503" t="str">
        <f>IF($G277="","",IF(AND($G277&gt;=30,$AT$3&lt;=CG$7),ROUND(CG277*($AP$3+#REF!),-1),""))</f>
        <v/>
      </c>
      <c r="CI277" s="502"/>
      <c r="CJ277" s="503" t="str">
        <f>IF($G277="","",IF(AND($G277&gt;=30,$AT$3&lt;=CI$7),ROUND(CI277*($AP$3+#REF!),-1),""))</f>
        <v/>
      </c>
      <c r="CK277" s="503"/>
      <c r="CL277" s="503" t="str">
        <f>IF($G277="","",IF(AND($G277&gt;=30,$AT$3&lt;=CK$7),ROUND(CK277*($AP$3+#REF!),-1),""))</f>
        <v/>
      </c>
      <c r="CM277" s="502"/>
      <c r="CN277" s="503" t="str">
        <f>IF($G277="","",IF(AND($G277&gt;=30,$AT$3&lt;=CM$7),ROUND(CM277*($AP$3+#REF!),-1),""))</f>
        <v/>
      </c>
      <c r="CO277" s="503"/>
      <c r="CP277" s="503" t="str">
        <f>IF($G277="","",IF(AND($G277&gt;=30,$AT$3&lt;=CO$7),ROUND(CO277*($AP$3+#REF!),-1),""))</f>
        <v/>
      </c>
      <c r="CQ277" s="502"/>
      <c r="CR277" s="503" t="str">
        <f>IF($G277="","",IF(AND($G277&gt;=30,$AT$3&lt;=CQ$7),ROUND(CQ277*($AP$3+#REF!),-1),""))</f>
        <v/>
      </c>
      <c r="CS277" s="503"/>
      <c r="CT277" s="503" t="str">
        <f>IF($G277="","",IF(AND($G277&gt;=30,$AT$3&lt;=CS$7),ROUND(CS277*($AP$3+#REF!),-1),""))</f>
        <v/>
      </c>
      <c r="CU277" s="502"/>
      <c r="CV277" s="503" t="str">
        <f>IF($G277="","",IF(AND($G277&gt;=30,$AT$3&lt;=CU$7),ROUND(CU277*($AP$3+#REF!),-1),""))</f>
        <v/>
      </c>
      <c r="CW277" s="503"/>
      <c r="CX277" s="503" t="str">
        <f>IF($G277="","",IF(AND($G277&gt;=30,$AT$3&lt;=CW$7),ROUND(CW277*($AP$3+#REF!),-1),""))</f>
        <v/>
      </c>
      <c r="CY277" s="502"/>
      <c r="CZ277" s="503" t="str">
        <f>IF($G277="","",IF(AND($G277&gt;=30,$AT$3&lt;=CY$7),ROUND(CY277*($AP$3+#REF!),-1),""))</f>
        <v/>
      </c>
      <c r="DA277" s="503"/>
      <c r="DB277" s="503" t="str">
        <f>IF($G277="","",IF(AND($G277&gt;=30,$AT$3&lt;=DA$7),ROUND(DA277*($AP$3+#REF!),-1),""))</f>
        <v/>
      </c>
      <c r="DC277" s="502"/>
      <c r="DD277" s="503" t="str">
        <f>IF($G277="","",IF(AND($G277&gt;=30,$AT$3&lt;=DC$7),ROUND(DC277*($AP$3+#REF!),-1),""))</f>
        <v/>
      </c>
      <c r="DE277" s="503"/>
      <c r="DF277" s="503" t="str">
        <f>IF($G277="","",IF(AND($G277&gt;=30,$AT$3&lt;=DE$7),ROUND(DE277*($AP$3+#REF!),-1),""))</f>
        <v/>
      </c>
      <c r="DG277" s="503"/>
      <c r="DH277" s="503" t="str">
        <f>IF($G277="","",IF(AND($G277&gt;=30,$AT$3&lt;=DG$7),ROUND(DG277*($AP$3+#REF!),-1),""))</f>
        <v/>
      </c>
      <c r="DI277" s="503"/>
      <c r="DJ277" s="503" t="str">
        <f>IF($G277="","",IF(AND($G277&gt;=30,$AT$3&lt;=DI$7),ROUND(DI277*($AP$3+#REF!),-1),""))</f>
        <v/>
      </c>
      <c r="DK277" s="503"/>
      <c r="DL277" s="503" t="str">
        <f>IF($G277="","",IF(AND($G277&gt;=30,$AT$3&lt;=DK$7),ROUND(DK277*($AP$3+#REF!),-1),""))</f>
        <v/>
      </c>
      <c r="DM277" s="503"/>
      <c r="DN277" s="503" t="str">
        <f>IF($G277="","",IF(AND($G277&gt;=30,$AT$3&lt;=DM$7),ROUND(DM277*($AP$3+#REF!),-1),""))</f>
        <v/>
      </c>
      <c r="DO277" s="503"/>
      <c r="DP277" s="503" t="str">
        <f>IF($G277="","",IF(AND($G277&gt;=30,$AT$3&lt;=DO$7),ROUND(DO277*($AP$3+#REF!),-1),""))</f>
        <v/>
      </c>
      <c r="DQ277" s="503"/>
      <c r="DR277" s="503" t="str">
        <f>IF($G277="","",IF(AND($G277&gt;=30,$AT$3&lt;=DQ$7),ROUND(DQ277*($AP$3+#REF!),-1),""))</f>
        <v/>
      </c>
      <c r="DS277" s="503"/>
      <c r="DT277" s="503" t="str">
        <f>IF($G277="","",IF(AND($G277&gt;=30,$AT$3&lt;=DS$7),ROUND(DS277*($AP$3+#REF!),-1),""))</f>
        <v/>
      </c>
      <c r="DU277" s="503"/>
      <c r="DV277" s="503" t="str">
        <f>IF($G277="","",IF(AND($G277&gt;=30,$AT$3&lt;=DU$7),ROUND(DU277*($AP$3+#REF!),-1),""))</f>
        <v/>
      </c>
      <c r="DW277" s="503"/>
      <c r="DX277" s="503" t="str">
        <f>IF($G277="","",IF(AND($G277&gt;=30,$AT$3&lt;=DW$7),ROUND(DW277*($AP$3+#REF!),-1),""))</f>
        <v/>
      </c>
      <c r="DY277" s="503"/>
      <c r="DZ277" s="503" t="str">
        <f>IF($G277="","",IF(AND($G277&gt;=30,$AT$3&lt;=DY$7),ROUND(DY277*($AP$3+#REF!),-1),""))</f>
        <v/>
      </c>
      <c r="EA277" s="503"/>
      <c r="EB277" s="503" t="str">
        <f>IF($G277="","",IF(AND($G277&gt;=30,$AT$3&lt;=EA$7),ROUND(EA277*($AP$3+#REF!),-1),""))</f>
        <v/>
      </c>
      <c r="EC277" s="504" t="s">
        <v>621</v>
      </c>
      <c r="ED277" s="1124"/>
      <c r="EE277" s="325">
        <v>5</v>
      </c>
    </row>
    <row r="278" spans="1:135" ht="9.75" customHeight="1">
      <c r="A278" s="321" t="str">
        <f t="shared" si="68"/>
        <v/>
      </c>
      <c r="B278" s="567">
        <f>(ii!$D$13*12+V278)+1</f>
        <v>172</v>
      </c>
      <c r="C278" s="337">
        <f t="shared" si="72"/>
        <v>50586</v>
      </c>
      <c r="D278" s="484">
        <f t="shared" si="61"/>
        <v>2038</v>
      </c>
      <c r="E278" s="484">
        <f t="shared" si="73"/>
        <v>0.5</v>
      </c>
      <c r="F278" s="484">
        <f t="shared" si="62"/>
        <v>2038.5</v>
      </c>
      <c r="G278" s="485" t="str">
        <f>IF(OR(C278&lt;$I$2,C278&gt;$J$3),"",(ii!$D$13*12+V278+1)/12)</f>
        <v/>
      </c>
      <c r="H278" s="486"/>
      <c r="I278" s="486"/>
      <c r="J278" s="487"/>
      <c r="K278" s="488"/>
      <c r="L278" s="548"/>
      <c r="M278" s="489" t="str">
        <f t="shared" si="63"/>
        <v/>
      </c>
      <c r="N278" s="490" t="s">
        <v>621</v>
      </c>
      <c r="O278" s="490" t="str">
        <f t="shared" si="70"/>
        <v/>
      </c>
      <c r="P278" s="491"/>
      <c r="Q278" s="491"/>
      <c r="R278" s="491" t="str">
        <f t="shared" si="71"/>
        <v/>
      </c>
      <c r="S278" s="528" t="str">
        <f t="shared" si="69"/>
        <v/>
      </c>
      <c r="T278" s="528" t="str">
        <f t="shared" si="67"/>
        <v/>
      </c>
      <c r="U278" s="493" t="str">
        <f>IF(H278="","",#REF!*12+#REF!+#REF!*12+#REF!)</f>
        <v/>
      </c>
      <c r="V278" s="338">
        <f>IF(ii!$J$3&gt;gg!C278,"",IF(AND((YEAR(C278)=YEAR($I$2)),MONTH(C278)=MONTH($I$2)),ii!$B$14*12+ii!$C$14+ii!$B$15*12+ii!$C$15-1,V277+1))</f>
        <v>171</v>
      </c>
      <c r="W278" s="339">
        <f t="shared" si="74"/>
        <v>14.25</v>
      </c>
      <c r="X278" s="494" t="s">
        <v>621</v>
      </c>
      <c r="Y278" s="495" t="s">
        <v>621</v>
      </c>
      <c r="Z278" s="496"/>
      <c r="AA278" s="497"/>
      <c r="AB278" s="498" t="e">
        <f t="shared" si="66"/>
        <v>#VALUE!</v>
      </c>
      <c r="AC278" s="484" t="str">
        <f t="shared" si="64"/>
        <v/>
      </c>
      <c r="AD278" s="495" t="str">
        <f t="shared" si="65"/>
        <v/>
      </c>
      <c r="AE278" s="499" t="s">
        <v>621</v>
      </c>
      <c r="AF278" s="500" t="s">
        <v>621</v>
      </c>
      <c r="AG278" s="556" t="s">
        <v>621</v>
      </c>
      <c r="AH278" s="503" t="str">
        <f>IF($G278="","",IF(AND($G278&gt;=30,$AT$3&lt;=AG$7),ROUND(AG278*($AP$3+#REF!),-1),""))</f>
        <v/>
      </c>
      <c r="AI278" s="506" t="s">
        <v>621</v>
      </c>
      <c r="AJ278" s="503" t="str">
        <f>IF($G278="","",IF(AND($G278&gt;=30,$AT$3&lt;=AI$7),ROUND(AI278*($AP$3+#REF!),-1),""))</f>
        <v/>
      </c>
      <c r="AK278" s="506" t="s">
        <v>621</v>
      </c>
      <c r="AL278" s="503" t="str">
        <f>IF($G278="","",IF(AND($G278&gt;=30,$AT$3&lt;=AK$7),ROUND(AK278*($AP$3+#REF!),-1),""))</f>
        <v/>
      </c>
      <c r="AM278" s="506" t="s">
        <v>621</v>
      </c>
      <c r="AN278" s="503" t="str">
        <f>IF($G278="","",IF(AND($G278&gt;=30,$AT$3&lt;=AM$7),ROUND(AM278*($AP$3+#REF!),-1),""))</f>
        <v/>
      </c>
      <c r="AO278" s="503" t="e">
        <v>#REF!</v>
      </c>
      <c r="AP278" s="503" t="str">
        <f>IF($G278="","",IF(AND($G278&gt;=30,$AT$3&lt;=AO$7),ROUND(AO278*($AP$3+#REF!),-1),""))</f>
        <v/>
      </c>
      <c r="AQ278" s="503" t="s">
        <v>621</v>
      </c>
      <c r="AR278" s="503" t="str">
        <f>IF($G278="","",IF(AND($G278&gt;=30,$AT$3&lt;=AQ$7),ROUND(AQ278*($AP$3+#REF!),-1),""))</f>
        <v/>
      </c>
      <c r="AS278" s="503" t="s">
        <v>621</v>
      </c>
      <c r="AT278" s="503" t="str">
        <f>IF($G278="","",IF(AND($G278&gt;=30,$AT$3&lt;=AS$7),ROUND(AS278*($AP$3+#REF!),-1),""))</f>
        <v/>
      </c>
      <c r="AU278" s="503" t="s">
        <v>621</v>
      </c>
      <c r="AV278" s="503" t="str">
        <f>IF($G278="","",IF(AND($G278&gt;=30,$AT$3&lt;=AU$7),ROUND(AU278*($AP$3+#REF!),-1),""))</f>
        <v/>
      </c>
      <c r="AW278" s="503" t="s">
        <v>621</v>
      </c>
      <c r="AX278" s="503" t="str">
        <f>IF($G278="","",IF(AND($G278&gt;=30,$AT$3&lt;=AW$7),ROUND(AW278*($AP$3+#REF!),-1),""))</f>
        <v/>
      </c>
      <c r="AY278" s="503" t="s">
        <v>621</v>
      </c>
      <c r="AZ278" s="503" t="str">
        <f>IF($G278="","",IF(AND($G278&gt;=30,$AT$3&lt;=AY$7),ROUND(AY278*($AP$3+#REF!),-1),""))</f>
        <v/>
      </c>
      <c r="BA278" s="503" t="s">
        <v>621</v>
      </c>
      <c r="BB278" s="503" t="str">
        <f>IF($G278="","",IF(AND($G278&gt;=30,$AT$3&lt;=BA$7),ROUND(BA278*($AP$3+#REF!),-1),""))</f>
        <v/>
      </c>
      <c r="BC278" s="503" t="s">
        <v>621</v>
      </c>
      <c r="BD278" s="503" t="str">
        <f>IF($G278="","",IF(AND($G278&gt;=30,$AT$3&lt;=BC$7),ROUND(BC278*($AP$3+#REF!),-1),""))</f>
        <v/>
      </c>
      <c r="BE278" s="503" t="s">
        <v>621</v>
      </c>
      <c r="BF278" s="503" t="str">
        <f>IF($G278="","",IF(AND($G278&gt;=30,$AT$3&lt;=BE$7),ROUND(BE278*($AP$3+#REF!),-1),""))</f>
        <v/>
      </c>
      <c r="BG278" s="503" t="s">
        <v>621</v>
      </c>
      <c r="BH278" s="503" t="str">
        <f>IF($G278="","",IF(AND($G278&gt;=30,$AT$3&lt;=BG$7),ROUND(BG278*($AP$3+#REF!),-1),""))</f>
        <v/>
      </c>
      <c r="BI278" s="503" t="s">
        <v>621</v>
      </c>
      <c r="BJ278" s="503" t="str">
        <f>IF($G278="","",IF(AND($G278&gt;=30,$AT$3&lt;=BI$7),ROUND(BI278*($AP$3+#REF!),-1),""))</f>
        <v/>
      </c>
      <c r="BK278" s="503" t="s">
        <v>621</v>
      </c>
      <c r="BL278" s="503" t="str">
        <f>IF($G278="","",IF(AND($G278&gt;=30,$AT$3&lt;=BK$7),ROUND(BK278*($AP$3+#REF!),-1),""))</f>
        <v/>
      </c>
      <c r="BM278" s="503" t="s">
        <v>621</v>
      </c>
      <c r="BN278" s="503" t="str">
        <f>IF($G278="","",IF(AND($G278&gt;=30,$AT$3&lt;=BM$7),ROUND(BM278*($AP$3+#REF!),-1),""))</f>
        <v/>
      </c>
      <c r="BO278" s="503" t="s">
        <v>621</v>
      </c>
      <c r="BP278" s="503" t="str">
        <f>IF($G278="","",IF(AND($G278&gt;=30,$AT$3&lt;=BO$7),ROUND(BO278*($AP$3+#REF!),-1),""))</f>
        <v/>
      </c>
      <c r="BQ278" s="503" t="s">
        <v>621</v>
      </c>
      <c r="BR278" s="503" t="str">
        <f>IF($G278="","",IF(AND($G278&gt;=30,$AT$3&lt;=BQ$7),ROUND(BQ278*($AP$3+#REF!),-1),""))</f>
        <v/>
      </c>
      <c r="BS278" s="503" t="s">
        <v>621</v>
      </c>
      <c r="BT278" s="503" t="str">
        <f>IF($G278="","",IF(AND($G278&gt;=30,$AT$3&lt;=BS$7),ROUND(BS278*($AP$3+#REF!),-1),""))</f>
        <v/>
      </c>
      <c r="BU278" s="503" t="s">
        <v>621</v>
      </c>
      <c r="BV278" s="503" t="str">
        <f>IF($G278="","",IF(AND($G278&gt;=30,$AT$3&lt;=BU$7),ROUND(BU278*($AP$3+#REF!),-1),""))</f>
        <v/>
      </c>
      <c r="BW278" s="503" t="s">
        <v>621</v>
      </c>
      <c r="BX278" s="503" t="str">
        <f>IF($G278="","",IF(AND($G278&gt;=30,$AT$3&lt;=BW$7),ROUND(BW278*($AP$3+#REF!),-1),""))</f>
        <v/>
      </c>
      <c r="BY278" s="517" t="e">
        <v>#REF!</v>
      </c>
      <c r="BZ278" s="503" t="str">
        <f>IF($G278="","",IF(AND($G278&gt;=30,$AT$3&lt;=BY$7),ROUND(BY278*($AP$3+#REF!),-1),""))</f>
        <v/>
      </c>
      <c r="CA278" s="502"/>
      <c r="CB278" s="503" t="str">
        <f>IF($G278="","",IF(AND($G278&gt;=30,$AT$3&lt;=CA$7),ROUND(CA278*($AP$3+#REF!),-1),""))</f>
        <v/>
      </c>
      <c r="CC278" s="503"/>
      <c r="CD278" s="503" t="str">
        <f>IF($G278="","",IF(AND($G278&gt;=30,$AT$3&lt;=CC$7),ROUND(CC278*($AP$3+#REF!),-1),""))</f>
        <v/>
      </c>
      <c r="CE278" s="502"/>
      <c r="CF278" s="503" t="str">
        <f>IF($G278="","",IF(AND($G278&gt;=30,$AT$3&lt;=CE$7),ROUND(CE278*($AP$3+#REF!),-1),""))</f>
        <v/>
      </c>
      <c r="CG278" s="503"/>
      <c r="CH278" s="503" t="str">
        <f>IF($G278="","",IF(AND($G278&gt;=30,$AT$3&lt;=CG$7),ROUND(CG278*($AP$3+#REF!),-1),""))</f>
        <v/>
      </c>
      <c r="CI278" s="502"/>
      <c r="CJ278" s="503" t="str">
        <f>IF($G278="","",IF(AND($G278&gt;=30,$AT$3&lt;=CI$7),ROUND(CI278*($AP$3+#REF!),-1),""))</f>
        <v/>
      </c>
      <c r="CK278" s="503"/>
      <c r="CL278" s="503" t="str">
        <f>IF($G278="","",IF(AND($G278&gt;=30,$AT$3&lt;=CK$7),ROUND(CK278*($AP$3+#REF!),-1),""))</f>
        <v/>
      </c>
      <c r="CM278" s="502"/>
      <c r="CN278" s="503" t="str">
        <f>IF($G278="","",IF(AND($G278&gt;=30,$AT$3&lt;=CM$7),ROUND(CM278*($AP$3+#REF!),-1),""))</f>
        <v/>
      </c>
      <c r="CO278" s="503"/>
      <c r="CP278" s="503" t="str">
        <f>IF($G278="","",IF(AND($G278&gt;=30,$AT$3&lt;=CO$7),ROUND(CO278*($AP$3+#REF!),-1),""))</f>
        <v/>
      </c>
      <c r="CQ278" s="502"/>
      <c r="CR278" s="503" t="str">
        <f>IF($G278="","",IF(AND($G278&gt;=30,$AT$3&lt;=CQ$7),ROUND(CQ278*($AP$3+#REF!),-1),""))</f>
        <v/>
      </c>
      <c r="CS278" s="503"/>
      <c r="CT278" s="503" t="str">
        <f>IF($G278="","",IF(AND($G278&gt;=30,$AT$3&lt;=CS$7),ROUND(CS278*($AP$3+#REF!),-1),""))</f>
        <v/>
      </c>
      <c r="CU278" s="502"/>
      <c r="CV278" s="503" t="str">
        <f>IF($G278="","",IF(AND($G278&gt;=30,$AT$3&lt;=CU$7),ROUND(CU278*($AP$3+#REF!),-1),""))</f>
        <v/>
      </c>
      <c r="CW278" s="503"/>
      <c r="CX278" s="503" t="str">
        <f>IF($G278="","",IF(AND($G278&gt;=30,$AT$3&lt;=CW$7),ROUND(CW278*($AP$3+#REF!),-1),""))</f>
        <v/>
      </c>
      <c r="CY278" s="502"/>
      <c r="CZ278" s="503" t="str">
        <f>IF($G278="","",IF(AND($G278&gt;=30,$AT$3&lt;=CY$7),ROUND(CY278*($AP$3+#REF!),-1),""))</f>
        <v/>
      </c>
      <c r="DA278" s="503"/>
      <c r="DB278" s="503" t="str">
        <f>IF($G278="","",IF(AND($G278&gt;=30,$AT$3&lt;=DA$7),ROUND(DA278*($AP$3+#REF!),-1),""))</f>
        <v/>
      </c>
      <c r="DC278" s="502"/>
      <c r="DD278" s="503" t="str">
        <f>IF($G278="","",IF(AND($G278&gt;=30,$AT$3&lt;=DC$7),ROUND(DC278*($AP$3+#REF!),-1),""))</f>
        <v/>
      </c>
      <c r="DE278" s="503"/>
      <c r="DF278" s="503" t="str">
        <f>IF($G278="","",IF(AND($G278&gt;=30,$AT$3&lt;=DE$7),ROUND(DE278*($AP$3+#REF!),-1),""))</f>
        <v/>
      </c>
      <c r="DG278" s="503"/>
      <c r="DH278" s="503" t="str">
        <f>IF($G278="","",IF(AND($G278&gt;=30,$AT$3&lt;=DG$7),ROUND(DG278*($AP$3+#REF!),-1),""))</f>
        <v/>
      </c>
      <c r="DI278" s="503"/>
      <c r="DJ278" s="503" t="str">
        <f>IF($G278="","",IF(AND($G278&gt;=30,$AT$3&lt;=DI$7),ROUND(DI278*($AP$3+#REF!),-1),""))</f>
        <v/>
      </c>
      <c r="DK278" s="503"/>
      <c r="DL278" s="503" t="str">
        <f>IF($G278="","",IF(AND($G278&gt;=30,$AT$3&lt;=DK$7),ROUND(DK278*($AP$3+#REF!),-1),""))</f>
        <v/>
      </c>
      <c r="DM278" s="503"/>
      <c r="DN278" s="503" t="str">
        <f>IF($G278="","",IF(AND($G278&gt;=30,$AT$3&lt;=DM$7),ROUND(DM278*($AP$3+#REF!),-1),""))</f>
        <v/>
      </c>
      <c r="DO278" s="503"/>
      <c r="DP278" s="503" t="str">
        <f>IF($G278="","",IF(AND($G278&gt;=30,$AT$3&lt;=DO$7),ROUND(DO278*($AP$3+#REF!),-1),""))</f>
        <v/>
      </c>
      <c r="DQ278" s="503"/>
      <c r="DR278" s="503" t="str">
        <f>IF($G278="","",IF(AND($G278&gt;=30,$AT$3&lt;=DQ$7),ROUND(DQ278*($AP$3+#REF!),-1),""))</f>
        <v/>
      </c>
      <c r="DS278" s="503"/>
      <c r="DT278" s="503" t="str">
        <f>IF($G278="","",IF(AND($G278&gt;=30,$AT$3&lt;=DS$7),ROUND(DS278*($AP$3+#REF!),-1),""))</f>
        <v/>
      </c>
      <c r="DU278" s="503"/>
      <c r="DV278" s="503" t="str">
        <f>IF($G278="","",IF(AND($G278&gt;=30,$AT$3&lt;=DU$7),ROUND(DU278*($AP$3+#REF!),-1),""))</f>
        <v/>
      </c>
      <c r="DW278" s="503"/>
      <c r="DX278" s="503" t="str">
        <f>IF($G278="","",IF(AND($G278&gt;=30,$AT$3&lt;=DW$7),ROUND(DW278*($AP$3+#REF!),-1),""))</f>
        <v/>
      </c>
      <c r="DY278" s="503"/>
      <c r="DZ278" s="503" t="str">
        <f>IF($G278="","",IF(AND($G278&gt;=30,$AT$3&lt;=DY$7),ROUND(DY278*($AP$3+#REF!),-1),""))</f>
        <v/>
      </c>
      <c r="EA278" s="503"/>
      <c r="EB278" s="503" t="str">
        <f>IF($G278="","",IF(AND($G278&gt;=30,$AT$3&lt;=EA$7),ROUND(EA278*($AP$3+#REF!),-1),""))</f>
        <v/>
      </c>
      <c r="EC278" s="504" t="s">
        <v>621</v>
      </c>
      <c r="ED278" s="1124"/>
      <c r="EE278" s="325">
        <v>6</v>
      </c>
    </row>
    <row r="279" spans="1:135" ht="9.75" customHeight="1">
      <c r="A279" s="321" t="str">
        <f t="shared" si="68"/>
        <v/>
      </c>
      <c r="B279" s="567">
        <f>(ii!$D$13*12+V279)+1</f>
        <v>173</v>
      </c>
      <c r="C279" s="337">
        <f t="shared" si="72"/>
        <v>50617</v>
      </c>
      <c r="D279" s="484">
        <f t="shared" si="61"/>
        <v>2038</v>
      </c>
      <c r="E279" s="484">
        <f t="shared" si="73"/>
        <v>0.58333333333333337</v>
      </c>
      <c r="F279" s="484">
        <f t="shared" si="62"/>
        <v>2038.5833333333333</v>
      </c>
      <c r="G279" s="485" t="str">
        <f>IF(OR(C279&lt;$I$2,C279&gt;$J$3),"",(ii!$D$13*12+V279+1)/12)</f>
        <v/>
      </c>
      <c r="H279" s="486"/>
      <c r="I279" s="486"/>
      <c r="J279" s="487"/>
      <c r="K279" s="488"/>
      <c r="L279" s="548"/>
      <c r="M279" s="489" t="str">
        <f t="shared" si="63"/>
        <v/>
      </c>
      <c r="N279" s="490" t="s">
        <v>621</v>
      </c>
      <c r="O279" s="490" t="str">
        <f t="shared" si="70"/>
        <v/>
      </c>
      <c r="P279" s="491"/>
      <c r="Q279" s="491"/>
      <c r="R279" s="491" t="str">
        <f t="shared" si="71"/>
        <v/>
      </c>
      <c r="S279" s="528" t="str">
        <f t="shared" si="69"/>
        <v/>
      </c>
      <c r="T279" s="528" t="str">
        <f t="shared" si="67"/>
        <v/>
      </c>
      <c r="U279" s="493" t="str">
        <f>IF(H279="","",#REF!*12+#REF!+#REF!*12+#REF!)</f>
        <v/>
      </c>
      <c r="V279" s="338">
        <f>IF(ii!$J$3&gt;gg!C279,"",IF(AND((YEAR(C279)=YEAR($I$2)),MONTH(C279)=MONTH($I$2)),ii!$B$14*12+ii!$C$14+ii!$B$15*12+ii!$C$15-1,V278+1))</f>
        <v>172</v>
      </c>
      <c r="W279" s="339">
        <f t="shared" si="74"/>
        <v>14.333333333333334</v>
      </c>
      <c r="X279" s="494" t="s">
        <v>621</v>
      </c>
      <c r="Y279" s="495" t="s">
        <v>621</v>
      </c>
      <c r="Z279" s="496"/>
      <c r="AA279" s="497"/>
      <c r="AB279" s="498" t="e">
        <f t="shared" si="66"/>
        <v>#VALUE!</v>
      </c>
      <c r="AC279" s="484" t="str">
        <f t="shared" si="64"/>
        <v/>
      </c>
      <c r="AD279" s="495" t="str">
        <f t="shared" si="65"/>
        <v/>
      </c>
      <c r="AE279" s="499" t="s">
        <v>621</v>
      </c>
      <c r="AF279" s="500" t="s">
        <v>621</v>
      </c>
      <c r="AG279" s="556" t="s">
        <v>621</v>
      </c>
      <c r="AH279" s="503" t="str">
        <f>IF($G279="","",IF(AND($G279&gt;=30,$AT$3&lt;=AG$7),ROUND(AG279*($AP$3+#REF!),-1),""))</f>
        <v/>
      </c>
      <c r="AI279" s="506" t="s">
        <v>621</v>
      </c>
      <c r="AJ279" s="503" t="str">
        <f>IF($G279="","",IF(AND($G279&gt;=30,$AT$3&lt;=AI$7),ROUND(AI279*($AP$3+#REF!),-1),""))</f>
        <v/>
      </c>
      <c r="AK279" s="506" t="s">
        <v>621</v>
      </c>
      <c r="AL279" s="503" t="str">
        <f>IF($G279="","",IF(AND($G279&gt;=30,$AT$3&lt;=AK$7),ROUND(AK279*($AP$3+#REF!),-1),""))</f>
        <v/>
      </c>
      <c r="AM279" s="506" t="s">
        <v>621</v>
      </c>
      <c r="AN279" s="503" t="str">
        <f>IF($G279="","",IF(AND($G279&gt;=30,$AT$3&lt;=AM$7),ROUND(AM279*($AP$3+#REF!),-1),""))</f>
        <v/>
      </c>
      <c r="AO279" s="503" t="e">
        <v>#REF!</v>
      </c>
      <c r="AP279" s="503" t="str">
        <f>IF($G279="","",IF(AND($G279&gt;=30,$AT$3&lt;=AO$7),ROUND(AO279*($AP$3+#REF!),-1),""))</f>
        <v/>
      </c>
      <c r="AQ279" s="503" t="s">
        <v>621</v>
      </c>
      <c r="AR279" s="503" t="str">
        <f>IF($G279="","",IF(AND($G279&gt;=30,$AT$3&lt;=AQ$7),ROUND(AQ279*($AP$3+#REF!),-1),""))</f>
        <v/>
      </c>
      <c r="AS279" s="503" t="s">
        <v>621</v>
      </c>
      <c r="AT279" s="503" t="str">
        <f>IF($G279="","",IF(AND($G279&gt;=30,$AT$3&lt;=AS$7),ROUND(AS279*($AP$3+#REF!),-1),""))</f>
        <v/>
      </c>
      <c r="AU279" s="503" t="s">
        <v>621</v>
      </c>
      <c r="AV279" s="503" t="str">
        <f>IF($G279="","",IF(AND($G279&gt;=30,$AT$3&lt;=AU$7),ROUND(AU279*($AP$3+#REF!),-1),""))</f>
        <v/>
      </c>
      <c r="AW279" s="503" t="s">
        <v>621</v>
      </c>
      <c r="AX279" s="503" t="str">
        <f>IF($G279="","",IF(AND($G279&gt;=30,$AT$3&lt;=AW$7),ROUND(AW279*($AP$3+#REF!),-1),""))</f>
        <v/>
      </c>
      <c r="AY279" s="503" t="s">
        <v>621</v>
      </c>
      <c r="AZ279" s="503" t="str">
        <f>IF($G279="","",IF(AND($G279&gt;=30,$AT$3&lt;=AY$7),ROUND(AY279*($AP$3+#REF!),-1),""))</f>
        <v/>
      </c>
      <c r="BA279" s="503" t="s">
        <v>621</v>
      </c>
      <c r="BB279" s="503" t="str">
        <f>IF($G279="","",IF(AND($G279&gt;=30,$AT$3&lt;=BA$7),ROUND(BA279*($AP$3+#REF!),-1),""))</f>
        <v/>
      </c>
      <c r="BC279" s="503" t="s">
        <v>621</v>
      </c>
      <c r="BD279" s="503" t="str">
        <f>IF($G279="","",IF(AND($G279&gt;=30,$AT$3&lt;=BC$7),ROUND(BC279*($AP$3+#REF!),-1),""))</f>
        <v/>
      </c>
      <c r="BE279" s="503" t="s">
        <v>621</v>
      </c>
      <c r="BF279" s="503" t="str">
        <f>IF($G279="","",IF(AND($G279&gt;=30,$AT$3&lt;=BE$7),ROUND(BE279*($AP$3+#REF!),-1),""))</f>
        <v/>
      </c>
      <c r="BG279" s="503" t="s">
        <v>621</v>
      </c>
      <c r="BH279" s="503" t="str">
        <f>IF($G279="","",IF(AND($G279&gt;=30,$AT$3&lt;=BG$7),ROUND(BG279*($AP$3+#REF!),-1),""))</f>
        <v/>
      </c>
      <c r="BI279" s="503" t="s">
        <v>621</v>
      </c>
      <c r="BJ279" s="503" t="str">
        <f>IF($G279="","",IF(AND($G279&gt;=30,$AT$3&lt;=BI$7),ROUND(BI279*($AP$3+#REF!),-1),""))</f>
        <v/>
      </c>
      <c r="BK279" s="503" t="s">
        <v>621</v>
      </c>
      <c r="BL279" s="503" t="str">
        <f>IF($G279="","",IF(AND($G279&gt;=30,$AT$3&lt;=BK$7),ROUND(BK279*($AP$3+#REF!),-1),""))</f>
        <v/>
      </c>
      <c r="BM279" s="503" t="s">
        <v>621</v>
      </c>
      <c r="BN279" s="503" t="str">
        <f>IF($G279="","",IF(AND($G279&gt;=30,$AT$3&lt;=BM$7),ROUND(BM279*($AP$3+#REF!),-1),""))</f>
        <v/>
      </c>
      <c r="BO279" s="503" t="s">
        <v>621</v>
      </c>
      <c r="BP279" s="503" t="str">
        <f>IF($G279="","",IF(AND($G279&gt;=30,$AT$3&lt;=BO$7),ROUND(BO279*($AP$3+#REF!),-1),""))</f>
        <v/>
      </c>
      <c r="BQ279" s="503" t="s">
        <v>621</v>
      </c>
      <c r="BR279" s="503" t="str">
        <f>IF($G279="","",IF(AND($G279&gt;=30,$AT$3&lt;=BQ$7),ROUND(BQ279*($AP$3+#REF!),-1),""))</f>
        <v/>
      </c>
      <c r="BS279" s="503" t="s">
        <v>621</v>
      </c>
      <c r="BT279" s="503" t="str">
        <f>IF($G279="","",IF(AND($G279&gt;=30,$AT$3&lt;=BS$7),ROUND(BS279*($AP$3+#REF!),-1),""))</f>
        <v/>
      </c>
      <c r="BU279" s="503" t="s">
        <v>621</v>
      </c>
      <c r="BV279" s="503" t="str">
        <f>IF($G279="","",IF(AND($G279&gt;=30,$AT$3&lt;=BU$7),ROUND(BU279*($AP$3+#REF!),-1),""))</f>
        <v/>
      </c>
      <c r="BW279" s="503" t="s">
        <v>621</v>
      </c>
      <c r="BX279" s="503" t="str">
        <f>IF($G279="","",IF(AND($G279&gt;=30,$AT$3&lt;=BW$7),ROUND(BW279*($AP$3+#REF!),-1),""))</f>
        <v/>
      </c>
      <c r="BY279" s="517" t="e">
        <v>#REF!</v>
      </c>
      <c r="BZ279" s="503" t="str">
        <f>IF($G279="","",IF(AND($G279&gt;=30,$AT$3&lt;=BY$7),ROUND(BY279*($AP$3+#REF!),-1),""))</f>
        <v/>
      </c>
      <c r="CA279" s="502"/>
      <c r="CB279" s="503" t="str">
        <f>IF($G279="","",IF(AND($G279&gt;=30,$AT$3&lt;=CA$7),ROUND(CA279*($AP$3+#REF!),-1),""))</f>
        <v/>
      </c>
      <c r="CC279" s="503"/>
      <c r="CD279" s="503" t="str">
        <f>IF($G279="","",IF(AND($G279&gt;=30,$AT$3&lt;=CC$7),ROUND(CC279*($AP$3+#REF!),-1),""))</f>
        <v/>
      </c>
      <c r="CE279" s="502"/>
      <c r="CF279" s="503" t="str">
        <f>IF($G279="","",IF(AND($G279&gt;=30,$AT$3&lt;=CE$7),ROUND(CE279*($AP$3+#REF!),-1),""))</f>
        <v/>
      </c>
      <c r="CG279" s="503"/>
      <c r="CH279" s="503" t="str">
        <f>IF($G279="","",IF(AND($G279&gt;=30,$AT$3&lt;=CG$7),ROUND(CG279*($AP$3+#REF!),-1),""))</f>
        <v/>
      </c>
      <c r="CI279" s="502"/>
      <c r="CJ279" s="503" t="str">
        <f>IF($G279="","",IF(AND($G279&gt;=30,$AT$3&lt;=CI$7),ROUND(CI279*($AP$3+#REF!),-1),""))</f>
        <v/>
      </c>
      <c r="CK279" s="503"/>
      <c r="CL279" s="503" t="str">
        <f>IF($G279="","",IF(AND($G279&gt;=30,$AT$3&lt;=CK$7),ROUND(CK279*($AP$3+#REF!),-1),""))</f>
        <v/>
      </c>
      <c r="CM279" s="502"/>
      <c r="CN279" s="503" t="str">
        <f>IF($G279="","",IF(AND($G279&gt;=30,$AT$3&lt;=CM$7),ROUND(CM279*($AP$3+#REF!),-1),""))</f>
        <v/>
      </c>
      <c r="CO279" s="503"/>
      <c r="CP279" s="503" t="str">
        <f>IF($G279="","",IF(AND($G279&gt;=30,$AT$3&lt;=CO$7),ROUND(CO279*($AP$3+#REF!),-1),""))</f>
        <v/>
      </c>
      <c r="CQ279" s="502"/>
      <c r="CR279" s="503" t="str">
        <f>IF($G279="","",IF(AND($G279&gt;=30,$AT$3&lt;=CQ$7),ROUND(CQ279*($AP$3+#REF!),-1),""))</f>
        <v/>
      </c>
      <c r="CS279" s="503"/>
      <c r="CT279" s="503" t="str">
        <f>IF($G279="","",IF(AND($G279&gt;=30,$AT$3&lt;=CS$7),ROUND(CS279*($AP$3+#REF!),-1),""))</f>
        <v/>
      </c>
      <c r="CU279" s="502"/>
      <c r="CV279" s="503" t="str">
        <f>IF($G279="","",IF(AND($G279&gt;=30,$AT$3&lt;=CU$7),ROUND(CU279*($AP$3+#REF!),-1),""))</f>
        <v/>
      </c>
      <c r="CW279" s="503"/>
      <c r="CX279" s="503" t="str">
        <f>IF($G279="","",IF(AND($G279&gt;=30,$AT$3&lt;=CW$7),ROUND(CW279*($AP$3+#REF!),-1),""))</f>
        <v/>
      </c>
      <c r="CY279" s="502"/>
      <c r="CZ279" s="503" t="str">
        <f>IF($G279="","",IF(AND($G279&gt;=30,$AT$3&lt;=CY$7),ROUND(CY279*($AP$3+#REF!),-1),""))</f>
        <v/>
      </c>
      <c r="DA279" s="503"/>
      <c r="DB279" s="503" t="str">
        <f>IF($G279="","",IF(AND($G279&gt;=30,$AT$3&lt;=DA$7),ROUND(DA279*($AP$3+#REF!),-1),""))</f>
        <v/>
      </c>
      <c r="DC279" s="502"/>
      <c r="DD279" s="503" t="str">
        <f>IF($G279="","",IF(AND($G279&gt;=30,$AT$3&lt;=DC$7),ROUND(DC279*($AP$3+#REF!),-1),""))</f>
        <v/>
      </c>
      <c r="DE279" s="503"/>
      <c r="DF279" s="503" t="str">
        <f>IF($G279="","",IF(AND($G279&gt;=30,$AT$3&lt;=DE$7),ROUND(DE279*($AP$3+#REF!),-1),""))</f>
        <v/>
      </c>
      <c r="DG279" s="503"/>
      <c r="DH279" s="503" t="str">
        <f>IF($G279="","",IF(AND($G279&gt;=30,$AT$3&lt;=DG$7),ROUND(DG279*($AP$3+#REF!),-1),""))</f>
        <v/>
      </c>
      <c r="DI279" s="503"/>
      <c r="DJ279" s="503" t="str">
        <f>IF($G279="","",IF(AND($G279&gt;=30,$AT$3&lt;=DI$7),ROUND(DI279*($AP$3+#REF!),-1),""))</f>
        <v/>
      </c>
      <c r="DK279" s="503"/>
      <c r="DL279" s="503" t="str">
        <f>IF($G279="","",IF(AND($G279&gt;=30,$AT$3&lt;=DK$7),ROUND(DK279*($AP$3+#REF!),-1),""))</f>
        <v/>
      </c>
      <c r="DM279" s="503"/>
      <c r="DN279" s="503" t="str">
        <f>IF($G279="","",IF(AND($G279&gt;=30,$AT$3&lt;=DM$7),ROUND(DM279*($AP$3+#REF!),-1),""))</f>
        <v/>
      </c>
      <c r="DO279" s="503"/>
      <c r="DP279" s="503" t="str">
        <f>IF($G279="","",IF(AND($G279&gt;=30,$AT$3&lt;=DO$7),ROUND(DO279*($AP$3+#REF!),-1),""))</f>
        <v/>
      </c>
      <c r="DQ279" s="503"/>
      <c r="DR279" s="503" t="str">
        <f>IF($G279="","",IF(AND($G279&gt;=30,$AT$3&lt;=DQ$7),ROUND(DQ279*($AP$3+#REF!),-1),""))</f>
        <v/>
      </c>
      <c r="DS279" s="503"/>
      <c r="DT279" s="503" t="str">
        <f>IF($G279="","",IF(AND($G279&gt;=30,$AT$3&lt;=DS$7),ROUND(DS279*($AP$3+#REF!),-1),""))</f>
        <v/>
      </c>
      <c r="DU279" s="503"/>
      <c r="DV279" s="503" t="str">
        <f>IF($G279="","",IF(AND($G279&gt;=30,$AT$3&lt;=DU$7),ROUND(DU279*($AP$3+#REF!),-1),""))</f>
        <v/>
      </c>
      <c r="DW279" s="503"/>
      <c r="DX279" s="503" t="str">
        <f>IF($G279="","",IF(AND($G279&gt;=30,$AT$3&lt;=DW$7),ROUND(DW279*($AP$3+#REF!),-1),""))</f>
        <v/>
      </c>
      <c r="DY279" s="503"/>
      <c r="DZ279" s="503" t="str">
        <f>IF($G279="","",IF(AND($G279&gt;=30,$AT$3&lt;=DY$7),ROUND(DY279*($AP$3+#REF!),-1),""))</f>
        <v/>
      </c>
      <c r="EA279" s="503"/>
      <c r="EB279" s="503" t="str">
        <f>IF($G279="","",IF(AND($G279&gt;=30,$AT$3&lt;=EA$7),ROUND(EA279*($AP$3+#REF!),-1),""))</f>
        <v/>
      </c>
      <c r="EC279" s="504" t="s">
        <v>621</v>
      </c>
      <c r="ED279" s="1124"/>
      <c r="EE279" s="325">
        <v>7</v>
      </c>
    </row>
    <row r="280" spans="1:135" ht="9.75" customHeight="1">
      <c r="A280" s="321" t="str">
        <f t="shared" si="68"/>
        <v/>
      </c>
      <c r="B280" s="567">
        <f>(ii!$D$13*12+V280)+1</f>
        <v>174</v>
      </c>
      <c r="C280" s="337">
        <f t="shared" si="72"/>
        <v>50648</v>
      </c>
      <c r="D280" s="484">
        <f t="shared" si="61"/>
        <v>2038</v>
      </c>
      <c r="E280" s="484">
        <f t="shared" si="73"/>
        <v>0.66666666666666663</v>
      </c>
      <c r="F280" s="484">
        <f t="shared" si="62"/>
        <v>2038.6666666666667</v>
      </c>
      <c r="G280" s="485" t="str">
        <f>IF(OR(C280&lt;$I$2,C280&gt;$J$3),"",(ii!$D$13*12+V280+1)/12)</f>
        <v/>
      </c>
      <c r="H280" s="486"/>
      <c r="I280" s="486"/>
      <c r="J280" s="487"/>
      <c r="K280" s="488"/>
      <c r="L280" s="548"/>
      <c r="M280" s="489" t="str">
        <f t="shared" si="63"/>
        <v/>
      </c>
      <c r="N280" s="490" t="s">
        <v>621</v>
      </c>
      <c r="O280" s="490" t="str">
        <f t="shared" si="70"/>
        <v/>
      </c>
      <c r="P280" s="491"/>
      <c r="Q280" s="491"/>
      <c r="R280" s="491" t="str">
        <f t="shared" si="71"/>
        <v/>
      </c>
      <c r="S280" s="528" t="str">
        <f t="shared" si="69"/>
        <v/>
      </c>
      <c r="T280" s="528" t="str">
        <f t="shared" si="67"/>
        <v/>
      </c>
      <c r="U280" s="493" t="str">
        <f>IF(H280="","",#REF!*12+#REF!+#REF!*12+#REF!)</f>
        <v/>
      </c>
      <c r="V280" s="338">
        <f>IF(ii!$J$3&gt;gg!C280,"",IF(AND((YEAR(C280)=YEAR($I$2)),MONTH(C280)=MONTH($I$2)),ii!$B$14*12+ii!$C$14+ii!$B$15*12+ii!$C$15-1,V279+1))</f>
        <v>173</v>
      </c>
      <c r="W280" s="339">
        <f t="shared" si="74"/>
        <v>14.416666666666666</v>
      </c>
      <c r="X280" s="494" t="s">
        <v>621</v>
      </c>
      <c r="Y280" s="495" t="s">
        <v>621</v>
      </c>
      <c r="Z280" s="496"/>
      <c r="AA280" s="497"/>
      <c r="AB280" s="498" t="e">
        <f t="shared" si="66"/>
        <v>#VALUE!</v>
      </c>
      <c r="AC280" s="484" t="str">
        <f t="shared" si="64"/>
        <v/>
      </c>
      <c r="AD280" s="495" t="str">
        <f t="shared" si="65"/>
        <v/>
      </c>
      <c r="AE280" s="499" t="s">
        <v>621</v>
      </c>
      <c r="AF280" s="500" t="s">
        <v>621</v>
      </c>
      <c r="AG280" s="556" t="s">
        <v>621</v>
      </c>
      <c r="AH280" s="503" t="str">
        <f>IF($G280="","",IF(AND($G280&gt;=30,$AT$3&lt;=AG$7),ROUND(AG280*($AP$3+#REF!),-1),""))</f>
        <v/>
      </c>
      <c r="AI280" s="506" t="s">
        <v>621</v>
      </c>
      <c r="AJ280" s="503" t="str">
        <f>IF($G280="","",IF(AND($G280&gt;=30,$AT$3&lt;=AI$7),ROUND(AI280*($AP$3+#REF!),-1),""))</f>
        <v/>
      </c>
      <c r="AK280" s="506" t="s">
        <v>621</v>
      </c>
      <c r="AL280" s="503" t="str">
        <f>IF($G280="","",IF(AND($G280&gt;=30,$AT$3&lt;=AK$7),ROUND(AK280*($AP$3+#REF!),-1),""))</f>
        <v/>
      </c>
      <c r="AM280" s="506" t="s">
        <v>621</v>
      </c>
      <c r="AN280" s="503" t="str">
        <f>IF($G280="","",IF(AND($G280&gt;=30,$AT$3&lt;=AM$7),ROUND(AM280*($AP$3+#REF!),-1),""))</f>
        <v/>
      </c>
      <c r="AO280" s="503" t="e">
        <v>#REF!</v>
      </c>
      <c r="AP280" s="503" t="str">
        <f>IF($G280="","",IF(AND($G280&gt;=30,$AT$3&lt;=AO$7),ROUND(AO280*($AP$3+#REF!),-1),""))</f>
        <v/>
      </c>
      <c r="AQ280" s="503" t="s">
        <v>621</v>
      </c>
      <c r="AR280" s="503" t="str">
        <f>IF($G280="","",IF(AND($G280&gt;=30,$AT$3&lt;=AQ$7),ROUND(AQ280*($AP$3+#REF!),-1),""))</f>
        <v/>
      </c>
      <c r="AS280" s="503" t="s">
        <v>621</v>
      </c>
      <c r="AT280" s="503" t="str">
        <f>IF($G280="","",IF(AND($G280&gt;=30,$AT$3&lt;=AS$7),ROUND(AS280*($AP$3+#REF!),-1),""))</f>
        <v/>
      </c>
      <c r="AU280" s="503" t="s">
        <v>621</v>
      </c>
      <c r="AV280" s="503" t="str">
        <f>IF($G280="","",IF(AND($G280&gt;=30,$AT$3&lt;=AU$7),ROUND(AU280*($AP$3+#REF!),-1),""))</f>
        <v/>
      </c>
      <c r="AW280" s="503" t="s">
        <v>621</v>
      </c>
      <c r="AX280" s="503" t="str">
        <f>IF($G280="","",IF(AND($G280&gt;=30,$AT$3&lt;=AW$7),ROUND(AW280*($AP$3+#REF!),-1),""))</f>
        <v/>
      </c>
      <c r="AY280" s="503" t="s">
        <v>621</v>
      </c>
      <c r="AZ280" s="503" t="str">
        <f>IF($G280="","",IF(AND($G280&gt;=30,$AT$3&lt;=AY$7),ROUND(AY280*($AP$3+#REF!),-1),""))</f>
        <v/>
      </c>
      <c r="BA280" s="503" t="s">
        <v>621</v>
      </c>
      <c r="BB280" s="503" t="str">
        <f>IF($G280="","",IF(AND($G280&gt;=30,$AT$3&lt;=BA$7),ROUND(BA280*($AP$3+#REF!),-1),""))</f>
        <v/>
      </c>
      <c r="BC280" s="503" t="s">
        <v>621</v>
      </c>
      <c r="BD280" s="503" t="str">
        <f>IF($G280="","",IF(AND($G280&gt;=30,$AT$3&lt;=BC$7),ROUND(BC280*($AP$3+#REF!),-1),""))</f>
        <v/>
      </c>
      <c r="BE280" s="503" t="s">
        <v>621</v>
      </c>
      <c r="BF280" s="503" t="str">
        <f>IF($G280="","",IF(AND($G280&gt;=30,$AT$3&lt;=BE$7),ROUND(BE280*($AP$3+#REF!),-1),""))</f>
        <v/>
      </c>
      <c r="BG280" s="503" t="s">
        <v>621</v>
      </c>
      <c r="BH280" s="503" t="str">
        <f>IF($G280="","",IF(AND($G280&gt;=30,$AT$3&lt;=BG$7),ROUND(BG280*($AP$3+#REF!),-1),""))</f>
        <v/>
      </c>
      <c r="BI280" s="503" t="s">
        <v>621</v>
      </c>
      <c r="BJ280" s="503" t="str">
        <f>IF($G280="","",IF(AND($G280&gt;=30,$AT$3&lt;=BI$7),ROUND(BI280*($AP$3+#REF!),-1),""))</f>
        <v/>
      </c>
      <c r="BK280" s="503" t="s">
        <v>621</v>
      </c>
      <c r="BL280" s="503" t="str">
        <f>IF($G280="","",IF(AND($G280&gt;=30,$AT$3&lt;=BK$7),ROUND(BK280*($AP$3+#REF!),-1),""))</f>
        <v/>
      </c>
      <c r="BM280" s="503" t="s">
        <v>621</v>
      </c>
      <c r="BN280" s="503" t="str">
        <f>IF($G280="","",IF(AND($G280&gt;=30,$AT$3&lt;=BM$7),ROUND(BM280*($AP$3+#REF!),-1),""))</f>
        <v/>
      </c>
      <c r="BO280" s="503" t="s">
        <v>621</v>
      </c>
      <c r="BP280" s="503" t="str">
        <f>IF($G280="","",IF(AND($G280&gt;=30,$AT$3&lt;=BO$7),ROUND(BO280*($AP$3+#REF!),-1),""))</f>
        <v/>
      </c>
      <c r="BQ280" s="503" t="s">
        <v>621</v>
      </c>
      <c r="BR280" s="503" t="str">
        <f>IF($G280="","",IF(AND($G280&gt;=30,$AT$3&lt;=BQ$7),ROUND(BQ280*($AP$3+#REF!),-1),""))</f>
        <v/>
      </c>
      <c r="BS280" s="503" t="s">
        <v>621</v>
      </c>
      <c r="BT280" s="503" t="str">
        <f>IF($G280="","",IF(AND($G280&gt;=30,$AT$3&lt;=BS$7),ROUND(BS280*($AP$3+#REF!),-1),""))</f>
        <v/>
      </c>
      <c r="BU280" s="503" t="s">
        <v>621</v>
      </c>
      <c r="BV280" s="503" t="str">
        <f>IF($G280="","",IF(AND($G280&gt;=30,$AT$3&lt;=BU$7),ROUND(BU280*($AP$3+#REF!),-1),""))</f>
        <v/>
      </c>
      <c r="BW280" s="503" t="s">
        <v>621</v>
      </c>
      <c r="BX280" s="503" t="str">
        <f>IF($G280="","",IF(AND($G280&gt;=30,$AT$3&lt;=BW$7),ROUND(BW280*($AP$3+#REF!),-1),""))</f>
        <v/>
      </c>
      <c r="BY280" s="517" t="e">
        <v>#REF!</v>
      </c>
      <c r="BZ280" s="503" t="str">
        <f>IF($G280="","",IF(AND($G280&gt;=30,$AT$3&lt;=BY$7),ROUND(BY280*($AP$3+#REF!),-1),""))</f>
        <v/>
      </c>
      <c r="CA280" s="502"/>
      <c r="CB280" s="503" t="str">
        <f>IF($G280="","",IF(AND($G280&gt;=30,$AT$3&lt;=CA$7),ROUND(CA280*($AP$3+#REF!),-1),""))</f>
        <v/>
      </c>
      <c r="CC280" s="503"/>
      <c r="CD280" s="503" t="str">
        <f>IF($G280="","",IF(AND($G280&gt;=30,$AT$3&lt;=CC$7),ROUND(CC280*($AP$3+#REF!),-1),""))</f>
        <v/>
      </c>
      <c r="CE280" s="502"/>
      <c r="CF280" s="503" t="str">
        <f>IF($G280="","",IF(AND($G280&gt;=30,$AT$3&lt;=CE$7),ROUND(CE280*($AP$3+#REF!),-1),""))</f>
        <v/>
      </c>
      <c r="CG280" s="503"/>
      <c r="CH280" s="503" t="str">
        <f>IF($G280="","",IF(AND($G280&gt;=30,$AT$3&lt;=CG$7),ROUND(CG280*($AP$3+#REF!),-1),""))</f>
        <v/>
      </c>
      <c r="CI280" s="502"/>
      <c r="CJ280" s="503" t="str">
        <f>IF($G280="","",IF(AND($G280&gt;=30,$AT$3&lt;=CI$7),ROUND(CI280*($AP$3+#REF!),-1),""))</f>
        <v/>
      </c>
      <c r="CK280" s="503"/>
      <c r="CL280" s="503" t="str">
        <f>IF($G280="","",IF(AND($G280&gt;=30,$AT$3&lt;=CK$7),ROUND(CK280*($AP$3+#REF!),-1),""))</f>
        <v/>
      </c>
      <c r="CM280" s="502"/>
      <c r="CN280" s="503" t="str">
        <f>IF($G280="","",IF(AND($G280&gt;=30,$AT$3&lt;=CM$7),ROUND(CM280*($AP$3+#REF!),-1),""))</f>
        <v/>
      </c>
      <c r="CO280" s="503"/>
      <c r="CP280" s="503" t="str">
        <f>IF($G280="","",IF(AND($G280&gt;=30,$AT$3&lt;=CO$7),ROUND(CO280*($AP$3+#REF!),-1),""))</f>
        <v/>
      </c>
      <c r="CQ280" s="502"/>
      <c r="CR280" s="503" t="str">
        <f>IF($G280="","",IF(AND($G280&gt;=30,$AT$3&lt;=CQ$7),ROUND(CQ280*($AP$3+#REF!),-1),""))</f>
        <v/>
      </c>
      <c r="CS280" s="503"/>
      <c r="CT280" s="503" t="str">
        <f>IF($G280="","",IF(AND($G280&gt;=30,$AT$3&lt;=CS$7),ROUND(CS280*($AP$3+#REF!),-1),""))</f>
        <v/>
      </c>
      <c r="CU280" s="502"/>
      <c r="CV280" s="503" t="str">
        <f>IF($G280="","",IF(AND($G280&gt;=30,$AT$3&lt;=CU$7),ROUND(CU280*($AP$3+#REF!),-1),""))</f>
        <v/>
      </c>
      <c r="CW280" s="503"/>
      <c r="CX280" s="503" t="str">
        <f>IF($G280="","",IF(AND($G280&gt;=30,$AT$3&lt;=CW$7),ROUND(CW280*($AP$3+#REF!),-1),""))</f>
        <v/>
      </c>
      <c r="CY280" s="502"/>
      <c r="CZ280" s="503" t="str">
        <f>IF($G280="","",IF(AND($G280&gt;=30,$AT$3&lt;=CY$7),ROUND(CY280*($AP$3+#REF!),-1),""))</f>
        <v/>
      </c>
      <c r="DA280" s="503"/>
      <c r="DB280" s="503" t="str">
        <f>IF($G280="","",IF(AND($G280&gt;=30,$AT$3&lt;=DA$7),ROUND(DA280*($AP$3+#REF!),-1),""))</f>
        <v/>
      </c>
      <c r="DC280" s="502"/>
      <c r="DD280" s="503" t="str">
        <f>IF($G280="","",IF(AND($G280&gt;=30,$AT$3&lt;=DC$7),ROUND(DC280*($AP$3+#REF!),-1),""))</f>
        <v/>
      </c>
      <c r="DE280" s="503"/>
      <c r="DF280" s="503" t="str">
        <f>IF($G280="","",IF(AND($G280&gt;=30,$AT$3&lt;=DE$7),ROUND(DE280*($AP$3+#REF!),-1),""))</f>
        <v/>
      </c>
      <c r="DG280" s="503"/>
      <c r="DH280" s="503" t="str">
        <f>IF($G280="","",IF(AND($G280&gt;=30,$AT$3&lt;=DG$7),ROUND(DG280*($AP$3+#REF!),-1),""))</f>
        <v/>
      </c>
      <c r="DI280" s="503"/>
      <c r="DJ280" s="503" t="str">
        <f>IF($G280="","",IF(AND($G280&gt;=30,$AT$3&lt;=DI$7),ROUND(DI280*($AP$3+#REF!),-1),""))</f>
        <v/>
      </c>
      <c r="DK280" s="503"/>
      <c r="DL280" s="503" t="str">
        <f>IF($G280="","",IF(AND($G280&gt;=30,$AT$3&lt;=DK$7),ROUND(DK280*($AP$3+#REF!),-1),""))</f>
        <v/>
      </c>
      <c r="DM280" s="503"/>
      <c r="DN280" s="503" t="str">
        <f>IF($G280="","",IF(AND($G280&gt;=30,$AT$3&lt;=DM$7),ROUND(DM280*($AP$3+#REF!),-1),""))</f>
        <v/>
      </c>
      <c r="DO280" s="503"/>
      <c r="DP280" s="503" t="str">
        <f>IF($G280="","",IF(AND($G280&gt;=30,$AT$3&lt;=DO$7),ROUND(DO280*($AP$3+#REF!),-1),""))</f>
        <v/>
      </c>
      <c r="DQ280" s="503"/>
      <c r="DR280" s="503" t="str">
        <f>IF($G280="","",IF(AND($G280&gt;=30,$AT$3&lt;=DQ$7),ROUND(DQ280*($AP$3+#REF!),-1),""))</f>
        <v/>
      </c>
      <c r="DS280" s="503"/>
      <c r="DT280" s="503" t="str">
        <f>IF($G280="","",IF(AND($G280&gt;=30,$AT$3&lt;=DS$7),ROUND(DS280*($AP$3+#REF!),-1),""))</f>
        <v/>
      </c>
      <c r="DU280" s="503"/>
      <c r="DV280" s="503" t="str">
        <f>IF($G280="","",IF(AND($G280&gt;=30,$AT$3&lt;=DU$7),ROUND(DU280*($AP$3+#REF!),-1),""))</f>
        <v/>
      </c>
      <c r="DW280" s="503"/>
      <c r="DX280" s="503" t="str">
        <f>IF($G280="","",IF(AND($G280&gt;=30,$AT$3&lt;=DW$7),ROUND(DW280*($AP$3+#REF!),-1),""))</f>
        <v/>
      </c>
      <c r="DY280" s="503"/>
      <c r="DZ280" s="503" t="str">
        <f>IF($G280="","",IF(AND($G280&gt;=30,$AT$3&lt;=DY$7),ROUND(DY280*($AP$3+#REF!),-1),""))</f>
        <v/>
      </c>
      <c r="EA280" s="503"/>
      <c r="EB280" s="503" t="str">
        <f>IF($G280="","",IF(AND($G280&gt;=30,$AT$3&lt;=EA$7),ROUND(EA280*($AP$3+#REF!),-1),""))</f>
        <v/>
      </c>
      <c r="EC280" s="504" t="s">
        <v>621</v>
      </c>
      <c r="ED280" s="1124"/>
      <c r="EE280" s="325">
        <v>8</v>
      </c>
    </row>
    <row r="281" spans="1:135" ht="9.75" customHeight="1">
      <c r="A281" s="321" t="str">
        <f t="shared" si="68"/>
        <v/>
      </c>
      <c r="B281" s="567">
        <f>(ii!$D$13*12+V281)+1</f>
        <v>175</v>
      </c>
      <c r="C281" s="337">
        <f t="shared" si="72"/>
        <v>50678</v>
      </c>
      <c r="D281" s="484">
        <f t="shared" si="61"/>
        <v>2038</v>
      </c>
      <c r="E281" s="484">
        <f t="shared" si="73"/>
        <v>0.75</v>
      </c>
      <c r="F281" s="484">
        <f t="shared" si="62"/>
        <v>2038.75</v>
      </c>
      <c r="G281" s="485" t="str">
        <f>IF(OR(C281&lt;$I$2,C281&gt;$J$3),"",(ii!$D$13*12+V281+1)/12)</f>
        <v/>
      </c>
      <c r="H281" s="486"/>
      <c r="I281" s="486"/>
      <c r="J281" s="487"/>
      <c r="K281" s="488"/>
      <c r="L281" s="548"/>
      <c r="M281" s="489" t="str">
        <f t="shared" si="63"/>
        <v/>
      </c>
      <c r="N281" s="490" t="s">
        <v>621</v>
      </c>
      <c r="O281" s="490" t="str">
        <f t="shared" si="70"/>
        <v/>
      </c>
      <c r="P281" s="491"/>
      <c r="Q281" s="491"/>
      <c r="R281" s="491" t="str">
        <f t="shared" si="71"/>
        <v/>
      </c>
      <c r="S281" s="528" t="str">
        <f t="shared" si="69"/>
        <v/>
      </c>
      <c r="T281" s="528" t="str">
        <f t="shared" si="67"/>
        <v/>
      </c>
      <c r="U281" s="493" t="str">
        <f>IF(H281="","",#REF!*12+#REF!+#REF!*12+#REF!)</f>
        <v/>
      </c>
      <c r="V281" s="338">
        <f>IF(ii!$J$3&gt;gg!C281,"",IF(AND((YEAR(C281)=YEAR($I$2)),MONTH(C281)=MONTH($I$2)),ii!$B$14*12+ii!$C$14+ii!$B$15*12+ii!$C$15-1,V280+1))</f>
        <v>174</v>
      </c>
      <c r="W281" s="339">
        <f t="shared" si="74"/>
        <v>14.5</v>
      </c>
      <c r="X281" s="494" t="s">
        <v>621</v>
      </c>
      <c r="Y281" s="495" t="s">
        <v>621</v>
      </c>
      <c r="Z281" s="496"/>
      <c r="AA281" s="497"/>
      <c r="AB281" s="498" t="e">
        <f t="shared" si="66"/>
        <v>#VALUE!</v>
      </c>
      <c r="AC281" s="484" t="str">
        <f t="shared" si="64"/>
        <v/>
      </c>
      <c r="AD281" s="495" t="str">
        <f t="shared" si="65"/>
        <v/>
      </c>
      <c r="AE281" s="499" t="s">
        <v>621</v>
      </c>
      <c r="AF281" s="500" t="s">
        <v>621</v>
      </c>
      <c r="AG281" s="556" t="s">
        <v>621</v>
      </c>
      <c r="AH281" s="503" t="str">
        <f>IF($G281="","",IF(AND($G281&gt;=30,$AT$3&lt;=AG$7),ROUND(AG281*($AP$3+#REF!),-1),""))</f>
        <v/>
      </c>
      <c r="AI281" s="506" t="s">
        <v>621</v>
      </c>
      <c r="AJ281" s="503" t="str">
        <f>IF($G281="","",IF(AND($G281&gt;=30,$AT$3&lt;=AI$7),ROUND(AI281*($AP$3+#REF!),-1),""))</f>
        <v/>
      </c>
      <c r="AK281" s="506" t="s">
        <v>621</v>
      </c>
      <c r="AL281" s="503" t="str">
        <f>IF($G281="","",IF(AND($G281&gt;=30,$AT$3&lt;=AK$7),ROUND(AK281*($AP$3+#REF!),-1),""))</f>
        <v/>
      </c>
      <c r="AM281" s="506" t="s">
        <v>621</v>
      </c>
      <c r="AN281" s="503" t="str">
        <f>IF($G281="","",IF(AND($G281&gt;=30,$AT$3&lt;=AM$7),ROUND(AM281*($AP$3+#REF!),-1),""))</f>
        <v/>
      </c>
      <c r="AO281" s="503" t="e">
        <v>#REF!</v>
      </c>
      <c r="AP281" s="503" t="str">
        <f>IF($G281="","",IF(AND($G281&gt;=30,$AT$3&lt;=AO$7),ROUND(AO281*($AP$3+#REF!),-1),""))</f>
        <v/>
      </c>
      <c r="AQ281" s="503" t="s">
        <v>621</v>
      </c>
      <c r="AR281" s="503" t="str">
        <f>IF($G281="","",IF(AND($G281&gt;=30,$AT$3&lt;=AQ$7),ROUND(AQ281*($AP$3+#REF!),-1),""))</f>
        <v/>
      </c>
      <c r="AS281" s="503" t="s">
        <v>621</v>
      </c>
      <c r="AT281" s="503" t="str">
        <f>IF($G281="","",IF(AND($G281&gt;=30,$AT$3&lt;=AS$7),ROUND(AS281*($AP$3+#REF!),-1),""))</f>
        <v/>
      </c>
      <c r="AU281" s="503" t="s">
        <v>621</v>
      </c>
      <c r="AV281" s="503" t="str">
        <f>IF($G281="","",IF(AND($G281&gt;=30,$AT$3&lt;=AU$7),ROUND(AU281*($AP$3+#REF!),-1),""))</f>
        <v/>
      </c>
      <c r="AW281" s="503" t="s">
        <v>621</v>
      </c>
      <c r="AX281" s="503" t="str">
        <f>IF($G281="","",IF(AND($G281&gt;=30,$AT$3&lt;=AW$7),ROUND(AW281*($AP$3+#REF!),-1),""))</f>
        <v/>
      </c>
      <c r="AY281" s="503" t="s">
        <v>621</v>
      </c>
      <c r="AZ281" s="503" t="str">
        <f>IF($G281="","",IF(AND($G281&gt;=30,$AT$3&lt;=AY$7),ROUND(AY281*($AP$3+#REF!),-1),""))</f>
        <v/>
      </c>
      <c r="BA281" s="503" t="s">
        <v>621</v>
      </c>
      <c r="BB281" s="503" t="str">
        <f>IF($G281="","",IF(AND($G281&gt;=30,$AT$3&lt;=BA$7),ROUND(BA281*($AP$3+#REF!),-1),""))</f>
        <v/>
      </c>
      <c r="BC281" s="503" t="s">
        <v>621</v>
      </c>
      <c r="BD281" s="503" t="str">
        <f>IF($G281="","",IF(AND($G281&gt;=30,$AT$3&lt;=BC$7),ROUND(BC281*($AP$3+#REF!),-1),""))</f>
        <v/>
      </c>
      <c r="BE281" s="503" t="s">
        <v>621</v>
      </c>
      <c r="BF281" s="503" t="str">
        <f>IF($G281="","",IF(AND($G281&gt;=30,$AT$3&lt;=BE$7),ROUND(BE281*($AP$3+#REF!),-1),""))</f>
        <v/>
      </c>
      <c r="BG281" s="503" t="s">
        <v>621</v>
      </c>
      <c r="BH281" s="503" t="str">
        <f>IF($G281="","",IF(AND($G281&gt;=30,$AT$3&lt;=BG$7),ROUND(BG281*($AP$3+#REF!),-1),""))</f>
        <v/>
      </c>
      <c r="BI281" s="503" t="s">
        <v>621</v>
      </c>
      <c r="BJ281" s="503" t="str">
        <f>IF($G281="","",IF(AND($G281&gt;=30,$AT$3&lt;=BI$7),ROUND(BI281*($AP$3+#REF!),-1),""))</f>
        <v/>
      </c>
      <c r="BK281" s="503" t="s">
        <v>621</v>
      </c>
      <c r="BL281" s="503" t="str">
        <f>IF($G281="","",IF(AND($G281&gt;=30,$AT$3&lt;=BK$7),ROUND(BK281*($AP$3+#REF!),-1),""))</f>
        <v/>
      </c>
      <c r="BM281" s="503" t="s">
        <v>621</v>
      </c>
      <c r="BN281" s="503" t="str">
        <f>IF($G281="","",IF(AND($G281&gt;=30,$AT$3&lt;=BM$7),ROUND(BM281*($AP$3+#REF!),-1),""))</f>
        <v/>
      </c>
      <c r="BO281" s="503" t="s">
        <v>621</v>
      </c>
      <c r="BP281" s="503" t="str">
        <f>IF($G281="","",IF(AND($G281&gt;=30,$AT$3&lt;=BO$7),ROUND(BO281*($AP$3+#REF!),-1),""))</f>
        <v/>
      </c>
      <c r="BQ281" s="503" t="s">
        <v>621</v>
      </c>
      <c r="BR281" s="503" t="str">
        <f>IF($G281="","",IF(AND($G281&gt;=30,$AT$3&lt;=BQ$7),ROUND(BQ281*($AP$3+#REF!),-1),""))</f>
        <v/>
      </c>
      <c r="BS281" s="503" t="s">
        <v>621</v>
      </c>
      <c r="BT281" s="503" t="str">
        <f>IF($G281="","",IF(AND($G281&gt;=30,$AT$3&lt;=BS$7),ROUND(BS281*($AP$3+#REF!),-1),""))</f>
        <v/>
      </c>
      <c r="BU281" s="503" t="s">
        <v>621</v>
      </c>
      <c r="BV281" s="503" t="str">
        <f>IF($G281="","",IF(AND($G281&gt;=30,$AT$3&lt;=BU$7),ROUND(BU281*($AP$3+#REF!),-1),""))</f>
        <v/>
      </c>
      <c r="BW281" s="503" t="s">
        <v>621</v>
      </c>
      <c r="BX281" s="503" t="str">
        <f>IF($G281="","",IF(AND($G281&gt;=30,$AT$3&lt;=BW$7),ROUND(BW281*($AP$3+#REF!),-1),""))</f>
        <v/>
      </c>
      <c r="BY281" s="517" t="e">
        <v>#REF!</v>
      </c>
      <c r="BZ281" s="503" t="str">
        <f>IF($G281="","",IF(AND($G281&gt;=30,$AT$3&lt;=BY$7),ROUND(BY281*($AP$3+#REF!),-1),""))</f>
        <v/>
      </c>
      <c r="CA281" s="502"/>
      <c r="CB281" s="503" t="str">
        <f>IF($G281="","",IF(AND($G281&gt;=30,$AT$3&lt;=CA$7),ROUND(CA281*($AP$3+#REF!),-1),""))</f>
        <v/>
      </c>
      <c r="CC281" s="503"/>
      <c r="CD281" s="503" t="str">
        <f>IF($G281="","",IF(AND($G281&gt;=30,$AT$3&lt;=CC$7),ROUND(CC281*($AP$3+#REF!),-1),""))</f>
        <v/>
      </c>
      <c r="CE281" s="502"/>
      <c r="CF281" s="503" t="str">
        <f>IF($G281="","",IF(AND($G281&gt;=30,$AT$3&lt;=CE$7),ROUND(CE281*($AP$3+#REF!),-1),""))</f>
        <v/>
      </c>
      <c r="CG281" s="503"/>
      <c r="CH281" s="503" t="str">
        <f>IF($G281="","",IF(AND($G281&gt;=30,$AT$3&lt;=CG$7),ROUND(CG281*($AP$3+#REF!),-1),""))</f>
        <v/>
      </c>
      <c r="CI281" s="502"/>
      <c r="CJ281" s="503" t="str">
        <f>IF($G281="","",IF(AND($G281&gt;=30,$AT$3&lt;=CI$7),ROUND(CI281*($AP$3+#REF!),-1),""))</f>
        <v/>
      </c>
      <c r="CK281" s="503"/>
      <c r="CL281" s="503" t="str">
        <f>IF($G281="","",IF(AND($G281&gt;=30,$AT$3&lt;=CK$7),ROUND(CK281*($AP$3+#REF!),-1),""))</f>
        <v/>
      </c>
      <c r="CM281" s="502"/>
      <c r="CN281" s="503" t="str">
        <f>IF($G281="","",IF(AND($G281&gt;=30,$AT$3&lt;=CM$7),ROUND(CM281*($AP$3+#REF!),-1),""))</f>
        <v/>
      </c>
      <c r="CO281" s="503"/>
      <c r="CP281" s="503" t="str">
        <f>IF($G281="","",IF(AND($G281&gt;=30,$AT$3&lt;=CO$7),ROUND(CO281*($AP$3+#REF!),-1),""))</f>
        <v/>
      </c>
      <c r="CQ281" s="502"/>
      <c r="CR281" s="503" t="str">
        <f>IF($G281="","",IF(AND($G281&gt;=30,$AT$3&lt;=CQ$7),ROUND(CQ281*($AP$3+#REF!),-1),""))</f>
        <v/>
      </c>
      <c r="CS281" s="503"/>
      <c r="CT281" s="503" t="str">
        <f>IF($G281="","",IF(AND($G281&gt;=30,$AT$3&lt;=CS$7),ROUND(CS281*($AP$3+#REF!),-1),""))</f>
        <v/>
      </c>
      <c r="CU281" s="502"/>
      <c r="CV281" s="503" t="str">
        <f>IF($G281="","",IF(AND($G281&gt;=30,$AT$3&lt;=CU$7),ROUND(CU281*($AP$3+#REF!),-1),""))</f>
        <v/>
      </c>
      <c r="CW281" s="503"/>
      <c r="CX281" s="503" t="str">
        <f>IF($G281="","",IF(AND($G281&gt;=30,$AT$3&lt;=CW$7),ROUND(CW281*($AP$3+#REF!),-1),""))</f>
        <v/>
      </c>
      <c r="CY281" s="502"/>
      <c r="CZ281" s="503" t="str">
        <f>IF($G281="","",IF(AND($G281&gt;=30,$AT$3&lt;=CY$7),ROUND(CY281*($AP$3+#REF!),-1),""))</f>
        <v/>
      </c>
      <c r="DA281" s="503"/>
      <c r="DB281" s="503" t="str">
        <f>IF($G281="","",IF(AND($G281&gt;=30,$AT$3&lt;=DA$7),ROUND(DA281*($AP$3+#REF!),-1),""))</f>
        <v/>
      </c>
      <c r="DC281" s="502"/>
      <c r="DD281" s="503" t="str">
        <f>IF($G281="","",IF(AND($G281&gt;=30,$AT$3&lt;=DC$7),ROUND(DC281*($AP$3+#REF!),-1),""))</f>
        <v/>
      </c>
      <c r="DE281" s="503"/>
      <c r="DF281" s="503" t="str">
        <f>IF($G281="","",IF(AND($G281&gt;=30,$AT$3&lt;=DE$7),ROUND(DE281*($AP$3+#REF!),-1),""))</f>
        <v/>
      </c>
      <c r="DG281" s="503"/>
      <c r="DH281" s="503" t="str">
        <f>IF($G281="","",IF(AND($G281&gt;=30,$AT$3&lt;=DG$7),ROUND(DG281*($AP$3+#REF!),-1),""))</f>
        <v/>
      </c>
      <c r="DI281" s="503"/>
      <c r="DJ281" s="503" t="str">
        <f>IF($G281="","",IF(AND($G281&gt;=30,$AT$3&lt;=DI$7),ROUND(DI281*($AP$3+#REF!),-1),""))</f>
        <v/>
      </c>
      <c r="DK281" s="503"/>
      <c r="DL281" s="503" t="str">
        <f>IF($G281="","",IF(AND($G281&gt;=30,$AT$3&lt;=DK$7),ROUND(DK281*($AP$3+#REF!),-1),""))</f>
        <v/>
      </c>
      <c r="DM281" s="503"/>
      <c r="DN281" s="503" t="str">
        <f>IF($G281="","",IF(AND($G281&gt;=30,$AT$3&lt;=DM$7),ROUND(DM281*($AP$3+#REF!),-1),""))</f>
        <v/>
      </c>
      <c r="DO281" s="503"/>
      <c r="DP281" s="503" t="str">
        <f>IF($G281="","",IF(AND($G281&gt;=30,$AT$3&lt;=DO$7),ROUND(DO281*($AP$3+#REF!),-1),""))</f>
        <v/>
      </c>
      <c r="DQ281" s="503"/>
      <c r="DR281" s="503" t="str">
        <f>IF($G281="","",IF(AND($G281&gt;=30,$AT$3&lt;=DQ$7),ROUND(DQ281*($AP$3+#REF!),-1),""))</f>
        <v/>
      </c>
      <c r="DS281" s="503"/>
      <c r="DT281" s="503" t="str">
        <f>IF($G281="","",IF(AND($G281&gt;=30,$AT$3&lt;=DS$7),ROUND(DS281*($AP$3+#REF!),-1),""))</f>
        <v/>
      </c>
      <c r="DU281" s="503"/>
      <c r="DV281" s="503" t="str">
        <f>IF($G281="","",IF(AND($G281&gt;=30,$AT$3&lt;=DU$7),ROUND(DU281*($AP$3+#REF!),-1),""))</f>
        <v/>
      </c>
      <c r="DW281" s="503"/>
      <c r="DX281" s="503" t="str">
        <f>IF($G281="","",IF(AND($G281&gt;=30,$AT$3&lt;=DW$7),ROUND(DW281*($AP$3+#REF!),-1),""))</f>
        <v/>
      </c>
      <c r="DY281" s="503"/>
      <c r="DZ281" s="503" t="str">
        <f>IF($G281="","",IF(AND($G281&gt;=30,$AT$3&lt;=DY$7),ROUND(DY281*($AP$3+#REF!),-1),""))</f>
        <v/>
      </c>
      <c r="EA281" s="503"/>
      <c r="EB281" s="503" t="str">
        <f>IF($G281="","",IF(AND($G281&gt;=30,$AT$3&lt;=EA$7),ROUND(EA281*($AP$3+#REF!),-1),""))</f>
        <v/>
      </c>
      <c r="EC281" s="504" t="s">
        <v>621</v>
      </c>
      <c r="ED281" s="1124"/>
      <c r="EE281" s="325">
        <v>9</v>
      </c>
    </row>
    <row r="282" spans="1:135" ht="9.75" customHeight="1">
      <c r="A282" s="321" t="str">
        <f t="shared" si="68"/>
        <v/>
      </c>
      <c r="B282" s="567">
        <f>(ii!$D$13*12+V282)+1</f>
        <v>176</v>
      </c>
      <c r="C282" s="337">
        <f t="shared" si="72"/>
        <v>50709</v>
      </c>
      <c r="D282" s="484">
        <f t="shared" ref="D282:D345" si="75">YEAR(C282)</f>
        <v>2038</v>
      </c>
      <c r="E282" s="484">
        <f t="shared" si="73"/>
        <v>0.83333333333333337</v>
      </c>
      <c r="F282" s="484">
        <f t="shared" ref="F282:F345" si="76">D282+E282</f>
        <v>2038.8333333333333</v>
      </c>
      <c r="G282" s="485" t="str">
        <f>IF(OR(C282&lt;$I$2,C282&gt;$J$3),"",(ii!$D$13*12+V282+1)/12)</f>
        <v/>
      </c>
      <c r="H282" s="486"/>
      <c r="I282" s="486"/>
      <c r="J282" s="487"/>
      <c r="K282" s="488"/>
      <c r="L282" s="548"/>
      <c r="M282" s="489" t="str">
        <f t="shared" ref="M282:M345" si="77">IF(K282="","",IF(OR(J280=0,J279=0,J280=""),"",(J282-J281)/J281))</f>
        <v/>
      </c>
      <c r="N282" s="490" t="s">
        <v>621</v>
      </c>
      <c r="O282" s="490" t="str">
        <f t="shared" si="70"/>
        <v/>
      </c>
      <c r="P282" s="491"/>
      <c r="Q282" s="491"/>
      <c r="R282" s="491" t="str">
        <f t="shared" si="71"/>
        <v/>
      </c>
      <c r="S282" s="528" t="str">
        <f t="shared" si="69"/>
        <v/>
      </c>
      <c r="T282" s="528" t="str">
        <f t="shared" si="67"/>
        <v/>
      </c>
      <c r="U282" s="493" t="str">
        <f>IF(H282="","",#REF!*12+#REF!+#REF!*12+#REF!)</f>
        <v/>
      </c>
      <c r="V282" s="338">
        <f>IF(ii!$J$3&gt;gg!C282,"",IF(AND((YEAR(C282)=YEAR($I$2)),MONTH(C282)=MONTH($I$2)),ii!$B$14*12+ii!$C$14+ii!$B$15*12+ii!$C$15-1,V281+1))</f>
        <v>175</v>
      </c>
      <c r="W282" s="339">
        <f t="shared" si="74"/>
        <v>14.583333333333334</v>
      </c>
      <c r="X282" s="494" t="s">
        <v>621</v>
      </c>
      <c r="Y282" s="495" t="s">
        <v>621</v>
      </c>
      <c r="Z282" s="496"/>
      <c r="AA282" s="497"/>
      <c r="AB282" s="498" t="e">
        <f t="shared" si="66"/>
        <v>#VALUE!</v>
      </c>
      <c r="AC282" s="484" t="str">
        <f t="shared" si="64"/>
        <v/>
      </c>
      <c r="AD282" s="495" t="str">
        <f t="shared" si="65"/>
        <v/>
      </c>
      <c r="AE282" s="499" t="s">
        <v>621</v>
      </c>
      <c r="AF282" s="500" t="s">
        <v>621</v>
      </c>
      <c r="AG282" s="556" t="s">
        <v>621</v>
      </c>
      <c r="AH282" s="503" t="str">
        <f>IF($G282="","",IF(AND($G282&gt;=30,$AT$3&lt;=AG$7),ROUND(AG282*($AP$3+#REF!),-1),""))</f>
        <v/>
      </c>
      <c r="AI282" s="506" t="s">
        <v>621</v>
      </c>
      <c r="AJ282" s="503" t="str">
        <f>IF($G282="","",IF(AND($G282&gt;=30,$AT$3&lt;=AI$7),ROUND(AI282*($AP$3+#REF!),-1),""))</f>
        <v/>
      </c>
      <c r="AK282" s="506" t="s">
        <v>621</v>
      </c>
      <c r="AL282" s="503" t="str">
        <f>IF($G282="","",IF(AND($G282&gt;=30,$AT$3&lt;=AK$7),ROUND(AK282*($AP$3+#REF!),-1),""))</f>
        <v/>
      </c>
      <c r="AM282" s="506" t="s">
        <v>621</v>
      </c>
      <c r="AN282" s="503" t="str">
        <f>IF($G282="","",IF(AND($G282&gt;=30,$AT$3&lt;=AM$7),ROUND(AM282*($AP$3+#REF!),-1),""))</f>
        <v/>
      </c>
      <c r="AO282" s="503" t="e">
        <v>#REF!</v>
      </c>
      <c r="AP282" s="503" t="str">
        <f>IF($G282="","",IF(AND($G282&gt;=30,$AT$3&lt;=AO$7),ROUND(AO282*($AP$3+#REF!),-1),""))</f>
        <v/>
      </c>
      <c r="AQ282" s="503" t="s">
        <v>621</v>
      </c>
      <c r="AR282" s="503" t="str">
        <f>IF($G282="","",IF(AND($G282&gt;=30,$AT$3&lt;=AQ$7),ROUND(AQ282*($AP$3+#REF!),-1),""))</f>
        <v/>
      </c>
      <c r="AS282" s="503" t="s">
        <v>621</v>
      </c>
      <c r="AT282" s="503" t="str">
        <f>IF($G282="","",IF(AND($G282&gt;=30,$AT$3&lt;=AS$7),ROUND(AS282*($AP$3+#REF!),-1),""))</f>
        <v/>
      </c>
      <c r="AU282" s="503" t="s">
        <v>621</v>
      </c>
      <c r="AV282" s="503" t="str">
        <f>IF($G282="","",IF(AND($G282&gt;=30,$AT$3&lt;=AU$7),ROUND(AU282*($AP$3+#REF!),-1),""))</f>
        <v/>
      </c>
      <c r="AW282" s="503" t="s">
        <v>621</v>
      </c>
      <c r="AX282" s="503" t="str">
        <f>IF($G282="","",IF(AND($G282&gt;=30,$AT$3&lt;=AW$7),ROUND(AW282*($AP$3+#REF!),-1),""))</f>
        <v/>
      </c>
      <c r="AY282" s="503" t="s">
        <v>621</v>
      </c>
      <c r="AZ282" s="503" t="str">
        <f>IF($G282="","",IF(AND($G282&gt;=30,$AT$3&lt;=AY$7),ROUND(AY282*($AP$3+#REF!),-1),""))</f>
        <v/>
      </c>
      <c r="BA282" s="503" t="s">
        <v>621</v>
      </c>
      <c r="BB282" s="503" t="str">
        <f>IF($G282="","",IF(AND($G282&gt;=30,$AT$3&lt;=BA$7),ROUND(BA282*($AP$3+#REF!),-1),""))</f>
        <v/>
      </c>
      <c r="BC282" s="503" t="s">
        <v>621</v>
      </c>
      <c r="BD282" s="503" t="str">
        <f>IF($G282="","",IF(AND($G282&gt;=30,$AT$3&lt;=BC$7),ROUND(BC282*($AP$3+#REF!),-1),""))</f>
        <v/>
      </c>
      <c r="BE282" s="503" t="s">
        <v>621</v>
      </c>
      <c r="BF282" s="503" t="str">
        <f>IF($G282="","",IF(AND($G282&gt;=30,$AT$3&lt;=BE$7),ROUND(BE282*($AP$3+#REF!),-1),""))</f>
        <v/>
      </c>
      <c r="BG282" s="503" t="s">
        <v>621</v>
      </c>
      <c r="BH282" s="503" t="str">
        <f>IF($G282="","",IF(AND($G282&gt;=30,$AT$3&lt;=BG$7),ROUND(BG282*($AP$3+#REF!),-1),""))</f>
        <v/>
      </c>
      <c r="BI282" s="503" t="s">
        <v>621</v>
      </c>
      <c r="BJ282" s="503" t="str">
        <f>IF($G282="","",IF(AND($G282&gt;=30,$AT$3&lt;=BI$7),ROUND(BI282*($AP$3+#REF!),-1),""))</f>
        <v/>
      </c>
      <c r="BK282" s="503" t="s">
        <v>621</v>
      </c>
      <c r="BL282" s="503" t="str">
        <f>IF($G282="","",IF(AND($G282&gt;=30,$AT$3&lt;=BK$7),ROUND(BK282*($AP$3+#REF!),-1),""))</f>
        <v/>
      </c>
      <c r="BM282" s="503" t="s">
        <v>621</v>
      </c>
      <c r="BN282" s="503" t="str">
        <f>IF($G282="","",IF(AND($G282&gt;=30,$AT$3&lt;=BM$7),ROUND(BM282*($AP$3+#REF!),-1),""))</f>
        <v/>
      </c>
      <c r="BO282" s="503" t="s">
        <v>621</v>
      </c>
      <c r="BP282" s="503" t="str">
        <f>IF($G282="","",IF(AND($G282&gt;=30,$AT$3&lt;=BO$7),ROUND(BO282*($AP$3+#REF!),-1),""))</f>
        <v/>
      </c>
      <c r="BQ282" s="503" t="s">
        <v>621</v>
      </c>
      <c r="BR282" s="503" t="str">
        <f>IF($G282="","",IF(AND($G282&gt;=30,$AT$3&lt;=BQ$7),ROUND(BQ282*($AP$3+#REF!),-1),""))</f>
        <v/>
      </c>
      <c r="BS282" s="503" t="s">
        <v>621</v>
      </c>
      <c r="BT282" s="503" t="str">
        <f>IF($G282="","",IF(AND($G282&gt;=30,$AT$3&lt;=BS$7),ROUND(BS282*($AP$3+#REF!),-1),""))</f>
        <v/>
      </c>
      <c r="BU282" s="503" t="s">
        <v>621</v>
      </c>
      <c r="BV282" s="503" t="str">
        <f>IF($G282="","",IF(AND($G282&gt;=30,$AT$3&lt;=BU$7),ROUND(BU282*($AP$3+#REF!),-1),""))</f>
        <v/>
      </c>
      <c r="BW282" s="503" t="s">
        <v>621</v>
      </c>
      <c r="BX282" s="503" t="str">
        <f>IF($G282="","",IF(AND($G282&gt;=30,$AT$3&lt;=BW$7),ROUND(BW282*($AP$3+#REF!),-1),""))</f>
        <v/>
      </c>
      <c r="BY282" s="517" t="e">
        <v>#REF!</v>
      </c>
      <c r="BZ282" s="503" t="str">
        <f>IF($G282="","",IF(AND($G282&gt;=30,$AT$3&lt;=BY$7),ROUND(BY282*($AP$3+#REF!),-1),""))</f>
        <v/>
      </c>
      <c r="CA282" s="502"/>
      <c r="CB282" s="503" t="str">
        <f>IF($G282="","",IF(AND($G282&gt;=30,$AT$3&lt;=CA$7),ROUND(CA282*($AP$3+#REF!),-1),""))</f>
        <v/>
      </c>
      <c r="CC282" s="503"/>
      <c r="CD282" s="503" t="str">
        <f>IF($G282="","",IF(AND($G282&gt;=30,$AT$3&lt;=CC$7),ROUND(CC282*($AP$3+#REF!),-1),""))</f>
        <v/>
      </c>
      <c r="CE282" s="502"/>
      <c r="CF282" s="503" t="str">
        <f>IF($G282="","",IF(AND($G282&gt;=30,$AT$3&lt;=CE$7),ROUND(CE282*($AP$3+#REF!),-1),""))</f>
        <v/>
      </c>
      <c r="CG282" s="503"/>
      <c r="CH282" s="503" t="str">
        <f>IF($G282="","",IF(AND($G282&gt;=30,$AT$3&lt;=CG$7),ROUND(CG282*($AP$3+#REF!),-1),""))</f>
        <v/>
      </c>
      <c r="CI282" s="502"/>
      <c r="CJ282" s="503" t="str">
        <f>IF($G282="","",IF(AND($G282&gt;=30,$AT$3&lt;=CI$7),ROUND(CI282*($AP$3+#REF!),-1),""))</f>
        <v/>
      </c>
      <c r="CK282" s="503"/>
      <c r="CL282" s="503" t="str">
        <f>IF($G282="","",IF(AND($G282&gt;=30,$AT$3&lt;=CK$7),ROUND(CK282*($AP$3+#REF!),-1),""))</f>
        <v/>
      </c>
      <c r="CM282" s="502"/>
      <c r="CN282" s="503" t="str">
        <f>IF($G282="","",IF(AND($G282&gt;=30,$AT$3&lt;=CM$7),ROUND(CM282*($AP$3+#REF!),-1),""))</f>
        <v/>
      </c>
      <c r="CO282" s="503"/>
      <c r="CP282" s="503" t="str">
        <f>IF($G282="","",IF(AND($G282&gt;=30,$AT$3&lt;=CO$7),ROUND(CO282*($AP$3+#REF!),-1),""))</f>
        <v/>
      </c>
      <c r="CQ282" s="502"/>
      <c r="CR282" s="503" t="str">
        <f>IF($G282="","",IF(AND($G282&gt;=30,$AT$3&lt;=CQ$7),ROUND(CQ282*($AP$3+#REF!),-1),""))</f>
        <v/>
      </c>
      <c r="CS282" s="503"/>
      <c r="CT282" s="503" t="str">
        <f>IF($G282="","",IF(AND($G282&gt;=30,$AT$3&lt;=CS$7),ROUND(CS282*($AP$3+#REF!),-1),""))</f>
        <v/>
      </c>
      <c r="CU282" s="502"/>
      <c r="CV282" s="503" t="str">
        <f>IF($G282="","",IF(AND($G282&gt;=30,$AT$3&lt;=CU$7),ROUND(CU282*($AP$3+#REF!),-1),""))</f>
        <v/>
      </c>
      <c r="CW282" s="503"/>
      <c r="CX282" s="503" t="str">
        <f>IF($G282="","",IF(AND($G282&gt;=30,$AT$3&lt;=CW$7),ROUND(CW282*($AP$3+#REF!),-1),""))</f>
        <v/>
      </c>
      <c r="CY282" s="502"/>
      <c r="CZ282" s="503" t="str">
        <f>IF($G282="","",IF(AND($G282&gt;=30,$AT$3&lt;=CY$7),ROUND(CY282*($AP$3+#REF!),-1),""))</f>
        <v/>
      </c>
      <c r="DA282" s="503"/>
      <c r="DB282" s="503" t="str">
        <f>IF($G282="","",IF(AND($G282&gt;=30,$AT$3&lt;=DA$7),ROUND(DA282*($AP$3+#REF!),-1),""))</f>
        <v/>
      </c>
      <c r="DC282" s="502"/>
      <c r="DD282" s="503" t="str">
        <f>IF($G282="","",IF(AND($G282&gt;=30,$AT$3&lt;=DC$7),ROUND(DC282*($AP$3+#REF!),-1),""))</f>
        <v/>
      </c>
      <c r="DE282" s="503"/>
      <c r="DF282" s="503" t="str">
        <f>IF($G282="","",IF(AND($G282&gt;=30,$AT$3&lt;=DE$7),ROUND(DE282*($AP$3+#REF!),-1),""))</f>
        <v/>
      </c>
      <c r="DG282" s="503"/>
      <c r="DH282" s="503" t="str">
        <f>IF($G282="","",IF(AND($G282&gt;=30,$AT$3&lt;=DG$7),ROUND(DG282*($AP$3+#REF!),-1),""))</f>
        <v/>
      </c>
      <c r="DI282" s="503"/>
      <c r="DJ282" s="503" t="str">
        <f>IF($G282="","",IF(AND($G282&gt;=30,$AT$3&lt;=DI$7),ROUND(DI282*($AP$3+#REF!),-1),""))</f>
        <v/>
      </c>
      <c r="DK282" s="503"/>
      <c r="DL282" s="503" t="str">
        <f>IF($G282="","",IF(AND($G282&gt;=30,$AT$3&lt;=DK$7),ROUND(DK282*($AP$3+#REF!),-1),""))</f>
        <v/>
      </c>
      <c r="DM282" s="503"/>
      <c r="DN282" s="503" t="str">
        <f>IF($G282="","",IF(AND($G282&gt;=30,$AT$3&lt;=DM$7),ROUND(DM282*($AP$3+#REF!),-1),""))</f>
        <v/>
      </c>
      <c r="DO282" s="503"/>
      <c r="DP282" s="503" t="str">
        <f>IF($G282="","",IF(AND($G282&gt;=30,$AT$3&lt;=DO$7),ROUND(DO282*($AP$3+#REF!),-1),""))</f>
        <v/>
      </c>
      <c r="DQ282" s="503"/>
      <c r="DR282" s="503" t="str">
        <f>IF($G282="","",IF(AND($G282&gt;=30,$AT$3&lt;=DQ$7),ROUND(DQ282*($AP$3+#REF!),-1),""))</f>
        <v/>
      </c>
      <c r="DS282" s="503"/>
      <c r="DT282" s="503" t="str">
        <f>IF($G282="","",IF(AND($G282&gt;=30,$AT$3&lt;=DS$7),ROUND(DS282*($AP$3+#REF!),-1),""))</f>
        <v/>
      </c>
      <c r="DU282" s="503"/>
      <c r="DV282" s="503" t="str">
        <f>IF($G282="","",IF(AND($G282&gt;=30,$AT$3&lt;=DU$7),ROUND(DU282*($AP$3+#REF!),-1),""))</f>
        <v/>
      </c>
      <c r="DW282" s="503"/>
      <c r="DX282" s="503" t="str">
        <f>IF($G282="","",IF(AND($G282&gt;=30,$AT$3&lt;=DW$7),ROUND(DW282*($AP$3+#REF!),-1),""))</f>
        <v/>
      </c>
      <c r="DY282" s="503"/>
      <c r="DZ282" s="503" t="str">
        <f>IF($G282="","",IF(AND($G282&gt;=30,$AT$3&lt;=DY$7),ROUND(DY282*($AP$3+#REF!),-1),""))</f>
        <v/>
      </c>
      <c r="EA282" s="503"/>
      <c r="EB282" s="503" t="str">
        <f>IF($G282="","",IF(AND($G282&gt;=30,$AT$3&lt;=EA$7),ROUND(EA282*($AP$3+#REF!),-1),""))</f>
        <v/>
      </c>
      <c r="EC282" s="504" t="s">
        <v>621</v>
      </c>
      <c r="ED282" s="1124"/>
      <c r="EE282" s="325">
        <v>10</v>
      </c>
    </row>
    <row r="283" spans="1:135" ht="9.75" customHeight="1">
      <c r="A283" s="321" t="str">
        <f t="shared" si="68"/>
        <v/>
      </c>
      <c r="B283" s="567">
        <f>(ii!$D$13*12+V283)+1</f>
        <v>177</v>
      </c>
      <c r="C283" s="337">
        <f t="shared" si="72"/>
        <v>50739</v>
      </c>
      <c r="D283" s="484">
        <f t="shared" si="75"/>
        <v>2038</v>
      </c>
      <c r="E283" s="484">
        <f t="shared" si="73"/>
        <v>0.91666666666666663</v>
      </c>
      <c r="F283" s="484">
        <f t="shared" si="76"/>
        <v>2038.9166666666667</v>
      </c>
      <c r="G283" s="485" t="str">
        <f>IF(OR(C283&lt;$I$2,C283&gt;$J$3),"",(ii!$D$13*12+V283+1)/12)</f>
        <v/>
      </c>
      <c r="H283" s="486"/>
      <c r="I283" s="486"/>
      <c r="J283" s="487"/>
      <c r="K283" s="488"/>
      <c r="L283" s="548"/>
      <c r="M283" s="489" t="str">
        <f t="shared" si="77"/>
        <v/>
      </c>
      <c r="N283" s="490" t="s">
        <v>621</v>
      </c>
      <c r="O283" s="490" t="str">
        <f t="shared" si="70"/>
        <v/>
      </c>
      <c r="P283" s="491"/>
      <c r="Q283" s="491"/>
      <c r="R283" s="491" t="str">
        <f t="shared" si="71"/>
        <v/>
      </c>
      <c r="S283" s="528" t="str">
        <f t="shared" si="69"/>
        <v/>
      </c>
      <c r="T283" s="528" t="str">
        <f t="shared" si="67"/>
        <v/>
      </c>
      <c r="U283" s="493" t="str">
        <f>IF(H283="","",#REF!*12+#REF!+#REF!*12+#REF!)</f>
        <v/>
      </c>
      <c r="V283" s="338">
        <f>IF(ii!$J$3&gt;gg!C283,"",IF(AND((YEAR(C283)=YEAR($I$2)),MONTH(C283)=MONTH($I$2)),ii!$B$14*12+ii!$C$14+ii!$B$15*12+ii!$C$15-1,V282+1))</f>
        <v>176</v>
      </c>
      <c r="W283" s="339">
        <f t="shared" si="74"/>
        <v>14.666666666666666</v>
      </c>
      <c r="X283" s="494" t="s">
        <v>621</v>
      </c>
      <c r="Y283" s="495" t="s">
        <v>621</v>
      </c>
      <c r="Z283" s="496"/>
      <c r="AA283" s="497"/>
      <c r="AB283" s="498" t="e">
        <f t="shared" si="66"/>
        <v>#VALUE!</v>
      </c>
      <c r="AC283" s="484" t="str">
        <f t="shared" ref="AC283:AC346" si="78">IF(OR(C283&lt;$I$2,C283&gt;$J$3),"",IF(AB283&lt;0.3,300,IF(AND(AB283&gt;=0.3,AB283&lt;0.4),216.67,IF(AND(AB283&gt;=0.4,AB283&lt;0.5),175,IF(AND(AB283&gt;=0.5,AB283&lt;0.6),150,IF(AND(AB283&gt;=0.6,AB283&lt;0.7),133.33,IF(AND(AB283&gt;=0.7,AB283&lt;0.8),121.43,IF(AND(AB283&gt;=0.8,AB283&lt;0.9),112.5,IF(AND(AB283&gt;=0.9,AB283&lt;1),105.56,IF(AND(AB283&gt;=1,AB283&lt;1.1),100,IF(AND(AB283&gt;=1.1,AB283&lt;1.2),95.45,IF(AND(AB283&gt;=1.2,AB283&lt;1.3),91.67,IF(AND(AB283&gt;=1.3,AB283&lt;1.4),88.46,IF(AND(AB283&gt;=1.4,AB283&lt;1.5),85.71,IF(AND(AB283&gt;=1.5,AB283&lt;1.6),83.33,IF(AB283&gt;=1.6,81.25,"???"))))))))))))))))</f>
        <v/>
      </c>
      <c r="AD283" s="495" t="str">
        <f t="shared" ref="AD283:AD346" si="79">IF(AC283="","",P283*AC283%)</f>
        <v/>
      </c>
      <c r="AE283" s="499" t="s">
        <v>621</v>
      </c>
      <c r="AF283" s="500" t="s">
        <v>621</v>
      </c>
      <c r="AG283" s="556" t="s">
        <v>621</v>
      </c>
      <c r="AH283" s="503" t="str">
        <f>IF($G283="","",IF(AND($G283&gt;=30,$AT$3&lt;=AG$7),ROUND(AG283*($AP$3+#REF!),-1),""))</f>
        <v/>
      </c>
      <c r="AI283" s="506" t="s">
        <v>621</v>
      </c>
      <c r="AJ283" s="503" t="str">
        <f>IF($G283="","",IF(AND($G283&gt;=30,$AT$3&lt;=AI$7),ROUND(AI283*($AP$3+#REF!),-1),""))</f>
        <v/>
      </c>
      <c r="AK283" s="506" t="s">
        <v>621</v>
      </c>
      <c r="AL283" s="503" t="str">
        <f>IF($G283="","",IF(AND($G283&gt;=30,$AT$3&lt;=AK$7),ROUND(AK283*($AP$3+#REF!),-1),""))</f>
        <v/>
      </c>
      <c r="AM283" s="506" t="s">
        <v>621</v>
      </c>
      <c r="AN283" s="503" t="str">
        <f>IF($G283="","",IF(AND($G283&gt;=30,$AT$3&lt;=AM$7),ROUND(AM283*($AP$3+#REF!),-1),""))</f>
        <v/>
      </c>
      <c r="AO283" s="503" t="e">
        <v>#REF!</v>
      </c>
      <c r="AP283" s="503" t="str">
        <f>IF($G283="","",IF(AND($G283&gt;=30,$AT$3&lt;=AO$7),ROUND(AO283*($AP$3+#REF!),-1),""))</f>
        <v/>
      </c>
      <c r="AQ283" s="503" t="s">
        <v>621</v>
      </c>
      <c r="AR283" s="503" t="str">
        <f>IF($G283="","",IF(AND($G283&gt;=30,$AT$3&lt;=AQ$7),ROUND(AQ283*($AP$3+#REF!),-1),""))</f>
        <v/>
      </c>
      <c r="AS283" s="503" t="s">
        <v>621</v>
      </c>
      <c r="AT283" s="503" t="str">
        <f>IF($G283="","",IF(AND($G283&gt;=30,$AT$3&lt;=AS$7),ROUND(AS283*($AP$3+#REF!),-1),""))</f>
        <v/>
      </c>
      <c r="AU283" s="503" t="s">
        <v>621</v>
      </c>
      <c r="AV283" s="503" t="str">
        <f>IF($G283="","",IF(AND($G283&gt;=30,$AT$3&lt;=AU$7),ROUND(AU283*($AP$3+#REF!),-1),""))</f>
        <v/>
      </c>
      <c r="AW283" s="503" t="s">
        <v>621</v>
      </c>
      <c r="AX283" s="503" t="str">
        <f>IF($G283="","",IF(AND($G283&gt;=30,$AT$3&lt;=AW$7),ROUND(AW283*($AP$3+#REF!),-1),""))</f>
        <v/>
      </c>
      <c r="AY283" s="503" t="s">
        <v>621</v>
      </c>
      <c r="AZ283" s="503" t="str">
        <f>IF($G283="","",IF(AND($G283&gt;=30,$AT$3&lt;=AY$7),ROUND(AY283*($AP$3+#REF!),-1),""))</f>
        <v/>
      </c>
      <c r="BA283" s="503" t="s">
        <v>621</v>
      </c>
      <c r="BB283" s="503" t="str">
        <f>IF($G283="","",IF(AND($G283&gt;=30,$AT$3&lt;=BA$7),ROUND(BA283*($AP$3+#REF!),-1),""))</f>
        <v/>
      </c>
      <c r="BC283" s="503" t="s">
        <v>621</v>
      </c>
      <c r="BD283" s="503" t="str">
        <f>IF($G283="","",IF(AND($G283&gt;=30,$AT$3&lt;=BC$7),ROUND(BC283*($AP$3+#REF!),-1),""))</f>
        <v/>
      </c>
      <c r="BE283" s="503" t="s">
        <v>621</v>
      </c>
      <c r="BF283" s="503" t="str">
        <f>IF($G283="","",IF(AND($G283&gt;=30,$AT$3&lt;=BE$7),ROUND(BE283*($AP$3+#REF!),-1),""))</f>
        <v/>
      </c>
      <c r="BG283" s="503" t="s">
        <v>621</v>
      </c>
      <c r="BH283" s="503" t="str">
        <f>IF($G283="","",IF(AND($G283&gt;=30,$AT$3&lt;=BG$7),ROUND(BG283*($AP$3+#REF!),-1),""))</f>
        <v/>
      </c>
      <c r="BI283" s="503" t="s">
        <v>621</v>
      </c>
      <c r="BJ283" s="503" t="str">
        <f>IF($G283="","",IF(AND($G283&gt;=30,$AT$3&lt;=BI$7),ROUND(BI283*($AP$3+#REF!),-1),""))</f>
        <v/>
      </c>
      <c r="BK283" s="503" t="s">
        <v>621</v>
      </c>
      <c r="BL283" s="503" t="str">
        <f>IF($G283="","",IF(AND($G283&gt;=30,$AT$3&lt;=BK$7),ROUND(BK283*($AP$3+#REF!),-1),""))</f>
        <v/>
      </c>
      <c r="BM283" s="503" t="s">
        <v>621</v>
      </c>
      <c r="BN283" s="503" t="str">
        <f>IF($G283="","",IF(AND($G283&gt;=30,$AT$3&lt;=BM$7),ROUND(BM283*($AP$3+#REF!),-1),""))</f>
        <v/>
      </c>
      <c r="BO283" s="503" t="s">
        <v>621</v>
      </c>
      <c r="BP283" s="503" t="str">
        <f>IF($G283="","",IF(AND($G283&gt;=30,$AT$3&lt;=BO$7),ROUND(BO283*($AP$3+#REF!),-1),""))</f>
        <v/>
      </c>
      <c r="BQ283" s="503" t="s">
        <v>621</v>
      </c>
      <c r="BR283" s="503" t="str">
        <f>IF($G283="","",IF(AND($G283&gt;=30,$AT$3&lt;=BQ$7),ROUND(BQ283*($AP$3+#REF!),-1),""))</f>
        <v/>
      </c>
      <c r="BS283" s="503" t="s">
        <v>621</v>
      </c>
      <c r="BT283" s="503" t="str">
        <f>IF($G283="","",IF(AND($G283&gt;=30,$AT$3&lt;=BS$7),ROUND(BS283*($AP$3+#REF!),-1),""))</f>
        <v/>
      </c>
      <c r="BU283" s="503" t="s">
        <v>621</v>
      </c>
      <c r="BV283" s="503" t="str">
        <f>IF($G283="","",IF(AND($G283&gt;=30,$AT$3&lt;=BU$7),ROUND(BU283*($AP$3+#REF!),-1),""))</f>
        <v/>
      </c>
      <c r="BW283" s="503" t="s">
        <v>621</v>
      </c>
      <c r="BX283" s="503" t="str">
        <f>IF($G283="","",IF(AND($G283&gt;=30,$AT$3&lt;=BW$7),ROUND(BW283*($AP$3+#REF!),-1),""))</f>
        <v/>
      </c>
      <c r="BY283" s="517" t="e">
        <v>#REF!</v>
      </c>
      <c r="BZ283" s="503" t="str">
        <f>IF($G283="","",IF(AND($G283&gt;=30,$AT$3&lt;=BY$7),ROUND(BY283*($AP$3+#REF!),-1),""))</f>
        <v/>
      </c>
      <c r="CA283" s="502"/>
      <c r="CB283" s="503" t="str">
        <f>IF($G283="","",IF(AND($G283&gt;=30,$AT$3&lt;=CA$7),ROUND(CA283*($AP$3+#REF!),-1),""))</f>
        <v/>
      </c>
      <c r="CC283" s="503"/>
      <c r="CD283" s="503" t="str">
        <f>IF($G283="","",IF(AND($G283&gt;=30,$AT$3&lt;=CC$7),ROUND(CC283*($AP$3+#REF!),-1),""))</f>
        <v/>
      </c>
      <c r="CE283" s="502"/>
      <c r="CF283" s="503" t="str">
        <f>IF($G283="","",IF(AND($G283&gt;=30,$AT$3&lt;=CE$7),ROUND(CE283*($AP$3+#REF!),-1),""))</f>
        <v/>
      </c>
      <c r="CG283" s="503"/>
      <c r="CH283" s="503" t="str">
        <f>IF($G283="","",IF(AND($G283&gt;=30,$AT$3&lt;=CG$7),ROUND(CG283*($AP$3+#REF!),-1),""))</f>
        <v/>
      </c>
      <c r="CI283" s="502"/>
      <c r="CJ283" s="503" t="str">
        <f>IF($G283="","",IF(AND($G283&gt;=30,$AT$3&lt;=CI$7),ROUND(CI283*($AP$3+#REF!),-1),""))</f>
        <v/>
      </c>
      <c r="CK283" s="503"/>
      <c r="CL283" s="503" t="str">
        <f>IF($G283="","",IF(AND($G283&gt;=30,$AT$3&lt;=CK$7),ROUND(CK283*($AP$3+#REF!),-1),""))</f>
        <v/>
      </c>
      <c r="CM283" s="502"/>
      <c r="CN283" s="503" t="str">
        <f>IF($G283="","",IF(AND($G283&gt;=30,$AT$3&lt;=CM$7),ROUND(CM283*($AP$3+#REF!),-1),""))</f>
        <v/>
      </c>
      <c r="CO283" s="503"/>
      <c r="CP283" s="503" t="str">
        <f>IF($G283="","",IF(AND($G283&gt;=30,$AT$3&lt;=CO$7),ROUND(CO283*($AP$3+#REF!),-1),""))</f>
        <v/>
      </c>
      <c r="CQ283" s="502"/>
      <c r="CR283" s="503" t="str">
        <f>IF($G283="","",IF(AND($G283&gt;=30,$AT$3&lt;=CQ$7),ROUND(CQ283*($AP$3+#REF!),-1),""))</f>
        <v/>
      </c>
      <c r="CS283" s="503"/>
      <c r="CT283" s="503" t="str">
        <f>IF($G283="","",IF(AND($G283&gt;=30,$AT$3&lt;=CS$7),ROUND(CS283*($AP$3+#REF!),-1),""))</f>
        <v/>
      </c>
      <c r="CU283" s="502"/>
      <c r="CV283" s="503" t="str">
        <f>IF($G283="","",IF(AND($G283&gt;=30,$AT$3&lt;=CU$7),ROUND(CU283*($AP$3+#REF!),-1),""))</f>
        <v/>
      </c>
      <c r="CW283" s="503"/>
      <c r="CX283" s="503" t="str">
        <f>IF($G283="","",IF(AND($G283&gt;=30,$AT$3&lt;=CW$7),ROUND(CW283*($AP$3+#REF!),-1),""))</f>
        <v/>
      </c>
      <c r="CY283" s="502"/>
      <c r="CZ283" s="503" t="str">
        <f>IF($G283="","",IF(AND($G283&gt;=30,$AT$3&lt;=CY$7),ROUND(CY283*($AP$3+#REF!),-1),""))</f>
        <v/>
      </c>
      <c r="DA283" s="503"/>
      <c r="DB283" s="503" t="str">
        <f>IF($G283="","",IF(AND($G283&gt;=30,$AT$3&lt;=DA$7),ROUND(DA283*($AP$3+#REF!),-1),""))</f>
        <v/>
      </c>
      <c r="DC283" s="502"/>
      <c r="DD283" s="503" t="str">
        <f>IF($G283="","",IF(AND($G283&gt;=30,$AT$3&lt;=DC$7),ROUND(DC283*($AP$3+#REF!),-1),""))</f>
        <v/>
      </c>
      <c r="DE283" s="503"/>
      <c r="DF283" s="503" t="str">
        <f>IF($G283="","",IF(AND($G283&gt;=30,$AT$3&lt;=DE$7),ROUND(DE283*($AP$3+#REF!),-1),""))</f>
        <v/>
      </c>
      <c r="DG283" s="503"/>
      <c r="DH283" s="503" t="str">
        <f>IF($G283="","",IF(AND($G283&gt;=30,$AT$3&lt;=DG$7),ROUND(DG283*($AP$3+#REF!),-1),""))</f>
        <v/>
      </c>
      <c r="DI283" s="503"/>
      <c r="DJ283" s="503" t="str">
        <f>IF($G283="","",IF(AND($G283&gt;=30,$AT$3&lt;=DI$7),ROUND(DI283*($AP$3+#REF!),-1),""))</f>
        <v/>
      </c>
      <c r="DK283" s="503"/>
      <c r="DL283" s="503" t="str">
        <f>IF($G283="","",IF(AND($G283&gt;=30,$AT$3&lt;=DK$7),ROUND(DK283*($AP$3+#REF!),-1),""))</f>
        <v/>
      </c>
      <c r="DM283" s="503"/>
      <c r="DN283" s="503" t="str">
        <f>IF($G283="","",IF(AND($G283&gt;=30,$AT$3&lt;=DM$7),ROUND(DM283*($AP$3+#REF!),-1),""))</f>
        <v/>
      </c>
      <c r="DO283" s="503"/>
      <c r="DP283" s="503" t="str">
        <f>IF($G283="","",IF(AND($G283&gt;=30,$AT$3&lt;=DO$7),ROUND(DO283*($AP$3+#REF!),-1),""))</f>
        <v/>
      </c>
      <c r="DQ283" s="503"/>
      <c r="DR283" s="503" t="str">
        <f>IF($G283="","",IF(AND($G283&gt;=30,$AT$3&lt;=DQ$7),ROUND(DQ283*($AP$3+#REF!),-1),""))</f>
        <v/>
      </c>
      <c r="DS283" s="503"/>
      <c r="DT283" s="503" t="str">
        <f>IF($G283="","",IF(AND($G283&gt;=30,$AT$3&lt;=DS$7),ROUND(DS283*($AP$3+#REF!),-1),""))</f>
        <v/>
      </c>
      <c r="DU283" s="503"/>
      <c r="DV283" s="503" t="str">
        <f>IF($G283="","",IF(AND($G283&gt;=30,$AT$3&lt;=DU$7),ROUND(DU283*($AP$3+#REF!),-1),""))</f>
        <v/>
      </c>
      <c r="DW283" s="503"/>
      <c r="DX283" s="503" t="str">
        <f>IF($G283="","",IF(AND($G283&gt;=30,$AT$3&lt;=DW$7),ROUND(DW283*($AP$3+#REF!),-1),""))</f>
        <v/>
      </c>
      <c r="DY283" s="503"/>
      <c r="DZ283" s="503" t="str">
        <f>IF($G283="","",IF(AND($G283&gt;=30,$AT$3&lt;=DY$7),ROUND(DY283*($AP$3+#REF!),-1),""))</f>
        <v/>
      </c>
      <c r="EA283" s="503"/>
      <c r="EB283" s="503" t="str">
        <f>IF($G283="","",IF(AND($G283&gt;=30,$AT$3&lt;=EA$7),ROUND(EA283*($AP$3+#REF!),-1),""))</f>
        <v/>
      </c>
      <c r="EC283" s="504" t="s">
        <v>621</v>
      </c>
      <c r="ED283" s="1124"/>
      <c r="EE283" s="325">
        <v>11</v>
      </c>
    </row>
    <row r="284" spans="1:135" ht="9.75" customHeight="1">
      <c r="A284" s="321" t="str">
        <f t="shared" si="68"/>
        <v/>
      </c>
      <c r="B284" s="567">
        <f>(ii!$D$13*12+V284)+1</f>
        <v>178</v>
      </c>
      <c r="C284" s="337">
        <f t="shared" si="72"/>
        <v>50770</v>
      </c>
      <c r="D284" s="484">
        <f t="shared" si="75"/>
        <v>2038</v>
      </c>
      <c r="E284" s="484">
        <f t="shared" si="73"/>
        <v>1</v>
      </c>
      <c r="F284" s="484">
        <f t="shared" si="76"/>
        <v>2039</v>
      </c>
      <c r="G284" s="485" t="str">
        <f>IF(OR(C284&lt;$I$2,C284&gt;$J$3),"",(ii!$D$13*12+V284+1)/12)</f>
        <v/>
      </c>
      <c r="H284" s="486"/>
      <c r="I284" s="486"/>
      <c r="J284" s="487"/>
      <c r="K284" s="488"/>
      <c r="L284" s="548"/>
      <c r="M284" s="489" t="str">
        <f t="shared" si="77"/>
        <v/>
      </c>
      <c r="N284" s="490" t="s">
        <v>621</v>
      </c>
      <c r="O284" s="490" t="str">
        <f t="shared" si="70"/>
        <v/>
      </c>
      <c r="P284" s="491"/>
      <c r="Q284" s="491"/>
      <c r="R284" s="491" t="str">
        <f t="shared" si="71"/>
        <v/>
      </c>
      <c r="S284" s="528" t="str">
        <f t="shared" si="69"/>
        <v/>
      </c>
      <c r="T284" s="528" t="str">
        <f t="shared" si="67"/>
        <v/>
      </c>
      <c r="U284" s="493" t="str">
        <f>IF(H284="","",#REF!*12+#REF!+#REF!*12+#REF!)</f>
        <v/>
      </c>
      <c r="V284" s="338">
        <f>IF(ii!$J$3&gt;gg!C284,"",IF(AND((YEAR(C284)=YEAR($I$2)),MONTH(C284)=MONTH($I$2)),ii!$B$14*12+ii!$C$14+ii!$B$15*12+ii!$C$15-1,V283+1))</f>
        <v>177</v>
      </c>
      <c r="W284" s="339">
        <f t="shared" si="74"/>
        <v>14.75</v>
      </c>
      <c r="X284" s="494" t="s">
        <v>621</v>
      </c>
      <c r="Y284" s="495" t="s">
        <v>621</v>
      </c>
      <c r="Z284" s="496"/>
      <c r="AA284" s="497"/>
      <c r="AB284" s="498" t="e">
        <f t="shared" si="66"/>
        <v>#VALUE!</v>
      </c>
      <c r="AC284" s="484" t="str">
        <f t="shared" si="78"/>
        <v/>
      </c>
      <c r="AD284" s="495" t="str">
        <f t="shared" si="79"/>
        <v/>
      </c>
      <c r="AE284" s="499" t="s">
        <v>621</v>
      </c>
      <c r="AF284" s="500" t="s">
        <v>621</v>
      </c>
      <c r="AG284" s="556" t="s">
        <v>621</v>
      </c>
      <c r="AH284" s="503" t="str">
        <f>IF($G284="","",IF(AND($G284&gt;=30,$AT$3&lt;=AG$7),ROUND(AG284*($AP$3+#REF!),-1),""))</f>
        <v/>
      </c>
      <c r="AI284" s="506" t="s">
        <v>621</v>
      </c>
      <c r="AJ284" s="503" t="str">
        <f>IF($G284="","",IF(AND($G284&gt;=30,$AT$3&lt;=AI$7),ROUND(AI284*($AP$3+#REF!),-1),""))</f>
        <v/>
      </c>
      <c r="AK284" s="506" t="s">
        <v>621</v>
      </c>
      <c r="AL284" s="503" t="str">
        <f>IF($G284="","",IF(AND($G284&gt;=30,$AT$3&lt;=AK$7),ROUND(AK284*($AP$3+#REF!),-1),""))</f>
        <v/>
      </c>
      <c r="AM284" s="506" t="s">
        <v>621</v>
      </c>
      <c r="AN284" s="503" t="str">
        <f>IF($G284="","",IF(AND($G284&gt;=30,$AT$3&lt;=AM$7),ROUND(AM284*($AP$3+#REF!),-1),""))</f>
        <v/>
      </c>
      <c r="AO284" s="503" t="e">
        <v>#REF!</v>
      </c>
      <c r="AP284" s="503" t="str">
        <f>IF($G284="","",IF(AND($G284&gt;=30,$AT$3&lt;=AO$7),ROUND(AO284*($AP$3+#REF!),-1),""))</f>
        <v/>
      </c>
      <c r="AQ284" s="503" t="s">
        <v>621</v>
      </c>
      <c r="AR284" s="503" t="str">
        <f>IF($G284="","",IF(AND($G284&gt;=30,$AT$3&lt;=AQ$7),ROUND(AQ284*($AP$3+#REF!),-1),""))</f>
        <v/>
      </c>
      <c r="AS284" s="503" t="s">
        <v>621</v>
      </c>
      <c r="AT284" s="503" t="str">
        <f>IF($G284="","",IF(AND($G284&gt;=30,$AT$3&lt;=AS$7),ROUND(AS284*($AP$3+#REF!),-1),""))</f>
        <v/>
      </c>
      <c r="AU284" s="503" t="s">
        <v>621</v>
      </c>
      <c r="AV284" s="503" t="str">
        <f>IF($G284="","",IF(AND($G284&gt;=30,$AT$3&lt;=AU$7),ROUND(AU284*($AP$3+#REF!),-1),""))</f>
        <v/>
      </c>
      <c r="AW284" s="503" t="s">
        <v>621</v>
      </c>
      <c r="AX284" s="503" t="str">
        <f>IF($G284="","",IF(AND($G284&gt;=30,$AT$3&lt;=AW$7),ROUND(AW284*($AP$3+#REF!),-1),""))</f>
        <v/>
      </c>
      <c r="AY284" s="503" t="s">
        <v>621</v>
      </c>
      <c r="AZ284" s="503" t="str">
        <f>IF($G284="","",IF(AND($G284&gt;=30,$AT$3&lt;=AY$7),ROUND(AY284*($AP$3+#REF!),-1),""))</f>
        <v/>
      </c>
      <c r="BA284" s="503" t="s">
        <v>621</v>
      </c>
      <c r="BB284" s="503" t="str">
        <f>IF($G284="","",IF(AND($G284&gt;=30,$AT$3&lt;=BA$7),ROUND(BA284*($AP$3+#REF!),-1),""))</f>
        <v/>
      </c>
      <c r="BC284" s="503" t="s">
        <v>621</v>
      </c>
      <c r="BD284" s="503" t="str">
        <f>IF($G284="","",IF(AND($G284&gt;=30,$AT$3&lt;=BC$7),ROUND(BC284*($AP$3+#REF!),-1),""))</f>
        <v/>
      </c>
      <c r="BE284" s="503" t="s">
        <v>621</v>
      </c>
      <c r="BF284" s="503" t="str">
        <f>IF($G284="","",IF(AND($G284&gt;=30,$AT$3&lt;=BE$7),ROUND(BE284*($AP$3+#REF!),-1),""))</f>
        <v/>
      </c>
      <c r="BG284" s="503" t="s">
        <v>621</v>
      </c>
      <c r="BH284" s="503" t="str">
        <f>IF($G284="","",IF(AND($G284&gt;=30,$AT$3&lt;=BG$7),ROUND(BG284*($AP$3+#REF!),-1),""))</f>
        <v/>
      </c>
      <c r="BI284" s="503" t="s">
        <v>621</v>
      </c>
      <c r="BJ284" s="503" t="str">
        <f>IF($G284="","",IF(AND($G284&gt;=30,$AT$3&lt;=BI$7),ROUND(BI284*($AP$3+#REF!),-1),""))</f>
        <v/>
      </c>
      <c r="BK284" s="503" t="s">
        <v>621</v>
      </c>
      <c r="BL284" s="503" t="str">
        <f>IF($G284="","",IF(AND($G284&gt;=30,$AT$3&lt;=BK$7),ROUND(BK284*($AP$3+#REF!),-1),""))</f>
        <v/>
      </c>
      <c r="BM284" s="503" t="s">
        <v>621</v>
      </c>
      <c r="BN284" s="503" t="str">
        <f>IF($G284="","",IF(AND($G284&gt;=30,$AT$3&lt;=BM$7),ROUND(BM284*($AP$3+#REF!),-1),""))</f>
        <v/>
      </c>
      <c r="BO284" s="503" t="s">
        <v>621</v>
      </c>
      <c r="BP284" s="503" t="str">
        <f>IF($G284="","",IF(AND($G284&gt;=30,$AT$3&lt;=BO$7),ROUND(BO284*($AP$3+#REF!),-1),""))</f>
        <v/>
      </c>
      <c r="BQ284" s="503" t="s">
        <v>621</v>
      </c>
      <c r="BR284" s="503" t="str">
        <f>IF($G284="","",IF(AND($G284&gt;=30,$AT$3&lt;=BQ$7),ROUND(BQ284*($AP$3+#REF!),-1),""))</f>
        <v/>
      </c>
      <c r="BS284" s="503" t="s">
        <v>621</v>
      </c>
      <c r="BT284" s="503" t="str">
        <f>IF($G284="","",IF(AND($G284&gt;=30,$AT$3&lt;=BS$7),ROUND(BS284*($AP$3+#REF!),-1),""))</f>
        <v/>
      </c>
      <c r="BU284" s="503" t="s">
        <v>621</v>
      </c>
      <c r="BV284" s="503" t="str">
        <f>IF($G284="","",IF(AND($G284&gt;=30,$AT$3&lt;=BU$7),ROUND(BU284*($AP$3+#REF!),-1),""))</f>
        <v/>
      </c>
      <c r="BW284" s="503" t="s">
        <v>621</v>
      </c>
      <c r="BX284" s="503" t="str">
        <f>IF($G284="","",IF(AND($G284&gt;=30,$AT$3&lt;=BW$7),ROUND(BW284*($AP$3+#REF!),-1),""))</f>
        <v/>
      </c>
      <c r="BY284" s="517" t="e">
        <v>#REF!</v>
      </c>
      <c r="BZ284" s="503" t="str">
        <f>IF($G284="","",IF(AND($G284&gt;=30,$AT$3&lt;=BY$7),ROUND(BY284*($AP$3+#REF!),-1),""))</f>
        <v/>
      </c>
      <c r="CA284" s="502"/>
      <c r="CB284" s="503" t="str">
        <f>IF($G284="","",IF(AND($G284&gt;=30,$AT$3&lt;=CA$7),ROUND(CA284*($AP$3+#REF!),-1),""))</f>
        <v/>
      </c>
      <c r="CC284" s="503"/>
      <c r="CD284" s="503" t="str">
        <f>IF($G284="","",IF(AND($G284&gt;=30,$AT$3&lt;=CC$7),ROUND(CC284*($AP$3+#REF!),-1),""))</f>
        <v/>
      </c>
      <c r="CE284" s="502"/>
      <c r="CF284" s="503" t="str">
        <f>IF($G284="","",IF(AND($G284&gt;=30,$AT$3&lt;=CE$7),ROUND(CE284*($AP$3+#REF!),-1),""))</f>
        <v/>
      </c>
      <c r="CG284" s="503"/>
      <c r="CH284" s="503" t="str">
        <f>IF($G284="","",IF(AND($G284&gt;=30,$AT$3&lt;=CG$7),ROUND(CG284*($AP$3+#REF!),-1),""))</f>
        <v/>
      </c>
      <c r="CI284" s="502"/>
      <c r="CJ284" s="503" t="str">
        <f>IF($G284="","",IF(AND($G284&gt;=30,$AT$3&lt;=CI$7),ROUND(CI284*($AP$3+#REF!),-1),""))</f>
        <v/>
      </c>
      <c r="CK284" s="503"/>
      <c r="CL284" s="503" t="str">
        <f>IF($G284="","",IF(AND($G284&gt;=30,$AT$3&lt;=CK$7),ROUND(CK284*($AP$3+#REF!),-1),""))</f>
        <v/>
      </c>
      <c r="CM284" s="502"/>
      <c r="CN284" s="503" t="str">
        <f>IF($G284="","",IF(AND($G284&gt;=30,$AT$3&lt;=CM$7),ROUND(CM284*($AP$3+#REF!),-1),""))</f>
        <v/>
      </c>
      <c r="CO284" s="503"/>
      <c r="CP284" s="503" t="str">
        <f>IF($G284="","",IF(AND($G284&gt;=30,$AT$3&lt;=CO$7),ROUND(CO284*($AP$3+#REF!),-1),""))</f>
        <v/>
      </c>
      <c r="CQ284" s="502"/>
      <c r="CR284" s="503" t="str">
        <f>IF($G284="","",IF(AND($G284&gt;=30,$AT$3&lt;=CQ$7),ROUND(CQ284*($AP$3+#REF!),-1),""))</f>
        <v/>
      </c>
      <c r="CS284" s="503"/>
      <c r="CT284" s="503" t="str">
        <f>IF($G284="","",IF(AND($G284&gt;=30,$AT$3&lt;=CS$7),ROUND(CS284*($AP$3+#REF!),-1),""))</f>
        <v/>
      </c>
      <c r="CU284" s="502"/>
      <c r="CV284" s="503" t="str">
        <f>IF($G284="","",IF(AND($G284&gt;=30,$AT$3&lt;=CU$7),ROUND(CU284*($AP$3+#REF!),-1),""))</f>
        <v/>
      </c>
      <c r="CW284" s="503"/>
      <c r="CX284" s="503" t="str">
        <f>IF($G284="","",IF(AND($G284&gt;=30,$AT$3&lt;=CW$7),ROUND(CW284*($AP$3+#REF!),-1),""))</f>
        <v/>
      </c>
      <c r="CY284" s="502"/>
      <c r="CZ284" s="503" t="str">
        <f>IF($G284="","",IF(AND($G284&gt;=30,$AT$3&lt;=CY$7),ROUND(CY284*($AP$3+#REF!),-1),""))</f>
        <v/>
      </c>
      <c r="DA284" s="503"/>
      <c r="DB284" s="503" t="str">
        <f>IF($G284="","",IF(AND($G284&gt;=30,$AT$3&lt;=DA$7),ROUND(DA284*($AP$3+#REF!),-1),""))</f>
        <v/>
      </c>
      <c r="DC284" s="502"/>
      <c r="DD284" s="503" t="str">
        <f>IF($G284="","",IF(AND($G284&gt;=30,$AT$3&lt;=DC$7),ROUND(DC284*($AP$3+#REF!),-1),""))</f>
        <v/>
      </c>
      <c r="DE284" s="503"/>
      <c r="DF284" s="503" t="str">
        <f>IF($G284="","",IF(AND($G284&gt;=30,$AT$3&lt;=DE$7),ROUND(DE284*($AP$3+#REF!),-1),""))</f>
        <v/>
      </c>
      <c r="DG284" s="503"/>
      <c r="DH284" s="503" t="str">
        <f>IF($G284="","",IF(AND($G284&gt;=30,$AT$3&lt;=DG$7),ROUND(DG284*($AP$3+#REF!),-1),""))</f>
        <v/>
      </c>
      <c r="DI284" s="503"/>
      <c r="DJ284" s="503" t="str">
        <f>IF($G284="","",IF(AND($G284&gt;=30,$AT$3&lt;=DI$7),ROUND(DI284*($AP$3+#REF!),-1),""))</f>
        <v/>
      </c>
      <c r="DK284" s="503"/>
      <c r="DL284" s="503" t="str">
        <f>IF($G284="","",IF(AND($G284&gt;=30,$AT$3&lt;=DK$7),ROUND(DK284*($AP$3+#REF!),-1),""))</f>
        <v/>
      </c>
      <c r="DM284" s="503"/>
      <c r="DN284" s="503" t="str">
        <f>IF($G284="","",IF(AND($G284&gt;=30,$AT$3&lt;=DM$7),ROUND(DM284*($AP$3+#REF!),-1),""))</f>
        <v/>
      </c>
      <c r="DO284" s="503"/>
      <c r="DP284" s="503" t="str">
        <f>IF($G284="","",IF(AND($G284&gt;=30,$AT$3&lt;=DO$7),ROUND(DO284*($AP$3+#REF!),-1),""))</f>
        <v/>
      </c>
      <c r="DQ284" s="503"/>
      <c r="DR284" s="503" t="str">
        <f>IF($G284="","",IF(AND($G284&gt;=30,$AT$3&lt;=DQ$7),ROUND(DQ284*($AP$3+#REF!),-1),""))</f>
        <v/>
      </c>
      <c r="DS284" s="503"/>
      <c r="DT284" s="503" t="str">
        <f>IF($G284="","",IF(AND($G284&gt;=30,$AT$3&lt;=DS$7),ROUND(DS284*($AP$3+#REF!),-1),""))</f>
        <v/>
      </c>
      <c r="DU284" s="503"/>
      <c r="DV284" s="503" t="str">
        <f>IF($G284="","",IF(AND($G284&gt;=30,$AT$3&lt;=DU$7),ROUND(DU284*($AP$3+#REF!),-1),""))</f>
        <v/>
      </c>
      <c r="DW284" s="503"/>
      <c r="DX284" s="503" t="str">
        <f>IF($G284="","",IF(AND($G284&gt;=30,$AT$3&lt;=DW$7),ROUND(DW284*($AP$3+#REF!),-1),""))</f>
        <v/>
      </c>
      <c r="DY284" s="503"/>
      <c r="DZ284" s="503" t="str">
        <f>IF($G284="","",IF(AND($G284&gt;=30,$AT$3&lt;=DY$7),ROUND(DY284*($AP$3+#REF!),-1),""))</f>
        <v/>
      </c>
      <c r="EA284" s="503"/>
      <c r="EB284" s="503" t="str">
        <f>IF($G284="","",IF(AND($G284&gt;=30,$AT$3&lt;=EA$7),ROUND(EA284*($AP$3+#REF!),-1),""))</f>
        <v/>
      </c>
      <c r="EC284" s="504" t="s">
        <v>621</v>
      </c>
      <c r="ED284" s="1125"/>
      <c r="EE284" s="325">
        <v>12</v>
      </c>
    </row>
    <row r="285" spans="1:135" ht="9.75" customHeight="1">
      <c r="A285" s="321" t="str">
        <f t="shared" si="68"/>
        <v/>
      </c>
      <c r="B285" s="567">
        <f>(ii!$D$13*12+V285)+1</f>
        <v>179</v>
      </c>
      <c r="C285" s="345">
        <f t="shared" si="72"/>
        <v>50801</v>
      </c>
      <c r="D285" s="340">
        <f t="shared" si="75"/>
        <v>2039</v>
      </c>
      <c r="E285" s="340">
        <f t="shared" si="73"/>
        <v>8.3333333333333329E-2</v>
      </c>
      <c r="F285" s="340">
        <f t="shared" si="76"/>
        <v>2039.0833333333333</v>
      </c>
      <c r="G285" s="531" t="str">
        <f>IF(OR(C285&lt;$I$2,C285&gt;$J$3),"",(ii!$D$13*12+V285+1)/12)</f>
        <v/>
      </c>
      <c r="H285" s="532"/>
      <c r="I285" s="532"/>
      <c r="J285" s="533"/>
      <c r="K285" s="553"/>
      <c r="L285" s="534"/>
      <c r="M285" s="489" t="str">
        <f t="shared" si="77"/>
        <v/>
      </c>
      <c r="N285" s="536" t="s">
        <v>621</v>
      </c>
      <c r="O285" s="490" t="str">
        <f t="shared" si="70"/>
        <v/>
      </c>
      <c r="P285" s="537"/>
      <c r="Q285" s="537"/>
      <c r="R285" s="533" t="str">
        <f t="shared" si="71"/>
        <v/>
      </c>
      <c r="S285" s="538" t="str">
        <f t="shared" si="69"/>
        <v/>
      </c>
      <c r="T285" s="538" t="str">
        <f t="shared" si="67"/>
        <v/>
      </c>
      <c r="U285" s="539" t="str">
        <f>IF(H285="","",#REF!*12+#REF!+#REF!*12+#REF!)</f>
        <v/>
      </c>
      <c r="V285" s="338">
        <f>IF(ii!$J$3&gt;gg!C285,"",IF(AND((YEAR(C285)=YEAR($I$2)),MONTH(C285)=MONTH($I$2)),ii!$B$14*12+ii!$C$14+ii!$B$15*12+ii!$C$15-1,V284+1))</f>
        <v>178</v>
      </c>
      <c r="W285" s="339">
        <f t="shared" si="74"/>
        <v>14.833333333333334</v>
      </c>
      <c r="X285" s="540" t="s">
        <v>621</v>
      </c>
      <c r="Y285" s="538" t="s">
        <v>621</v>
      </c>
      <c r="Z285" s="541">
        <f>Z273+$Z$26</f>
        <v>0.63000000000000034</v>
      </c>
      <c r="AA285" s="542" t="str">
        <f>IF(Y285="","",(Y285-Y284)/Y284)</f>
        <v/>
      </c>
      <c r="AB285" s="543" t="e">
        <f t="shared" si="66"/>
        <v>#VALUE!</v>
      </c>
      <c r="AC285" s="544" t="str">
        <f t="shared" si="78"/>
        <v/>
      </c>
      <c r="AD285" s="538" t="str">
        <f t="shared" si="79"/>
        <v/>
      </c>
      <c r="AE285" s="545" t="s">
        <v>621</v>
      </c>
      <c r="AF285" s="546" t="s">
        <v>621</v>
      </c>
      <c r="AG285" s="558" t="s">
        <v>621</v>
      </c>
      <c r="AH285" s="547" t="str">
        <f>IF($G285="","",IF(AND($G285&gt;=30,$AT$3&lt;=AG$7),ROUND(AG285*($AP$3+#REF!),-1),""))</f>
        <v/>
      </c>
      <c r="AI285" s="558" t="s">
        <v>621</v>
      </c>
      <c r="AJ285" s="547" t="str">
        <f>IF($G285="","",IF(AND($G285&gt;=30,$AT$3&lt;=AI$7),ROUND(AI285*($AP$3+#REF!),-1),""))</f>
        <v/>
      </c>
      <c r="AK285" s="560" t="s">
        <v>621</v>
      </c>
      <c r="AL285" s="547" t="str">
        <f>IF($G285="","",IF(AND($G285&gt;=30,$AT$3&lt;=AK$7),ROUND(AK285*($AP$3+#REF!),-1),""))</f>
        <v/>
      </c>
      <c r="AM285" s="560" t="s">
        <v>621</v>
      </c>
      <c r="AN285" s="547" t="str">
        <f>IF($G285="","",IF(AND($G285&gt;=30,$AT$3&lt;=AM$7),ROUND(AM285*($AP$3+#REF!),-1),""))</f>
        <v/>
      </c>
      <c r="AO285" s="547" t="e">
        <v>#REF!</v>
      </c>
      <c r="AP285" s="547" t="str">
        <f>IF($G285="","",IF(AND($G285&gt;=30,$AT$3&lt;=AO$7),ROUND(AO285*($AP$3+#REF!),-1),""))</f>
        <v/>
      </c>
      <c r="AQ285" s="547" t="s">
        <v>621</v>
      </c>
      <c r="AR285" s="547" t="str">
        <f>IF($G285="","",IF(AND($G285&gt;=30,$AT$3&lt;=AQ$7),ROUND(AQ285*($AP$3+#REF!),-1),""))</f>
        <v/>
      </c>
      <c r="AS285" s="547" t="s">
        <v>621</v>
      </c>
      <c r="AT285" s="547" t="str">
        <f>IF($G285="","",IF(AND($G285&gt;=30,$AT$3&lt;=AS$7),ROUND(AS285*($AP$3+#REF!),-1),""))</f>
        <v/>
      </c>
      <c r="AU285" s="547" t="s">
        <v>621</v>
      </c>
      <c r="AV285" s="547" t="str">
        <f>IF($G285="","",IF(AND($G285&gt;=30,$AT$3&lt;=AU$7),ROUND(AU285*($AP$3+#REF!),-1),""))</f>
        <v/>
      </c>
      <c r="AW285" s="547" t="s">
        <v>621</v>
      </c>
      <c r="AX285" s="547" t="str">
        <f>IF($G285="","",IF(AND($G285&gt;=30,$AT$3&lt;=AW$7),ROUND(AW285*($AP$3+#REF!),-1),""))</f>
        <v/>
      </c>
      <c r="AY285" s="547" t="s">
        <v>621</v>
      </c>
      <c r="AZ285" s="547" t="str">
        <f>IF($G285="","",IF(AND($G285&gt;=30,$AT$3&lt;=AY$7),ROUND(AY285*($AP$3+#REF!),-1),""))</f>
        <v/>
      </c>
      <c r="BA285" s="547" t="s">
        <v>621</v>
      </c>
      <c r="BB285" s="547" t="str">
        <f>IF($G285="","",IF(AND($G285&gt;=30,$AT$3&lt;=BA$7),ROUND(BA285*($AP$3+#REF!),-1),""))</f>
        <v/>
      </c>
      <c r="BC285" s="547" t="s">
        <v>621</v>
      </c>
      <c r="BD285" s="547" t="str">
        <f>IF($G285="","",IF(AND($G285&gt;=30,$AT$3&lt;=BC$7),ROUND(BC285*($AP$3+#REF!),-1),""))</f>
        <v/>
      </c>
      <c r="BE285" s="547" t="s">
        <v>621</v>
      </c>
      <c r="BF285" s="547" t="str">
        <f>IF($G285="","",IF(AND($G285&gt;=30,$AT$3&lt;=BE$7),ROUND(BE285*($AP$3+#REF!),-1),""))</f>
        <v/>
      </c>
      <c r="BG285" s="547" t="s">
        <v>621</v>
      </c>
      <c r="BH285" s="547" t="str">
        <f>IF($G285="","",IF(AND($G285&gt;=30,$AT$3&lt;=BG$7),ROUND(BG285*($AP$3+#REF!),-1),""))</f>
        <v/>
      </c>
      <c r="BI285" s="547" t="s">
        <v>621</v>
      </c>
      <c r="BJ285" s="547" t="str">
        <f>IF($G285="","",IF(AND($G285&gt;=30,$AT$3&lt;=BI$7),ROUND(BI285*($AP$3+#REF!),-1),""))</f>
        <v/>
      </c>
      <c r="BK285" s="547" t="s">
        <v>621</v>
      </c>
      <c r="BL285" s="547" t="str">
        <f>IF($G285="","",IF(AND($G285&gt;=30,$AT$3&lt;=BK$7),ROUND(BK285*($AP$3+#REF!),-1),""))</f>
        <v/>
      </c>
      <c r="BM285" s="547" t="s">
        <v>621</v>
      </c>
      <c r="BN285" s="547" t="str">
        <f>IF($G285="","",IF(AND($G285&gt;=30,$AT$3&lt;=BM$7),ROUND(BM285*($AP$3+#REF!),-1),""))</f>
        <v/>
      </c>
      <c r="BO285" s="547" t="s">
        <v>621</v>
      </c>
      <c r="BP285" s="547" t="str">
        <f>IF($G285="","",IF(AND($G285&gt;=30,$AT$3&lt;=BO$7),ROUND(BO285*($AP$3+#REF!),-1),""))</f>
        <v/>
      </c>
      <c r="BQ285" s="547" t="s">
        <v>621</v>
      </c>
      <c r="BR285" s="547" t="str">
        <f>IF($G285="","",IF(AND($G285&gt;=30,$AT$3&lt;=BQ$7),ROUND(BQ285*($AP$3+#REF!),-1),""))</f>
        <v/>
      </c>
      <c r="BS285" s="547" t="s">
        <v>621</v>
      </c>
      <c r="BT285" s="547" t="str">
        <f>IF($G285="","",IF(AND($G285&gt;=30,$AT$3&lt;=BS$7),ROUND(BS285*($AP$3+#REF!),-1),""))</f>
        <v/>
      </c>
      <c r="BU285" s="547" t="s">
        <v>621</v>
      </c>
      <c r="BV285" s="547" t="str">
        <f>IF($G285="","",IF(AND($G285&gt;=30,$AT$3&lt;=BU$7),ROUND(BU285*($AP$3+#REF!),-1),""))</f>
        <v/>
      </c>
      <c r="BW285" s="547" t="s">
        <v>621</v>
      </c>
      <c r="BX285" s="547" t="str">
        <f>IF($G285="","",IF(AND($G285&gt;=30,$AT$3&lt;=BW$7),ROUND(BW285*($AP$3+#REF!),-1),""))</f>
        <v/>
      </c>
      <c r="BY285" s="547" t="s">
        <v>621</v>
      </c>
      <c r="BZ285" s="547" t="str">
        <f>IF($G285="","",IF(AND($G285&gt;=30,$AT$3&lt;=BY$7),ROUND(BY285*($AP$3+#REF!),-1),""))</f>
        <v/>
      </c>
      <c r="CA285" s="533" t="e">
        <v>#REF!</v>
      </c>
      <c r="CB285" s="547" t="str">
        <f>IF($G285="","",IF(AND($G285&gt;=30,$AT$3&lt;=CA$7),ROUND(CA285*($AP$3+#REF!),-1),""))</f>
        <v/>
      </c>
      <c r="CC285" s="547"/>
      <c r="CD285" s="547" t="str">
        <f>IF($G285="","",IF(AND($G285&gt;=30,$AT$3&lt;=CC$7),ROUND(CC285*($AP$3+#REF!),-1),""))</f>
        <v/>
      </c>
      <c r="CE285" s="547"/>
      <c r="CF285" s="547" t="str">
        <f>IF($G285="","",IF(AND($G285&gt;=30,$AT$3&lt;=CE$7),ROUND(CE285*($AP$3+#REF!),-1),""))</f>
        <v/>
      </c>
      <c r="CG285" s="547"/>
      <c r="CH285" s="547" t="str">
        <f>IF($G285="","",IF(AND($G285&gt;=30,$AT$3&lt;=CG$7),ROUND(CG285*($AP$3+#REF!),-1),""))</f>
        <v/>
      </c>
      <c r="CI285" s="547"/>
      <c r="CJ285" s="547" t="str">
        <f>IF($G285="","",IF(AND($G285&gt;=30,$AT$3&lt;=CI$7),ROUND(CI285*($AP$3+#REF!),-1),""))</f>
        <v/>
      </c>
      <c r="CK285" s="547"/>
      <c r="CL285" s="547" t="str">
        <f>IF($G285="","",IF(AND($G285&gt;=30,$AT$3&lt;=CK$7),ROUND(CK285*($AP$3+#REF!),-1),""))</f>
        <v/>
      </c>
      <c r="CM285" s="547"/>
      <c r="CN285" s="547" t="str">
        <f>IF($G285="","",IF(AND($G285&gt;=30,$AT$3&lt;=CM$7),ROUND(CM285*($AP$3+#REF!),-1),""))</f>
        <v/>
      </c>
      <c r="CO285" s="547"/>
      <c r="CP285" s="547" t="str">
        <f>IF($G285="","",IF(AND($G285&gt;=30,$AT$3&lt;=CO$7),ROUND(CO285*($AP$3+#REF!),-1),""))</f>
        <v/>
      </c>
      <c r="CQ285" s="547"/>
      <c r="CR285" s="547" t="str">
        <f>IF($G285="","",IF(AND($G285&gt;=30,$AT$3&lt;=CQ$7),ROUND(CQ285*($AP$3+#REF!),-1),""))</f>
        <v/>
      </c>
      <c r="CS285" s="547"/>
      <c r="CT285" s="547" t="str">
        <f>IF($G285="","",IF(AND($G285&gt;=30,$AT$3&lt;=CS$7),ROUND(CS285*($AP$3+#REF!),-1),""))</f>
        <v/>
      </c>
      <c r="CU285" s="547"/>
      <c r="CV285" s="547" t="str">
        <f>IF($G285="","",IF(AND($G285&gt;=30,$AT$3&lt;=CU$7),ROUND(CU285*($AP$3+#REF!),-1),""))</f>
        <v/>
      </c>
      <c r="CW285" s="547"/>
      <c r="CX285" s="547" t="str">
        <f>IF($G285="","",IF(AND($G285&gt;=30,$AT$3&lt;=CW$7),ROUND(CW285*($AP$3+#REF!),-1),""))</f>
        <v/>
      </c>
      <c r="CY285" s="547"/>
      <c r="CZ285" s="547" t="str">
        <f>IF($G285="","",IF(AND($G285&gt;=30,$AT$3&lt;=CY$7),ROUND(CY285*($AP$3+#REF!),-1),""))</f>
        <v/>
      </c>
      <c r="DA285" s="547"/>
      <c r="DB285" s="547" t="str">
        <f>IF($G285="","",IF(AND($G285&gt;=30,$AT$3&lt;=DA$7),ROUND(DA285*($AP$3+#REF!),-1),""))</f>
        <v/>
      </c>
      <c r="DC285" s="547"/>
      <c r="DD285" s="547" t="str">
        <f>IF($G285="","",IF(AND($G285&gt;=30,$AT$3&lt;=DC$7),ROUND(DC285*($AP$3+#REF!),-1),""))</f>
        <v/>
      </c>
      <c r="DE285" s="547"/>
      <c r="DF285" s="547" t="str">
        <f>IF($G285="","",IF(AND($G285&gt;=30,$AT$3&lt;=DE$7),ROUND(DE285*($AP$3+#REF!),-1),""))</f>
        <v/>
      </c>
      <c r="DG285" s="547"/>
      <c r="DH285" s="547" t="str">
        <f>IF($G285="","",IF(AND($G285&gt;=30,$AT$3&lt;=DG$7),ROUND(DG285*($AP$3+#REF!),-1),""))</f>
        <v/>
      </c>
      <c r="DI285" s="547"/>
      <c r="DJ285" s="547" t="str">
        <f>IF($G285="","",IF(AND($G285&gt;=30,$AT$3&lt;=DI$7),ROUND(DI285*($AP$3+#REF!),-1),""))</f>
        <v/>
      </c>
      <c r="DK285" s="547"/>
      <c r="DL285" s="547" t="str">
        <f>IF($G285="","",IF(AND($G285&gt;=30,$AT$3&lt;=DK$7),ROUND(DK285*($AP$3+#REF!),-1),""))</f>
        <v/>
      </c>
      <c r="DM285" s="547"/>
      <c r="DN285" s="547" t="str">
        <f>IF($G285="","",IF(AND($G285&gt;=30,$AT$3&lt;=DM$7),ROUND(DM285*($AP$3+#REF!),-1),""))</f>
        <v/>
      </c>
      <c r="DO285" s="547"/>
      <c r="DP285" s="547" t="str">
        <f>IF($G285="","",IF(AND($G285&gt;=30,$AT$3&lt;=DO$7),ROUND(DO285*($AP$3+#REF!),-1),""))</f>
        <v/>
      </c>
      <c r="DQ285" s="547"/>
      <c r="DR285" s="547" t="str">
        <f>IF($G285="","",IF(AND($G285&gt;=30,$AT$3&lt;=DQ$7),ROUND(DQ285*($AP$3+#REF!),-1),""))</f>
        <v/>
      </c>
      <c r="DS285" s="547"/>
      <c r="DT285" s="547" t="str">
        <f>IF($G285="","",IF(AND($G285&gt;=30,$AT$3&lt;=DS$7),ROUND(DS285*($AP$3+#REF!),-1),""))</f>
        <v/>
      </c>
      <c r="DU285" s="547"/>
      <c r="DV285" s="547" t="str">
        <f>IF($G285="","",IF(AND($G285&gt;=30,$AT$3&lt;=DU$7),ROUND(DU285*($AP$3+#REF!),-1),""))</f>
        <v/>
      </c>
      <c r="DW285" s="547"/>
      <c r="DX285" s="547" t="str">
        <f>IF($G285="","",IF(AND($G285&gt;=30,$AT$3&lt;=DW$7),ROUND(DW285*($AP$3+#REF!),-1),""))</f>
        <v/>
      </c>
      <c r="DY285" s="547"/>
      <c r="DZ285" s="547" t="str">
        <f>IF($G285="","",IF(AND($G285&gt;=30,$AT$3&lt;=DY$7),ROUND(DY285*($AP$3+#REF!),-1),""))</f>
        <v/>
      </c>
      <c r="EA285" s="547"/>
      <c r="EB285" s="547" t="str">
        <f>IF($G285="","",IF(AND($G285&gt;=30,$AT$3&lt;=EA$7),ROUND(EA285*($AP$3+#REF!),-1),""))</f>
        <v/>
      </c>
      <c r="EC285" s="547" t="s">
        <v>621</v>
      </c>
      <c r="ED285" s="1123">
        <f>SUM(EC285:EC296)</f>
        <v>0</v>
      </c>
      <c r="EE285" s="325">
        <v>1</v>
      </c>
    </row>
    <row r="286" spans="1:135" ht="9.75" customHeight="1">
      <c r="A286" s="321" t="str">
        <f t="shared" si="68"/>
        <v/>
      </c>
      <c r="B286" s="567">
        <f>(ii!$D$13*12+V286)+1</f>
        <v>180</v>
      </c>
      <c r="C286" s="337">
        <f t="shared" si="72"/>
        <v>50829</v>
      </c>
      <c r="D286" s="484">
        <f t="shared" si="75"/>
        <v>2039</v>
      </c>
      <c r="E286" s="484">
        <f t="shared" si="73"/>
        <v>0.16666666666666666</v>
      </c>
      <c r="F286" s="484">
        <f t="shared" si="76"/>
        <v>2039.1666666666667</v>
      </c>
      <c r="G286" s="485" t="str">
        <f>IF(OR(C286&lt;$I$2,C286&gt;$J$3),"",(ii!$D$13*12+V286+1)/12)</f>
        <v/>
      </c>
      <c r="H286" s="486"/>
      <c r="I286" s="486"/>
      <c r="J286" s="487"/>
      <c r="K286" s="488"/>
      <c r="L286" s="548"/>
      <c r="M286" s="489" t="str">
        <f t="shared" si="77"/>
        <v/>
      </c>
      <c r="N286" s="490" t="s">
        <v>621</v>
      </c>
      <c r="O286" s="490" t="str">
        <f t="shared" si="70"/>
        <v/>
      </c>
      <c r="P286" s="491"/>
      <c r="Q286" s="491"/>
      <c r="R286" s="491" t="str">
        <f t="shared" si="71"/>
        <v/>
      </c>
      <c r="S286" s="528" t="str">
        <f t="shared" si="69"/>
        <v/>
      </c>
      <c r="T286" s="528" t="str">
        <f t="shared" si="67"/>
        <v/>
      </c>
      <c r="U286" s="493" t="str">
        <f>IF(H286="","",#REF!*12+#REF!+#REF!*12+#REF!)</f>
        <v/>
      </c>
      <c r="V286" s="338">
        <f>IF(ii!$J$3&gt;gg!C286,"",IF(AND((YEAR(C286)=YEAR($I$2)),MONTH(C286)=MONTH($I$2)),ii!$B$14*12+ii!$C$14+ii!$B$15*12+ii!$C$15-1,V285+1))</f>
        <v>179</v>
      </c>
      <c r="W286" s="339">
        <f t="shared" si="74"/>
        <v>14.916666666666666</v>
      </c>
      <c r="X286" s="494" t="s">
        <v>621</v>
      </c>
      <c r="Y286" s="495" t="s">
        <v>621</v>
      </c>
      <c r="Z286" s="496"/>
      <c r="AA286" s="497"/>
      <c r="AB286" s="498" t="e">
        <f t="shared" ref="AB286:AB349" si="80">IF(F286&lt;$I$3,"",IF(F286&gt;$F$3,"",(P286/Y286)))</f>
        <v>#VALUE!</v>
      </c>
      <c r="AC286" s="484" t="str">
        <f t="shared" si="78"/>
        <v/>
      </c>
      <c r="AD286" s="495" t="str">
        <f t="shared" si="79"/>
        <v/>
      </c>
      <c r="AE286" s="499" t="s">
        <v>621</v>
      </c>
      <c r="AF286" s="500" t="s">
        <v>621</v>
      </c>
      <c r="AG286" s="556" t="s">
        <v>621</v>
      </c>
      <c r="AH286" s="503" t="str">
        <f>IF($G286="","",IF(AND($G286&gt;=30,$AT$3&lt;=AG$7),ROUND(AG286*($AP$3+#REF!),-1),""))</f>
        <v/>
      </c>
      <c r="AI286" s="506" t="s">
        <v>621</v>
      </c>
      <c r="AJ286" s="503" t="str">
        <f>IF($G286="","",IF(AND($G286&gt;=30,$AT$3&lt;=AI$7),ROUND(AI286*($AP$3+#REF!),-1),""))</f>
        <v/>
      </c>
      <c r="AK286" s="506" t="s">
        <v>621</v>
      </c>
      <c r="AL286" s="503" t="str">
        <f>IF($G286="","",IF(AND($G286&gt;=30,$AT$3&lt;=AK$7),ROUND(AK286*($AP$3+#REF!),-1),""))</f>
        <v/>
      </c>
      <c r="AM286" s="506" t="s">
        <v>621</v>
      </c>
      <c r="AN286" s="503" t="str">
        <f>IF($G286="","",IF(AND($G286&gt;=30,$AT$3&lt;=AM$7),ROUND(AM286*($AP$3+#REF!),-1),""))</f>
        <v/>
      </c>
      <c r="AO286" s="503" t="e">
        <f>IF(AO285="","",AO285*1.001)</f>
        <v>#REF!</v>
      </c>
      <c r="AP286" s="503" t="str">
        <f>IF($G286="","",IF(AND($G286&gt;=30,$AT$3&lt;=AO$7),ROUND(AO286*($AP$3+#REF!),-1),""))</f>
        <v/>
      </c>
      <c r="AQ286" s="503" t="s">
        <v>621</v>
      </c>
      <c r="AR286" s="503" t="str">
        <f>IF($G286="","",IF(AND($G286&gt;=30,$AT$3&lt;=AQ$7),ROUND(AQ286*($AP$3+#REF!),-1),""))</f>
        <v/>
      </c>
      <c r="AS286" s="503" t="s">
        <v>621</v>
      </c>
      <c r="AT286" s="503" t="str">
        <f>IF($G286="","",IF(AND($G286&gt;=30,$AT$3&lt;=AS$7),ROUND(AS286*($AP$3+#REF!),-1),""))</f>
        <v/>
      </c>
      <c r="AU286" s="503" t="s">
        <v>621</v>
      </c>
      <c r="AV286" s="503" t="str">
        <f>IF($G286="","",IF(AND($G286&gt;=30,$AT$3&lt;=AU$7),ROUND(AU286*($AP$3+#REF!),-1),""))</f>
        <v/>
      </c>
      <c r="AW286" s="503" t="s">
        <v>621</v>
      </c>
      <c r="AX286" s="503" t="str">
        <f>IF($G286="","",IF(AND($G286&gt;=30,$AT$3&lt;=AW$7),ROUND(AW286*($AP$3+#REF!),-1),""))</f>
        <v/>
      </c>
      <c r="AY286" s="503" t="s">
        <v>621</v>
      </c>
      <c r="AZ286" s="503" t="str">
        <f>IF($G286="","",IF(AND($G286&gt;=30,$AT$3&lt;=AY$7),ROUND(AY286*($AP$3+#REF!),-1),""))</f>
        <v/>
      </c>
      <c r="BA286" s="503" t="s">
        <v>621</v>
      </c>
      <c r="BB286" s="503" t="str">
        <f>IF($G286="","",IF(AND($G286&gt;=30,$AT$3&lt;=BA$7),ROUND(BA286*($AP$3+#REF!),-1),""))</f>
        <v/>
      </c>
      <c r="BC286" s="503" t="s">
        <v>621</v>
      </c>
      <c r="BD286" s="503" t="str">
        <f>IF($G286="","",IF(AND($G286&gt;=30,$AT$3&lt;=BC$7),ROUND(BC286*($AP$3+#REF!),-1),""))</f>
        <v/>
      </c>
      <c r="BE286" s="503" t="s">
        <v>621</v>
      </c>
      <c r="BF286" s="503" t="str">
        <f>IF($G286="","",IF(AND($G286&gt;=30,$AT$3&lt;=BE$7),ROUND(BE286*($AP$3+#REF!),-1),""))</f>
        <v/>
      </c>
      <c r="BG286" s="503" t="s">
        <v>621</v>
      </c>
      <c r="BH286" s="503" t="str">
        <f>IF($G286="","",IF(AND($G286&gt;=30,$AT$3&lt;=BG$7),ROUND(BG286*($AP$3+#REF!),-1),""))</f>
        <v/>
      </c>
      <c r="BI286" s="503" t="s">
        <v>621</v>
      </c>
      <c r="BJ286" s="503" t="str">
        <f>IF($G286="","",IF(AND($G286&gt;=30,$AT$3&lt;=BI$7),ROUND(BI286*($AP$3+#REF!),-1),""))</f>
        <v/>
      </c>
      <c r="BK286" s="503" t="s">
        <v>621</v>
      </c>
      <c r="BL286" s="503" t="str">
        <f>IF($G286="","",IF(AND($G286&gt;=30,$AT$3&lt;=BK$7),ROUND(BK286*($AP$3+#REF!),-1),""))</f>
        <v/>
      </c>
      <c r="BM286" s="503" t="s">
        <v>621</v>
      </c>
      <c r="BN286" s="503" t="str">
        <f>IF($G286="","",IF(AND($G286&gt;=30,$AT$3&lt;=BM$7),ROUND(BM286*($AP$3+#REF!),-1),""))</f>
        <v/>
      </c>
      <c r="BO286" s="503" t="s">
        <v>621</v>
      </c>
      <c r="BP286" s="503" t="str">
        <f>IF($G286="","",IF(AND($G286&gt;=30,$AT$3&lt;=BO$7),ROUND(BO286*($AP$3+#REF!),-1),""))</f>
        <v/>
      </c>
      <c r="BQ286" s="503" t="s">
        <v>621</v>
      </c>
      <c r="BR286" s="503" t="str">
        <f>IF($G286="","",IF(AND($G286&gt;=30,$AT$3&lt;=BQ$7),ROUND(BQ286*($AP$3+#REF!),-1),""))</f>
        <v/>
      </c>
      <c r="BS286" s="503" t="s">
        <v>621</v>
      </c>
      <c r="BT286" s="503" t="str">
        <f>IF($G286="","",IF(AND($G286&gt;=30,$AT$3&lt;=BS$7),ROUND(BS286*($AP$3+#REF!),-1),""))</f>
        <v/>
      </c>
      <c r="BU286" s="503" t="s">
        <v>621</v>
      </c>
      <c r="BV286" s="503" t="str">
        <f>IF($G286="","",IF(AND($G286&gt;=30,$AT$3&lt;=BU$7),ROUND(BU286*($AP$3+#REF!),-1),""))</f>
        <v/>
      </c>
      <c r="BW286" s="503" t="s">
        <v>621</v>
      </c>
      <c r="BX286" s="503" t="str">
        <f>IF($G286="","",IF(AND($G286&gt;=30,$AT$3&lt;=BW$7),ROUND(BW286*($AP$3+#REF!),-1),""))</f>
        <v/>
      </c>
      <c r="BY286" s="503" t="s">
        <v>621</v>
      </c>
      <c r="BZ286" s="503" t="str">
        <f>IF($G286="","",IF(AND($G286&gt;=30,$AT$3&lt;=BY$7),ROUND(BY286*($AP$3+#REF!),-1),""))</f>
        <v/>
      </c>
      <c r="CA286" s="517" t="e">
        <v>#REF!</v>
      </c>
      <c r="CB286" s="503" t="str">
        <f>IF($G286="","",IF(AND($G286&gt;=30,$AT$3&lt;=CA$7),ROUND(CA286*($AP$3+#REF!),-1),""))</f>
        <v/>
      </c>
      <c r="CC286" s="517"/>
      <c r="CD286" s="503" t="str">
        <f>IF($G286="","",IF(AND($G286&gt;=30,$AT$3&lt;=CC$7),ROUND(CC286*($AP$3+#REF!),-1),""))</f>
        <v/>
      </c>
      <c r="CE286" s="517"/>
      <c r="CF286" s="503" t="str">
        <f>IF($G286="","",IF(AND($G286&gt;=30,$AT$3&lt;=CE$7),ROUND(CE286*($AP$3+#REF!),-1),""))</f>
        <v/>
      </c>
      <c r="CG286" s="517"/>
      <c r="CH286" s="503" t="str">
        <f>IF($G286="","",IF(AND($G286&gt;=30,$AT$3&lt;=CG$7),ROUND(CG286*($AP$3+#REF!),-1),""))</f>
        <v/>
      </c>
      <c r="CI286" s="517"/>
      <c r="CJ286" s="503" t="str">
        <f>IF($G286="","",IF(AND($G286&gt;=30,$AT$3&lt;=CI$7),ROUND(CI286*($AP$3+#REF!),-1),""))</f>
        <v/>
      </c>
      <c r="CK286" s="517"/>
      <c r="CL286" s="503" t="str">
        <f>IF($G286="","",IF(AND($G286&gt;=30,$AT$3&lt;=CK$7),ROUND(CK286*($AP$3+#REF!),-1),""))</f>
        <v/>
      </c>
      <c r="CM286" s="517"/>
      <c r="CN286" s="503" t="str">
        <f>IF($G286="","",IF(AND($G286&gt;=30,$AT$3&lt;=CM$7),ROUND(CM286*($AP$3+#REF!),-1),""))</f>
        <v/>
      </c>
      <c r="CO286" s="517"/>
      <c r="CP286" s="503" t="str">
        <f>IF($G286="","",IF(AND($G286&gt;=30,$AT$3&lt;=CO$7),ROUND(CO286*($AP$3+#REF!),-1),""))</f>
        <v/>
      </c>
      <c r="CQ286" s="517"/>
      <c r="CR286" s="503" t="str">
        <f>IF($G286="","",IF(AND($G286&gt;=30,$AT$3&lt;=CQ$7),ROUND(CQ286*($AP$3+#REF!),-1),""))</f>
        <v/>
      </c>
      <c r="CS286" s="517"/>
      <c r="CT286" s="503" t="str">
        <f>IF($G286="","",IF(AND($G286&gt;=30,$AT$3&lt;=CS$7),ROUND(CS286*($AP$3+#REF!),-1),""))</f>
        <v/>
      </c>
      <c r="CU286" s="517"/>
      <c r="CV286" s="503" t="str">
        <f>IF($G286="","",IF(AND($G286&gt;=30,$AT$3&lt;=CU$7),ROUND(CU286*($AP$3+#REF!),-1),""))</f>
        <v/>
      </c>
      <c r="CW286" s="517"/>
      <c r="CX286" s="503" t="str">
        <f>IF($G286="","",IF(AND($G286&gt;=30,$AT$3&lt;=CW$7),ROUND(CW286*($AP$3+#REF!),-1),""))</f>
        <v/>
      </c>
      <c r="CY286" s="517"/>
      <c r="CZ286" s="503" t="str">
        <f>IF($G286="","",IF(AND($G286&gt;=30,$AT$3&lt;=CY$7),ROUND(CY286*($AP$3+#REF!),-1),""))</f>
        <v/>
      </c>
      <c r="DA286" s="517"/>
      <c r="DB286" s="503" t="str">
        <f>IF($G286="","",IF(AND($G286&gt;=30,$AT$3&lt;=DA$7),ROUND(DA286*($AP$3+#REF!),-1),""))</f>
        <v/>
      </c>
      <c r="DC286" s="517"/>
      <c r="DD286" s="503" t="str">
        <f>IF($G286="","",IF(AND($G286&gt;=30,$AT$3&lt;=DC$7),ROUND(DC286*($AP$3+#REF!),-1),""))</f>
        <v/>
      </c>
      <c r="DE286" s="517"/>
      <c r="DF286" s="503" t="str">
        <f>IF($G286="","",IF(AND($G286&gt;=30,$AT$3&lt;=DE$7),ROUND(DE286*($AP$3+#REF!),-1),""))</f>
        <v/>
      </c>
      <c r="DG286" s="517"/>
      <c r="DH286" s="503" t="str">
        <f>IF($G286="","",IF(AND($G286&gt;=30,$AT$3&lt;=DG$7),ROUND(DG286*($AP$3+#REF!),-1),""))</f>
        <v/>
      </c>
      <c r="DI286" s="517"/>
      <c r="DJ286" s="503" t="str">
        <f>IF($G286="","",IF(AND($G286&gt;=30,$AT$3&lt;=DI$7),ROUND(DI286*($AP$3+#REF!),-1),""))</f>
        <v/>
      </c>
      <c r="DK286" s="517"/>
      <c r="DL286" s="503" t="str">
        <f>IF($G286="","",IF(AND($G286&gt;=30,$AT$3&lt;=DK$7),ROUND(DK286*($AP$3+#REF!),-1),""))</f>
        <v/>
      </c>
      <c r="DM286" s="517"/>
      <c r="DN286" s="503" t="str">
        <f>IF($G286="","",IF(AND($G286&gt;=30,$AT$3&lt;=DM$7),ROUND(DM286*($AP$3+#REF!),-1),""))</f>
        <v/>
      </c>
      <c r="DO286" s="517"/>
      <c r="DP286" s="503" t="str">
        <f>IF($G286="","",IF(AND($G286&gt;=30,$AT$3&lt;=DO$7),ROUND(DO286*($AP$3+#REF!),-1),""))</f>
        <v/>
      </c>
      <c r="DQ286" s="517"/>
      <c r="DR286" s="503" t="str">
        <f>IF($G286="","",IF(AND($G286&gt;=30,$AT$3&lt;=DQ$7),ROUND(DQ286*($AP$3+#REF!),-1),""))</f>
        <v/>
      </c>
      <c r="DS286" s="517"/>
      <c r="DT286" s="503" t="str">
        <f>IF($G286="","",IF(AND($G286&gt;=30,$AT$3&lt;=DS$7),ROUND(DS286*($AP$3+#REF!),-1),""))</f>
        <v/>
      </c>
      <c r="DU286" s="517"/>
      <c r="DV286" s="503" t="str">
        <f>IF($G286="","",IF(AND($G286&gt;=30,$AT$3&lt;=DU$7),ROUND(DU286*($AP$3+#REF!),-1),""))</f>
        <v/>
      </c>
      <c r="DW286" s="517"/>
      <c r="DX286" s="503" t="str">
        <f>IF($G286="","",IF(AND($G286&gt;=30,$AT$3&lt;=DW$7),ROUND(DW286*($AP$3+#REF!),-1),""))</f>
        <v/>
      </c>
      <c r="DY286" s="517"/>
      <c r="DZ286" s="503" t="str">
        <f>IF($G286="","",IF(AND($G286&gt;=30,$AT$3&lt;=DY$7),ROUND(DY286*($AP$3+#REF!),-1),""))</f>
        <v/>
      </c>
      <c r="EA286" s="517"/>
      <c r="EB286" s="503" t="str">
        <f>IF($G286="","",IF(AND($G286&gt;=30,$AT$3&lt;=EA$7),ROUND(EA286*($AP$3+#REF!),-1),""))</f>
        <v/>
      </c>
      <c r="EC286" s="504" t="s">
        <v>621</v>
      </c>
      <c r="ED286" s="1124"/>
      <c r="EE286" s="325">
        <v>2</v>
      </c>
    </row>
    <row r="287" spans="1:135" ht="9.75" customHeight="1">
      <c r="A287" s="321" t="str">
        <f t="shared" si="68"/>
        <v/>
      </c>
      <c r="B287" s="567">
        <f>(ii!$D$13*12+V287)+1</f>
        <v>181</v>
      </c>
      <c r="C287" s="337">
        <f t="shared" si="72"/>
        <v>50860</v>
      </c>
      <c r="D287" s="484">
        <f t="shared" si="75"/>
        <v>2039</v>
      </c>
      <c r="E287" s="484">
        <f t="shared" si="73"/>
        <v>0.25</v>
      </c>
      <c r="F287" s="484">
        <f t="shared" si="76"/>
        <v>2039.25</v>
      </c>
      <c r="G287" s="485" t="str">
        <f>IF(OR(C287&lt;$I$2,C287&gt;$J$3),"",(ii!$D$13*12+V287+1)/12)</f>
        <v/>
      </c>
      <c r="H287" s="486"/>
      <c r="I287" s="486"/>
      <c r="J287" s="487"/>
      <c r="K287" s="488"/>
      <c r="L287" s="548"/>
      <c r="M287" s="489" t="str">
        <f t="shared" si="77"/>
        <v/>
      </c>
      <c r="N287" s="490" t="s">
        <v>621</v>
      </c>
      <c r="O287" s="490" t="str">
        <f t="shared" si="70"/>
        <v/>
      </c>
      <c r="P287" s="491"/>
      <c r="Q287" s="491"/>
      <c r="R287" s="491" t="str">
        <f t="shared" si="71"/>
        <v/>
      </c>
      <c r="S287" s="528" t="str">
        <f t="shared" si="69"/>
        <v/>
      </c>
      <c r="T287" s="528" t="str">
        <f t="shared" si="67"/>
        <v/>
      </c>
      <c r="U287" s="493" t="str">
        <f>IF(H287="","",#REF!*12+#REF!+#REF!*12+#REF!)</f>
        <v/>
      </c>
      <c r="V287" s="338">
        <f>IF(ii!$J$3&gt;gg!C287,"",IF(AND((YEAR(C287)=YEAR($I$2)),MONTH(C287)=MONTH($I$2)),ii!$B$14*12+ii!$C$14+ii!$B$15*12+ii!$C$15-1,V286+1))</f>
        <v>180</v>
      </c>
      <c r="W287" s="339">
        <f t="shared" si="74"/>
        <v>15</v>
      </c>
      <c r="X287" s="494" t="s">
        <v>621</v>
      </c>
      <c r="Y287" s="495" t="s">
        <v>621</v>
      </c>
      <c r="Z287" s="496"/>
      <c r="AA287" s="497"/>
      <c r="AB287" s="498" t="e">
        <f t="shared" si="80"/>
        <v>#VALUE!</v>
      </c>
      <c r="AC287" s="484" t="str">
        <f t="shared" si="78"/>
        <v/>
      </c>
      <c r="AD287" s="495" t="str">
        <f t="shared" si="79"/>
        <v/>
      </c>
      <c r="AE287" s="499" t="s">
        <v>621</v>
      </c>
      <c r="AF287" s="500" t="s">
        <v>621</v>
      </c>
      <c r="AG287" s="556" t="s">
        <v>621</v>
      </c>
      <c r="AH287" s="503" t="str">
        <f>IF($G287="","",IF(AND($G287&gt;=30,$AT$3&lt;=AG$7),ROUND(AG287*($AP$3+#REF!),-1),""))</f>
        <v/>
      </c>
      <c r="AI287" s="506" t="s">
        <v>621</v>
      </c>
      <c r="AJ287" s="503" t="str">
        <f>IF($G287="","",IF(AND($G287&gt;=30,$AT$3&lt;=AI$7),ROUND(AI287*($AP$3+#REF!),-1),""))</f>
        <v/>
      </c>
      <c r="AK287" s="506" t="s">
        <v>621</v>
      </c>
      <c r="AL287" s="503" t="str">
        <f>IF($G287="","",IF(AND($G287&gt;=30,$AT$3&lt;=AK$7),ROUND(AK287*($AP$3+#REF!),-1),""))</f>
        <v/>
      </c>
      <c r="AM287" s="506" t="s">
        <v>621</v>
      </c>
      <c r="AN287" s="503" t="str">
        <f>IF($G287="","",IF(AND($G287&gt;=30,$AT$3&lt;=AM$7),ROUND(AM287*($AP$3+#REF!),-1),""))</f>
        <v/>
      </c>
      <c r="AO287" s="503" t="e">
        <v>#REF!</v>
      </c>
      <c r="AP287" s="503" t="str">
        <f>IF($G287="","",IF(AND($G287&gt;=30,$AT$3&lt;=AO$7),ROUND(AO287*($AP$3+#REF!),-1),""))</f>
        <v/>
      </c>
      <c r="AQ287" s="503" t="s">
        <v>621</v>
      </c>
      <c r="AR287" s="503" t="str">
        <f>IF($G287="","",IF(AND($G287&gt;=30,$AT$3&lt;=AQ$7),ROUND(AQ287*($AP$3+#REF!),-1),""))</f>
        <v/>
      </c>
      <c r="AS287" s="503" t="s">
        <v>621</v>
      </c>
      <c r="AT287" s="503" t="str">
        <f>IF($G287="","",IF(AND($G287&gt;=30,$AT$3&lt;=AS$7),ROUND(AS287*($AP$3+#REF!),-1),""))</f>
        <v/>
      </c>
      <c r="AU287" s="503" t="s">
        <v>621</v>
      </c>
      <c r="AV287" s="503" t="str">
        <f>IF($G287="","",IF(AND($G287&gt;=30,$AT$3&lt;=AU$7),ROUND(AU287*($AP$3+#REF!),-1),""))</f>
        <v/>
      </c>
      <c r="AW287" s="503" t="s">
        <v>621</v>
      </c>
      <c r="AX287" s="503" t="str">
        <f>IF($G287="","",IF(AND($G287&gt;=30,$AT$3&lt;=AW$7),ROUND(AW287*($AP$3+#REF!),-1),""))</f>
        <v/>
      </c>
      <c r="AY287" s="503" t="s">
        <v>621</v>
      </c>
      <c r="AZ287" s="503" t="str">
        <f>IF($G287="","",IF(AND($G287&gt;=30,$AT$3&lt;=AY$7),ROUND(AY287*($AP$3+#REF!),-1),""))</f>
        <v/>
      </c>
      <c r="BA287" s="503" t="s">
        <v>621</v>
      </c>
      <c r="BB287" s="503" t="str">
        <f>IF($G287="","",IF(AND($G287&gt;=30,$AT$3&lt;=BA$7),ROUND(BA287*($AP$3+#REF!),-1),""))</f>
        <v/>
      </c>
      <c r="BC287" s="503" t="s">
        <v>621</v>
      </c>
      <c r="BD287" s="503" t="str">
        <f>IF($G287="","",IF(AND($G287&gt;=30,$AT$3&lt;=BC$7),ROUND(BC287*($AP$3+#REF!),-1),""))</f>
        <v/>
      </c>
      <c r="BE287" s="503" t="s">
        <v>621</v>
      </c>
      <c r="BF287" s="503" t="str">
        <f>IF($G287="","",IF(AND($G287&gt;=30,$AT$3&lt;=BE$7),ROUND(BE287*($AP$3+#REF!),-1),""))</f>
        <v/>
      </c>
      <c r="BG287" s="503" t="s">
        <v>621</v>
      </c>
      <c r="BH287" s="503" t="str">
        <f>IF($G287="","",IF(AND($G287&gt;=30,$AT$3&lt;=BG$7),ROUND(BG287*($AP$3+#REF!),-1),""))</f>
        <v/>
      </c>
      <c r="BI287" s="503" t="s">
        <v>621</v>
      </c>
      <c r="BJ287" s="503" t="str">
        <f>IF($G287="","",IF(AND($G287&gt;=30,$AT$3&lt;=BI$7),ROUND(BI287*($AP$3+#REF!),-1),""))</f>
        <v/>
      </c>
      <c r="BK287" s="503" t="s">
        <v>621</v>
      </c>
      <c r="BL287" s="503" t="str">
        <f>IF($G287="","",IF(AND($G287&gt;=30,$AT$3&lt;=BK$7),ROUND(BK287*($AP$3+#REF!),-1),""))</f>
        <v/>
      </c>
      <c r="BM287" s="503" t="s">
        <v>621</v>
      </c>
      <c r="BN287" s="503" t="str">
        <f>IF($G287="","",IF(AND($G287&gt;=30,$AT$3&lt;=BM$7),ROUND(BM287*($AP$3+#REF!),-1),""))</f>
        <v/>
      </c>
      <c r="BO287" s="503" t="s">
        <v>621</v>
      </c>
      <c r="BP287" s="503" t="str">
        <f>IF($G287="","",IF(AND($G287&gt;=30,$AT$3&lt;=BO$7),ROUND(BO287*($AP$3+#REF!),-1),""))</f>
        <v/>
      </c>
      <c r="BQ287" s="503" t="s">
        <v>621</v>
      </c>
      <c r="BR287" s="503" t="str">
        <f>IF($G287="","",IF(AND($G287&gt;=30,$AT$3&lt;=BQ$7),ROUND(BQ287*($AP$3+#REF!),-1),""))</f>
        <v/>
      </c>
      <c r="BS287" s="503" t="s">
        <v>621</v>
      </c>
      <c r="BT287" s="503" t="str">
        <f>IF($G287="","",IF(AND($G287&gt;=30,$AT$3&lt;=BS$7),ROUND(BS287*($AP$3+#REF!),-1),""))</f>
        <v/>
      </c>
      <c r="BU287" s="503" t="s">
        <v>621</v>
      </c>
      <c r="BV287" s="503" t="str">
        <f>IF($G287="","",IF(AND($G287&gt;=30,$AT$3&lt;=BU$7),ROUND(BU287*($AP$3+#REF!),-1),""))</f>
        <v/>
      </c>
      <c r="BW287" s="503" t="s">
        <v>621</v>
      </c>
      <c r="BX287" s="503" t="str">
        <f>IF($G287="","",IF(AND($G287&gt;=30,$AT$3&lt;=BW$7),ROUND(BW287*($AP$3+#REF!),-1),""))</f>
        <v/>
      </c>
      <c r="BY287" s="503" t="s">
        <v>621</v>
      </c>
      <c r="BZ287" s="503" t="str">
        <f>IF($G287="","",IF(AND($G287&gt;=30,$AT$3&lt;=BY$7),ROUND(BY287*($AP$3+#REF!),-1),""))</f>
        <v/>
      </c>
      <c r="CA287" s="517" t="e">
        <v>#REF!</v>
      </c>
      <c r="CB287" s="503" t="str">
        <f>IF($G287="","",IF(AND($G287&gt;=30,$AT$3&lt;=CA$7),ROUND(CA287*($AP$3+#REF!),-1),""))</f>
        <v/>
      </c>
      <c r="CC287" s="517"/>
      <c r="CD287" s="503" t="str">
        <f>IF($G287="","",IF(AND($G287&gt;=30,$AT$3&lt;=CC$7),ROUND(CC287*($AP$3+#REF!),-1),""))</f>
        <v/>
      </c>
      <c r="CE287" s="517"/>
      <c r="CF287" s="503" t="str">
        <f>IF($G287="","",IF(AND($G287&gt;=30,$AT$3&lt;=CE$7),ROUND(CE287*($AP$3+#REF!),-1),""))</f>
        <v/>
      </c>
      <c r="CG287" s="517"/>
      <c r="CH287" s="503" t="str">
        <f>IF($G287="","",IF(AND($G287&gt;=30,$AT$3&lt;=CG$7),ROUND(CG287*($AP$3+#REF!),-1),""))</f>
        <v/>
      </c>
      <c r="CI287" s="517"/>
      <c r="CJ287" s="503" t="str">
        <f>IF($G287="","",IF(AND($G287&gt;=30,$AT$3&lt;=CI$7),ROUND(CI287*($AP$3+#REF!),-1),""))</f>
        <v/>
      </c>
      <c r="CK287" s="517"/>
      <c r="CL287" s="503" t="str">
        <f>IF($G287="","",IF(AND($G287&gt;=30,$AT$3&lt;=CK$7),ROUND(CK287*($AP$3+#REF!),-1),""))</f>
        <v/>
      </c>
      <c r="CM287" s="517"/>
      <c r="CN287" s="503" t="str">
        <f>IF($G287="","",IF(AND($G287&gt;=30,$AT$3&lt;=CM$7),ROUND(CM287*($AP$3+#REF!),-1),""))</f>
        <v/>
      </c>
      <c r="CO287" s="517"/>
      <c r="CP287" s="503" t="str">
        <f>IF($G287="","",IF(AND($G287&gt;=30,$AT$3&lt;=CO$7),ROUND(CO287*($AP$3+#REF!),-1),""))</f>
        <v/>
      </c>
      <c r="CQ287" s="517"/>
      <c r="CR287" s="503" t="str">
        <f>IF($G287="","",IF(AND($G287&gt;=30,$AT$3&lt;=CQ$7),ROUND(CQ287*($AP$3+#REF!),-1),""))</f>
        <v/>
      </c>
      <c r="CS287" s="517"/>
      <c r="CT287" s="503" t="str">
        <f>IF($G287="","",IF(AND($G287&gt;=30,$AT$3&lt;=CS$7),ROUND(CS287*($AP$3+#REF!),-1),""))</f>
        <v/>
      </c>
      <c r="CU287" s="517"/>
      <c r="CV287" s="503" t="str">
        <f>IF($G287="","",IF(AND($G287&gt;=30,$AT$3&lt;=CU$7),ROUND(CU287*($AP$3+#REF!),-1),""))</f>
        <v/>
      </c>
      <c r="CW287" s="517"/>
      <c r="CX287" s="503" t="str">
        <f>IF($G287="","",IF(AND($G287&gt;=30,$AT$3&lt;=CW$7),ROUND(CW287*($AP$3+#REF!),-1),""))</f>
        <v/>
      </c>
      <c r="CY287" s="517"/>
      <c r="CZ287" s="503" t="str">
        <f>IF($G287="","",IF(AND($G287&gt;=30,$AT$3&lt;=CY$7),ROUND(CY287*($AP$3+#REF!),-1),""))</f>
        <v/>
      </c>
      <c r="DA287" s="517"/>
      <c r="DB287" s="503" t="str">
        <f>IF($G287="","",IF(AND($G287&gt;=30,$AT$3&lt;=DA$7),ROUND(DA287*($AP$3+#REF!),-1),""))</f>
        <v/>
      </c>
      <c r="DC287" s="517"/>
      <c r="DD287" s="503" t="str">
        <f>IF($G287="","",IF(AND($G287&gt;=30,$AT$3&lt;=DC$7),ROUND(DC287*($AP$3+#REF!),-1),""))</f>
        <v/>
      </c>
      <c r="DE287" s="517"/>
      <c r="DF287" s="503" t="str">
        <f>IF($G287="","",IF(AND($G287&gt;=30,$AT$3&lt;=DE$7),ROUND(DE287*($AP$3+#REF!),-1),""))</f>
        <v/>
      </c>
      <c r="DG287" s="517"/>
      <c r="DH287" s="503" t="str">
        <f>IF($G287="","",IF(AND($G287&gt;=30,$AT$3&lt;=DG$7),ROUND(DG287*($AP$3+#REF!),-1),""))</f>
        <v/>
      </c>
      <c r="DI287" s="517"/>
      <c r="DJ287" s="503" t="str">
        <f>IF($G287="","",IF(AND($G287&gt;=30,$AT$3&lt;=DI$7),ROUND(DI287*($AP$3+#REF!),-1),""))</f>
        <v/>
      </c>
      <c r="DK287" s="517"/>
      <c r="DL287" s="503" t="str">
        <f>IF($G287="","",IF(AND($G287&gt;=30,$AT$3&lt;=DK$7),ROUND(DK287*($AP$3+#REF!),-1),""))</f>
        <v/>
      </c>
      <c r="DM287" s="517"/>
      <c r="DN287" s="503" t="str">
        <f>IF($G287="","",IF(AND($G287&gt;=30,$AT$3&lt;=DM$7),ROUND(DM287*($AP$3+#REF!),-1),""))</f>
        <v/>
      </c>
      <c r="DO287" s="517"/>
      <c r="DP287" s="503" t="str">
        <f>IF($G287="","",IF(AND($G287&gt;=30,$AT$3&lt;=DO$7),ROUND(DO287*($AP$3+#REF!),-1),""))</f>
        <v/>
      </c>
      <c r="DQ287" s="517"/>
      <c r="DR287" s="503" t="str">
        <f>IF($G287="","",IF(AND($G287&gt;=30,$AT$3&lt;=DQ$7),ROUND(DQ287*($AP$3+#REF!),-1),""))</f>
        <v/>
      </c>
      <c r="DS287" s="517"/>
      <c r="DT287" s="503" t="str">
        <f>IF($G287="","",IF(AND($G287&gt;=30,$AT$3&lt;=DS$7),ROUND(DS287*($AP$3+#REF!),-1),""))</f>
        <v/>
      </c>
      <c r="DU287" s="517"/>
      <c r="DV287" s="503" t="str">
        <f>IF($G287="","",IF(AND($G287&gt;=30,$AT$3&lt;=DU$7),ROUND(DU287*($AP$3+#REF!),-1),""))</f>
        <v/>
      </c>
      <c r="DW287" s="517"/>
      <c r="DX287" s="503" t="str">
        <f>IF($G287="","",IF(AND($G287&gt;=30,$AT$3&lt;=DW$7),ROUND(DW287*($AP$3+#REF!),-1),""))</f>
        <v/>
      </c>
      <c r="DY287" s="517"/>
      <c r="DZ287" s="503" t="str">
        <f>IF($G287="","",IF(AND($G287&gt;=30,$AT$3&lt;=DY$7),ROUND(DY287*($AP$3+#REF!),-1),""))</f>
        <v/>
      </c>
      <c r="EA287" s="517"/>
      <c r="EB287" s="503" t="str">
        <f>IF($G287="","",IF(AND($G287&gt;=30,$AT$3&lt;=EA$7),ROUND(EA287*($AP$3+#REF!),-1),""))</f>
        <v/>
      </c>
      <c r="EC287" s="504" t="s">
        <v>621</v>
      </c>
      <c r="ED287" s="1124"/>
      <c r="EE287" s="325">
        <v>3</v>
      </c>
    </row>
    <row r="288" spans="1:135" ht="9.75" customHeight="1">
      <c r="A288" s="321" t="str">
        <f t="shared" si="68"/>
        <v/>
      </c>
      <c r="B288" s="567">
        <f>(ii!$D$13*12+V288)+1</f>
        <v>182</v>
      </c>
      <c r="C288" s="337">
        <f t="shared" si="72"/>
        <v>50890</v>
      </c>
      <c r="D288" s="484">
        <f t="shared" si="75"/>
        <v>2039</v>
      </c>
      <c r="E288" s="484">
        <f t="shared" si="73"/>
        <v>0.33333333333333331</v>
      </c>
      <c r="F288" s="484">
        <f t="shared" si="76"/>
        <v>2039.3333333333333</v>
      </c>
      <c r="G288" s="485" t="str">
        <f>IF(OR(C288&lt;$I$2,C288&gt;$J$3),"",(ii!$D$13*12+V288+1)/12)</f>
        <v/>
      </c>
      <c r="H288" s="486"/>
      <c r="I288" s="486"/>
      <c r="J288" s="487"/>
      <c r="K288" s="488"/>
      <c r="L288" s="548"/>
      <c r="M288" s="489" t="str">
        <f t="shared" si="77"/>
        <v/>
      </c>
      <c r="N288" s="490" t="s">
        <v>621</v>
      </c>
      <c r="O288" s="490" t="str">
        <f t="shared" si="70"/>
        <v/>
      </c>
      <c r="P288" s="491"/>
      <c r="Q288" s="491"/>
      <c r="R288" s="491" t="str">
        <f t="shared" si="71"/>
        <v/>
      </c>
      <c r="S288" s="528" t="str">
        <f t="shared" si="69"/>
        <v/>
      </c>
      <c r="T288" s="528" t="str">
        <f t="shared" si="67"/>
        <v/>
      </c>
      <c r="U288" s="493" t="str">
        <f>IF(H288="","",#REF!*12+#REF!+#REF!*12+#REF!)</f>
        <v/>
      </c>
      <c r="V288" s="338">
        <f>IF(ii!$J$3&gt;gg!C288,"",IF(AND((YEAR(C288)=YEAR($I$2)),MONTH(C288)=MONTH($I$2)),ii!$B$14*12+ii!$C$14+ii!$B$15*12+ii!$C$15-1,V287+1))</f>
        <v>181</v>
      </c>
      <c r="W288" s="339">
        <f t="shared" si="74"/>
        <v>15.083333333333334</v>
      </c>
      <c r="X288" s="494" t="s">
        <v>621</v>
      </c>
      <c r="Y288" s="495" t="s">
        <v>621</v>
      </c>
      <c r="Z288" s="496"/>
      <c r="AA288" s="497"/>
      <c r="AB288" s="498" t="e">
        <f t="shared" si="80"/>
        <v>#VALUE!</v>
      </c>
      <c r="AC288" s="484" t="str">
        <f t="shared" si="78"/>
        <v/>
      </c>
      <c r="AD288" s="495" t="str">
        <f t="shared" si="79"/>
        <v/>
      </c>
      <c r="AE288" s="499" t="s">
        <v>621</v>
      </c>
      <c r="AF288" s="500" t="s">
        <v>621</v>
      </c>
      <c r="AG288" s="556" t="s">
        <v>621</v>
      </c>
      <c r="AH288" s="503" t="str">
        <f>IF($G288="","",IF(AND($G288&gt;=30,$AT$3&lt;=AG$7),ROUND(AG288*($AP$3+#REF!),-1),""))</f>
        <v/>
      </c>
      <c r="AI288" s="506" t="s">
        <v>621</v>
      </c>
      <c r="AJ288" s="503" t="str">
        <f>IF($G288="","",IF(AND($G288&gt;=30,$AT$3&lt;=AI$7),ROUND(AI288*($AP$3+#REF!),-1),""))</f>
        <v/>
      </c>
      <c r="AK288" s="506" t="s">
        <v>621</v>
      </c>
      <c r="AL288" s="503" t="str">
        <f>IF($G288="","",IF(AND($G288&gt;=30,$AT$3&lt;=AK$7),ROUND(AK288*($AP$3+#REF!),-1),""))</f>
        <v/>
      </c>
      <c r="AM288" s="506" t="s">
        <v>621</v>
      </c>
      <c r="AN288" s="503" t="str">
        <f>IF($G288="","",IF(AND($G288&gt;=30,$AT$3&lt;=AM$7),ROUND(AM288*($AP$3+#REF!),-1),""))</f>
        <v/>
      </c>
      <c r="AO288" s="503" t="e">
        <v>#REF!</v>
      </c>
      <c r="AP288" s="503" t="str">
        <f>IF($G288="","",IF(AND($G288&gt;=30,$AT$3&lt;=AO$7),ROUND(AO288*($AP$3+#REF!),-1),""))</f>
        <v/>
      </c>
      <c r="AQ288" s="503" t="s">
        <v>621</v>
      </c>
      <c r="AR288" s="503" t="str">
        <f>IF($G288="","",IF(AND($G288&gt;=30,$AT$3&lt;=AQ$7),ROUND(AQ288*($AP$3+#REF!),-1),""))</f>
        <v/>
      </c>
      <c r="AS288" s="503" t="s">
        <v>621</v>
      </c>
      <c r="AT288" s="503" t="str">
        <f>IF($G288="","",IF(AND($G288&gt;=30,$AT$3&lt;=AS$7),ROUND(AS288*($AP$3+#REF!),-1),""))</f>
        <v/>
      </c>
      <c r="AU288" s="503" t="s">
        <v>621</v>
      </c>
      <c r="AV288" s="503" t="str">
        <f>IF($G288="","",IF(AND($G288&gt;=30,$AT$3&lt;=AU$7),ROUND(AU288*($AP$3+#REF!),-1),""))</f>
        <v/>
      </c>
      <c r="AW288" s="503" t="s">
        <v>621</v>
      </c>
      <c r="AX288" s="503" t="str">
        <f>IF($G288="","",IF(AND($G288&gt;=30,$AT$3&lt;=AW$7),ROUND(AW288*($AP$3+#REF!),-1),""))</f>
        <v/>
      </c>
      <c r="AY288" s="503" t="s">
        <v>621</v>
      </c>
      <c r="AZ288" s="503" t="str">
        <f>IF($G288="","",IF(AND($G288&gt;=30,$AT$3&lt;=AY$7),ROUND(AY288*($AP$3+#REF!),-1),""))</f>
        <v/>
      </c>
      <c r="BA288" s="503" t="s">
        <v>621</v>
      </c>
      <c r="BB288" s="503" t="str">
        <f>IF($G288="","",IF(AND($G288&gt;=30,$AT$3&lt;=BA$7),ROUND(BA288*($AP$3+#REF!),-1),""))</f>
        <v/>
      </c>
      <c r="BC288" s="503" t="s">
        <v>621</v>
      </c>
      <c r="BD288" s="503" t="str">
        <f>IF($G288="","",IF(AND($G288&gt;=30,$AT$3&lt;=BC$7),ROUND(BC288*($AP$3+#REF!),-1),""))</f>
        <v/>
      </c>
      <c r="BE288" s="503" t="s">
        <v>621</v>
      </c>
      <c r="BF288" s="503" t="str">
        <f>IF($G288="","",IF(AND($G288&gt;=30,$AT$3&lt;=BE$7),ROUND(BE288*($AP$3+#REF!),-1),""))</f>
        <v/>
      </c>
      <c r="BG288" s="503" t="s">
        <v>621</v>
      </c>
      <c r="BH288" s="503" t="str">
        <f>IF($G288="","",IF(AND($G288&gt;=30,$AT$3&lt;=BG$7),ROUND(BG288*($AP$3+#REF!),-1),""))</f>
        <v/>
      </c>
      <c r="BI288" s="503" t="s">
        <v>621</v>
      </c>
      <c r="BJ288" s="503" t="str">
        <f>IF($G288="","",IF(AND($G288&gt;=30,$AT$3&lt;=BI$7),ROUND(BI288*($AP$3+#REF!),-1),""))</f>
        <v/>
      </c>
      <c r="BK288" s="503" t="s">
        <v>621</v>
      </c>
      <c r="BL288" s="503" t="str">
        <f>IF($G288="","",IF(AND($G288&gt;=30,$AT$3&lt;=BK$7),ROUND(BK288*($AP$3+#REF!),-1),""))</f>
        <v/>
      </c>
      <c r="BM288" s="503" t="s">
        <v>621</v>
      </c>
      <c r="BN288" s="503" t="str">
        <f>IF($G288="","",IF(AND($G288&gt;=30,$AT$3&lt;=BM$7),ROUND(BM288*($AP$3+#REF!),-1),""))</f>
        <v/>
      </c>
      <c r="BO288" s="503" t="s">
        <v>621</v>
      </c>
      <c r="BP288" s="503" t="str">
        <f>IF($G288="","",IF(AND($G288&gt;=30,$AT$3&lt;=BO$7),ROUND(BO288*($AP$3+#REF!),-1),""))</f>
        <v/>
      </c>
      <c r="BQ288" s="503" t="s">
        <v>621</v>
      </c>
      <c r="BR288" s="503" t="str">
        <f>IF($G288="","",IF(AND($G288&gt;=30,$AT$3&lt;=BQ$7),ROUND(BQ288*($AP$3+#REF!),-1),""))</f>
        <v/>
      </c>
      <c r="BS288" s="503" t="s">
        <v>621</v>
      </c>
      <c r="BT288" s="503" t="str">
        <f>IF($G288="","",IF(AND($G288&gt;=30,$AT$3&lt;=BS$7),ROUND(BS288*($AP$3+#REF!),-1),""))</f>
        <v/>
      </c>
      <c r="BU288" s="503" t="s">
        <v>621</v>
      </c>
      <c r="BV288" s="503" t="str">
        <f>IF($G288="","",IF(AND($G288&gt;=30,$AT$3&lt;=BU$7),ROUND(BU288*($AP$3+#REF!),-1),""))</f>
        <v/>
      </c>
      <c r="BW288" s="503" t="s">
        <v>621</v>
      </c>
      <c r="BX288" s="503" t="str">
        <f>IF($G288="","",IF(AND($G288&gt;=30,$AT$3&lt;=BW$7),ROUND(BW288*($AP$3+#REF!),-1),""))</f>
        <v/>
      </c>
      <c r="BY288" s="503" t="s">
        <v>621</v>
      </c>
      <c r="BZ288" s="503" t="str">
        <f>IF($G288="","",IF(AND($G288&gt;=30,$AT$3&lt;=BY$7),ROUND(BY288*($AP$3+#REF!),-1),""))</f>
        <v/>
      </c>
      <c r="CA288" s="517" t="e">
        <v>#REF!</v>
      </c>
      <c r="CB288" s="503" t="str">
        <f>IF($G288="","",IF(AND($G288&gt;=30,$AT$3&lt;=CA$7),ROUND(CA288*($AP$3+#REF!),-1),""))</f>
        <v/>
      </c>
      <c r="CC288" s="517"/>
      <c r="CD288" s="503" t="str">
        <f>IF($G288="","",IF(AND($G288&gt;=30,$AT$3&lt;=CC$7),ROUND(CC288*($AP$3+#REF!),-1),""))</f>
        <v/>
      </c>
      <c r="CE288" s="517"/>
      <c r="CF288" s="503" t="str">
        <f>IF($G288="","",IF(AND($G288&gt;=30,$AT$3&lt;=CE$7),ROUND(CE288*($AP$3+#REF!),-1),""))</f>
        <v/>
      </c>
      <c r="CG288" s="517"/>
      <c r="CH288" s="503" t="str">
        <f>IF($G288="","",IF(AND($G288&gt;=30,$AT$3&lt;=CG$7),ROUND(CG288*($AP$3+#REF!),-1),""))</f>
        <v/>
      </c>
      <c r="CI288" s="517"/>
      <c r="CJ288" s="503" t="str">
        <f>IF($G288="","",IF(AND($G288&gt;=30,$AT$3&lt;=CI$7),ROUND(CI288*($AP$3+#REF!),-1),""))</f>
        <v/>
      </c>
      <c r="CK288" s="517"/>
      <c r="CL288" s="503" t="str">
        <f>IF($G288="","",IF(AND($G288&gt;=30,$AT$3&lt;=CK$7),ROUND(CK288*($AP$3+#REF!),-1),""))</f>
        <v/>
      </c>
      <c r="CM288" s="517"/>
      <c r="CN288" s="503" t="str">
        <f>IF($G288="","",IF(AND($G288&gt;=30,$AT$3&lt;=CM$7),ROUND(CM288*($AP$3+#REF!),-1),""))</f>
        <v/>
      </c>
      <c r="CO288" s="517"/>
      <c r="CP288" s="503" t="str">
        <f>IF($G288="","",IF(AND($G288&gt;=30,$AT$3&lt;=CO$7),ROUND(CO288*($AP$3+#REF!),-1),""))</f>
        <v/>
      </c>
      <c r="CQ288" s="517"/>
      <c r="CR288" s="503" t="str">
        <f>IF($G288="","",IF(AND($G288&gt;=30,$AT$3&lt;=CQ$7),ROUND(CQ288*($AP$3+#REF!),-1),""))</f>
        <v/>
      </c>
      <c r="CS288" s="517"/>
      <c r="CT288" s="503" t="str">
        <f>IF($G288="","",IF(AND($G288&gt;=30,$AT$3&lt;=CS$7),ROUND(CS288*($AP$3+#REF!),-1),""))</f>
        <v/>
      </c>
      <c r="CU288" s="517"/>
      <c r="CV288" s="503" t="str">
        <f>IF($G288="","",IF(AND($G288&gt;=30,$AT$3&lt;=CU$7),ROUND(CU288*($AP$3+#REF!),-1),""))</f>
        <v/>
      </c>
      <c r="CW288" s="517"/>
      <c r="CX288" s="503" t="str">
        <f>IF($G288="","",IF(AND($G288&gt;=30,$AT$3&lt;=CW$7),ROUND(CW288*($AP$3+#REF!),-1),""))</f>
        <v/>
      </c>
      <c r="CY288" s="517"/>
      <c r="CZ288" s="503" t="str">
        <f>IF($G288="","",IF(AND($G288&gt;=30,$AT$3&lt;=CY$7),ROUND(CY288*($AP$3+#REF!),-1),""))</f>
        <v/>
      </c>
      <c r="DA288" s="517"/>
      <c r="DB288" s="503" t="str">
        <f>IF($G288="","",IF(AND($G288&gt;=30,$AT$3&lt;=DA$7),ROUND(DA288*($AP$3+#REF!),-1),""))</f>
        <v/>
      </c>
      <c r="DC288" s="517"/>
      <c r="DD288" s="503" t="str">
        <f>IF($G288="","",IF(AND($G288&gt;=30,$AT$3&lt;=DC$7),ROUND(DC288*($AP$3+#REF!),-1),""))</f>
        <v/>
      </c>
      <c r="DE288" s="517"/>
      <c r="DF288" s="503" t="str">
        <f>IF($G288="","",IF(AND($G288&gt;=30,$AT$3&lt;=DE$7),ROUND(DE288*($AP$3+#REF!),-1),""))</f>
        <v/>
      </c>
      <c r="DG288" s="517"/>
      <c r="DH288" s="503" t="str">
        <f>IF($G288="","",IF(AND($G288&gt;=30,$AT$3&lt;=DG$7),ROUND(DG288*($AP$3+#REF!),-1),""))</f>
        <v/>
      </c>
      <c r="DI288" s="517"/>
      <c r="DJ288" s="503" t="str">
        <f>IF($G288="","",IF(AND($G288&gt;=30,$AT$3&lt;=DI$7),ROUND(DI288*($AP$3+#REF!),-1),""))</f>
        <v/>
      </c>
      <c r="DK288" s="517"/>
      <c r="DL288" s="503" t="str">
        <f>IF($G288="","",IF(AND($G288&gt;=30,$AT$3&lt;=DK$7),ROUND(DK288*($AP$3+#REF!),-1),""))</f>
        <v/>
      </c>
      <c r="DM288" s="517"/>
      <c r="DN288" s="503" t="str">
        <f>IF($G288="","",IF(AND($G288&gt;=30,$AT$3&lt;=DM$7),ROUND(DM288*($AP$3+#REF!),-1),""))</f>
        <v/>
      </c>
      <c r="DO288" s="517"/>
      <c r="DP288" s="503" t="str">
        <f>IF($G288="","",IF(AND($G288&gt;=30,$AT$3&lt;=DO$7),ROUND(DO288*($AP$3+#REF!),-1),""))</f>
        <v/>
      </c>
      <c r="DQ288" s="517"/>
      <c r="DR288" s="503" t="str">
        <f>IF($G288="","",IF(AND($G288&gt;=30,$AT$3&lt;=DQ$7),ROUND(DQ288*($AP$3+#REF!),-1),""))</f>
        <v/>
      </c>
      <c r="DS288" s="517"/>
      <c r="DT288" s="503" t="str">
        <f>IF($G288="","",IF(AND($G288&gt;=30,$AT$3&lt;=DS$7),ROUND(DS288*($AP$3+#REF!),-1),""))</f>
        <v/>
      </c>
      <c r="DU288" s="517"/>
      <c r="DV288" s="503" t="str">
        <f>IF($G288="","",IF(AND($G288&gt;=30,$AT$3&lt;=DU$7),ROUND(DU288*($AP$3+#REF!),-1),""))</f>
        <v/>
      </c>
      <c r="DW288" s="517"/>
      <c r="DX288" s="503" t="str">
        <f>IF($G288="","",IF(AND($G288&gt;=30,$AT$3&lt;=DW$7),ROUND(DW288*($AP$3+#REF!),-1),""))</f>
        <v/>
      </c>
      <c r="DY288" s="517"/>
      <c r="DZ288" s="503" t="str">
        <f>IF($G288="","",IF(AND($G288&gt;=30,$AT$3&lt;=DY$7),ROUND(DY288*($AP$3+#REF!),-1),""))</f>
        <v/>
      </c>
      <c r="EA288" s="517"/>
      <c r="EB288" s="503" t="str">
        <f>IF($G288="","",IF(AND($G288&gt;=30,$AT$3&lt;=EA$7),ROUND(EA288*($AP$3+#REF!),-1),""))</f>
        <v/>
      </c>
      <c r="EC288" s="504" t="s">
        <v>621</v>
      </c>
      <c r="ED288" s="1124"/>
      <c r="EE288" s="325">
        <v>4</v>
      </c>
    </row>
    <row r="289" spans="1:135" ht="9.75" customHeight="1">
      <c r="A289" s="321" t="str">
        <f t="shared" si="68"/>
        <v/>
      </c>
      <c r="B289" s="567">
        <f>(ii!$D$13*12+V289)+1</f>
        <v>183</v>
      </c>
      <c r="C289" s="337">
        <f t="shared" si="72"/>
        <v>50921</v>
      </c>
      <c r="D289" s="484">
        <f t="shared" si="75"/>
        <v>2039</v>
      </c>
      <c r="E289" s="484">
        <f t="shared" si="73"/>
        <v>0.41666666666666669</v>
      </c>
      <c r="F289" s="484">
        <f t="shared" si="76"/>
        <v>2039.4166666666667</v>
      </c>
      <c r="G289" s="485" t="str">
        <f>IF(OR(C289&lt;$I$2,C289&gt;$J$3),"",(ii!$D$13*12+V289+1)/12)</f>
        <v/>
      </c>
      <c r="H289" s="486"/>
      <c r="I289" s="486"/>
      <c r="J289" s="507"/>
      <c r="K289" s="508"/>
      <c r="L289" s="548"/>
      <c r="M289" s="489" t="str">
        <f t="shared" si="77"/>
        <v/>
      </c>
      <c r="N289" s="490" t="s">
        <v>621</v>
      </c>
      <c r="O289" s="490" t="str">
        <f t="shared" si="70"/>
        <v/>
      </c>
      <c r="P289" s="507"/>
      <c r="Q289" s="507"/>
      <c r="R289" s="491" t="str">
        <f t="shared" si="71"/>
        <v/>
      </c>
      <c r="S289" s="528" t="str">
        <f t="shared" si="69"/>
        <v/>
      </c>
      <c r="T289" s="528" t="str">
        <f t="shared" si="67"/>
        <v/>
      </c>
      <c r="U289" s="493" t="str">
        <f>IF(H289="","",#REF!*12+#REF!+#REF!*12+#REF!)</f>
        <v/>
      </c>
      <c r="V289" s="338">
        <f>IF(ii!$J$3&gt;gg!C289,"",IF(AND((YEAR(C289)=YEAR($I$2)),MONTH(C289)=MONTH($I$2)),ii!$B$14*12+ii!$C$14+ii!$B$15*12+ii!$C$15-1,V288+1))</f>
        <v>182</v>
      </c>
      <c r="W289" s="339">
        <f t="shared" si="74"/>
        <v>15.166666666666666</v>
      </c>
      <c r="X289" s="494" t="s">
        <v>621</v>
      </c>
      <c r="Y289" s="495" t="s">
        <v>621</v>
      </c>
      <c r="Z289" s="496"/>
      <c r="AA289" s="497"/>
      <c r="AB289" s="498" t="e">
        <f t="shared" si="80"/>
        <v>#VALUE!</v>
      </c>
      <c r="AC289" s="484" t="str">
        <f t="shared" si="78"/>
        <v/>
      </c>
      <c r="AD289" s="495" t="str">
        <f t="shared" si="79"/>
        <v/>
      </c>
      <c r="AE289" s="499" t="s">
        <v>621</v>
      </c>
      <c r="AF289" s="500" t="s">
        <v>621</v>
      </c>
      <c r="AG289" s="556" t="s">
        <v>621</v>
      </c>
      <c r="AH289" s="503" t="str">
        <f>IF($G289="","",IF(AND($G289&gt;=30,$AT$3&lt;=AG$7),ROUND(AG289*($AP$3+#REF!),-1),""))</f>
        <v/>
      </c>
      <c r="AI289" s="506" t="s">
        <v>621</v>
      </c>
      <c r="AJ289" s="503" t="str">
        <f>IF($G289="","",IF(AND($G289&gt;=30,$AT$3&lt;=AI$7),ROUND(AI289*($AP$3+#REF!),-1),""))</f>
        <v/>
      </c>
      <c r="AK289" s="506" t="s">
        <v>621</v>
      </c>
      <c r="AL289" s="503" t="str">
        <f>IF($G289="","",IF(AND($G289&gt;=30,$AT$3&lt;=AK$7),ROUND(AK289*($AP$3+#REF!),-1),""))</f>
        <v/>
      </c>
      <c r="AM289" s="506" t="s">
        <v>621</v>
      </c>
      <c r="AN289" s="503" t="str">
        <f>IF($G289="","",IF(AND($G289&gt;=30,$AT$3&lt;=AM$7),ROUND(AM289*($AP$3+#REF!),-1),""))</f>
        <v/>
      </c>
      <c r="AO289" s="503" t="e">
        <v>#REF!</v>
      </c>
      <c r="AP289" s="503" t="str">
        <f>IF($G289="","",IF(AND($G289&gt;=30,$AT$3&lt;=AO$7),ROUND(AO289*($AP$3+#REF!),-1),""))</f>
        <v/>
      </c>
      <c r="AQ289" s="503" t="s">
        <v>621</v>
      </c>
      <c r="AR289" s="503" t="str">
        <f>IF($G289="","",IF(AND($G289&gt;=30,$AT$3&lt;=AQ$7),ROUND(AQ289*($AP$3+#REF!),-1),""))</f>
        <v/>
      </c>
      <c r="AS289" s="503" t="s">
        <v>621</v>
      </c>
      <c r="AT289" s="503" t="str">
        <f>IF($G289="","",IF(AND($G289&gt;=30,$AT$3&lt;=AS$7),ROUND(AS289*($AP$3+#REF!),-1),""))</f>
        <v/>
      </c>
      <c r="AU289" s="503" t="s">
        <v>621</v>
      </c>
      <c r="AV289" s="503" t="str">
        <f>IF($G289="","",IF(AND($G289&gt;=30,$AT$3&lt;=AU$7),ROUND(AU289*($AP$3+#REF!),-1),""))</f>
        <v/>
      </c>
      <c r="AW289" s="503" t="s">
        <v>621</v>
      </c>
      <c r="AX289" s="503" t="str">
        <f>IF($G289="","",IF(AND($G289&gt;=30,$AT$3&lt;=AW$7),ROUND(AW289*($AP$3+#REF!),-1),""))</f>
        <v/>
      </c>
      <c r="AY289" s="503" t="s">
        <v>621</v>
      </c>
      <c r="AZ289" s="503" t="str">
        <f>IF($G289="","",IF(AND($G289&gt;=30,$AT$3&lt;=AY$7),ROUND(AY289*($AP$3+#REF!),-1),""))</f>
        <v/>
      </c>
      <c r="BA289" s="503" t="s">
        <v>621</v>
      </c>
      <c r="BB289" s="503" t="str">
        <f>IF($G289="","",IF(AND($G289&gt;=30,$AT$3&lt;=BA$7),ROUND(BA289*($AP$3+#REF!),-1),""))</f>
        <v/>
      </c>
      <c r="BC289" s="503" t="s">
        <v>621</v>
      </c>
      <c r="BD289" s="503" t="str">
        <f>IF($G289="","",IF(AND($G289&gt;=30,$AT$3&lt;=BC$7),ROUND(BC289*($AP$3+#REF!),-1),""))</f>
        <v/>
      </c>
      <c r="BE289" s="503" t="s">
        <v>621</v>
      </c>
      <c r="BF289" s="503" t="str">
        <f>IF($G289="","",IF(AND($G289&gt;=30,$AT$3&lt;=BE$7),ROUND(BE289*($AP$3+#REF!),-1),""))</f>
        <v/>
      </c>
      <c r="BG289" s="503" t="s">
        <v>621</v>
      </c>
      <c r="BH289" s="503" t="str">
        <f>IF($G289="","",IF(AND($G289&gt;=30,$AT$3&lt;=BG$7),ROUND(BG289*($AP$3+#REF!),-1),""))</f>
        <v/>
      </c>
      <c r="BI289" s="503" t="s">
        <v>621</v>
      </c>
      <c r="BJ289" s="503" t="str">
        <f>IF($G289="","",IF(AND($G289&gt;=30,$AT$3&lt;=BI$7),ROUND(BI289*($AP$3+#REF!),-1),""))</f>
        <v/>
      </c>
      <c r="BK289" s="503" t="s">
        <v>621</v>
      </c>
      <c r="BL289" s="503" t="str">
        <f>IF($G289="","",IF(AND($G289&gt;=30,$AT$3&lt;=BK$7),ROUND(BK289*($AP$3+#REF!),-1),""))</f>
        <v/>
      </c>
      <c r="BM289" s="503" t="s">
        <v>621</v>
      </c>
      <c r="BN289" s="503" t="str">
        <f>IF($G289="","",IF(AND($G289&gt;=30,$AT$3&lt;=BM$7),ROUND(BM289*($AP$3+#REF!),-1),""))</f>
        <v/>
      </c>
      <c r="BO289" s="503" t="s">
        <v>621</v>
      </c>
      <c r="BP289" s="503" t="str">
        <f>IF($G289="","",IF(AND($G289&gt;=30,$AT$3&lt;=BO$7),ROUND(BO289*($AP$3+#REF!),-1),""))</f>
        <v/>
      </c>
      <c r="BQ289" s="503" t="s">
        <v>621</v>
      </c>
      <c r="BR289" s="503" t="str">
        <f>IF($G289="","",IF(AND($G289&gt;=30,$AT$3&lt;=BQ$7),ROUND(BQ289*($AP$3+#REF!),-1),""))</f>
        <v/>
      </c>
      <c r="BS289" s="503" t="s">
        <v>621</v>
      </c>
      <c r="BT289" s="503" t="str">
        <f>IF($G289="","",IF(AND($G289&gt;=30,$AT$3&lt;=BS$7),ROUND(BS289*($AP$3+#REF!),-1),""))</f>
        <v/>
      </c>
      <c r="BU289" s="503" t="s">
        <v>621</v>
      </c>
      <c r="BV289" s="503" t="str">
        <f>IF($G289="","",IF(AND($G289&gt;=30,$AT$3&lt;=BU$7),ROUND(BU289*($AP$3+#REF!),-1),""))</f>
        <v/>
      </c>
      <c r="BW289" s="503" t="s">
        <v>621</v>
      </c>
      <c r="BX289" s="503" t="str">
        <f>IF($G289="","",IF(AND($G289&gt;=30,$AT$3&lt;=BW$7),ROUND(BW289*($AP$3+#REF!),-1),""))</f>
        <v/>
      </c>
      <c r="BY289" s="503" t="s">
        <v>621</v>
      </c>
      <c r="BZ289" s="503" t="str">
        <f>IF($G289="","",IF(AND($G289&gt;=30,$AT$3&lt;=BY$7),ROUND(BY289*($AP$3+#REF!),-1),""))</f>
        <v/>
      </c>
      <c r="CA289" s="517" t="e">
        <v>#REF!</v>
      </c>
      <c r="CB289" s="503" t="str">
        <f>IF($G289="","",IF(AND($G289&gt;=30,$AT$3&lt;=CA$7),ROUND(CA289*($AP$3+#REF!),-1),""))</f>
        <v/>
      </c>
      <c r="CC289" s="517"/>
      <c r="CD289" s="503" t="str">
        <f>IF($G289="","",IF(AND($G289&gt;=30,$AT$3&lt;=CC$7),ROUND(CC289*($AP$3+#REF!),-1),""))</f>
        <v/>
      </c>
      <c r="CE289" s="517"/>
      <c r="CF289" s="503" t="str">
        <f>IF($G289="","",IF(AND($G289&gt;=30,$AT$3&lt;=CE$7),ROUND(CE289*($AP$3+#REF!),-1),""))</f>
        <v/>
      </c>
      <c r="CG289" s="517"/>
      <c r="CH289" s="503" t="str">
        <f>IF($G289="","",IF(AND($G289&gt;=30,$AT$3&lt;=CG$7),ROUND(CG289*($AP$3+#REF!),-1),""))</f>
        <v/>
      </c>
      <c r="CI289" s="517"/>
      <c r="CJ289" s="503" t="str">
        <f>IF($G289="","",IF(AND($G289&gt;=30,$AT$3&lt;=CI$7),ROUND(CI289*($AP$3+#REF!),-1),""))</f>
        <v/>
      </c>
      <c r="CK289" s="517"/>
      <c r="CL289" s="503" t="str">
        <f>IF($G289="","",IF(AND($G289&gt;=30,$AT$3&lt;=CK$7),ROUND(CK289*($AP$3+#REF!),-1),""))</f>
        <v/>
      </c>
      <c r="CM289" s="517"/>
      <c r="CN289" s="503" t="str">
        <f>IF($G289="","",IF(AND($G289&gt;=30,$AT$3&lt;=CM$7),ROUND(CM289*($AP$3+#REF!),-1),""))</f>
        <v/>
      </c>
      <c r="CO289" s="517"/>
      <c r="CP289" s="503" t="str">
        <f>IF($G289="","",IF(AND($G289&gt;=30,$AT$3&lt;=CO$7),ROUND(CO289*($AP$3+#REF!),-1),""))</f>
        <v/>
      </c>
      <c r="CQ289" s="517"/>
      <c r="CR289" s="503" t="str">
        <f>IF($G289="","",IF(AND($G289&gt;=30,$AT$3&lt;=CQ$7),ROUND(CQ289*($AP$3+#REF!),-1),""))</f>
        <v/>
      </c>
      <c r="CS289" s="517"/>
      <c r="CT289" s="503" t="str">
        <f>IF($G289="","",IF(AND($G289&gt;=30,$AT$3&lt;=CS$7),ROUND(CS289*($AP$3+#REF!),-1),""))</f>
        <v/>
      </c>
      <c r="CU289" s="517"/>
      <c r="CV289" s="503" t="str">
        <f>IF($G289="","",IF(AND($G289&gt;=30,$AT$3&lt;=CU$7),ROUND(CU289*($AP$3+#REF!),-1),""))</f>
        <v/>
      </c>
      <c r="CW289" s="517"/>
      <c r="CX289" s="503" t="str">
        <f>IF($G289="","",IF(AND($G289&gt;=30,$AT$3&lt;=CW$7),ROUND(CW289*($AP$3+#REF!),-1),""))</f>
        <v/>
      </c>
      <c r="CY289" s="517"/>
      <c r="CZ289" s="503" t="str">
        <f>IF($G289="","",IF(AND($G289&gt;=30,$AT$3&lt;=CY$7),ROUND(CY289*($AP$3+#REF!),-1),""))</f>
        <v/>
      </c>
      <c r="DA289" s="517"/>
      <c r="DB289" s="503" t="str">
        <f>IF($G289="","",IF(AND($G289&gt;=30,$AT$3&lt;=DA$7),ROUND(DA289*($AP$3+#REF!),-1),""))</f>
        <v/>
      </c>
      <c r="DC289" s="517"/>
      <c r="DD289" s="503" t="str">
        <f>IF($G289="","",IF(AND($G289&gt;=30,$AT$3&lt;=DC$7),ROUND(DC289*($AP$3+#REF!),-1),""))</f>
        <v/>
      </c>
      <c r="DE289" s="517"/>
      <c r="DF289" s="503" t="str">
        <f>IF($G289="","",IF(AND($G289&gt;=30,$AT$3&lt;=DE$7),ROUND(DE289*($AP$3+#REF!),-1),""))</f>
        <v/>
      </c>
      <c r="DG289" s="517"/>
      <c r="DH289" s="503" t="str">
        <f>IF($G289="","",IF(AND($G289&gt;=30,$AT$3&lt;=DG$7),ROUND(DG289*($AP$3+#REF!),-1),""))</f>
        <v/>
      </c>
      <c r="DI289" s="517"/>
      <c r="DJ289" s="503" t="str">
        <f>IF($G289="","",IF(AND($G289&gt;=30,$AT$3&lt;=DI$7),ROUND(DI289*($AP$3+#REF!),-1),""))</f>
        <v/>
      </c>
      <c r="DK289" s="517"/>
      <c r="DL289" s="503" t="str">
        <f>IF($G289="","",IF(AND($G289&gt;=30,$AT$3&lt;=DK$7),ROUND(DK289*($AP$3+#REF!),-1),""))</f>
        <v/>
      </c>
      <c r="DM289" s="517"/>
      <c r="DN289" s="503" t="str">
        <f>IF($G289="","",IF(AND($G289&gt;=30,$AT$3&lt;=DM$7),ROUND(DM289*($AP$3+#REF!),-1),""))</f>
        <v/>
      </c>
      <c r="DO289" s="517"/>
      <c r="DP289" s="503" t="str">
        <f>IF($G289="","",IF(AND($G289&gt;=30,$AT$3&lt;=DO$7),ROUND(DO289*($AP$3+#REF!),-1),""))</f>
        <v/>
      </c>
      <c r="DQ289" s="517"/>
      <c r="DR289" s="503" t="str">
        <f>IF($G289="","",IF(AND($G289&gt;=30,$AT$3&lt;=DQ$7),ROUND(DQ289*($AP$3+#REF!),-1),""))</f>
        <v/>
      </c>
      <c r="DS289" s="517"/>
      <c r="DT289" s="503" t="str">
        <f>IF($G289="","",IF(AND($G289&gt;=30,$AT$3&lt;=DS$7),ROUND(DS289*($AP$3+#REF!),-1),""))</f>
        <v/>
      </c>
      <c r="DU289" s="517"/>
      <c r="DV289" s="503" t="str">
        <f>IF($G289="","",IF(AND($G289&gt;=30,$AT$3&lt;=DU$7),ROUND(DU289*($AP$3+#REF!),-1),""))</f>
        <v/>
      </c>
      <c r="DW289" s="517"/>
      <c r="DX289" s="503" t="str">
        <f>IF($G289="","",IF(AND($G289&gt;=30,$AT$3&lt;=DW$7),ROUND(DW289*($AP$3+#REF!),-1),""))</f>
        <v/>
      </c>
      <c r="DY289" s="517"/>
      <c r="DZ289" s="503" t="str">
        <f>IF($G289="","",IF(AND($G289&gt;=30,$AT$3&lt;=DY$7),ROUND(DY289*($AP$3+#REF!),-1),""))</f>
        <v/>
      </c>
      <c r="EA289" s="517"/>
      <c r="EB289" s="503" t="str">
        <f>IF($G289="","",IF(AND($G289&gt;=30,$AT$3&lt;=EA$7),ROUND(EA289*($AP$3+#REF!),-1),""))</f>
        <v/>
      </c>
      <c r="EC289" s="504" t="s">
        <v>621</v>
      </c>
      <c r="ED289" s="1124"/>
      <c r="EE289" s="325">
        <v>5</v>
      </c>
    </row>
    <row r="290" spans="1:135" ht="9.75" customHeight="1">
      <c r="A290" s="321" t="str">
        <f t="shared" si="68"/>
        <v/>
      </c>
      <c r="B290" s="567">
        <f>(ii!$D$13*12+V290)+1</f>
        <v>184</v>
      </c>
      <c r="C290" s="337">
        <f t="shared" si="72"/>
        <v>50951</v>
      </c>
      <c r="D290" s="484">
        <f t="shared" si="75"/>
        <v>2039</v>
      </c>
      <c r="E290" s="484">
        <f t="shared" si="73"/>
        <v>0.5</v>
      </c>
      <c r="F290" s="484">
        <f t="shared" si="76"/>
        <v>2039.5</v>
      </c>
      <c r="G290" s="485" t="str">
        <f>IF(OR(C290&lt;$I$2,C290&gt;$J$3),"",(ii!$D$13*12+V290+1)/12)</f>
        <v/>
      </c>
      <c r="H290" s="486"/>
      <c r="I290" s="486"/>
      <c r="J290" s="487"/>
      <c r="K290" s="488"/>
      <c r="L290" s="548"/>
      <c r="M290" s="489" t="str">
        <f t="shared" si="77"/>
        <v/>
      </c>
      <c r="N290" s="490" t="s">
        <v>621</v>
      </c>
      <c r="O290" s="490" t="str">
        <f t="shared" si="70"/>
        <v/>
      </c>
      <c r="P290" s="491"/>
      <c r="Q290" s="491"/>
      <c r="R290" s="491" t="str">
        <f t="shared" si="71"/>
        <v/>
      </c>
      <c r="S290" s="528" t="str">
        <f t="shared" si="69"/>
        <v/>
      </c>
      <c r="T290" s="528" t="str">
        <f t="shared" si="67"/>
        <v/>
      </c>
      <c r="U290" s="493" t="str">
        <f>IF(H290="","",#REF!*12+#REF!+#REF!*12+#REF!)</f>
        <v/>
      </c>
      <c r="V290" s="338">
        <f>IF(ii!$J$3&gt;gg!C290,"",IF(AND((YEAR(C290)=YEAR($I$2)),MONTH(C290)=MONTH($I$2)),ii!$B$14*12+ii!$C$14+ii!$B$15*12+ii!$C$15-1,V289+1))</f>
        <v>183</v>
      </c>
      <c r="W290" s="339">
        <f t="shared" si="74"/>
        <v>15.25</v>
      </c>
      <c r="X290" s="494" t="s">
        <v>621</v>
      </c>
      <c r="Y290" s="495" t="s">
        <v>621</v>
      </c>
      <c r="Z290" s="496"/>
      <c r="AA290" s="497"/>
      <c r="AB290" s="498" t="e">
        <f t="shared" si="80"/>
        <v>#VALUE!</v>
      </c>
      <c r="AC290" s="484" t="str">
        <f t="shared" si="78"/>
        <v/>
      </c>
      <c r="AD290" s="495" t="str">
        <f t="shared" si="79"/>
        <v/>
      </c>
      <c r="AE290" s="499" t="s">
        <v>621</v>
      </c>
      <c r="AF290" s="500" t="s">
        <v>621</v>
      </c>
      <c r="AG290" s="556" t="s">
        <v>621</v>
      </c>
      <c r="AH290" s="503" t="str">
        <f>IF($G290="","",IF(AND($G290&gt;=30,$AT$3&lt;=AG$7),ROUND(AG290*($AP$3+#REF!),-1),""))</f>
        <v/>
      </c>
      <c r="AI290" s="506" t="s">
        <v>621</v>
      </c>
      <c r="AJ290" s="503" t="str">
        <f>IF($G290="","",IF(AND($G290&gt;=30,$AT$3&lt;=AI$7),ROUND(AI290*($AP$3+#REF!),-1),""))</f>
        <v/>
      </c>
      <c r="AK290" s="506" t="s">
        <v>621</v>
      </c>
      <c r="AL290" s="503" t="str">
        <f>IF($G290="","",IF(AND($G290&gt;=30,$AT$3&lt;=AK$7),ROUND(AK290*($AP$3+#REF!),-1),""))</f>
        <v/>
      </c>
      <c r="AM290" s="506" t="s">
        <v>621</v>
      </c>
      <c r="AN290" s="503" t="str">
        <f>IF($G290="","",IF(AND($G290&gt;=30,$AT$3&lt;=AM$7),ROUND(AM290*($AP$3+#REF!),-1),""))</f>
        <v/>
      </c>
      <c r="AO290" s="503" t="e">
        <v>#REF!</v>
      </c>
      <c r="AP290" s="503" t="str">
        <f>IF($G290="","",IF(AND($G290&gt;=30,$AT$3&lt;=AO$7),ROUND(AO290*($AP$3+#REF!),-1),""))</f>
        <v/>
      </c>
      <c r="AQ290" s="503" t="s">
        <v>621</v>
      </c>
      <c r="AR290" s="503" t="str">
        <f>IF($G290="","",IF(AND($G290&gt;=30,$AT$3&lt;=AQ$7),ROUND(AQ290*($AP$3+#REF!),-1),""))</f>
        <v/>
      </c>
      <c r="AS290" s="503" t="s">
        <v>621</v>
      </c>
      <c r="AT290" s="503" t="str">
        <f>IF($G290="","",IF(AND($G290&gt;=30,$AT$3&lt;=AS$7),ROUND(AS290*($AP$3+#REF!),-1),""))</f>
        <v/>
      </c>
      <c r="AU290" s="503" t="s">
        <v>621</v>
      </c>
      <c r="AV290" s="503" t="str">
        <f>IF($G290="","",IF(AND($G290&gt;=30,$AT$3&lt;=AU$7),ROUND(AU290*($AP$3+#REF!),-1),""))</f>
        <v/>
      </c>
      <c r="AW290" s="503" t="s">
        <v>621</v>
      </c>
      <c r="AX290" s="503" t="str">
        <f>IF($G290="","",IF(AND($G290&gt;=30,$AT$3&lt;=AW$7),ROUND(AW290*($AP$3+#REF!),-1),""))</f>
        <v/>
      </c>
      <c r="AY290" s="503" t="s">
        <v>621</v>
      </c>
      <c r="AZ290" s="503" t="str">
        <f>IF($G290="","",IF(AND($G290&gt;=30,$AT$3&lt;=AY$7),ROUND(AY290*($AP$3+#REF!),-1),""))</f>
        <v/>
      </c>
      <c r="BA290" s="503" t="s">
        <v>621</v>
      </c>
      <c r="BB290" s="503" t="str">
        <f>IF($G290="","",IF(AND($G290&gt;=30,$AT$3&lt;=BA$7),ROUND(BA290*($AP$3+#REF!),-1),""))</f>
        <v/>
      </c>
      <c r="BC290" s="503" t="s">
        <v>621</v>
      </c>
      <c r="BD290" s="503" t="str">
        <f>IF($G290="","",IF(AND($G290&gt;=30,$AT$3&lt;=BC$7),ROUND(BC290*($AP$3+#REF!),-1),""))</f>
        <v/>
      </c>
      <c r="BE290" s="503" t="s">
        <v>621</v>
      </c>
      <c r="BF290" s="503" t="str">
        <f>IF($G290="","",IF(AND($G290&gt;=30,$AT$3&lt;=BE$7),ROUND(BE290*($AP$3+#REF!),-1),""))</f>
        <v/>
      </c>
      <c r="BG290" s="503" t="s">
        <v>621</v>
      </c>
      <c r="BH290" s="503" t="str">
        <f>IF($G290="","",IF(AND($G290&gt;=30,$AT$3&lt;=BG$7),ROUND(BG290*($AP$3+#REF!),-1),""))</f>
        <v/>
      </c>
      <c r="BI290" s="503" t="s">
        <v>621</v>
      </c>
      <c r="BJ290" s="503" t="str">
        <f>IF($G290="","",IF(AND($G290&gt;=30,$AT$3&lt;=BI$7),ROUND(BI290*($AP$3+#REF!),-1),""))</f>
        <v/>
      </c>
      <c r="BK290" s="503" t="s">
        <v>621</v>
      </c>
      <c r="BL290" s="503" t="str">
        <f>IF($G290="","",IF(AND($G290&gt;=30,$AT$3&lt;=BK$7),ROUND(BK290*($AP$3+#REF!),-1),""))</f>
        <v/>
      </c>
      <c r="BM290" s="503" t="s">
        <v>621</v>
      </c>
      <c r="BN290" s="503" t="str">
        <f>IF($G290="","",IF(AND($G290&gt;=30,$AT$3&lt;=BM$7),ROUND(BM290*($AP$3+#REF!),-1),""))</f>
        <v/>
      </c>
      <c r="BO290" s="503" t="s">
        <v>621</v>
      </c>
      <c r="BP290" s="503" t="str">
        <f>IF($G290="","",IF(AND($G290&gt;=30,$AT$3&lt;=BO$7),ROUND(BO290*($AP$3+#REF!),-1),""))</f>
        <v/>
      </c>
      <c r="BQ290" s="503" t="s">
        <v>621</v>
      </c>
      <c r="BR290" s="503" t="str">
        <f>IF($G290="","",IF(AND($G290&gt;=30,$AT$3&lt;=BQ$7),ROUND(BQ290*($AP$3+#REF!),-1),""))</f>
        <v/>
      </c>
      <c r="BS290" s="503" t="s">
        <v>621</v>
      </c>
      <c r="BT290" s="503" t="str">
        <f>IF($G290="","",IF(AND($G290&gt;=30,$AT$3&lt;=BS$7),ROUND(BS290*($AP$3+#REF!),-1),""))</f>
        <v/>
      </c>
      <c r="BU290" s="503" t="s">
        <v>621</v>
      </c>
      <c r="BV290" s="503" t="str">
        <f>IF($G290="","",IF(AND($G290&gt;=30,$AT$3&lt;=BU$7),ROUND(BU290*($AP$3+#REF!),-1),""))</f>
        <v/>
      </c>
      <c r="BW290" s="503" t="s">
        <v>621</v>
      </c>
      <c r="BX290" s="503" t="str">
        <f>IF($G290="","",IF(AND($G290&gt;=30,$AT$3&lt;=BW$7),ROUND(BW290*($AP$3+#REF!),-1),""))</f>
        <v/>
      </c>
      <c r="BY290" s="503" t="s">
        <v>621</v>
      </c>
      <c r="BZ290" s="503" t="str">
        <f>IF($G290="","",IF(AND($G290&gt;=30,$AT$3&lt;=BY$7),ROUND(BY290*($AP$3+#REF!),-1),""))</f>
        <v/>
      </c>
      <c r="CA290" s="517" t="e">
        <v>#REF!</v>
      </c>
      <c r="CB290" s="503" t="str">
        <f>IF($G290="","",IF(AND($G290&gt;=30,$AT$3&lt;=CA$7),ROUND(CA290*($AP$3+#REF!),-1),""))</f>
        <v/>
      </c>
      <c r="CC290" s="517"/>
      <c r="CD290" s="503" t="str">
        <f>IF($G290="","",IF(AND($G290&gt;=30,$AT$3&lt;=CC$7),ROUND(CC290*($AP$3+#REF!),-1),""))</f>
        <v/>
      </c>
      <c r="CE290" s="517"/>
      <c r="CF290" s="503" t="str">
        <f>IF($G290="","",IF(AND($G290&gt;=30,$AT$3&lt;=CE$7),ROUND(CE290*($AP$3+#REF!),-1),""))</f>
        <v/>
      </c>
      <c r="CG290" s="517"/>
      <c r="CH290" s="503" t="str">
        <f>IF($G290="","",IF(AND($G290&gt;=30,$AT$3&lt;=CG$7),ROUND(CG290*($AP$3+#REF!),-1),""))</f>
        <v/>
      </c>
      <c r="CI290" s="517"/>
      <c r="CJ290" s="503" t="str">
        <f>IF($G290="","",IF(AND($G290&gt;=30,$AT$3&lt;=CI$7),ROUND(CI290*($AP$3+#REF!),-1),""))</f>
        <v/>
      </c>
      <c r="CK290" s="517"/>
      <c r="CL290" s="503" t="str">
        <f>IF($G290="","",IF(AND($G290&gt;=30,$AT$3&lt;=CK$7),ROUND(CK290*($AP$3+#REF!),-1),""))</f>
        <v/>
      </c>
      <c r="CM290" s="517"/>
      <c r="CN290" s="503" t="str">
        <f>IF($G290="","",IF(AND($G290&gt;=30,$AT$3&lt;=CM$7),ROUND(CM290*($AP$3+#REF!),-1),""))</f>
        <v/>
      </c>
      <c r="CO290" s="517"/>
      <c r="CP290" s="503" t="str">
        <f>IF($G290="","",IF(AND($G290&gt;=30,$AT$3&lt;=CO$7),ROUND(CO290*($AP$3+#REF!),-1),""))</f>
        <v/>
      </c>
      <c r="CQ290" s="517"/>
      <c r="CR290" s="503" t="str">
        <f>IF($G290="","",IF(AND($G290&gt;=30,$AT$3&lt;=CQ$7),ROUND(CQ290*($AP$3+#REF!),-1),""))</f>
        <v/>
      </c>
      <c r="CS290" s="517"/>
      <c r="CT290" s="503" t="str">
        <f>IF($G290="","",IF(AND($G290&gt;=30,$AT$3&lt;=CS$7),ROUND(CS290*($AP$3+#REF!),-1),""))</f>
        <v/>
      </c>
      <c r="CU290" s="517"/>
      <c r="CV290" s="503" t="str">
        <f>IF($G290="","",IF(AND($G290&gt;=30,$AT$3&lt;=CU$7),ROUND(CU290*($AP$3+#REF!),-1),""))</f>
        <v/>
      </c>
      <c r="CW290" s="517"/>
      <c r="CX290" s="503" t="str">
        <f>IF($G290="","",IF(AND($G290&gt;=30,$AT$3&lt;=CW$7),ROUND(CW290*($AP$3+#REF!),-1),""))</f>
        <v/>
      </c>
      <c r="CY290" s="517"/>
      <c r="CZ290" s="503" t="str">
        <f>IF($G290="","",IF(AND($G290&gt;=30,$AT$3&lt;=CY$7),ROUND(CY290*($AP$3+#REF!),-1),""))</f>
        <v/>
      </c>
      <c r="DA290" s="517"/>
      <c r="DB290" s="503" t="str">
        <f>IF($G290="","",IF(AND($G290&gt;=30,$AT$3&lt;=DA$7),ROUND(DA290*($AP$3+#REF!),-1),""))</f>
        <v/>
      </c>
      <c r="DC290" s="517"/>
      <c r="DD290" s="503" t="str">
        <f>IF($G290="","",IF(AND($G290&gt;=30,$AT$3&lt;=DC$7),ROUND(DC290*($AP$3+#REF!),-1),""))</f>
        <v/>
      </c>
      <c r="DE290" s="517"/>
      <c r="DF290" s="503" t="str">
        <f>IF($G290="","",IF(AND($G290&gt;=30,$AT$3&lt;=DE$7),ROUND(DE290*($AP$3+#REF!),-1),""))</f>
        <v/>
      </c>
      <c r="DG290" s="517"/>
      <c r="DH290" s="503" t="str">
        <f>IF($G290="","",IF(AND($G290&gt;=30,$AT$3&lt;=DG$7),ROUND(DG290*($AP$3+#REF!),-1),""))</f>
        <v/>
      </c>
      <c r="DI290" s="517"/>
      <c r="DJ290" s="503" t="str">
        <f>IF($G290="","",IF(AND($G290&gt;=30,$AT$3&lt;=DI$7),ROUND(DI290*($AP$3+#REF!),-1),""))</f>
        <v/>
      </c>
      <c r="DK290" s="517"/>
      <c r="DL290" s="503" t="str">
        <f>IF($G290="","",IF(AND($G290&gt;=30,$AT$3&lt;=DK$7),ROUND(DK290*($AP$3+#REF!),-1),""))</f>
        <v/>
      </c>
      <c r="DM290" s="517"/>
      <c r="DN290" s="503" t="str">
        <f>IF($G290="","",IF(AND($G290&gt;=30,$AT$3&lt;=DM$7),ROUND(DM290*($AP$3+#REF!),-1),""))</f>
        <v/>
      </c>
      <c r="DO290" s="517"/>
      <c r="DP290" s="503" t="str">
        <f>IF($G290="","",IF(AND($G290&gt;=30,$AT$3&lt;=DO$7),ROUND(DO290*($AP$3+#REF!),-1),""))</f>
        <v/>
      </c>
      <c r="DQ290" s="517"/>
      <c r="DR290" s="503" t="str">
        <f>IF($G290="","",IF(AND($G290&gt;=30,$AT$3&lt;=DQ$7),ROUND(DQ290*($AP$3+#REF!),-1),""))</f>
        <v/>
      </c>
      <c r="DS290" s="517"/>
      <c r="DT290" s="503" t="str">
        <f>IF($G290="","",IF(AND($G290&gt;=30,$AT$3&lt;=DS$7),ROUND(DS290*($AP$3+#REF!),-1),""))</f>
        <v/>
      </c>
      <c r="DU290" s="517"/>
      <c r="DV290" s="503" t="str">
        <f>IF($G290="","",IF(AND($G290&gt;=30,$AT$3&lt;=DU$7),ROUND(DU290*($AP$3+#REF!),-1),""))</f>
        <v/>
      </c>
      <c r="DW290" s="517"/>
      <c r="DX290" s="503" t="str">
        <f>IF($G290="","",IF(AND($G290&gt;=30,$AT$3&lt;=DW$7),ROUND(DW290*($AP$3+#REF!),-1),""))</f>
        <v/>
      </c>
      <c r="DY290" s="517"/>
      <c r="DZ290" s="503" t="str">
        <f>IF($G290="","",IF(AND($G290&gt;=30,$AT$3&lt;=DY$7),ROUND(DY290*($AP$3+#REF!),-1),""))</f>
        <v/>
      </c>
      <c r="EA290" s="517"/>
      <c r="EB290" s="503" t="str">
        <f>IF($G290="","",IF(AND($G290&gt;=30,$AT$3&lt;=EA$7),ROUND(EA290*($AP$3+#REF!),-1),""))</f>
        <v/>
      </c>
      <c r="EC290" s="504" t="s">
        <v>621</v>
      </c>
      <c r="ED290" s="1124"/>
      <c r="EE290" s="325">
        <v>6</v>
      </c>
    </row>
    <row r="291" spans="1:135" ht="9.75" customHeight="1">
      <c r="A291" s="321" t="str">
        <f t="shared" si="68"/>
        <v/>
      </c>
      <c r="B291" s="567">
        <f>(ii!$D$13*12+V291)+1</f>
        <v>185</v>
      </c>
      <c r="C291" s="337">
        <f t="shared" si="72"/>
        <v>50982</v>
      </c>
      <c r="D291" s="484">
        <f t="shared" si="75"/>
        <v>2039</v>
      </c>
      <c r="E291" s="484">
        <f t="shared" si="73"/>
        <v>0.58333333333333337</v>
      </c>
      <c r="F291" s="484">
        <f t="shared" si="76"/>
        <v>2039.5833333333333</v>
      </c>
      <c r="G291" s="485" t="str">
        <f>IF(OR(C291&lt;$I$2,C291&gt;$J$3),"",(ii!$D$13*12+V291+1)/12)</f>
        <v/>
      </c>
      <c r="H291" s="486"/>
      <c r="I291" s="486"/>
      <c r="J291" s="487"/>
      <c r="K291" s="488"/>
      <c r="L291" s="548"/>
      <c r="M291" s="489" t="str">
        <f t="shared" si="77"/>
        <v/>
      </c>
      <c r="N291" s="490" t="s">
        <v>621</v>
      </c>
      <c r="O291" s="490" t="str">
        <f t="shared" si="70"/>
        <v/>
      </c>
      <c r="P291" s="491"/>
      <c r="Q291" s="491"/>
      <c r="R291" s="491" t="str">
        <f t="shared" si="71"/>
        <v/>
      </c>
      <c r="S291" s="528" t="str">
        <f t="shared" si="69"/>
        <v/>
      </c>
      <c r="T291" s="528" t="str">
        <f t="shared" si="67"/>
        <v/>
      </c>
      <c r="U291" s="493" t="str">
        <f>IF(H291="","",#REF!*12+#REF!+#REF!*12+#REF!)</f>
        <v/>
      </c>
      <c r="V291" s="338">
        <f>IF(ii!$J$3&gt;gg!C291,"",IF(AND((YEAR(C291)=YEAR($I$2)),MONTH(C291)=MONTH($I$2)),ii!$B$14*12+ii!$C$14+ii!$B$15*12+ii!$C$15-1,V290+1))</f>
        <v>184</v>
      </c>
      <c r="W291" s="339">
        <f t="shared" si="74"/>
        <v>15.333333333333334</v>
      </c>
      <c r="X291" s="494" t="s">
        <v>621</v>
      </c>
      <c r="Y291" s="495" t="s">
        <v>621</v>
      </c>
      <c r="Z291" s="496"/>
      <c r="AA291" s="497"/>
      <c r="AB291" s="498" t="e">
        <f t="shared" si="80"/>
        <v>#VALUE!</v>
      </c>
      <c r="AC291" s="484" t="str">
        <f t="shared" si="78"/>
        <v/>
      </c>
      <c r="AD291" s="495" t="str">
        <f t="shared" si="79"/>
        <v/>
      </c>
      <c r="AE291" s="499" t="s">
        <v>621</v>
      </c>
      <c r="AF291" s="500" t="s">
        <v>621</v>
      </c>
      <c r="AG291" s="556" t="s">
        <v>621</v>
      </c>
      <c r="AH291" s="503" t="str">
        <f>IF($G291="","",IF(AND($G291&gt;=30,$AT$3&lt;=AG$7),ROUND(AG291*($AP$3+#REF!),-1),""))</f>
        <v/>
      </c>
      <c r="AI291" s="506" t="s">
        <v>621</v>
      </c>
      <c r="AJ291" s="503" t="str">
        <f>IF($G291="","",IF(AND($G291&gt;=30,$AT$3&lt;=AI$7),ROUND(AI291*($AP$3+#REF!),-1),""))</f>
        <v/>
      </c>
      <c r="AK291" s="506" t="s">
        <v>621</v>
      </c>
      <c r="AL291" s="503" t="str">
        <f>IF($G291="","",IF(AND($G291&gt;=30,$AT$3&lt;=AK$7),ROUND(AK291*($AP$3+#REF!),-1),""))</f>
        <v/>
      </c>
      <c r="AM291" s="506" t="s">
        <v>621</v>
      </c>
      <c r="AN291" s="503" t="str">
        <f>IF($G291="","",IF(AND($G291&gt;=30,$AT$3&lt;=AM$7),ROUND(AM291*($AP$3+#REF!),-1),""))</f>
        <v/>
      </c>
      <c r="AO291" s="503" t="e">
        <v>#REF!</v>
      </c>
      <c r="AP291" s="503" t="str">
        <f>IF($G291="","",IF(AND($G291&gt;=30,$AT$3&lt;=AO$7),ROUND(AO291*($AP$3+#REF!),-1),""))</f>
        <v/>
      </c>
      <c r="AQ291" s="503" t="s">
        <v>621</v>
      </c>
      <c r="AR291" s="503" t="str">
        <f>IF($G291="","",IF(AND($G291&gt;=30,$AT$3&lt;=AQ$7),ROUND(AQ291*($AP$3+#REF!),-1),""))</f>
        <v/>
      </c>
      <c r="AS291" s="503" t="s">
        <v>621</v>
      </c>
      <c r="AT291" s="503" t="str">
        <f>IF($G291="","",IF(AND($G291&gt;=30,$AT$3&lt;=AS$7),ROUND(AS291*($AP$3+#REF!),-1),""))</f>
        <v/>
      </c>
      <c r="AU291" s="503" t="s">
        <v>621</v>
      </c>
      <c r="AV291" s="503" t="str">
        <f>IF($G291="","",IF(AND($G291&gt;=30,$AT$3&lt;=AU$7),ROUND(AU291*($AP$3+#REF!),-1),""))</f>
        <v/>
      </c>
      <c r="AW291" s="503" t="s">
        <v>621</v>
      </c>
      <c r="AX291" s="503" t="str">
        <f>IF($G291="","",IF(AND($G291&gt;=30,$AT$3&lt;=AW$7),ROUND(AW291*($AP$3+#REF!),-1),""))</f>
        <v/>
      </c>
      <c r="AY291" s="503" t="s">
        <v>621</v>
      </c>
      <c r="AZ291" s="503" t="str">
        <f>IF($G291="","",IF(AND($G291&gt;=30,$AT$3&lt;=AY$7),ROUND(AY291*($AP$3+#REF!),-1),""))</f>
        <v/>
      </c>
      <c r="BA291" s="503" t="s">
        <v>621</v>
      </c>
      <c r="BB291" s="503" t="str">
        <f>IF($G291="","",IF(AND($G291&gt;=30,$AT$3&lt;=BA$7),ROUND(BA291*($AP$3+#REF!),-1),""))</f>
        <v/>
      </c>
      <c r="BC291" s="503" t="s">
        <v>621</v>
      </c>
      <c r="BD291" s="503" t="str">
        <f>IF($G291="","",IF(AND($G291&gt;=30,$AT$3&lt;=BC$7),ROUND(BC291*($AP$3+#REF!),-1),""))</f>
        <v/>
      </c>
      <c r="BE291" s="503" t="s">
        <v>621</v>
      </c>
      <c r="BF291" s="503" t="str">
        <f>IF($G291="","",IF(AND($G291&gt;=30,$AT$3&lt;=BE$7),ROUND(BE291*($AP$3+#REF!),-1),""))</f>
        <v/>
      </c>
      <c r="BG291" s="503" t="s">
        <v>621</v>
      </c>
      <c r="BH291" s="503" t="str">
        <f>IF($G291="","",IF(AND($G291&gt;=30,$AT$3&lt;=BG$7),ROUND(BG291*($AP$3+#REF!),-1),""))</f>
        <v/>
      </c>
      <c r="BI291" s="503" t="s">
        <v>621</v>
      </c>
      <c r="BJ291" s="503" t="str">
        <f>IF($G291="","",IF(AND($G291&gt;=30,$AT$3&lt;=BI$7),ROUND(BI291*($AP$3+#REF!),-1),""))</f>
        <v/>
      </c>
      <c r="BK291" s="503" t="s">
        <v>621</v>
      </c>
      <c r="BL291" s="503" t="str">
        <f>IF($G291="","",IF(AND($G291&gt;=30,$AT$3&lt;=BK$7),ROUND(BK291*($AP$3+#REF!),-1),""))</f>
        <v/>
      </c>
      <c r="BM291" s="503" t="s">
        <v>621</v>
      </c>
      <c r="BN291" s="503" t="str">
        <f>IF($G291="","",IF(AND($G291&gt;=30,$AT$3&lt;=BM$7),ROUND(BM291*($AP$3+#REF!),-1),""))</f>
        <v/>
      </c>
      <c r="BO291" s="503" t="s">
        <v>621</v>
      </c>
      <c r="BP291" s="503" t="str">
        <f>IF($G291="","",IF(AND($G291&gt;=30,$AT$3&lt;=BO$7),ROUND(BO291*($AP$3+#REF!),-1),""))</f>
        <v/>
      </c>
      <c r="BQ291" s="503" t="s">
        <v>621</v>
      </c>
      <c r="BR291" s="503" t="str">
        <f>IF($G291="","",IF(AND($G291&gt;=30,$AT$3&lt;=BQ$7),ROUND(BQ291*($AP$3+#REF!),-1),""))</f>
        <v/>
      </c>
      <c r="BS291" s="503" t="s">
        <v>621</v>
      </c>
      <c r="BT291" s="503" t="str">
        <f>IF($G291="","",IF(AND($G291&gt;=30,$AT$3&lt;=BS$7),ROUND(BS291*($AP$3+#REF!),-1),""))</f>
        <v/>
      </c>
      <c r="BU291" s="503" t="s">
        <v>621</v>
      </c>
      <c r="BV291" s="503" t="str">
        <f>IF($G291="","",IF(AND($G291&gt;=30,$AT$3&lt;=BU$7),ROUND(BU291*($AP$3+#REF!),-1),""))</f>
        <v/>
      </c>
      <c r="BW291" s="503" t="s">
        <v>621</v>
      </c>
      <c r="BX291" s="503" t="str">
        <f>IF($G291="","",IF(AND($G291&gt;=30,$AT$3&lt;=BW$7),ROUND(BW291*($AP$3+#REF!),-1),""))</f>
        <v/>
      </c>
      <c r="BY291" s="503" t="s">
        <v>621</v>
      </c>
      <c r="BZ291" s="503" t="str">
        <f>IF($G291="","",IF(AND($G291&gt;=30,$AT$3&lt;=BY$7),ROUND(BY291*($AP$3+#REF!),-1),""))</f>
        <v/>
      </c>
      <c r="CA291" s="517" t="e">
        <v>#REF!</v>
      </c>
      <c r="CB291" s="503" t="str">
        <f>IF($G291="","",IF(AND($G291&gt;=30,$AT$3&lt;=CA$7),ROUND(CA291*($AP$3+#REF!),-1),""))</f>
        <v/>
      </c>
      <c r="CC291" s="517"/>
      <c r="CD291" s="503" t="str">
        <f>IF($G291="","",IF(AND($G291&gt;=30,$AT$3&lt;=CC$7),ROUND(CC291*($AP$3+#REF!),-1),""))</f>
        <v/>
      </c>
      <c r="CE291" s="517"/>
      <c r="CF291" s="503" t="str">
        <f>IF($G291="","",IF(AND($G291&gt;=30,$AT$3&lt;=CE$7),ROUND(CE291*($AP$3+#REF!),-1),""))</f>
        <v/>
      </c>
      <c r="CG291" s="517"/>
      <c r="CH291" s="503" t="str">
        <f>IF($G291="","",IF(AND($G291&gt;=30,$AT$3&lt;=CG$7),ROUND(CG291*($AP$3+#REF!),-1),""))</f>
        <v/>
      </c>
      <c r="CI291" s="517"/>
      <c r="CJ291" s="503" t="str">
        <f>IF($G291="","",IF(AND($G291&gt;=30,$AT$3&lt;=CI$7),ROUND(CI291*($AP$3+#REF!),-1),""))</f>
        <v/>
      </c>
      <c r="CK291" s="517"/>
      <c r="CL291" s="503" t="str">
        <f>IF($G291="","",IF(AND($G291&gt;=30,$AT$3&lt;=CK$7),ROUND(CK291*($AP$3+#REF!),-1),""))</f>
        <v/>
      </c>
      <c r="CM291" s="517"/>
      <c r="CN291" s="503" t="str">
        <f>IF($G291="","",IF(AND($G291&gt;=30,$AT$3&lt;=CM$7),ROUND(CM291*($AP$3+#REF!),-1),""))</f>
        <v/>
      </c>
      <c r="CO291" s="517"/>
      <c r="CP291" s="503" t="str">
        <f>IF($G291="","",IF(AND($G291&gt;=30,$AT$3&lt;=CO$7),ROUND(CO291*($AP$3+#REF!),-1),""))</f>
        <v/>
      </c>
      <c r="CQ291" s="517"/>
      <c r="CR291" s="503" t="str">
        <f>IF($G291="","",IF(AND($G291&gt;=30,$AT$3&lt;=CQ$7),ROUND(CQ291*($AP$3+#REF!),-1),""))</f>
        <v/>
      </c>
      <c r="CS291" s="517"/>
      <c r="CT291" s="503" t="str">
        <f>IF($G291="","",IF(AND($G291&gt;=30,$AT$3&lt;=CS$7),ROUND(CS291*($AP$3+#REF!),-1),""))</f>
        <v/>
      </c>
      <c r="CU291" s="517"/>
      <c r="CV291" s="503" t="str">
        <f>IF($G291="","",IF(AND($G291&gt;=30,$AT$3&lt;=CU$7),ROUND(CU291*($AP$3+#REF!),-1),""))</f>
        <v/>
      </c>
      <c r="CW291" s="517"/>
      <c r="CX291" s="503" t="str">
        <f>IF($G291="","",IF(AND($G291&gt;=30,$AT$3&lt;=CW$7),ROUND(CW291*($AP$3+#REF!),-1),""))</f>
        <v/>
      </c>
      <c r="CY291" s="517"/>
      <c r="CZ291" s="503" t="str">
        <f>IF($G291="","",IF(AND($G291&gt;=30,$AT$3&lt;=CY$7),ROUND(CY291*($AP$3+#REF!),-1),""))</f>
        <v/>
      </c>
      <c r="DA291" s="517"/>
      <c r="DB291" s="503" t="str">
        <f>IF($G291="","",IF(AND($G291&gt;=30,$AT$3&lt;=DA$7),ROUND(DA291*($AP$3+#REF!),-1),""))</f>
        <v/>
      </c>
      <c r="DC291" s="517"/>
      <c r="DD291" s="503" t="str">
        <f>IF($G291="","",IF(AND($G291&gt;=30,$AT$3&lt;=DC$7),ROUND(DC291*($AP$3+#REF!),-1),""))</f>
        <v/>
      </c>
      <c r="DE291" s="517"/>
      <c r="DF291" s="503" t="str">
        <f>IF($G291="","",IF(AND($G291&gt;=30,$AT$3&lt;=DE$7),ROUND(DE291*($AP$3+#REF!),-1),""))</f>
        <v/>
      </c>
      <c r="DG291" s="517"/>
      <c r="DH291" s="503" t="str">
        <f>IF($G291="","",IF(AND($G291&gt;=30,$AT$3&lt;=DG$7),ROUND(DG291*($AP$3+#REF!),-1),""))</f>
        <v/>
      </c>
      <c r="DI291" s="517"/>
      <c r="DJ291" s="503" t="str">
        <f>IF($G291="","",IF(AND($G291&gt;=30,$AT$3&lt;=DI$7),ROUND(DI291*($AP$3+#REF!),-1),""))</f>
        <v/>
      </c>
      <c r="DK291" s="517"/>
      <c r="DL291" s="503" t="str">
        <f>IF($G291="","",IF(AND($G291&gt;=30,$AT$3&lt;=DK$7),ROUND(DK291*($AP$3+#REF!),-1),""))</f>
        <v/>
      </c>
      <c r="DM291" s="517"/>
      <c r="DN291" s="503" t="str">
        <f>IF($G291="","",IF(AND($G291&gt;=30,$AT$3&lt;=DM$7),ROUND(DM291*($AP$3+#REF!),-1),""))</f>
        <v/>
      </c>
      <c r="DO291" s="517"/>
      <c r="DP291" s="503" t="str">
        <f>IF($G291="","",IF(AND($G291&gt;=30,$AT$3&lt;=DO$7),ROUND(DO291*($AP$3+#REF!),-1),""))</f>
        <v/>
      </c>
      <c r="DQ291" s="517"/>
      <c r="DR291" s="503" t="str">
        <f>IF($G291="","",IF(AND($G291&gt;=30,$AT$3&lt;=DQ$7),ROUND(DQ291*($AP$3+#REF!),-1),""))</f>
        <v/>
      </c>
      <c r="DS291" s="517"/>
      <c r="DT291" s="503" t="str">
        <f>IF($G291="","",IF(AND($G291&gt;=30,$AT$3&lt;=DS$7),ROUND(DS291*($AP$3+#REF!),-1),""))</f>
        <v/>
      </c>
      <c r="DU291" s="517"/>
      <c r="DV291" s="503" t="str">
        <f>IF($G291="","",IF(AND($G291&gt;=30,$AT$3&lt;=DU$7),ROUND(DU291*($AP$3+#REF!),-1),""))</f>
        <v/>
      </c>
      <c r="DW291" s="517"/>
      <c r="DX291" s="503" t="str">
        <f>IF($G291="","",IF(AND($G291&gt;=30,$AT$3&lt;=DW$7),ROUND(DW291*($AP$3+#REF!),-1),""))</f>
        <v/>
      </c>
      <c r="DY291" s="517"/>
      <c r="DZ291" s="503" t="str">
        <f>IF($G291="","",IF(AND($G291&gt;=30,$AT$3&lt;=DY$7),ROUND(DY291*($AP$3+#REF!),-1),""))</f>
        <v/>
      </c>
      <c r="EA291" s="517"/>
      <c r="EB291" s="503" t="str">
        <f>IF($G291="","",IF(AND($G291&gt;=30,$AT$3&lt;=EA$7),ROUND(EA291*($AP$3+#REF!),-1),""))</f>
        <v/>
      </c>
      <c r="EC291" s="504" t="s">
        <v>621</v>
      </c>
      <c r="ED291" s="1124"/>
      <c r="EE291" s="325">
        <v>7</v>
      </c>
    </row>
    <row r="292" spans="1:135" ht="9.75" customHeight="1">
      <c r="A292" s="321" t="str">
        <f t="shared" si="68"/>
        <v/>
      </c>
      <c r="B292" s="567">
        <f>(ii!$D$13*12+V292)+1</f>
        <v>186</v>
      </c>
      <c r="C292" s="337">
        <f t="shared" si="72"/>
        <v>51013</v>
      </c>
      <c r="D292" s="484">
        <f t="shared" si="75"/>
        <v>2039</v>
      </c>
      <c r="E292" s="484">
        <f t="shared" si="73"/>
        <v>0.66666666666666663</v>
      </c>
      <c r="F292" s="484">
        <f t="shared" si="76"/>
        <v>2039.6666666666667</v>
      </c>
      <c r="G292" s="485" t="str">
        <f>IF(OR(C292&lt;$I$2,C292&gt;$J$3),"",(ii!$D$13*12+V292+1)/12)</f>
        <v/>
      </c>
      <c r="H292" s="486"/>
      <c r="I292" s="486"/>
      <c r="J292" s="487"/>
      <c r="K292" s="488"/>
      <c r="L292" s="548"/>
      <c r="M292" s="489" t="str">
        <f t="shared" si="77"/>
        <v/>
      </c>
      <c r="N292" s="490" t="s">
        <v>621</v>
      </c>
      <c r="O292" s="490" t="str">
        <f t="shared" si="70"/>
        <v/>
      </c>
      <c r="P292" s="491"/>
      <c r="Q292" s="491"/>
      <c r="R292" s="491" t="str">
        <f t="shared" si="71"/>
        <v/>
      </c>
      <c r="S292" s="528" t="str">
        <f t="shared" si="69"/>
        <v/>
      </c>
      <c r="T292" s="528" t="str">
        <f t="shared" si="67"/>
        <v/>
      </c>
      <c r="U292" s="493" t="str">
        <f>IF(H292="","",#REF!*12+#REF!+#REF!*12+#REF!)</f>
        <v/>
      </c>
      <c r="V292" s="338">
        <f>IF(ii!$J$3&gt;gg!C292,"",IF(AND((YEAR(C292)=YEAR($I$2)),MONTH(C292)=MONTH($I$2)),ii!$B$14*12+ii!$C$14+ii!$B$15*12+ii!$C$15-1,V291+1))</f>
        <v>185</v>
      </c>
      <c r="W292" s="339">
        <f t="shared" si="74"/>
        <v>15.416666666666666</v>
      </c>
      <c r="X292" s="494" t="s">
        <v>621</v>
      </c>
      <c r="Y292" s="495" t="s">
        <v>621</v>
      </c>
      <c r="Z292" s="496"/>
      <c r="AA292" s="497"/>
      <c r="AB292" s="498" t="e">
        <f t="shared" si="80"/>
        <v>#VALUE!</v>
      </c>
      <c r="AC292" s="484" t="str">
        <f t="shared" si="78"/>
        <v/>
      </c>
      <c r="AD292" s="495" t="str">
        <f t="shared" si="79"/>
        <v/>
      </c>
      <c r="AE292" s="499" t="s">
        <v>621</v>
      </c>
      <c r="AF292" s="500" t="s">
        <v>621</v>
      </c>
      <c r="AG292" s="556" t="s">
        <v>621</v>
      </c>
      <c r="AH292" s="503" t="str">
        <f>IF($G292="","",IF(AND($G292&gt;=30,$AT$3&lt;=AG$7),ROUND(AG292*($AP$3+#REF!),-1),""))</f>
        <v/>
      </c>
      <c r="AI292" s="506" t="s">
        <v>621</v>
      </c>
      <c r="AJ292" s="503" t="str">
        <f>IF($G292="","",IF(AND($G292&gt;=30,$AT$3&lt;=AI$7),ROUND(AI292*($AP$3+#REF!),-1),""))</f>
        <v/>
      </c>
      <c r="AK292" s="506" t="s">
        <v>621</v>
      </c>
      <c r="AL292" s="503" t="str">
        <f>IF($G292="","",IF(AND($G292&gt;=30,$AT$3&lt;=AK$7),ROUND(AK292*($AP$3+#REF!),-1),""))</f>
        <v/>
      </c>
      <c r="AM292" s="506" t="s">
        <v>621</v>
      </c>
      <c r="AN292" s="503" t="str">
        <f>IF($G292="","",IF(AND($G292&gt;=30,$AT$3&lt;=AM$7),ROUND(AM292*($AP$3+#REF!),-1),""))</f>
        <v/>
      </c>
      <c r="AO292" s="503" t="e">
        <v>#REF!</v>
      </c>
      <c r="AP292" s="503" t="str">
        <f>IF($G292="","",IF(AND($G292&gt;=30,$AT$3&lt;=AO$7),ROUND(AO292*($AP$3+#REF!),-1),""))</f>
        <v/>
      </c>
      <c r="AQ292" s="503" t="s">
        <v>621</v>
      </c>
      <c r="AR292" s="503" t="str">
        <f>IF($G292="","",IF(AND($G292&gt;=30,$AT$3&lt;=AQ$7),ROUND(AQ292*($AP$3+#REF!),-1),""))</f>
        <v/>
      </c>
      <c r="AS292" s="503" t="s">
        <v>621</v>
      </c>
      <c r="AT292" s="503" t="str">
        <f>IF($G292="","",IF(AND($G292&gt;=30,$AT$3&lt;=AS$7),ROUND(AS292*($AP$3+#REF!),-1),""))</f>
        <v/>
      </c>
      <c r="AU292" s="503" t="s">
        <v>621</v>
      </c>
      <c r="AV292" s="503" t="str">
        <f>IF($G292="","",IF(AND($G292&gt;=30,$AT$3&lt;=AU$7),ROUND(AU292*($AP$3+#REF!),-1),""))</f>
        <v/>
      </c>
      <c r="AW292" s="503" t="s">
        <v>621</v>
      </c>
      <c r="AX292" s="503" t="str">
        <f>IF($G292="","",IF(AND($G292&gt;=30,$AT$3&lt;=AW$7),ROUND(AW292*($AP$3+#REF!),-1),""))</f>
        <v/>
      </c>
      <c r="AY292" s="503" t="s">
        <v>621</v>
      </c>
      <c r="AZ292" s="503" t="str">
        <f>IF($G292="","",IF(AND($G292&gt;=30,$AT$3&lt;=AY$7),ROUND(AY292*($AP$3+#REF!),-1),""))</f>
        <v/>
      </c>
      <c r="BA292" s="503" t="s">
        <v>621</v>
      </c>
      <c r="BB292" s="503" t="str">
        <f>IF($G292="","",IF(AND($G292&gt;=30,$AT$3&lt;=BA$7),ROUND(BA292*($AP$3+#REF!),-1),""))</f>
        <v/>
      </c>
      <c r="BC292" s="503" t="s">
        <v>621</v>
      </c>
      <c r="BD292" s="503" t="str">
        <f>IF($G292="","",IF(AND($G292&gt;=30,$AT$3&lt;=BC$7),ROUND(BC292*($AP$3+#REF!),-1),""))</f>
        <v/>
      </c>
      <c r="BE292" s="503" t="s">
        <v>621</v>
      </c>
      <c r="BF292" s="503" t="str">
        <f>IF($G292="","",IF(AND($G292&gt;=30,$AT$3&lt;=BE$7),ROUND(BE292*($AP$3+#REF!),-1),""))</f>
        <v/>
      </c>
      <c r="BG292" s="503" t="s">
        <v>621</v>
      </c>
      <c r="BH292" s="503" t="str">
        <f>IF($G292="","",IF(AND($G292&gt;=30,$AT$3&lt;=BG$7),ROUND(BG292*($AP$3+#REF!),-1),""))</f>
        <v/>
      </c>
      <c r="BI292" s="503" t="s">
        <v>621</v>
      </c>
      <c r="BJ292" s="503" t="str">
        <f>IF($G292="","",IF(AND($G292&gt;=30,$AT$3&lt;=BI$7),ROUND(BI292*($AP$3+#REF!),-1),""))</f>
        <v/>
      </c>
      <c r="BK292" s="503" t="s">
        <v>621</v>
      </c>
      <c r="BL292" s="503" t="str">
        <f>IF($G292="","",IF(AND($G292&gt;=30,$AT$3&lt;=BK$7),ROUND(BK292*($AP$3+#REF!),-1),""))</f>
        <v/>
      </c>
      <c r="BM292" s="503" t="s">
        <v>621</v>
      </c>
      <c r="BN292" s="503" t="str">
        <f>IF($G292="","",IF(AND($G292&gt;=30,$AT$3&lt;=BM$7),ROUND(BM292*($AP$3+#REF!),-1),""))</f>
        <v/>
      </c>
      <c r="BO292" s="503" t="s">
        <v>621</v>
      </c>
      <c r="BP292" s="503" t="str">
        <f>IF($G292="","",IF(AND($G292&gt;=30,$AT$3&lt;=BO$7),ROUND(BO292*($AP$3+#REF!),-1),""))</f>
        <v/>
      </c>
      <c r="BQ292" s="503" t="s">
        <v>621</v>
      </c>
      <c r="BR292" s="503" t="str">
        <f>IF($G292="","",IF(AND($G292&gt;=30,$AT$3&lt;=BQ$7),ROUND(BQ292*($AP$3+#REF!),-1),""))</f>
        <v/>
      </c>
      <c r="BS292" s="503" t="s">
        <v>621</v>
      </c>
      <c r="BT292" s="503" t="str">
        <f>IF($G292="","",IF(AND($G292&gt;=30,$AT$3&lt;=BS$7),ROUND(BS292*($AP$3+#REF!),-1),""))</f>
        <v/>
      </c>
      <c r="BU292" s="503" t="s">
        <v>621</v>
      </c>
      <c r="BV292" s="503" t="str">
        <f>IF($G292="","",IF(AND($G292&gt;=30,$AT$3&lt;=BU$7),ROUND(BU292*($AP$3+#REF!),-1),""))</f>
        <v/>
      </c>
      <c r="BW292" s="503" t="s">
        <v>621</v>
      </c>
      <c r="BX292" s="503" t="str">
        <f>IF($G292="","",IF(AND($G292&gt;=30,$AT$3&lt;=BW$7),ROUND(BW292*($AP$3+#REF!),-1),""))</f>
        <v/>
      </c>
      <c r="BY292" s="503" t="s">
        <v>621</v>
      </c>
      <c r="BZ292" s="503" t="str">
        <f>IF($G292="","",IF(AND($G292&gt;=30,$AT$3&lt;=BY$7),ROUND(BY292*($AP$3+#REF!),-1),""))</f>
        <v/>
      </c>
      <c r="CA292" s="517" t="e">
        <v>#REF!</v>
      </c>
      <c r="CB292" s="503" t="str">
        <f>IF($G292="","",IF(AND($G292&gt;=30,$AT$3&lt;=CA$7),ROUND(CA292*($AP$3+#REF!),-1),""))</f>
        <v/>
      </c>
      <c r="CC292" s="517"/>
      <c r="CD292" s="503" t="str">
        <f>IF($G292="","",IF(AND($G292&gt;=30,$AT$3&lt;=CC$7),ROUND(CC292*($AP$3+#REF!),-1),""))</f>
        <v/>
      </c>
      <c r="CE292" s="517"/>
      <c r="CF292" s="503" t="str">
        <f>IF($G292="","",IF(AND($G292&gt;=30,$AT$3&lt;=CE$7),ROUND(CE292*($AP$3+#REF!),-1),""))</f>
        <v/>
      </c>
      <c r="CG292" s="517"/>
      <c r="CH292" s="503" t="str">
        <f>IF($G292="","",IF(AND($G292&gt;=30,$AT$3&lt;=CG$7),ROUND(CG292*($AP$3+#REF!),-1),""))</f>
        <v/>
      </c>
      <c r="CI292" s="517"/>
      <c r="CJ292" s="503" t="str">
        <f>IF($G292="","",IF(AND($G292&gt;=30,$AT$3&lt;=CI$7),ROUND(CI292*($AP$3+#REF!),-1),""))</f>
        <v/>
      </c>
      <c r="CK292" s="517"/>
      <c r="CL292" s="503" t="str">
        <f>IF($G292="","",IF(AND($G292&gt;=30,$AT$3&lt;=CK$7),ROUND(CK292*($AP$3+#REF!),-1),""))</f>
        <v/>
      </c>
      <c r="CM292" s="517"/>
      <c r="CN292" s="503" t="str">
        <f>IF($G292="","",IF(AND($G292&gt;=30,$AT$3&lt;=CM$7),ROUND(CM292*($AP$3+#REF!),-1),""))</f>
        <v/>
      </c>
      <c r="CO292" s="517"/>
      <c r="CP292" s="503" t="str">
        <f>IF($G292="","",IF(AND($G292&gt;=30,$AT$3&lt;=CO$7),ROUND(CO292*($AP$3+#REF!),-1),""))</f>
        <v/>
      </c>
      <c r="CQ292" s="517"/>
      <c r="CR292" s="503" t="str">
        <f>IF($G292="","",IF(AND($G292&gt;=30,$AT$3&lt;=CQ$7),ROUND(CQ292*($AP$3+#REF!),-1),""))</f>
        <v/>
      </c>
      <c r="CS292" s="517"/>
      <c r="CT292" s="503" t="str">
        <f>IF($G292="","",IF(AND($G292&gt;=30,$AT$3&lt;=CS$7),ROUND(CS292*($AP$3+#REF!),-1),""))</f>
        <v/>
      </c>
      <c r="CU292" s="517"/>
      <c r="CV292" s="503" t="str">
        <f>IF($G292="","",IF(AND($G292&gt;=30,$AT$3&lt;=CU$7),ROUND(CU292*($AP$3+#REF!),-1),""))</f>
        <v/>
      </c>
      <c r="CW292" s="517"/>
      <c r="CX292" s="503" t="str">
        <f>IF($G292="","",IF(AND($G292&gt;=30,$AT$3&lt;=CW$7),ROUND(CW292*($AP$3+#REF!),-1),""))</f>
        <v/>
      </c>
      <c r="CY292" s="517"/>
      <c r="CZ292" s="503" t="str">
        <f>IF($G292="","",IF(AND($G292&gt;=30,$AT$3&lt;=CY$7),ROUND(CY292*($AP$3+#REF!),-1),""))</f>
        <v/>
      </c>
      <c r="DA292" s="517"/>
      <c r="DB292" s="503" t="str">
        <f>IF($G292="","",IF(AND($G292&gt;=30,$AT$3&lt;=DA$7),ROUND(DA292*($AP$3+#REF!),-1),""))</f>
        <v/>
      </c>
      <c r="DC292" s="517"/>
      <c r="DD292" s="503" t="str">
        <f>IF($G292="","",IF(AND($G292&gt;=30,$AT$3&lt;=DC$7),ROUND(DC292*($AP$3+#REF!),-1),""))</f>
        <v/>
      </c>
      <c r="DE292" s="517"/>
      <c r="DF292" s="503" t="str">
        <f>IF($G292="","",IF(AND($G292&gt;=30,$AT$3&lt;=DE$7),ROUND(DE292*($AP$3+#REF!),-1),""))</f>
        <v/>
      </c>
      <c r="DG292" s="517"/>
      <c r="DH292" s="503" t="str">
        <f>IF($G292="","",IF(AND($G292&gt;=30,$AT$3&lt;=DG$7),ROUND(DG292*($AP$3+#REF!),-1),""))</f>
        <v/>
      </c>
      <c r="DI292" s="517"/>
      <c r="DJ292" s="503" t="str">
        <f>IF($G292="","",IF(AND($G292&gt;=30,$AT$3&lt;=DI$7),ROUND(DI292*($AP$3+#REF!),-1),""))</f>
        <v/>
      </c>
      <c r="DK292" s="517"/>
      <c r="DL292" s="503" t="str">
        <f>IF($G292="","",IF(AND($G292&gt;=30,$AT$3&lt;=DK$7),ROUND(DK292*($AP$3+#REF!),-1),""))</f>
        <v/>
      </c>
      <c r="DM292" s="517"/>
      <c r="DN292" s="503" t="str">
        <f>IF($G292="","",IF(AND($G292&gt;=30,$AT$3&lt;=DM$7),ROUND(DM292*($AP$3+#REF!),-1),""))</f>
        <v/>
      </c>
      <c r="DO292" s="517"/>
      <c r="DP292" s="503" t="str">
        <f>IF($G292="","",IF(AND($G292&gt;=30,$AT$3&lt;=DO$7),ROUND(DO292*($AP$3+#REF!),-1),""))</f>
        <v/>
      </c>
      <c r="DQ292" s="517"/>
      <c r="DR292" s="503" t="str">
        <f>IF($G292="","",IF(AND($G292&gt;=30,$AT$3&lt;=DQ$7),ROUND(DQ292*($AP$3+#REF!),-1),""))</f>
        <v/>
      </c>
      <c r="DS292" s="517"/>
      <c r="DT292" s="503" t="str">
        <f>IF($G292="","",IF(AND($G292&gt;=30,$AT$3&lt;=DS$7),ROUND(DS292*($AP$3+#REF!),-1),""))</f>
        <v/>
      </c>
      <c r="DU292" s="517"/>
      <c r="DV292" s="503" t="str">
        <f>IF($G292="","",IF(AND($G292&gt;=30,$AT$3&lt;=DU$7),ROUND(DU292*($AP$3+#REF!),-1),""))</f>
        <v/>
      </c>
      <c r="DW292" s="517"/>
      <c r="DX292" s="503" t="str">
        <f>IF($G292="","",IF(AND($G292&gt;=30,$AT$3&lt;=DW$7),ROUND(DW292*($AP$3+#REF!),-1),""))</f>
        <v/>
      </c>
      <c r="DY292" s="517"/>
      <c r="DZ292" s="503" t="str">
        <f>IF($G292="","",IF(AND($G292&gt;=30,$AT$3&lt;=DY$7),ROUND(DY292*($AP$3+#REF!),-1),""))</f>
        <v/>
      </c>
      <c r="EA292" s="517"/>
      <c r="EB292" s="503" t="str">
        <f>IF($G292="","",IF(AND($G292&gt;=30,$AT$3&lt;=EA$7),ROUND(EA292*($AP$3+#REF!),-1),""))</f>
        <v/>
      </c>
      <c r="EC292" s="504" t="s">
        <v>621</v>
      </c>
      <c r="ED292" s="1124"/>
      <c r="EE292" s="325">
        <v>8</v>
      </c>
    </row>
    <row r="293" spans="1:135" ht="9.75" customHeight="1">
      <c r="A293" s="321" t="str">
        <f t="shared" si="68"/>
        <v/>
      </c>
      <c r="B293" s="567">
        <f>(ii!$D$13*12+V293)+1</f>
        <v>187</v>
      </c>
      <c r="C293" s="337">
        <f t="shared" si="72"/>
        <v>51043</v>
      </c>
      <c r="D293" s="484">
        <f t="shared" si="75"/>
        <v>2039</v>
      </c>
      <c r="E293" s="484">
        <f t="shared" si="73"/>
        <v>0.75</v>
      </c>
      <c r="F293" s="484">
        <f t="shared" si="76"/>
        <v>2039.75</v>
      </c>
      <c r="G293" s="485" t="str">
        <f>IF(OR(C293&lt;$I$2,C293&gt;$J$3),"",(ii!$D$13*12+V293+1)/12)</f>
        <v/>
      </c>
      <c r="H293" s="486"/>
      <c r="I293" s="486"/>
      <c r="J293" s="487"/>
      <c r="K293" s="488"/>
      <c r="L293" s="548"/>
      <c r="M293" s="489" t="str">
        <f t="shared" si="77"/>
        <v/>
      </c>
      <c r="N293" s="490" t="s">
        <v>621</v>
      </c>
      <c r="O293" s="490" t="str">
        <f t="shared" si="70"/>
        <v/>
      </c>
      <c r="P293" s="491"/>
      <c r="Q293" s="491"/>
      <c r="R293" s="491" t="str">
        <f t="shared" si="71"/>
        <v/>
      </c>
      <c r="S293" s="528" t="str">
        <f t="shared" si="69"/>
        <v/>
      </c>
      <c r="T293" s="528" t="str">
        <f t="shared" si="67"/>
        <v/>
      </c>
      <c r="U293" s="493" t="str">
        <f>IF(H293="","",#REF!*12+#REF!+#REF!*12+#REF!)</f>
        <v/>
      </c>
      <c r="V293" s="338">
        <f>IF(ii!$J$3&gt;gg!C293,"",IF(AND((YEAR(C293)=YEAR($I$2)),MONTH(C293)=MONTH($I$2)),ii!$B$14*12+ii!$C$14+ii!$B$15*12+ii!$C$15-1,V292+1))</f>
        <v>186</v>
      </c>
      <c r="W293" s="339">
        <f t="shared" si="74"/>
        <v>15.5</v>
      </c>
      <c r="X293" s="494" t="s">
        <v>621</v>
      </c>
      <c r="Y293" s="495" t="s">
        <v>621</v>
      </c>
      <c r="Z293" s="496"/>
      <c r="AA293" s="497"/>
      <c r="AB293" s="498" t="e">
        <f t="shared" si="80"/>
        <v>#VALUE!</v>
      </c>
      <c r="AC293" s="484" t="str">
        <f t="shared" si="78"/>
        <v/>
      </c>
      <c r="AD293" s="495" t="str">
        <f t="shared" si="79"/>
        <v/>
      </c>
      <c r="AE293" s="499" t="s">
        <v>621</v>
      </c>
      <c r="AF293" s="500" t="s">
        <v>621</v>
      </c>
      <c r="AG293" s="556" t="s">
        <v>621</v>
      </c>
      <c r="AH293" s="503" t="str">
        <f>IF($G293="","",IF(AND($G293&gt;=30,$AT$3&lt;=AG$7),ROUND(AG293*($AP$3+#REF!),-1),""))</f>
        <v/>
      </c>
      <c r="AI293" s="506" t="s">
        <v>621</v>
      </c>
      <c r="AJ293" s="503" t="str">
        <f>IF($G293="","",IF(AND($G293&gt;=30,$AT$3&lt;=AI$7),ROUND(AI293*($AP$3+#REF!),-1),""))</f>
        <v/>
      </c>
      <c r="AK293" s="506" t="s">
        <v>621</v>
      </c>
      <c r="AL293" s="503" t="str">
        <f>IF($G293="","",IF(AND($G293&gt;=30,$AT$3&lt;=AK$7),ROUND(AK293*($AP$3+#REF!),-1),""))</f>
        <v/>
      </c>
      <c r="AM293" s="506" t="s">
        <v>621</v>
      </c>
      <c r="AN293" s="503" t="str">
        <f>IF($G293="","",IF(AND($G293&gt;=30,$AT$3&lt;=AM$7),ROUND(AM293*($AP$3+#REF!),-1),""))</f>
        <v/>
      </c>
      <c r="AO293" s="503" t="e">
        <v>#REF!</v>
      </c>
      <c r="AP293" s="503" t="str">
        <f>IF($G293="","",IF(AND($G293&gt;=30,$AT$3&lt;=AO$7),ROUND(AO293*($AP$3+#REF!),-1),""))</f>
        <v/>
      </c>
      <c r="AQ293" s="503" t="s">
        <v>621</v>
      </c>
      <c r="AR293" s="503" t="str">
        <f>IF($G293="","",IF(AND($G293&gt;=30,$AT$3&lt;=AQ$7),ROUND(AQ293*($AP$3+#REF!),-1),""))</f>
        <v/>
      </c>
      <c r="AS293" s="503" t="s">
        <v>621</v>
      </c>
      <c r="AT293" s="503" t="str">
        <f>IF($G293="","",IF(AND($G293&gt;=30,$AT$3&lt;=AS$7),ROUND(AS293*($AP$3+#REF!),-1),""))</f>
        <v/>
      </c>
      <c r="AU293" s="503" t="s">
        <v>621</v>
      </c>
      <c r="AV293" s="503" t="str">
        <f>IF($G293="","",IF(AND($G293&gt;=30,$AT$3&lt;=AU$7),ROUND(AU293*($AP$3+#REF!),-1),""))</f>
        <v/>
      </c>
      <c r="AW293" s="503" t="s">
        <v>621</v>
      </c>
      <c r="AX293" s="503" t="str">
        <f>IF($G293="","",IF(AND($G293&gt;=30,$AT$3&lt;=AW$7),ROUND(AW293*($AP$3+#REF!),-1),""))</f>
        <v/>
      </c>
      <c r="AY293" s="503" t="s">
        <v>621</v>
      </c>
      <c r="AZ293" s="503" t="str">
        <f>IF($G293="","",IF(AND($G293&gt;=30,$AT$3&lt;=AY$7),ROUND(AY293*($AP$3+#REF!),-1),""))</f>
        <v/>
      </c>
      <c r="BA293" s="503" t="s">
        <v>621</v>
      </c>
      <c r="BB293" s="503" t="str">
        <f>IF($G293="","",IF(AND($G293&gt;=30,$AT$3&lt;=BA$7),ROUND(BA293*($AP$3+#REF!),-1),""))</f>
        <v/>
      </c>
      <c r="BC293" s="503" t="s">
        <v>621</v>
      </c>
      <c r="BD293" s="503" t="str">
        <f>IF($G293="","",IF(AND($G293&gt;=30,$AT$3&lt;=BC$7),ROUND(BC293*($AP$3+#REF!),-1),""))</f>
        <v/>
      </c>
      <c r="BE293" s="503" t="s">
        <v>621</v>
      </c>
      <c r="BF293" s="503" t="str">
        <f>IF($G293="","",IF(AND($G293&gt;=30,$AT$3&lt;=BE$7),ROUND(BE293*($AP$3+#REF!),-1),""))</f>
        <v/>
      </c>
      <c r="BG293" s="503" t="s">
        <v>621</v>
      </c>
      <c r="BH293" s="503" t="str">
        <f>IF($G293="","",IF(AND($G293&gt;=30,$AT$3&lt;=BG$7),ROUND(BG293*($AP$3+#REF!),-1),""))</f>
        <v/>
      </c>
      <c r="BI293" s="503" t="s">
        <v>621</v>
      </c>
      <c r="BJ293" s="503" t="str">
        <f>IF($G293="","",IF(AND($G293&gt;=30,$AT$3&lt;=BI$7),ROUND(BI293*($AP$3+#REF!),-1),""))</f>
        <v/>
      </c>
      <c r="BK293" s="503" t="s">
        <v>621</v>
      </c>
      <c r="BL293" s="503" t="str">
        <f>IF($G293="","",IF(AND($G293&gt;=30,$AT$3&lt;=BK$7),ROUND(BK293*($AP$3+#REF!),-1),""))</f>
        <v/>
      </c>
      <c r="BM293" s="503" t="s">
        <v>621</v>
      </c>
      <c r="BN293" s="503" t="str">
        <f>IF($G293="","",IF(AND($G293&gt;=30,$AT$3&lt;=BM$7),ROUND(BM293*($AP$3+#REF!),-1),""))</f>
        <v/>
      </c>
      <c r="BO293" s="503" t="s">
        <v>621</v>
      </c>
      <c r="BP293" s="503" t="str">
        <f>IF($G293="","",IF(AND($G293&gt;=30,$AT$3&lt;=BO$7),ROUND(BO293*($AP$3+#REF!),-1),""))</f>
        <v/>
      </c>
      <c r="BQ293" s="503" t="s">
        <v>621</v>
      </c>
      <c r="BR293" s="503" t="str">
        <f>IF($G293="","",IF(AND($G293&gt;=30,$AT$3&lt;=BQ$7),ROUND(BQ293*($AP$3+#REF!),-1),""))</f>
        <v/>
      </c>
      <c r="BS293" s="503" t="s">
        <v>621</v>
      </c>
      <c r="BT293" s="503" t="str">
        <f>IF($G293="","",IF(AND($G293&gt;=30,$AT$3&lt;=BS$7),ROUND(BS293*($AP$3+#REF!),-1),""))</f>
        <v/>
      </c>
      <c r="BU293" s="503" t="s">
        <v>621</v>
      </c>
      <c r="BV293" s="503" t="str">
        <f>IF($G293="","",IF(AND($G293&gt;=30,$AT$3&lt;=BU$7),ROUND(BU293*($AP$3+#REF!),-1),""))</f>
        <v/>
      </c>
      <c r="BW293" s="503" t="s">
        <v>621</v>
      </c>
      <c r="BX293" s="503" t="str">
        <f>IF($G293="","",IF(AND($G293&gt;=30,$AT$3&lt;=BW$7),ROUND(BW293*($AP$3+#REF!),-1),""))</f>
        <v/>
      </c>
      <c r="BY293" s="503" t="s">
        <v>621</v>
      </c>
      <c r="BZ293" s="503" t="str">
        <f>IF($G293="","",IF(AND($G293&gt;=30,$AT$3&lt;=BY$7),ROUND(BY293*($AP$3+#REF!),-1),""))</f>
        <v/>
      </c>
      <c r="CA293" s="517" t="e">
        <v>#REF!</v>
      </c>
      <c r="CB293" s="503" t="str">
        <f>IF($G293="","",IF(AND($G293&gt;=30,$AT$3&lt;=CA$7),ROUND(CA293*($AP$3+#REF!),-1),""))</f>
        <v/>
      </c>
      <c r="CC293" s="517"/>
      <c r="CD293" s="503" t="str">
        <f>IF($G293="","",IF(AND($G293&gt;=30,$AT$3&lt;=CC$7),ROUND(CC293*($AP$3+#REF!),-1),""))</f>
        <v/>
      </c>
      <c r="CE293" s="517"/>
      <c r="CF293" s="503" t="str">
        <f>IF($G293="","",IF(AND($G293&gt;=30,$AT$3&lt;=CE$7),ROUND(CE293*($AP$3+#REF!),-1),""))</f>
        <v/>
      </c>
      <c r="CG293" s="517"/>
      <c r="CH293" s="503" t="str">
        <f>IF($G293="","",IF(AND($G293&gt;=30,$AT$3&lt;=CG$7),ROUND(CG293*($AP$3+#REF!),-1),""))</f>
        <v/>
      </c>
      <c r="CI293" s="517"/>
      <c r="CJ293" s="503" t="str">
        <f>IF($G293="","",IF(AND($G293&gt;=30,$AT$3&lt;=CI$7),ROUND(CI293*($AP$3+#REF!),-1),""))</f>
        <v/>
      </c>
      <c r="CK293" s="517"/>
      <c r="CL293" s="503" t="str">
        <f>IF($G293="","",IF(AND($G293&gt;=30,$AT$3&lt;=CK$7),ROUND(CK293*($AP$3+#REF!),-1),""))</f>
        <v/>
      </c>
      <c r="CM293" s="517"/>
      <c r="CN293" s="503" t="str">
        <f>IF($G293="","",IF(AND($G293&gt;=30,$AT$3&lt;=CM$7),ROUND(CM293*($AP$3+#REF!),-1),""))</f>
        <v/>
      </c>
      <c r="CO293" s="517"/>
      <c r="CP293" s="503" t="str">
        <f>IF($G293="","",IF(AND($G293&gt;=30,$AT$3&lt;=CO$7),ROUND(CO293*($AP$3+#REF!),-1),""))</f>
        <v/>
      </c>
      <c r="CQ293" s="517"/>
      <c r="CR293" s="503" t="str">
        <f>IF($G293="","",IF(AND($G293&gt;=30,$AT$3&lt;=CQ$7),ROUND(CQ293*($AP$3+#REF!),-1),""))</f>
        <v/>
      </c>
      <c r="CS293" s="517"/>
      <c r="CT293" s="503" t="str">
        <f>IF($G293="","",IF(AND($G293&gt;=30,$AT$3&lt;=CS$7),ROUND(CS293*($AP$3+#REF!),-1),""))</f>
        <v/>
      </c>
      <c r="CU293" s="517"/>
      <c r="CV293" s="503" t="str">
        <f>IF($G293="","",IF(AND($G293&gt;=30,$AT$3&lt;=CU$7),ROUND(CU293*($AP$3+#REF!),-1),""))</f>
        <v/>
      </c>
      <c r="CW293" s="517"/>
      <c r="CX293" s="503" t="str">
        <f>IF($G293="","",IF(AND($G293&gt;=30,$AT$3&lt;=CW$7),ROUND(CW293*($AP$3+#REF!),-1),""))</f>
        <v/>
      </c>
      <c r="CY293" s="517"/>
      <c r="CZ293" s="503" t="str">
        <f>IF($G293="","",IF(AND($G293&gt;=30,$AT$3&lt;=CY$7),ROUND(CY293*($AP$3+#REF!),-1),""))</f>
        <v/>
      </c>
      <c r="DA293" s="517"/>
      <c r="DB293" s="503" t="str">
        <f>IF($G293="","",IF(AND($G293&gt;=30,$AT$3&lt;=DA$7),ROUND(DA293*($AP$3+#REF!),-1),""))</f>
        <v/>
      </c>
      <c r="DC293" s="517"/>
      <c r="DD293" s="503" t="str">
        <f>IF($G293="","",IF(AND($G293&gt;=30,$AT$3&lt;=DC$7),ROUND(DC293*($AP$3+#REF!),-1),""))</f>
        <v/>
      </c>
      <c r="DE293" s="517"/>
      <c r="DF293" s="503" t="str">
        <f>IF($G293="","",IF(AND($G293&gt;=30,$AT$3&lt;=DE$7),ROUND(DE293*($AP$3+#REF!),-1),""))</f>
        <v/>
      </c>
      <c r="DG293" s="517"/>
      <c r="DH293" s="503" t="str">
        <f>IF($G293="","",IF(AND($G293&gt;=30,$AT$3&lt;=DG$7),ROUND(DG293*($AP$3+#REF!),-1),""))</f>
        <v/>
      </c>
      <c r="DI293" s="517"/>
      <c r="DJ293" s="503" t="str">
        <f>IF($G293="","",IF(AND($G293&gt;=30,$AT$3&lt;=DI$7),ROUND(DI293*($AP$3+#REF!),-1),""))</f>
        <v/>
      </c>
      <c r="DK293" s="517"/>
      <c r="DL293" s="503" t="str">
        <f>IF($G293="","",IF(AND($G293&gt;=30,$AT$3&lt;=DK$7),ROUND(DK293*($AP$3+#REF!),-1),""))</f>
        <v/>
      </c>
      <c r="DM293" s="517"/>
      <c r="DN293" s="503" t="str">
        <f>IF($G293="","",IF(AND($G293&gt;=30,$AT$3&lt;=DM$7),ROUND(DM293*($AP$3+#REF!),-1),""))</f>
        <v/>
      </c>
      <c r="DO293" s="517"/>
      <c r="DP293" s="503" t="str">
        <f>IF($G293="","",IF(AND($G293&gt;=30,$AT$3&lt;=DO$7),ROUND(DO293*($AP$3+#REF!),-1),""))</f>
        <v/>
      </c>
      <c r="DQ293" s="517"/>
      <c r="DR293" s="503" t="str">
        <f>IF($G293="","",IF(AND($G293&gt;=30,$AT$3&lt;=DQ$7),ROUND(DQ293*($AP$3+#REF!),-1),""))</f>
        <v/>
      </c>
      <c r="DS293" s="517"/>
      <c r="DT293" s="503" t="str">
        <f>IF($G293="","",IF(AND($G293&gt;=30,$AT$3&lt;=DS$7),ROUND(DS293*($AP$3+#REF!),-1),""))</f>
        <v/>
      </c>
      <c r="DU293" s="517"/>
      <c r="DV293" s="503" t="str">
        <f>IF($G293="","",IF(AND($G293&gt;=30,$AT$3&lt;=DU$7),ROUND(DU293*($AP$3+#REF!),-1),""))</f>
        <v/>
      </c>
      <c r="DW293" s="517"/>
      <c r="DX293" s="503" t="str">
        <f>IF($G293="","",IF(AND($G293&gt;=30,$AT$3&lt;=DW$7),ROUND(DW293*($AP$3+#REF!),-1),""))</f>
        <v/>
      </c>
      <c r="DY293" s="517"/>
      <c r="DZ293" s="503" t="str">
        <f>IF($G293="","",IF(AND($G293&gt;=30,$AT$3&lt;=DY$7),ROUND(DY293*($AP$3+#REF!),-1),""))</f>
        <v/>
      </c>
      <c r="EA293" s="517"/>
      <c r="EB293" s="503" t="str">
        <f>IF($G293="","",IF(AND($G293&gt;=30,$AT$3&lt;=EA$7),ROUND(EA293*($AP$3+#REF!),-1),""))</f>
        <v/>
      </c>
      <c r="EC293" s="504" t="s">
        <v>621</v>
      </c>
      <c r="ED293" s="1124"/>
      <c r="EE293" s="325">
        <v>9</v>
      </c>
    </row>
    <row r="294" spans="1:135" ht="9.75" customHeight="1">
      <c r="A294" s="321" t="str">
        <f t="shared" si="68"/>
        <v/>
      </c>
      <c r="B294" s="567">
        <f>(ii!$D$13*12+V294)+1</f>
        <v>188</v>
      </c>
      <c r="C294" s="337">
        <f t="shared" si="72"/>
        <v>51074</v>
      </c>
      <c r="D294" s="484">
        <f t="shared" si="75"/>
        <v>2039</v>
      </c>
      <c r="E294" s="484">
        <f t="shared" si="73"/>
        <v>0.83333333333333337</v>
      </c>
      <c r="F294" s="484">
        <f t="shared" si="76"/>
        <v>2039.8333333333333</v>
      </c>
      <c r="G294" s="485" t="str">
        <f>IF(OR(C294&lt;$I$2,C294&gt;$J$3),"",(ii!$D$13*12+V294+1)/12)</f>
        <v/>
      </c>
      <c r="H294" s="486"/>
      <c r="I294" s="486"/>
      <c r="J294" s="487"/>
      <c r="K294" s="488"/>
      <c r="L294" s="548"/>
      <c r="M294" s="489" t="str">
        <f t="shared" si="77"/>
        <v/>
      </c>
      <c r="N294" s="490" t="s">
        <v>621</v>
      </c>
      <c r="O294" s="490" t="str">
        <f t="shared" si="70"/>
        <v/>
      </c>
      <c r="P294" s="491"/>
      <c r="Q294" s="491"/>
      <c r="R294" s="491" t="str">
        <f t="shared" si="71"/>
        <v/>
      </c>
      <c r="S294" s="528" t="str">
        <f t="shared" si="69"/>
        <v/>
      </c>
      <c r="T294" s="528" t="str">
        <f t="shared" si="67"/>
        <v/>
      </c>
      <c r="U294" s="493" t="str">
        <f>IF(H294="","",#REF!*12+#REF!+#REF!*12+#REF!)</f>
        <v/>
      </c>
      <c r="V294" s="338">
        <f>IF(ii!$J$3&gt;gg!C294,"",IF(AND((YEAR(C294)=YEAR($I$2)),MONTH(C294)=MONTH($I$2)),ii!$B$14*12+ii!$C$14+ii!$B$15*12+ii!$C$15-1,V293+1))</f>
        <v>187</v>
      </c>
      <c r="W294" s="339">
        <f t="shared" si="74"/>
        <v>15.583333333333334</v>
      </c>
      <c r="X294" s="494" t="s">
        <v>621</v>
      </c>
      <c r="Y294" s="495" t="s">
        <v>621</v>
      </c>
      <c r="Z294" s="496"/>
      <c r="AA294" s="497"/>
      <c r="AB294" s="498" t="e">
        <f t="shared" si="80"/>
        <v>#VALUE!</v>
      </c>
      <c r="AC294" s="484" t="str">
        <f t="shared" si="78"/>
        <v/>
      </c>
      <c r="AD294" s="495" t="str">
        <f t="shared" si="79"/>
        <v/>
      </c>
      <c r="AE294" s="499" t="s">
        <v>621</v>
      </c>
      <c r="AF294" s="500" t="s">
        <v>621</v>
      </c>
      <c r="AG294" s="556" t="s">
        <v>621</v>
      </c>
      <c r="AH294" s="503" t="str">
        <f>IF($G294="","",IF(AND($G294&gt;=30,$AT$3&lt;=AG$7),ROUND(AG294*($AP$3+#REF!),-1),""))</f>
        <v/>
      </c>
      <c r="AI294" s="506" t="s">
        <v>621</v>
      </c>
      <c r="AJ294" s="503" t="str">
        <f>IF($G294="","",IF(AND($G294&gt;=30,$AT$3&lt;=AI$7),ROUND(AI294*($AP$3+#REF!),-1),""))</f>
        <v/>
      </c>
      <c r="AK294" s="506" t="s">
        <v>621</v>
      </c>
      <c r="AL294" s="503" t="str">
        <f>IF($G294="","",IF(AND($G294&gt;=30,$AT$3&lt;=AK$7),ROUND(AK294*($AP$3+#REF!),-1),""))</f>
        <v/>
      </c>
      <c r="AM294" s="506" t="s">
        <v>621</v>
      </c>
      <c r="AN294" s="503" t="str">
        <f>IF($G294="","",IF(AND($G294&gt;=30,$AT$3&lt;=AM$7),ROUND(AM294*($AP$3+#REF!),-1),""))</f>
        <v/>
      </c>
      <c r="AO294" s="503" t="e">
        <v>#REF!</v>
      </c>
      <c r="AP294" s="503" t="str">
        <f>IF($G294="","",IF(AND($G294&gt;=30,$AT$3&lt;=AO$7),ROUND(AO294*($AP$3+#REF!),-1),""))</f>
        <v/>
      </c>
      <c r="AQ294" s="503" t="s">
        <v>621</v>
      </c>
      <c r="AR294" s="503" t="str">
        <f>IF($G294="","",IF(AND($G294&gt;=30,$AT$3&lt;=AQ$7),ROUND(AQ294*($AP$3+#REF!),-1),""))</f>
        <v/>
      </c>
      <c r="AS294" s="503" t="s">
        <v>621</v>
      </c>
      <c r="AT294" s="503" t="str">
        <f>IF($G294="","",IF(AND($G294&gt;=30,$AT$3&lt;=AS$7),ROUND(AS294*($AP$3+#REF!),-1),""))</f>
        <v/>
      </c>
      <c r="AU294" s="503" t="s">
        <v>621</v>
      </c>
      <c r="AV294" s="503" t="str">
        <f>IF($G294="","",IF(AND($G294&gt;=30,$AT$3&lt;=AU$7),ROUND(AU294*($AP$3+#REF!),-1),""))</f>
        <v/>
      </c>
      <c r="AW294" s="503" t="s">
        <v>621</v>
      </c>
      <c r="AX294" s="503" t="str">
        <f>IF($G294="","",IF(AND($G294&gt;=30,$AT$3&lt;=AW$7),ROUND(AW294*($AP$3+#REF!),-1),""))</f>
        <v/>
      </c>
      <c r="AY294" s="503" t="s">
        <v>621</v>
      </c>
      <c r="AZ294" s="503" t="str">
        <f>IF($G294="","",IF(AND($G294&gt;=30,$AT$3&lt;=AY$7),ROUND(AY294*($AP$3+#REF!),-1),""))</f>
        <v/>
      </c>
      <c r="BA294" s="503" t="s">
        <v>621</v>
      </c>
      <c r="BB294" s="503" t="str">
        <f>IF($G294="","",IF(AND($G294&gt;=30,$AT$3&lt;=BA$7),ROUND(BA294*($AP$3+#REF!),-1),""))</f>
        <v/>
      </c>
      <c r="BC294" s="503" t="s">
        <v>621</v>
      </c>
      <c r="BD294" s="503" t="str">
        <f>IF($G294="","",IF(AND($G294&gt;=30,$AT$3&lt;=BC$7),ROUND(BC294*($AP$3+#REF!),-1),""))</f>
        <v/>
      </c>
      <c r="BE294" s="503" t="s">
        <v>621</v>
      </c>
      <c r="BF294" s="503" t="str">
        <f>IF($G294="","",IF(AND($G294&gt;=30,$AT$3&lt;=BE$7),ROUND(BE294*($AP$3+#REF!),-1),""))</f>
        <v/>
      </c>
      <c r="BG294" s="503" t="s">
        <v>621</v>
      </c>
      <c r="BH294" s="503" t="str">
        <f>IF($G294="","",IF(AND($G294&gt;=30,$AT$3&lt;=BG$7),ROUND(BG294*($AP$3+#REF!),-1),""))</f>
        <v/>
      </c>
      <c r="BI294" s="503" t="s">
        <v>621</v>
      </c>
      <c r="BJ294" s="503" t="str">
        <f>IF($G294="","",IF(AND($G294&gt;=30,$AT$3&lt;=BI$7),ROUND(BI294*($AP$3+#REF!),-1),""))</f>
        <v/>
      </c>
      <c r="BK294" s="503" t="s">
        <v>621</v>
      </c>
      <c r="BL294" s="503" t="str">
        <f>IF($G294="","",IF(AND($G294&gt;=30,$AT$3&lt;=BK$7),ROUND(BK294*($AP$3+#REF!),-1),""))</f>
        <v/>
      </c>
      <c r="BM294" s="503" t="s">
        <v>621</v>
      </c>
      <c r="BN294" s="503" t="str">
        <f>IF($G294="","",IF(AND($G294&gt;=30,$AT$3&lt;=BM$7),ROUND(BM294*($AP$3+#REF!),-1),""))</f>
        <v/>
      </c>
      <c r="BO294" s="503" t="s">
        <v>621</v>
      </c>
      <c r="BP294" s="503" t="str">
        <f>IF($G294="","",IF(AND($G294&gt;=30,$AT$3&lt;=BO$7),ROUND(BO294*($AP$3+#REF!),-1),""))</f>
        <v/>
      </c>
      <c r="BQ294" s="503" t="s">
        <v>621</v>
      </c>
      <c r="BR294" s="503" t="str">
        <f>IF($G294="","",IF(AND($G294&gt;=30,$AT$3&lt;=BQ$7),ROUND(BQ294*($AP$3+#REF!),-1),""))</f>
        <v/>
      </c>
      <c r="BS294" s="503" t="s">
        <v>621</v>
      </c>
      <c r="BT294" s="503" t="str">
        <f>IF($G294="","",IF(AND($G294&gt;=30,$AT$3&lt;=BS$7),ROUND(BS294*($AP$3+#REF!),-1),""))</f>
        <v/>
      </c>
      <c r="BU294" s="503" t="s">
        <v>621</v>
      </c>
      <c r="BV294" s="503" t="str">
        <f>IF($G294="","",IF(AND($G294&gt;=30,$AT$3&lt;=BU$7),ROUND(BU294*($AP$3+#REF!),-1),""))</f>
        <v/>
      </c>
      <c r="BW294" s="503" t="s">
        <v>621</v>
      </c>
      <c r="BX294" s="503" t="str">
        <f>IF($G294="","",IF(AND($G294&gt;=30,$AT$3&lt;=BW$7),ROUND(BW294*($AP$3+#REF!),-1),""))</f>
        <v/>
      </c>
      <c r="BY294" s="503" t="s">
        <v>621</v>
      </c>
      <c r="BZ294" s="503" t="str">
        <f>IF($G294="","",IF(AND($G294&gt;=30,$AT$3&lt;=BY$7),ROUND(BY294*($AP$3+#REF!),-1),""))</f>
        <v/>
      </c>
      <c r="CA294" s="517" t="e">
        <v>#REF!</v>
      </c>
      <c r="CB294" s="503" t="str">
        <f>IF($G294="","",IF(AND($G294&gt;=30,$AT$3&lt;=CA$7),ROUND(CA294*($AP$3+#REF!),-1),""))</f>
        <v/>
      </c>
      <c r="CC294" s="517"/>
      <c r="CD294" s="503" t="str">
        <f>IF($G294="","",IF(AND($G294&gt;=30,$AT$3&lt;=CC$7),ROUND(CC294*($AP$3+#REF!),-1),""))</f>
        <v/>
      </c>
      <c r="CE294" s="517"/>
      <c r="CF294" s="503" t="str">
        <f>IF($G294="","",IF(AND($G294&gt;=30,$AT$3&lt;=CE$7),ROUND(CE294*($AP$3+#REF!),-1),""))</f>
        <v/>
      </c>
      <c r="CG294" s="517"/>
      <c r="CH294" s="503" t="str">
        <f>IF($G294="","",IF(AND($G294&gt;=30,$AT$3&lt;=CG$7),ROUND(CG294*($AP$3+#REF!),-1),""))</f>
        <v/>
      </c>
      <c r="CI294" s="517"/>
      <c r="CJ294" s="503" t="str">
        <f>IF($G294="","",IF(AND($G294&gt;=30,$AT$3&lt;=CI$7),ROUND(CI294*($AP$3+#REF!),-1),""))</f>
        <v/>
      </c>
      <c r="CK294" s="517"/>
      <c r="CL294" s="503" t="str">
        <f>IF($G294="","",IF(AND($G294&gt;=30,$AT$3&lt;=CK$7),ROUND(CK294*($AP$3+#REF!),-1),""))</f>
        <v/>
      </c>
      <c r="CM294" s="517"/>
      <c r="CN294" s="503" t="str">
        <f>IF($G294="","",IF(AND($G294&gt;=30,$AT$3&lt;=CM$7),ROUND(CM294*($AP$3+#REF!),-1),""))</f>
        <v/>
      </c>
      <c r="CO294" s="517"/>
      <c r="CP294" s="503" t="str">
        <f>IF($G294="","",IF(AND($G294&gt;=30,$AT$3&lt;=CO$7),ROUND(CO294*($AP$3+#REF!),-1),""))</f>
        <v/>
      </c>
      <c r="CQ294" s="517"/>
      <c r="CR294" s="503" t="str">
        <f>IF($G294="","",IF(AND($G294&gt;=30,$AT$3&lt;=CQ$7),ROUND(CQ294*($AP$3+#REF!),-1),""))</f>
        <v/>
      </c>
      <c r="CS294" s="517"/>
      <c r="CT294" s="503" t="str">
        <f>IF($G294="","",IF(AND($G294&gt;=30,$AT$3&lt;=CS$7),ROUND(CS294*($AP$3+#REF!),-1),""))</f>
        <v/>
      </c>
      <c r="CU294" s="517"/>
      <c r="CV294" s="503" t="str">
        <f>IF($G294="","",IF(AND($G294&gt;=30,$AT$3&lt;=CU$7),ROUND(CU294*($AP$3+#REF!),-1),""))</f>
        <v/>
      </c>
      <c r="CW294" s="517"/>
      <c r="CX294" s="503" t="str">
        <f>IF($G294="","",IF(AND($G294&gt;=30,$AT$3&lt;=CW$7),ROUND(CW294*($AP$3+#REF!),-1),""))</f>
        <v/>
      </c>
      <c r="CY294" s="517"/>
      <c r="CZ294" s="503" t="str">
        <f>IF($G294="","",IF(AND($G294&gt;=30,$AT$3&lt;=CY$7),ROUND(CY294*($AP$3+#REF!),-1),""))</f>
        <v/>
      </c>
      <c r="DA294" s="517"/>
      <c r="DB294" s="503" t="str">
        <f>IF($G294="","",IF(AND($G294&gt;=30,$AT$3&lt;=DA$7),ROUND(DA294*($AP$3+#REF!),-1),""))</f>
        <v/>
      </c>
      <c r="DC294" s="517"/>
      <c r="DD294" s="503" t="str">
        <f>IF($G294="","",IF(AND($G294&gt;=30,$AT$3&lt;=DC$7),ROUND(DC294*($AP$3+#REF!),-1),""))</f>
        <v/>
      </c>
      <c r="DE294" s="517"/>
      <c r="DF294" s="503" t="str">
        <f>IF($G294="","",IF(AND($G294&gt;=30,$AT$3&lt;=DE$7),ROUND(DE294*($AP$3+#REF!),-1),""))</f>
        <v/>
      </c>
      <c r="DG294" s="517"/>
      <c r="DH294" s="503" t="str">
        <f>IF($G294="","",IF(AND($G294&gt;=30,$AT$3&lt;=DG$7),ROUND(DG294*($AP$3+#REF!),-1),""))</f>
        <v/>
      </c>
      <c r="DI294" s="517"/>
      <c r="DJ294" s="503" t="str">
        <f>IF($G294="","",IF(AND($G294&gt;=30,$AT$3&lt;=DI$7),ROUND(DI294*($AP$3+#REF!),-1),""))</f>
        <v/>
      </c>
      <c r="DK294" s="517"/>
      <c r="DL294" s="503" t="str">
        <f>IF($G294="","",IF(AND($G294&gt;=30,$AT$3&lt;=DK$7),ROUND(DK294*($AP$3+#REF!),-1),""))</f>
        <v/>
      </c>
      <c r="DM294" s="517"/>
      <c r="DN294" s="503" t="str">
        <f>IF($G294="","",IF(AND($G294&gt;=30,$AT$3&lt;=DM$7),ROUND(DM294*($AP$3+#REF!),-1),""))</f>
        <v/>
      </c>
      <c r="DO294" s="517"/>
      <c r="DP294" s="503" t="str">
        <f>IF($G294="","",IF(AND($G294&gt;=30,$AT$3&lt;=DO$7),ROUND(DO294*($AP$3+#REF!),-1),""))</f>
        <v/>
      </c>
      <c r="DQ294" s="517"/>
      <c r="DR294" s="503" t="str">
        <f>IF($G294="","",IF(AND($G294&gt;=30,$AT$3&lt;=DQ$7),ROUND(DQ294*($AP$3+#REF!),-1),""))</f>
        <v/>
      </c>
      <c r="DS294" s="517"/>
      <c r="DT294" s="503" t="str">
        <f>IF($G294="","",IF(AND($G294&gt;=30,$AT$3&lt;=DS$7),ROUND(DS294*($AP$3+#REF!),-1),""))</f>
        <v/>
      </c>
      <c r="DU294" s="517"/>
      <c r="DV294" s="503" t="str">
        <f>IF($G294="","",IF(AND($G294&gt;=30,$AT$3&lt;=DU$7),ROUND(DU294*($AP$3+#REF!),-1),""))</f>
        <v/>
      </c>
      <c r="DW294" s="517"/>
      <c r="DX294" s="503" t="str">
        <f>IF($G294="","",IF(AND($G294&gt;=30,$AT$3&lt;=DW$7),ROUND(DW294*($AP$3+#REF!),-1),""))</f>
        <v/>
      </c>
      <c r="DY294" s="517"/>
      <c r="DZ294" s="503" t="str">
        <f>IF($G294="","",IF(AND($G294&gt;=30,$AT$3&lt;=DY$7),ROUND(DY294*($AP$3+#REF!),-1),""))</f>
        <v/>
      </c>
      <c r="EA294" s="517"/>
      <c r="EB294" s="503" t="str">
        <f>IF($G294="","",IF(AND($G294&gt;=30,$AT$3&lt;=EA$7),ROUND(EA294*($AP$3+#REF!),-1),""))</f>
        <v/>
      </c>
      <c r="EC294" s="504" t="s">
        <v>621</v>
      </c>
      <c r="ED294" s="1124"/>
      <c r="EE294" s="325">
        <v>10</v>
      </c>
    </row>
    <row r="295" spans="1:135" ht="9.75" customHeight="1">
      <c r="A295" s="321" t="str">
        <f t="shared" si="68"/>
        <v/>
      </c>
      <c r="B295" s="567">
        <f>(ii!$D$13*12+V295)+1</f>
        <v>189</v>
      </c>
      <c r="C295" s="337">
        <f t="shared" si="72"/>
        <v>51104</v>
      </c>
      <c r="D295" s="484">
        <f t="shared" si="75"/>
        <v>2039</v>
      </c>
      <c r="E295" s="484">
        <f t="shared" si="73"/>
        <v>0.91666666666666663</v>
      </c>
      <c r="F295" s="484">
        <f t="shared" si="76"/>
        <v>2039.9166666666667</v>
      </c>
      <c r="G295" s="485" t="str">
        <f>IF(OR(C295&lt;$I$2,C295&gt;$J$3),"",(ii!$D$13*12+V295+1)/12)</f>
        <v/>
      </c>
      <c r="H295" s="486"/>
      <c r="I295" s="486"/>
      <c r="J295" s="487"/>
      <c r="K295" s="488"/>
      <c r="L295" s="548"/>
      <c r="M295" s="489" t="str">
        <f t="shared" si="77"/>
        <v/>
      </c>
      <c r="N295" s="490" t="s">
        <v>621</v>
      </c>
      <c r="O295" s="490" t="str">
        <f t="shared" si="70"/>
        <v/>
      </c>
      <c r="P295" s="491"/>
      <c r="Q295" s="491"/>
      <c r="R295" s="491" t="str">
        <f t="shared" si="71"/>
        <v/>
      </c>
      <c r="S295" s="528" t="str">
        <f t="shared" si="69"/>
        <v/>
      </c>
      <c r="T295" s="528" t="str">
        <f t="shared" si="67"/>
        <v/>
      </c>
      <c r="U295" s="493" t="str">
        <f>IF(H295="","",#REF!*12+#REF!+#REF!*12+#REF!)</f>
        <v/>
      </c>
      <c r="V295" s="338">
        <f>IF(ii!$J$3&gt;gg!C295,"",IF(AND((YEAR(C295)=YEAR($I$2)),MONTH(C295)=MONTH($I$2)),ii!$B$14*12+ii!$C$14+ii!$B$15*12+ii!$C$15-1,V294+1))</f>
        <v>188</v>
      </c>
      <c r="W295" s="339">
        <f t="shared" si="74"/>
        <v>15.666666666666666</v>
      </c>
      <c r="X295" s="494" t="s">
        <v>621</v>
      </c>
      <c r="Y295" s="495" t="s">
        <v>621</v>
      </c>
      <c r="Z295" s="496"/>
      <c r="AA295" s="497"/>
      <c r="AB295" s="498" t="e">
        <f t="shared" si="80"/>
        <v>#VALUE!</v>
      </c>
      <c r="AC295" s="484" t="str">
        <f t="shared" si="78"/>
        <v/>
      </c>
      <c r="AD295" s="495" t="str">
        <f t="shared" si="79"/>
        <v/>
      </c>
      <c r="AE295" s="499" t="s">
        <v>621</v>
      </c>
      <c r="AF295" s="500" t="s">
        <v>621</v>
      </c>
      <c r="AG295" s="556" t="s">
        <v>621</v>
      </c>
      <c r="AH295" s="503" t="str">
        <f>IF($G295="","",IF(AND($G295&gt;=30,$AT$3&lt;=AG$7),ROUND(AG295*($AP$3+#REF!),-1),""))</f>
        <v/>
      </c>
      <c r="AI295" s="506" t="s">
        <v>621</v>
      </c>
      <c r="AJ295" s="503" t="str">
        <f>IF($G295="","",IF(AND($G295&gt;=30,$AT$3&lt;=AI$7),ROUND(AI295*($AP$3+#REF!),-1),""))</f>
        <v/>
      </c>
      <c r="AK295" s="506" t="s">
        <v>621</v>
      </c>
      <c r="AL295" s="503" t="str">
        <f>IF($G295="","",IF(AND($G295&gt;=30,$AT$3&lt;=AK$7),ROUND(AK295*($AP$3+#REF!),-1),""))</f>
        <v/>
      </c>
      <c r="AM295" s="506" t="s">
        <v>621</v>
      </c>
      <c r="AN295" s="503" t="str">
        <f>IF($G295="","",IF(AND($G295&gt;=30,$AT$3&lt;=AM$7),ROUND(AM295*($AP$3+#REF!),-1),""))</f>
        <v/>
      </c>
      <c r="AO295" s="503" t="e">
        <v>#REF!</v>
      </c>
      <c r="AP295" s="503" t="str">
        <f>IF($G295="","",IF(AND($G295&gt;=30,$AT$3&lt;=AO$7),ROUND(AO295*($AP$3+#REF!),-1),""))</f>
        <v/>
      </c>
      <c r="AQ295" s="503" t="s">
        <v>621</v>
      </c>
      <c r="AR295" s="503" t="str">
        <f>IF($G295="","",IF(AND($G295&gt;=30,$AT$3&lt;=AQ$7),ROUND(AQ295*($AP$3+#REF!),-1),""))</f>
        <v/>
      </c>
      <c r="AS295" s="503" t="s">
        <v>621</v>
      </c>
      <c r="AT295" s="503" t="str">
        <f>IF($G295="","",IF(AND($G295&gt;=30,$AT$3&lt;=AS$7),ROUND(AS295*($AP$3+#REF!),-1),""))</f>
        <v/>
      </c>
      <c r="AU295" s="503" t="s">
        <v>621</v>
      </c>
      <c r="AV295" s="503" t="str">
        <f>IF($G295="","",IF(AND($G295&gt;=30,$AT$3&lt;=AU$7),ROUND(AU295*($AP$3+#REF!),-1),""))</f>
        <v/>
      </c>
      <c r="AW295" s="503" t="s">
        <v>621</v>
      </c>
      <c r="AX295" s="503" t="str">
        <f>IF($G295="","",IF(AND($G295&gt;=30,$AT$3&lt;=AW$7),ROUND(AW295*($AP$3+#REF!),-1),""))</f>
        <v/>
      </c>
      <c r="AY295" s="503" t="s">
        <v>621</v>
      </c>
      <c r="AZ295" s="503" t="str">
        <f>IF($G295="","",IF(AND($G295&gt;=30,$AT$3&lt;=AY$7),ROUND(AY295*($AP$3+#REF!),-1),""))</f>
        <v/>
      </c>
      <c r="BA295" s="503" t="s">
        <v>621</v>
      </c>
      <c r="BB295" s="503" t="str">
        <f>IF($G295="","",IF(AND($G295&gt;=30,$AT$3&lt;=BA$7),ROUND(BA295*($AP$3+#REF!),-1),""))</f>
        <v/>
      </c>
      <c r="BC295" s="503" t="s">
        <v>621</v>
      </c>
      <c r="BD295" s="503" t="str">
        <f>IF($G295="","",IF(AND($G295&gt;=30,$AT$3&lt;=BC$7),ROUND(BC295*($AP$3+#REF!),-1),""))</f>
        <v/>
      </c>
      <c r="BE295" s="503" t="s">
        <v>621</v>
      </c>
      <c r="BF295" s="503" t="str">
        <f>IF($G295="","",IF(AND($G295&gt;=30,$AT$3&lt;=BE$7),ROUND(BE295*($AP$3+#REF!),-1),""))</f>
        <v/>
      </c>
      <c r="BG295" s="503" t="s">
        <v>621</v>
      </c>
      <c r="BH295" s="503" t="str">
        <f>IF($G295="","",IF(AND($G295&gt;=30,$AT$3&lt;=BG$7),ROUND(BG295*($AP$3+#REF!),-1),""))</f>
        <v/>
      </c>
      <c r="BI295" s="503" t="s">
        <v>621</v>
      </c>
      <c r="BJ295" s="503" t="str">
        <f>IF($G295="","",IF(AND($G295&gt;=30,$AT$3&lt;=BI$7),ROUND(BI295*($AP$3+#REF!),-1),""))</f>
        <v/>
      </c>
      <c r="BK295" s="503" t="s">
        <v>621</v>
      </c>
      <c r="BL295" s="503" t="str">
        <f>IF($G295="","",IF(AND($G295&gt;=30,$AT$3&lt;=BK$7),ROUND(BK295*($AP$3+#REF!),-1),""))</f>
        <v/>
      </c>
      <c r="BM295" s="503" t="s">
        <v>621</v>
      </c>
      <c r="BN295" s="503" t="str">
        <f>IF($G295="","",IF(AND($G295&gt;=30,$AT$3&lt;=BM$7),ROUND(BM295*($AP$3+#REF!),-1),""))</f>
        <v/>
      </c>
      <c r="BO295" s="503" t="s">
        <v>621</v>
      </c>
      <c r="BP295" s="503" t="str">
        <f>IF($G295="","",IF(AND($G295&gt;=30,$AT$3&lt;=BO$7),ROUND(BO295*($AP$3+#REF!),-1),""))</f>
        <v/>
      </c>
      <c r="BQ295" s="503" t="s">
        <v>621</v>
      </c>
      <c r="BR295" s="503" t="str">
        <f>IF($G295="","",IF(AND($G295&gt;=30,$AT$3&lt;=BQ$7),ROUND(BQ295*($AP$3+#REF!),-1),""))</f>
        <v/>
      </c>
      <c r="BS295" s="503" t="s">
        <v>621</v>
      </c>
      <c r="BT295" s="503" t="str">
        <f>IF($G295="","",IF(AND($G295&gt;=30,$AT$3&lt;=BS$7),ROUND(BS295*($AP$3+#REF!),-1),""))</f>
        <v/>
      </c>
      <c r="BU295" s="503" t="s">
        <v>621</v>
      </c>
      <c r="BV295" s="503" t="str">
        <f>IF($G295="","",IF(AND($G295&gt;=30,$AT$3&lt;=BU$7),ROUND(BU295*($AP$3+#REF!),-1),""))</f>
        <v/>
      </c>
      <c r="BW295" s="503" t="s">
        <v>621</v>
      </c>
      <c r="BX295" s="503" t="str">
        <f>IF($G295="","",IF(AND($G295&gt;=30,$AT$3&lt;=BW$7),ROUND(BW295*($AP$3+#REF!),-1),""))</f>
        <v/>
      </c>
      <c r="BY295" s="503" t="s">
        <v>621</v>
      </c>
      <c r="BZ295" s="503" t="str">
        <f>IF($G295="","",IF(AND($G295&gt;=30,$AT$3&lt;=BY$7),ROUND(BY295*($AP$3+#REF!),-1),""))</f>
        <v/>
      </c>
      <c r="CA295" s="517" t="e">
        <v>#REF!</v>
      </c>
      <c r="CB295" s="503" t="str">
        <f>IF($G295="","",IF(AND($G295&gt;=30,$AT$3&lt;=CA$7),ROUND(CA295*($AP$3+#REF!),-1),""))</f>
        <v/>
      </c>
      <c r="CC295" s="517"/>
      <c r="CD295" s="503" t="str">
        <f>IF($G295="","",IF(AND($G295&gt;=30,$AT$3&lt;=CC$7),ROUND(CC295*($AP$3+#REF!),-1),""))</f>
        <v/>
      </c>
      <c r="CE295" s="517"/>
      <c r="CF295" s="503" t="str">
        <f>IF($G295="","",IF(AND($G295&gt;=30,$AT$3&lt;=CE$7),ROUND(CE295*($AP$3+#REF!),-1),""))</f>
        <v/>
      </c>
      <c r="CG295" s="517"/>
      <c r="CH295" s="503" t="str">
        <f>IF($G295="","",IF(AND($G295&gt;=30,$AT$3&lt;=CG$7),ROUND(CG295*($AP$3+#REF!),-1),""))</f>
        <v/>
      </c>
      <c r="CI295" s="517"/>
      <c r="CJ295" s="503" t="str">
        <f>IF($G295="","",IF(AND($G295&gt;=30,$AT$3&lt;=CI$7),ROUND(CI295*($AP$3+#REF!),-1),""))</f>
        <v/>
      </c>
      <c r="CK295" s="517"/>
      <c r="CL295" s="503" t="str">
        <f>IF($G295="","",IF(AND($G295&gt;=30,$AT$3&lt;=CK$7),ROUND(CK295*($AP$3+#REF!),-1),""))</f>
        <v/>
      </c>
      <c r="CM295" s="517"/>
      <c r="CN295" s="503" t="str">
        <f>IF($G295="","",IF(AND($G295&gt;=30,$AT$3&lt;=CM$7),ROUND(CM295*($AP$3+#REF!),-1),""))</f>
        <v/>
      </c>
      <c r="CO295" s="517"/>
      <c r="CP295" s="503" t="str">
        <f>IF($G295="","",IF(AND($G295&gt;=30,$AT$3&lt;=CO$7),ROUND(CO295*($AP$3+#REF!),-1),""))</f>
        <v/>
      </c>
      <c r="CQ295" s="517"/>
      <c r="CR295" s="503" t="str">
        <f>IF($G295="","",IF(AND($G295&gt;=30,$AT$3&lt;=CQ$7),ROUND(CQ295*($AP$3+#REF!),-1),""))</f>
        <v/>
      </c>
      <c r="CS295" s="517"/>
      <c r="CT295" s="503" t="str">
        <f>IF($G295="","",IF(AND($G295&gt;=30,$AT$3&lt;=CS$7),ROUND(CS295*($AP$3+#REF!),-1),""))</f>
        <v/>
      </c>
      <c r="CU295" s="517"/>
      <c r="CV295" s="503" t="str">
        <f>IF($G295="","",IF(AND($G295&gt;=30,$AT$3&lt;=CU$7),ROUND(CU295*($AP$3+#REF!),-1),""))</f>
        <v/>
      </c>
      <c r="CW295" s="517"/>
      <c r="CX295" s="503" t="str">
        <f>IF($G295="","",IF(AND($G295&gt;=30,$AT$3&lt;=CW$7),ROUND(CW295*($AP$3+#REF!),-1),""))</f>
        <v/>
      </c>
      <c r="CY295" s="517"/>
      <c r="CZ295" s="503" t="str">
        <f>IF($G295="","",IF(AND($G295&gt;=30,$AT$3&lt;=CY$7),ROUND(CY295*($AP$3+#REF!),-1),""))</f>
        <v/>
      </c>
      <c r="DA295" s="517"/>
      <c r="DB295" s="503" t="str">
        <f>IF($G295="","",IF(AND($G295&gt;=30,$AT$3&lt;=DA$7),ROUND(DA295*($AP$3+#REF!),-1),""))</f>
        <v/>
      </c>
      <c r="DC295" s="517"/>
      <c r="DD295" s="503" t="str">
        <f>IF($G295="","",IF(AND($G295&gt;=30,$AT$3&lt;=DC$7),ROUND(DC295*($AP$3+#REF!),-1),""))</f>
        <v/>
      </c>
      <c r="DE295" s="517"/>
      <c r="DF295" s="503" t="str">
        <f>IF($G295="","",IF(AND($G295&gt;=30,$AT$3&lt;=DE$7),ROUND(DE295*($AP$3+#REF!),-1),""))</f>
        <v/>
      </c>
      <c r="DG295" s="517"/>
      <c r="DH295" s="503" t="str">
        <f>IF($G295="","",IF(AND($G295&gt;=30,$AT$3&lt;=DG$7),ROUND(DG295*($AP$3+#REF!),-1),""))</f>
        <v/>
      </c>
      <c r="DI295" s="517"/>
      <c r="DJ295" s="503" t="str">
        <f>IF($G295="","",IF(AND($G295&gt;=30,$AT$3&lt;=DI$7),ROUND(DI295*($AP$3+#REF!),-1),""))</f>
        <v/>
      </c>
      <c r="DK295" s="517"/>
      <c r="DL295" s="503" t="str">
        <f>IF($G295="","",IF(AND($G295&gt;=30,$AT$3&lt;=DK$7),ROUND(DK295*($AP$3+#REF!),-1),""))</f>
        <v/>
      </c>
      <c r="DM295" s="517"/>
      <c r="DN295" s="503" t="str">
        <f>IF($G295="","",IF(AND($G295&gt;=30,$AT$3&lt;=DM$7),ROUND(DM295*($AP$3+#REF!),-1),""))</f>
        <v/>
      </c>
      <c r="DO295" s="517"/>
      <c r="DP295" s="503" t="str">
        <f>IF($G295="","",IF(AND($G295&gt;=30,$AT$3&lt;=DO$7),ROUND(DO295*($AP$3+#REF!),-1),""))</f>
        <v/>
      </c>
      <c r="DQ295" s="517"/>
      <c r="DR295" s="503" t="str">
        <f>IF($G295="","",IF(AND($G295&gt;=30,$AT$3&lt;=DQ$7),ROUND(DQ295*($AP$3+#REF!),-1),""))</f>
        <v/>
      </c>
      <c r="DS295" s="517"/>
      <c r="DT295" s="503" t="str">
        <f>IF($G295="","",IF(AND($G295&gt;=30,$AT$3&lt;=DS$7),ROUND(DS295*($AP$3+#REF!),-1),""))</f>
        <v/>
      </c>
      <c r="DU295" s="517"/>
      <c r="DV295" s="503" t="str">
        <f>IF($G295="","",IF(AND($G295&gt;=30,$AT$3&lt;=DU$7),ROUND(DU295*($AP$3+#REF!),-1),""))</f>
        <v/>
      </c>
      <c r="DW295" s="517"/>
      <c r="DX295" s="503" t="str">
        <f>IF($G295="","",IF(AND($G295&gt;=30,$AT$3&lt;=DW$7),ROUND(DW295*($AP$3+#REF!),-1),""))</f>
        <v/>
      </c>
      <c r="DY295" s="517"/>
      <c r="DZ295" s="503" t="str">
        <f>IF($G295="","",IF(AND($G295&gt;=30,$AT$3&lt;=DY$7),ROUND(DY295*($AP$3+#REF!),-1),""))</f>
        <v/>
      </c>
      <c r="EA295" s="517"/>
      <c r="EB295" s="503" t="str">
        <f>IF($G295="","",IF(AND($G295&gt;=30,$AT$3&lt;=EA$7),ROUND(EA295*($AP$3+#REF!),-1),""))</f>
        <v/>
      </c>
      <c r="EC295" s="504" t="s">
        <v>621</v>
      </c>
      <c r="ED295" s="1124"/>
      <c r="EE295" s="325">
        <v>11</v>
      </c>
    </row>
    <row r="296" spans="1:135" ht="9.75" customHeight="1">
      <c r="A296" s="321" t="str">
        <f t="shared" si="68"/>
        <v/>
      </c>
      <c r="B296" s="567">
        <f>(ii!$D$13*12+V296)+1</f>
        <v>190</v>
      </c>
      <c r="C296" s="337">
        <f t="shared" si="72"/>
        <v>51135</v>
      </c>
      <c r="D296" s="484">
        <f t="shared" si="75"/>
        <v>2039</v>
      </c>
      <c r="E296" s="484">
        <f t="shared" si="73"/>
        <v>1</v>
      </c>
      <c r="F296" s="484">
        <f t="shared" si="76"/>
        <v>2040</v>
      </c>
      <c r="G296" s="485" t="str">
        <f>IF(OR(C296&lt;$I$2,C296&gt;$J$3),"",(ii!$D$13*12+V296+1)/12)</f>
        <v/>
      </c>
      <c r="H296" s="486"/>
      <c r="I296" s="486"/>
      <c r="J296" s="487"/>
      <c r="K296" s="488"/>
      <c r="L296" s="548"/>
      <c r="M296" s="489" t="str">
        <f t="shared" si="77"/>
        <v/>
      </c>
      <c r="N296" s="490" t="s">
        <v>621</v>
      </c>
      <c r="O296" s="490" t="str">
        <f t="shared" si="70"/>
        <v/>
      </c>
      <c r="P296" s="491"/>
      <c r="Q296" s="491"/>
      <c r="R296" s="491" t="str">
        <f t="shared" si="71"/>
        <v/>
      </c>
      <c r="S296" s="528" t="str">
        <f t="shared" si="69"/>
        <v/>
      </c>
      <c r="T296" s="528" t="str">
        <f t="shared" si="67"/>
        <v/>
      </c>
      <c r="U296" s="493" t="str">
        <f>IF(H296="","",#REF!*12+#REF!+#REF!*12+#REF!)</f>
        <v/>
      </c>
      <c r="V296" s="338">
        <f>IF(ii!$J$3&gt;gg!C296,"",IF(AND((YEAR(C296)=YEAR($I$2)),MONTH(C296)=MONTH($I$2)),ii!$B$14*12+ii!$C$14+ii!$B$15*12+ii!$C$15-1,V295+1))</f>
        <v>189</v>
      </c>
      <c r="W296" s="339">
        <f t="shared" si="74"/>
        <v>15.75</v>
      </c>
      <c r="X296" s="494" t="s">
        <v>621</v>
      </c>
      <c r="Y296" s="495" t="s">
        <v>621</v>
      </c>
      <c r="Z296" s="496"/>
      <c r="AA296" s="497"/>
      <c r="AB296" s="498" t="e">
        <f t="shared" si="80"/>
        <v>#VALUE!</v>
      </c>
      <c r="AC296" s="484" t="str">
        <f t="shared" si="78"/>
        <v/>
      </c>
      <c r="AD296" s="495" t="str">
        <f t="shared" si="79"/>
        <v/>
      </c>
      <c r="AE296" s="499" t="s">
        <v>621</v>
      </c>
      <c r="AF296" s="500" t="s">
        <v>621</v>
      </c>
      <c r="AG296" s="556" t="s">
        <v>621</v>
      </c>
      <c r="AH296" s="503" t="str">
        <f>IF($G296="","",IF(AND($G296&gt;=30,$AT$3&lt;=AG$7),ROUND(AG296*($AP$3+#REF!),-1),""))</f>
        <v/>
      </c>
      <c r="AI296" s="506" t="s">
        <v>621</v>
      </c>
      <c r="AJ296" s="503" t="str">
        <f>IF($G296="","",IF(AND($G296&gt;=30,$AT$3&lt;=AI$7),ROUND(AI296*($AP$3+#REF!),-1),""))</f>
        <v/>
      </c>
      <c r="AK296" s="506" t="s">
        <v>621</v>
      </c>
      <c r="AL296" s="503" t="str">
        <f>IF($G296="","",IF(AND($G296&gt;=30,$AT$3&lt;=AK$7),ROUND(AK296*($AP$3+#REF!),-1),""))</f>
        <v/>
      </c>
      <c r="AM296" s="506" t="s">
        <v>621</v>
      </c>
      <c r="AN296" s="503" t="str">
        <f>IF($G296="","",IF(AND($G296&gt;=30,$AT$3&lt;=AM$7),ROUND(AM296*($AP$3+#REF!),-1),""))</f>
        <v/>
      </c>
      <c r="AO296" s="503" t="e">
        <v>#REF!</v>
      </c>
      <c r="AP296" s="503" t="str">
        <f>IF($G296="","",IF(AND($G296&gt;=30,$AT$3&lt;=AO$7),ROUND(AO296*($AP$3+#REF!),-1),""))</f>
        <v/>
      </c>
      <c r="AQ296" s="503" t="s">
        <v>621</v>
      </c>
      <c r="AR296" s="503" t="str">
        <f>IF($G296="","",IF(AND($G296&gt;=30,$AT$3&lt;=AQ$7),ROUND(AQ296*($AP$3+#REF!),-1),""))</f>
        <v/>
      </c>
      <c r="AS296" s="506" t="s">
        <v>621</v>
      </c>
      <c r="AT296" s="503" t="str">
        <f>IF($G296="","",IF(AND($G296&gt;=30,$AT$3&lt;=AS$7),ROUND(AS296*($AP$3+#REF!),-1),""))</f>
        <v/>
      </c>
      <c r="AU296" s="506" t="s">
        <v>621</v>
      </c>
      <c r="AV296" s="503" t="str">
        <f>IF($G296="","",IF(AND($G296&gt;=30,$AT$3&lt;=AU$7),ROUND(AU296*($AP$3+#REF!),-1),""))</f>
        <v/>
      </c>
      <c r="AW296" s="506" t="s">
        <v>621</v>
      </c>
      <c r="AX296" s="503" t="str">
        <f>IF($G296="","",IF(AND($G296&gt;=30,$AT$3&lt;=AW$7),ROUND(AW296*($AP$3+#REF!),-1),""))</f>
        <v/>
      </c>
      <c r="AY296" s="503" t="s">
        <v>621</v>
      </c>
      <c r="AZ296" s="503" t="str">
        <f>IF($G296="","",IF(AND($G296&gt;=30,$AT$3&lt;=AY$7),ROUND(AY296*($AP$3+#REF!),-1),""))</f>
        <v/>
      </c>
      <c r="BA296" s="503" t="s">
        <v>621</v>
      </c>
      <c r="BB296" s="503" t="str">
        <f>IF($G296="","",IF(AND($G296&gt;=30,$AT$3&lt;=BA$7),ROUND(BA296*($AP$3+#REF!),-1),""))</f>
        <v/>
      </c>
      <c r="BC296" s="503" t="s">
        <v>621</v>
      </c>
      <c r="BD296" s="503" t="str">
        <f>IF($G296="","",IF(AND($G296&gt;=30,$AT$3&lt;=BC$7),ROUND(BC296*($AP$3+#REF!),-1),""))</f>
        <v/>
      </c>
      <c r="BE296" s="503" t="s">
        <v>621</v>
      </c>
      <c r="BF296" s="503" t="str">
        <f>IF($G296="","",IF(AND($G296&gt;=30,$AT$3&lt;=BE$7),ROUND(BE296*($AP$3+#REF!),-1),""))</f>
        <v/>
      </c>
      <c r="BG296" s="503" t="s">
        <v>621</v>
      </c>
      <c r="BH296" s="503" t="str">
        <f>IF($G296="","",IF(AND($G296&gt;=30,$AT$3&lt;=BG$7),ROUND(BG296*($AP$3+#REF!),-1),""))</f>
        <v/>
      </c>
      <c r="BI296" s="503" t="s">
        <v>621</v>
      </c>
      <c r="BJ296" s="503" t="str">
        <f>IF($G296="","",IF(AND($G296&gt;=30,$AT$3&lt;=BI$7),ROUND(BI296*($AP$3+#REF!),-1),""))</f>
        <v/>
      </c>
      <c r="BK296" s="503" t="s">
        <v>621</v>
      </c>
      <c r="BL296" s="503" t="str">
        <f>IF($G296="","",IF(AND($G296&gt;=30,$AT$3&lt;=BK$7),ROUND(BK296*($AP$3+#REF!),-1),""))</f>
        <v/>
      </c>
      <c r="BM296" s="503" t="s">
        <v>621</v>
      </c>
      <c r="BN296" s="503" t="str">
        <f>IF($G296="","",IF(AND($G296&gt;=30,$AT$3&lt;=BM$7),ROUND(BM296*($AP$3+#REF!),-1),""))</f>
        <v/>
      </c>
      <c r="BO296" s="503" t="s">
        <v>621</v>
      </c>
      <c r="BP296" s="503" t="str">
        <f>IF($G296="","",IF(AND($G296&gt;=30,$AT$3&lt;=BO$7),ROUND(BO296*($AP$3+#REF!),-1),""))</f>
        <v/>
      </c>
      <c r="BQ296" s="503" t="s">
        <v>621</v>
      </c>
      <c r="BR296" s="503" t="str">
        <f>IF($G296="","",IF(AND($G296&gt;=30,$AT$3&lt;=BQ$7),ROUND(BQ296*($AP$3+#REF!),-1),""))</f>
        <v/>
      </c>
      <c r="BS296" s="503" t="s">
        <v>621</v>
      </c>
      <c r="BT296" s="503" t="str">
        <f>IF($G296="","",IF(AND($G296&gt;=30,$AT$3&lt;=BS$7),ROUND(BS296*($AP$3+#REF!),-1),""))</f>
        <v/>
      </c>
      <c r="BU296" s="503" t="s">
        <v>621</v>
      </c>
      <c r="BV296" s="503" t="str">
        <f>IF($G296="","",IF(AND($G296&gt;=30,$AT$3&lt;=BU$7),ROUND(BU296*($AP$3+#REF!),-1),""))</f>
        <v/>
      </c>
      <c r="BW296" s="503" t="s">
        <v>621</v>
      </c>
      <c r="BX296" s="503" t="str">
        <f>IF($G296="","",IF(AND($G296&gt;=30,$AT$3&lt;=BW$7),ROUND(BW296*($AP$3+#REF!),-1),""))</f>
        <v/>
      </c>
      <c r="BY296" s="503" t="s">
        <v>621</v>
      </c>
      <c r="BZ296" s="503" t="str">
        <f>IF($G296="","",IF(AND($G296&gt;=30,$AT$3&lt;=BY$7),ROUND(BY296*($AP$3+#REF!),-1),""))</f>
        <v/>
      </c>
      <c r="CA296" s="517" t="e">
        <v>#REF!</v>
      </c>
      <c r="CB296" s="503" t="str">
        <f>IF($G296="","",IF(AND($G296&gt;=30,$AT$3&lt;=CA$7),ROUND(CA296*($AP$3+#REF!),-1),""))</f>
        <v/>
      </c>
      <c r="CC296" s="507"/>
      <c r="CD296" s="503" t="str">
        <f>IF($G296="","",IF(AND($G296&gt;=30,$AT$3&lt;=CC$7),ROUND(CC296*($AP$3+#REF!),-1),""))</f>
        <v/>
      </c>
      <c r="CE296" s="507"/>
      <c r="CF296" s="503" t="str">
        <f>IF($G296="","",IF(AND($G296&gt;=30,$AT$3&lt;=CE$7),ROUND(CE296*($AP$3+#REF!),-1),""))</f>
        <v/>
      </c>
      <c r="CG296" s="507"/>
      <c r="CH296" s="503" t="str">
        <f>IF($G296="","",IF(AND($G296&gt;=30,$AT$3&lt;=CG$7),ROUND(CG296*($AP$3+#REF!),-1),""))</f>
        <v/>
      </c>
      <c r="CI296" s="507"/>
      <c r="CJ296" s="503" t="str">
        <f>IF($G296="","",IF(AND($G296&gt;=30,$AT$3&lt;=CI$7),ROUND(CI296*($AP$3+#REF!),-1),""))</f>
        <v/>
      </c>
      <c r="CK296" s="507"/>
      <c r="CL296" s="503" t="str">
        <f>IF($G296="","",IF(AND($G296&gt;=30,$AT$3&lt;=CK$7),ROUND(CK296*($AP$3+#REF!),-1),""))</f>
        <v/>
      </c>
      <c r="CM296" s="507"/>
      <c r="CN296" s="503" t="str">
        <f>IF($G296="","",IF(AND($G296&gt;=30,$AT$3&lt;=CM$7),ROUND(CM296*($AP$3+#REF!),-1),""))</f>
        <v/>
      </c>
      <c r="CO296" s="507"/>
      <c r="CP296" s="503" t="str">
        <f>IF($G296="","",IF(AND($G296&gt;=30,$AT$3&lt;=CO$7),ROUND(CO296*($AP$3+#REF!),-1),""))</f>
        <v/>
      </c>
      <c r="CQ296" s="507"/>
      <c r="CR296" s="503" t="str">
        <f>IF($G296="","",IF(AND($G296&gt;=30,$AT$3&lt;=CQ$7),ROUND(CQ296*($AP$3+#REF!),-1),""))</f>
        <v/>
      </c>
      <c r="CS296" s="507"/>
      <c r="CT296" s="503" t="str">
        <f>IF($G296="","",IF(AND($G296&gt;=30,$AT$3&lt;=CS$7),ROUND(CS296*($AP$3+#REF!),-1),""))</f>
        <v/>
      </c>
      <c r="CU296" s="507"/>
      <c r="CV296" s="503" t="str">
        <f>IF($G296="","",IF(AND($G296&gt;=30,$AT$3&lt;=CU$7),ROUND(CU296*($AP$3+#REF!),-1),""))</f>
        <v/>
      </c>
      <c r="CW296" s="507"/>
      <c r="CX296" s="503" t="str">
        <f>IF($G296="","",IF(AND($G296&gt;=30,$AT$3&lt;=CW$7),ROUND(CW296*($AP$3+#REF!),-1),""))</f>
        <v/>
      </c>
      <c r="CY296" s="507"/>
      <c r="CZ296" s="503" t="str">
        <f>IF($G296="","",IF(AND($G296&gt;=30,$AT$3&lt;=CY$7),ROUND(CY296*($AP$3+#REF!),-1),""))</f>
        <v/>
      </c>
      <c r="DA296" s="507"/>
      <c r="DB296" s="503" t="str">
        <f>IF($G296="","",IF(AND($G296&gt;=30,$AT$3&lt;=DA$7),ROUND(DA296*($AP$3+#REF!),-1),""))</f>
        <v/>
      </c>
      <c r="DC296" s="507"/>
      <c r="DD296" s="503" t="str">
        <f>IF($G296="","",IF(AND($G296&gt;=30,$AT$3&lt;=DC$7),ROUND(DC296*($AP$3+#REF!),-1),""))</f>
        <v/>
      </c>
      <c r="DE296" s="507"/>
      <c r="DF296" s="503" t="str">
        <f>IF($G296="","",IF(AND($G296&gt;=30,$AT$3&lt;=DE$7),ROUND(DE296*($AP$3+#REF!),-1),""))</f>
        <v/>
      </c>
      <c r="DG296" s="507"/>
      <c r="DH296" s="503" t="str">
        <f>IF($G296="","",IF(AND($G296&gt;=30,$AT$3&lt;=DG$7),ROUND(DG296*($AP$3+#REF!),-1),""))</f>
        <v/>
      </c>
      <c r="DI296" s="507"/>
      <c r="DJ296" s="503" t="str">
        <f>IF($G296="","",IF(AND($G296&gt;=30,$AT$3&lt;=DI$7),ROUND(DI296*($AP$3+#REF!),-1),""))</f>
        <v/>
      </c>
      <c r="DK296" s="507"/>
      <c r="DL296" s="503" t="str">
        <f>IF($G296="","",IF(AND($G296&gt;=30,$AT$3&lt;=DK$7),ROUND(DK296*($AP$3+#REF!),-1),""))</f>
        <v/>
      </c>
      <c r="DM296" s="507"/>
      <c r="DN296" s="503" t="str">
        <f>IF($G296="","",IF(AND($G296&gt;=30,$AT$3&lt;=DM$7),ROUND(DM296*($AP$3+#REF!),-1),""))</f>
        <v/>
      </c>
      <c r="DO296" s="507"/>
      <c r="DP296" s="503" t="str">
        <f>IF($G296="","",IF(AND($G296&gt;=30,$AT$3&lt;=DO$7),ROUND(DO296*($AP$3+#REF!),-1),""))</f>
        <v/>
      </c>
      <c r="DQ296" s="507"/>
      <c r="DR296" s="503" t="str">
        <f>IF($G296="","",IF(AND($G296&gt;=30,$AT$3&lt;=DQ$7),ROUND(DQ296*($AP$3+#REF!),-1),""))</f>
        <v/>
      </c>
      <c r="DS296" s="507"/>
      <c r="DT296" s="503" t="str">
        <f>IF($G296="","",IF(AND($G296&gt;=30,$AT$3&lt;=DS$7),ROUND(DS296*($AP$3+#REF!),-1),""))</f>
        <v/>
      </c>
      <c r="DU296" s="507"/>
      <c r="DV296" s="503" t="str">
        <f>IF($G296="","",IF(AND($G296&gt;=30,$AT$3&lt;=DU$7),ROUND(DU296*($AP$3+#REF!),-1),""))</f>
        <v/>
      </c>
      <c r="DW296" s="507"/>
      <c r="DX296" s="503" t="str">
        <f>IF($G296="","",IF(AND($G296&gt;=30,$AT$3&lt;=DW$7),ROUND(DW296*($AP$3+#REF!),-1),""))</f>
        <v/>
      </c>
      <c r="DY296" s="507"/>
      <c r="DZ296" s="503" t="str">
        <f>IF($G296="","",IF(AND($G296&gt;=30,$AT$3&lt;=DY$7),ROUND(DY296*($AP$3+#REF!),-1),""))</f>
        <v/>
      </c>
      <c r="EA296" s="507"/>
      <c r="EB296" s="503" t="str">
        <f>IF($G296="","",IF(AND($G296&gt;=30,$AT$3&lt;=EA$7),ROUND(EA296*($AP$3+#REF!),-1),""))</f>
        <v/>
      </c>
      <c r="EC296" s="504" t="s">
        <v>621</v>
      </c>
      <c r="ED296" s="1125"/>
      <c r="EE296" s="325">
        <v>12</v>
      </c>
    </row>
    <row r="297" spans="1:135" ht="9.75" customHeight="1">
      <c r="A297" s="321" t="str">
        <f t="shared" si="68"/>
        <v/>
      </c>
      <c r="B297" s="567">
        <f>(ii!$D$13*12+V297)+1</f>
        <v>191</v>
      </c>
      <c r="C297" s="345">
        <f t="shared" si="72"/>
        <v>51166</v>
      </c>
      <c r="D297" s="340">
        <f t="shared" si="75"/>
        <v>2040</v>
      </c>
      <c r="E297" s="340">
        <f t="shared" si="73"/>
        <v>8.3333333333333329E-2</v>
      </c>
      <c r="F297" s="340">
        <f t="shared" si="76"/>
        <v>2040.0833333333333</v>
      </c>
      <c r="G297" s="531" t="str">
        <f>IF(OR(C297&lt;$I$2,C297&gt;$J$3),"",(ii!$D$13*12+V297+1)/12)</f>
        <v/>
      </c>
      <c r="H297" s="532"/>
      <c r="I297" s="532"/>
      <c r="J297" s="533"/>
      <c r="K297" s="553"/>
      <c r="L297" s="534"/>
      <c r="M297" s="489" t="str">
        <f t="shared" si="77"/>
        <v/>
      </c>
      <c r="N297" s="536" t="s">
        <v>621</v>
      </c>
      <c r="O297" s="490" t="str">
        <f t="shared" si="70"/>
        <v/>
      </c>
      <c r="P297" s="537"/>
      <c r="Q297" s="537"/>
      <c r="R297" s="533" t="str">
        <f t="shared" si="71"/>
        <v/>
      </c>
      <c r="S297" s="538" t="str">
        <f t="shared" si="69"/>
        <v/>
      </c>
      <c r="T297" s="538" t="str">
        <f t="shared" si="67"/>
        <v/>
      </c>
      <c r="U297" s="539" t="str">
        <f>IF(H297="","",#REF!*12+#REF!+#REF!*12+#REF!)</f>
        <v/>
      </c>
      <c r="V297" s="338">
        <f>IF(ii!$J$3&gt;gg!C297,"",IF(AND((YEAR(C297)=YEAR($I$2)),MONTH(C297)=MONTH($I$2)),ii!$B$14*12+ii!$C$14+ii!$B$15*12+ii!$C$15-1,V296+1))</f>
        <v>190</v>
      </c>
      <c r="W297" s="339">
        <f t="shared" si="74"/>
        <v>15.833333333333334</v>
      </c>
      <c r="X297" s="540" t="s">
        <v>621</v>
      </c>
      <c r="Y297" s="538" t="s">
        <v>621</v>
      </c>
      <c r="Z297" s="541">
        <f>Z285+$Z$26</f>
        <v>0.66000000000000036</v>
      </c>
      <c r="AA297" s="542" t="str">
        <f>IF(Y297="","",(Y297-Y296)/Y296)</f>
        <v/>
      </c>
      <c r="AB297" s="543" t="e">
        <f t="shared" si="80"/>
        <v>#VALUE!</v>
      </c>
      <c r="AC297" s="544" t="str">
        <f t="shared" si="78"/>
        <v/>
      </c>
      <c r="AD297" s="538" t="str">
        <f t="shared" si="79"/>
        <v/>
      </c>
      <c r="AE297" s="545" t="s">
        <v>621</v>
      </c>
      <c r="AF297" s="546" t="s">
        <v>621</v>
      </c>
      <c r="AG297" s="558" t="s">
        <v>621</v>
      </c>
      <c r="AH297" s="547" t="str">
        <f>IF($G297="","",IF(AND($G297&gt;=30,$AT$3&lt;=AG$7),ROUND(AG297*($AP$3+#REF!),-1),""))</f>
        <v/>
      </c>
      <c r="AI297" s="558" t="s">
        <v>621</v>
      </c>
      <c r="AJ297" s="547" t="str">
        <f>IF($G297="","",IF(AND($G297&gt;=30,$AT$3&lt;=AI$7),ROUND(AI297*($AP$3+#REF!),-1),""))</f>
        <v/>
      </c>
      <c r="AK297" s="560" t="s">
        <v>621</v>
      </c>
      <c r="AL297" s="547" t="str">
        <f>IF($G297="","",IF(AND($G297&gt;=30,$AT$3&lt;=AK$7),ROUND(AK297*($AP$3+#REF!),-1),""))</f>
        <v/>
      </c>
      <c r="AM297" s="560" t="s">
        <v>621</v>
      </c>
      <c r="AN297" s="547" t="str">
        <f>IF($G297="","",IF(AND($G297&gt;=30,$AT$3&lt;=AM$7),ROUND(AM297*($AP$3+#REF!),-1),""))</f>
        <v/>
      </c>
      <c r="AO297" s="547" t="e">
        <v>#REF!</v>
      </c>
      <c r="AP297" s="547" t="str">
        <f>IF($G297="","",IF(AND($G297&gt;=30,$AT$3&lt;=AO$7),ROUND(AO297*($AP$3+#REF!),-1),""))</f>
        <v/>
      </c>
      <c r="AQ297" s="547" t="s">
        <v>621</v>
      </c>
      <c r="AR297" s="547" t="str">
        <f>IF($G297="","",IF(AND($G297&gt;=30,$AT$3&lt;=AQ$7),ROUND(AQ297*($AP$3+#REF!),-1),""))</f>
        <v/>
      </c>
      <c r="AS297" s="547" t="s">
        <v>621</v>
      </c>
      <c r="AT297" s="547" t="str">
        <f>IF($G297="","",IF(AND($G297&gt;=30,$AT$3&lt;=AS$7),ROUND(AS297*($AP$3+#REF!),-1),""))</f>
        <v/>
      </c>
      <c r="AU297" s="547" t="s">
        <v>621</v>
      </c>
      <c r="AV297" s="547" t="str">
        <f>IF($G297="","",IF(AND($G297&gt;=30,$AT$3&lt;=AU$7),ROUND(AU297*($AP$3+#REF!),-1),""))</f>
        <v/>
      </c>
      <c r="AW297" s="547" t="s">
        <v>621</v>
      </c>
      <c r="AX297" s="547" t="str">
        <f>IF($G297="","",IF(AND($G297&gt;=30,$AT$3&lt;=AW$7),ROUND(AW297*($AP$3+#REF!),-1),""))</f>
        <v/>
      </c>
      <c r="AY297" s="547" t="s">
        <v>621</v>
      </c>
      <c r="AZ297" s="547" t="str">
        <f>IF($G297="","",IF(AND($G297&gt;=30,$AT$3&lt;=AY$7),ROUND(AY297*($AP$3+#REF!),-1),""))</f>
        <v/>
      </c>
      <c r="BA297" s="547" t="s">
        <v>621</v>
      </c>
      <c r="BB297" s="547" t="str">
        <f>IF($G297="","",IF(AND($G297&gt;=30,$AT$3&lt;=BA$7),ROUND(BA297*($AP$3+#REF!),-1),""))</f>
        <v/>
      </c>
      <c r="BC297" s="547" t="s">
        <v>621</v>
      </c>
      <c r="BD297" s="547" t="str">
        <f>IF($G297="","",IF(AND($G297&gt;=30,$AT$3&lt;=BC$7),ROUND(BC297*($AP$3+#REF!),-1),""))</f>
        <v/>
      </c>
      <c r="BE297" s="547" t="s">
        <v>621</v>
      </c>
      <c r="BF297" s="547" t="str">
        <f>IF($G297="","",IF(AND($G297&gt;=30,$AT$3&lt;=BE$7),ROUND(BE297*($AP$3+#REF!),-1),""))</f>
        <v/>
      </c>
      <c r="BG297" s="547" t="s">
        <v>621</v>
      </c>
      <c r="BH297" s="547" t="str">
        <f>IF($G297="","",IF(AND($G297&gt;=30,$AT$3&lt;=BG$7),ROUND(BG297*($AP$3+#REF!),-1),""))</f>
        <v/>
      </c>
      <c r="BI297" s="547" t="s">
        <v>621</v>
      </c>
      <c r="BJ297" s="547" t="str">
        <f>IF($G297="","",IF(AND($G297&gt;=30,$AT$3&lt;=BI$7),ROUND(BI297*($AP$3+#REF!),-1),""))</f>
        <v/>
      </c>
      <c r="BK297" s="547" t="s">
        <v>621</v>
      </c>
      <c r="BL297" s="547" t="str">
        <f>IF($G297="","",IF(AND($G297&gt;=30,$AT$3&lt;=BK$7),ROUND(BK297*($AP$3+#REF!),-1),""))</f>
        <v/>
      </c>
      <c r="BM297" s="547" t="s">
        <v>621</v>
      </c>
      <c r="BN297" s="547" t="str">
        <f>IF($G297="","",IF(AND($G297&gt;=30,$AT$3&lt;=BM$7),ROUND(BM297*($AP$3+#REF!),-1),""))</f>
        <v/>
      </c>
      <c r="BO297" s="547" t="s">
        <v>621</v>
      </c>
      <c r="BP297" s="547" t="str">
        <f>IF($G297="","",IF(AND($G297&gt;=30,$AT$3&lt;=BO$7),ROUND(BO297*($AP$3+#REF!),-1),""))</f>
        <v/>
      </c>
      <c r="BQ297" s="547" t="s">
        <v>621</v>
      </c>
      <c r="BR297" s="547" t="str">
        <f>IF($G297="","",IF(AND($G297&gt;=30,$AT$3&lt;=BQ$7),ROUND(BQ297*($AP$3+#REF!),-1),""))</f>
        <v/>
      </c>
      <c r="BS297" s="547" t="s">
        <v>621</v>
      </c>
      <c r="BT297" s="547" t="str">
        <f>IF($G297="","",IF(AND($G297&gt;=30,$AT$3&lt;=BS$7),ROUND(BS297*($AP$3+#REF!),-1),""))</f>
        <v/>
      </c>
      <c r="BU297" s="547" t="s">
        <v>621</v>
      </c>
      <c r="BV297" s="547" t="str">
        <f>IF($G297="","",IF(AND($G297&gt;=30,$AT$3&lt;=BU$7),ROUND(BU297*($AP$3+#REF!),-1),""))</f>
        <v/>
      </c>
      <c r="BW297" s="547" t="s">
        <v>621</v>
      </c>
      <c r="BX297" s="547" t="str">
        <f>IF($G297="","",IF(AND($G297&gt;=30,$AT$3&lt;=BW$7),ROUND(BW297*($AP$3+#REF!),-1),""))</f>
        <v/>
      </c>
      <c r="BY297" s="547" t="s">
        <v>621</v>
      </c>
      <c r="BZ297" s="547" t="str">
        <f>IF($G297="","",IF(AND($G297&gt;=30,$AT$3&lt;=BY$7),ROUND(BY297*($AP$3+#REF!),-1),""))</f>
        <v/>
      </c>
      <c r="CA297" s="547" t="s">
        <v>621</v>
      </c>
      <c r="CB297" s="547" t="str">
        <f>IF($G297="","",IF(AND($G297&gt;=30,$AT$3&lt;=CA$7),ROUND(CA297*($AP$3+#REF!),-1),""))</f>
        <v/>
      </c>
      <c r="CC297" s="533" t="e">
        <v>#REF!</v>
      </c>
      <c r="CD297" s="547" t="str">
        <f>IF($G297="","",IF(AND($G297&gt;=30,$AT$3&lt;=CC$7),ROUND(CC297*($AP$3+#REF!),-1),""))</f>
        <v/>
      </c>
      <c r="CE297" s="547"/>
      <c r="CF297" s="547" t="str">
        <f>IF($G297="","",IF(AND($G297&gt;=30,$AT$3&lt;=CE$7),ROUND(CE297*($AP$3+#REF!),-1),""))</f>
        <v/>
      </c>
      <c r="CG297" s="547"/>
      <c r="CH297" s="547" t="str">
        <f>IF($G297="","",IF(AND($G297&gt;=30,$AT$3&lt;=CG$7),ROUND(CG297*($AP$3+#REF!),-1),""))</f>
        <v/>
      </c>
      <c r="CI297" s="547"/>
      <c r="CJ297" s="547" t="str">
        <f>IF($G297="","",IF(AND($G297&gt;=30,$AT$3&lt;=CI$7),ROUND(CI297*($AP$3+#REF!),-1),""))</f>
        <v/>
      </c>
      <c r="CK297" s="547"/>
      <c r="CL297" s="547" t="str">
        <f>IF($G297="","",IF(AND($G297&gt;=30,$AT$3&lt;=CK$7),ROUND(CK297*($AP$3+#REF!),-1),""))</f>
        <v/>
      </c>
      <c r="CM297" s="547"/>
      <c r="CN297" s="547" t="str">
        <f>IF($G297="","",IF(AND($G297&gt;=30,$AT$3&lt;=CM$7),ROUND(CM297*($AP$3+#REF!),-1),""))</f>
        <v/>
      </c>
      <c r="CO297" s="547"/>
      <c r="CP297" s="547" t="str">
        <f>IF($G297="","",IF(AND($G297&gt;=30,$AT$3&lt;=CO$7),ROUND(CO297*($AP$3+#REF!),-1),""))</f>
        <v/>
      </c>
      <c r="CQ297" s="547"/>
      <c r="CR297" s="547" t="str">
        <f>IF($G297="","",IF(AND($G297&gt;=30,$AT$3&lt;=CQ$7),ROUND(CQ297*($AP$3+#REF!),-1),""))</f>
        <v/>
      </c>
      <c r="CS297" s="547"/>
      <c r="CT297" s="547" t="str">
        <f>IF($G297="","",IF(AND($G297&gt;=30,$AT$3&lt;=CS$7),ROUND(CS297*($AP$3+#REF!),-1),""))</f>
        <v/>
      </c>
      <c r="CU297" s="547"/>
      <c r="CV297" s="547" t="str">
        <f>IF($G297="","",IF(AND($G297&gt;=30,$AT$3&lt;=CU$7),ROUND(CU297*($AP$3+#REF!),-1),""))</f>
        <v/>
      </c>
      <c r="CW297" s="547"/>
      <c r="CX297" s="547" t="str">
        <f>IF($G297="","",IF(AND($G297&gt;=30,$AT$3&lt;=CW$7),ROUND(CW297*($AP$3+#REF!),-1),""))</f>
        <v/>
      </c>
      <c r="CY297" s="547"/>
      <c r="CZ297" s="547" t="str">
        <f>IF($G297="","",IF(AND($G297&gt;=30,$AT$3&lt;=CY$7),ROUND(CY297*($AP$3+#REF!),-1),""))</f>
        <v/>
      </c>
      <c r="DA297" s="547"/>
      <c r="DB297" s="547" t="str">
        <f>IF($G297="","",IF(AND($G297&gt;=30,$AT$3&lt;=DA$7),ROUND(DA297*($AP$3+#REF!),-1),""))</f>
        <v/>
      </c>
      <c r="DC297" s="547"/>
      <c r="DD297" s="547" t="str">
        <f>IF($G297="","",IF(AND($G297&gt;=30,$AT$3&lt;=DC$7),ROUND(DC297*($AP$3+#REF!),-1),""))</f>
        <v/>
      </c>
      <c r="DE297" s="547"/>
      <c r="DF297" s="547" t="str">
        <f>IF($G297="","",IF(AND($G297&gt;=30,$AT$3&lt;=DE$7),ROUND(DE297*($AP$3+#REF!),-1),""))</f>
        <v/>
      </c>
      <c r="DG297" s="547"/>
      <c r="DH297" s="547" t="str">
        <f>IF($G297="","",IF(AND($G297&gt;=30,$AT$3&lt;=DG$7),ROUND(DG297*($AP$3+#REF!),-1),""))</f>
        <v/>
      </c>
      <c r="DI297" s="547"/>
      <c r="DJ297" s="547" t="str">
        <f>IF($G297="","",IF(AND($G297&gt;=30,$AT$3&lt;=DI$7),ROUND(DI297*($AP$3+#REF!),-1),""))</f>
        <v/>
      </c>
      <c r="DK297" s="547"/>
      <c r="DL297" s="547" t="str">
        <f>IF($G297="","",IF(AND($G297&gt;=30,$AT$3&lt;=DK$7),ROUND(DK297*($AP$3+#REF!),-1),""))</f>
        <v/>
      </c>
      <c r="DM297" s="547"/>
      <c r="DN297" s="547" t="str">
        <f>IF($G297="","",IF(AND($G297&gt;=30,$AT$3&lt;=DM$7),ROUND(DM297*($AP$3+#REF!),-1),""))</f>
        <v/>
      </c>
      <c r="DO297" s="547"/>
      <c r="DP297" s="547" t="str">
        <f>IF($G297="","",IF(AND($G297&gt;=30,$AT$3&lt;=DO$7),ROUND(DO297*($AP$3+#REF!),-1),""))</f>
        <v/>
      </c>
      <c r="DQ297" s="547"/>
      <c r="DR297" s="547" t="str">
        <f>IF($G297="","",IF(AND($G297&gt;=30,$AT$3&lt;=DQ$7),ROUND(DQ297*($AP$3+#REF!),-1),""))</f>
        <v/>
      </c>
      <c r="DS297" s="547"/>
      <c r="DT297" s="547" t="str">
        <f>IF($G297="","",IF(AND($G297&gt;=30,$AT$3&lt;=DS$7),ROUND(DS297*($AP$3+#REF!),-1),""))</f>
        <v/>
      </c>
      <c r="DU297" s="547"/>
      <c r="DV297" s="547" t="str">
        <f>IF($G297="","",IF(AND($G297&gt;=30,$AT$3&lt;=DU$7),ROUND(DU297*($AP$3+#REF!),-1),""))</f>
        <v/>
      </c>
      <c r="DW297" s="547"/>
      <c r="DX297" s="547" t="str">
        <f>IF($G297="","",IF(AND($G297&gt;=30,$AT$3&lt;=DW$7),ROUND(DW297*($AP$3+#REF!),-1),""))</f>
        <v/>
      </c>
      <c r="DY297" s="547"/>
      <c r="DZ297" s="547" t="str">
        <f>IF($G297="","",IF(AND($G297&gt;=30,$AT$3&lt;=DY$7),ROUND(DY297*($AP$3+#REF!),-1),""))</f>
        <v/>
      </c>
      <c r="EA297" s="547"/>
      <c r="EB297" s="547" t="str">
        <f>IF($G297="","",IF(AND($G297&gt;=30,$AT$3&lt;=EA$7),ROUND(EA297*($AP$3+#REF!),-1),""))</f>
        <v/>
      </c>
      <c r="EC297" s="547" t="s">
        <v>621</v>
      </c>
      <c r="ED297" s="1123">
        <f>SUM(EC297:EC308)</f>
        <v>0</v>
      </c>
      <c r="EE297" s="325">
        <v>1</v>
      </c>
    </row>
    <row r="298" spans="1:135" ht="9.75" customHeight="1">
      <c r="A298" s="321" t="str">
        <f t="shared" si="68"/>
        <v/>
      </c>
      <c r="B298" s="567">
        <f>(ii!$D$13*12+V298)+1</f>
        <v>192</v>
      </c>
      <c r="C298" s="337">
        <f t="shared" si="72"/>
        <v>51195</v>
      </c>
      <c r="D298" s="484">
        <f t="shared" si="75"/>
        <v>2040</v>
      </c>
      <c r="E298" s="484">
        <f t="shared" si="73"/>
        <v>0.16666666666666666</v>
      </c>
      <c r="F298" s="484">
        <f t="shared" si="76"/>
        <v>2040.1666666666667</v>
      </c>
      <c r="G298" s="485" t="str">
        <f>IF(OR(C298&lt;$I$2,C298&gt;$J$3),"",(ii!$D$13*12+V298+1)/12)</f>
        <v/>
      </c>
      <c r="H298" s="486"/>
      <c r="I298" s="486"/>
      <c r="J298" s="487"/>
      <c r="K298" s="488"/>
      <c r="L298" s="548"/>
      <c r="M298" s="489" t="str">
        <f t="shared" si="77"/>
        <v/>
      </c>
      <c r="N298" s="490" t="s">
        <v>621</v>
      </c>
      <c r="O298" s="490" t="str">
        <f t="shared" si="70"/>
        <v/>
      </c>
      <c r="P298" s="491"/>
      <c r="Q298" s="491"/>
      <c r="R298" s="491" t="str">
        <f t="shared" si="71"/>
        <v/>
      </c>
      <c r="S298" s="528" t="str">
        <f t="shared" si="69"/>
        <v/>
      </c>
      <c r="T298" s="528" t="str">
        <f t="shared" si="67"/>
        <v/>
      </c>
      <c r="U298" s="493" t="str">
        <f>IF(H298="","",#REF!*12+#REF!+#REF!*12+#REF!)</f>
        <v/>
      </c>
      <c r="V298" s="338">
        <f>IF(ii!$J$3&gt;gg!C298,"",IF(AND((YEAR(C298)=YEAR($I$2)),MONTH(C298)=MONTH($I$2)),ii!$B$14*12+ii!$C$14+ii!$B$15*12+ii!$C$15-1,V297+1))</f>
        <v>191</v>
      </c>
      <c r="W298" s="339">
        <f t="shared" si="74"/>
        <v>15.916666666666666</v>
      </c>
      <c r="X298" s="494" t="s">
        <v>621</v>
      </c>
      <c r="Y298" s="495" t="s">
        <v>621</v>
      </c>
      <c r="Z298" s="496"/>
      <c r="AA298" s="497"/>
      <c r="AB298" s="498" t="e">
        <f t="shared" si="80"/>
        <v>#VALUE!</v>
      </c>
      <c r="AC298" s="484" t="str">
        <f t="shared" si="78"/>
        <v/>
      </c>
      <c r="AD298" s="495" t="str">
        <f t="shared" si="79"/>
        <v/>
      </c>
      <c r="AE298" s="499" t="s">
        <v>621</v>
      </c>
      <c r="AF298" s="500" t="s">
        <v>621</v>
      </c>
      <c r="AG298" s="556" t="s">
        <v>621</v>
      </c>
      <c r="AH298" s="503" t="str">
        <f>IF($G298="","",IF(AND($G298&gt;=30,$AT$3&lt;=AG$7),ROUND(AG298*($AP$3+#REF!),-1),""))</f>
        <v/>
      </c>
      <c r="AI298" s="506" t="s">
        <v>621</v>
      </c>
      <c r="AJ298" s="503" t="str">
        <f>IF($G298="","",IF(AND($G298&gt;=30,$AT$3&lt;=AI$7),ROUND(AI298*($AP$3+#REF!),-1),""))</f>
        <v/>
      </c>
      <c r="AK298" s="506" t="s">
        <v>621</v>
      </c>
      <c r="AL298" s="503" t="str">
        <f>IF($G298="","",IF(AND($G298&gt;=30,$AT$3&lt;=AK$7),ROUND(AK298*($AP$3+#REF!),-1),""))</f>
        <v/>
      </c>
      <c r="AM298" s="506" t="s">
        <v>621</v>
      </c>
      <c r="AN298" s="503" t="str">
        <f>IF($G298="","",IF(AND($G298&gt;=30,$AT$3&lt;=AM$7),ROUND(AM298*($AP$3+#REF!),-1),""))</f>
        <v/>
      </c>
      <c r="AO298" s="503" t="e">
        <f>IF(AO297="","",AO297*1.001)</f>
        <v>#REF!</v>
      </c>
      <c r="AP298" s="503" t="str">
        <f>IF($G298="","",IF(AND($G298&gt;=30,$AT$3&lt;=AO$7),ROUND(AO298*($AP$3+#REF!),-1),""))</f>
        <v/>
      </c>
      <c r="AQ298" s="503" t="s">
        <v>621</v>
      </c>
      <c r="AR298" s="503" t="str">
        <f>IF($G298="","",IF(AND($G298&gt;=30,$AT$3&lt;=AQ$7),ROUND(AQ298*($AP$3+#REF!),-1),""))</f>
        <v/>
      </c>
      <c r="AS298" s="503" t="s">
        <v>621</v>
      </c>
      <c r="AT298" s="503" t="str">
        <f>IF($G298="","",IF(AND($G298&gt;=30,$AT$3&lt;=AS$7),ROUND(AS298*($AP$3+#REF!),-1),""))</f>
        <v/>
      </c>
      <c r="AU298" s="503" t="s">
        <v>621</v>
      </c>
      <c r="AV298" s="503" t="str">
        <f>IF($G298="","",IF(AND($G298&gt;=30,$AT$3&lt;=AU$7),ROUND(AU298*($AP$3+#REF!),-1),""))</f>
        <v/>
      </c>
      <c r="AW298" s="503" t="s">
        <v>621</v>
      </c>
      <c r="AX298" s="503" t="str">
        <f>IF($G298="","",IF(AND($G298&gt;=30,$AT$3&lt;=AW$7),ROUND(AW298*($AP$3+#REF!),-1),""))</f>
        <v/>
      </c>
      <c r="AY298" s="503" t="s">
        <v>621</v>
      </c>
      <c r="AZ298" s="503" t="str">
        <f>IF($G298="","",IF(AND($G298&gt;=30,$AT$3&lt;=AY$7),ROUND(AY298*($AP$3+#REF!),-1),""))</f>
        <v/>
      </c>
      <c r="BA298" s="503" t="s">
        <v>621</v>
      </c>
      <c r="BB298" s="503" t="str">
        <f>IF($G298="","",IF(AND($G298&gt;=30,$AT$3&lt;=BA$7),ROUND(BA298*($AP$3+#REF!),-1),""))</f>
        <v/>
      </c>
      <c r="BC298" s="503" t="s">
        <v>621</v>
      </c>
      <c r="BD298" s="503" t="str">
        <f>IF($G298="","",IF(AND($G298&gt;=30,$AT$3&lt;=BC$7),ROUND(BC298*($AP$3+#REF!),-1),""))</f>
        <v/>
      </c>
      <c r="BE298" s="503" t="s">
        <v>621</v>
      </c>
      <c r="BF298" s="503" t="str">
        <f>IF($G298="","",IF(AND($G298&gt;=30,$AT$3&lt;=BE$7),ROUND(BE298*($AP$3+#REF!),-1),""))</f>
        <v/>
      </c>
      <c r="BG298" s="503" t="s">
        <v>621</v>
      </c>
      <c r="BH298" s="503" t="str">
        <f>IF($G298="","",IF(AND($G298&gt;=30,$AT$3&lt;=BG$7),ROUND(BG298*($AP$3+#REF!),-1),""))</f>
        <v/>
      </c>
      <c r="BI298" s="503" t="s">
        <v>621</v>
      </c>
      <c r="BJ298" s="503" t="str">
        <f>IF($G298="","",IF(AND($G298&gt;=30,$AT$3&lt;=BI$7),ROUND(BI298*($AP$3+#REF!),-1),""))</f>
        <v/>
      </c>
      <c r="BK298" s="503" t="s">
        <v>621</v>
      </c>
      <c r="BL298" s="503" t="str">
        <f>IF($G298="","",IF(AND($G298&gt;=30,$AT$3&lt;=BK$7),ROUND(BK298*($AP$3+#REF!),-1),""))</f>
        <v/>
      </c>
      <c r="BM298" s="503" t="s">
        <v>621</v>
      </c>
      <c r="BN298" s="503" t="str">
        <f>IF($G298="","",IF(AND($G298&gt;=30,$AT$3&lt;=BM$7),ROUND(BM298*($AP$3+#REF!),-1),""))</f>
        <v/>
      </c>
      <c r="BO298" s="503" t="s">
        <v>621</v>
      </c>
      <c r="BP298" s="503" t="str">
        <f>IF($G298="","",IF(AND($G298&gt;=30,$AT$3&lt;=BO$7),ROUND(BO298*($AP$3+#REF!),-1),""))</f>
        <v/>
      </c>
      <c r="BQ298" s="503" t="s">
        <v>621</v>
      </c>
      <c r="BR298" s="503" t="str">
        <f>IF($G298="","",IF(AND($G298&gt;=30,$AT$3&lt;=BQ$7),ROUND(BQ298*($AP$3+#REF!),-1),""))</f>
        <v/>
      </c>
      <c r="BS298" s="503" t="s">
        <v>621</v>
      </c>
      <c r="BT298" s="503" t="str">
        <f>IF($G298="","",IF(AND($G298&gt;=30,$AT$3&lt;=BS$7),ROUND(BS298*($AP$3+#REF!),-1),""))</f>
        <v/>
      </c>
      <c r="BU298" s="503" t="s">
        <v>621</v>
      </c>
      <c r="BV298" s="503" t="str">
        <f>IF($G298="","",IF(AND($G298&gt;=30,$AT$3&lt;=BU$7),ROUND(BU298*($AP$3+#REF!),-1),""))</f>
        <v/>
      </c>
      <c r="BW298" s="503" t="s">
        <v>621</v>
      </c>
      <c r="BX298" s="503" t="str">
        <f>IF($G298="","",IF(AND($G298&gt;=30,$AT$3&lt;=BW$7),ROUND(BW298*($AP$3+#REF!),-1),""))</f>
        <v/>
      </c>
      <c r="BY298" s="503" t="s">
        <v>621</v>
      </c>
      <c r="BZ298" s="503" t="str">
        <f>IF($G298="","",IF(AND($G298&gt;=30,$AT$3&lt;=BY$7),ROUND(BY298*($AP$3+#REF!),-1),""))</f>
        <v/>
      </c>
      <c r="CA298" s="503" t="s">
        <v>621</v>
      </c>
      <c r="CB298" s="503" t="str">
        <f>IF($G298="","",IF(AND($G298&gt;=30,$AT$3&lt;=CA$7),ROUND(CA298*($AP$3+#REF!),-1),""))</f>
        <v/>
      </c>
      <c r="CC298" s="517" t="e">
        <v>#REF!</v>
      </c>
      <c r="CD298" s="503" t="str">
        <f>IF($G298="","",IF(AND($G298&gt;=30,$AT$3&lt;=CC$7),ROUND(CC298*($AP$3+#REF!),-1),""))</f>
        <v/>
      </c>
      <c r="CE298" s="517"/>
      <c r="CF298" s="503" t="str">
        <f>IF($G298="","",IF(AND($G298&gt;=30,$AT$3&lt;=CE$7),ROUND(CE298*($AP$3+#REF!),-1),""))</f>
        <v/>
      </c>
      <c r="CG298" s="517"/>
      <c r="CH298" s="503" t="str">
        <f>IF($G298="","",IF(AND($G298&gt;=30,$AT$3&lt;=CG$7),ROUND(CG298*($AP$3+#REF!),-1),""))</f>
        <v/>
      </c>
      <c r="CI298" s="517"/>
      <c r="CJ298" s="503" t="str">
        <f>IF($G298="","",IF(AND($G298&gt;=30,$AT$3&lt;=CI$7),ROUND(CI298*($AP$3+#REF!),-1),""))</f>
        <v/>
      </c>
      <c r="CK298" s="517"/>
      <c r="CL298" s="503" t="str">
        <f>IF($G298="","",IF(AND($G298&gt;=30,$AT$3&lt;=CK$7),ROUND(CK298*($AP$3+#REF!),-1),""))</f>
        <v/>
      </c>
      <c r="CM298" s="517"/>
      <c r="CN298" s="503" t="str">
        <f>IF($G298="","",IF(AND($G298&gt;=30,$AT$3&lt;=CM$7),ROUND(CM298*($AP$3+#REF!),-1),""))</f>
        <v/>
      </c>
      <c r="CO298" s="517"/>
      <c r="CP298" s="503" t="str">
        <f>IF($G298="","",IF(AND($G298&gt;=30,$AT$3&lt;=CO$7),ROUND(CO298*($AP$3+#REF!),-1),""))</f>
        <v/>
      </c>
      <c r="CQ298" s="517"/>
      <c r="CR298" s="503" t="str">
        <f>IF($G298="","",IF(AND($G298&gt;=30,$AT$3&lt;=CQ$7),ROUND(CQ298*($AP$3+#REF!),-1),""))</f>
        <v/>
      </c>
      <c r="CS298" s="517"/>
      <c r="CT298" s="503" t="str">
        <f>IF($G298="","",IF(AND($G298&gt;=30,$AT$3&lt;=CS$7),ROUND(CS298*($AP$3+#REF!),-1),""))</f>
        <v/>
      </c>
      <c r="CU298" s="517"/>
      <c r="CV298" s="503" t="str">
        <f>IF($G298="","",IF(AND($G298&gt;=30,$AT$3&lt;=CU$7),ROUND(CU298*($AP$3+#REF!),-1),""))</f>
        <v/>
      </c>
      <c r="CW298" s="517"/>
      <c r="CX298" s="503" t="str">
        <f>IF($G298="","",IF(AND($G298&gt;=30,$AT$3&lt;=CW$7),ROUND(CW298*($AP$3+#REF!),-1),""))</f>
        <v/>
      </c>
      <c r="CY298" s="517"/>
      <c r="CZ298" s="503" t="str">
        <f>IF($G298="","",IF(AND($G298&gt;=30,$AT$3&lt;=CY$7),ROUND(CY298*($AP$3+#REF!),-1),""))</f>
        <v/>
      </c>
      <c r="DA298" s="517"/>
      <c r="DB298" s="503" t="str">
        <f>IF($G298="","",IF(AND($G298&gt;=30,$AT$3&lt;=DA$7),ROUND(DA298*($AP$3+#REF!),-1),""))</f>
        <v/>
      </c>
      <c r="DC298" s="517"/>
      <c r="DD298" s="503" t="str">
        <f>IF($G298="","",IF(AND($G298&gt;=30,$AT$3&lt;=DC$7),ROUND(DC298*($AP$3+#REF!),-1),""))</f>
        <v/>
      </c>
      <c r="DE298" s="517"/>
      <c r="DF298" s="503" t="str">
        <f>IF($G298="","",IF(AND($G298&gt;=30,$AT$3&lt;=DE$7),ROUND(DE298*($AP$3+#REF!),-1),""))</f>
        <v/>
      </c>
      <c r="DG298" s="517"/>
      <c r="DH298" s="503" t="str">
        <f>IF($G298="","",IF(AND($G298&gt;=30,$AT$3&lt;=DG$7),ROUND(DG298*($AP$3+#REF!),-1),""))</f>
        <v/>
      </c>
      <c r="DI298" s="517"/>
      <c r="DJ298" s="503" t="str">
        <f>IF($G298="","",IF(AND($G298&gt;=30,$AT$3&lt;=DI$7),ROUND(DI298*($AP$3+#REF!),-1),""))</f>
        <v/>
      </c>
      <c r="DK298" s="517"/>
      <c r="DL298" s="503" t="str">
        <f>IF($G298="","",IF(AND($G298&gt;=30,$AT$3&lt;=DK$7),ROUND(DK298*($AP$3+#REF!),-1),""))</f>
        <v/>
      </c>
      <c r="DM298" s="517"/>
      <c r="DN298" s="503" t="str">
        <f>IF($G298="","",IF(AND($G298&gt;=30,$AT$3&lt;=DM$7),ROUND(DM298*($AP$3+#REF!),-1),""))</f>
        <v/>
      </c>
      <c r="DO298" s="517"/>
      <c r="DP298" s="503" t="str">
        <f>IF($G298="","",IF(AND($G298&gt;=30,$AT$3&lt;=DO$7),ROUND(DO298*($AP$3+#REF!),-1),""))</f>
        <v/>
      </c>
      <c r="DQ298" s="517"/>
      <c r="DR298" s="503" t="str">
        <f>IF($G298="","",IF(AND($G298&gt;=30,$AT$3&lt;=DQ$7),ROUND(DQ298*($AP$3+#REF!),-1),""))</f>
        <v/>
      </c>
      <c r="DS298" s="517"/>
      <c r="DT298" s="503" t="str">
        <f>IF($G298="","",IF(AND($G298&gt;=30,$AT$3&lt;=DS$7),ROUND(DS298*($AP$3+#REF!),-1),""))</f>
        <v/>
      </c>
      <c r="DU298" s="517"/>
      <c r="DV298" s="503" t="str">
        <f>IF($G298="","",IF(AND($G298&gt;=30,$AT$3&lt;=DU$7),ROUND(DU298*($AP$3+#REF!),-1),""))</f>
        <v/>
      </c>
      <c r="DW298" s="517"/>
      <c r="DX298" s="503" t="str">
        <f>IF($G298="","",IF(AND($G298&gt;=30,$AT$3&lt;=DW$7),ROUND(DW298*($AP$3+#REF!),-1),""))</f>
        <v/>
      </c>
      <c r="DY298" s="517"/>
      <c r="DZ298" s="503" t="str">
        <f>IF($G298="","",IF(AND($G298&gt;=30,$AT$3&lt;=DY$7),ROUND(DY298*($AP$3+#REF!),-1),""))</f>
        <v/>
      </c>
      <c r="EA298" s="517"/>
      <c r="EB298" s="503" t="str">
        <f>IF($G298="","",IF(AND($G298&gt;=30,$AT$3&lt;=EA$7),ROUND(EA298*($AP$3+#REF!),-1),""))</f>
        <v/>
      </c>
      <c r="EC298" s="504" t="s">
        <v>621</v>
      </c>
      <c r="ED298" s="1124"/>
      <c r="EE298" s="325">
        <v>2</v>
      </c>
    </row>
    <row r="299" spans="1:135" ht="9.75" customHeight="1">
      <c r="A299" s="321" t="str">
        <f t="shared" si="68"/>
        <v/>
      </c>
      <c r="B299" s="567">
        <f>(ii!$D$13*12+V299)+1</f>
        <v>193</v>
      </c>
      <c r="C299" s="337">
        <f t="shared" si="72"/>
        <v>51226</v>
      </c>
      <c r="D299" s="484">
        <f t="shared" si="75"/>
        <v>2040</v>
      </c>
      <c r="E299" s="484">
        <f t="shared" si="73"/>
        <v>0.25</v>
      </c>
      <c r="F299" s="484">
        <f t="shared" si="76"/>
        <v>2040.25</v>
      </c>
      <c r="G299" s="485" t="str">
        <f>IF(OR(C299&lt;$I$2,C299&gt;$J$3),"",(ii!$D$13*12+V299+1)/12)</f>
        <v/>
      </c>
      <c r="H299" s="486"/>
      <c r="I299" s="486"/>
      <c r="J299" s="487"/>
      <c r="K299" s="488"/>
      <c r="L299" s="548"/>
      <c r="M299" s="489" t="str">
        <f t="shared" si="77"/>
        <v/>
      </c>
      <c r="N299" s="490" t="s">
        <v>621</v>
      </c>
      <c r="O299" s="490" t="str">
        <f t="shared" si="70"/>
        <v/>
      </c>
      <c r="P299" s="491"/>
      <c r="Q299" s="491"/>
      <c r="R299" s="491" t="str">
        <f t="shared" si="71"/>
        <v/>
      </c>
      <c r="S299" s="528" t="str">
        <f t="shared" si="69"/>
        <v/>
      </c>
      <c r="T299" s="528" t="str">
        <f t="shared" si="67"/>
        <v/>
      </c>
      <c r="U299" s="493" t="str">
        <f>IF(H299="","",#REF!*12+#REF!+#REF!*12+#REF!)</f>
        <v/>
      </c>
      <c r="V299" s="338">
        <f>IF(ii!$J$3&gt;gg!C299,"",IF(AND((YEAR(C299)=YEAR($I$2)),MONTH(C299)=MONTH($I$2)),ii!$B$14*12+ii!$C$14+ii!$B$15*12+ii!$C$15-1,V298+1))</f>
        <v>192</v>
      </c>
      <c r="W299" s="339">
        <f t="shared" si="74"/>
        <v>16</v>
      </c>
      <c r="X299" s="494" t="s">
        <v>621</v>
      </c>
      <c r="Y299" s="495" t="s">
        <v>621</v>
      </c>
      <c r="Z299" s="496"/>
      <c r="AA299" s="497"/>
      <c r="AB299" s="498" t="e">
        <f t="shared" si="80"/>
        <v>#VALUE!</v>
      </c>
      <c r="AC299" s="484" t="str">
        <f t="shared" si="78"/>
        <v/>
      </c>
      <c r="AD299" s="495" t="str">
        <f t="shared" si="79"/>
        <v/>
      </c>
      <c r="AE299" s="499" t="s">
        <v>621</v>
      </c>
      <c r="AF299" s="500" t="s">
        <v>621</v>
      </c>
      <c r="AG299" s="556" t="s">
        <v>621</v>
      </c>
      <c r="AH299" s="503" t="str">
        <f>IF($G299="","",IF(AND($G299&gt;=30,$AT$3&lt;=AG$7),ROUND(AG299*($AP$3+#REF!),-1),""))</f>
        <v/>
      </c>
      <c r="AI299" s="506" t="s">
        <v>621</v>
      </c>
      <c r="AJ299" s="503" t="str">
        <f>IF($G299="","",IF(AND($G299&gt;=30,$AT$3&lt;=AI$7),ROUND(AI299*($AP$3+#REF!),-1),""))</f>
        <v/>
      </c>
      <c r="AK299" s="506" t="s">
        <v>621</v>
      </c>
      <c r="AL299" s="503" t="str">
        <f>IF($G299="","",IF(AND($G299&gt;=30,$AT$3&lt;=AK$7),ROUND(AK299*($AP$3+#REF!),-1),""))</f>
        <v/>
      </c>
      <c r="AM299" s="506" t="s">
        <v>621</v>
      </c>
      <c r="AN299" s="503" t="str">
        <f>IF($G299="","",IF(AND($G299&gt;=30,$AT$3&lt;=AM$7),ROUND(AM299*($AP$3+#REF!),-1),""))</f>
        <v/>
      </c>
      <c r="AO299" s="503" t="e">
        <v>#REF!</v>
      </c>
      <c r="AP299" s="503" t="str">
        <f>IF($G299="","",IF(AND($G299&gt;=30,$AT$3&lt;=AO$7),ROUND(AO299*($AP$3+#REF!),-1),""))</f>
        <v/>
      </c>
      <c r="AQ299" s="503" t="s">
        <v>621</v>
      </c>
      <c r="AR299" s="503" t="str">
        <f>IF($G299="","",IF(AND($G299&gt;=30,$AT$3&lt;=AQ$7),ROUND(AQ299*($AP$3+#REF!),-1),""))</f>
        <v/>
      </c>
      <c r="AS299" s="503" t="s">
        <v>621</v>
      </c>
      <c r="AT299" s="503" t="str">
        <f>IF($G299="","",IF(AND($G299&gt;=30,$AT$3&lt;=AS$7),ROUND(AS299*($AP$3+#REF!),-1),""))</f>
        <v/>
      </c>
      <c r="AU299" s="503" t="s">
        <v>621</v>
      </c>
      <c r="AV299" s="503" t="str">
        <f>IF($G299="","",IF(AND($G299&gt;=30,$AT$3&lt;=AU$7),ROUND(AU299*($AP$3+#REF!),-1),""))</f>
        <v/>
      </c>
      <c r="AW299" s="503" t="s">
        <v>621</v>
      </c>
      <c r="AX299" s="503" t="str">
        <f>IF($G299="","",IF(AND($G299&gt;=30,$AT$3&lt;=AW$7),ROUND(AW299*($AP$3+#REF!),-1),""))</f>
        <v/>
      </c>
      <c r="AY299" s="503" t="s">
        <v>621</v>
      </c>
      <c r="AZ299" s="503" t="str">
        <f>IF($G299="","",IF(AND($G299&gt;=30,$AT$3&lt;=AY$7),ROUND(AY299*($AP$3+#REF!),-1),""))</f>
        <v/>
      </c>
      <c r="BA299" s="503" t="s">
        <v>621</v>
      </c>
      <c r="BB299" s="503" t="str">
        <f>IF($G299="","",IF(AND($G299&gt;=30,$AT$3&lt;=BA$7),ROUND(BA299*($AP$3+#REF!),-1),""))</f>
        <v/>
      </c>
      <c r="BC299" s="503" t="s">
        <v>621</v>
      </c>
      <c r="BD299" s="503" t="str">
        <f>IF($G299="","",IF(AND($G299&gt;=30,$AT$3&lt;=BC$7),ROUND(BC299*($AP$3+#REF!),-1),""))</f>
        <v/>
      </c>
      <c r="BE299" s="503" t="s">
        <v>621</v>
      </c>
      <c r="BF299" s="503" t="str">
        <f>IF($G299="","",IF(AND($G299&gt;=30,$AT$3&lt;=BE$7),ROUND(BE299*($AP$3+#REF!),-1),""))</f>
        <v/>
      </c>
      <c r="BG299" s="503" t="s">
        <v>621</v>
      </c>
      <c r="BH299" s="503" t="str">
        <f>IF($G299="","",IF(AND($G299&gt;=30,$AT$3&lt;=BG$7),ROUND(BG299*($AP$3+#REF!),-1),""))</f>
        <v/>
      </c>
      <c r="BI299" s="503" t="s">
        <v>621</v>
      </c>
      <c r="BJ299" s="503" t="str">
        <f>IF($G299="","",IF(AND($G299&gt;=30,$AT$3&lt;=BI$7),ROUND(BI299*($AP$3+#REF!),-1),""))</f>
        <v/>
      </c>
      <c r="BK299" s="503" t="s">
        <v>621</v>
      </c>
      <c r="BL299" s="503" t="str">
        <f>IF($G299="","",IF(AND($G299&gt;=30,$AT$3&lt;=BK$7),ROUND(BK299*($AP$3+#REF!),-1),""))</f>
        <v/>
      </c>
      <c r="BM299" s="503" t="s">
        <v>621</v>
      </c>
      <c r="BN299" s="503" t="str">
        <f>IF($G299="","",IF(AND($G299&gt;=30,$AT$3&lt;=BM$7),ROUND(BM299*($AP$3+#REF!),-1),""))</f>
        <v/>
      </c>
      <c r="BO299" s="503" t="s">
        <v>621</v>
      </c>
      <c r="BP299" s="503" t="str">
        <f>IF($G299="","",IF(AND($G299&gt;=30,$AT$3&lt;=BO$7),ROUND(BO299*($AP$3+#REF!),-1),""))</f>
        <v/>
      </c>
      <c r="BQ299" s="503" t="s">
        <v>621</v>
      </c>
      <c r="BR299" s="503" t="str">
        <f>IF($G299="","",IF(AND($G299&gt;=30,$AT$3&lt;=BQ$7),ROUND(BQ299*($AP$3+#REF!),-1),""))</f>
        <v/>
      </c>
      <c r="BS299" s="503" t="s">
        <v>621</v>
      </c>
      <c r="BT299" s="503" t="str">
        <f>IF($G299="","",IF(AND($G299&gt;=30,$AT$3&lt;=BS$7),ROUND(BS299*($AP$3+#REF!),-1),""))</f>
        <v/>
      </c>
      <c r="BU299" s="503" t="s">
        <v>621</v>
      </c>
      <c r="BV299" s="503" t="str">
        <f>IF($G299="","",IF(AND($G299&gt;=30,$AT$3&lt;=BU$7),ROUND(BU299*($AP$3+#REF!),-1),""))</f>
        <v/>
      </c>
      <c r="BW299" s="503" t="s">
        <v>621</v>
      </c>
      <c r="BX299" s="503" t="str">
        <f>IF($G299="","",IF(AND($G299&gt;=30,$AT$3&lt;=BW$7),ROUND(BW299*($AP$3+#REF!),-1),""))</f>
        <v/>
      </c>
      <c r="BY299" s="503" t="s">
        <v>621</v>
      </c>
      <c r="BZ299" s="503" t="str">
        <f>IF($G299="","",IF(AND($G299&gt;=30,$AT$3&lt;=BY$7),ROUND(BY299*($AP$3+#REF!),-1),""))</f>
        <v/>
      </c>
      <c r="CA299" s="503" t="s">
        <v>621</v>
      </c>
      <c r="CB299" s="503" t="str">
        <f>IF($G299="","",IF(AND($G299&gt;=30,$AT$3&lt;=CA$7),ROUND(CA299*($AP$3+#REF!),-1),""))</f>
        <v/>
      </c>
      <c r="CC299" s="517" t="e">
        <v>#REF!</v>
      </c>
      <c r="CD299" s="503" t="str">
        <f>IF($G299="","",IF(AND($G299&gt;=30,$AT$3&lt;=CC$7),ROUND(CC299*($AP$3+#REF!),-1),""))</f>
        <v/>
      </c>
      <c r="CE299" s="517"/>
      <c r="CF299" s="503" t="str">
        <f>IF($G299="","",IF(AND($G299&gt;=30,$AT$3&lt;=CE$7),ROUND(CE299*($AP$3+#REF!),-1),""))</f>
        <v/>
      </c>
      <c r="CG299" s="517"/>
      <c r="CH299" s="503" t="str">
        <f>IF($G299="","",IF(AND($G299&gt;=30,$AT$3&lt;=CG$7),ROUND(CG299*($AP$3+#REF!),-1),""))</f>
        <v/>
      </c>
      <c r="CI299" s="517"/>
      <c r="CJ299" s="503" t="str">
        <f>IF($G299="","",IF(AND($G299&gt;=30,$AT$3&lt;=CI$7),ROUND(CI299*($AP$3+#REF!),-1),""))</f>
        <v/>
      </c>
      <c r="CK299" s="517"/>
      <c r="CL299" s="503" t="str">
        <f>IF($G299="","",IF(AND($G299&gt;=30,$AT$3&lt;=CK$7),ROUND(CK299*($AP$3+#REF!),-1),""))</f>
        <v/>
      </c>
      <c r="CM299" s="517"/>
      <c r="CN299" s="503" t="str">
        <f>IF($G299="","",IF(AND($G299&gt;=30,$AT$3&lt;=CM$7),ROUND(CM299*($AP$3+#REF!),-1),""))</f>
        <v/>
      </c>
      <c r="CO299" s="517"/>
      <c r="CP299" s="503" t="str">
        <f>IF($G299="","",IF(AND($G299&gt;=30,$AT$3&lt;=CO$7),ROUND(CO299*($AP$3+#REF!),-1),""))</f>
        <v/>
      </c>
      <c r="CQ299" s="517"/>
      <c r="CR299" s="503" t="str">
        <f>IF($G299="","",IF(AND($G299&gt;=30,$AT$3&lt;=CQ$7),ROUND(CQ299*($AP$3+#REF!),-1),""))</f>
        <v/>
      </c>
      <c r="CS299" s="517"/>
      <c r="CT299" s="503" t="str">
        <f>IF($G299="","",IF(AND($G299&gt;=30,$AT$3&lt;=CS$7),ROUND(CS299*($AP$3+#REF!),-1),""))</f>
        <v/>
      </c>
      <c r="CU299" s="517"/>
      <c r="CV299" s="503" t="str">
        <f>IF($G299="","",IF(AND($G299&gt;=30,$AT$3&lt;=CU$7),ROUND(CU299*($AP$3+#REF!),-1),""))</f>
        <v/>
      </c>
      <c r="CW299" s="517"/>
      <c r="CX299" s="503" t="str">
        <f>IF($G299="","",IF(AND($G299&gt;=30,$AT$3&lt;=CW$7),ROUND(CW299*($AP$3+#REF!),-1),""))</f>
        <v/>
      </c>
      <c r="CY299" s="517"/>
      <c r="CZ299" s="503" t="str">
        <f>IF($G299="","",IF(AND($G299&gt;=30,$AT$3&lt;=CY$7),ROUND(CY299*($AP$3+#REF!),-1),""))</f>
        <v/>
      </c>
      <c r="DA299" s="517"/>
      <c r="DB299" s="503" t="str">
        <f>IF($G299="","",IF(AND($G299&gt;=30,$AT$3&lt;=DA$7),ROUND(DA299*($AP$3+#REF!),-1),""))</f>
        <v/>
      </c>
      <c r="DC299" s="517"/>
      <c r="DD299" s="503" t="str">
        <f>IF($G299="","",IF(AND($G299&gt;=30,$AT$3&lt;=DC$7),ROUND(DC299*($AP$3+#REF!),-1),""))</f>
        <v/>
      </c>
      <c r="DE299" s="517"/>
      <c r="DF299" s="503" t="str">
        <f>IF($G299="","",IF(AND($G299&gt;=30,$AT$3&lt;=DE$7),ROUND(DE299*($AP$3+#REF!),-1),""))</f>
        <v/>
      </c>
      <c r="DG299" s="517"/>
      <c r="DH299" s="503" t="str">
        <f>IF($G299="","",IF(AND($G299&gt;=30,$AT$3&lt;=DG$7),ROUND(DG299*($AP$3+#REF!),-1),""))</f>
        <v/>
      </c>
      <c r="DI299" s="517"/>
      <c r="DJ299" s="503" t="str">
        <f>IF($G299="","",IF(AND($G299&gt;=30,$AT$3&lt;=DI$7),ROUND(DI299*($AP$3+#REF!),-1),""))</f>
        <v/>
      </c>
      <c r="DK299" s="517"/>
      <c r="DL299" s="503" t="str">
        <f>IF($G299="","",IF(AND($G299&gt;=30,$AT$3&lt;=DK$7),ROUND(DK299*($AP$3+#REF!),-1),""))</f>
        <v/>
      </c>
      <c r="DM299" s="517"/>
      <c r="DN299" s="503" t="str">
        <f>IF($G299="","",IF(AND($G299&gt;=30,$AT$3&lt;=DM$7),ROUND(DM299*($AP$3+#REF!),-1),""))</f>
        <v/>
      </c>
      <c r="DO299" s="517"/>
      <c r="DP299" s="503" t="str">
        <f>IF($G299="","",IF(AND($G299&gt;=30,$AT$3&lt;=DO$7),ROUND(DO299*($AP$3+#REF!),-1),""))</f>
        <v/>
      </c>
      <c r="DQ299" s="517"/>
      <c r="DR299" s="503" t="str">
        <f>IF($G299="","",IF(AND($G299&gt;=30,$AT$3&lt;=DQ$7),ROUND(DQ299*($AP$3+#REF!),-1),""))</f>
        <v/>
      </c>
      <c r="DS299" s="517"/>
      <c r="DT299" s="503" t="str">
        <f>IF($G299="","",IF(AND($G299&gt;=30,$AT$3&lt;=DS$7),ROUND(DS299*($AP$3+#REF!),-1),""))</f>
        <v/>
      </c>
      <c r="DU299" s="517"/>
      <c r="DV299" s="503" t="str">
        <f>IF($G299="","",IF(AND($G299&gt;=30,$AT$3&lt;=DU$7),ROUND(DU299*($AP$3+#REF!),-1),""))</f>
        <v/>
      </c>
      <c r="DW299" s="517"/>
      <c r="DX299" s="503" t="str">
        <f>IF($G299="","",IF(AND($G299&gt;=30,$AT$3&lt;=DW$7),ROUND(DW299*($AP$3+#REF!),-1),""))</f>
        <v/>
      </c>
      <c r="DY299" s="517"/>
      <c r="DZ299" s="503" t="str">
        <f>IF($G299="","",IF(AND($G299&gt;=30,$AT$3&lt;=DY$7),ROUND(DY299*($AP$3+#REF!),-1),""))</f>
        <v/>
      </c>
      <c r="EA299" s="517"/>
      <c r="EB299" s="503" t="str">
        <f>IF($G299="","",IF(AND($G299&gt;=30,$AT$3&lt;=EA$7),ROUND(EA299*($AP$3+#REF!),-1),""))</f>
        <v/>
      </c>
      <c r="EC299" s="504" t="s">
        <v>621</v>
      </c>
      <c r="ED299" s="1124"/>
      <c r="EE299" s="325">
        <v>3</v>
      </c>
    </row>
    <row r="300" spans="1:135" ht="9.75" customHeight="1">
      <c r="A300" s="321" t="str">
        <f t="shared" si="68"/>
        <v/>
      </c>
      <c r="B300" s="567">
        <f>(ii!$D$13*12+V300)+1</f>
        <v>194</v>
      </c>
      <c r="C300" s="337">
        <f t="shared" si="72"/>
        <v>51256</v>
      </c>
      <c r="D300" s="484">
        <f t="shared" si="75"/>
        <v>2040</v>
      </c>
      <c r="E300" s="484">
        <f t="shared" si="73"/>
        <v>0.33333333333333331</v>
      </c>
      <c r="F300" s="484">
        <f t="shared" si="76"/>
        <v>2040.3333333333333</v>
      </c>
      <c r="G300" s="485" t="str">
        <f>IF(OR(C300&lt;$I$2,C300&gt;$J$3),"",(ii!$D$13*12+V300+1)/12)</f>
        <v/>
      </c>
      <c r="H300" s="486"/>
      <c r="I300" s="486"/>
      <c r="J300" s="487"/>
      <c r="K300" s="488"/>
      <c r="L300" s="548"/>
      <c r="M300" s="489" t="str">
        <f t="shared" si="77"/>
        <v/>
      </c>
      <c r="N300" s="490" t="s">
        <v>621</v>
      </c>
      <c r="O300" s="490" t="str">
        <f t="shared" si="70"/>
        <v/>
      </c>
      <c r="P300" s="491"/>
      <c r="Q300" s="491"/>
      <c r="R300" s="491" t="str">
        <f t="shared" si="71"/>
        <v/>
      </c>
      <c r="S300" s="528" t="str">
        <f t="shared" si="69"/>
        <v/>
      </c>
      <c r="T300" s="528" t="str">
        <f t="shared" si="67"/>
        <v/>
      </c>
      <c r="U300" s="493" t="str">
        <f>IF(H300="","",#REF!*12+#REF!+#REF!*12+#REF!)</f>
        <v/>
      </c>
      <c r="V300" s="338">
        <f>IF(ii!$J$3&gt;gg!C300,"",IF(AND((YEAR(C300)=YEAR($I$2)),MONTH(C300)=MONTH($I$2)),ii!$B$14*12+ii!$C$14+ii!$B$15*12+ii!$C$15-1,V299+1))</f>
        <v>193</v>
      </c>
      <c r="W300" s="339">
        <f t="shared" si="74"/>
        <v>16.083333333333332</v>
      </c>
      <c r="X300" s="494" t="s">
        <v>621</v>
      </c>
      <c r="Y300" s="495" t="s">
        <v>621</v>
      </c>
      <c r="Z300" s="496"/>
      <c r="AA300" s="497"/>
      <c r="AB300" s="498" t="e">
        <f t="shared" si="80"/>
        <v>#VALUE!</v>
      </c>
      <c r="AC300" s="484" t="str">
        <f t="shared" si="78"/>
        <v/>
      </c>
      <c r="AD300" s="495" t="str">
        <f t="shared" si="79"/>
        <v/>
      </c>
      <c r="AE300" s="499" t="s">
        <v>621</v>
      </c>
      <c r="AF300" s="500" t="s">
        <v>621</v>
      </c>
      <c r="AG300" s="556" t="s">
        <v>621</v>
      </c>
      <c r="AH300" s="503" t="str">
        <f>IF($G300="","",IF(AND($G300&gt;=30,$AT$3&lt;=AG$7),ROUND(AG300*($AP$3+#REF!),-1),""))</f>
        <v/>
      </c>
      <c r="AI300" s="506" t="s">
        <v>621</v>
      </c>
      <c r="AJ300" s="503" t="str">
        <f>IF($G300="","",IF(AND($G300&gt;=30,$AT$3&lt;=AI$7),ROUND(AI300*($AP$3+#REF!),-1),""))</f>
        <v/>
      </c>
      <c r="AK300" s="506" t="s">
        <v>621</v>
      </c>
      <c r="AL300" s="503" t="str">
        <f>IF($G300="","",IF(AND($G300&gt;=30,$AT$3&lt;=AK$7),ROUND(AK300*($AP$3+#REF!),-1),""))</f>
        <v/>
      </c>
      <c r="AM300" s="506" t="s">
        <v>621</v>
      </c>
      <c r="AN300" s="503" t="str">
        <f>IF($G300="","",IF(AND($G300&gt;=30,$AT$3&lt;=AM$7),ROUND(AM300*($AP$3+#REF!),-1),""))</f>
        <v/>
      </c>
      <c r="AO300" s="503" t="e">
        <v>#REF!</v>
      </c>
      <c r="AP300" s="503" t="str">
        <f>IF($G300="","",IF(AND($G300&gt;=30,$AT$3&lt;=AO$7),ROUND(AO300*($AP$3+#REF!),-1),""))</f>
        <v/>
      </c>
      <c r="AQ300" s="503" t="s">
        <v>621</v>
      </c>
      <c r="AR300" s="503" t="str">
        <f>IF($G300="","",IF(AND($G300&gt;=30,$AT$3&lt;=AQ$7),ROUND(AQ300*($AP$3+#REF!),-1),""))</f>
        <v/>
      </c>
      <c r="AS300" s="503" t="s">
        <v>621</v>
      </c>
      <c r="AT300" s="503" t="str">
        <f>IF($G300="","",IF(AND($G300&gt;=30,$AT$3&lt;=AS$7),ROUND(AS300*($AP$3+#REF!),-1),""))</f>
        <v/>
      </c>
      <c r="AU300" s="503" t="s">
        <v>621</v>
      </c>
      <c r="AV300" s="503" t="str">
        <f>IF($G300="","",IF(AND($G300&gt;=30,$AT$3&lt;=AU$7),ROUND(AU300*($AP$3+#REF!),-1),""))</f>
        <v/>
      </c>
      <c r="AW300" s="503" t="s">
        <v>621</v>
      </c>
      <c r="AX300" s="503" t="str">
        <f>IF($G300="","",IF(AND($G300&gt;=30,$AT$3&lt;=AW$7),ROUND(AW300*($AP$3+#REF!),-1),""))</f>
        <v/>
      </c>
      <c r="AY300" s="503" t="s">
        <v>621</v>
      </c>
      <c r="AZ300" s="503" t="str">
        <f>IF($G300="","",IF(AND($G300&gt;=30,$AT$3&lt;=AY$7),ROUND(AY300*($AP$3+#REF!),-1),""))</f>
        <v/>
      </c>
      <c r="BA300" s="503" t="s">
        <v>621</v>
      </c>
      <c r="BB300" s="503" t="str">
        <f>IF($G300="","",IF(AND($G300&gt;=30,$AT$3&lt;=BA$7),ROUND(BA300*($AP$3+#REF!),-1),""))</f>
        <v/>
      </c>
      <c r="BC300" s="503" t="s">
        <v>621</v>
      </c>
      <c r="BD300" s="503" t="str">
        <f>IF($G300="","",IF(AND($G300&gt;=30,$AT$3&lt;=BC$7),ROUND(BC300*($AP$3+#REF!),-1),""))</f>
        <v/>
      </c>
      <c r="BE300" s="503" t="s">
        <v>621</v>
      </c>
      <c r="BF300" s="503" t="str">
        <f>IF($G300="","",IF(AND($G300&gt;=30,$AT$3&lt;=BE$7),ROUND(BE300*($AP$3+#REF!),-1),""))</f>
        <v/>
      </c>
      <c r="BG300" s="503" t="s">
        <v>621</v>
      </c>
      <c r="BH300" s="503" t="str">
        <f>IF($G300="","",IF(AND($G300&gt;=30,$AT$3&lt;=BG$7),ROUND(BG300*($AP$3+#REF!),-1),""))</f>
        <v/>
      </c>
      <c r="BI300" s="503" t="s">
        <v>621</v>
      </c>
      <c r="BJ300" s="503" t="str">
        <f>IF($G300="","",IF(AND($G300&gt;=30,$AT$3&lt;=BI$7),ROUND(BI300*($AP$3+#REF!),-1),""))</f>
        <v/>
      </c>
      <c r="BK300" s="503" t="s">
        <v>621</v>
      </c>
      <c r="BL300" s="503" t="str">
        <f>IF($G300="","",IF(AND($G300&gt;=30,$AT$3&lt;=BK$7),ROUND(BK300*($AP$3+#REF!),-1),""))</f>
        <v/>
      </c>
      <c r="BM300" s="503" t="s">
        <v>621</v>
      </c>
      <c r="BN300" s="503" t="str">
        <f>IF($G300="","",IF(AND($G300&gt;=30,$AT$3&lt;=BM$7),ROUND(BM300*($AP$3+#REF!),-1),""))</f>
        <v/>
      </c>
      <c r="BO300" s="503" t="s">
        <v>621</v>
      </c>
      <c r="BP300" s="503" t="str">
        <f>IF($G300="","",IF(AND($G300&gt;=30,$AT$3&lt;=BO$7),ROUND(BO300*($AP$3+#REF!),-1),""))</f>
        <v/>
      </c>
      <c r="BQ300" s="503" t="s">
        <v>621</v>
      </c>
      <c r="BR300" s="503" t="str">
        <f>IF($G300="","",IF(AND($G300&gt;=30,$AT$3&lt;=BQ$7),ROUND(BQ300*($AP$3+#REF!),-1),""))</f>
        <v/>
      </c>
      <c r="BS300" s="503" t="s">
        <v>621</v>
      </c>
      <c r="BT300" s="503" t="str">
        <f>IF($G300="","",IF(AND($G300&gt;=30,$AT$3&lt;=BS$7),ROUND(BS300*($AP$3+#REF!),-1),""))</f>
        <v/>
      </c>
      <c r="BU300" s="503" t="s">
        <v>621</v>
      </c>
      <c r="BV300" s="503" t="str">
        <f>IF($G300="","",IF(AND($G300&gt;=30,$AT$3&lt;=BU$7),ROUND(BU300*($AP$3+#REF!),-1),""))</f>
        <v/>
      </c>
      <c r="BW300" s="503" t="s">
        <v>621</v>
      </c>
      <c r="BX300" s="503" t="str">
        <f>IF($G300="","",IF(AND($G300&gt;=30,$AT$3&lt;=BW$7),ROUND(BW300*($AP$3+#REF!),-1),""))</f>
        <v/>
      </c>
      <c r="BY300" s="503" t="s">
        <v>621</v>
      </c>
      <c r="BZ300" s="503" t="str">
        <f>IF($G300="","",IF(AND($G300&gt;=30,$AT$3&lt;=BY$7),ROUND(BY300*($AP$3+#REF!),-1),""))</f>
        <v/>
      </c>
      <c r="CA300" s="503" t="s">
        <v>621</v>
      </c>
      <c r="CB300" s="503" t="str">
        <f>IF($G300="","",IF(AND($G300&gt;=30,$AT$3&lt;=CA$7),ROUND(CA300*($AP$3+#REF!),-1),""))</f>
        <v/>
      </c>
      <c r="CC300" s="517" t="e">
        <v>#REF!</v>
      </c>
      <c r="CD300" s="503" t="str">
        <f>IF($G300="","",IF(AND($G300&gt;=30,$AT$3&lt;=CC$7),ROUND(CC300*($AP$3+#REF!),-1),""))</f>
        <v/>
      </c>
      <c r="CE300" s="517"/>
      <c r="CF300" s="503" t="str">
        <f>IF($G300="","",IF(AND($G300&gt;=30,$AT$3&lt;=CE$7),ROUND(CE300*($AP$3+#REF!),-1),""))</f>
        <v/>
      </c>
      <c r="CG300" s="517"/>
      <c r="CH300" s="503" t="str">
        <f>IF($G300="","",IF(AND($G300&gt;=30,$AT$3&lt;=CG$7),ROUND(CG300*($AP$3+#REF!),-1),""))</f>
        <v/>
      </c>
      <c r="CI300" s="517"/>
      <c r="CJ300" s="503" t="str">
        <f>IF($G300="","",IF(AND($G300&gt;=30,$AT$3&lt;=CI$7),ROUND(CI300*($AP$3+#REF!),-1),""))</f>
        <v/>
      </c>
      <c r="CK300" s="517"/>
      <c r="CL300" s="503" t="str">
        <f>IF($G300="","",IF(AND($G300&gt;=30,$AT$3&lt;=CK$7),ROUND(CK300*($AP$3+#REF!),-1),""))</f>
        <v/>
      </c>
      <c r="CM300" s="517"/>
      <c r="CN300" s="503" t="str">
        <f>IF($G300="","",IF(AND($G300&gt;=30,$AT$3&lt;=CM$7),ROUND(CM300*($AP$3+#REF!),-1),""))</f>
        <v/>
      </c>
      <c r="CO300" s="517"/>
      <c r="CP300" s="503" t="str">
        <f>IF($G300="","",IF(AND($G300&gt;=30,$AT$3&lt;=CO$7),ROUND(CO300*($AP$3+#REF!),-1),""))</f>
        <v/>
      </c>
      <c r="CQ300" s="517"/>
      <c r="CR300" s="503" t="str">
        <f>IF($G300="","",IF(AND($G300&gt;=30,$AT$3&lt;=CQ$7),ROUND(CQ300*($AP$3+#REF!),-1),""))</f>
        <v/>
      </c>
      <c r="CS300" s="517"/>
      <c r="CT300" s="503" t="str">
        <f>IF($G300="","",IF(AND($G300&gt;=30,$AT$3&lt;=CS$7),ROUND(CS300*($AP$3+#REF!),-1),""))</f>
        <v/>
      </c>
      <c r="CU300" s="517"/>
      <c r="CV300" s="503" t="str">
        <f>IF($G300="","",IF(AND($G300&gt;=30,$AT$3&lt;=CU$7),ROUND(CU300*($AP$3+#REF!),-1),""))</f>
        <v/>
      </c>
      <c r="CW300" s="517"/>
      <c r="CX300" s="503" t="str">
        <f>IF($G300="","",IF(AND($G300&gt;=30,$AT$3&lt;=CW$7),ROUND(CW300*($AP$3+#REF!),-1),""))</f>
        <v/>
      </c>
      <c r="CY300" s="517"/>
      <c r="CZ300" s="503" t="str">
        <f>IF($G300="","",IF(AND($G300&gt;=30,$AT$3&lt;=CY$7),ROUND(CY300*($AP$3+#REF!),-1),""))</f>
        <v/>
      </c>
      <c r="DA300" s="517"/>
      <c r="DB300" s="503" t="str">
        <f>IF($G300="","",IF(AND($G300&gt;=30,$AT$3&lt;=DA$7),ROUND(DA300*($AP$3+#REF!),-1),""))</f>
        <v/>
      </c>
      <c r="DC300" s="517"/>
      <c r="DD300" s="503" t="str">
        <f>IF($G300="","",IF(AND($G300&gt;=30,$AT$3&lt;=DC$7),ROUND(DC300*($AP$3+#REF!),-1),""))</f>
        <v/>
      </c>
      <c r="DE300" s="517"/>
      <c r="DF300" s="503" t="str">
        <f>IF($G300="","",IF(AND($G300&gt;=30,$AT$3&lt;=DE$7),ROUND(DE300*($AP$3+#REF!),-1),""))</f>
        <v/>
      </c>
      <c r="DG300" s="517"/>
      <c r="DH300" s="503" t="str">
        <f>IF($G300="","",IF(AND($G300&gt;=30,$AT$3&lt;=DG$7),ROUND(DG300*($AP$3+#REF!),-1),""))</f>
        <v/>
      </c>
      <c r="DI300" s="517"/>
      <c r="DJ300" s="503" t="str">
        <f>IF($G300="","",IF(AND($G300&gt;=30,$AT$3&lt;=DI$7),ROUND(DI300*($AP$3+#REF!),-1),""))</f>
        <v/>
      </c>
      <c r="DK300" s="517"/>
      <c r="DL300" s="503" t="str">
        <f>IF($G300="","",IF(AND($G300&gt;=30,$AT$3&lt;=DK$7),ROUND(DK300*($AP$3+#REF!),-1),""))</f>
        <v/>
      </c>
      <c r="DM300" s="517"/>
      <c r="DN300" s="503" t="str">
        <f>IF($G300="","",IF(AND($G300&gt;=30,$AT$3&lt;=DM$7),ROUND(DM300*($AP$3+#REF!),-1),""))</f>
        <v/>
      </c>
      <c r="DO300" s="517"/>
      <c r="DP300" s="503" t="str">
        <f>IF($G300="","",IF(AND($G300&gt;=30,$AT$3&lt;=DO$7),ROUND(DO300*($AP$3+#REF!),-1),""))</f>
        <v/>
      </c>
      <c r="DQ300" s="517"/>
      <c r="DR300" s="503" t="str">
        <f>IF($G300="","",IF(AND($G300&gt;=30,$AT$3&lt;=DQ$7),ROUND(DQ300*($AP$3+#REF!),-1),""))</f>
        <v/>
      </c>
      <c r="DS300" s="517"/>
      <c r="DT300" s="503" t="str">
        <f>IF($G300="","",IF(AND($G300&gt;=30,$AT$3&lt;=DS$7),ROUND(DS300*($AP$3+#REF!),-1),""))</f>
        <v/>
      </c>
      <c r="DU300" s="517"/>
      <c r="DV300" s="503" t="str">
        <f>IF($G300="","",IF(AND($G300&gt;=30,$AT$3&lt;=DU$7),ROUND(DU300*($AP$3+#REF!),-1),""))</f>
        <v/>
      </c>
      <c r="DW300" s="517"/>
      <c r="DX300" s="503" t="str">
        <f>IF($G300="","",IF(AND($G300&gt;=30,$AT$3&lt;=DW$7),ROUND(DW300*($AP$3+#REF!),-1),""))</f>
        <v/>
      </c>
      <c r="DY300" s="517"/>
      <c r="DZ300" s="503" t="str">
        <f>IF($G300="","",IF(AND($G300&gt;=30,$AT$3&lt;=DY$7),ROUND(DY300*($AP$3+#REF!),-1),""))</f>
        <v/>
      </c>
      <c r="EA300" s="517"/>
      <c r="EB300" s="503" t="str">
        <f>IF($G300="","",IF(AND($G300&gt;=30,$AT$3&lt;=EA$7),ROUND(EA300*($AP$3+#REF!),-1),""))</f>
        <v/>
      </c>
      <c r="EC300" s="504" t="s">
        <v>621</v>
      </c>
      <c r="ED300" s="1124"/>
      <c r="EE300" s="325">
        <v>4</v>
      </c>
    </row>
    <row r="301" spans="1:135" ht="9.75" customHeight="1">
      <c r="A301" s="321" t="str">
        <f t="shared" si="68"/>
        <v/>
      </c>
      <c r="B301" s="567">
        <f>(ii!$D$13*12+V301)+1</f>
        <v>195</v>
      </c>
      <c r="C301" s="337">
        <f t="shared" si="72"/>
        <v>51287</v>
      </c>
      <c r="D301" s="484">
        <f t="shared" si="75"/>
        <v>2040</v>
      </c>
      <c r="E301" s="484">
        <f t="shared" si="73"/>
        <v>0.41666666666666669</v>
      </c>
      <c r="F301" s="484">
        <f t="shared" si="76"/>
        <v>2040.4166666666667</v>
      </c>
      <c r="G301" s="485" t="str">
        <f>IF(OR(C301&lt;$I$2,C301&gt;$J$3),"",(ii!$D$13*12+V301+1)/12)</f>
        <v/>
      </c>
      <c r="H301" s="486"/>
      <c r="I301" s="486"/>
      <c r="J301" s="507"/>
      <c r="K301" s="508"/>
      <c r="L301" s="548"/>
      <c r="M301" s="489" t="str">
        <f t="shared" si="77"/>
        <v/>
      </c>
      <c r="N301" s="490" t="s">
        <v>621</v>
      </c>
      <c r="O301" s="490" t="str">
        <f t="shared" si="70"/>
        <v/>
      </c>
      <c r="P301" s="507"/>
      <c r="Q301" s="507"/>
      <c r="R301" s="491" t="str">
        <f t="shared" si="71"/>
        <v/>
      </c>
      <c r="S301" s="528" t="str">
        <f t="shared" si="69"/>
        <v/>
      </c>
      <c r="T301" s="528" t="str">
        <f t="shared" si="67"/>
        <v/>
      </c>
      <c r="U301" s="493" t="str">
        <f>IF(H301="","",#REF!*12+#REF!+#REF!*12+#REF!)</f>
        <v/>
      </c>
      <c r="V301" s="338">
        <f>IF(ii!$J$3&gt;gg!C301,"",IF(AND((YEAR(C301)=YEAR($I$2)),MONTH(C301)=MONTH($I$2)),ii!$B$14*12+ii!$C$14+ii!$B$15*12+ii!$C$15-1,V300+1))</f>
        <v>194</v>
      </c>
      <c r="W301" s="339">
        <f t="shared" si="74"/>
        <v>16.166666666666668</v>
      </c>
      <c r="X301" s="494" t="s">
        <v>621</v>
      </c>
      <c r="Y301" s="495" t="s">
        <v>621</v>
      </c>
      <c r="Z301" s="496"/>
      <c r="AA301" s="497"/>
      <c r="AB301" s="498" t="e">
        <f t="shared" si="80"/>
        <v>#VALUE!</v>
      </c>
      <c r="AC301" s="484" t="str">
        <f t="shared" si="78"/>
        <v/>
      </c>
      <c r="AD301" s="495" t="str">
        <f t="shared" si="79"/>
        <v/>
      </c>
      <c r="AE301" s="499" t="s">
        <v>621</v>
      </c>
      <c r="AF301" s="500" t="s">
        <v>621</v>
      </c>
      <c r="AG301" s="556" t="s">
        <v>621</v>
      </c>
      <c r="AH301" s="503" t="str">
        <f>IF($G301="","",IF(AND($G301&gt;=30,$AT$3&lt;=AG$7),ROUND(AG301*($AP$3+#REF!),-1),""))</f>
        <v/>
      </c>
      <c r="AI301" s="506" t="s">
        <v>621</v>
      </c>
      <c r="AJ301" s="503" t="str">
        <f>IF($G301="","",IF(AND($G301&gt;=30,$AT$3&lt;=AI$7),ROUND(AI301*($AP$3+#REF!),-1),""))</f>
        <v/>
      </c>
      <c r="AK301" s="506" t="s">
        <v>621</v>
      </c>
      <c r="AL301" s="503" t="str">
        <f>IF($G301="","",IF(AND($G301&gt;=30,$AT$3&lt;=AK$7),ROUND(AK301*($AP$3+#REF!),-1),""))</f>
        <v/>
      </c>
      <c r="AM301" s="506" t="s">
        <v>621</v>
      </c>
      <c r="AN301" s="503" t="str">
        <f>IF($G301="","",IF(AND($G301&gt;=30,$AT$3&lt;=AM$7),ROUND(AM301*($AP$3+#REF!),-1),""))</f>
        <v/>
      </c>
      <c r="AO301" s="503" t="e">
        <v>#REF!</v>
      </c>
      <c r="AP301" s="503" t="str">
        <f>IF($G301="","",IF(AND($G301&gt;=30,$AT$3&lt;=AO$7),ROUND(AO301*($AP$3+#REF!),-1),""))</f>
        <v/>
      </c>
      <c r="AQ301" s="503" t="s">
        <v>621</v>
      </c>
      <c r="AR301" s="503" t="str">
        <f>IF($G301="","",IF(AND($G301&gt;=30,$AT$3&lt;=AQ$7),ROUND(AQ301*($AP$3+#REF!),-1),""))</f>
        <v/>
      </c>
      <c r="AS301" s="503" t="s">
        <v>621</v>
      </c>
      <c r="AT301" s="503" t="str">
        <f>IF($G301="","",IF(AND($G301&gt;=30,$AT$3&lt;=AS$7),ROUND(AS301*($AP$3+#REF!),-1),""))</f>
        <v/>
      </c>
      <c r="AU301" s="503" t="s">
        <v>621</v>
      </c>
      <c r="AV301" s="503" t="str">
        <f>IF($G301="","",IF(AND($G301&gt;=30,$AT$3&lt;=AU$7),ROUND(AU301*($AP$3+#REF!),-1),""))</f>
        <v/>
      </c>
      <c r="AW301" s="503" t="s">
        <v>621</v>
      </c>
      <c r="AX301" s="503" t="str">
        <f>IF($G301="","",IF(AND($G301&gt;=30,$AT$3&lt;=AW$7),ROUND(AW301*($AP$3+#REF!),-1),""))</f>
        <v/>
      </c>
      <c r="AY301" s="503" t="s">
        <v>621</v>
      </c>
      <c r="AZ301" s="503" t="str">
        <f>IF($G301="","",IF(AND($G301&gt;=30,$AT$3&lt;=AY$7),ROUND(AY301*($AP$3+#REF!),-1),""))</f>
        <v/>
      </c>
      <c r="BA301" s="503" t="s">
        <v>621</v>
      </c>
      <c r="BB301" s="503" t="str">
        <f>IF($G301="","",IF(AND($G301&gt;=30,$AT$3&lt;=BA$7),ROUND(BA301*($AP$3+#REF!),-1),""))</f>
        <v/>
      </c>
      <c r="BC301" s="503" t="s">
        <v>621</v>
      </c>
      <c r="BD301" s="503" t="str">
        <f>IF($G301="","",IF(AND($G301&gt;=30,$AT$3&lt;=BC$7),ROUND(BC301*($AP$3+#REF!),-1),""))</f>
        <v/>
      </c>
      <c r="BE301" s="503" t="s">
        <v>621</v>
      </c>
      <c r="BF301" s="503" t="str">
        <f>IF($G301="","",IF(AND($G301&gt;=30,$AT$3&lt;=BE$7),ROUND(BE301*($AP$3+#REF!),-1),""))</f>
        <v/>
      </c>
      <c r="BG301" s="503" t="s">
        <v>621</v>
      </c>
      <c r="BH301" s="503" t="str">
        <f>IF($G301="","",IF(AND($G301&gt;=30,$AT$3&lt;=BG$7),ROUND(BG301*($AP$3+#REF!),-1),""))</f>
        <v/>
      </c>
      <c r="BI301" s="503" t="s">
        <v>621</v>
      </c>
      <c r="BJ301" s="503" t="str">
        <f>IF($G301="","",IF(AND($G301&gt;=30,$AT$3&lt;=BI$7),ROUND(BI301*($AP$3+#REF!),-1),""))</f>
        <v/>
      </c>
      <c r="BK301" s="503" t="s">
        <v>621</v>
      </c>
      <c r="BL301" s="503" t="str">
        <f>IF($G301="","",IF(AND($G301&gt;=30,$AT$3&lt;=BK$7),ROUND(BK301*($AP$3+#REF!),-1),""))</f>
        <v/>
      </c>
      <c r="BM301" s="503" t="s">
        <v>621</v>
      </c>
      <c r="BN301" s="503" t="str">
        <f>IF($G301="","",IF(AND($G301&gt;=30,$AT$3&lt;=BM$7),ROUND(BM301*($AP$3+#REF!),-1),""))</f>
        <v/>
      </c>
      <c r="BO301" s="503" t="s">
        <v>621</v>
      </c>
      <c r="BP301" s="503" t="str">
        <f>IF($G301="","",IF(AND($G301&gt;=30,$AT$3&lt;=BO$7),ROUND(BO301*($AP$3+#REF!),-1),""))</f>
        <v/>
      </c>
      <c r="BQ301" s="503" t="s">
        <v>621</v>
      </c>
      <c r="BR301" s="503" t="str">
        <f>IF($G301="","",IF(AND($G301&gt;=30,$AT$3&lt;=BQ$7),ROUND(BQ301*($AP$3+#REF!),-1),""))</f>
        <v/>
      </c>
      <c r="BS301" s="503" t="s">
        <v>621</v>
      </c>
      <c r="BT301" s="503" t="str">
        <f>IF($G301="","",IF(AND($G301&gt;=30,$AT$3&lt;=BS$7),ROUND(BS301*($AP$3+#REF!),-1),""))</f>
        <v/>
      </c>
      <c r="BU301" s="503" t="s">
        <v>621</v>
      </c>
      <c r="BV301" s="503" t="str">
        <f>IF($G301="","",IF(AND($G301&gt;=30,$AT$3&lt;=BU$7),ROUND(BU301*($AP$3+#REF!),-1),""))</f>
        <v/>
      </c>
      <c r="BW301" s="503" t="s">
        <v>621</v>
      </c>
      <c r="BX301" s="503" t="str">
        <f>IF($G301="","",IF(AND($G301&gt;=30,$AT$3&lt;=BW$7),ROUND(BW301*($AP$3+#REF!),-1),""))</f>
        <v/>
      </c>
      <c r="BY301" s="503" t="s">
        <v>621</v>
      </c>
      <c r="BZ301" s="503" t="str">
        <f>IF($G301="","",IF(AND($G301&gt;=30,$AT$3&lt;=BY$7),ROUND(BY301*($AP$3+#REF!),-1),""))</f>
        <v/>
      </c>
      <c r="CA301" s="503" t="s">
        <v>621</v>
      </c>
      <c r="CB301" s="503" t="str">
        <f>IF($G301="","",IF(AND($G301&gt;=30,$AT$3&lt;=CA$7),ROUND(CA301*($AP$3+#REF!),-1),""))</f>
        <v/>
      </c>
      <c r="CC301" s="517" t="e">
        <v>#REF!</v>
      </c>
      <c r="CD301" s="503" t="str">
        <f>IF($G301="","",IF(AND($G301&gt;=30,$AT$3&lt;=CC$7),ROUND(CC301*($AP$3+#REF!),-1),""))</f>
        <v/>
      </c>
      <c r="CE301" s="517"/>
      <c r="CF301" s="503" t="str">
        <f>IF($G301="","",IF(AND($G301&gt;=30,$AT$3&lt;=CE$7),ROUND(CE301*($AP$3+#REF!),-1),""))</f>
        <v/>
      </c>
      <c r="CG301" s="517"/>
      <c r="CH301" s="503" t="str">
        <f>IF($G301="","",IF(AND($G301&gt;=30,$AT$3&lt;=CG$7),ROUND(CG301*($AP$3+#REF!),-1),""))</f>
        <v/>
      </c>
      <c r="CI301" s="517"/>
      <c r="CJ301" s="503" t="str">
        <f>IF($G301="","",IF(AND($G301&gt;=30,$AT$3&lt;=CI$7),ROUND(CI301*($AP$3+#REF!),-1),""))</f>
        <v/>
      </c>
      <c r="CK301" s="517"/>
      <c r="CL301" s="503" t="str">
        <f>IF($G301="","",IF(AND($G301&gt;=30,$AT$3&lt;=CK$7),ROUND(CK301*($AP$3+#REF!),-1),""))</f>
        <v/>
      </c>
      <c r="CM301" s="517"/>
      <c r="CN301" s="503" t="str">
        <f>IF($G301="","",IF(AND($G301&gt;=30,$AT$3&lt;=CM$7),ROUND(CM301*($AP$3+#REF!),-1),""))</f>
        <v/>
      </c>
      <c r="CO301" s="517"/>
      <c r="CP301" s="503" t="str">
        <f>IF($G301="","",IF(AND($G301&gt;=30,$AT$3&lt;=CO$7),ROUND(CO301*($AP$3+#REF!),-1),""))</f>
        <v/>
      </c>
      <c r="CQ301" s="517"/>
      <c r="CR301" s="503" t="str">
        <f>IF($G301="","",IF(AND($G301&gt;=30,$AT$3&lt;=CQ$7),ROUND(CQ301*($AP$3+#REF!),-1),""))</f>
        <v/>
      </c>
      <c r="CS301" s="517"/>
      <c r="CT301" s="503" t="str">
        <f>IF($G301="","",IF(AND($G301&gt;=30,$AT$3&lt;=CS$7),ROUND(CS301*($AP$3+#REF!),-1),""))</f>
        <v/>
      </c>
      <c r="CU301" s="517"/>
      <c r="CV301" s="503" t="str">
        <f>IF($G301="","",IF(AND($G301&gt;=30,$AT$3&lt;=CU$7),ROUND(CU301*($AP$3+#REF!),-1),""))</f>
        <v/>
      </c>
      <c r="CW301" s="517"/>
      <c r="CX301" s="503" t="str">
        <f>IF($G301="","",IF(AND($G301&gt;=30,$AT$3&lt;=CW$7),ROUND(CW301*($AP$3+#REF!),-1),""))</f>
        <v/>
      </c>
      <c r="CY301" s="517"/>
      <c r="CZ301" s="503" t="str">
        <f>IF($G301="","",IF(AND($G301&gt;=30,$AT$3&lt;=CY$7),ROUND(CY301*($AP$3+#REF!),-1),""))</f>
        <v/>
      </c>
      <c r="DA301" s="517"/>
      <c r="DB301" s="503" t="str">
        <f>IF($G301="","",IF(AND($G301&gt;=30,$AT$3&lt;=DA$7),ROUND(DA301*($AP$3+#REF!),-1),""))</f>
        <v/>
      </c>
      <c r="DC301" s="517"/>
      <c r="DD301" s="503" t="str">
        <f>IF($G301="","",IF(AND($G301&gt;=30,$AT$3&lt;=DC$7),ROUND(DC301*($AP$3+#REF!),-1),""))</f>
        <v/>
      </c>
      <c r="DE301" s="517"/>
      <c r="DF301" s="503" t="str">
        <f>IF($G301="","",IF(AND($G301&gt;=30,$AT$3&lt;=DE$7),ROUND(DE301*($AP$3+#REF!),-1),""))</f>
        <v/>
      </c>
      <c r="DG301" s="517"/>
      <c r="DH301" s="503" t="str">
        <f>IF($G301="","",IF(AND($G301&gt;=30,$AT$3&lt;=DG$7),ROUND(DG301*($AP$3+#REF!),-1),""))</f>
        <v/>
      </c>
      <c r="DI301" s="517"/>
      <c r="DJ301" s="503" t="str">
        <f>IF($G301="","",IF(AND($G301&gt;=30,$AT$3&lt;=DI$7),ROUND(DI301*($AP$3+#REF!),-1),""))</f>
        <v/>
      </c>
      <c r="DK301" s="517"/>
      <c r="DL301" s="503" t="str">
        <f>IF($G301="","",IF(AND($G301&gt;=30,$AT$3&lt;=DK$7),ROUND(DK301*($AP$3+#REF!),-1),""))</f>
        <v/>
      </c>
      <c r="DM301" s="517"/>
      <c r="DN301" s="503" t="str">
        <f>IF($G301="","",IF(AND($G301&gt;=30,$AT$3&lt;=DM$7),ROUND(DM301*($AP$3+#REF!),-1),""))</f>
        <v/>
      </c>
      <c r="DO301" s="517"/>
      <c r="DP301" s="503" t="str">
        <f>IF($G301="","",IF(AND($G301&gt;=30,$AT$3&lt;=DO$7),ROUND(DO301*($AP$3+#REF!),-1),""))</f>
        <v/>
      </c>
      <c r="DQ301" s="517"/>
      <c r="DR301" s="503" t="str">
        <f>IF($G301="","",IF(AND($G301&gt;=30,$AT$3&lt;=DQ$7),ROUND(DQ301*($AP$3+#REF!),-1),""))</f>
        <v/>
      </c>
      <c r="DS301" s="517"/>
      <c r="DT301" s="503" t="str">
        <f>IF($G301="","",IF(AND($G301&gt;=30,$AT$3&lt;=DS$7),ROUND(DS301*($AP$3+#REF!),-1),""))</f>
        <v/>
      </c>
      <c r="DU301" s="517"/>
      <c r="DV301" s="503" t="str">
        <f>IF($G301="","",IF(AND($G301&gt;=30,$AT$3&lt;=DU$7),ROUND(DU301*($AP$3+#REF!),-1),""))</f>
        <v/>
      </c>
      <c r="DW301" s="517"/>
      <c r="DX301" s="503" t="str">
        <f>IF($G301="","",IF(AND($G301&gt;=30,$AT$3&lt;=DW$7),ROUND(DW301*($AP$3+#REF!),-1),""))</f>
        <v/>
      </c>
      <c r="DY301" s="517"/>
      <c r="DZ301" s="503" t="str">
        <f>IF($G301="","",IF(AND($G301&gt;=30,$AT$3&lt;=DY$7),ROUND(DY301*($AP$3+#REF!),-1),""))</f>
        <v/>
      </c>
      <c r="EA301" s="517"/>
      <c r="EB301" s="503" t="str">
        <f>IF($G301="","",IF(AND($G301&gt;=30,$AT$3&lt;=EA$7),ROUND(EA301*($AP$3+#REF!),-1),""))</f>
        <v/>
      </c>
      <c r="EC301" s="504" t="s">
        <v>621</v>
      </c>
      <c r="ED301" s="1124"/>
      <c r="EE301" s="325">
        <v>5</v>
      </c>
    </row>
    <row r="302" spans="1:135" ht="9.75" customHeight="1">
      <c r="A302" s="321" t="str">
        <f t="shared" si="68"/>
        <v/>
      </c>
      <c r="B302" s="567">
        <f>(ii!$D$13*12+V302)+1</f>
        <v>196</v>
      </c>
      <c r="C302" s="337">
        <f t="shared" si="72"/>
        <v>51317</v>
      </c>
      <c r="D302" s="484">
        <f t="shared" si="75"/>
        <v>2040</v>
      </c>
      <c r="E302" s="484">
        <f t="shared" si="73"/>
        <v>0.5</v>
      </c>
      <c r="F302" s="484">
        <f t="shared" si="76"/>
        <v>2040.5</v>
      </c>
      <c r="G302" s="485" t="str">
        <f>IF(OR(C302&lt;$I$2,C302&gt;$J$3),"",(ii!$D$13*12+V302+1)/12)</f>
        <v/>
      </c>
      <c r="H302" s="486"/>
      <c r="I302" s="486"/>
      <c r="J302" s="487"/>
      <c r="K302" s="488"/>
      <c r="L302" s="548"/>
      <c r="M302" s="489" t="str">
        <f t="shared" si="77"/>
        <v/>
      </c>
      <c r="N302" s="490" t="s">
        <v>621</v>
      </c>
      <c r="O302" s="490" t="str">
        <f t="shared" si="70"/>
        <v/>
      </c>
      <c r="P302" s="491"/>
      <c r="Q302" s="491"/>
      <c r="R302" s="491" t="str">
        <f t="shared" si="71"/>
        <v/>
      </c>
      <c r="S302" s="528" t="str">
        <f t="shared" si="69"/>
        <v/>
      </c>
      <c r="T302" s="528" t="str">
        <f t="shared" si="67"/>
        <v/>
      </c>
      <c r="U302" s="493" t="str">
        <f>IF(H302="","",#REF!*12+#REF!+#REF!*12+#REF!)</f>
        <v/>
      </c>
      <c r="V302" s="338">
        <f>IF(ii!$J$3&gt;gg!C302,"",IF(AND((YEAR(C302)=YEAR($I$2)),MONTH(C302)=MONTH($I$2)),ii!$B$14*12+ii!$C$14+ii!$B$15*12+ii!$C$15-1,V301+1))</f>
        <v>195</v>
      </c>
      <c r="W302" s="339">
        <f t="shared" si="74"/>
        <v>16.25</v>
      </c>
      <c r="X302" s="494" t="s">
        <v>621</v>
      </c>
      <c r="Y302" s="495" t="s">
        <v>621</v>
      </c>
      <c r="Z302" s="496"/>
      <c r="AA302" s="497"/>
      <c r="AB302" s="498" t="e">
        <f t="shared" si="80"/>
        <v>#VALUE!</v>
      </c>
      <c r="AC302" s="484" t="str">
        <f t="shared" si="78"/>
        <v/>
      </c>
      <c r="AD302" s="495" t="str">
        <f t="shared" si="79"/>
        <v/>
      </c>
      <c r="AE302" s="499" t="s">
        <v>621</v>
      </c>
      <c r="AF302" s="500" t="s">
        <v>621</v>
      </c>
      <c r="AG302" s="556" t="s">
        <v>621</v>
      </c>
      <c r="AH302" s="503" t="str">
        <f>IF($G302="","",IF(AND($G302&gt;=30,$AT$3&lt;=AG$7),ROUND(AG302*($AP$3+#REF!),-1),""))</f>
        <v/>
      </c>
      <c r="AI302" s="506" t="s">
        <v>621</v>
      </c>
      <c r="AJ302" s="503" t="str">
        <f>IF($G302="","",IF(AND($G302&gt;=30,$AT$3&lt;=AI$7),ROUND(AI302*($AP$3+#REF!),-1),""))</f>
        <v/>
      </c>
      <c r="AK302" s="506" t="s">
        <v>621</v>
      </c>
      <c r="AL302" s="503" t="str">
        <f>IF($G302="","",IF(AND($G302&gt;=30,$AT$3&lt;=AK$7),ROUND(AK302*($AP$3+#REF!),-1),""))</f>
        <v/>
      </c>
      <c r="AM302" s="506" t="s">
        <v>621</v>
      </c>
      <c r="AN302" s="503" t="str">
        <f>IF($G302="","",IF(AND($G302&gt;=30,$AT$3&lt;=AM$7),ROUND(AM302*($AP$3+#REF!),-1),""))</f>
        <v/>
      </c>
      <c r="AO302" s="503" t="e">
        <v>#REF!</v>
      </c>
      <c r="AP302" s="503" t="str">
        <f>IF($G302="","",IF(AND($G302&gt;=30,$AT$3&lt;=AO$7),ROUND(AO302*($AP$3+#REF!),-1),""))</f>
        <v/>
      </c>
      <c r="AQ302" s="503" t="s">
        <v>621</v>
      </c>
      <c r="AR302" s="503" t="str">
        <f>IF($G302="","",IF(AND($G302&gt;=30,$AT$3&lt;=AQ$7),ROUND(AQ302*($AP$3+#REF!),-1),""))</f>
        <v/>
      </c>
      <c r="AS302" s="503" t="s">
        <v>621</v>
      </c>
      <c r="AT302" s="503" t="str">
        <f>IF($G302="","",IF(AND($G302&gt;=30,$AT$3&lt;=AS$7),ROUND(AS302*($AP$3+#REF!),-1),""))</f>
        <v/>
      </c>
      <c r="AU302" s="503" t="s">
        <v>621</v>
      </c>
      <c r="AV302" s="503" t="str">
        <f>IF($G302="","",IF(AND($G302&gt;=30,$AT$3&lt;=AU$7),ROUND(AU302*($AP$3+#REF!),-1),""))</f>
        <v/>
      </c>
      <c r="AW302" s="503" t="s">
        <v>621</v>
      </c>
      <c r="AX302" s="503" t="str">
        <f>IF($G302="","",IF(AND($G302&gt;=30,$AT$3&lt;=AW$7),ROUND(AW302*($AP$3+#REF!),-1),""))</f>
        <v/>
      </c>
      <c r="AY302" s="503" t="s">
        <v>621</v>
      </c>
      <c r="AZ302" s="503" t="str">
        <f>IF($G302="","",IF(AND($G302&gt;=30,$AT$3&lt;=AY$7),ROUND(AY302*($AP$3+#REF!),-1),""))</f>
        <v/>
      </c>
      <c r="BA302" s="503" t="s">
        <v>621</v>
      </c>
      <c r="BB302" s="503" t="str">
        <f>IF($G302="","",IF(AND($G302&gt;=30,$AT$3&lt;=BA$7),ROUND(BA302*($AP$3+#REF!),-1),""))</f>
        <v/>
      </c>
      <c r="BC302" s="503" t="s">
        <v>621</v>
      </c>
      <c r="BD302" s="503" t="str">
        <f>IF($G302="","",IF(AND($G302&gt;=30,$AT$3&lt;=BC$7),ROUND(BC302*($AP$3+#REF!),-1),""))</f>
        <v/>
      </c>
      <c r="BE302" s="503" t="s">
        <v>621</v>
      </c>
      <c r="BF302" s="503" t="str">
        <f>IF($G302="","",IF(AND($G302&gt;=30,$AT$3&lt;=BE$7),ROUND(BE302*($AP$3+#REF!),-1),""))</f>
        <v/>
      </c>
      <c r="BG302" s="503" t="s">
        <v>621</v>
      </c>
      <c r="BH302" s="503" t="str">
        <f>IF($G302="","",IF(AND($G302&gt;=30,$AT$3&lt;=BG$7),ROUND(BG302*($AP$3+#REF!),-1),""))</f>
        <v/>
      </c>
      <c r="BI302" s="503" t="s">
        <v>621</v>
      </c>
      <c r="BJ302" s="503" t="str">
        <f>IF($G302="","",IF(AND($G302&gt;=30,$AT$3&lt;=BI$7),ROUND(BI302*($AP$3+#REF!),-1),""))</f>
        <v/>
      </c>
      <c r="BK302" s="503" t="s">
        <v>621</v>
      </c>
      <c r="BL302" s="503" t="str">
        <f>IF($G302="","",IF(AND($G302&gt;=30,$AT$3&lt;=BK$7),ROUND(BK302*($AP$3+#REF!),-1),""))</f>
        <v/>
      </c>
      <c r="BM302" s="503" t="s">
        <v>621</v>
      </c>
      <c r="BN302" s="503" t="str">
        <f>IF($G302="","",IF(AND($G302&gt;=30,$AT$3&lt;=BM$7),ROUND(BM302*($AP$3+#REF!),-1),""))</f>
        <v/>
      </c>
      <c r="BO302" s="503" t="s">
        <v>621</v>
      </c>
      <c r="BP302" s="503" t="str">
        <f>IF($G302="","",IF(AND($G302&gt;=30,$AT$3&lt;=BO$7),ROUND(BO302*($AP$3+#REF!),-1),""))</f>
        <v/>
      </c>
      <c r="BQ302" s="503" t="s">
        <v>621</v>
      </c>
      <c r="BR302" s="503" t="str">
        <f>IF($G302="","",IF(AND($G302&gt;=30,$AT$3&lt;=BQ$7),ROUND(BQ302*($AP$3+#REF!),-1),""))</f>
        <v/>
      </c>
      <c r="BS302" s="503" t="s">
        <v>621</v>
      </c>
      <c r="BT302" s="503" t="str">
        <f>IF($G302="","",IF(AND($G302&gt;=30,$AT$3&lt;=BS$7),ROUND(BS302*($AP$3+#REF!),-1),""))</f>
        <v/>
      </c>
      <c r="BU302" s="503" t="s">
        <v>621</v>
      </c>
      <c r="BV302" s="503" t="str">
        <f>IF($G302="","",IF(AND($G302&gt;=30,$AT$3&lt;=BU$7),ROUND(BU302*($AP$3+#REF!),-1),""))</f>
        <v/>
      </c>
      <c r="BW302" s="503" t="s">
        <v>621</v>
      </c>
      <c r="BX302" s="503" t="str">
        <f>IF($G302="","",IF(AND($G302&gt;=30,$AT$3&lt;=BW$7),ROUND(BW302*($AP$3+#REF!),-1),""))</f>
        <v/>
      </c>
      <c r="BY302" s="503" t="s">
        <v>621</v>
      </c>
      <c r="BZ302" s="503" t="str">
        <f>IF($G302="","",IF(AND($G302&gt;=30,$AT$3&lt;=BY$7),ROUND(BY302*($AP$3+#REF!),-1),""))</f>
        <v/>
      </c>
      <c r="CA302" s="503" t="s">
        <v>621</v>
      </c>
      <c r="CB302" s="503" t="str">
        <f>IF($G302="","",IF(AND($G302&gt;=30,$AT$3&lt;=CA$7),ROUND(CA302*($AP$3+#REF!),-1),""))</f>
        <v/>
      </c>
      <c r="CC302" s="517" t="e">
        <v>#REF!</v>
      </c>
      <c r="CD302" s="503" t="str">
        <f>IF($G302="","",IF(AND($G302&gt;=30,$AT$3&lt;=CC$7),ROUND(CC302*($AP$3+#REF!),-1),""))</f>
        <v/>
      </c>
      <c r="CE302" s="517"/>
      <c r="CF302" s="503" t="str">
        <f>IF($G302="","",IF(AND($G302&gt;=30,$AT$3&lt;=CE$7),ROUND(CE302*($AP$3+#REF!),-1),""))</f>
        <v/>
      </c>
      <c r="CG302" s="517"/>
      <c r="CH302" s="503" t="str">
        <f>IF($G302="","",IF(AND($G302&gt;=30,$AT$3&lt;=CG$7),ROUND(CG302*($AP$3+#REF!),-1),""))</f>
        <v/>
      </c>
      <c r="CI302" s="517"/>
      <c r="CJ302" s="503" t="str">
        <f>IF($G302="","",IF(AND($G302&gt;=30,$AT$3&lt;=CI$7),ROUND(CI302*($AP$3+#REF!),-1),""))</f>
        <v/>
      </c>
      <c r="CK302" s="517"/>
      <c r="CL302" s="503" t="str">
        <f>IF($G302="","",IF(AND($G302&gt;=30,$AT$3&lt;=CK$7),ROUND(CK302*($AP$3+#REF!),-1),""))</f>
        <v/>
      </c>
      <c r="CM302" s="517"/>
      <c r="CN302" s="503" t="str">
        <f>IF($G302="","",IF(AND($G302&gt;=30,$AT$3&lt;=CM$7),ROUND(CM302*($AP$3+#REF!),-1),""))</f>
        <v/>
      </c>
      <c r="CO302" s="517"/>
      <c r="CP302" s="503" t="str">
        <f>IF($G302="","",IF(AND($G302&gt;=30,$AT$3&lt;=CO$7),ROUND(CO302*($AP$3+#REF!),-1),""))</f>
        <v/>
      </c>
      <c r="CQ302" s="517"/>
      <c r="CR302" s="503" t="str">
        <f>IF($G302="","",IF(AND($G302&gt;=30,$AT$3&lt;=CQ$7),ROUND(CQ302*($AP$3+#REF!),-1),""))</f>
        <v/>
      </c>
      <c r="CS302" s="517"/>
      <c r="CT302" s="503" t="str">
        <f>IF($G302="","",IF(AND($G302&gt;=30,$AT$3&lt;=CS$7),ROUND(CS302*($AP$3+#REF!),-1),""))</f>
        <v/>
      </c>
      <c r="CU302" s="517"/>
      <c r="CV302" s="503" t="str">
        <f>IF($G302="","",IF(AND($G302&gt;=30,$AT$3&lt;=CU$7),ROUND(CU302*($AP$3+#REF!),-1),""))</f>
        <v/>
      </c>
      <c r="CW302" s="517"/>
      <c r="CX302" s="503" t="str">
        <f>IF($G302="","",IF(AND($G302&gt;=30,$AT$3&lt;=CW$7),ROUND(CW302*($AP$3+#REF!),-1),""))</f>
        <v/>
      </c>
      <c r="CY302" s="517"/>
      <c r="CZ302" s="503" t="str">
        <f>IF($G302="","",IF(AND($G302&gt;=30,$AT$3&lt;=CY$7),ROUND(CY302*($AP$3+#REF!),-1),""))</f>
        <v/>
      </c>
      <c r="DA302" s="517"/>
      <c r="DB302" s="503" t="str">
        <f>IF($G302="","",IF(AND($G302&gt;=30,$AT$3&lt;=DA$7),ROUND(DA302*($AP$3+#REF!),-1),""))</f>
        <v/>
      </c>
      <c r="DC302" s="517"/>
      <c r="DD302" s="503" t="str">
        <f>IF($G302="","",IF(AND($G302&gt;=30,$AT$3&lt;=DC$7),ROUND(DC302*($AP$3+#REF!),-1),""))</f>
        <v/>
      </c>
      <c r="DE302" s="517"/>
      <c r="DF302" s="503" t="str">
        <f>IF($G302="","",IF(AND($G302&gt;=30,$AT$3&lt;=DE$7),ROUND(DE302*($AP$3+#REF!),-1),""))</f>
        <v/>
      </c>
      <c r="DG302" s="517"/>
      <c r="DH302" s="503" t="str">
        <f>IF($G302="","",IF(AND($G302&gt;=30,$AT$3&lt;=DG$7),ROUND(DG302*($AP$3+#REF!),-1),""))</f>
        <v/>
      </c>
      <c r="DI302" s="517"/>
      <c r="DJ302" s="503" t="str">
        <f>IF($G302="","",IF(AND($G302&gt;=30,$AT$3&lt;=DI$7),ROUND(DI302*($AP$3+#REF!),-1),""))</f>
        <v/>
      </c>
      <c r="DK302" s="517"/>
      <c r="DL302" s="503" t="str">
        <f>IF($G302="","",IF(AND($G302&gt;=30,$AT$3&lt;=DK$7),ROUND(DK302*($AP$3+#REF!),-1),""))</f>
        <v/>
      </c>
      <c r="DM302" s="517"/>
      <c r="DN302" s="503" t="str">
        <f>IF($G302="","",IF(AND($G302&gt;=30,$AT$3&lt;=DM$7),ROUND(DM302*($AP$3+#REF!),-1),""))</f>
        <v/>
      </c>
      <c r="DO302" s="517"/>
      <c r="DP302" s="503" t="str">
        <f>IF($G302="","",IF(AND($G302&gt;=30,$AT$3&lt;=DO$7),ROUND(DO302*($AP$3+#REF!),-1),""))</f>
        <v/>
      </c>
      <c r="DQ302" s="517"/>
      <c r="DR302" s="503" t="str">
        <f>IF($G302="","",IF(AND($G302&gt;=30,$AT$3&lt;=DQ$7),ROUND(DQ302*($AP$3+#REF!),-1),""))</f>
        <v/>
      </c>
      <c r="DS302" s="517"/>
      <c r="DT302" s="503" t="str">
        <f>IF($G302="","",IF(AND($G302&gt;=30,$AT$3&lt;=DS$7),ROUND(DS302*($AP$3+#REF!),-1),""))</f>
        <v/>
      </c>
      <c r="DU302" s="517"/>
      <c r="DV302" s="503" t="str">
        <f>IF($G302="","",IF(AND($G302&gt;=30,$AT$3&lt;=DU$7),ROUND(DU302*($AP$3+#REF!),-1),""))</f>
        <v/>
      </c>
      <c r="DW302" s="517"/>
      <c r="DX302" s="503" t="str">
        <f>IF($G302="","",IF(AND($G302&gt;=30,$AT$3&lt;=DW$7),ROUND(DW302*($AP$3+#REF!),-1),""))</f>
        <v/>
      </c>
      <c r="DY302" s="517"/>
      <c r="DZ302" s="503" t="str">
        <f>IF($G302="","",IF(AND($G302&gt;=30,$AT$3&lt;=DY$7),ROUND(DY302*($AP$3+#REF!),-1),""))</f>
        <v/>
      </c>
      <c r="EA302" s="517"/>
      <c r="EB302" s="503" t="str">
        <f>IF($G302="","",IF(AND($G302&gt;=30,$AT$3&lt;=EA$7),ROUND(EA302*($AP$3+#REF!),-1),""))</f>
        <v/>
      </c>
      <c r="EC302" s="504" t="s">
        <v>621</v>
      </c>
      <c r="ED302" s="1124"/>
      <c r="EE302" s="325">
        <v>6</v>
      </c>
    </row>
    <row r="303" spans="1:135" ht="9.75" customHeight="1">
      <c r="A303" s="321" t="str">
        <f t="shared" si="68"/>
        <v/>
      </c>
      <c r="B303" s="567">
        <f>(ii!$D$13*12+V303)+1</f>
        <v>197</v>
      </c>
      <c r="C303" s="337">
        <f t="shared" si="72"/>
        <v>51348</v>
      </c>
      <c r="D303" s="484">
        <f t="shared" si="75"/>
        <v>2040</v>
      </c>
      <c r="E303" s="484">
        <f t="shared" si="73"/>
        <v>0.58333333333333337</v>
      </c>
      <c r="F303" s="484">
        <f t="shared" si="76"/>
        <v>2040.5833333333333</v>
      </c>
      <c r="G303" s="485" t="str">
        <f>IF(OR(C303&lt;$I$2,C303&gt;$J$3),"",(ii!$D$13*12+V303+1)/12)</f>
        <v/>
      </c>
      <c r="H303" s="486"/>
      <c r="I303" s="486"/>
      <c r="J303" s="487"/>
      <c r="K303" s="488"/>
      <c r="L303" s="548"/>
      <c r="M303" s="489" t="str">
        <f t="shared" si="77"/>
        <v/>
      </c>
      <c r="N303" s="490" t="s">
        <v>621</v>
      </c>
      <c r="O303" s="490" t="str">
        <f t="shared" si="70"/>
        <v/>
      </c>
      <c r="P303" s="491"/>
      <c r="Q303" s="491"/>
      <c r="R303" s="491" t="str">
        <f t="shared" si="71"/>
        <v/>
      </c>
      <c r="S303" s="528" t="str">
        <f t="shared" si="69"/>
        <v/>
      </c>
      <c r="T303" s="528" t="str">
        <f t="shared" si="67"/>
        <v/>
      </c>
      <c r="U303" s="493" t="str">
        <f>IF(H303="","",#REF!*12+#REF!+#REF!*12+#REF!)</f>
        <v/>
      </c>
      <c r="V303" s="338">
        <f>IF(ii!$J$3&gt;gg!C303,"",IF(AND((YEAR(C303)=YEAR($I$2)),MONTH(C303)=MONTH($I$2)),ii!$B$14*12+ii!$C$14+ii!$B$15*12+ii!$C$15-1,V302+1))</f>
        <v>196</v>
      </c>
      <c r="W303" s="339">
        <f t="shared" si="74"/>
        <v>16.333333333333332</v>
      </c>
      <c r="X303" s="494" t="s">
        <v>621</v>
      </c>
      <c r="Y303" s="495" t="s">
        <v>621</v>
      </c>
      <c r="Z303" s="496"/>
      <c r="AA303" s="497"/>
      <c r="AB303" s="498" t="e">
        <f t="shared" si="80"/>
        <v>#VALUE!</v>
      </c>
      <c r="AC303" s="484" t="str">
        <f t="shared" si="78"/>
        <v/>
      </c>
      <c r="AD303" s="495" t="str">
        <f t="shared" si="79"/>
        <v/>
      </c>
      <c r="AE303" s="499" t="s">
        <v>621</v>
      </c>
      <c r="AF303" s="500" t="s">
        <v>621</v>
      </c>
      <c r="AG303" s="556" t="s">
        <v>621</v>
      </c>
      <c r="AH303" s="503" t="str">
        <f>IF($G303="","",IF(AND($G303&gt;=30,$AT$3&lt;=AG$7),ROUND(AG303*($AP$3+#REF!),-1),""))</f>
        <v/>
      </c>
      <c r="AI303" s="506" t="s">
        <v>621</v>
      </c>
      <c r="AJ303" s="503" t="str">
        <f>IF($G303="","",IF(AND($G303&gt;=30,$AT$3&lt;=AI$7),ROUND(AI303*($AP$3+#REF!),-1),""))</f>
        <v/>
      </c>
      <c r="AK303" s="506" t="s">
        <v>621</v>
      </c>
      <c r="AL303" s="503" t="str">
        <f>IF($G303="","",IF(AND($G303&gt;=30,$AT$3&lt;=AK$7),ROUND(AK303*($AP$3+#REF!),-1),""))</f>
        <v/>
      </c>
      <c r="AM303" s="506" t="s">
        <v>621</v>
      </c>
      <c r="AN303" s="503" t="str">
        <f>IF($G303="","",IF(AND($G303&gt;=30,$AT$3&lt;=AM$7),ROUND(AM303*($AP$3+#REF!),-1),""))</f>
        <v/>
      </c>
      <c r="AO303" s="503" t="e">
        <v>#REF!</v>
      </c>
      <c r="AP303" s="503" t="str">
        <f>IF($G303="","",IF(AND($G303&gt;=30,$AT$3&lt;=AO$7),ROUND(AO303*($AP$3+#REF!),-1),""))</f>
        <v/>
      </c>
      <c r="AQ303" s="503" t="s">
        <v>621</v>
      </c>
      <c r="AR303" s="503" t="str">
        <f>IF($G303="","",IF(AND($G303&gt;=30,$AT$3&lt;=AQ$7),ROUND(AQ303*($AP$3+#REF!),-1),""))</f>
        <v/>
      </c>
      <c r="AS303" s="503" t="s">
        <v>621</v>
      </c>
      <c r="AT303" s="503" t="str">
        <f>IF($G303="","",IF(AND($G303&gt;=30,$AT$3&lt;=AS$7),ROUND(AS303*($AP$3+#REF!),-1),""))</f>
        <v/>
      </c>
      <c r="AU303" s="503" t="s">
        <v>621</v>
      </c>
      <c r="AV303" s="503" t="str">
        <f>IF($G303="","",IF(AND($G303&gt;=30,$AT$3&lt;=AU$7),ROUND(AU303*($AP$3+#REF!),-1),""))</f>
        <v/>
      </c>
      <c r="AW303" s="503" t="s">
        <v>621</v>
      </c>
      <c r="AX303" s="503" t="str">
        <f>IF($G303="","",IF(AND($G303&gt;=30,$AT$3&lt;=AW$7),ROUND(AW303*($AP$3+#REF!),-1),""))</f>
        <v/>
      </c>
      <c r="AY303" s="503" t="s">
        <v>621</v>
      </c>
      <c r="AZ303" s="503" t="str">
        <f>IF($G303="","",IF(AND($G303&gt;=30,$AT$3&lt;=AY$7),ROUND(AY303*($AP$3+#REF!),-1),""))</f>
        <v/>
      </c>
      <c r="BA303" s="503" t="s">
        <v>621</v>
      </c>
      <c r="BB303" s="503" t="str">
        <f>IF($G303="","",IF(AND($G303&gt;=30,$AT$3&lt;=BA$7),ROUND(BA303*($AP$3+#REF!),-1),""))</f>
        <v/>
      </c>
      <c r="BC303" s="503" t="s">
        <v>621</v>
      </c>
      <c r="BD303" s="503" t="str">
        <f>IF($G303="","",IF(AND($G303&gt;=30,$AT$3&lt;=BC$7),ROUND(BC303*($AP$3+#REF!),-1),""))</f>
        <v/>
      </c>
      <c r="BE303" s="503" t="s">
        <v>621</v>
      </c>
      <c r="BF303" s="503" t="str">
        <f>IF($G303="","",IF(AND($G303&gt;=30,$AT$3&lt;=BE$7),ROUND(BE303*($AP$3+#REF!),-1),""))</f>
        <v/>
      </c>
      <c r="BG303" s="503" t="s">
        <v>621</v>
      </c>
      <c r="BH303" s="503" t="str">
        <f>IF($G303="","",IF(AND($G303&gt;=30,$AT$3&lt;=BG$7),ROUND(BG303*($AP$3+#REF!),-1),""))</f>
        <v/>
      </c>
      <c r="BI303" s="503" t="s">
        <v>621</v>
      </c>
      <c r="BJ303" s="503" t="str">
        <f>IF($G303="","",IF(AND($G303&gt;=30,$AT$3&lt;=BI$7),ROUND(BI303*($AP$3+#REF!),-1),""))</f>
        <v/>
      </c>
      <c r="BK303" s="503" t="s">
        <v>621</v>
      </c>
      <c r="BL303" s="503" t="str">
        <f>IF($G303="","",IF(AND($G303&gt;=30,$AT$3&lt;=BK$7),ROUND(BK303*($AP$3+#REF!),-1),""))</f>
        <v/>
      </c>
      <c r="BM303" s="503" t="s">
        <v>621</v>
      </c>
      <c r="BN303" s="503" t="str">
        <f>IF($G303="","",IF(AND($G303&gt;=30,$AT$3&lt;=BM$7),ROUND(BM303*($AP$3+#REF!),-1),""))</f>
        <v/>
      </c>
      <c r="BO303" s="503" t="s">
        <v>621</v>
      </c>
      <c r="BP303" s="503" t="str">
        <f>IF($G303="","",IF(AND($G303&gt;=30,$AT$3&lt;=BO$7),ROUND(BO303*($AP$3+#REF!),-1),""))</f>
        <v/>
      </c>
      <c r="BQ303" s="503" t="s">
        <v>621</v>
      </c>
      <c r="BR303" s="503" t="str">
        <f>IF($G303="","",IF(AND($G303&gt;=30,$AT$3&lt;=BQ$7),ROUND(BQ303*($AP$3+#REF!),-1),""))</f>
        <v/>
      </c>
      <c r="BS303" s="503" t="s">
        <v>621</v>
      </c>
      <c r="BT303" s="503" t="str">
        <f>IF($G303="","",IF(AND($G303&gt;=30,$AT$3&lt;=BS$7),ROUND(BS303*($AP$3+#REF!),-1),""))</f>
        <v/>
      </c>
      <c r="BU303" s="503" t="s">
        <v>621</v>
      </c>
      <c r="BV303" s="503" t="str">
        <f>IF($G303="","",IF(AND($G303&gt;=30,$AT$3&lt;=BU$7),ROUND(BU303*($AP$3+#REF!),-1),""))</f>
        <v/>
      </c>
      <c r="BW303" s="503" t="s">
        <v>621</v>
      </c>
      <c r="BX303" s="503" t="str">
        <f>IF($G303="","",IF(AND($G303&gt;=30,$AT$3&lt;=BW$7),ROUND(BW303*($AP$3+#REF!),-1),""))</f>
        <v/>
      </c>
      <c r="BY303" s="503" t="s">
        <v>621</v>
      </c>
      <c r="BZ303" s="503" t="str">
        <f>IF($G303="","",IF(AND($G303&gt;=30,$AT$3&lt;=BY$7),ROUND(BY303*($AP$3+#REF!),-1),""))</f>
        <v/>
      </c>
      <c r="CA303" s="503" t="s">
        <v>621</v>
      </c>
      <c r="CB303" s="503" t="str">
        <f>IF($G303="","",IF(AND($G303&gt;=30,$AT$3&lt;=CA$7),ROUND(CA303*($AP$3+#REF!),-1),""))</f>
        <v/>
      </c>
      <c r="CC303" s="517" t="e">
        <v>#REF!</v>
      </c>
      <c r="CD303" s="503" t="str">
        <f>IF($G303="","",IF(AND($G303&gt;=30,$AT$3&lt;=CC$7),ROUND(CC303*($AP$3+#REF!),-1),""))</f>
        <v/>
      </c>
      <c r="CE303" s="517"/>
      <c r="CF303" s="503" t="str">
        <f>IF($G303="","",IF(AND($G303&gt;=30,$AT$3&lt;=CE$7),ROUND(CE303*($AP$3+#REF!),-1),""))</f>
        <v/>
      </c>
      <c r="CG303" s="517"/>
      <c r="CH303" s="503" t="str">
        <f>IF($G303="","",IF(AND($G303&gt;=30,$AT$3&lt;=CG$7),ROUND(CG303*($AP$3+#REF!),-1),""))</f>
        <v/>
      </c>
      <c r="CI303" s="517"/>
      <c r="CJ303" s="503" t="str">
        <f>IF($G303="","",IF(AND($G303&gt;=30,$AT$3&lt;=CI$7),ROUND(CI303*($AP$3+#REF!),-1),""))</f>
        <v/>
      </c>
      <c r="CK303" s="517"/>
      <c r="CL303" s="503" t="str">
        <f>IF($G303="","",IF(AND($G303&gt;=30,$AT$3&lt;=CK$7),ROUND(CK303*($AP$3+#REF!),-1),""))</f>
        <v/>
      </c>
      <c r="CM303" s="517"/>
      <c r="CN303" s="503" t="str">
        <f>IF($G303="","",IF(AND($G303&gt;=30,$AT$3&lt;=CM$7),ROUND(CM303*($AP$3+#REF!),-1),""))</f>
        <v/>
      </c>
      <c r="CO303" s="517"/>
      <c r="CP303" s="503" t="str">
        <f>IF($G303="","",IF(AND($G303&gt;=30,$AT$3&lt;=CO$7),ROUND(CO303*($AP$3+#REF!),-1),""))</f>
        <v/>
      </c>
      <c r="CQ303" s="517"/>
      <c r="CR303" s="503" t="str">
        <f>IF($G303="","",IF(AND($G303&gt;=30,$AT$3&lt;=CQ$7),ROUND(CQ303*($AP$3+#REF!),-1),""))</f>
        <v/>
      </c>
      <c r="CS303" s="517"/>
      <c r="CT303" s="503" t="str">
        <f>IF($G303="","",IF(AND($G303&gt;=30,$AT$3&lt;=CS$7),ROUND(CS303*($AP$3+#REF!),-1),""))</f>
        <v/>
      </c>
      <c r="CU303" s="517"/>
      <c r="CV303" s="503" t="str">
        <f>IF($G303="","",IF(AND($G303&gt;=30,$AT$3&lt;=CU$7),ROUND(CU303*($AP$3+#REF!),-1),""))</f>
        <v/>
      </c>
      <c r="CW303" s="517"/>
      <c r="CX303" s="503" t="str">
        <f>IF($G303="","",IF(AND($G303&gt;=30,$AT$3&lt;=CW$7),ROUND(CW303*($AP$3+#REF!),-1),""))</f>
        <v/>
      </c>
      <c r="CY303" s="517"/>
      <c r="CZ303" s="503" t="str">
        <f>IF($G303="","",IF(AND($G303&gt;=30,$AT$3&lt;=CY$7),ROUND(CY303*($AP$3+#REF!),-1),""))</f>
        <v/>
      </c>
      <c r="DA303" s="517"/>
      <c r="DB303" s="503" t="str">
        <f>IF($G303="","",IF(AND($G303&gt;=30,$AT$3&lt;=DA$7),ROUND(DA303*($AP$3+#REF!),-1),""))</f>
        <v/>
      </c>
      <c r="DC303" s="517"/>
      <c r="DD303" s="503" t="str">
        <f>IF($G303="","",IF(AND($G303&gt;=30,$AT$3&lt;=DC$7),ROUND(DC303*($AP$3+#REF!),-1),""))</f>
        <v/>
      </c>
      <c r="DE303" s="517"/>
      <c r="DF303" s="503" t="str">
        <f>IF($G303="","",IF(AND($G303&gt;=30,$AT$3&lt;=DE$7),ROUND(DE303*($AP$3+#REF!),-1),""))</f>
        <v/>
      </c>
      <c r="DG303" s="517"/>
      <c r="DH303" s="503" t="str">
        <f>IF($G303="","",IF(AND($G303&gt;=30,$AT$3&lt;=DG$7),ROUND(DG303*($AP$3+#REF!),-1),""))</f>
        <v/>
      </c>
      <c r="DI303" s="517"/>
      <c r="DJ303" s="503" t="str">
        <f>IF($G303="","",IF(AND($G303&gt;=30,$AT$3&lt;=DI$7),ROUND(DI303*($AP$3+#REF!),-1),""))</f>
        <v/>
      </c>
      <c r="DK303" s="517"/>
      <c r="DL303" s="503" t="str">
        <f>IF($G303="","",IF(AND($G303&gt;=30,$AT$3&lt;=DK$7),ROUND(DK303*($AP$3+#REF!),-1),""))</f>
        <v/>
      </c>
      <c r="DM303" s="517"/>
      <c r="DN303" s="503" t="str">
        <f>IF($G303="","",IF(AND($G303&gt;=30,$AT$3&lt;=DM$7),ROUND(DM303*($AP$3+#REF!),-1),""))</f>
        <v/>
      </c>
      <c r="DO303" s="517"/>
      <c r="DP303" s="503" t="str">
        <f>IF($G303="","",IF(AND($G303&gt;=30,$AT$3&lt;=DO$7),ROUND(DO303*($AP$3+#REF!),-1),""))</f>
        <v/>
      </c>
      <c r="DQ303" s="517"/>
      <c r="DR303" s="503" t="str">
        <f>IF($G303="","",IF(AND($G303&gt;=30,$AT$3&lt;=DQ$7),ROUND(DQ303*($AP$3+#REF!),-1),""))</f>
        <v/>
      </c>
      <c r="DS303" s="517"/>
      <c r="DT303" s="503" t="str">
        <f>IF($G303="","",IF(AND($G303&gt;=30,$AT$3&lt;=DS$7),ROUND(DS303*($AP$3+#REF!),-1),""))</f>
        <v/>
      </c>
      <c r="DU303" s="517"/>
      <c r="DV303" s="503" t="str">
        <f>IF($G303="","",IF(AND($G303&gt;=30,$AT$3&lt;=DU$7),ROUND(DU303*($AP$3+#REF!),-1),""))</f>
        <v/>
      </c>
      <c r="DW303" s="517"/>
      <c r="DX303" s="503" t="str">
        <f>IF($G303="","",IF(AND($G303&gt;=30,$AT$3&lt;=DW$7),ROUND(DW303*($AP$3+#REF!),-1),""))</f>
        <v/>
      </c>
      <c r="DY303" s="517"/>
      <c r="DZ303" s="503" t="str">
        <f>IF($G303="","",IF(AND($G303&gt;=30,$AT$3&lt;=DY$7),ROUND(DY303*($AP$3+#REF!),-1),""))</f>
        <v/>
      </c>
      <c r="EA303" s="517"/>
      <c r="EB303" s="503" t="str">
        <f>IF($G303="","",IF(AND($G303&gt;=30,$AT$3&lt;=EA$7),ROUND(EA303*($AP$3+#REF!),-1),""))</f>
        <v/>
      </c>
      <c r="EC303" s="504" t="s">
        <v>621</v>
      </c>
      <c r="ED303" s="1124"/>
      <c r="EE303" s="325">
        <v>7</v>
      </c>
    </row>
    <row r="304" spans="1:135" ht="9.75" customHeight="1">
      <c r="A304" s="321" t="str">
        <f t="shared" si="68"/>
        <v/>
      </c>
      <c r="B304" s="567">
        <f>(ii!$D$13*12+V304)+1</f>
        <v>198</v>
      </c>
      <c r="C304" s="337">
        <f t="shared" si="72"/>
        <v>51379</v>
      </c>
      <c r="D304" s="484">
        <f t="shared" si="75"/>
        <v>2040</v>
      </c>
      <c r="E304" s="484">
        <f t="shared" si="73"/>
        <v>0.66666666666666663</v>
      </c>
      <c r="F304" s="484">
        <f t="shared" si="76"/>
        <v>2040.6666666666667</v>
      </c>
      <c r="G304" s="485" t="str">
        <f>IF(OR(C304&lt;$I$2,C304&gt;$J$3),"",(ii!$D$13*12+V304+1)/12)</f>
        <v/>
      </c>
      <c r="H304" s="486"/>
      <c r="I304" s="486"/>
      <c r="J304" s="487"/>
      <c r="K304" s="488"/>
      <c r="L304" s="548"/>
      <c r="M304" s="489" t="str">
        <f t="shared" si="77"/>
        <v/>
      </c>
      <c r="N304" s="490" t="s">
        <v>621</v>
      </c>
      <c r="O304" s="490" t="str">
        <f t="shared" si="70"/>
        <v/>
      </c>
      <c r="P304" s="491"/>
      <c r="Q304" s="491"/>
      <c r="R304" s="491" t="str">
        <f t="shared" si="71"/>
        <v/>
      </c>
      <c r="S304" s="528" t="str">
        <f t="shared" si="69"/>
        <v/>
      </c>
      <c r="T304" s="528" t="str">
        <f t="shared" si="67"/>
        <v/>
      </c>
      <c r="U304" s="493" t="str">
        <f>IF(H304="","",#REF!*12+#REF!+#REF!*12+#REF!)</f>
        <v/>
      </c>
      <c r="V304" s="338">
        <f>IF(ii!$J$3&gt;gg!C304,"",IF(AND((YEAR(C304)=YEAR($I$2)),MONTH(C304)=MONTH($I$2)),ii!$B$14*12+ii!$C$14+ii!$B$15*12+ii!$C$15-1,V303+1))</f>
        <v>197</v>
      </c>
      <c r="W304" s="339">
        <f t="shared" si="74"/>
        <v>16.416666666666668</v>
      </c>
      <c r="X304" s="494" t="s">
        <v>621</v>
      </c>
      <c r="Y304" s="495" t="s">
        <v>621</v>
      </c>
      <c r="Z304" s="496"/>
      <c r="AA304" s="497"/>
      <c r="AB304" s="498" t="e">
        <f t="shared" si="80"/>
        <v>#VALUE!</v>
      </c>
      <c r="AC304" s="484" t="str">
        <f t="shared" si="78"/>
        <v/>
      </c>
      <c r="AD304" s="495" t="str">
        <f t="shared" si="79"/>
        <v/>
      </c>
      <c r="AE304" s="499" t="s">
        <v>621</v>
      </c>
      <c r="AF304" s="500" t="s">
        <v>621</v>
      </c>
      <c r="AG304" s="556" t="s">
        <v>621</v>
      </c>
      <c r="AH304" s="503" t="str">
        <f>IF($G304="","",IF(AND($G304&gt;=30,$AT$3&lt;=AG$7),ROUND(AG304*($AP$3+#REF!),-1),""))</f>
        <v/>
      </c>
      <c r="AI304" s="506" t="s">
        <v>621</v>
      </c>
      <c r="AJ304" s="503" t="str">
        <f>IF($G304="","",IF(AND($G304&gt;=30,$AT$3&lt;=AI$7),ROUND(AI304*($AP$3+#REF!),-1),""))</f>
        <v/>
      </c>
      <c r="AK304" s="506" t="s">
        <v>621</v>
      </c>
      <c r="AL304" s="503" t="str">
        <f>IF($G304="","",IF(AND($G304&gt;=30,$AT$3&lt;=AK$7),ROUND(AK304*($AP$3+#REF!),-1),""))</f>
        <v/>
      </c>
      <c r="AM304" s="506" t="s">
        <v>621</v>
      </c>
      <c r="AN304" s="503" t="str">
        <f>IF($G304="","",IF(AND($G304&gt;=30,$AT$3&lt;=AM$7),ROUND(AM304*($AP$3+#REF!),-1),""))</f>
        <v/>
      </c>
      <c r="AO304" s="503" t="e">
        <v>#REF!</v>
      </c>
      <c r="AP304" s="503" t="str">
        <f>IF($G304="","",IF(AND($G304&gt;=30,$AT$3&lt;=AO$7),ROUND(AO304*($AP$3+#REF!),-1),""))</f>
        <v/>
      </c>
      <c r="AQ304" s="503" t="s">
        <v>621</v>
      </c>
      <c r="AR304" s="503" t="str">
        <f>IF($G304="","",IF(AND($G304&gt;=30,$AT$3&lt;=AQ$7),ROUND(AQ304*($AP$3+#REF!),-1),""))</f>
        <v/>
      </c>
      <c r="AS304" s="503" t="s">
        <v>621</v>
      </c>
      <c r="AT304" s="503" t="str">
        <f>IF($G304="","",IF(AND($G304&gt;=30,$AT$3&lt;=AS$7),ROUND(AS304*($AP$3+#REF!),-1),""))</f>
        <v/>
      </c>
      <c r="AU304" s="503" t="s">
        <v>621</v>
      </c>
      <c r="AV304" s="503" t="str">
        <f>IF($G304="","",IF(AND($G304&gt;=30,$AT$3&lt;=AU$7),ROUND(AU304*($AP$3+#REF!),-1),""))</f>
        <v/>
      </c>
      <c r="AW304" s="503" t="s">
        <v>621</v>
      </c>
      <c r="AX304" s="503" t="str">
        <f>IF($G304="","",IF(AND($G304&gt;=30,$AT$3&lt;=AW$7),ROUND(AW304*($AP$3+#REF!),-1),""))</f>
        <v/>
      </c>
      <c r="AY304" s="503" t="s">
        <v>621</v>
      </c>
      <c r="AZ304" s="503" t="str">
        <f>IF($G304="","",IF(AND($G304&gt;=30,$AT$3&lt;=AY$7),ROUND(AY304*($AP$3+#REF!),-1),""))</f>
        <v/>
      </c>
      <c r="BA304" s="503" t="s">
        <v>621</v>
      </c>
      <c r="BB304" s="503" t="str">
        <f>IF($G304="","",IF(AND($G304&gt;=30,$AT$3&lt;=BA$7),ROUND(BA304*($AP$3+#REF!),-1),""))</f>
        <v/>
      </c>
      <c r="BC304" s="503" t="s">
        <v>621</v>
      </c>
      <c r="BD304" s="503" t="str">
        <f>IF($G304="","",IF(AND($G304&gt;=30,$AT$3&lt;=BC$7),ROUND(BC304*($AP$3+#REF!),-1),""))</f>
        <v/>
      </c>
      <c r="BE304" s="503" t="s">
        <v>621</v>
      </c>
      <c r="BF304" s="503" t="str">
        <f>IF($G304="","",IF(AND($G304&gt;=30,$AT$3&lt;=BE$7),ROUND(BE304*($AP$3+#REF!),-1),""))</f>
        <v/>
      </c>
      <c r="BG304" s="503" t="s">
        <v>621</v>
      </c>
      <c r="BH304" s="503" t="str">
        <f>IF($G304="","",IF(AND($G304&gt;=30,$AT$3&lt;=BG$7),ROUND(BG304*($AP$3+#REF!),-1),""))</f>
        <v/>
      </c>
      <c r="BI304" s="503" t="s">
        <v>621</v>
      </c>
      <c r="BJ304" s="503" t="str">
        <f>IF($G304="","",IF(AND($G304&gt;=30,$AT$3&lt;=BI$7),ROUND(BI304*($AP$3+#REF!),-1),""))</f>
        <v/>
      </c>
      <c r="BK304" s="503" t="s">
        <v>621</v>
      </c>
      <c r="BL304" s="503" t="str">
        <f>IF($G304="","",IF(AND($G304&gt;=30,$AT$3&lt;=BK$7),ROUND(BK304*($AP$3+#REF!),-1),""))</f>
        <v/>
      </c>
      <c r="BM304" s="503" t="s">
        <v>621</v>
      </c>
      <c r="BN304" s="503" t="str">
        <f>IF($G304="","",IF(AND($G304&gt;=30,$AT$3&lt;=BM$7),ROUND(BM304*($AP$3+#REF!),-1),""))</f>
        <v/>
      </c>
      <c r="BO304" s="503" t="s">
        <v>621</v>
      </c>
      <c r="BP304" s="503" t="str">
        <f>IF($G304="","",IF(AND($G304&gt;=30,$AT$3&lt;=BO$7),ROUND(BO304*($AP$3+#REF!),-1),""))</f>
        <v/>
      </c>
      <c r="BQ304" s="503" t="s">
        <v>621</v>
      </c>
      <c r="BR304" s="503" t="str">
        <f>IF($G304="","",IF(AND($G304&gt;=30,$AT$3&lt;=BQ$7),ROUND(BQ304*($AP$3+#REF!),-1),""))</f>
        <v/>
      </c>
      <c r="BS304" s="503" t="s">
        <v>621</v>
      </c>
      <c r="BT304" s="503" t="str">
        <f>IF($G304="","",IF(AND($G304&gt;=30,$AT$3&lt;=BS$7),ROUND(BS304*($AP$3+#REF!),-1),""))</f>
        <v/>
      </c>
      <c r="BU304" s="503" t="s">
        <v>621</v>
      </c>
      <c r="BV304" s="503" t="str">
        <f>IF($G304="","",IF(AND($G304&gt;=30,$AT$3&lt;=BU$7),ROUND(BU304*($AP$3+#REF!),-1),""))</f>
        <v/>
      </c>
      <c r="BW304" s="503" t="s">
        <v>621</v>
      </c>
      <c r="BX304" s="503" t="str">
        <f>IF($G304="","",IF(AND($G304&gt;=30,$AT$3&lt;=BW$7),ROUND(BW304*($AP$3+#REF!),-1),""))</f>
        <v/>
      </c>
      <c r="BY304" s="503" t="s">
        <v>621</v>
      </c>
      <c r="BZ304" s="503" t="str">
        <f>IF($G304="","",IF(AND($G304&gt;=30,$AT$3&lt;=BY$7),ROUND(BY304*($AP$3+#REF!),-1),""))</f>
        <v/>
      </c>
      <c r="CA304" s="503" t="s">
        <v>621</v>
      </c>
      <c r="CB304" s="503" t="str">
        <f>IF($G304="","",IF(AND($G304&gt;=30,$AT$3&lt;=CA$7),ROUND(CA304*($AP$3+#REF!),-1),""))</f>
        <v/>
      </c>
      <c r="CC304" s="517" t="e">
        <v>#REF!</v>
      </c>
      <c r="CD304" s="503" t="str">
        <f>IF($G304="","",IF(AND($G304&gt;=30,$AT$3&lt;=CC$7),ROUND(CC304*($AP$3+#REF!),-1),""))</f>
        <v/>
      </c>
      <c r="CE304" s="517"/>
      <c r="CF304" s="503" t="str">
        <f>IF($G304="","",IF(AND($G304&gt;=30,$AT$3&lt;=CE$7),ROUND(CE304*($AP$3+#REF!),-1),""))</f>
        <v/>
      </c>
      <c r="CG304" s="517"/>
      <c r="CH304" s="503" t="str">
        <f>IF($G304="","",IF(AND($G304&gt;=30,$AT$3&lt;=CG$7),ROUND(CG304*($AP$3+#REF!),-1),""))</f>
        <v/>
      </c>
      <c r="CI304" s="517"/>
      <c r="CJ304" s="503" t="str">
        <f>IF($G304="","",IF(AND($G304&gt;=30,$AT$3&lt;=CI$7),ROUND(CI304*($AP$3+#REF!),-1),""))</f>
        <v/>
      </c>
      <c r="CK304" s="517"/>
      <c r="CL304" s="503" t="str">
        <f>IF($G304="","",IF(AND($G304&gt;=30,$AT$3&lt;=CK$7),ROUND(CK304*($AP$3+#REF!),-1),""))</f>
        <v/>
      </c>
      <c r="CM304" s="517"/>
      <c r="CN304" s="503" t="str">
        <f>IF($G304="","",IF(AND($G304&gt;=30,$AT$3&lt;=CM$7),ROUND(CM304*($AP$3+#REF!),-1),""))</f>
        <v/>
      </c>
      <c r="CO304" s="517"/>
      <c r="CP304" s="503" t="str">
        <f>IF($G304="","",IF(AND($G304&gt;=30,$AT$3&lt;=CO$7),ROUND(CO304*($AP$3+#REF!),-1),""))</f>
        <v/>
      </c>
      <c r="CQ304" s="517"/>
      <c r="CR304" s="503" t="str">
        <f>IF($G304="","",IF(AND($G304&gt;=30,$AT$3&lt;=CQ$7),ROUND(CQ304*($AP$3+#REF!),-1),""))</f>
        <v/>
      </c>
      <c r="CS304" s="517"/>
      <c r="CT304" s="503" t="str">
        <f>IF($G304="","",IF(AND($G304&gt;=30,$AT$3&lt;=CS$7),ROUND(CS304*($AP$3+#REF!),-1),""))</f>
        <v/>
      </c>
      <c r="CU304" s="517"/>
      <c r="CV304" s="503" t="str">
        <f>IF($G304="","",IF(AND($G304&gt;=30,$AT$3&lt;=CU$7),ROUND(CU304*($AP$3+#REF!),-1),""))</f>
        <v/>
      </c>
      <c r="CW304" s="517"/>
      <c r="CX304" s="503" t="str">
        <f>IF($G304="","",IF(AND($G304&gt;=30,$AT$3&lt;=CW$7),ROUND(CW304*($AP$3+#REF!),-1),""))</f>
        <v/>
      </c>
      <c r="CY304" s="517"/>
      <c r="CZ304" s="503" t="str">
        <f>IF($G304="","",IF(AND($G304&gt;=30,$AT$3&lt;=CY$7),ROUND(CY304*($AP$3+#REF!),-1),""))</f>
        <v/>
      </c>
      <c r="DA304" s="517"/>
      <c r="DB304" s="503" t="str">
        <f>IF($G304="","",IF(AND($G304&gt;=30,$AT$3&lt;=DA$7),ROUND(DA304*($AP$3+#REF!),-1),""))</f>
        <v/>
      </c>
      <c r="DC304" s="517"/>
      <c r="DD304" s="503" t="str">
        <f>IF($G304="","",IF(AND($G304&gt;=30,$AT$3&lt;=DC$7),ROUND(DC304*($AP$3+#REF!),-1),""))</f>
        <v/>
      </c>
      <c r="DE304" s="517"/>
      <c r="DF304" s="503" t="str">
        <f>IF($G304="","",IF(AND($G304&gt;=30,$AT$3&lt;=DE$7),ROUND(DE304*($AP$3+#REF!),-1),""))</f>
        <v/>
      </c>
      <c r="DG304" s="517"/>
      <c r="DH304" s="503" t="str">
        <f>IF($G304="","",IF(AND($G304&gt;=30,$AT$3&lt;=DG$7),ROUND(DG304*($AP$3+#REF!),-1),""))</f>
        <v/>
      </c>
      <c r="DI304" s="517"/>
      <c r="DJ304" s="503" t="str">
        <f>IF($G304="","",IF(AND($G304&gt;=30,$AT$3&lt;=DI$7),ROUND(DI304*($AP$3+#REF!),-1),""))</f>
        <v/>
      </c>
      <c r="DK304" s="517"/>
      <c r="DL304" s="503" t="str">
        <f>IF($G304="","",IF(AND($G304&gt;=30,$AT$3&lt;=DK$7),ROUND(DK304*($AP$3+#REF!),-1),""))</f>
        <v/>
      </c>
      <c r="DM304" s="517"/>
      <c r="DN304" s="503" t="str">
        <f>IF($G304="","",IF(AND($G304&gt;=30,$AT$3&lt;=DM$7),ROUND(DM304*($AP$3+#REF!),-1),""))</f>
        <v/>
      </c>
      <c r="DO304" s="517"/>
      <c r="DP304" s="503" t="str">
        <f>IF($G304="","",IF(AND($G304&gt;=30,$AT$3&lt;=DO$7),ROUND(DO304*($AP$3+#REF!),-1),""))</f>
        <v/>
      </c>
      <c r="DQ304" s="517"/>
      <c r="DR304" s="503" t="str">
        <f>IF($G304="","",IF(AND($G304&gt;=30,$AT$3&lt;=DQ$7),ROUND(DQ304*($AP$3+#REF!),-1),""))</f>
        <v/>
      </c>
      <c r="DS304" s="517"/>
      <c r="DT304" s="503" t="str">
        <f>IF($G304="","",IF(AND($G304&gt;=30,$AT$3&lt;=DS$7),ROUND(DS304*($AP$3+#REF!),-1),""))</f>
        <v/>
      </c>
      <c r="DU304" s="517"/>
      <c r="DV304" s="503" t="str">
        <f>IF($G304="","",IF(AND($G304&gt;=30,$AT$3&lt;=DU$7),ROUND(DU304*($AP$3+#REF!),-1),""))</f>
        <v/>
      </c>
      <c r="DW304" s="517"/>
      <c r="DX304" s="503" t="str">
        <f>IF($G304="","",IF(AND($G304&gt;=30,$AT$3&lt;=DW$7),ROUND(DW304*($AP$3+#REF!),-1),""))</f>
        <v/>
      </c>
      <c r="DY304" s="517"/>
      <c r="DZ304" s="503" t="str">
        <f>IF($G304="","",IF(AND($G304&gt;=30,$AT$3&lt;=DY$7),ROUND(DY304*($AP$3+#REF!),-1),""))</f>
        <v/>
      </c>
      <c r="EA304" s="517"/>
      <c r="EB304" s="503" t="str">
        <f>IF($G304="","",IF(AND($G304&gt;=30,$AT$3&lt;=EA$7),ROUND(EA304*($AP$3+#REF!),-1),""))</f>
        <v/>
      </c>
      <c r="EC304" s="504" t="s">
        <v>621</v>
      </c>
      <c r="ED304" s="1124"/>
      <c r="EE304" s="325">
        <v>8</v>
      </c>
    </row>
    <row r="305" spans="1:135" ht="9.75" customHeight="1">
      <c r="A305" s="321" t="str">
        <f t="shared" si="68"/>
        <v/>
      </c>
      <c r="B305" s="567">
        <f>(ii!$D$13*12+V305)+1</f>
        <v>199</v>
      </c>
      <c r="C305" s="337">
        <f t="shared" si="72"/>
        <v>51409</v>
      </c>
      <c r="D305" s="484">
        <f t="shared" si="75"/>
        <v>2040</v>
      </c>
      <c r="E305" s="484">
        <f t="shared" si="73"/>
        <v>0.75</v>
      </c>
      <c r="F305" s="484">
        <f t="shared" si="76"/>
        <v>2040.75</v>
      </c>
      <c r="G305" s="485" t="str">
        <f>IF(OR(C305&lt;$I$2,C305&gt;$J$3),"",(ii!$D$13*12+V305+1)/12)</f>
        <v/>
      </c>
      <c r="H305" s="486"/>
      <c r="I305" s="486"/>
      <c r="J305" s="487"/>
      <c r="K305" s="488"/>
      <c r="L305" s="548"/>
      <c r="M305" s="489" t="str">
        <f t="shared" si="77"/>
        <v/>
      </c>
      <c r="N305" s="490" t="s">
        <v>621</v>
      </c>
      <c r="O305" s="490" t="str">
        <f t="shared" si="70"/>
        <v/>
      </c>
      <c r="P305" s="491"/>
      <c r="Q305" s="491"/>
      <c r="R305" s="491" t="str">
        <f t="shared" si="71"/>
        <v/>
      </c>
      <c r="S305" s="528" t="str">
        <f t="shared" si="69"/>
        <v/>
      </c>
      <c r="T305" s="528" t="str">
        <f t="shared" si="67"/>
        <v/>
      </c>
      <c r="U305" s="493" t="str">
        <f>IF(H305="","",#REF!*12+#REF!+#REF!*12+#REF!)</f>
        <v/>
      </c>
      <c r="V305" s="338">
        <f>IF(ii!$J$3&gt;gg!C305,"",IF(AND((YEAR(C305)=YEAR($I$2)),MONTH(C305)=MONTH($I$2)),ii!$B$14*12+ii!$C$14+ii!$B$15*12+ii!$C$15-1,V304+1))</f>
        <v>198</v>
      </c>
      <c r="W305" s="339">
        <f t="shared" si="74"/>
        <v>16.5</v>
      </c>
      <c r="X305" s="494" t="s">
        <v>621</v>
      </c>
      <c r="Y305" s="495" t="s">
        <v>621</v>
      </c>
      <c r="Z305" s="496"/>
      <c r="AA305" s="497"/>
      <c r="AB305" s="498" t="e">
        <f t="shared" si="80"/>
        <v>#VALUE!</v>
      </c>
      <c r="AC305" s="484" t="str">
        <f t="shared" si="78"/>
        <v/>
      </c>
      <c r="AD305" s="495" t="str">
        <f t="shared" si="79"/>
        <v/>
      </c>
      <c r="AE305" s="499" t="s">
        <v>621</v>
      </c>
      <c r="AF305" s="500" t="s">
        <v>621</v>
      </c>
      <c r="AG305" s="556" t="s">
        <v>621</v>
      </c>
      <c r="AH305" s="503" t="str">
        <f>IF($G305="","",IF(AND($G305&gt;=30,$AT$3&lt;=AG$7),ROUND(AG305*($AP$3+#REF!),-1),""))</f>
        <v/>
      </c>
      <c r="AI305" s="506" t="s">
        <v>621</v>
      </c>
      <c r="AJ305" s="503" t="str">
        <f>IF($G305="","",IF(AND($G305&gt;=30,$AT$3&lt;=AI$7),ROUND(AI305*($AP$3+#REF!),-1),""))</f>
        <v/>
      </c>
      <c r="AK305" s="506" t="s">
        <v>621</v>
      </c>
      <c r="AL305" s="503" t="str">
        <f>IF($G305="","",IF(AND($G305&gt;=30,$AT$3&lt;=AK$7),ROUND(AK305*($AP$3+#REF!),-1),""))</f>
        <v/>
      </c>
      <c r="AM305" s="506" t="s">
        <v>621</v>
      </c>
      <c r="AN305" s="503" t="str">
        <f>IF($G305="","",IF(AND($G305&gt;=30,$AT$3&lt;=AM$7),ROUND(AM305*($AP$3+#REF!),-1),""))</f>
        <v/>
      </c>
      <c r="AO305" s="503" t="e">
        <v>#REF!</v>
      </c>
      <c r="AP305" s="503" t="str">
        <f>IF($G305="","",IF(AND($G305&gt;=30,$AT$3&lt;=AO$7),ROUND(AO305*($AP$3+#REF!),-1),""))</f>
        <v/>
      </c>
      <c r="AQ305" s="503" t="s">
        <v>621</v>
      </c>
      <c r="AR305" s="503" t="str">
        <f>IF($G305="","",IF(AND($G305&gt;=30,$AT$3&lt;=AQ$7),ROUND(AQ305*($AP$3+#REF!),-1),""))</f>
        <v/>
      </c>
      <c r="AS305" s="503" t="s">
        <v>621</v>
      </c>
      <c r="AT305" s="503" t="str">
        <f>IF($G305="","",IF(AND($G305&gt;=30,$AT$3&lt;=AS$7),ROUND(AS305*($AP$3+#REF!),-1),""))</f>
        <v/>
      </c>
      <c r="AU305" s="503" t="s">
        <v>621</v>
      </c>
      <c r="AV305" s="503" t="str">
        <f>IF($G305="","",IF(AND($G305&gt;=30,$AT$3&lt;=AU$7),ROUND(AU305*($AP$3+#REF!),-1),""))</f>
        <v/>
      </c>
      <c r="AW305" s="503" t="s">
        <v>621</v>
      </c>
      <c r="AX305" s="503" t="str">
        <f>IF($G305="","",IF(AND($G305&gt;=30,$AT$3&lt;=AW$7),ROUND(AW305*($AP$3+#REF!),-1),""))</f>
        <v/>
      </c>
      <c r="AY305" s="503" t="s">
        <v>621</v>
      </c>
      <c r="AZ305" s="503" t="str">
        <f>IF($G305="","",IF(AND($G305&gt;=30,$AT$3&lt;=AY$7),ROUND(AY305*($AP$3+#REF!),-1),""))</f>
        <v/>
      </c>
      <c r="BA305" s="503" t="s">
        <v>621</v>
      </c>
      <c r="BB305" s="503" t="str">
        <f>IF($G305="","",IF(AND($G305&gt;=30,$AT$3&lt;=BA$7),ROUND(BA305*($AP$3+#REF!),-1),""))</f>
        <v/>
      </c>
      <c r="BC305" s="503" t="s">
        <v>621</v>
      </c>
      <c r="BD305" s="503" t="str">
        <f>IF($G305="","",IF(AND($G305&gt;=30,$AT$3&lt;=BC$7),ROUND(BC305*($AP$3+#REF!),-1),""))</f>
        <v/>
      </c>
      <c r="BE305" s="503" t="s">
        <v>621</v>
      </c>
      <c r="BF305" s="503" t="str">
        <f>IF($G305="","",IF(AND($G305&gt;=30,$AT$3&lt;=BE$7),ROUND(BE305*($AP$3+#REF!),-1),""))</f>
        <v/>
      </c>
      <c r="BG305" s="503" t="s">
        <v>621</v>
      </c>
      <c r="BH305" s="503" t="str">
        <f>IF($G305="","",IF(AND($G305&gt;=30,$AT$3&lt;=BG$7),ROUND(BG305*($AP$3+#REF!),-1),""))</f>
        <v/>
      </c>
      <c r="BI305" s="503" t="s">
        <v>621</v>
      </c>
      <c r="BJ305" s="503" t="str">
        <f>IF($G305="","",IF(AND($G305&gt;=30,$AT$3&lt;=BI$7),ROUND(BI305*($AP$3+#REF!),-1),""))</f>
        <v/>
      </c>
      <c r="BK305" s="503" t="s">
        <v>621</v>
      </c>
      <c r="BL305" s="503" t="str">
        <f>IF($G305="","",IF(AND($G305&gt;=30,$AT$3&lt;=BK$7),ROUND(BK305*($AP$3+#REF!),-1),""))</f>
        <v/>
      </c>
      <c r="BM305" s="503" t="s">
        <v>621</v>
      </c>
      <c r="BN305" s="503" t="str">
        <f>IF($G305="","",IF(AND($G305&gt;=30,$AT$3&lt;=BM$7),ROUND(BM305*($AP$3+#REF!),-1),""))</f>
        <v/>
      </c>
      <c r="BO305" s="503" t="s">
        <v>621</v>
      </c>
      <c r="BP305" s="503" t="str">
        <f>IF($G305="","",IF(AND($G305&gt;=30,$AT$3&lt;=BO$7),ROUND(BO305*($AP$3+#REF!),-1),""))</f>
        <v/>
      </c>
      <c r="BQ305" s="503" t="s">
        <v>621</v>
      </c>
      <c r="BR305" s="503" t="str">
        <f>IF($G305="","",IF(AND($G305&gt;=30,$AT$3&lt;=BQ$7),ROUND(BQ305*($AP$3+#REF!),-1),""))</f>
        <v/>
      </c>
      <c r="BS305" s="503" t="s">
        <v>621</v>
      </c>
      <c r="BT305" s="503" t="str">
        <f>IF($G305="","",IF(AND($G305&gt;=30,$AT$3&lt;=BS$7),ROUND(BS305*($AP$3+#REF!),-1),""))</f>
        <v/>
      </c>
      <c r="BU305" s="503" t="s">
        <v>621</v>
      </c>
      <c r="BV305" s="503" t="str">
        <f>IF($G305="","",IF(AND($G305&gt;=30,$AT$3&lt;=BU$7),ROUND(BU305*($AP$3+#REF!),-1),""))</f>
        <v/>
      </c>
      <c r="BW305" s="503" t="s">
        <v>621</v>
      </c>
      <c r="BX305" s="503" t="str">
        <f>IF($G305="","",IF(AND($G305&gt;=30,$AT$3&lt;=BW$7),ROUND(BW305*($AP$3+#REF!),-1),""))</f>
        <v/>
      </c>
      <c r="BY305" s="503" t="s">
        <v>621</v>
      </c>
      <c r="BZ305" s="503" t="str">
        <f>IF($G305="","",IF(AND($G305&gt;=30,$AT$3&lt;=BY$7),ROUND(BY305*($AP$3+#REF!),-1),""))</f>
        <v/>
      </c>
      <c r="CA305" s="503" t="s">
        <v>621</v>
      </c>
      <c r="CB305" s="503" t="str">
        <f>IF($G305="","",IF(AND($G305&gt;=30,$AT$3&lt;=CA$7),ROUND(CA305*($AP$3+#REF!),-1),""))</f>
        <v/>
      </c>
      <c r="CC305" s="517" t="e">
        <v>#REF!</v>
      </c>
      <c r="CD305" s="503" t="str">
        <f>IF($G305="","",IF(AND($G305&gt;=30,$AT$3&lt;=CC$7),ROUND(CC305*($AP$3+#REF!),-1),""))</f>
        <v/>
      </c>
      <c r="CE305" s="517"/>
      <c r="CF305" s="503" t="str">
        <f>IF($G305="","",IF(AND($G305&gt;=30,$AT$3&lt;=CE$7),ROUND(CE305*($AP$3+#REF!),-1),""))</f>
        <v/>
      </c>
      <c r="CG305" s="517"/>
      <c r="CH305" s="503" t="str">
        <f>IF($G305="","",IF(AND($G305&gt;=30,$AT$3&lt;=CG$7),ROUND(CG305*($AP$3+#REF!),-1),""))</f>
        <v/>
      </c>
      <c r="CI305" s="517"/>
      <c r="CJ305" s="503" t="str">
        <f>IF($G305="","",IF(AND($G305&gt;=30,$AT$3&lt;=CI$7),ROUND(CI305*($AP$3+#REF!),-1),""))</f>
        <v/>
      </c>
      <c r="CK305" s="517"/>
      <c r="CL305" s="503" t="str">
        <f>IF($G305="","",IF(AND($G305&gt;=30,$AT$3&lt;=CK$7),ROUND(CK305*($AP$3+#REF!),-1),""))</f>
        <v/>
      </c>
      <c r="CM305" s="517"/>
      <c r="CN305" s="503" t="str">
        <f>IF($G305="","",IF(AND($G305&gt;=30,$AT$3&lt;=CM$7),ROUND(CM305*($AP$3+#REF!),-1),""))</f>
        <v/>
      </c>
      <c r="CO305" s="517"/>
      <c r="CP305" s="503" t="str">
        <f>IF($G305="","",IF(AND($G305&gt;=30,$AT$3&lt;=CO$7),ROUND(CO305*($AP$3+#REF!),-1),""))</f>
        <v/>
      </c>
      <c r="CQ305" s="517"/>
      <c r="CR305" s="503" t="str">
        <f>IF($G305="","",IF(AND($G305&gt;=30,$AT$3&lt;=CQ$7),ROUND(CQ305*($AP$3+#REF!),-1),""))</f>
        <v/>
      </c>
      <c r="CS305" s="517"/>
      <c r="CT305" s="503" t="str">
        <f>IF($G305="","",IF(AND($G305&gt;=30,$AT$3&lt;=CS$7),ROUND(CS305*($AP$3+#REF!),-1),""))</f>
        <v/>
      </c>
      <c r="CU305" s="517"/>
      <c r="CV305" s="503" t="str">
        <f>IF($G305="","",IF(AND($G305&gt;=30,$AT$3&lt;=CU$7),ROUND(CU305*($AP$3+#REF!),-1),""))</f>
        <v/>
      </c>
      <c r="CW305" s="517"/>
      <c r="CX305" s="503" t="str">
        <f>IF($G305="","",IF(AND($G305&gt;=30,$AT$3&lt;=CW$7),ROUND(CW305*($AP$3+#REF!),-1),""))</f>
        <v/>
      </c>
      <c r="CY305" s="517"/>
      <c r="CZ305" s="503" t="str">
        <f>IF($G305="","",IF(AND($G305&gt;=30,$AT$3&lt;=CY$7),ROUND(CY305*($AP$3+#REF!),-1),""))</f>
        <v/>
      </c>
      <c r="DA305" s="517"/>
      <c r="DB305" s="503" t="str">
        <f>IF($G305="","",IF(AND($G305&gt;=30,$AT$3&lt;=DA$7),ROUND(DA305*($AP$3+#REF!),-1),""))</f>
        <v/>
      </c>
      <c r="DC305" s="517"/>
      <c r="DD305" s="503" t="str">
        <f>IF($G305="","",IF(AND($G305&gt;=30,$AT$3&lt;=DC$7),ROUND(DC305*($AP$3+#REF!),-1),""))</f>
        <v/>
      </c>
      <c r="DE305" s="517"/>
      <c r="DF305" s="503" t="str">
        <f>IF($G305="","",IF(AND($G305&gt;=30,$AT$3&lt;=DE$7),ROUND(DE305*($AP$3+#REF!),-1),""))</f>
        <v/>
      </c>
      <c r="DG305" s="517"/>
      <c r="DH305" s="503" t="str">
        <f>IF($G305="","",IF(AND($G305&gt;=30,$AT$3&lt;=DG$7),ROUND(DG305*($AP$3+#REF!),-1),""))</f>
        <v/>
      </c>
      <c r="DI305" s="517"/>
      <c r="DJ305" s="503" t="str">
        <f>IF($G305="","",IF(AND($G305&gt;=30,$AT$3&lt;=DI$7),ROUND(DI305*($AP$3+#REF!),-1),""))</f>
        <v/>
      </c>
      <c r="DK305" s="517"/>
      <c r="DL305" s="503" t="str">
        <f>IF($G305="","",IF(AND($G305&gt;=30,$AT$3&lt;=DK$7),ROUND(DK305*($AP$3+#REF!),-1),""))</f>
        <v/>
      </c>
      <c r="DM305" s="517"/>
      <c r="DN305" s="503" t="str">
        <f>IF($G305="","",IF(AND($G305&gt;=30,$AT$3&lt;=DM$7),ROUND(DM305*($AP$3+#REF!),-1),""))</f>
        <v/>
      </c>
      <c r="DO305" s="517"/>
      <c r="DP305" s="503" t="str">
        <f>IF($G305="","",IF(AND($G305&gt;=30,$AT$3&lt;=DO$7),ROUND(DO305*($AP$3+#REF!),-1),""))</f>
        <v/>
      </c>
      <c r="DQ305" s="517"/>
      <c r="DR305" s="503" t="str">
        <f>IF($G305="","",IF(AND($G305&gt;=30,$AT$3&lt;=DQ$7),ROUND(DQ305*($AP$3+#REF!),-1),""))</f>
        <v/>
      </c>
      <c r="DS305" s="517"/>
      <c r="DT305" s="503" t="str">
        <f>IF($G305="","",IF(AND($G305&gt;=30,$AT$3&lt;=DS$7),ROUND(DS305*($AP$3+#REF!),-1),""))</f>
        <v/>
      </c>
      <c r="DU305" s="517"/>
      <c r="DV305" s="503" t="str">
        <f>IF($G305="","",IF(AND($G305&gt;=30,$AT$3&lt;=DU$7),ROUND(DU305*($AP$3+#REF!),-1),""))</f>
        <v/>
      </c>
      <c r="DW305" s="517"/>
      <c r="DX305" s="503" t="str">
        <f>IF($G305="","",IF(AND($G305&gt;=30,$AT$3&lt;=DW$7),ROUND(DW305*($AP$3+#REF!),-1),""))</f>
        <v/>
      </c>
      <c r="DY305" s="517"/>
      <c r="DZ305" s="503" t="str">
        <f>IF($G305="","",IF(AND($G305&gt;=30,$AT$3&lt;=DY$7),ROUND(DY305*($AP$3+#REF!),-1),""))</f>
        <v/>
      </c>
      <c r="EA305" s="517"/>
      <c r="EB305" s="503" t="str">
        <f>IF($G305="","",IF(AND($G305&gt;=30,$AT$3&lt;=EA$7),ROUND(EA305*($AP$3+#REF!),-1),""))</f>
        <v/>
      </c>
      <c r="EC305" s="504" t="s">
        <v>621</v>
      </c>
      <c r="ED305" s="1124"/>
      <c r="EE305" s="325">
        <v>9</v>
      </c>
    </row>
    <row r="306" spans="1:135" ht="9.75" customHeight="1">
      <c r="A306" s="321" t="str">
        <f t="shared" si="68"/>
        <v/>
      </c>
      <c r="B306" s="567">
        <f>(ii!$D$13*12+V306)+1</f>
        <v>200</v>
      </c>
      <c r="C306" s="337">
        <f t="shared" si="72"/>
        <v>51440</v>
      </c>
      <c r="D306" s="484">
        <f t="shared" si="75"/>
        <v>2040</v>
      </c>
      <c r="E306" s="484">
        <f t="shared" si="73"/>
        <v>0.83333333333333337</v>
      </c>
      <c r="F306" s="484">
        <f t="shared" si="76"/>
        <v>2040.8333333333333</v>
      </c>
      <c r="G306" s="485" t="str">
        <f>IF(OR(C306&lt;$I$2,C306&gt;$J$3),"",(ii!$D$13*12+V306+1)/12)</f>
        <v/>
      </c>
      <c r="H306" s="486"/>
      <c r="I306" s="486"/>
      <c r="J306" s="487"/>
      <c r="K306" s="488"/>
      <c r="L306" s="548"/>
      <c r="M306" s="489" t="str">
        <f t="shared" si="77"/>
        <v/>
      </c>
      <c r="N306" s="490" t="s">
        <v>621</v>
      </c>
      <c r="O306" s="490" t="str">
        <f t="shared" si="70"/>
        <v/>
      </c>
      <c r="P306" s="491"/>
      <c r="Q306" s="491"/>
      <c r="R306" s="491" t="str">
        <f t="shared" si="71"/>
        <v/>
      </c>
      <c r="S306" s="528" t="str">
        <f t="shared" si="69"/>
        <v/>
      </c>
      <c r="T306" s="528" t="str">
        <f t="shared" si="67"/>
        <v/>
      </c>
      <c r="U306" s="493" t="str">
        <f>IF(H306="","",#REF!*12+#REF!+#REF!*12+#REF!)</f>
        <v/>
      </c>
      <c r="V306" s="338">
        <f>IF(ii!$J$3&gt;gg!C306,"",IF(AND((YEAR(C306)=YEAR($I$2)),MONTH(C306)=MONTH($I$2)),ii!$B$14*12+ii!$C$14+ii!$B$15*12+ii!$C$15-1,V305+1))</f>
        <v>199</v>
      </c>
      <c r="W306" s="339">
        <f t="shared" si="74"/>
        <v>16.583333333333332</v>
      </c>
      <c r="X306" s="494" t="s">
        <v>621</v>
      </c>
      <c r="Y306" s="495" t="s">
        <v>621</v>
      </c>
      <c r="Z306" s="496"/>
      <c r="AA306" s="497"/>
      <c r="AB306" s="498" t="e">
        <f t="shared" si="80"/>
        <v>#VALUE!</v>
      </c>
      <c r="AC306" s="484" t="str">
        <f t="shared" si="78"/>
        <v/>
      </c>
      <c r="AD306" s="495" t="str">
        <f t="shared" si="79"/>
        <v/>
      </c>
      <c r="AE306" s="499" t="s">
        <v>621</v>
      </c>
      <c r="AF306" s="500" t="s">
        <v>621</v>
      </c>
      <c r="AG306" s="556" t="s">
        <v>621</v>
      </c>
      <c r="AH306" s="503" t="str">
        <f>IF($G306="","",IF(AND($G306&gt;=30,$AT$3&lt;=AG$7),ROUND(AG306*($AP$3+#REF!),-1),""))</f>
        <v/>
      </c>
      <c r="AI306" s="506" t="s">
        <v>621</v>
      </c>
      <c r="AJ306" s="503" t="str">
        <f>IF($G306="","",IF(AND($G306&gt;=30,$AT$3&lt;=AI$7),ROUND(AI306*($AP$3+#REF!),-1),""))</f>
        <v/>
      </c>
      <c r="AK306" s="506" t="s">
        <v>621</v>
      </c>
      <c r="AL306" s="503" t="str">
        <f>IF($G306="","",IF(AND($G306&gt;=30,$AT$3&lt;=AK$7),ROUND(AK306*($AP$3+#REF!),-1),""))</f>
        <v/>
      </c>
      <c r="AM306" s="506" t="s">
        <v>621</v>
      </c>
      <c r="AN306" s="503" t="str">
        <f>IF($G306="","",IF(AND($G306&gt;=30,$AT$3&lt;=AM$7),ROUND(AM306*($AP$3+#REF!),-1),""))</f>
        <v/>
      </c>
      <c r="AO306" s="503" t="e">
        <v>#REF!</v>
      </c>
      <c r="AP306" s="503" t="str">
        <f>IF($G306="","",IF(AND($G306&gt;=30,$AT$3&lt;=AO$7),ROUND(AO306*($AP$3+#REF!),-1),""))</f>
        <v/>
      </c>
      <c r="AQ306" s="503" t="s">
        <v>621</v>
      </c>
      <c r="AR306" s="503" t="str">
        <f>IF($G306="","",IF(AND($G306&gt;=30,$AT$3&lt;=AQ$7),ROUND(AQ306*($AP$3+#REF!),-1),""))</f>
        <v/>
      </c>
      <c r="AS306" s="503" t="s">
        <v>621</v>
      </c>
      <c r="AT306" s="503" t="str">
        <f>IF($G306="","",IF(AND($G306&gt;=30,$AT$3&lt;=AS$7),ROUND(AS306*($AP$3+#REF!),-1),""))</f>
        <v/>
      </c>
      <c r="AU306" s="503" t="s">
        <v>621</v>
      </c>
      <c r="AV306" s="503" t="str">
        <f>IF($G306="","",IF(AND($G306&gt;=30,$AT$3&lt;=AU$7),ROUND(AU306*($AP$3+#REF!),-1),""))</f>
        <v/>
      </c>
      <c r="AW306" s="503" t="s">
        <v>621</v>
      </c>
      <c r="AX306" s="503" t="str">
        <f>IF($G306="","",IF(AND($G306&gt;=30,$AT$3&lt;=AW$7),ROUND(AW306*($AP$3+#REF!),-1),""))</f>
        <v/>
      </c>
      <c r="AY306" s="503" t="s">
        <v>621</v>
      </c>
      <c r="AZ306" s="503" t="str">
        <f>IF($G306="","",IF(AND($G306&gt;=30,$AT$3&lt;=AY$7),ROUND(AY306*($AP$3+#REF!),-1),""))</f>
        <v/>
      </c>
      <c r="BA306" s="503" t="s">
        <v>621</v>
      </c>
      <c r="BB306" s="503" t="str">
        <f>IF($G306="","",IF(AND($G306&gt;=30,$AT$3&lt;=BA$7),ROUND(BA306*($AP$3+#REF!),-1),""))</f>
        <v/>
      </c>
      <c r="BC306" s="503" t="s">
        <v>621</v>
      </c>
      <c r="BD306" s="503" t="str">
        <f>IF($G306="","",IF(AND($G306&gt;=30,$AT$3&lt;=BC$7),ROUND(BC306*($AP$3+#REF!),-1),""))</f>
        <v/>
      </c>
      <c r="BE306" s="503" t="s">
        <v>621</v>
      </c>
      <c r="BF306" s="503" t="str">
        <f>IF($G306="","",IF(AND($G306&gt;=30,$AT$3&lt;=BE$7),ROUND(BE306*($AP$3+#REF!),-1),""))</f>
        <v/>
      </c>
      <c r="BG306" s="503" t="s">
        <v>621</v>
      </c>
      <c r="BH306" s="503" t="str">
        <f>IF($G306="","",IF(AND($G306&gt;=30,$AT$3&lt;=BG$7),ROUND(BG306*($AP$3+#REF!),-1),""))</f>
        <v/>
      </c>
      <c r="BI306" s="503" t="s">
        <v>621</v>
      </c>
      <c r="BJ306" s="503" t="str">
        <f>IF($G306="","",IF(AND($G306&gt;=30,$AT$3&lt;=BI$7),ROUND(BI306*($AP$3+#REF!),-1),""))</f>
        <v/>
      </c>
      <c r="BK306" s="503" t="s">
        <v>621</v>
      </c>
      <c r="BL306" s="503" t="str">
        <f>IF($G306="","",IF(AND($G306&gt;=30,$AT$3&lt;=BK$7),ROUND(BK306*($AP$3+#REF!),-1),""))</f>
        <v/>
      </c>
      <c r="BM306" s="503" t="s">
        <v>621</v>
      </c>
      <c r="BN306" s="503" t="str">
        <f>IF($G306="","",IF(AND($G306&gt;=30,$AT$3&lt;=BM$7),ROUND(BM306*($AP$3+#REF!),-1),""))</f>
        <v/>
      </c>
      <c r="BO306" s="503" t="s">
        <v>621</v>
      </c>
      <c r="BP306" s="503" t="str">
        <f>IF($G306="","",IF(AND($G306&gt;=30,$AT$3&lt;=BO$7),ROUND(BO306*($AP$3+#REF!),-1),""))</f>
        <v/>
      </c>
      <c r="BQ306" s="503" t="s">
        <v>621</v>
      </c>
      <c r="BR306" s="503" t="str">
        <f>IF($G306="","",IF(AND($G306&gt;=30,$AT$3&lt;=BQ$7),ROUND(BQ306*($AP$3+#REF!),-1),""))</f>
        <v/>
      </c>
      <c r="BS306" s="503" t="s">
        <v>621</v>
      </c>
      <c r="BT306" s="503" t="str">
        <f>IF($G306="","",IF(AND($G306&gt;=30,$AT$3&lt;=BS$7),ROUND(BS306*($AP$3+#REF!),-1),""))</f>
        <v/>
      </c>
      <c r="BU306" s="503" t="s">
        <v>621</v>
      </c>
      <c r="BV306" s="503" t="str">
        <f>IF($G306="","",IF(AND($G306&gt;=30,$AT$3&lt;=BU$7),ROUND(BU306*($AP$3+#REF!),-1),""))</f>
        <v/>
      </c>
      <c r="BW306" s="503" t="s">
        <v>621</v>
      </c>
      <c r="BX306" s="503" t="str">
        <f>IF($G306="","",IF(AND($G306&gt;=30,$AT$3&lt;=BW$7),ROUND(BW306*($AP$3+#REF!),-1),""))</f>
        <v/>
      </c>
      <c r="BY306" s="503" t="s">
        <v>621</v>
      </c>
      <c r="BZ306" s="503" t="str">
        <f>IF($G306="","",IF(AND($G306&gt;=30,$AT$3&lt;=BY$7),ROUND(BY306*($AP$3+#REF!),-1),""))</f>
        <v/>
      </c>
      <c r="CA306" s="503" t="s">
        <v>621</v>
      </c>
      <c r="CB306" s="503" t="str">
        <f>IF($G306="","",IF(AND($G306&gt;=30,$AT$3&lt;=CA$7),ROUND(CA306*($AP$3+#REF!),-1),""))</f>
        <v/>
      </c>
      <c r="CC306" s="517" t="e">
        <v>#REF!</v>
      </c>
      <c r="CD306" s="503" t="str">
        <f>IF($G306="","",IF(AND($G306&gt;=30,$AT$3&lt;=CC$7),ROUND(CC306*($AP$3+#REF!),-1),""))</f>
        <v/>
      </c>
      <c r="CE306" s="517"/>
      <c r="CF306" s="503" t="str">
        <f>IF($G306="","",IF(AND($G306&gt;=30,$AT$3&lt;=CE$7),ROUND(CE306*($AP$3+#REF!),-1),""))</f>
        <v/>
      </c>
      <c r="CG306" s="517"/>
      <c r="CH306" s="503" t="str">
        <f>IF($G306="","",IF(AND($G306&gt;=30,$AT$3&lt;=CG$7),ROUND(CG306*($AP$3+#REF!),-1),""))</f>
        <v/>
      </c>
      <c r="CI306" s="517"/>
      <c r="CJ306" s="503" t="str">
        <f>IF($G306="","",IF(AND($G306&gt;=30,$AT$3&lt;=CI$7),ROUND(CI306*($AP$3+#REF!),-1),""))</f>
        <v/>
      </c>
      <c r="CK306" s="517"/>
      <c r="CL306" s="503" t="str">
        <f>IF($G306="","",IF(AND($G306&gt;=30,$AT$3&lt;=CK$7),ROUND(CK306*($AP$3+#REF!),-1),""))</f>
        <v/>
      </c>
      <c r="CM306" s="517"/>
      <c r="CN306" s="503" t="str">
        <f>IF($G306="","",IF(AND($G306&gt;=30,$AT$3&lt;=CM$7),ROUND(CM306*($AP$3+#REF!),-1),""))</f>
        <v/>
      </c>
      <c r="CO306" s="517"/>
      <c r="CP306" s="503" t="str">
        <f>IF($G306="","",IF(AND($G306&gt;=30,$AT$3&lt;=CO$7),ROUND(CO306*($AP$3+#REF!),-1),""))</f>
        <v/>
      </c>
      <c r="CQ306" s="517"/>
      <c r="CR306" s="503" t="str">
        <f>IF($G306="","",IF(AND($G306&gt;=30,$AT$3&lt;=CQ$7),ROUND(CQ306*($AP$3+#REF!),-1),""))</f>
        <v/>
      </c>
      <c r="CS306" s="517"/>
      <c r="CT306" s="503" t="str">
        <f>IF($G306="","",IF(AND($G306&gt;=30,$AT$3&lt;=CS$7),ROUND(CS306*($AP$3+#REF!),-1),""))</f>
        <v/>
      </c>
      <c r="CU306" s="517"/>
      <c r="CV306" s="503" t="str">
        <f>IF($G306="","",IF(AND($G306&gt;=30,$AT$3&lt;=CU$7),ROUND(CU306*($AP$3+#REF!),-1),""))</f>
        <v/>
      </c>
      <c r="CW306" s="517"/>
      <c r="CX306" s="503" t="str">
        <f>IF($G306="","",IF(AND($G306&gt;=30,$AT$3&lt;=CW$7),ROUND(CW306*($AP$3+#REF!),-1),""))</f>
        <v/>
      </c>
      <c r="CY306" s="517"/>
      <c r="CZ306" s="503" t="str">
        <f>IF($G306="","",IF(AND($G306&gt;=30,$AT$3&lt;=CY$7),ROUND(CY306*($AP$3+#REF!),-1),""))</f>
        <v/>
      </c>
      <c r="DA306" s="517"/>
      <c r="DB306" s="503" t="str">
        <f>IF($G306="","",IF(AND($G306&gt;=30,$AT$3&lt;=DA$7),ROUND(DA306*($AP$3+#REF!),-1),""))</f>
        <v/>
      </c>
      <c r="DC306" s="517"/>
      <c r="DD306" s="503" t="str">
        <f>IF($G306="","",IF(AND($G306&gt;=30,$AT$3&lt;=DC$7),ROUND(DC306*($AP$3+#REF!),-1),""))</f>
        <v/>
      </c>
      <c r="DE306" s="517"/>
      <c r="DF306" s="503" t="str">
        <f>IF($G306="","",IF(AND($G306&gt;=30,$AT$3&lt;=DE$7),ROUND(DE306*($AP$3+#REF!),-1),""))</f>
        <v/>
      </c>
      <c r="DG306" s="517"/>
      <c r="DH306" s="503" t="str">
        <f>IF($G306="","",IF(AND($G306&gt;=30,$AT$3&lt;=DG$7),ROUND(DG306*($AP$3+#REF!),-1),""))</f>
        <v/>
      </c>
      <c r="DI306" s="517"/>
      <c r="DJ306" s="503" t="str">
        <f>IF($G306="","",IF(AND($G306&gt;=30,$AT$3&lt;=DI$7),ROUND(DI306*($AP$3+#REF!),-1),""))</f>
        <v/>
      </c>
      <c r="DK306" s="517"/>
      <c r="DL306" s="503" t="str">
        <f>IF($G306="","",IF(AND($G306&gt;=30,$AT$3&lt;=DK$7),ROUND(DK306*($AP$3+#REF!),-1),""))</f>
        <v/>
      </c>
      <c r="DM306" s="517"/>
      <c r="DN306" s="503" t="str">
        <f>IF($G306="","",IF(AND($G306&gt;=30,$AT$3&lt;=DM$7),ROUND(DM306*($AP$3+#REF!),-1),""))</f>
        <v/>
      </c>
      <c r="DO306" s="517"/>
      <c r="DP306" s="503" t="str">
        <f>IF($G306="","",IF(AND($G306&gt;=30,$AT$3&lt;=DO$7),ROUND(DO306*($AP$3+#REF!),-1),""))</f>
        <v/>
      </c>
      <c r="DQ306" s="517"/>
      <c r="DR306" s="503" t="str">
        <f>IF($G306="","",IF(AND($G306&gt;=30,$AT$3&lt;=DQ$7),ROUND(DQ306*($AP$3+#REF!),-1),""))</f>
        <v/>
      </c>
      <c r="DS306" s="517"/>
      <c r="DT306" s="503" t="str">
        <f>IF($G306="","",IF(AND($G306&gt;=30,$AT$3&lt;=DS$7),ROUND(DS306*($AP$3+#REF!),-1),""))</f>
        <v/>
      </c>
      <c r="DU306" s="517"/>
      <c r="DV306" s="503" t="str">
        <f>IF($G306="","",IF(AND($G306&gt;=30,$AT$3&lt;=DU$7),ROUND(DU306*($AP$3+#REF!),-1),""))</f>
        <v/>
      </c>
      <c r="DW306" s="517"/>
      <c r="DX306" s="503" t="str">
        <f>IF($G306="","",IF(AND($G306&gt;=30,$AT$3&lt;=DW$7),ROUND(DW306*($AP$3+#REF!),-1),""))</f>
        <v/>
      </c>
      <c r="DY306" s="517"/>
      <c r="DZ306" s="503" t="str">
        <f>IF($G306="","",IF(AND($G306&gt;=30,$AT$3&lt;=DY$7),ROUND(DY306*($AP$3+#REF!),-1),""))</f>
        <v/>
      </c>
      <c r="EA306" s="517"/>
      <c r="EB306" s="503" t="str">
        <f>IF($G306="","",IF(AND($G306&gt;=30,$AT$3&lt;=EA$7),ROUND(EA306*($AP$3+#REF!),-1),""))</f>
        <v/>
      </c>
      <c r="EC306" s="504" t="s">
        <v>621</v>
      </c>
      <c r="ED306" s="1124"/>
      <c r="EE306" s="325">
        <v>10</v>
      </c>
    </row>
    <row r="307" spans="1:135" ht="9.75" customHeight="1">
      <c r="A307" s="321" t="str">
        <f t="shared" si="68"/>
        <v/>
      </c>
      <c r="B307" s="567">
        <f>(ii!$D$13*12+V307)+1</f>
        <v>201</v>
      </c>
      <c r="C307" s="337">
        <f t="shared" si="72"/>
        <v>51470</v>
      </c>
      <c r="D307" s="484">
        <f t="shared" si="75"/>
        <v>2040</v>
      </c>
      <c r="E307" s="484">
        <f t="shared" si="73"/>
        <v>0.91666666666666663</v>
      </c>
      <c r="F307" s="484">
        <f t="shared" si="76"/>
        <v>2040.9166666666667</v>
      </c>
      <c r="G307" s="485" t="str">
        <f>IF(OR(C307&lt;$I$2,C307&gt;$J$3),"",(ii!$D$13*12+V307+1)/12)</f>
        <v/>
      </c>
      <c r="H307" s="486"/>
      <c r="I307" s="486"/>
      <c r="J307" s="487"/>
      <c r="K307" s="488"/>
      <c r="L307" s="548"/>
      <c r="M307" s="489" t="str">
        <f t="shared" si="77"/>
        <v/>
      </c>
      <c r="N307" s="490" t="s">
        <v>621</v>
      </c>
      <c r="O307" s="490" t="str">
        <f t="shared" si="70"/>
        <v/>
      </c>
      <c r="P307" s="491"/>
      <c r="Q307" s="491"/>
      <c r="R307" s="491" t="str">
        <f t="shared" si="71"/>
        <v/>
      </c>
      <c r="S307" s="528" t="str">
        <f t="shared" si="69"/>
        <v/>
      </c>
      <c r="T307" s="528" t="str">
        <f t="shared" si="67"/>
        <v/>
      </c>
      <c r="U307" s="493" t="str">
        <f>IF(H307="","",#REF!*12+#REF!+#REF!*12+#REF!)</f>
        <v/>
      </c>
      <c r="V307" s="338">
        <f>IF(ii!$J$3&gt;gg!C307,"",IF(AND((YEAR(C307)=YEAR($I$2)),MONTH(C307)=MONTH($I$2)),ii!$B$14*12+ii!$C$14+ii!$B$15*12+ii!$C$15-1,V306+1))</f>
        <v>200</v>
      </c>
      <c r="W307" s="339">
        <f t="shared" si="74"/>
        <v>16.666666666666668</v>
      </c>
      <c r="X307" s="494" t="s">
        <v>621</v>
      </c>
      <c r="Y307" s="495" t="s">
        <v>621</v>
      </c>
      <c r="Z307" s="496"/>
      <c r="AA307" s="497"/>
      <c r="AB307" s="498" t="e">
        <f t="shared" si="80"/>
        <v>#VALUE!</v>
      </c>
      <c r="AC307" s="484" t="str">
        <f t="shared" si="78"/>
        <v/>
      </c>
      <c r="AD307" s="495" t="str">
        <f t="shared" si="79"/>
        <v/>
      </c>
      <c r="AE307" s="499" t="s">
        <v>621</v>
      </c>
      <c r="AF307" s="500" t="s">
        <v>621</v>
      </c>
      <c r="AG307" s="556" t="s">
        <v>621</v>
      </c>
      <c r="AH307" s="503" t="str">
        <f>IF($G307="","",IF(AND($G307&gt;=30,$AT$3&lt;=AG$7),ROUND(AG307*($AP$3+#REF!),-1),""))</f>
        <v/>
      </c>
      <c r="AI307" s="506" t="s">
        <v>621</v>
      </c>
      <c r="AJ307" s="503" t="str">
        <f>IF($G307="","",IF(AND($G307&gt;=30,$AT$3&lt;=AI$7),ROUND(AI307*($AP$3+#REF!),-1),""))</f>
        <v/>
      </c>
      <c r="AK307" s="506" t="s">
        <v>621</v>
      </c>
      <c r="AL307" s="503" t="str">
        <f>IF($G307="","",IF(AND($G307&gt;=30,$AT$3&lt;=AK$7),ROUND(AK307*($AP$3+#REF!),-1),""))</f>
        <v/>
      </c>
      <c r="AM307" s="506" t="s">
        <v>621</v>
      </c>
      <c r="AN307" s="503" t="str">
        <f>IF($G307="","",IF(AND($G307&gt;=30,$AT$3&lt;=AM$7),ROUND(AM307*($AP$3+#REF!),-1),""))</f>
        <v/>
      </c>
      <c r="AO307" s="503" t="e">
        <v>#REF!</v>
      </c>
      <c r="AP307" s="503" t="str">
        <f>IF($G307="","",IF(AND($G307&gt;=30,$AT$3&lt;=AO$7),ROUND(AO307*($AP$3+#REF!),-1),""))</f>
        <v/>
      </c>
      <c r="AQ307" s="503" t="s">
        <v>621</v>
      </c>
      <c r="AR307" s="503" t="str">
        <f>IF($G307="","",IF(AND($G307&gt;=30,$AT$3&lt;=AQ$7),ROUND(AQ307*($AP$3+#REF!),-1),""))</f>
        <v/>
      </c>
      <c r="AS307" s="503" t="s">
        <v>621</v>
      </c>
      <c r="AT307" s="503" t="str">
        <f>IF($G307="","",IF(AND($G307&gt;=30,$AT$3&lt;=AS$7),ROUND(AS307*($AP$3+#REF!),-1),""))</f>
        <v/>
      </c>
      <c r="AU307" s="503" t="s">
        <v>621</v>
      </c>
      <c r="AV307" s="503" t="str">
        <f>IF($G307="","",IF(AND($G307&gt;=30,$AT$3&lt;=AU$7),ROUND(AU307*($AP$3+#REF!),-1),""))</f>
        <v/>
      </c>
      <c r="AW307" s="503" t="s">
        <v>621</v>
      </c>
      <c r="AX307" s="503" t="str">
        <f>IF($G307="","",IF(AND($G307&gt;=30,$AT$3&lt;=AW$7),ROUND(AW307*($AP$3+#REF!),-1),""))</f>
        <v/>
      </c>
      <c r="AY307" s="503" t="s">
        <v>621</v>
      </c>
      <c r="AZ307" s="503" t="str">
        <f>IF($G307="","",IF(AND($G307&gt;=30,$AT$3&lt;=AY$7),ROUND(AY307*($AP$3+#REF!),-1),""))</f>
        <v/>
      </c>
      <c r="BA307" s="503" t="s">
        <v>621</v>
      </c>
      <c r="BB307" s="503" t="str">
        <f>IF($G307="","",IF(AND($G307&gt;=30,$AT$3&lt;=BA$7),ROUND(BA307*($AP$3+#REF!),-1),""))</f>
        <v/>
      </c>
      <c r="BC307" s="503" t="s">
        <v>621</v>
      </c>
      <c r="BD307" s="503" t="str">
        <f>IF($G307="","",IF(AND($G307&gt;=30,$AT$3&lt;=BC$7),ROUND(BC307*($AP$3+#REF!),-1),""))</f>
        <v/>
      </c>
      <c r="BE307" s="503" t="s">
        <v>621</v>
      </c>
      <c r="BF307" s="503" t="str">
        <f>IF($G307="","",IF(AND($G307&gt;=30,$AT$3&lt;=BE$7),ROUND(BE307*($AP$3+#REF!),-1),""))</f>
        <v/>
      </c>
      <c r="BG307" s="503" t="s">
        <v>621</v>
      </c>
      <c r="BH307" s="503" t="str">
        <f>IF($G307="","",IF(AND($G307&gt;=30,$AT$3&lt;=BG$7),ROUND(BG307*($AP$3+#REF!),-1),""))</f>
        <v/>
      </c>
      <c r="BI307" s="503" t="s">
        <v>621</v>
      </c>
      <c r="BJ307" s="503" t="str">
        <f>IF($G307="","",IF(AND($G307&gt;=30,$AT$3&lt;=BI$7),ROUND(BI307*($AP$3+#REF!),-1),""))</f>
        <v/>
      </c>
      <c r="BK307" s="503" t="s">
        <v>621</v>
      </c>
      <c r="BL307" s="503" t="str">
        <f>IF($G307="","",IF(AND($G307&gt;=30,$AT$3&lt;=BK$7),ROUND(BK307*($AP$3+#REF!),-1),""))</f>
        <v/>
      </c>
      <c r="BM307" s="503" t="s">
        <v>621</v>
      </c>
      <c r="BN307" s="503" t="str">
        <f>IF($G307="","",IF(AND($G307&gt;=30,$AT$3&lt;=BM$7),ROUND(BM307*($AP$3+#REF!),-1),""))</f>
        <v/>
      </c>
      <c r="BO307" s="503" t="s">
        <v>621</v>
      </c>
      <c r="BP307" s="503" t="str">
        <f>IF($G307="","",IF(AND($G307&gt;=30,$AT$3&lt;=BO$7),ROUND(BO307*($AP$3+#REF!),-1),""))</f>
        <v/>
      </c>
      <c r="BQ307" s="503" t="s">
        <v>621</v>
      </c>
      <c r="BR307" s="503" t="str">
        <f>IF($G307="","",IF(AND($G307&gt;=30,$AT$3&lt;=BQ$7),ROUND(BQ307*($AP$3+#REF!),-1),""))</f>
        <v/>
      </c>
      <c r="BS307" s="503" t="s">
        <v>621</v>
      </c>
      <c r="BT307" s="503" t="str">
        <f>IF($G307="","",IF(AND($G307&gt;=30,$AT$3&lt;=BS$7),ROUND(BS307*($AP$3+#REF!),-1),""))</f>
        <v/>
      </c>
      <c r="BU307" s="503" t="s">
        <v>621</v>
      </c>
      <c r="BV307" s="503" t="str">
        <f>IF($G307="","",IF(AND($G307&gt;=30,$AT$3&lt;=BU$7),ROUND(BU307*($AP$3+#REF!),-1),""))</f>
        <v/>
      </c>
      <c r="BW307" s="503" t="s">
        <v>621</v>
      </c>
      <c r="BX307" s="503" t="str">
        <f>IF($G307="","",IF(AND($G307&gt;=30,$AT$3&lt;=BW$7),ROUND(BW307*($AP$3+#REF!),-1),""))</f>
        <v/>
      </c>
      <c r="BY307" s="503" t="s">
        <v>621</v>
      </c>
      <c r="BZ307" s="503" t="str">
        <f>IF($G307="","",IF(AND($G307&gt;=30,$AT$3&lt;=BY$7),ROUND(BY307*($AP$3+#REF!),-1),""))</f>
        <v/>
      </c>
      <c r="CA307" s="503" t="s">
        <v>621</v>
      </c>
      <c r="CB307" s="503" t="str">
        <f>IF($G307="","",IF(AND($G307&gt;=30,$AT$3&lt;=CA$7),ROUND(CA307*($AP$3+#REF!),-1),""))</f>
        <v/>
      </c>
      <c r="CC307" s="517" t="e">
        <v>#REF!</v>
      </c>
      <c r="CD307" s="503" t="str">
        <f>IF($G307="","",IF(AND($G307&gt;=30,$AT$3&lt;=CC$7),ROUND(CC307*($AP$3+#REF!),-1),""))</f>
        <v/>
      </c>
      <c r="CE307" s="517"/>
      <c r="CF307" s="503" t="str">
        <f>IF($G307="","",IF(AND($G307&gt;=30,$AT$3&lt;=CE$7),ROUND(CE307*($AP$3+#REF!),-1),""))</f>
        <v/>
      </c>
      <c r="CG307" s="517"/>
      <c r="CH307" s="503" t="str">
        <f>IF($G307="","",IF(AND($G307&gt;=30,$AT$3&lt;=CG$7),ROUND(CG307*($AP$3+#REF!),-1),""))</f>
        <v/>
      </c>
      <c r="CI307" s="517"/>
      <c r="CJ307" s="503" t="str">
        <f>IF($G307="","",IF(AND($G307&gt;=30,$AT$3&lt;=CI$7),ROUND(CI307*($AP$3+#REF!),-1),""))</f>
        <v/>
      </c>
      <c r="CK307" s="517"/>
      <c r="CL307" s="503" t="str">
        <f>IF($G307="","",IF(AND($G307&gt;=30,$AT$3&lt;=CK$7),ROUND(CK307*($AP$3+#REF!),-1),""))</f>
        <v/>
      </c>
      <c r="CM307" s="517"/>
      <c r="CN307" s="503" t="str">
        <f>IF($G307="","",IF(AND($G307&gt;=30,$AT$3&lt;=CM$7),ROUND(CM307*($AP$3+#REF!),-1),""))</f>
        <v/>
      </c>
      <c r="CO307" s="517"/>
      <c r="CP307" s="503" t="str">
        <f>IF($G307="","",IF(AND($G307&gt;=30,$AT$3&lt;=CO$7),ROUND(CO307*($AP$3+#REF!),-1),""))</f>
        <v/>
      </c>
      <c r="CQ307" s="517"/>
      <c r="CR307" s="503" t="str">
        <f>IF($G307="","",IF(AND($G307&gt;=30,$AT$3&lt;=CQ$7),ROUND(CQ307*($AP$3+#REF!),-1),""))</f>
        <v/>
      </c>
      <c r="CS307" s="517"/>
      <c r="CT307" s="503" t="str">
        <f>IF($G307="","",IF(AND($G307&gt;=30,$AT$3&lt;=CS$7),ROUND(CS307*($AP$3+#REF!),-1),""))</f>
        <v/>
      </c>
      <c r="CU307" s="517"/>
      <c r="CV307" s="503" t="str">
        <f>IF($G307="","",IF(AND($G307&gt;=30,$AT$3&lt;=CU$7),ROUND(CU307*($AP$3+#REF!),-1),""))</f>
        <v/>
      </c>
      <c r="CW307" s="517"/>
      <c r="CX307" s="503" t="str">
        <f>IF($G307="","",IF(AND($G307&gt;=30,$AT$3&lt;=CW$7),ROUND(CW307*($AP$3+#REF!),-1),""))</f>
        <v/>
      </c>
      <c r="CY307" s="517"/>
      <c r="CZ307" s="503" t="str">
        <f>IF($G307="","",IF(AND($G307&gt;=30,$AT$3&lt;=CY$7),ROUND(CY307*($AP$3+#REF!),-1),""))</f>
        <v/>
      </c>
      <c r="DA307" s="517"/>
      <c r="DB307" s="503" t="str">
        <f>IF($G307="","",IF(AND($G307&gt;=30,$AT$3&lt;=DA$7),ROUND(DA307*($AP$3+#REF!),-1),""))</f>
        <v/>
      </c>
      <c r="DC307" s="517"/>
      <c r="DD307" s="503" t="str">
        <f>IF($G307="","",IF(AND($G307&gt;=30,$AT$3&lt;=DC$7),ROUND(DC307*($AP$3+#REF!),-1),""))</f>
        <v/>
      </c>
      <c r="DE307" s="517"/>
      <c r="DF307" s="503" t="str">
        <f>IF($G307="","",IF(AND($G307&gt;=30,$AT$3&lt;=DE$7),ROUND(DE307*($AP$3+#REF!),-1),""))</f>
        <v/>
      </c>
      <c r="DG307" s="517"/>
      <c r="DH307" s="503" t="str">
        <f>IF($G307="","",IF(AND($G307&gt;=30,$AT$3&lt;=DG$7),ROUND(DG307*($AP$3+#REF!),-1),""))</f>
        <v/>
      </c>
      <c r="DI307" s="517"/>
      <c r="DJ307" s="503" t="str">
        <f>IF($G307="","",IF(AND($G307&gt;=30,$AT$3&lt;=DI$7),ROUND(DI307*($AP$3+#REF!),-1),""))</f>
        <v/>
      </c>
      <c r="DK307" s="517"/>
      <c r="DL307" s="503" t="str">
        <f>IF($G307="","",IF(AND($G307&gt;=30,$AT$3&lt;=DK$7),ROUND(DK307*($AP$3+#REF!),-1),""))</f>
        <v/>
      </c>
      <c r="DM307" s="517"/>
      <c r="DN307" s="503" t="str">
        <f>IF($G307="","",IF(AND($G307&gt;=30,$AT$3&lt;=DM$7),ROUND(DM307*($AP$3+#REF!),-1),""))</f>
        <v/>
      </c>
      <c r="DO307" s="517"/>
      <c r="DP307" s="503" t="str">
        <f>IF($G307="","",IF(AND($G307&gt;=30,$AT$3&lt;=DO$7),ROUND(DO307*($AP$3+#REF!),-1),""))</f>
        <v/>
      </c>
      <c r="DQ307" s="517"/>
      <c r="DR307" s="503" t="str">
        <f>IF($G307="","",IF(AND($G307&gt;=30,$AT$3&lt;=DQ$7),ROUND(DQ307*($AP$3+#REF!),-1),""))</f>
        <v/>
      </c>
      <c r="DS307" s="517"/>
      <c r="DT307" s="503" t="str">
        <f>IF($G307="","",IF(AND($G307&gt;=30,$AT$3&lt;=DS$7),ROUND(DS307*($AP$3+#REF!),-1),""))</f>
        <v/>
      </c>
      <c r="DU307" s="517"/>
      <c r="DV307" s="503" t="str">
        <f>IF($G307="","",IF(AND($G307&gt;=30,$AT$3&lt;=DU$7),ROUND(DU307*($AP$3+#REF!),-1),""))</f>
        <v/>
      </c>
      <c r="DW307" s="517"/>
      <c r="DX307" s="503" t="str">
        <f>IF($G307="","",IF(AND($G307&gt;=30,$AT$3&lt;=DW$7),ROUND(DW307*($AP$3+#REF!),-1),""))</f>
        <v/>
      </c>
      <c r="DY307" s="517"/>
      <c r="DZ307" s="503" t="str">
        <f>IF($G307="","",IF(AND($G307&gt;=30,$AT$3&lt;=DY$7),ROUND(DY307*($AP$3+#REF!),-1),""))</f>
        <v/>
      </c>
      <c r="EA307" s="517"/>
      <c r="EB307" s="503" t="str">
        <f>IF($G307="","",IF(AND($G307&gt;=30,$AT$3&lt;=EA$7),ROUND(EA307*($AP$3+#REF!),-1),""))</f>
        <v/>
      </c>
      <c r="EC307" s="504" t="s">
        <v>621</v>
      </c>
      <c r="ED307" s="1124"/>
      <c r="EE307" s="325">
        <v>11</v>
      </c>
    </row>
    <row r="308" spans="1:135" ht="9.75" customHeight="1">
      <c r="A308" s="321" t="str">
        <f t="shared" si="68"/>
        <v/>
      </c>
      <c r="B308" s="567">
        <f>(ii!$D$13*12+V308)+1</f>
        <v>202</v>
      </c>
      <c r="C308" s="337">
        <f t="shared" si="72"/>
        <v>51501</v>
      </c>
      <c r="D308" s="484">
        <f t="shared" si="75"/>
        <v>2040</v>
      </c>
      <c r="E308" s="484">
        <f t="shared" si="73"/>
        <v>1</v>
      </c>
      <c r="F308" s="484">
        <f t="shared" si="76"/>
        <v>2041</v>
      </c>
      <c r="G308" s="485" t="str">
        <f>IF(OR(C308&lt;$I$2,C308&gt;$J$3),"",(ii!$D$13*12+V308+1)/12)</f>
        <v/>
      </c>
      <c r="H308" s="486"/>
      <c r="I308" s="486"/>
      <c r="J308" s="487"/>
      <c r="K308" s="488"/>
      <c r="L308" s="548"/>
      <c r="M308" s="489" t="str">
        <f t="shared" si="77"/>
        <v/>
      </c>
      <c r="N308" s="490" t="s">
        <v>621</v>
      </c>
      <c r="O308" s="490" t="str">
        <f t="shared" si="70"/>
        <v/>
      </c>
      <c r="P308" s="491"/>
      <c r="Q308" s="491"/>
      <c r="R308" s="491" t="str">
        <f t="shared" si="71"/>
        <v/>
      </c>
      <c r="S308" s="528" t="str">
        <f t="shared" si="69"/>
        <v/>
      </c>
      <c r="T308" s="528" t="str">
        <f t="shared" si="67"/>
        <v/>
      </c>
      <c r="U308" s="493" t="str">
        <f>IF(H308="","",#REF!*12+#REF!+#REF!*12+#REF!)</f>
        <v/>
      </c>
      <c r="V308" s="338">
        <f>IF(ii!$J$3&gt;gg!C308,"",IF(AND((YEAR(C308)=YEAR($I$2)),MONTH(C308)=MONTH($I$2)),ii!$B$14*12+ii!$C$14+ii!$B$15*12+ii!$C$15-1,V307+1))</f>
        <v>201</v>
      </c>
      <c r="W308" s="339">
        <f t="shared" si="74"/>
        <v>16.75</v>
      </c>
      <c r="X308" s="494" t="s">
        <v>621</v>
      </c>
      <c r="Y308" s="495" t="s">
        <v>621</v>
      </c>
      <c r="Z308" s="496"/>
      <c r="AA308" s="497"/>
      <c r="AB308" s="498" t="e">
        <f t="shared" si="80"/>
        <v>#VALUE!</v>
      </c>
      <c r="AC308" s="484" t="str">
        <f t="shared" si="78"/>
        <v/>
      </c>
      <c r="AD308" s="495" t="str">
        <f t="shared" si="79"/>
        <v/>
      </c>
      <c r="AE308" s="499" t="s">
        <v>621</v>
      </c>
      <c r="AF308" s="500" t="s">
        <v>621</v>
      </c>
      <c r="AG308" s="556" t="s">
        <v>621</v>
      </c>
      <c r="AH308" s="503" t="str">
        <f>IF($G308="","",IF(AND($G308&gt;=30,$AT$3&lt;=AG$7),ROUND(AG308*($AP$3+#REF!),-1),""))</f>
        <v/>
      </c>
      <c r="AI308" s="506" t="s">
        <v>621</v>
      </c>
      <c r="AJ308" s="503" t="str">
        <f>IF($G308="","",IF(AND($G308&gt;=30,$AT$3&lt;=AI$7),ROUND(AI308*($AP$3+#REF!),-1),""))</f>
        <v/>
      </c>
      <c r="AK308" s="506" t="s">
        <v>621</v>
      </c>
      <c r="AL308" s="503" t="str">
        <f>IF($G308="","",IF(AND($G308&gt;=30,$AT$3&lt;=AK$7),ROUND(AK308*($AP$3+#REF!),-1),""))</f>
        <v/>
      </c>
      <c r="AM308" s="506" t="s">
        <v>621</v>
      </c>
      <c r="AN308" s="503" t="str">
        <f>IF($G308="","",IF(AND($G308&gt;=30,$AT$3&lt;=AM$7),ROUND(AM308*($AP$3+#REF!),-1),""))</f>
        <v/>
      </c>
      <c r="AO308" s="503" t="e">
        <v>#REF!</v>
      </c>
      <c r="AP308" s="503" t="str">
        <f>IF($G308="","",IF(AND($G308&gt;=30,$AT$3&lt;=AO$7),ROUND(AO308*($AP$3+#REF!),-1),""))</f>
        <v/>
      </c>
      <c r="AQ308" s="503" t="s">
        <v>621</v>
      </c>
      <c r="AR308" s="503" t="str">
        <f>IF($G308="","",IF(AND($G308&gt;=30,$AT$3&lt;=AQ$7),ROUND(AQ308*($AP$3+#REF!),-1),""))</f>
        <v/>
      </c>
      <c r="AS308" s="503" t="s">
        <v>621</v>
      </c>
      <c r="AT308" s="503" t="str">
        <f>IF($G308="","",IF(AND($G308&gt;=30,$AT$3&lt;=AS$7),ROUND(AS308*($AP$3+#REF!),-1),""))</f>
        <v/>
      </c>
      <c r="AU308" s="503" t="s">
        <v>621</v>
      </c>
      <c r="AV308" s="503" t="str">
        <f>IF($G308="","",IF(AND($G308&gt;=30,$AT$3&lt;=AU$7),ROUND(AU308*($AP$3+#REF!),-1),""))</f>
        <v/>
      </c>
      <c r="AW308" s="503" t="s">
        <v>621</v>
      </c>
      <c r="AX308" s="503" t="str">
        <f>IF($G308="","",IF(AND($G308&gt;=30,$AT$3&lt;=AW$7),ROUND(AW308*($AP$3+#REF!),-1),""))</f>
        <v/>
      </c>
      <c r="AY308" s="503" t="s">
        <v>621</v>
      </c>
      <c r="AZ308" s="503" t="str">
        <f>IF($G308="","",IF(AND($G308&gt;=30,$AT$3&lt;=AY$7),ROUND(AY308*($AP$3+#REF!),-1),""))</f>
        <v/>
      </c>
      <c r="BA308" s="503" t="s">
        <v>621</v>
      </c>
      <c r="BB308" s="503" t="str">
        <f>IF($G308="","",IF(AND($G308&gt;=30,$AT$3&lt;=BA$7),ROUND(BA308*($AP$3+#REF!),-1),""))</f>
        <v/>
      </c>
      <c r="BC308" s="503" t="s">
        <v>621</v>
      </c>
      <c r="BD308" s="503" t="str">
        <f>IF($G308="","",IF(AND($G308&gt;=30,$AT$3&lt;=BC$7),ROUND(BC308*($AP$3+#REF!),-1),""))</f>
        <v/>
      </c>
      <c r="BE308" s="503" t="s">
        <v>621</v>
      </c>
      <c r="BF308" s="503" t="str">
        <f>IF($G308="","",IF(AND($G308&gt;=30,$AT$3&lt;=BE$7),ROUND(BE308*($AP$3+#REF!),-1),""))</f>
        <v/>
      </c>
      <c r="BG308" s="503" t="s">
        <v>621</v>
      </c>
      <c r="BH308" s="503" t="str">
        <f>IF($G308="","",IF(AND($G308&gt;=30,$AT$3&lt;=BG$7),ROUND(BG308*($AP$3+#REF!),-1),""))</f>
        <v/>
      </c>
      <c r="BI308" s="503" t="s">
        <v>621</v>
      </c>
      <c r="BJ308" s="503" t="str">
        <f>IF($G308="","",IF(AND($G308&gt;=30,$AT$3&lt;=BI$7),ROUND(BI308*($AP$3+#REF!),-1),""))</f>
        <v/>
      </c>
      <c r="BK308" s="503" t="s">
        <v>621</v>
      </c>
      <c r="BL308" s="503" t="str">
        <f>IF($G308="","",IF(AND($G308&gt;=30,$AT$3&lt;=BK$7),ROUND(BK308*($AP$3+#REF!),-1),""))</f>
        <v/>
      </c>
      <c r="BM308" s="503" t="s">
        <v>621</v>
      </c>
      <c r="BN308" s="503" t="str">
        <f>IF($G308="","",IF(AND($G308&gt;=30,$AT$3&lt;=BM$7),ROUND(BM308*($AP$3+#REF!),-1),""))</f>
        <v/>
      </c>
      <c r="BO308" s="503" t="s">
        <v>621</v>
      </c>
      <c r="BP308" s="503" t="str">
        <f>IF($G308="","",IF(AND($G308&gt;=30,$AT$3&lt;=BO$7),ROUND(BO308*($AP$3+#REF!),-1),""))</f>
        <v/>
      </c>
      <c r="BQ308" s="503" t="s">
        <v>621</v>
      </c>
      <c r="BR308" s="503" t="str">
        <f>IF($G308="","",IF(AND($G308&gt;=30,$AT$3&lt;=BQ$7),ROUND(BQ308*($AP$3+#REF!),-1),""))</f>
        <v/>
      </c>
      <c r="BS308" s="503" t="s">
        <v>621</v>
      </c>
      <c r="BT308" s="503" t="str">
        <f>IF($G308="","",IF(AND($G308&gt;=30,$AT$3&lt;=BS$7),ROUND(BS308*($AP$3+#REF!),-1),""))</f>
        <v/>
      </c>
      <c r="BU308" s="503" t="s">
        <v>621</v>
      </c>
      <c r="BV308" s="503" t="str">
        <f>IF($G308="","",IF(AND($G308&gt;=30,$AT$3&lt;=BU$7),ROUND(BU308*($AP$3+#REF!),-1),""))</f>
        <v/>
      </c>
      <c r="BW308" s="503" t="s">
        <v>621</v>
      </c>
      <c r="BX308" s="503" t="str">
        <f>IF($G308="","",IF(AND($G308&gt;=30,$AT$3&lt;=BW$7),ROUND(BW308*($AP$3+#REF!),-1),""))</f>
        <v/>
      </c>
      <c r="BY308" s="503" t="s">
        <v>621</v>
      </c>
      <c r="BZ308" s="503" t="str">
        <f>IF($G308="","",IF(AND($G308&gt;=30,$AT$3&lt;=BY$7),ROUND(BY308*($AP$3+#REF!),-1),""))</f>
        <v/>
      </c>
      <c r="CA308" s="503" t="s">
        <v>621</v>
      </c>
      <c r="CB308" s="503" t="str">
        <f>IF($G308="","",IF(AND($G308&gt;=30,$AT$3&lt;=CA$7),ROUND(CA308*($AP$3+#REF!),-1),""))</f>
        <v/>
      </c>
      <c r="CC308" s="517" t="e">
        <v>#REF!</v>
      </c>
      <c r="CD308" s="503" t="str">
        <f>IF($G308="","",IF(AND($G308&gt;=30,$AT$3&lt;=CC$7),ROUND(CC308*($AP$3+#REF!),-1),""))</f>
        <v/>
      </c>
      <c r="CE308" s="517"/>
      <c r="CF308" s="503" t="str">
        <f>IF($G308="","",IF(AND($G308&gt;=30,$AT$3&lt;=CE$7),ROUND(CE308*($AP$3+#REF!),-1),""))</f>
        <v/>
      </c>
      <c r="CG308" s="517"/>
      <c r="CH308" s="503" t="str">
        <f>IF($G308="","",IF(AND($G308&gt;=30,$AT$3&lt;=CG$7),ROUND(CG308*($AP$3+#REF!),-1),""))</f>
        <v/>
      </c>
      <c r="CI308" s="517"/>
      <c r="CJ308" s="503" t="str">
        <f>IF($G308="","",IF(AND($G308&gt;=30,$AT$3&lt;=CI$7),ROUND(CI308*($AP$3+#REF!),-1),""))</f>
        <v/>
      </c>
      <c r="CK308" s="517"/>
      <c r="CL308" s="503" t="str">
        <f>IF($G308="","",IF(AND($G308&gt;=30,$AT$3&lt;=CK$7),ROUND(CK308*($AP$3+#REF!),-1),""))</f>
        <v/>
      </c>
      <c r="CM308" s="517"/>
      <c r="CN308" s="503" t="str">
        <f>IF($G308="","",IF(AND($G308&gt;=30,$AT$3&lt;=CM$7),ROUND(CM308*($AP$3+#REF!),-1),""))</f>
        <v/>
      </c>
      <c r="CO308" s="517"/>
      <c r="CP308" s="503" t="str">
        <f>IF($G308="","",IF(AND($G308&gt;=30,$AT$3&lt;=CO$7),ROUND(CO308*($AP$3+#REF!),-1),""))</f>
        <v/>
      </c>
      <c r="CQ308" s="517"/>
      <c r="CR308" s="503" t="str">
        <f>IF($G308="","",IF(AND($G308&gt;=30,$AT$3&lt;=CQ$7),ROUND(CQ308*($AP$3+#REF!),-1),""))</f>
        <v/>
      </c>
      <c r="CS308" s="517"/>
      <c r="CT308" s="503" t="str">
        <f>IF($G308="","",IF(AND($G308&gt;=30,$AT$3&lt;=CS$7),ROUND(CS308*($AP$3+#REF!),-1),""))</f>
        <v/>
      </c>
      <c r="CU308" s="517"/>
      <c r="CV308" s="503" t="str">
        <f>IF($G308="","",IF(AND($G308&gt;=30,$AT$3&lt;=CU$7),ROUND(CU308*($AP$3+#REF!),-1),""))</f>
        <v/>
      </c>
      <c r="CW308" s="517"/>
      <c r="CX308" s="503" t="str">
        <f>IF($G308="","",IF(AND($G308&gt;=30,$AT$3&lt;=CW$7),ROUND(CW308*($AP$3+#REF!),-1),""))</f>
        <v/>
      </c>
      <c r="CY308" s="517"/>
      <c r="CZ308" s="503" t="str">
        <f>IF($G308="","",IF(AND($G308&gt;=30,$AT$3&lt;=CY$7),ROUND(CY308*($AP$3+#REF!),-1),""))</f>
        <v/>
      </c>
      <c r="DA308" s="517"/>
      <c r="DB308" s="503" t="str">
        <f>IF($G308="","",IF(AND($G308&gt;=30,$AT$3&lt;=DA$7),ROUND(DA308*($AP$3+#REF!),-1),""))</f>
        <v/>
      </c>
      <c r="DC308" s="517"/>
      <c r="DD308" s="503" t="str">
        <f>IF($G308="","",IF(AND($G308&gt;=30,$AT$3&lt;=DC$7),ROUND(DC308*($AP$3+#REF!),-1),""))</f>
        <v/>
      </c>
      <c r="DE308" s="517"/>
      <c r="DF308" s="503" t="str">
        <f>IF($G308="","",IF(AND($G308&gt;=30,$AT$3&lt;=DE$7),ROUND(DE308*($AP$3+#REF!),-1),""))</f>
        <v/>
      </c>
      <c r="DG308" s="517"/>
      <c r="DH308" s="503" t="str">
        <f>IF($G308="","",IF(AND($G308&gt;=30,$AT$3&lt;=DG$7),ROUND(DG308*($AP$3+#REF!),-1),""))</f>
        <v/>
      </c>
      <c r="DI308" s="517"/>
      <c r="DJ308" s="503" t="str">
        <f>IF($G308="","",IF(AND($G308&gt;=30,$AT$3&lt;=DI$7),ROUND(DI308*($AP$3+#REF!),-1),""))</f>
        <v/>
      </c>
      <c r="DK308" s="517"/>
      <c r="DL308" s="503" t="str">
        <f>IF($G308="","",IF(AND($G308&gt;=30,$AT$3&lt;=DK$7),ROUND(DK308*($AP$3+#REF!),-1),""))</f>
        <v/>
      </c>
      <c r="DM308" s="517"/>
      <c r="DN308" s="503" t="str">
        <f>IF($G308="","",IF(AND($G308&gt;=30,$AT$3&lt;=DM$7),ROUND(DM308*($AP$3+#REF!),-1),""))</f>
        <v/>
      </c>
      <c r="DO308" s="517"/>
      <c r="DP308" s="503" t="str">
        <f>IF($G308="","",IF(AND($G308&gt;=30,$AT$3&lt;=DO$7),ROUND(DO308*($AP$3+#REF!),-1),""))</f>
        <v/>
      </c>
      <c r="DQ308" s="517"/>
      <c r="DR308" s="503" t="str">
        <f>IF($G308="","",IF(AND($G308&gt;=30,$AT$3&lt;=DQ$7),ROUND(DQ308*($AP$3+#REF!),-1),""))</f>
        <v/>
      </c>
      <c r="DS308" s="517"/>
      <c r="DT308" s="503" t="str">
        <f>IF($G308="","",IF(AND($G308&gt;=30,$AT$3&lt;=DS$7),ROUND(DS308*($AP$3+#REF!),-1),""))</f>
        <v/>
      </c>
      <c r="DU308" s="517"/>
      <c r="DV308" s="503" t="str">
        <f>IF($G308="","",IF(AND($G308&gt;=30,$AT$3&lt;=DU$7),ROUND(DU308*($AP$3+#REF!),-1),""))</f>
        <v/>
      </c>
      <c r="DW308" s="517"/>
      <c r="DX308" s="503" t="str">
        <f>IF($G308="","",IF(AND($G308&gt;=30,$AT$3&lt;=DW$7),ROUND(DW308*($AP$3+#REF!),-1),""))</f>
        <v/>
      </c>
      <c r="DY308" s="517"/>
      <c r="DZ308" s="503" t="str">
        <f>IF($G308="","",IF(AND($G308&gt;=30,$AT$3&lt;=DY$7),ROUND(DY308*($AP$3+#REF!),-1),""))</f>
        <v/>
      </c>
      <c r="EA308" s="517"/>
      <c r="EB308" s="503" t="str">
        <f>IF($G308="","",IF(AND($G308&gt;=30,$AT$3&lt;=EA$7),ROUND(EA308*($AP$3+#REF!),-1),""))</f>
        <v/>
      </c>
      <c r="EC308" s="504" t="s">
        <v>621</v>
      </c>
      <c r="ED308" s="1125"/>
      <c r="EE308" s="325">
        <v>12</v>
      </c>
    </row>
    <row r="309" spans="1:135" ht="9.75" customHeight="1">
      <c r="A309" s="321" t="str">
        <f t="shared" si="68"/>
        <v/>
      </c>
      <c r="B309" s="567">
        <f>(ii!$D$13*12+V309)+1</f>
        <v>203</v>
      </c>
      <c r="C309" s="345">
        <f t="shared" si="72"/>
        <v>51532</v>
      </c>
      <c r="D309" s="340">
        <f t="shared" si="75"/>
        <v>2041</v>
      </c>
      <c r="E309" s="340">
        <f t="shared" si="73"/>
        <v>8.3333333333333329E-2</v>
      </c>
      <c r="F309" s="340">
        <f t="shared" si="76"/>
        <v>2041.0833333333333</v>
      </c>
      <c r="G309" s="531" t="str">
        <f>IF(OR(C309&lt;$I$2,C309&gt;$J$3),"",(ii!$D$13*12+V309+1)/12)</f>
        <v/>
      </c>
      <c r="H309" s="532"/>
      <c r="I309" s="532"/>
      <c r="J309" s="533"/>
      <c r="K309" s="553"/>
      <c r="L309" s="534"/>
      <c r="M309" s="489" t="str">
        <f t="shared" si="77"/>
        <v/>
      </c>
      <c r="N309" s="536" t="s">
        <v>621</v>
      </c>
      <c r="O309" s="490" t="str">
        <f t="shared" si="70"/>
        <v/>
      </c>
      <c r="P309" s="537"/>
      <c r="Q309" s="537"/>
      <c r="R309" s="533" t="str">
        <f t="shared" si="71"/>
        <v/>
      </c>
      <c r="S309" s="538" t="str">
        <f t="shared" si="69"/>
        <v/>
      </c>
      <c r="T309" s="538" t="str">
        <f t="shared" si="67"/>
        <v/>
      </c>
      <c r="U309" s="539" t="str">
        <f>IF(H309="","",#REF!*12+#REF!+#REF!*12+#REF!)</f>
        <v/>
      </c>
      <c r="V309" s="338">
        <f>IF(ii!$J$3&gt;gg!C309,"",IF(AND((YEAR(C309)=YEAR($I$2)),MONTH(C309)=MONTH($I$2)),ii!$B$14*12+ii!$C$14+ii!$B$15*12+ii!$C$15-1,V308+1))</f>
        <v>202</v>
      </c>
      <c r="W309" s="339">
        <f t="shared" si="74"/>
        <v>16.833333333333332</v>
      </c>
      <c r="X309" s="540" t="s">
        <v>621</v>
      </c>
      <c r="Y309" s="538" t="s">
        <v>621</v>
      </c>
      <c r="Z309" s="541">
        <f>Z297+$Z$26</f>
        <v>0.69000000000000039</v>
      </c>
      <c r="AA309" s="542" t="str">
        <f>IF(Y309="","",(Y309-Y308)/Y308)</f>
        <v/>
      </c>
      <c r="AB309" s="543" t="e">
        <f t="shared" si="80"/>
        <v>#VALUE!</v>
      </c>
      <c r="AC309" s="544" t="str">
        <f t="shared" si="78"/>
        <v/>
      </c>
      <c r="AD309" s="538" t="str">
        <f t="shared" si="79"/>
        <v/>
      </c>
      <c r="AE309" s="545" t="s">
        <v>621</v>
      </c>
      <c r="AF309" s="546" t="s">
        <v>621</v>
      </c>
      <c r="AG309" s="558" t="s">
        <v>621</v>
      </c>
      <c r="AH309" s="547" t="str">
        <f>IF($G309="","",IF(AND($G309&gt;=30,$AT$3&lt;=AG$7),ROUND(AG309*($AP$3+#REF!),-1),""))</f>
        <v/>
      </c>
      <c r="AI309" s="558" t="s">
        <v>621</v>
      </c>
      <c r="AJ309" s="547" t="str">
        <f>IF($G309="","",IF(AND($G309&gt;=30,$AT$3&lt;=AI$7),ROUND(AI309*($AP$3+#REF!),-1),""))</f>
        <v/>
      </c>
      <c r="AK309" s="560" t="s">
        <v>621</v>
      </c>
      <c r="AL309" s="547" t="str">
        <f>IF($G309="","",IF(AND($G309&gt;=30,$AT$3&lt;=AK$7),ROUND(AK309*($AP$3+#REF!),-1),""))</f>
        <v/>
      </c>
      <c r="AM309" s="560" t="s">
        <v>621</v>
      </c>
      <c r="AN309" s="547" t="str">
        <f>IF($G309="","",IF(AND($G309&gt;=30,$AT$3&lt;=AM$7),ROUND(AM309*($AP$3+#REF!),-1),""))</f>
        <v/>
      </c>
      <c r="AO309" s="547" t="e">
        <v>#REF!</v>
      </c>
      <c r="AP309" s="547" t="str">
        <f>IF($G309="","",IF(AND($G309&gt;=30,$AT$3&lt;=AO$7),ROUND(AO309*($AP$3+#REF!),-1),""))</f>
        <v/>
      </c>
      <c r="AQ309" s="547" t="s">
        <v>621</v>
      </c>
      <c r="AR309" s="547" t="str">
        <f>IF($G309="","",IF(AND($G309&gt;=30,$AT$3&lt;=AQ$7),ROUND(AQ309*($AP$3+#REF!),-1),""))</f>
        <v/>
      </c>
      <c r="AS309" s="547" t="s">
        <v>621</v>
      </c>
      <c r="AT309" s="547" t="str">
        <f>IF($G309="","",IF(AND($G309&gt;=30,$AT$3&lt;=AS$7),ROUND(AS309*($AP$3+#REF!),-1),""))</f>
        <v/>
      </c>
      <c r="AU309" s="547" t="s">
        <v>621</v>
      </c>
      <c r="AV309" s="547" t="str">
        <f>IF($G309="","",IF(AND($G309&gt;=30,$AT$3&lt;=AU$7),ROUND(AU309*($AP$3+#REF!),-1),""))</f>
        <v/>
      </c>
      <c r="AW309" s="547" t="s">
        <v>621</v>
      </c>
      <c r="AX309" s="547" t="str">
        <f>IF($G309="","",IF(AND($G309&gt;=30,$AT$3&lt;=AW$7),ROUND(AW309*($AP$3+#REF!),-1),""))</f>
        <v/>
      </c>
      <c r="AY309" s="547" t="s">
        <v>621</v>
      </c>
      <c r="AZ309" s="547" t="str">
        <f>IF($G309="","",IF(AND($G309&gt;=30,$AT$3&lt;=AY$7),ROUND(AY309*($AP$3+#REF!),-1),""))</f>
        <v/>
      </c>
      <c r="BA309" s="547" t="s">
        <v>621</v>
      </c>
      <c r="BB309" s="547" t="str">
        <f>IF($G309="","",IF(AND($G309&gt;=30,$AT$3&lt;=BA$7),ROUND(BA309*($AP$3+#REF!),-1),""))</f>
        <v/>
      </c>
      <c r="BC309" s="547" t="s">
        <v>621</v>
      </c>
      <c r="BD309" s="547" t="str">
        <f>IF($G309="","",IF(AND($G309&gt;=30,$AT$3&lt;=BC$7),ROUND(BC309*($AP$3+#REF!),-1),""))</f>
        <v/>
      </c>
      <c r="BE309" s="547" t="s">
        <v>621</v>
      </c>
      <c r="BF309" s="547" t="str">
        <f>IF($G309="","",IF(AND($G309&gt;=30,$AT$3&lt;=BE$7),ROUND(BE309*($AP$3+#REF!),-1),""))</f>
        <v/>
      </c>
      <c r="BG309" s="547" t="s">
        <v>621</v>
      </c>
      <c r="BH309" s="547" t="str">
        <f>IF($G309="","",IF(AND($G309&gt;=30,$AT$3&lt;=BG$7),ROUND(BG309*($AP$3+#REF!),-1),""))</f>
        <v/>
      </c>
      <c r="BI309" s="547" t="s">
        <v>621</v>
      </c>
      <c r="BJ309" s="547" t="str">
        <f>IF($G309="","",IF(AND($G309&gt;=30,$AT$3&lt;=BI$7),ROUND(BI309*($AP$3+#REF!),-1),""))</f>
        <v/>
      </c>
      <c r="BK309" s="547" t="s">
        <v>621</v>
      </c>
      <c r="BL309" s="547" t="str">
        <f>IF($G309="","",IF(AND($G309&gt;=30,$AT$3&lt;=BK$7),ROUND(BK309*($AP$3+#REF!),-1),""))</f>
        <v/>
      </c>
      <c r="BM309" s="547" t="s">
        <v>621</v>
      </c>
      <c r="BN309" s="547" t="str">
        <f>IF($G309="","",IF(AND($G309&gt;=30,$AT$3&lt;=BM$7),ROUND(BM309*($AP$3+#REF!),-1),""))</f>
        <v/>
      </c>
      <c r="BO309" s="547" t="s">
        <v>621</v>
      </c>
      <c r="BP309" s="547" t="str">
        <f>IF($G309="","",IF(AND($G309&gt;=30,$AT$3&lt;=BO$7),ROUND(BO309*($AP$3+#REF!),-1),""))</f>
        <v/>
      </c>
      <c r="BQ309" s="547" t="s">
        <v>621</v>
      </c>
      <c r="BR309" s="547" t="str">
        <f>IF($G309="","",IF(AND($G309&gt;=30,$AT$3&lt;=BQ$7),ROUND(BQ309*($AP$3+#REF!),-1),""))</f>
        <v/>
      </c>
      <c r="BS309" s="547" t="s">
        <v>621</v>
      </c>
      <c r="BT309" s="547" t="str">
        <f>IF($G309="","",IF(AND($G309&gt;=30,$AT$3&lt;=BS$7),ROUND(BS309*($AP$3+#REF!),-1),""))</f>
        <v/>
      </c>
      <c r="BU309" s="547" t="s">
        <v>621</v>
      </c>
      <c r="BV309" s="547" t="str">
        <f>IF($G309="","",IF(AND($G309&gt;=30,$AT$3&lt;=BU$7),ROUND(BU309*($AP$3+#REF!),-1),""))</f>
        <v/>
      </c>
      <c r="BW309" s="547" t="s">
        <v>621</v>
      </c>
      <c r="BX309" s="547" t="str">
        <f>IF($G309="","",IF(AND($G309&gt;=30,$AT$3&lt;=BW$7),ROUND(BW309*($AP$3+#REF!),-1),""))</f>
        <v/>
      </c>
      <c r="BY309" s="547" t="s">
        <v>621</v>
      </c>
      <c r="BZ309" s="547" t="str">
        <f>IF($G309="","",IF(AND($G309&gt;=30,$AT$3&lt;=BY$7),ROUND(BY309*($AP$3+#REF!),-1),""))</f>
        <v/>
      </c>
      <c r="CA309" s="547" t="s">
        <v>621</v>
      </c>
      <c r="CB309" s="547" t="str">
        <f>IF($G309="","",IF(AND($G309&gt;=30,$AT$3&lt;=CA$7),ROUND(CA309*($AP$3+#REF!),-1),""))</f>
        <v/>
      </c>
      <c r="CC309" s="547" t="s">
        <v>621</v>
      </c>
      <c r="CD309" s="547" t="str">
        <f>IF($G309="","",IF(AND($G309&gt;=30,$AT$3&lt;=CC$7),ROUND(CC309*($AP$3+#REF!),-1),""))</f>
        <v/>
      </c>
      <c r="CE309" s="533" t="e">
        <v>#REF!</v>
      </c>
      <c r="CF309" s="547" t="str">
        <f>IF($G309="","",IF(AND($G309&gt;=30,$AT$3&lt;=CE$7),ROUND(CE309*($AP$3+#REF!),-1),""))</f>
        <v/>
      </c>
      <c r="CG309" s="547"/>
      <c r="CH309" s="547" t="str">
        <f>IF($G309="","",IF(AND($G309&gt;=30,$AT$3&lt;=CG$7),ROUND(CG309*($AP$3+#REF!),-1),""))</f>
        <v/>
      </c>
      <c r="CI309" s="547"/>
      <c r="CJ309" s="547" t="str">
        <f>IF($G309="","",IF(AND($G309&gt;=30,$AT$3&lt;=CI$7),ROUND(CI309*($AP$3+#REF!),-1),""))</f>
        <v/>
      </c>
      <c r="CK309" s="547"/>
      <c r="CL309" s="547" t="str">
        <f>IF($G309="","",IF(AND($G309&gt;=30,$AT$3&lt;=CK$7),ROUND(CK309*($AP$3+#REF!),-1),""))</f>
        <v/>
      </c>
      <c r="CM309" s="547"/>
      <c r="CN309" s="547" t="str">
        <f>IF($G309="","",IF(AND($G309&gt;=30,$AT$3&lt;=CM$7),ROUND(CM309*($AP$3+#REF!),-1),""))</f>
        <v/>
      </c>
      <c r="CO309" s="547"/>
      <c r="CP309" s="547" t="str">
        <f>IF($G309="","",IF(AND($G309&gt;=30,$AT$3&lt;=CO$7),ROUND(CO309*($AP$3+#REF!),-1),""))</f>
        <v/>
      </c>
      <c r="CQ309" s="547"/>
      <c r="CR309" s="547" t="str">
        <f>IF($G309="","",IF(AND($G309&gt;=30,$AT$3&lt;=CQ$7),ROUND(CQ309*($AP$3+#REF!),-1),""))</f>
        <v/>
      </c>
      <c r="CS309" s="547"/>
      <c r="CT309" s="547" t="str">
        <f>IF($G309="","",IF(AND($G309&gt;=30,$AT$3&lt;=CS$7),ROUND(CS309*($AP$3+#REF!),-1),""))</f>
        <v/>
      </c>
      <c r="CU309" s="547"/>
      <c r="CV309" s="547" t="str">
        <f>IF($G309="","",IF(AND($G309&gt;=30,$AT$3&lt;=CU$7),ROUND(CU309*($AP$3+#REF!),-1),""))</f>
        <v/>
      </c>
      <c r="CW309" s="547"/>
      <c r="CX309" s="547" t="str">
        <f>IF($G309="","",IF(AND($G309&gt;=30,$AT$3&lt;=CW$7),ROUND(CW309*($AP$3+#REF!),-1),""))</f>
        <v/>
      </c>
      <c r="CY309" s="547"/>
      <c r="CZ309" s="547" t="str">
        <f>IF($G309="","",IF(AND($G309&gt;=30,$AT$3&lt;=CY$7),ROUND(CY309*($AP$3+#REF!),-1),""))</f>
        <v/>
      </c>
      <c r="DA309" s="547"/>
      <c r="DB309" s="547" t="str">
        <f>IF($G309="","",IF(AND($G309&gt;=30,$AT$3&lt;=DA$7),ROUND(DA309*($AP$3+#REF!),-1),""))</f>
        <v/>
      </c>
      <c r="DC309" s="547"/>
      <c r="DD309" s="547" t="str">
        <f>IF($G309="","",IF(AND($G309&gt;=30,$AT$3&lt;=DC$7),ROUND(DC309*($AP$3+#REF!),-1),""))</f>
        <v/>
      </c>
      <c r="DE309" s="547"/>
      <c r="DF309" s="547" t="str">
        <f>IF($G309="","",IF(AND($G309&gt;=30,$AT$3&lt;=DE$7),ROUND(DE309*($AP$3+#REF!),-1),""))</f>
        <v/>
      </c>
      <c r="DG309" s="547"/>
      <c r="DH309" s="547" t="str">
        <f>IF($G309="","",IF(AND($G309&gt;=30,$AT$3&lt;=DG$7),ROUND(DG309*($AP$3+#REF!),-1),""))</f>
        <v/>
      </c>
      <c r="DI309" s="547"/>
      <c r="DJ309" s="547" t="str">
        <f>IF($G309="","",IF(AND($G309&gt;=30,$AT$3&lt;=DI$7),ROUND(DI309*($AP$3+#REF!),-1),""))</f>
        <v/>
      </c>
      <c r="DK309" s="547"/>
      <c r="DL309" s="547" t="str">
        <f>IF($G309="","",IF(AND($G309&gt;=30,$AT$3&lt;=DK$7),ROUND(DK309*($AP$3+#REF!),-1),""))</f>
        <v/>
      </c>
      <c r="DM309" s="547"/>
      <c r="DN309" s="547" t="str">
        <f>IF($G309="","",IF(AND($G309&gt;=30,$AT$3&lt;=DM$7),ROUND(DM309*($AP$3+#REF!),-1),""))</f>
        <v/>
      </c>
      <c r="DO309" s="547"/>
      <c r="DP309" s="547" t="str">
        <f>IF($G309="","",IF(AND($G309&gt;=30,$AT$3&lt;=DO$7),ROUND(DO309*($AP$3+#REF!),-1),""))</f>
        <v/>
      </c>
      <c r="DQ309" s="547"/>
      <c r="DR309" s="547" t="str">
        <f>IF($G309="","",IF(AND($G309&gt;=30,$AT$3&lt;=DQ$7),ROUND(DQ309*($AP$3+#REF!),-1),""))</f>
        <v/>
      </c>
      <c r="DS309" s="547"/>
      <c r="DT309" s="547" t="str">
        <f>IF($G309="","",IF(AND($G309&gt;=30,$AT$3&lt;=DS$7),ROUND(DS309*($AP$3+#REF!),-1),""))</f>
        <v/>
      </c>
      <c r="DU309" s="547"/>
      <c r="DV309" s="547" t="str">
        <f>IF($G309="","",IF(AND($G309&gt;=30,$AT$3&lt;=DU$7),ROUND(DU309*($AP$3+#REF!),-1),""))</f>
        <v/>
      </c>
      <c r="DW309" s="547"/>
      <c r="DX309" s="547" t="str">
        <f>IF($G309="","",IF(AND($G309&gt;=30,$AT$3&lt;=DW$7),ROUND(DW309*($AP$3+#REF!),-1),""))</f>
        <v/>
      </c>
      <c r="DY309" s="547"/>
      <c r="DZ309" s="547" t="str">
        <f>IF($G309="","",IF(AND($G309&gt;=30,$AT$3&lt;=DY$7),ROUND(DY309*($AP$3+#REF!),-1),""))</f>
        <v/>
      </c>
      <c r="EA309" s="547"/>
      <c r="EB309" s="547" t="str">
        <f>IF($G309="","",IF(AND($G309&gt;=30,$AT$3&lt;=EA$7),ROUND(EA309*($AP$3+#REF!),-1),""))</f>
        <v/>
      </c>
      <c r="EC309" s="547" t="s">
        <v>621</v>
      </c>
      <c r="ED309" s="1123">
        <f>SUM(EC309:EC320)</f>
        <v>0</v>
      </c>
      <c r="EE309" s="325">
        <v>1</v>
      </c>
    </row>
    <row r="310" spans="1:135" ht="9.75" customHeight="1">
      <c r="A310" s="321" t="str">
        <f t="shared" si="68"/>
        <v/>
      </c>
      <c r="B310" s="567">
        <f>(ii!$D$13*12+V310)+1</f>
        <v>204</v>
      </c>
      <c r="C310" s="337">
        <f t="shared" si="72"/>
        <v>51560</v>
      </c>
      <c r="D310" s="484">
        <f t="shared" si="75"/>
        <v>2041</v>
      </c>
      <c r="E310" s="484">
        <f t="shared" si="73"/>
        <v>0.16666666666666666</v>
      </c>
      <c r="F310" s="484">
        <f t="shared" si="76"/>
        <v>2041.1666666666667</v>
      </c>
      <c r="G310" s="485" t="str">
        <f>IF(OR(C310&lt;$I$2,C310&gt;$J$3),"",(ii!$D$13*12+V310+1)/12)</f>
        <v/>
      </c>
      <c r="H310" s="486"/>
      <c r="I310" s="486"/>
      <c r="J310" s="487"/>
      <c r="K310" s="488"/>
      <c r="L310" s="548"/>
      <c r="M310" s="489" t="str">
        <f t="shared" si="77"/>
        <v/>
      </c>
      <c r="N310" s="490" t="s">
        <v>621</v>
      </c>
      <c r="O310" s="490" t="str">
        <f t="shared" si="70"/>
        <v/>
      </c>
      <c r="P310" s="491"/>
      <c r="Q310" s="491"/>
      <c r="R310" s="491" t="str">
        <f t="shared" si="71"/>
        <v/>
      </c>
      <c r="S310" s="528" t="str">
        <f t="shared" si="69"/>
        <v/>
      </c>
      <c r="T310" s="528" t="str">
        <f t="shared" si="67"/>
        <v/>
      </c>
      <c r="U310" s="493" t="str">
        <f>IF(H310="","",#REF!*12+#REF!+#REF!*12+#REF!)</f>
        <v/>
      </c>
      <c r="V310" s="338">
        <f>IF(ii!$J$3&gt;gg!C310,"",IF(AND((YEAR(C310)=YEAR($I$2)),MONTH(C310)=MONTH($I$2)),ii!$B$14*12+ii!$C$14+ii!$B$15*12+ii!$C$15-1,V309+1))</f>
        <v>203</v>
      </c>
      <c r="W310" s="339">
        <f t="shared" si="74"/>
        <v>16.916666666666668</v>
      </c>
      <c r="X310" s="494" t="s">
        <v>621</v>
      </c>
      <c r="Y310" s="495" t="s">
        <v>621</v>
      </c>
      <c r="Z310" s="496"/>
      <c r="AA310" s="497"/>
      <c r="AB310" s="498" t="e">
        <f t="shared" si="80"/>
        <v>#VALUE!</v>
      </c>
      <c r="AC310" s="484" t="str">
        <f t="shared" si="78"/>
        <v/>
      </c>
      <c r="AD310" s="495" t="str">
        <f t="shared" si="79"/>
        <v/>
      </c>
      <c r="AE310" s="499" t="s">
        <v>621</v>
      </c>
      <c r="AF310" s="500" t="s">
        <v>621</v>
      </c>
      <c r="AG310" s="556" t="s">
        <v>621</v>
      </c>
      <c r="AH310" s="503" t="str">
        <f>IF($G310="","",IF(AND($G310&gt;=30,$AT$3&lt;=AG$7),ROUND(AG310*($AP$3+#REF!),-1),""))</f>
        <v/>
      </c>
      <c r="AI310" s="506" t="s">
        <v>621</v>
      </c>
      <c r="AJ310" s="503" t="str">
        <f>IF($G310="","",IF(AND($G310&gt;=30,$AT$3&lt;=AI$7),ROUND(AI310*($AP$3+#REF!),-1),""))</f>
        <v/>
      </c>
      <c r="AK310" s="506" t="s">
        <v>621</v>
      </c>
      <c r="AL310" s="503" t="str">
        <f>IF($G310="","",IF(AND($G310&gt;=30,$AT$3&lt;=AK$7),ROUND(AK310*($AP$3+#REF!),-1),""))</f>
        <v/>
      </c>
      <c r="AM310" s="506" t="s">
        <v>621</v>
      </c>
      <c r="AN310" s="503" t="str">
        <f>IF($G310="","",IF(AND($G310&gt;=30,$AT$3&lt;=AM$7),ROUND(AM310*($AP$3+#REF!),-1),""))</f>
        <v/>
      </c>
      <c r="AO310" s="503" t="e">
        <f>IF(AO309="","",AO309*1.001)</f>
        <v>#REF!</v>
      </c>
      <c r="AP310" s="503" t="str">
        <f>IF($G310="","",IF(AND($G310&gt;=30,$AT$3&lt;=AO$7),ROUND(AO310*($AP$3+#REF!),-1),""))</f>
        <v/>
      </c>
      <c r="AQ310" s="503" t="s">
        <v>621</v>
      </c>
      <c r="AR310" s="503" t="str">
        <f>IF($G310="","",IF(AND($G310&gt;=30,$AT$3&lt;=AQ$7),ROUND(AQ310*($AP$3+#REF!),-1),""))</f>
        <v/>
      </c>
      <c r="AS310" s="503" t="s">
        <v>621</v>
      </c>
      <c r="AT310" s="503" t="str">
        <f>IF($G310="","",IF(AND($G310&gt;=30,$AT$3&lt;=AS$7),ROUND(AS310*($AP$3+#REF!),-1),""))</f>
        <v/>
      </c>
      <c r="AU310" s="503" t="s">
        <v>621</v>
      </c>
      <c r="AV310" s="503" t="str">
        <f>IF($G310="","",IF(AND($G310&gt;=30,$AT$3&lt;=AU$7),ROUND(AU310*($AP$3+#REF!),-1),""))</f>
        <v/>
      </c>
      <c r="AW310" s="503" t="s">
        <v>621</v>
      </c>
      <c r="AX310" s="503" t="str">
        <f>IF($G310="","",IF(AND($G310&gt;=30,$AT$3&lt;=AW$7),ROUND(AW310*($AP$3+#REF!),-1),""))</f>
        <v/>
      </c>
      <c r="AY310" s="503" t="s">
        <v>621</v>
      </c>
      <c r="AZ310" s="503" t="str">
        <f>IF($G310="","",IF(AND($G310&gt;=30,$AT$3&lt;=AY$7),ROUND(AY310*($AP$3+#REF!),-1),""))</f>
        <v/>
      </c>
      <c r="BA310" s="503" t="s">
        <v>621</v>
      </c>
      <c r="BB310" s="503" t="str">
        <f>IF($G310="","",IF(AND($G310&gt;=30,$AT$3&lt;=BA$7),ROUND(BA310*($AP$3+#REF!),-1),""))</f>
        <v/>
      </c>
      <c r="BC310" s="503" t="s">
        <v>621</v>
      </c>
      <c r="BD310" s="503" t="str">
        <f>IF($G310="","",IF(AND($G310&gt;=30,$AT$3&lt;=BC$7),ROUND(BC310*($AP$3+#REF!),-1),""))</f>
        <v/>
      </c>
      <c r="BE310" s="503" t="s">
        <v>621</v>
      </c>
      <c r="BF310" s="503" t="str">
        <f>IF($G310="","",IF(AND($G310&gt;=30,$AT$3&lt;=BE$7),ROUND(BE310*($AP$3+#REF!),-1),""))</f>
        <v/>
      </c>
      <c r="BG310" s="503" t="s">
        <v>621</v>
      </c>
      <c r="BH310" s="503" t="str">
        <f>IF($G310="","",IF(AND($G310&gt;=30,$AT$3&lt;=BG$7),ROUND(BG310*($AP$3+#REF!),-1),""))</f>
        <v/>
      </c>
      <c r="BI310" s="503" t="s">
        <v>621</v>
      </c>
      <c r="BJ310" s="503" t="str">
        <f>IF($G310="","",IF(AND($G310&gt;=30,$AT$3&lt;=BI$7),ROUND(BI310*($AP$3+#REF!),-1),""))</f>
        <v/>
      </c>
      <c r="BK310" s="503" t="s">
        <v>621</v>
      </c>
      <c r="BL310" s="503" t="str">
        <f>IF($G310="","",IF(AND($G310&gt;=30,$AT$3&lt;=BK$7),ROUND(BK310*($AP$3+#REF!),-1),""))</f>
        <v/>
      </c>
      <c r="BM310" s="503" t="s">
        <v>621</v>
      </c>
      <c r="BN310" s="503" t="str">
        <f>IF($G310="","",IF(AND($G310&gt;=30,$AT$3&lt;=BM$7),ROUND(BM310*($AP$3+#REF!),-1),""))</f>
        <v/>
      </c>
      <c r="BO310" s="503" t="s">
        <v>621</v>
      </c>
      <c r="BP310" s="503" t="str">
        <f>IF($G310="","",IF(AND($G310&gt;=30,$AT$3&lt;=BO$7),ROUND(BO310*($AP$3+#REF!),-1),""))</f>
        <v/>
      </c>
      <c r="BQ310" s="503" t="s">
        <v>621</v>
      </c>
      <c r="BR310" s="503" t="str">
        <f>IF($G310="","",IF(AND($G310&gt;=30,$AT$3&lt;=BQ$7),ROUND(BQ310*($AP$3+#REF!),-1),""))</f>
        <v/>
      </c>
      <c r="BS310" s="503" t="s">
        <v>621</v>
      </c>
      <c r="BT310" s="503" t="str">
        <f>IF($G310="","",IF(AND($G310&gt;=30,$AT$3&lt;=BS$7),ROUND(BS310*($AP$3+#REF!),-1),""))</f>
        <v/>
      </c>
      <c r="BU310" s="503" t="s">
        <v>621</v>
      </c>
      <c r="BV310" s="503" t="str">
        <f>IF($G310="","",IF(AND($G310&gt;=30,$AT$3&lt;=BU$7),ROUND(BU310*($AP$3+#REF!),-1),""))</f>
        <v/>
      </c>
      <c r="BW310" s="503" t="s">
        <v>621</v>
      </c>
      <c r="BX310" s="503" t="str">
        <f>IF($G310="","",IF(AND($G310&gt;=30,$AT$3&lt;=BW$7),ROUND(BW310*($AP$3+#REF!),-1),""))</f>
        <v/>
      </c>
      <c r="BY310" s="503" t="s">
        <v>621</v>
      </c>
      <c r="BZ310" s="503" t="str">
        <f>IF($G310="","",IF(AND($G310&gt;=30,$AT$3&lt;=BY$7),ROUND(BY310*($AP$3+#REF!),-1),""))</f>
        <v/>
      </c>
      <c r="CA310" s="503" t="s">
        <v>621</v>
      </c>
      <c r="CB310" s="503" t="str">
        <f>IF($G310="","",IF(AND($G310&gt;=30,$AT$3&lt;=CA$7),ROUND(CA310*($AP$3+#REF!),-1),""))</f>
        <v/>
      </c>
      <c r="CC310" s="503" t="s">
        <v>621</v>
      </c>
      <c r="CD310" s="503" t="str">
        <f>IF($G310="","",IF(AND($G310&gt;=30,$AT$3&lt;=CC$7),ROUND(CC310*($AP$3+#REF!),-1),""))</f>
        <v/>
      </c>
      <c r="CE310" s="517" t="e">
        <v>#REF!</v>
      </c>
      <c r="CF310" s="503" t="str">
        <f>IF($G310="","",IF(AND($G310&gt;=30,$AT$3&lt;=CE$7),ROUND(CE310*($AP$3+#REF!),-1),""))</f>
        <v/>
      </c>
      <c r="CG310" s="517"/>
      <c r="CH310" s="503" t="str">
        <f>IF($G310="","",IF(AND($G310&gt;=30,$AT$3&lt;=CG$7),ROUND(CG310*($AP$3+#REF!),-1),""))</f>
        <v/>
      </c>
      <c r="CI310" s="517"/>
      <c r="CJ310" s="503" t="str">
        <f>IF($G310="","",IF(AND($G310&gt;=30,$AT$3&lt;=CI$7),ROUND(CI310*($AP$3+#REF!),-1),""))</f>
        <v/>
      </c>
      <c r="CK310" s="517"/>
      <c r="CL310" s="503" t="str">
        <f>IF($G310="","",IF(AND($G310&gt;=30,$AT$3&lt;=CK$7),ROUND(CK310*($AP$3+#REF!),-1),""))</f>
        <v/>
      </c>
      <c r="CM310" s="517"/>
      <c r="CN310" s="503" t="str">
        <f>IF($G310="","",IF(AND($G310&gt;=30,$AT$3&lt;=CM$7),ROUND(CM310*($AP$3+#REF!),-1),""))</f>
        <v/>
      </c>
      <c r="CO310" s="517"/>
      <c r="CP310" s="503" t="str">
        <f>IF($G310="","",IF(AND($G310&gt;=30,$AT$3&lt;=CO$7),ROUND(CO310*($AP$3+#REF!),-1),""))</f>
        <v/>
      </c>
      <c r="CQ310" s="517"/>
      <c r="CR310" s="503" t="str">
        <f>IF($G310="","",IF(AND($G310&gt;=30,$AT$3&lt;=CQ$7),ROUND(CQ310*($AP$3+#REF!),-1),""))</f>
        <v/>
      </c>
      <c r="CS310" s="517"/>
      <c r="CT310" s="503" t="str">
        <f>IF($G310="","",IF(AND($G310&gt;=30,$AT$3&lt;=CS$7),ROUND(CS310*($AP$3+#REF!),-1),""))</f>
        <v/>
      </c>
      <c r="CU310" s="517"/>
      <c r="CV310" s="503" t="str">
        <f>IF($G310="","",IF(AND($G310&gt;=30,$AT$3&lt;=CU$7),ROUND(CU310*($AP$3+#REF!),-1),""))</f>
        <v/>
      </c>
      <c r="CW310" s="517"/>
      <c r="CX310" s="503" t="str">
        <f>IF($G310="","",IF(AND($G310&gt;=30,$AT$3&lt;=CW$7),ROUND(CW310*($AP$3+#REF!),-1),""))</f>
        <v/>
      </c>
      <c r="CY310" s="517"/>
      <c r="CZ310" s="503" t="str">
        <f>IF($G310="","",IF(AND($G310&gt;=30,$AT$3&lt;=CY$7),ROUND(CY310*($AP$3+#REF!),-1),""))</f>
        <v/>
      </c>
      <c r="DA310" s="517"/>
      <c r="DB310" s="503" t="str">
        <f>IF($G310="","",IF(AND($G310&gt;=30,$AT$3&lt;=DA$7),ROUND(DA310*($AP$3+#REF!),-1),""))</f>
        <v/>
      </c>
      <c r="DC310" s="517"/>
      <c r="DD310" s="503" t="str">
        <f>IF($G310="","",IF(AND($G310&gt;=30,$AT$3&lt;=DC$7),ROUND(DC310*($AP$3+#REF!),-1),""))</f>
        <v/>
      </c>
      <c r="DE310" s="517"/>
      <c r="DF310" s="503" t="str">
        <f>IF($G310="","",IF(AND($G310&gt;=30,$AT$3&lt;=DE$7),ROUND(DE310*($AP$3+#REF!),-1),""))</f>
        <v/>
      </c>
      <c r="DG310" s="517"/>
      <c r="DH310" s="503" t="str">
        <f>IF($G310="","",IF(AND($G310&gt;=30,$AT$3&lt;=DG$7),ROUND(DG310*($AP$3+#REF!),-1),""))</f>
        <v/>
      </c>
      <c r="DI310" s="517"/>
      <c r="DJ310" s="503" t="str">
        <f>IF($G310="","",IF(AND($G310&gt;=30,$AT$3&lt;=DI$7),ROUND(DI310*($AP$3+#REF!),-1),""))</f>
        <v/>
      </c>
      <c r="DK310" s="517"/>
      <c r="DL310" s="503" t="str">
        <f>IF($G310="","",IF(AND($G310&gt;=30,$AT$3&lt;=DK$7),ROUND(DK310*($AP$3+#REF!),-1),""))</f>
        <v/>
      </c>
      <c r="DM310" s="517"/>
      <c r="DN310" s="503" t="str">
        <f>IF($G310="","",IF(AND($G310&gt;=30,$AT$3&lt;=DM$7),ROUND(DM310*($AP$3+#REF!),-1),""))</f>
        <v/>
      </c>
      <c r="DO310" s="517"/>
      <c r="DP310" s="503" t="str">
        <f>IF($G310="","",IF(AND($G310&gt;=30,$AT$3&lt;=DO$7),ROUND(DO310*($AP$3+#REF!),-1),""))</f>
        <v/>
      </c>
      <c r="DQ310" s="517"/>
      <c r="DR310" s="503" t="str">
        <f>IF($G310="","",IF(AND($G310&gt;=30,$AT$3&lt;=DQ$7),ROUND(DQ310*($AP$3+#REF!),-1),""))</f>
        <v/>
      </c>
      <c r="DS310" s="517"/>
      <c r="DT310" s="503" t="str">
        <f>IF($G310="","",IF(AND($G310&gt;=30,$AT$3&lt;=DS$7),ROUND(DS310*($AP$3+#REF!),-1),""))</f>
        <v/>
      </c>
      <c r="DU310" s="517"/>
      <c r="DV310" s="503" t="str">
        <f>IF($G310="","",IF(AND($G310&gt;=30,$AT$3&lt;=DU$7),ROUND(DU310*($AP$3+#REF!),-1),""))</f>
        <v/>
      </c>
      <c r="DW310" s="517"/>
      <c r="DX310" s="503" t="str">
        <f>IF($G310="","",IF(AND($G310&gt;=30,$AT$3&lt;=DW$7),ROUND(DW310*($AP$3+#REF!),-1),""))</f>
        <v/>
      </c>
      <c r="DY310" s="517"/>
      <c r="DZ310" s="503" t="str">
        <f>IF($G310="","",IF(AND($G310&gt;=30,$AT$3&lt;=DY$7),ROUND(DY310*($AP$3+#REF!),-1),""))</f>
        <v/>
      </c>
      <c r="EA310" s="517"/>
      <c r="EB310" s="503" t="str">
        <f>IF($G310="","",IF(AND($G310&gt;=30,$AT$3&lt;=EA$7),ROUND(EA310*($AP$3+#REF!),-1),""))</f>
        <v/>
      </c>
      <c r="EC310" s="504" t="s">
        <v>621</v>
      </c>
      <c r="ED310" s="1124"/>
      <c r="EE310" s="325">
        <v>2</v>
      </c>
    </row>
    <row r="311" spans="1:135" ht="9.75" customHeight="1">
      <c r="A311" s="321" t="str">
        <f t="shared" si="68"/>
        <v/>
      </c>
      <c r="B311" s="567">
        <f>(ii!$D$13*12+V311)+1</f>
        <v>205</v>
      </c>
      <c r="C311" s="337">
        <f t="shared" si="72"/>
        <v>51591</v>
      </c>
      <c r="D311" s="484">
        <f t="shared" si="75"/>
        <v>2041</v>
      </c>
      <c r="E311" s="484">
        <f t="shared" si="73"/>
        <v>0.25</v>
      </c>
      <c r="F311" s="484">
        <f t="shared" si="76"/>
        <v>2041.25</v>
      </c>
      <c r="G311" s="485" t="str">
        <f>IF(OR(C311&lt;$I$2,C311&gt;$J$3),"",(ii!$D$13*12+V311+1)/12)</f>
        <v/>
      </c>
      <c r="H311" s="486"/>
      <c r="I311" s="486"/>
      <c r="J311" s="487"/>
      <c r="K311" s="488"/>
      <c r="L311" s="548"/>
      <c r="M311" s="489" t="str">
        <f t="shared" si="77"/>
        <v/>
      </c>
      <c r="N311" s="490" t="s">
        <v>621</v>
      </c>
      <c r="O311" s="490" t="str">
        <f t="shared" si="70"/>
        <v/>
      </c>
      <c r="P311" s="491"/>
      <c r="Q311" s="491"/>
      <c r="R311" s="491" t="str">
        <f t="shared" si="71"/>
        <v/>
      </c>
      <c r="S311" s="528" t="str">
        <f t="shared" si="69"/>
        <v/>
      </c>
      <c r="T311" s="528" t="str">
        <f t="shared" si="67"/>
        <v/>
      </c>
      <c r="U311" s="493" t="str">
        <f>IF(H311="","",#REF!*12+#REF!+#REF!*12+#REF!)</f>
        <v/>
      </c>
      <c r="V311" s="338">
        <f>IF(ii!$J$3&gt;gg!C311,"",IF(AND((YEAR(C311)=YEAR($I$2)),MONTH(C311)=MONTH($I$2)),ii!$B$14*12+ii!$C$14+ii!$B$15*12+ii!$C$15-1,V310+1))</f>
        <v>204</v>
      </c>
      <c r="W311" s="339">
        <f t="shared" si="74"/>
        <v>17</v>
      </c>
      <c r="X311" s="494" t="s">
        <v>621</v>
      </c>
      <c r="Y311" s="495" t="s">
        <v>621</v>
      </c>
      <c r="Z311" s="496"/>
      <c r="AA311" s="497"/>
      <c r="AB311" s="498" t="e">
        <f t="shared" si="80"/>
        <v>#VALUE!</v>
      </c>
      <c r="AC311" s="484" t="str">
        <f t="shared" si="78"/>
        <v/>
      </c>
      <c r="AD311" s="495" t="str">
        <f t="shared" si="79"/>
        <v/>
      </c>
      <c r="AE311" s="499" t="s">
        <v>621</v>
      </c>
      <c r="AF311" s="500" t="s">
        <v>621</v>
      </c>
      <c r="AG311" s="556" t="s">
        <v>621</v>
      </c>
      <c r="AH311" s="503" t="str">
        <f>IF($G311="","",IF(AND($G311&gt;=30,$AT$3&lt;=AG$7),ROUND(AG311*($AP$3+#REF!),-1),""))</f>
        <v/>
      </c>
      <c r="AI311" s="506" t="s">
        <v>621</v>
      </c>
      <c r="AJ311" s="503" t="str">
        <f>IF($G311="","",IF(AND($G311&gt;=30,$AT$3&lt;=AI$7),ROUND(AI311*($AP$3+#REF!),-1),""))</f>
        <v/>
      </c>
      <c r="AK311" s="506" t="s">
        <v>621</v>
      </c>
      <c r="AL311" s="503" t="str">
        <f>IF($G311="","",IF(AND($G311&gt;=30,$AT$3&lt;=AK$7),ROUND(AK311*($AP$3+#REF!),-1),""))</f>
        <v/>
      </c>
      <c r="AM311" s="506" t="s">
        <v>621</v>
      </c>
      <c r="AN311" s="503" t="str">
        <f>IF($G311="","",IF(AND($G311&gt;=30,$AT$3&lt;=AM$7),ROUND(AM311*($AP$3+#REF!),-1),""))</f>
        <v/>
      </c>
      <c r="AO311" s="503" t="e">
        <v>#REF!</v>
      </c>
      <c r="AP311" s="503" t="str">
        <f>IF($G311="","",IF(AND($G311&gt;=30,$AT$3&lt;=AO$7),ROUND(AO311*($AP$3+#REF!),-1),""))</f>
        <v/>
      </c>
      <c r="AQ311" s="503" t="s">
        <v>621</v>
      </c>
      <c r="AR311" s="503" t="str">
        <f>IF($G311="","",IF(AND($G311&gt;=30,$AT$3&lt;=AQ$7),ROUND(AQ311*($AP$3+#REF!),-1),""))</f>
        <v/>
      </c>
      <c r="AS311" s="503" t="s">
        <v>621</v>
      </c>
      <c r="AT311" s="503" t="str">
        <f>IF($G311="","",IF(AND($G311&gt;=30,$AT$3&lt;=AS$7),ROUND(AS311*($AP$3+#REF!),-1),""))</f>
        <v/>
      </c>
      <c r="AU311" s="503" t="s">
        <v>621</v>
      </c>
      <c r="AV311" s="503" t="str">
        <f>IF($G311="","",IF(AND($G311&gt;=30,$AT$3&lt;=AU$7),ROUND(AU311*($AP$3+#REF!),-1),""))</f>
        <v/>
      </c>
      <c r="AW311" s="503" t="s">
        <v>621</v>
      </c>
      <c r="AX311" s="503" t="str">
        <f>IF($G311="","",IF(AND($G311&gt;=30,$AT$3&lt;=AW$7),ROUND(AW311*($AP$3+#REF!),-1),""))</f>
        <v/>
      </c>
      <c r="AY311" s="503" t="s">
        <v>621</v>
      </c>
      <c r="AZ311" s="503" t="str">
        <f>IF($G311="","",IF(AND($G311&gt;=30,$AT$3&lt;=AY$7),ROUND(AY311*($AP$3+#REF!),-1),""))</f>
        <v/>
      </c>
      <c r="BA311" s="503" t="s">
        <v>621</v>
      </c>
      <c r="BB311" s="503" t="str">
        <f>IF($G311="","",IF(AND($G311&gt;=30,$AT$3&lt;=BA$7),ROUND(BA311*($AP$3+#REF!),-1),""))</f>
        <v/>
      </c>
      <c r="BC311" s="503" t="s">
        <v>621</v>
      </c>
      <c r="BD311" s="503" t="str">
        <f>IF($G311="","",IF(AND($G311&gt;=30,$AT$3&lt;=BC$7),ROUND(BC311*($AP$3+#REF!),-1),""))</f>
        <v/>
      </c>
      <c r="BE311" s="503" t="s">
        <v>621</v>
      </c>
      <c r="BF311" s="503" t="str">
        <f>IF($G311="","",IF(AND($G311&gt;=30,$AT$3&lt;=BE$7),ROUND(BE311*($AP$3+#REF!),-1),""))</f>
        <v/>
      </c>
      <c r="BG311" s="503" t="s">
        <v>621</v>
      </c>
      <c r="BH311" s="503" t="str">
        <f>IF($G311="","",IF(AND($G311&gt;=30,$AT$3&lt;=BG$7),ROUND(BG311*($AP$3+#REF!),-1),""))</f>
        <v/>
      </c>
      <c r="BI311" s="503" t="s">
        <v>621</v>
      </c>
      <c r="BJ311" s="503" t="str">
        <f>IF($G311="","",IF(AND($G311&gt;=30,$AT$3&lt;=BI$7),ROUND(BI311*($AP$3+#REF!),-1),""))</f>
        <v/>
      </c>
      <c r="BK311" s="503" t="s">
        <v>621</v>
      </c>
      <c r="BL311" s="503" t="str">
        <f>IF($G311="","",IF(AND($G311&gt;=30,$AT$3&lt;=BK$7),ROUND(BK311*($AP$3+#REF!),-1),""))</f>
        <v/>
      </c>
      <c r="BM311" s="503" t="s">
        <v>621</v>
      </c>
      <c r="BN311" s="503" t="str">
        <f>IF($G311="","",IF(AND($G311&gt;=30,$AT$3&lt;=BM$7),ROUND(BM311*($AP$3+#REF!),-1),""))</f>
        <v/>
      </c>
      <c r="BO311" s="503" t="s">
        <v>621</v>
      </c>
      <c r="BP311" s="503" t="str">
        <f>IF($G311="","",IF(AND($G311&gt;=30,$AT$3&lt;=BO$7),ROUND(BO311*($AP$3+#REF!),-1),""))</f>
        <v/>
      </c>
      <c r="BQ311" s="503" t="s">
        <v>621</v>
      </c>
      <c r="BR311" s="503" t="str">
        <f>IF($G311="","",IF(AND($G311&gt;=30,$AT$3&lt;=BQ$7),ROUND(BQ311*($AP$3+#REF!),-1),""))</f>
        <v/>
      </c>
      <c r="BS311" s="503" t="s">
        <v>621</v>
      </c>
      <c r="BT311" s="503" t="str">
        <f>IF($G311="","",IF(AND($G311&gt;=30,$AT$3&lt;=BS$7),ROUND(BS311*($AP$3+#REF!),-1),""))</f>
        <v/>
      </c>
      <c r="BU311" s="503" t="s">
        <v>621</v>
      </c>
      <c r="BV311" s="503" t="str">
        <f>IF($G311="","",IF(AND($G311&gt;=30,$AT$3&lt;=BU$7),ROUND(BU311*($AP$3+#REF!),-1),""))</f>
        <v/>
      </c>
      <c r="BW311" s="503" t="s">
        <v>621</v>
      </c>
      <c r="BX311" s="503" t="str">
        <f>IF($G311="","",IF(AND($G311&gt;=30,$AT$3&lt;=BW$7),ROUND(BW311*($AP$3+#REF!),-1),""))</f>
        <v/>
      </c>
      <c r="BY311" s="503" t="s">
        <v>621</v>
      </c>
      <c r="BZ311" s="503" t="str">
        <f>IF($G311="","",IF(AND($G311&gt;=30,$AT$3&lt;=BY$7),ROUND(BY311*($AP$3+#REF!),-1),""))</f>
        <v/>
      </c>
      <c r="CA311" s="503" t="s">
        <v>621</v>
      </c>
      <c r="CB311" s="503" t="str">
        <f>IF($G311="","",IF(AND($G311&gt;=30,$AT$3&lt;=CA$7),ROUND(CA311*($AP$3+#REF!),-1),""))</f>
        <v/>
      </c>
      <c r="CC311" s="503" t="s">
        <v>621</v>
      </c>
      <c r="CD311" s="503" t="str">
        <f>IF($G311="","",IF(AND($G311&gt;=30,$AT$3&lt;=CC$7),ROUND(CC311*($AP$3+#REF!),-1),""))</f>
        <v/>
      </c>
      <c r="CE311" s="517" t="e">
        <v>#REF!</v>
      </c>
      <c r="CF311" s="503" t="str">
        <f>IF($G311="","",IF(AND($G311&gt;=30,$AT$3&lt;=CE$7),ROUND(CE311*($AP$3+#REF!),-1),""))</f>
        <v/>
      </c>
      <c r="CG311" s="517"/>
      <c r="CH311" s="503" t="str">
        <f>IF($G311="","",IF(AND($G311&gt;=30,$AT$3&lt;=CG$7),ROUND(CG311*($AP$3+#REF!),-1),""))</f>
        <v/>
      </c>
      <c r="CI311" s="517"/>
      <c r="CJ311" s="503" t="str">
        <f>IF($G311="","",IF(AND($G311&gt;=30,$AT$3&lt;=CI$7),ROUND(CI311*($AP$3+#REF!),-1),""))</f>
        <v/>
      </c>
      <c r="CK311" s="517"/>
      <c r="CL311" s="503" t="str">
        <f>IF($G311="","",IF(AND($G311&gt;=30,$AT$3&lt;=CK$7),ROUND(CK311*($AP$3+#REF!),-1),""))</f>
        <v/>
      </c>
      <c r="CM311" s="517"/>
      <c r="CN311" s="503" t="str">
        <f>IF($G311="","",IF(AND($G311&gt;=30,$AT$3&lt;=CM$7),ROUND(CM311*($AP$3+#REF!),-1),""))</f>
        <v/>
      </c>
      <c r="CO311" s="517"/>
      <c r="CP311" s="503" t="str">
        <f>IF($G311="","",IF(AND($G311&gt;=30,$AT$3&lt;=CO$7),ROUND(CO311*($AP$3+#REF!),-1),""))</f>
        <v/>
      </c>
      <c r="CQ311" s="517"/>
      <c r="CR311" s="503" t="str">
        <f>IF($G311="","",IF(AND($G311&gt;=30,$AT$3&lt;=CQ$7),ROUND(CQ311*($AP$3+#REF!),-1),""))</f>
        <v/>
      </c>
      <c r="CS311" s="517"/>
      <c r="CT311" s="503" t="str">
        <f>IF($G311="","",IF(AND($G311&gt;=30,$AT$3&lt;=CS$7),ROUND(CS311*($AP$3+#REF!),-1),""))</f>
        <v/>
      </c>
      <c r="CU311" s="517"/>
      <c r="CV311" s="503" t="str">
        <f>IF($G311="","",IF(AND($G311&gt;=30,$AT$3&lt;=CU$7),ROUND(CU311*($AP$3+#REF!),-1),""))</f>
        <v/>
      </c>
      <c r="CW311" s="517"/>
      <c r="CX311" s="503" t="str">
        <f>IF($G311="","",IF(AND($G311&gt;=30,$AT$3&lt;=CW$7),ROUND(CW311*($AP$3+#REF!),-1),""))</f>
        <v/>
      </c>
      <c r="CY311" s="517"/>
      <c r="CZ311" s="503" t="str">
        <f>IF($G311="","",IF(AND($G311&gt;=30,$AT$3&lt;=CY$7),ROUND(CY311*($AP$3+#REF!),-1),""))</f>
        <v/>
      </c>
      <c r="DA311" s="517"/>
      <c r="DB311" s="503" t="str">
        <f>IF($G311="","",IF(AND($G311&gt;=30,$AT$3&lt;=DA$7),ROUND(DA311*($AP$3+#REF!),-1),""))</f>
        <v/>
      </c>
      <c r="DC311" s="517"/>
      <c r="DD311" s="503" t="str">
        <f>IF($G311="","",IF(AND($G311&gt;=30,$AT$3&lt;=DC$7),ROUND(DC311*($AP$3+#REF!),-1),""))</f>
        <v/>
      </c>
      <c r="DE311" s="517"/>
      <c r="DF311" s="503" t="str">
        <f>IF($G311="","",IF(AND($G311&gt;=30,$AT$3&lt;=DE$7),ROUND(DE311*($AP$3+#REF!),-1),""))</f>
        <v/>
      </c>
      <c r="DG311" s="517"/>
      <c r="DH311" s="503" t="str">
        <f>IF($G311="","",IF(AND($G311&gt;=30,$AT$3&lt;=DG$7),ROUND(DG311*($AP$3+#REF!),-1),""))</f>
        <v/>
      </c>
      <c r="DI311" s="517"/>
      <c r="DJ311" s="503" t="str">
        <f>IF($G311="","",IF(AND($G311&gt;=30,$AT$3&lt;=DI$7),ROUND(DI311*($AP$3+#REF!),-1),""))</f>
        <v/>
      </c>
      <c r="DK311" s="517"/>
      <c r="DL311" s="503" t="str">
        <f>IF($G311="","",IF(AND($G311&gt;=30,$AT$3&lt;=DK$7),ROUND(DK311*($AP$3+#REF!),-1),""))</f>
        <v/>
      </c>
      <c r="DM311" s="517"/>
      <c r="DN311" s="503" t="str">
        <f>IF($G311="","",IF(AND($G311&gt;=30,$AT$3&lt;=DM$7),ROUND(DM311*($AP$3+#REF!),-1),""))</f>
        <v/>
      </c>
      <c r="DO311" s="517"/>
      <c r="DP311" s="503" t="str">
        <f>IF($G311="","",IF(AND($G311&gt;=30,$AT$3&lt;=DO$7),ROUND(DO311*($AP$3+#REF!),-1),""))</f>
        <v/>
      </c>
      <c r="DQ311" s="517"/>
      <c r="DR311" s="503" t="str">
        <f>IF($G311="","",IF(AND($G311&gt;=30,$AT$3&lt;=DQ$7),ROUND(DQ311*($AP$3+#REF!),-1),""))</f>
        <v/>
      </c>
      <c r="DS311" s="517"/>
      <c r="DT311" s="503" t="str">
        <f>IF($G311="","",IF(AND($G311&gt;=30,$AT$3&lt;=DS$7),ROUND(DS311*($AP$3+#REF!),-1),""))</f>
        <v/>
      </c>
      <c r="DU311" s="517"/>
      <c r="DV311" s="503" t="str">
        <f>IF($G311="","",IF(AND($G311&gt;=30,$AT$3&lt;=DU$7),ROUND(DU311*($AP$3+#REF!),-1),""))</f>
        <v/>
      </c>
      <c r="DW311" s="517"/>
      <c r="DX311" s="503" t="str">
        <f>IF($G311="","",IF(AND($G311&gt;=30,$AT$3&lt;=DW$7),ROUND(DW311*($AP$3+#REF!),-1),""))</f>
        <v/>
      </c>
      <c r="DY311" s="517"/>
      <c r="DZ311" s="503" t="str">
        <f>IF($G311="","",IF(AND($G311&gt;=30,$AT$3&lt;=DY$7),ROUND(DY311*($AP$3+#REF!),-1),""))</f>
        <v/>
      </c>
      <c r="EA311" s="517"/>
      <c r="EB311" s="503" t="str">
        <f>IF($G311="","",IF(AND($G311&gt;=30,$AT$3&lt;=EA$7),ROUND(EA311*($AP$3+#REF!),-1),""))</f>
        <v/>
      </c>
      <c r="EC311" s="504" t="s">
        <v>621</v>
      </c>
      <c r="ED311" s="1124"/>
      <c r="EE311" s="325">
        <v>3</v>
      </c>
    </row>
    <row r="312" spans="1:135" ht="9.75" customHeight="1">
      <c r="A312" s="321" t="str">
        <f t="shared" si="68"/>
        <v/>
      </c>
      <c r="B312" s="567">
        <f>(ii!$D$13*12+V312)+1</f>
        <v>206</v>
      </c>
      <c r="C312" s="337">
        <f t="shared" si="72"/>
        <v>51621</v>
      </c>
      <c r="D312" s="484">
        <f t="shared" si="75"/>
        <v>2041</v>
      </c>
      <c r="E312" s="484">
        <f t="shared" si="73"/>
        <v>0.33333333333333331</v>
      </c>
      <c r="F312" s="484">
        <f t="shared" si="76"/>
        <v>2041.3333333333333</v>
      </c>
      <c r="G312" s="485" t="str">
        <f>IF(OR(C312&lt;$I$2,C312&gt;$J$3),"",(ii!$D$13*12+V312+1)/12)</f>
        <v/>
      </c>
      <c r="H312" s="486"/>
      <c r="I312" s="486"/>
      <c r="J312" s="487"/>
      <c r="K312" s="488"/>
      <c r="L312" s="548"/>
      <c r="M312" s="489" t="str">
        <f t="shared" si="77"/>
        <v/>
      </c>
      <c r="N312" s="490" t="s">
        <v>621</v>
      </c>
      <c r="O312" s="490" t="str">
        <f t="shared" si="70"/>
        <v/>
      </c>
      <c r="P312" s="491"/>
      <c r="Q312" s="491"/>
      <c r="R312" s="491" t="str">
        <f t="shared" si="71"/>
        <v/>
      </c>
      <c r="S312" s="528" t="str">
        <f t="shared" si="69"/>
        <v/>
      </c>
      <c r="T312" s="528" t="str">
        <f t="shared" si="67"/>
        <v/>
      </c>
      <c r="U312" s="493" t="str">
        <f>IF(H312="","",#REF!*12+#REF!+#REF!*12+#REF!)</f>
        <v/>
      </c>
      <c r="V312" s="338">
        <f>IF(ii!$J$3&gt;gg!C312,"",IF(AND((YEAR(C312)=YEAR($I$2)),MONTH(C312)=MONTH($I$2)),ii!$B$14*12+ii!$C$14+ii!$B$15*12+ii!$C$15-1,V311+1))</f>
        <v>205</v>
      </c>
      <c r="W312" s="339">
        <f t="shared" si="74"/>
        <v>17.083333333333332</v>
      </c>
      <c r="X312" s="494" t="s">
        <v>621</v>
      </c>
      <c r="Y312" s="495" t="s">
        <v>621</v>
      </c>
      <c r="Z312" s="496"/>
      <c r="AA312" s="497"/>
      <c r="AB312" s="498" t="e">
        <f t="shared" si="80"/>
        <v>#VALUE!</v>
      </c>
      <c r="AC312" s="484" t="str">
        <f t="shared" si="78"/>
        <v/>
      </c>
      <c r="AD312" s="495" t="str">
        <f t="shared" si="79"/>
        <v/>
      </c>
      <c r="AE312" s="499" t="s">
        <v>621</v>
      </c>
      <c r="AF312" s="500" t="s">
        <v>621</v>
      </c>
      <c r="AG312" s="556" t="s">
        <v>621</v>
      </c>
      <c r="AH312" s="503" t="str">
        <f>IF($G312="","",IF(AND($G312&gt;=30,$AT$3&lt;=AG$7),ROUND(AG312*($AP$3+#REF!),-1),""))</f>
        <v/>
      </c>
      <c r="AI312" s="506" t="s">
        <v>621</v>
      </c>
      <c r="AJ312" s="503" t="str">
        <f>IF($G312="","",IF(AND($G312&gt;=30,$AT$3&lt;=AI$7),ROUND(AI312*($AP$3+#REF!),-1),""))</f>
        <v/>
      </c>
      <c r="AK312" s="506" t="s">
        <v>621</v>
      </c>
      <c r="AL312" s="503" t="str">
        <f>IF($G312="","",IF(AND($G312&gt;=30,$AT$3&lt;=AK$7),ROUND(AK312*($AP$3+#REF!),-1),""))</f>
        <v/>
      </c>
      <c r="AM312" s="506" t="s">
        <v>621</v>
      </c>
      <c r="AN312" s="503" t="str">
        <f>IF($G312="","",IF(AND($G312&gt;=30,$AT$3&lt;=AM$7),ROUND(AM312*($AP$3+#REF!),-1),""))</f>
        <v/>
      </c>
      <c r="AO312" s="503" t="e">
        <v>#REF!</v>
      </c>
      <c r="AP312" s="503" t="str">
        <f>IF($G312="","",IF(AND($G312&gt;=30,$AT$3&lt;=AO$7),ROUND(AO312*($AP$3+#REF!),-1),""))</f>
        <v/>
      </c>
      <c r="AQ312" s="503" t="s">
        <v>621</v>
      </c>
      <c r="AR312" s="503" t="str">
        <f>IF($G312="","",IF(AND($G312&gt;=30,$AT$3&lt;=AQ$7),ROUND(AQ312*($AP$3+#REF!),-1),""))</f>
        <v/>
      </c>
      <c r="AS312" s="503" t="s">
        <v>621</v>
      </c>
      <c r="AT312" s="503" t="str">
        <f>IF($G312="","",IF(AND($G312&gt;=30,$AT$3&lt;=AS$7),ROUND(AS312*($AP$3+#REF!),-1),""))</f>
        <v/>
      </c>
      <c r="AU312" s="503" t="s">
        <v>621</v>
      </c>
      <c r="AV312" s="503" t="str">
        <f>IF($G312="","",IF(AND($G312&gt;=30,$AT$3&lt;=AU$7),ROUND(AU312*($AP$3+#REF!),-1),""))</f>
        <v/>
      </c>
      <c r="AW312" s="503" t="s">
        <v>621</v>
      </c>
      <c r="AX312" s="503" t="str">
        <f>IF($G312="","",IF(AND($G312&gt;=30,$AT$3&lt;=AW$7),ROUND(AW312*($AP$3+#REF!),-1),""))</f>
        <v/>
      </c>
      <c r="AY312" s="503" t="s">
        <v>621</v>
      </c>
      <c r="AZ312" s="503" t="str">
        <f>IF($G312="","",IF(AND($G312&gt;=30,$AT$3&lt;=AY$7),ROUND(AY312*($AP$3+#REF!),-1),""))</f>
        <v/>
      </c>
      <c r="BA312" s="503" t="s">
        <v>621</v>
      </c>
      <c r="BB312" s="503" t="str">
        <f>IF($G312="","",IF(AND($G312&gt;=30,$AT$3&lt;=BA$7),ROUND(BA312*($AP$3+#REF!),-1),""))</f>
        <v/>
      </c>
      <c r="BC312" s="503" t="s">
        <v>621</v>
      </c>
      <c r="BD312" s="503" t="str">
        <f>IF($G312="","",IF(AND($G312&gt;=30,$AT$3&lt;=BC$7),ROUND(BC312*($AP$3+#REF!),-1),""))</f>
        <v/>
      </c>
      <c r="BE312" s="503" t="s">
        <v>621</v>
      </c>
      <c r="BF312" s="503" t="str">
        <f>IF($G312="","",IF(AND($G312&gt;=30,$AT$3&lt;=BE$7),ROUND(BE312*($AP$3+#REF!),-1),""))</f>
        <v/>
      </c>
      <c r="BG312" s="503" t="s">
        <v>621</v>
      </c>
      <c r="BH312" s="503" t="str">
        <f>IF($G312="","",IF(AND($G312&gt;=30,$AT$3&lt;=BG$7),ROUND(BG312*($AP$3+#REF!),-1),""))</f>
        <v/>
      </c>
      <c r="BI312" s="503" t="s">
        <v>621</v>
      </c>
      <c r="BJ312" s="503" t="str">
        <f>IF($G312="","",IF(AND($G312&gt;=30,$AT$3&lt;=BI$7),ROUND(BI312*($AP$3+#REF!),-1),""))</f>
        <v/>
      </c>
      <c r="BK312" s="503" t="s">
        <v>621</v>
      </c>
      <c r="BL312" s="503" t="str">
        <f>IF($G312="","",IF(AND($G312&gt;=30,$AT$3&lt;=BK$7),ROUND(BK312*($AP$3+#REF!),-1),""))</f>
        <v/>
      </c>
      <c r="BM312" s="503" t="s">
        <v>621</v>
      </c>
      <c r="BN312" s="503" t="str">
        <f>IF($G312="","",IF(AND($G312&gt;=30,$AT$3&lt;=BM$7),ROUND(BM312*($AP$3+#REF!),-1),""))</f>
        <v/>
      </c>
      <c r="BO312" s="503" t="s">
        <v>621</v>
      </c>
      <c r="BP312" s="503" t="str">
        <f>IF($G312="","",IF(AND($G312&gt;=30,$AT$3&lt;=BO$7),ROUND(BO312*($AP$3+#REF!),-1),""))</f>
        <v/>
      </c>
      <c r="BQ312" s="503" t="s">
        <v>621</v>
      </c>
      <c r="BR312" s="503" t="str">
        <f>IF($G312="","",IF(AND($G312&gt;=30,$AT$3&lt;=BQ$7),ROUND(BQ312*($AP$3+#REF!),-1),""))</f>
        <v/>
      </c>
      <c r="BS312" s="503" t="s">
        <v>621</v>
      </c>
      <c r="BT312" s="503" t="str">
        <f>IF($G312="","",IF(AND($G312&gt;=30,$AT$3&lt;=BS$7),ROUND(BS312*($AP$3+#REF!),-1),""))</f>
        <v/>
      </c>
      <c r="BU312" s="503" t="s">
        <v>621</v>
      </c>
      <c r="BV312" s="503" t="str">
        <f>IF($G312="","",IF(AND($G312&gt;=30,$AT$3&lt;=BU$7),ROUND(BU312*($AP$3+#REF!),-1),""))</f>
        <v/>
      </c>
      <c r="BW312" s="503" t="s">
        <v>621</v>
      </c>
      <c r="BX312" s="503" t="str">
        <f>IF($G312="","",IF(AND($G312&gt;=30,$AT$3&lt;=BW$7),ROUND(BW312*($AP$3+#REF!),-1),""))</f>
        <v/>
      </c>
      <c r="BY312" s="503" t="s">
        <v>621</v>
      </c>
      <c r="BZ312" s="503" t="str">
        <f>IF($G312="","",IF(AND($G312&gt;=30,$AT$3&lt;=BY$7),ROUND(BY312*($AP$3+#REF!),-1),""))</f>
        <v/>
      </c>
      <c r="CA312" s="503" t="s">
        <v>621</v>
      </c>
      <c r="CB312" s="503" t="str">
        <f>IF($G312="","",IF(AND($G312&gt;=30,$AT$3&lt;=CA$7),ROUND(CA312*($AP$3+#REF!),-1),""))</f>
        <v/>
      </c>
      <c r="CC312" s="503" t="s">
        <v>621</v>
      </c>
      <c r="CD312" s="503" t="str">
        <f>IF($G312="","",IF(AND($G312&gt;=30,$AT$3&lt;=CC$7),ROUND(CC312*($AP$3+#REF!),-1),""))</f>
        <v/>
      </c>
      <c r="CE312" s="517" t="e">
        <v>#REF!</v>
      </c>
      <c r="CF312" s="503" t="str">
        <f>IF($G312="","",IF(AND($G312&gt;=30,$AT$3&lt;=CE$7),ROUND(CE312*($AP$3+#REF!),-1),""))</f>
        <v/>
      </c>
      <c r="CG312" s="517"/>
      <c r="CH312" s="503" t="str">
        <f>IF($G312="","",IF(AND($G312&gt;=30,$AT$3&lt;=CG$7),ROUND(CG312*($AP$3+#REF!),-1),""))</f>
        <v/>
      </c>
      <c r="CI312" s="517"/>
      <c r="CJ312" s="503" t="str">
        <f>IF($G312="","",IF(AND($G312&gt;=30,$AT$3&lt;=CI$7),ROUND(CI312*($AP$3+#REF!),-1),""))</f>
        <v/>
      </c>
      <c r="CK312" s="517"/>
      <c r="CL312" s="503" t="str">
        <f>IF($G312="","",IF(AND($G312&gt;=30,$AT$3&lt;=CK$7),ROUND(CK312*($AP$3+#REF!),-1),""))</f>
        <v/>
      </c>
      <c r="CM312" s="517"/>
      <c r="CN312" s="503" t="str">
        <f>IF($G312="","",IF(AND($G312&gt;=30,$AT$3&lt;=CM$7),ROUND(CM312*($AP$3+#REF!),-1),""))</f>
        <v/>
      </c>
      <c r="CO312" s="517"/>
      <c r="CP312" s="503" t="str">
        <f>IF($G312="","",IF(AND($G312&gt;=30,$AT$3&lt;=CO$7),ROUND(CO312*($AP$3+#REF!),-1),""))</f>
        <v/>
      </c>
      <c r="CQ312" s="517"/>
      <c r="CR312" s="503" t="str">
        <f>IF($G312="","",IF(AND($G312&gt;=30,$AT$3&lt;=CQ$7),ROUND(CQ312*($AP$3+#REF!),-1),""))</f>
        <v/>
      </c>
      <c r="CS312" s="517"/>
      <c r="CT312" s="503" t="str">
        <f>IF($G312="","",IF(AND($G312&gt;=30,$AT$3&lt;=CS$7),ROUND(CS312*($AP$3+#REF!),-1),""))</f>
        <v/>
      </c>
      <c r="CU312" s="517"/>
      <c r="CV312" s="503" t="str">
        <f>IF($G312="","",IF(AND($G312&gt;=30,$AT$3&lt;=CU$7),ROUND(CU312*($AP$3+#REF!),-1),""))</f>
        <v/>
      </c>
      <c r="CW312" s="517"/>
      <c r="CX312" s="503" t="str">
        <f>IF($G312="","",IF(AND($G312&gt;=30,$AT$3&lt;=CW$7),ROUND(CW312*($AP$3+#REF!),-1),""))</f>
        <v/>
      </c>
      <c r="CY312" s="517"/>
      <c r="CZ312" s="503" t="str">
        <f>IF($G312="","",IF(AND($G312&gt;=30,$AT$3&lt;=CY$7),ROUND(CY312*($AP$3+#REF!),-1),""))</f>
        <v/>
      </c>
      <c r="DA312" s="517"/>
      <c r="DB312" s="503" t="str">
        <f>IF($G312="","",IF(AND($G312&gt;=30,$AT$3&lt;=DA$7),ROUND(DA312*($AP$3+#REF!),-1),""))</f>
        <v/>
      </c>
      <c r="DC312" s="517"/>
      <c r="DD312" s="503" t="str">
        <f>IF($G312="","",IF(AND($G312&gt;=30,$AT$3&lt;=DC$7),ROUND(DC312*($AP$3+#REF!),-1),""))</f>
        <v/>
      </c>
      <c r="DE312" s="517"/>
      <c r="DF312" s="503" t="str">
        <f>IF($G312="","",IF(AND($G312&gt;=30,$AT$3&lt;=DE$7),ROUND(DE312*($AP$3+#REF!),-1),""))</f>
        <v/>
      </c>
      <c r="DG312" s="517"/>
      <c r="DH312" s="503" t="str">
        <f>IF($G312="","",IF(AND($G312&gt;=30,$AT$3&lt;=DG$7),ROUND(DG312*($AP$3+#REF!),-1),""))</f>
        <v/>
      </c>
      <c r="DI312" s="517"/>
      <c r="DJ312" s="503" t="str">
        <f>IF($G312="","",IF(AND($G312&gt;=30,$AT$3&lt;=DI$7),ROUND(DI312*($AP$3+#REF!),-1),""))</f>
        <v/>
      </c>
      <c r="DK312" s="517"/>
      <c r="DL312" s="503" t="str">
        <f>IF($G312="","",IF(AND($G312&gt;=30,$AT$3&lt;=DK$7),ROUND(DK312*($AP$3+#REF!),-1),""))</f>
        <v/>
      </c>
      <c r="DM312" s="517"/>
      <c r="DN312" s="503" t="str">
        <f>IF($G312="","",IF(AND($G312&gt;=30,$AT$3&lt;=DM$7),ROUND(DM312*($AP$3+#REF!),-1),""))</f>
        <v/>
      </c>
      <c r="DO312" s="517"/>
      <c r="DP312" s="503" t="str">
        <f>IF($G312="","",IF(AND($G312&gt;=30,$AT$3&lt;=DO$7),ROUND(DO312*($AP$3+#REF!),-1),""))</f>
        <v/>
      </c>
      <c r="DQ312" s="517"/>
      <c r="DR312" s="503" t="str">
        <f>IF($G312="","",IF(AND($G312&gt;=30,$AT$3&lt;=DQ$7),ROUND(DQ312*($AP$3+#REF!),-1),""))</f>
        <v/>
      </c>
      <c r="DS312" s="517"/>
      <c r="DT312" s="503" t="str">
        <f>IF($G312="","",IF(AND($G312&gt;=30,$AT$3&lt;=DS$7),ROUND(DS312*($AP$3+#REF!),-1),""))</f>
        <v/>
      </c>
      <c r="DU312" s="517"/>
      <c r="DV312" s="503" t="str">
        <f>IF($G312="","",IF(AND($G312&gt;=30,$AT$3&lt;=DU$7),ROUND(DU312*($AP$3+#REF!),-1),""))</f>
        <v/>
      </c>
      <c r="DW312" s="517"/>
      <c r="DX312" s="503" t="str">
        <f>IF($G312="","",IF(AND($G312&gt;=30,$AT$3&lt;=DW$7),ROUND(DW312*($AP$3+#REF!),-1),""))</f>
        <v/>
      </c>
      <c r="DY312" s="517"/>
      <c r="DZ312" s="503" t="str">
        <f>IF($G312="","",IF(AND($G312&gt;=30,$AT$3&lt;=DY$7),ROUND(DY312*($AP$3+#REF!),-1),""))</f>
        <v/>
      </c>
      <c r="EA312" s="517"/>
      <c r="EB312" s="503" t="str">
        <f>IF($G312="","",IF(AND($G312&gt;=30,$AT$3&lt;=EA$7),ROUND(EA312*($AP$3+#REF!),-1),""))</f>
        <v/>
      </c>
      <c r="EC312" s="504" t="s">
        <v>621</v>
      </c>
      <c r="ED312" s="1124"/>
      <c r="EE312" s="325">
        <v>4</v>
      </c>
    </row>
    <row r="313" spans="1:135" ht="9.75" customHeight="1">
      <c r="A313" s="321" t="str">
        <f t="shared" si="68"/>
        <v/>
      </c>
      <c r="B313" s="567">
        <f>(ii!$D$13*12+V313)+1</f>
        <v>207</v>
      </c>
      <c r="C313" s="337">
        <f t="shared" si="72"/>
        <v>51652</v>
      </c>
      <c r="D313" s="484">
        <f t="shared" si="75"/>
        <v>2041</v>
      </c>
      <c r="E313" s="484">
        <f t="shared" si="73"/>
        <v>0.41666666666666669</v>
      </c>
      <c r="F313" s="484">
        <f t="shared" si="76"/>
        <v>2041.4166666666667</v>
      </c>
      <c r="G313" s="485" t="str">
        <f>IF(OR(C313&lt;$I$2,C313&gt;$J$3),"",(ii!$D$13*12+V313+1)/12)</f>
        <v/>
      </c>
      <c r="H313" s="486"/>
      <c r="I313" s="486"/>
      <c r="J313" s="507"/>
      <c r="K313" s="508"/>
      <c r="L313" s="548"/>
      <c r="M313" s="489" t="str">
        <f t="shared" si="77"/>
        <v/>
      </c>
      <c r="N313" s="490" t="s">
        <v>621</v>
      </c>
      <c r="O313" s="490" t="str">
        <f t="shared" si="70"/>
        <v/>
      </c>
      <c r="P313" s="507"/>
      <c r="Q313" s="507"/>
      <c r="R313" s="491" t="str">
        <f t="shared" si="71"/>
        <v/>
      </c>
      <c r="S313" s="528" t="str">
        <f t="shared" si="69"/>
        <v/>
      </c>
      <c r="T313" s="528" t="str">
        <f t="shared" ref="T313:T376" si="81">IF(OR(S313="",S312=""),"",S313-S312)</f>
        <v/>
      </c>
      <c r="U313" s="493" t="str">
        <f>IF(H313="","",#REF!*12+#REF!+#REF!*12+#REF!)</f>
        <v/>
      </c>
      <c r="V313" s="338">
        <f>IF(ii!$J$3&gt;gg!C313,"",IF(AND((YEAR(C313)=YEAR($I$2)),MONTH(C313)=MONTH($I$2)),ii!$B$14*12+ii!$C$14+ii!$B$15*12+ii!$C$15-1,V312+1))</f>
        <v>206</v>
      </c>
      <c r="W313" s="339">
        <f t="shared" si="74"/>
        <v>17.166666666666668</v>
      </c>
      <c r="X313" s="494" t="s">
        <v>621</v>
      </c>
      <c r="Y313" s="495" t="s">
        <v>621</v>
      </c>
      <c r="Z313" s="496"/>
      <c r="AA313" s="497"/>
      <c r="AB313" s="498" t="e">
        <f t="shared" si="80"/>
        <v>#VALUE!</v>
      </c>
      <c r="AC313" s="484" t="str">
        <f t="shared" si="78"/>
        <v/>
      </c>
      <c r="AD313" s="495" t="str">
        <f t="shared" si="79"/>
        <v/>
      </c>
      <c r="AE313" s="499" t="s">
        <v>621</v>
      </c>
      <c r="AF313" s="500" t="s">
        <v>621</v>
      </c>
      <c r="AG313" s="556" t="s">
        <v>621</v>
      </c>
      <c r="AH313" s="503" t="str">
        <f>IF($G313="","",IF(AND($G313&gt;=30,$AT$3&lt;=AG$7),ROUND(AG313*($AP$3+#REF!),-1),""))</f>
        <v/>
      </c>
      <c r="AI313" s="506" t="s">
        <v>621</v>
      </c>
      <c r="AJ313" s="503" t="str">
        <f>IF($G313="","",IF(AND($G313&gt;=30,$AT$3&lt;=AI$7),ROUND(AI313*($AP$3+#REF!),-1),""))</f>
        <v/>
      </c>
      <c r="AK313" s="506" t="s">
        <v>621</v>
      </c>
      <c r="AL313" s="503" t="str">
        <f>IF($G313="","",IF(AND($G313&gt;=30,$AT$3&lt;=AK$7),ROUND(AK313*($AP$3+#REF!),-1),""))</f>
        <v/>
      </c>
      <c r="AM313" s="506" t="s">
        <v>621</v>
      </c>
      <c r="AN313" s="503" t="str">
        <f>IF($G313="","",IF(AND($G313&gt;=30,$AT$3&lt;=AM$7),ROUND(AM313*($AP$3+#REF!),-1),""))</f>
        <v/>
      </c>
      <c r="AO313" s="503" t="e">
        <v>#REF!</v>
      </c>
      <c r="AP313" s="503" t="str">
        <f>IF($G313="","",IF(AND($G313&gt;=30,$AT$3&lt;=AO$7),ROUND(AO313*($AP$3+#REF!),-1),""))</f>
        <v/>
      </c>
      <c r="AQ313" s="503" t="s">
        <v>621</v>
      </c>
      <c r="AR313" s="503" t="str">
        <f>IF($G313="","",IF(AND($G313&gt;=30,$AT$3&lt;=AQ$7),ROUND(AQ313*($AP$3+#REF!),-1),""))</f>
        <v/>
      </c>
      <c r="AS313" s="503" t="s">
        <v>621</v>
      </c>
      <c r="AT313" s="503" t="str">
        <f>IF($G313="","",IF(AND($G313&gt;=30,$AT$3&lt;=AS$7),ROUND(AS313*($AP$3+#REF!),-1),""))</f>
        <v/>
      </c>
      <c r="AU313" s="503" t="s">
        <v>621</v>
      </c>
      <c r="AV313" s="503" t="str">
        <f>IF($G313="","",IF(AND($G313&gt;=30,$AT$3&lt;=AU$7),ROUND(AU313*($AP$3+#REF!),-1),""))</f>
        <v/>
      </c>
      <c r="AW313" s="503" t="s">
        <v>621</v>
      </c>
      <c r="AX313" s="503" t="str">
        <f>IF($G313="","",IF(AND($G313&gt;=30,$AT$3&lt;=AW$7),ROUND(AW313*($AP$3+#REF!),-1),""))</f>
        <v/>
      </c>
      <c r="AY313" s="503" t="s">
        <v>621</v>
      </c>
      <c r="AZ313" s="503" t="str">
        <f>IF($G313="","",IF(AND($G313&gt;=30,$AT$3&lt;=AY$7),ROUND(AY313*($AP$3+#REF!),-1),""))</f>
        <v/>
      </c>
      <c r="BA313" s="503" t="s">
        <v>621</v>
      </c>
      <c r="BB313" s="503" t="str">
        <f>IF($G313="","",IF(AND($G313&gt;=30,$AT$3&lt;=BA$7),ROUND(BA313*($AP$3+#REF!),-1),""))</f>
        <v/>
      </c>
      <c r="BC313" s="503" t="s">
        <v>621</v>
      </c>
      <c r="BD313" s="503" t="str">
        <f>IF($G313="","",IF(AND($G313&gt;=30,$AT$3&lt;=BC$7),ROUND(BC313*($AP$3+#REF!),-1),""))</f>
        <v/>
      </c>
      <c r="BE313" s="503" t="s">
        <v>621</v>
      </c>
      <c r="BF313" s="503" t="str">
        <f>IF($G313="","",IF(AND($G313&gt;=30,$AT$3&lt;=BE$7),ROUND(BE313*($AP$3+#REF!),-1),""))</f>
        <v/>
      </c>
      <c r="BG313" s="503" t="s">
        <v>621</v>
      </c>
      <c r="BH313" s="503" t="str">
        <f>IF($G313="","",IF(AND($G313&gt;=30,$AT$3&lt;=BG$7),ROUND(BG313*($AP$3+#REF!),-1),""))</f>
        <v/>
      </c>
      <c r="BI313" s="503" t="s">
        <v>621</v>
      </c>
      <c r="BJ313" s="503" t="str">
        <f>IF($G313="","",IF(AND($G313&gt;=30,$AT$3&lt;=BI$7),ROUND(BI313*($AP$3+#REF!),-1),""))</f>
        <v/>
      </c>
      <c r="BK313" s="503" t="s">
        <v>621</v>
      </c>
      <c r="BL313" s="503" t="str">
        <f>IF($G313="","",IF(AND($G313&gt;=30,$AT$3&lt;=BK$7),ROUND(BK313*($AP$3+#REF!),-1),""))</f>
        <v/>
      </c>
      <c r="BM313" s="503" t="s">
        <v>621</v>
      </c>
      <c r="BN313" s="503" t="str">
        <f>IF($G313="","",IF(AND($G313&gt;=30,$AT$3&lt;=BM$7),ROUND(BM313*($AP$3+#REF!),-1),""))</f>
        <v/>
      </c>
      <c r="BO313" s="503" t="s">
        <v>621</v>
      </c>
      <c r="BP313" s="503" t="str">
        <f>IF($G313="","",IF(AND($G313&gt;=30,$AT$3&lt;=BO$7),ROUND(BO313*($AP$3+#REF!),-1),""))</f>
        <v/>
      </c>
      <c r="BQ313" s="503" t="s">
        <v>621</v>
      </c>
      <c r="BR313" s="503" t="str">
        <f>IF($G313="","",IF(AND($G313&gt;=30,$AT$3&lt;=BQ$7),ROUND(BQ313*($AP$3+#REF!),-1),""))</f>
        <v/>
      </c>
      <c r="BS313" s="503" t="s">
        <v>621</v>
      </c>
      <c r="BT313" s="503" t="str">
        <f>IF($G313="","",IF(AND($G313&gt;=30,$AT$3&lt;=BS$7),ROUND(BS313*($AP$3+#REF!),-1),""))</f>
        <v/>
      </c>
      <c r="BU313" s="503" t="s">
        <v>621</v>
      </c>
      <c r="BV313" s="503" t="str">
        <f>IF($G313="","",IF(AND($G313&gt;=30,$AT$3&lt;=BU$7),ROUND(BU313*($AP$3+#REF!),-1),""))</f>
        <v/>
      </c>
      <c r="BW313" s="503" t="s">
        <v>621</v>
      </c>
      <c r="BX313" s="503" t="str">
        <f>IF($G313="","",IF(AND($G313&gt;=30,$AT$3&lt;=BW$7),ROUND(BW313*($AP$3+#REF!),-1),""))</f>
        <v/>
      </c>
      <c r="BY313" s="503" t="s">
        <v>621</v>
      </c>
      <c r="BZ313" s="503" t="str">
        <f>IF($G313="","",IF(AND($G313&gt;=30,$AT$3&lt;=BY$7),ROUND(BY313*($AP$3+#REF!),-1),""))</f>
        <v/>
      </c>
      <c r="CA313" s="503" t="s">
        <v>621</v>
      </c>
      <c r="CB313" s="503" t="str">
        <f>IF($G313="","",IF(AND($G313&gt;=30,$AT$3&lt;=CA$7),ROUND(CA313*($AP$3+#REF!),-1),""))</f>
        <v/>
      </c>
      <c r="CC313" s="503" t="s">
        <v>621</v>
      </c>
      <c r="CD313" s="503" t="str">
        <f>IF($G313="","",IF(AND($G313&gt;=30,$AT$3&lt;=CC$7),ROUND(CC313*($AP$3+#REF!),-1),""))</f>
        <v/>
      </c>
      <c r="CE313" s="517" t="e">
        <v>#REF!</v>
      </c>
      <c r="CF313" s="503" t="str">
        <f>IF($G313="","",IF(AND($G313&gt;=30,$AT$3&lt;=CE$7),ROUND(CE313*($AP$3+#REF!),-1),""))</f>
        <v/>
      </c>
      <c r="CG313" s="517"/>
      <c r="CH313" s="503" t="str">
        <f>IF($G313="","",IF(AND($G313&gt;=30,$AT$3&lt;=CG$7),ROUND(CG313*($AP$3+#REF!),-1),""))</f>
        <v/>
      </c>
      <c r="CI313" s="517"/>
      <c r="CJ313" s="503" t="str">
        <f>IF($G313="","",IF(AND($G313&gt;=30,$AT$3&lt;=CI$7),ROUND(CI313*($AP$3+#REF!),-1),""))</f>
        <v/>
      </c>
      <c r="CK313" s="517"/>
      <c r="CL313" s="503" t="str">
        <f>IF($G313="","",IF(AND($G313&gt;=30,$AT$3&lt;=CK$7),ROUND(CK313*($AP$3+#REF!),-1),""))</f>
        <v/>
      </c>
      <c r="CM313" s="517"/>
      <c r="CN313" s="503" t="str">
        <f>IF($G313="","",IF(AND($G313&gt;=30,$AT$3&lt;=CM$7),ROUND(CM313*($AP$3+#REF!),-1),""))</f>
        <v/>
      </c>
      <c r="CO313" s="517"/>
      <c r="CP313" s="503" t="str">
        <f>IF($G313="","",IF(AND($G313&gt;=30,$AT$3&lt;=CO$7),ROUND(CO313*($AP$3+#REF!),-1),""))</f>
        <v/>
      </c>
      <c r="CQ313" s="517"/>
      <c r="CR313" s="503" t="str">
        <f>IF($G313="","",IF(AND($G313&gt;=30,$AT$3&lt;=CQ$7),ROUND(CQ313*($AP$3+#REF!),-1),""))</f>
        <v/>
      </c>
      <c r="CS313" s="517"/>
      <c r="CT313" s="503" t="str">
        <f>IF($G313="","",IF(AND($G313&gt;=30,$AT$3&lt;=CS$7),ROUND(CS313*($AP$3+#REF!),-1),""))</f>
        <v/>
      </c>
      <c r="CU313" s="517"/>
      <c r="CV313" s="503" t="str">
        <f>IF($G313="","",IF(AND($G313&gt;=30,$AT$3&lt;=CU$7),ROUND(CU313*($AP$3+#REF!),-1),""))</f>
        <v/>
      </c>
      <c r="CW313" s="517"/>
      <c r="CX313" s="503" t="str">
        <f>IF($G313="","",IF(AND($G313&gt;=30,$AT$3&lt;=CW$7),ROUND(CW313*($AP$3+#REF!),-1),""))</f>
        <v/>
      </c>
      <c r="CY313" s="517"/>
      <c r="CZ313" s="503" t="str">
        <f>IF($G313="","",IF(AND($G313&gt;=30,$AT$3&lt;=CY$7),ROUND(CY313*($AP$3+#REF!),-1),""))</f>
        <v/>
      </c>
      <c r="DA313" s="517"/>
      <c r="DB313" s="503" t="str">
        <f>IF($G313="","",IF(AND($G313&gt;=30,$AT$3&lt;=DA$7),ROUND(DA313*($AP$3+#REF!),-1),""))</f>
        <v/>
      </c>
      <c r="DC313" s="517"/>
      <c r="DD313" s="503" t="str">
        <f>IF($G313="","",IF(AND($G313&gt;=30,$AT$3&lt;=DC$7),ROUND(DC313*($AP$3+#REF!),-1),""))</f>
        <v/>
      </c>
      <c r="DE313" s="517"/>
      <c r="DF313" s="503" t="str">
        <f>IF($G313="","",IF(AND($G313&gt;=30,$AT$3&lt;=DE$7),ROUND(DE313*($AP$3+#REF!),-1),""))</f>
        <v/>
      </c>
      <c r="DG313" s="517"/>
      <c r="DH313" s="503" t="str">
        <f>IF($G313="","",IF(AND($G313&gt;=30,$AT$3&lt;=DG$7),ROUND(DG313*($AP$3+#REF!),-1),""))</f>
        <v/>
      </c>
      <c r="DI313" s="517"/>
      <c r="DJ313" s="503" t="str">
        <f>IF($G313="","",IF(AND($G313&gt;=30,$AT$3&lt;=DI$7),ROUND(DI313*($AP$3+#REF!),-1),""))</f>
        <v/>
      </c>
      <c r="DK313" s="517"/>
      <c r="DL313" s="503" t="str">
        <f>IF($G313="","",IF(AND($G313&gt;=30,$AT$3&lt;=DK$7),ROUND(DK313*($AP$3+#REF!),-1),""))</f>
        <v/>
      </c>
      <c r="DM313" s="517"/>
      <c r="DN313" s="503" t="str">
        <f>IF($G313="","",IF(AND($G313&gt;=30,$AT$3&lt;=DM$7),ROUND(DM313*($AP$3+#REF!),-1),""))</f>
        <v/>
      </c>
      <c r="DO313" s="517"/>
      <c r="DP313" s="503" t="str">
        <f>IF($G313="","",IF(AND($G313&gt;=30,$AT$3&lt;=DO$7),ROUND(DO313*($AP$3+#REF!),-1),""))</f>
        <v/>
      </c>
      <c r="DQ313" s="517"/>
      <c r="DR313" s="503" t="str">
        <f>IF($G313="","",IF(AND($G313&gt;=30,$AT$3&lt;=DQ$7),ROUND(DQ313*($AP$3+#REF!),-1),""))</f>
        <v/>
      </c>
      <c r="DS313" s="517"/>
      <c r="DT313" s="503" t="str">
        <f>IF($G313="","",IF(AND($G313&gt;=30,$AT$3&lt;=DS$7),ROUND(DS313*($AP$3+#REF!),-1),""))</f>
        <v/>
      </c>
      <c r="DU313" s="517"/>
      <c r="DV313" s="503" t="str">
        <f>IF($G313="","",IF(AND($G313&gt;=30,$AT$3&lt;=DU$7),ROUND(DU313*($AP$3+#REF!),-1),""))</f>
        <v/>
      </c>
      <c r="DW313" s="517"/>
      <c r="DX313" s="503" t="str">
        <f>IF($G313="","",IF(AND($G313&gt;=30,$AT$3&lt;=DW$7),ROUND(DW313*($AP$3+#REF!),-1),""))</f>
        <v/>
      </c>
      <c r="DY313" s="517"/>
      <c r="DZ313" s="503" t="str">
        <f>IF($G313="","",IF(AND($G313&gt;=30,$AT$3&lt;=DY$7),ROUND(DY313*($AP$3+#REF!),-1),""))</f>
        <v/>
      </c>
      <c r="EA313" s="517"/>
      <c r="EB313" s="503" t="str">
        <f>IF($G313="","",IF(AND($G313&gt;=30,$AT$3&lt;=EA$7),ROUND(EA313*($AP$3+#REF!),-1),""))</f>
        <v/>
      </c>
      <c r="EC313" s="504" t="s">
        <v>621</v>
      </c>
      <c r="ED313" s="1124"/>
      <c r="EE313" s="325">
        <v>5</v>
      </c>
    </row>
    <row r="314" spans="1:135" ht="9.75" customHeight="1">
      <c r="A314" s="321" t="str">
        <f t="shared" ref="A314:A377" si="82">G314</f>
        <v/>
      </c>
      <c r="B314" s="567">
        <f>(ii!$D$13*12+V314)+1</f>
        <v>208</v>
      </c>
      <c r="C314" s="337">
        <f t="shared" si="72"/>
        <v>51682</v>
      </c>
      <c r="D314" s="484">
        <f t="shared" si="75"/>
        <v>2041</v>
      </c>
      <c r="E314" s="484">
        <f t="shared" si="73"/>
        <v>0.5</v>
      </c>
      <c r="F314" s="484">
        <f t="shared" si="76"/>
        <v>2041.5</v>
      </c>
      <c r="G314" s="485" t="str">
        <f>IF(OR(C314&lt;$I$2,C314&gt;$J$3),"",(ii!$D$13*12+V314+1)/12)</f>
        <v/>
      </c>
      <c r="H314" s="486"/>
      <c r="I314" s="486"/>
      <c r="J314" s="487"/>
      <c r="K314" s="488"/>
      <c r="L314" s="548"/>
      <c r="M314" s="489" t="str">
        <f t="shared" si="77"/>
        <v/>
      </c>
      <c r="N314" s="490" t="s">
        <v>621</v>
      </c>
      <c r="O314" s="490" t="str">
        <f t="shared" si="70"/>
        <v/>
      </c>
      <c r="P314" s="491"/>
      <c r="Q314" s="491"/>
      <c r="R314" s="491" t="str">
        <f t="shared" si="71"/>
        <v/>
      </c>
      <c r="S314" s="528" t="str">
        <f t="shared" si="69"/>
        <v/>
      </c>
      <c r="T314" s="528" t="str">
        <f t="shared" si="81"/>
        <v/>
      </c>
      <c r="U314" s="493" t="str">
        <f>IF(H314="","",#REF!*12+#REF!+#REF!*12+#REF!)</f>
        <v/>
      </c>
      <c r="V314" s="338">
        <f>IF(ii!$J$3&gt;gg!C314,"",IF(AND((YEAR(C314)=YEAR($I$2)),MONTH(C314)=MONTH($I$2)),ii!$B$14*12+ii!$C$14+ii!$B$15*12+ii!$C$15-1,V313+1))</f>
        <v>207</v>
      </c>
      <c r="W314" s="339">
        <f t="shared" si="74"/>
        <v>17.25</v>
      </c>
      <c r="X314" s="494" t="s">
        <v>621</v>
      </c>
      <c r="Y314" s="495" t="s">
        <v>621</v>
      </c>
      <c r="Z314" s="496"/>
      <c r="AA314" s="497"/>
      <c r="AB314" s="498" t="e">
        <f t="shared" si="80"/>
        <v>#VALUE!</v>
      </c>
      <c r="AC314" s="484" t="str">
        <f t="shared" si="78"/>
        <v/>
      </c>
      <c r="AD314" s="495" t="str">
        <f t="shared" si="79"/>
        <v/>
      </c>
      <c r="AE314" s="499" t="s">
        <v>621</v>
      </c>
      <c r="AF314" s="500" t="s">
        <v>621</v>
      </c>
      <c r="AG314" s="556" t="s">
        <v>621</v>
      </c>
      <c r="AH314" s="503" t="str">
        <f>IF($G314="","",IF(AND($G314&gt;=30,$AT$3&lt;=AG$7),ROUND(AG314*($AP$3+#REF!),-1),""))</f>
        <v/>
      </c>
      <c r="AI314" s="506" t="s">
        <v>621</v>
      </c>
      <c r="AJ314" s="503" t="str">
        <f>IF($G314="","",IF(AND($G314&gt;=30,$AT$3&lt;=AI$7),ROUND(AI314*($AP$3+#REF!),-1),""))</f>
        <v/>
      </c>
      <c r="AK314" s="506" t="s">
        <v>621</v>
      </c>
      <c r="AL314" s="503" t="str">
        <f>IF($G314="","",IF(AND($G314&gt;=30,$AT$3&lt;=AK$7),ROUND(AK314*($AP$3+#REF!),-1),""))</f>
        <v/>
      </c>
      <c r="AM314" s="506" t="s">
        <v>621</v>
      </c>
      <c r="AN314" s="503" t="str">
        <f>IF($G314="","",IF(AND($G314&gt;=30,$AT$3&lt;=AM$7),ROUND(AM314*($AP$3+#REF!),-1),""))</f>
        <v/>
      </c>
      <c r="AO314" s="503" t="e">
        <v>#REF!</v>
      </c>
      <c r="AP314" s="503" t="str">
        <f>IF($G314="","",IF(AND($G314&gt;=30,$AT$3&lt;=AO$7),ROUND(AO314*($AP$3+#REF!),-1),""))</f>
        <v/>
      </c>
      <c r="AQ314" s="503" t="s">
        <v>621</v>
      </c>
      <c r="AR314" s="503" t="str">
        <f>IF($G314="","",IF(AND($G314&gt;=30,$AT$3&lt;=AQ$7),ROUND(AQ314*($AP$3+#REF!),-1),""))</f>
        <v/>
      </c>
      <c r="AS314" s="503" t="s">
        <v>621</v>
      </c>
      <c r="AT314" s="503" t="str">
        <f>IF($G314="","",IF(AND($G314&gt;=30,$AT$3&lt;=AS$7),ROUND(AS314*($AP$3+#REF!),-1),""))</f>
        <v/>
      </c>
      <c r="AU314" s="503" t="s">
        <v>621</v>
      </c>
      <c r="AV314" s="503" t="str">
        <f>IF($G314="","",IF(AND($G314&gt;=30,$AT$3&lt;=AU$7),ROUND(AU314*($AP$3+#REF!),-1),""))</f>
        <v/>
      </c>
      <c r="AW314" s="503" t="s">
        <v>621</v>
      </c>
      <c r="AX314" s="503" t="str">
        <f>IF($G314="","",IF(AND($G314&gt;=30,$AT$3&lt;=AW$7),ROUND(AW314*($AP$3+#REF!),-1),""))</f>
        <v/>
      </c>
      <c r="AY314" s="503" t="s">
        <v>621</v>
      </c>
      <c r="AZ314" s="503" t="str">
        <f>IF($G314="","",IF(AND($G314&gt;=30,$AT$3&lt;=AY$7),ROUND(AY314*($AP$3+#REF!),-1),""))</f>
        <v/>
      </c>
      <c r="BA314" s="503" t="s">
        <v>621</v>
      </c>
      <c r="BB314" s="503" t="str">
        <f>IF($G314="","",IF(AND($G314&gt;=30,$AT$3&lt;=BA$7),ROUND(BA314*($AP$3+#REF!),-1),""))</f>
        <v/>
      </c>
      <c r="BC314" s="503" t="s">
        <v>621</v>
      </c>
      <c r="BD314" s="503" t="str">
        <f>IF($G314="","",IF(AND($G314&gt;=30,$AT$3&lt;=BC$7),ROUND(BC314*($AP$3+#REF!),-1),""))</f>
        <v/>
      </c>
      <c r="BE314" s="503" t="s">
        <v>621</v>
      </c>
      <c r="BF314" s="503" t="str">
        <f>IF($G314="","",IF(AND($G314&gt;=30,$AT$3&lt;=BE$7),ROUND(BE314*($AP$3+#REF!),-1),""))</f>
        <v/>
      </c>
      <c r="BG314" s="503" t="s">
        <v>621</v>
      </c>
      <c r="BH314" s="503" t="str">
        <f>IF($G314="","",IF(AND($G314&gt;=30,$AT$3&lt;=BG$7),ROUND(BG314*($AP$3+#REF!),-1),""))</f>
        <v/>
      </c>
      <c r="BI314" s="503" t="s">
        <v>621</v>
      </c>
      <c r="BJ314" s="503" t="str">
        <f>IF($G314="","",IF(AND($G314&gt;=30,$AT$3&lt;=BI$7),ROUND(BI314*($AP$3+#REF!),-1),""))</f>
        <v/>
      </c>
      <c r="BK314" s="503" t="s">
        <v>621</v>
      </c>
      <c r="BL314" s="503" t="str">
        <f>IF($G314="","",IF(AND($G314&gt;=30,$AT$3&lt;=BK$7),ROUND(BK314*($AP$3+#REF!),-1),""))</f>
        <v/>
      </c>
      <c r="BM314" s="503" t="s">
        <v>621</v>
      </c>
      <c r="BN314" s="503" t="str">
        <f>IF($G314="","",IF(AND($G314&gt;=30,$AT$3&lt;=BM$7),ROUND(BM314*($AP$3+#REF!),-1),""))</f>
        <v/>
      </c>
      <c r="BO314" s="503" t="s">
        <v>621</v>
      </c>
      <c r="BP314" s="503" t="str">
        <f>IF($G314="","",IF(AND($G314&gt;=30,$AT$3&lt;=BO$7),ROUND(BO314*($AP$3+#REF!),-1),""))</f>
        <v/>
      </c>
      <c r="BQ314" s="503" t="s">
        <v>621</v>
      </c>
      <c r="BR314" s="503" t="str">
        <f>IF($G314="","",IF(AND($G314&gt;=30,$AT$3&lt;=BQ$7),ROUND(BQ314*($AP$3+#REF!),-1),""))</f>
        <v/>
      </c>
      <c r="BS314" s="503" t="s">
        <v>621</v>
      </c>
      <c r="BT314" s="503" t="str">
        <f>IF($G314="","",IF(AND($G314&gt;=30,$AT$3&lt;=BS$7),ROUND(BS314*($AP$3+#REF!),-1),""))</f>
        <v/>
      </c>
      <c r="BU314" s="503" t="s">
        <v>621</v>
      </c>
      <c r="BV314" s="503" t="str">
        <f>IF($G314="","",IF(AND($G314&gt;=30,$AT$3&lt;=BU$7),ROUND(BU314*($AP$3+#REF!),-1),""))</f>
        <v/>
      </c>
      <c r="BW314" s="503" t="s">
        <v>621</v>
      </c>
      <c r="BX314" s="503" t="str">
        <f>IF($G314="","",IF(AND($G314&gt;=30,$AT$3&lt;=BW$7),ROUND(BW314*($AP$3+#REF!),-1),""))</f>
        <v/>
      </c>
      <c r="BY314" s="503" t="s">
        <v>621</v>
      </c>
      <c r="BZ314" s="503" t="str">
        <f>IF($G314="","",IF(AND($G314&gt;=30,$AT$3&lt;=BY$7),ROUND(BY314*($AP$3+#REF!),-1),""))</f>
        <v/>
      </c>
      <c r="CA314" s="503" t="s">
        <v>621</v>
      </c>
      <c r="CB314" s="503" t="str">
        <f>IF($G314="","",IF(AND($G314&gt;=30,$AT$3&lt;=CA$7),ROUND(CA314*($AP$3+#REF!),-1),""))</f>
        <v/>
      </c>
      <c r="CC314" s="503" t="s">
        <v>621</v>
      </c>
      <c r="CD314" s="503" t="str">
        <f>IF($G314="","",IF(AND($G314&gt;=30,$AT$3&lt;=CC$7),ROUND(CC314*($AP$3+#REF!),-1),""))</f>
        <v/>
      </c>
      <c r="CE314" s="517" t="e">
        <v>#REF!</v>
      </c>
      <c r="CF314" s="503" t="str">
        <f>IF($G314="","",IF(AND($G314&gt;=30,$AT$3&lt;=CE$7),ROUND(CE314*($AP$3+#REF!),-1),""))</f>
        <v/>
      </c>
      <c r="CG314" s="517"/>
      <c r="CH314" s="503" t="str">
        <f>IF($G314="","",IF(AND($G314&gt;=30,$AT$3&lt;=CG$7),ROUND(CG314*($AP$3+#REF!),-1),""))</f>
        <v/>
      </c>
      <c r="CI314" s="517"/>
      <c r="CJ314" s="503" t="str">
        <f>IF($G314="","",IF(AND($G314&gt;=30,$AT$3&lt;=CI$7),ROUND(CI314*($AP$3+#REF!),-1),""))</f>
        <v/>
      </c>
      <c r="CK314" s="517"/>
      <c r="CL314" s="503" t="str">
        <f>IF($G314="","",IF(AND($G314&gt;=30,$AT$3&lt;=CK$7),ROUND(CK314*($AP$3+#REF!),-1),""))</f>
        <v/>
      </c>
      <c r="CM314" s="517"/>
      <c r="CN314" s="503" t="str">
        <f>IF($G314="","",IF(AND($G314&gt;=30,$AT$3&lt;=CM$7),ROUND(CM314*($AP$3+#REF!),-1),""))</f>
        <v/>
      </c>
      <c r="CO314" s="517"/>
      <c r="CP314" s="503" t="str">
        <f>IF($G314="","",IF(AND($G314&gt;=30,$AT$3&lt;=CO$7),ROUND(CO314*($AP$3+#REF!),-1),""))</f>
        <v/>
      </c>
      <c r="CQ314" s="517"/>
      <c r="CR314" s="503" t="str">
        <f>IF($G314="","",IF(AND($G314&gt;=30,$AT$3&lt;=CQ$7),ROUND(CQ314*($AP$3+#REF!),-1),""))</f>
        <v/>
      </c>
      <c r="CS314" s="517"/>
      <c r="CT314" s="503" t="str">
        <f>IF($G314="","",IF(AND($G314&gt;=30,$AT$3&lt;=CS$7),ROUND(CS314*($AP$3+#REF!),-1),""))</f>
        <v/>
      </c>
      <c r="CU314" s="517"/>
      <c r="CV314" s="503" t="str">
        <f>IF($G314="","",IF(AND($G314&gt;=30,$AT$3&lt;=CU$7),ROUND(CU314*($AP$3+#REF!),-1),""))</f>
        <v/>
      </c>
      <c r="CW314" s="517"/>
      <c r="CX314" s="503" t="str">
        <f>IF($G314="","",IF(AND($G314&gt;=30,$AT$3&lt;=CW$7),ROUND(CW314*($AP$3+#REF!),-1),""))</f>
        <v/>
      </c>
      <c r="CY314" s="517"/>
      <c r="CZ314" s="503" t="str">
        <f>IF($G314="","",IF(AND($G314&gt;=30,$AT$3&lt;=CY$7),ROUND(CY314*($AP$3+#REF!),-1),""))</f>
        <v/>
      </c>
      <c r="DA314" s="517"/>
      <c r="DB314" s="503" t="str">
        <f>IF($G314="","",IF(AND($G314&gt;=30,$AT$3&lt;=DA$7),ROUND(DA314*($AP$3+#REF!),-1),""))</f>
        <v/>
      </c>
      <c r="DC314" s="517"/>
      <c r="DD314" s="503" t="str">
        <f>IF($G314="","",IF(AND($G314&gt;=30,$AT$3&lt;=DC$7),ROUND(DC314*($AP$3+#REF!),-1),""))</f>
        <v/>
      </c>
      <c r="DE314" s="517"/>
      <c r="DF314" s="503" t="str">
        <f>IF($G314="","",IF(AND($G314&gt;=30,$AT$3&lt;=DE$7),ROUND(DE314*($AP$3+#REF!),-1),""))</f>
        <v/>
      </c>
      <c r="DG314" s="517"/>
      <c r="DH314" s="503" t="str">
        <f>IF($G314="","",IF(AND($G314&gt;=30,$AT$3&lt;=DG$7),ROUND(DG314*($AP$3+#REF!),-1),""))</f>
        <v/>
      </c>
      <c r="DI314" s="517"/>
      <c r="DJ314" s="503" t="str">
        <f>IF($G314="","",IF(AND($G314&gt;=30,$AT$3&lt;=DI$7),ROUND(DI314*($AP$3+#REF!),-1),""))</f>
        <v/>
      </c>
      <c r="DK314" s="517"/>
      <c r="DL314" s="503" t="str">
        <f>IF($G314="","",IF(AND($G314&gt;=30,$AT$3&lt;=DK$7),ROUND(DK314*($AP$3+#REF!),-1),""))</f>
        <v/>
      </c>
      <c r="DM314" s="517"/>
      <c r="DN314" s="503" t="str">
        <f>IF($G314="","",IF(AND($G314&gt;=30,$AT$3&lt;=DM$7),ROUND(DM314*($AP$3+#REF!),-1),""))</f>
        <v/>
      </c>
      <c r="DO314" s="517"/>
      <c r="DP314" s="503" t="str">
        <f>IF($G314="","",IF(AND($G314&gt;=30,$AT$3&lt;=DO$7),ROUND(DO314*($AP$3+#REF!),-1),""))</f>
        <v/>
      </c>
      <c r="DQ314" s="517"/>
      <c r="DR314" s="503" t="str">
        <f>IF($G314="","",IF(AND($G314&gt;=30,$AT$3&lt;=DQ$7),ROUND(DQ314*($AP$3+#REF!),-1),""))</f>
        <v/>
      </c>
      <c r="DS314" s="517"/>
      <c r="DT314" s="503" t="str">
        <f>IF($G314="","",IF(AND($G314&gt;=30,$AT$3&lt;=DS$7),ROUND(DS314*($AP$3+#REF!),-1),""))</f>
        <v/>
      </c>
      <c r="DU314" s="517"/>
      <c r="DV314" s="503" t="str">
        <f>IF($G314="","",IF(AND($G314&gt;=30,$AT$3&lt;=DU$7),ROUND(DU314*($AP$3+#REF!),-1),""))</f>
        <v/>
      </c>
      <c r="DW314" s="517"/>
      <c r="DX314" s="503" t="str">
        <f>IF($G314="","",IF(AND($G314&gt;=30,$AT$3&lt;=DW$7),ROUND(DW314*($AP$3+#REF!),-1),""))</f>
        <v/>
      </c>
      <c r="DY314" s="517"/>
      <c r="DZ314" s="503" t="str">
        <f>IF($G314="","",IF(AND($G314&gt;=30,$AT$3&lt;=DY$7),ROUND(DY314*($AP$3+#REF!),-1),""))</f>
        <v/>
      </c>
      <c r="EA314" s="517"/>
      <c r="EB314" s="503" t="str">
        <f>IF($G314="","",IF(AND($G314&gt;=30,$AT$3&lt;=EA$7),ROUND(EA314*($AP$3+#REF!),-1),""))</f>
        <v/>
      </c>
      <c r="EC314" s="504" t="s">
        <v>621</v>
      </c>
      <c r="ED314" s="1124"/>
      <c r="EE314" s="325">
        <v>6</v>
      </c>
    </row>
    <row r="315" spans="1:135" ht="9.75" customHeight="1">
      <c r="A315" s="321" t="str">
        <f t="shared" si="82"/>
        <v/>
      </c>
      <c r="B315" s="567">
        <f>(ii!$D$13*12+V315)+1</f>
        <v>209</v>
      </c>
      <c r="C315" s="337">
        <f t="shared" si="72"/>
        <v>51713</v>
      </c>
      <c r="D315" s="484">
        <f t="shared" si="75"/>
        <v>2041</v>
      </c>
      <c r="E315" s="484">
        <f t="shared" si="73"/>
        <v>0.58333333333333337</v>
      </c>
      <c r="F315" s="484">
        <f t="shared" si="76"/>
        <v>2041.5833333333333</v>
      </c>
      <c r="G315" s="485" t="str">
        <f>IF(OR(C315&lt;$I$2,C315&gt;$J$3),"",(ii!$D$13*12+V315+1)/12)</f>
        <v/>
      </c>
      <c r="H315" s="486"/>
      <c r="I315" s="486"/>
      <c r="J315" s="487"/>
      <c r="K315" s="488"/>
      <c r="L315" s="548"/>
      <c r="M315" s="489" t="str">
        <f t="shared" si="77"/>
        <v/>
      </c>
      <c r="N315" s="490" t="s">
        <v>621</v>
      </c>
      <c r="O315" s="490" t="str">
        <f t="shared" si="70"/>
        <v/>
      </c>
      <c r="P315" s="491"/>
      <c r="Q315" s="491"/>
      <c r="R315" s="491" t="str">
        <f t="shared" si="71"/>
        <v/>
      </c>
      <c r="S315" s="528" t="str">
        <f t="shared" si="69"/>
        <v/>
      </c>
      <c r="T315" s="528" t="str">
        <f t="shared" si="81"/>
        <v/>
      </c>
      <c r="U315" s="493" t="str">
        <f>IF(H315="","",#REF!*12+#REF!+#REF!*12+#REF!)</f>
        <v/>
      </c>
      <c r="V315" s="338">
        <f>IF(ii!$J$3&gt;gg!C315,"",IF(AND((YEAR(C315)=YEAR($I$2)),MONTH(C315)=MONTH($I$2)),ii!$B$14*12+ii!$C$14+ii!$B$15*12+ii!$C$15-1,V314+1))</f>
        <v>208</v>
      </c>
      <c r="W315" s="339">
        <f t="shared" si="74"/>
        <v>17.333333333333332</v>
      </c>
      <c r="X315" s="494" t="s">
        <v>621</v>
      </c>
      <c r="Y315" s="495" t="s">
        <v>621</v>
      </c>
      <c r="Z315" s="496"/>
      <c r="AA315" s="497"/>
      <c r="AB315" s="498" t="e">
        <f t="shared" si="80"/>
        <v>#VALUE!</v>
      </c>
      <c r="AC315" s="484" t="str">
        <f t="shared" si="78"/>
        <v/>
      </c>
      <c r="AD315" s="495" t="str">
        <f t="shared" si="79"/>
        <v/>
      </c>
      <c r="AE315" s="499" t="s">
        <v>621</v>
      </c>
      <c r="AF315" s="500" t="s">
        <v>621</v>
      </c>
      <c r="AG315" s="556" t="s">
        <v>621</v>
      </c>
      <c r="AH315" s="503" t="str">
        <f>IF($G315="","",IF(AND($G315&gt;=30,$AT$3&lt;=AG$7),ROUND(AG315*($AP$3+#REF!),-1),""))</f>
        <v/>
      </c>
      <c r="AI315" s="506" t="s">
        <v>621</v>
      </c>
      <c r="AJ315" s="503" t="str">
        <f>IF($G315="","",IF(AND($G315&gt;=30,$AT$3&lt;=AI$7),ROUND(AI315*($AP$3+#REF!),-1),""))</f>
        <v/>
      </c>
      <c r="AK315" s="506" t="s">
        <v>621</v>
      </c>
      <c r="AL315" s="503" t="str">
        <f>IF($G315="","",IF(AND($G315&gt;=30,$AT$3&lt;=AK$7),ROUND(AK315*($AP$3+#REF!),-1),""))</f>
        <v/>
      </c>
      <c r="AM315" s="506" t="s">
        <v>621</v>
      </c>
      <c r="AN315" s="503" t="str">
        <f>IF($G315="","",IF(AND($G315&gt;=30,$AT$3&lt;=AM$7),ROUND(AM315*($AP$3+#REF!),-1),""))</f>
        <v/>
      </c>
      <c r="AO315" s="503" t="e">
        <v>#REF!</v>
      </c>
      <c r="AP315" s="503" t="str">
        <f>IF($G315="","",IF(AND($G315&gt;=30,$AT$3&lt;=AO$7),ROUND(AO315*($AP$3+#REF!),-1),""))</f>
        <v/>
      </c>
      <c r="AQ315" s="503" t="s">
        <v>621</v>
      </c>
      <c r="AR315" s="503" t="str">
        <f>IF($G315="","",IF(AND($G315&gt;=30,$AT$3&lt;=AQ$7),ROUND(AQ315*($AP$3+#REF!),-1),""))</f>
        <v/>
      </c>
      <c r="AS315" s="503" t="s">
        <v>621</v>
      </c>
      <c r="AT315" s="503" t="str">
        <f>IF($G315="","",IF(AND($G315&gt;=30,$AT$3&lt;=AS$7),ROUND(AS315*($AP$3+#REF!),-1),""))</f>
        <v/>
      </c>
      <c r="AU315" s="503" t="s">
        <v>621</v>
      </c>
      <c r="AV315" s="503" t="str">
        <f>IF($G315="","",IF(AND($G315&gt;=30,$AT$3&lt;=AU$7),ROUND(AU315*($AP$3+#REF!),-1),""))</f>
        <v/>
      </c>
      <c r="AW315" s="503" t="s">
        <v>621</v>
      </c>
      <c r="AX315" s="503" t="str">
        <f>IF($G315="","",IF(AND($G315&gt;=30,$AT$3&lt;=AW$7),ROUND(AW315*($AP$3+#REF!),-1),""))</f>
        <v/>
      </c>
      <c r="AY315" s="503" t="s">
        <v>621</v>
      </c>
      <c r="AZ315" s="503" t="str">
        <f>IF($G315="","",IF(AND($G315&gt;=30,$AT$3&lt;=AY$7),ROUND(AY315*($AP$3+#REF!),-1),""))</f>
        <v/>
      </c>
      <c r="BA315" s="503" t="s">
        <v>621</v>
      </c>
      <c r="BB315" s="503" t="str">
        <f>IF($G315="","",IF(AND($G315&gt;=30,$AT$3&lt;=BA$7),ROUND(BA315*($AP$3+#REF!),-1),""))</f>
        <v/>
      </c>
      <c r="BC315" s="503" t="s">
        <v>621</v>
      </c>
      <c r="BD315" s="503" t="str">
        <f>IF($G315="","",IF(AND($G315&gt;=30,$AT$3&lt;=BC$7),ROUND(BC315*($AP$3+#REF!),-1),""))</f>
        <v/>
      </c>
      <c r="BE315" s="503" t="s">
        <v>621</v>
      </c>
      <c r="BF315" s="503" t="str">
        <f>IF($G315="","",IF(AND($G315&gt;=30,$AT$3&lt;=BE$7),ROUND(BE315*($AP$3+#REF!),-1),""))</f>
        <v/>
      </c>
      <c r="BG315" s="503" t="s">
        <v>621</v>
      </c>
      <c r="BH315" s="503" t="str">
        <f>IF($G315="","",IF(AND($G315&gt;=30,$AT$3&lt;=BG$7),ROUND(BG315*($AP$3+#REF!),-1),""))</f>
        <v/>
      </c>
      <c r="BI315" s="503" t="s">
        <v>621</v>
      </c>
      <c r="BJ315" s="503" t="str">
        <f>IF($G315="","",IF(AND($G315&gt;=30,$AT$3&lt;=BI$7),ROUND(BI315*($AP$3+#REF!),-1),""))</f>
        <v/>
      </c>
      <c r="BK315" s="503" t="s">
        <v>621</v>
      </c>
      <c r="BL315" s="503" t="str">
        <f>IF($G315="","",IF(AND($G315&gt;=30,$AT$3&lt;=BK$7),ROUND(BK315*($AP$3+#REF!),-1),""))</f>
        <v/>
      </c>
      <c r="BM315" s="503" t="s">
        <v>621</v>
      </c>
      <c r="BN315" s="503" t="str">
        <f>IF($G315="","",IF(AND($G315&gt;=30,$AT$3&lt;=BM$7),ROUND(BM315*($AP$3+#REF!),-1),""))</f>
        <v/>
      </c>
      <c r="BO315" s="503" t="s">
        <v>621</v>
      </c>
      <c r="BP315" s="503" t="str">
        <f>IF($G315="","",IF(AND($G315&gt;=30,$AT$3&lt;=BO$7),ROUND(BO315*($AP$3+#REF!),-1),""))</f>
        <v/>
      </c>
      <c r="BQ315" s="503" t="s">
        <v>621</v>
      </c>
      <c r="BR315" s="503" t="str">
        <f>IF($G315="","",IF(AND($G315&gt;=30,$AT$3&lt;=BQ$7),ROUND(BQ315*($AP$3+#REF!),-1),""))</f>
        <v/>
      </c>
      <c r="BS315" s="503" t="s">
        <v>621</v>
      </c>
      <c r="BT315" s="503" t="str">
        <f>IF($G315="","",IF(AND($G315&gt;=30,$AT$3&lt;=BS$7),ROUND(BS315*($AP$3+#REF!),-1),""))</f>
        <v/>
      </c>
      <c r="BU315" s="503" t="s">
        <v>621</v>
      </c>
      <c r="BV315" s="503" t="str">
        <f>IF($G315="","",IF(AND($G315&gt;=30,$AT$3&lt;=BU$7),ROUND(BU315*($AP$3+#REF!),-1),""))</f>
        <v/>
      </c>
      <c r="BW315" s="503" t="s">
        <v>621</v>
      </c>
      <c r="BX315" s="503" t="str">
        <f>IF($G315="","",IF(AND($G315&gt;=30,$AT$3&lt;=BW$7),ROUND(BW315*($AP$3+#REF!),-1),""))</f>
        <v/>
      </c>
      <c r="BY315" s="503" t="s">
        <v>621</v>
      </c>
      <c r="BZ315" s="503" t="str">
        <f>IF($G315="","",IF(AND($G315&gt;=30,$AT$3&lt;=BY$7),ROUND(BY315*($AP$3+#REF!),-1),""))</f>
        <v/>
      </c>
      <c r="CA315" s="503" t="s">
        <v>621</v>
      </c>
      <c r="CB315" s="503" t="str">
        <f>IF($G315="","",IF(AND($G315&gt;=30,$AT$3&lt;=CA$7),ROUND(CA315*($AP$3+#REF!),-1),""))</f>
        <v/>
      </c>
      <c r="CC315" s="503" t="s">
        <v>621</v>
      </c>
      <c r="CD315" s="503" t="str">
        <f>IF($G315="","",IF(AND($G315&gt;=30,$AT$3&lt;=CC$7),ROUND(CC315*($AP$3+#REF!),-1),""))</f>
        <v/>
      </c>
      <c r="CE315" s="517" t="e">
        <v>#REF!</v>
      </c>
      <c r="CF315" s="503" t="str">
        <f>IF($G315="","",IF(AND($G315&gt;=30,$AT$3&lt;=CE$7),ROUND(CE315*($AP$3+#REF!),-1),""))</f>
        <v/>
      </c>
      <c r="CG315" s="517"/>
      <c r="CH315" s="503" t="str">
        <f>IF($G315="","",IF(AND($G315&gt;=30,$AT$3&lt;=CG$7),ROUND(CG315*($AP$3+#REF!),-1),""))</f>
        <v/>
      </c>
      <c r="CI315" s="517"/>
      <c r="CJ315" s="503" t="str">
        <f>IF($G315="","",IF(AND($G315&gt;=30,$AT$3&lt;=CI$7),ROUND(CI315*($AP$3+#REF!),-1),""))</f>
        <v/>
      </c>
      <c r="CK315" s="517"/>
      <c r="CL315" s="503" t="str">
        <f>IF($G315="","",IF(AND($G315&gt;=30,$AT$3&lt;=CK$7),ROUND(CK315*($AP$3+#REF!),-1),""))</f>
        <v/>
      </c>
      <c r="CM315" s="517"/>
      <c r="CN315" s="503" t="str">
        <f>IF($G315="","",IF(AND($G315&gt;=30,$AT$3&lt;=CM$7),ROUND(CM315*($AP$3+#REF!),-1),""))</f>
        <v/>
      </c>
      <c r="CO315" s="517"/>
      <c r="CP315" s="503" t="str">
        <f>IF($G315="","",IF(AND($G315&gt;=30,$AT$3&lt;=CO$7),ROUND(CO315*($AP$3+#REF!),-1),""))</f>
        <v/>
      </c>
      <c r="CQ315" s="517"/>
      <c r="CR315" s="503" t="str">
        <f>IF($G315="","",IF(AND($G315&gt;=30,$AT$3&lt;=CQ$7),ROUND(CQ315*($AP$3+#REF!),-1),""))</f>
        <v/>
      </c>
      <c r="CS315" s="517"/>
      <c r="CT315" s="503" t="str">
        <f>IF($G315="","",IF(AND($G315&gt;=30,$AT$3&lt;=CS$7),ROUND(CS315*($AP$3+#REF!),-1),""))</f>
        <v/>
      </c>
      <c r="CU315" s="517"/>
      <c r="CV315" s="503" t="str">
        <f>IF($G315="","",IF(AND($G315&gt;=30,$AT$3&lt;=CU$7),ROUND(CU315*($AP$3+#REF!),-1),""))</f>
        <v/>
      </c>
      <c r="CW315" s="517"/>
      <c r="CX315" s="503" t="str">
        <f>IF($G315="","",IF(AND($G315&gt;=30,$AT$3&lt;=CW$7),ROUND(CW315*($AP$3+#REF!),-1),""))</f>
        <v/>
      </c>
      <c r="CY315" s="517"/>
      <c r="CZ315" s="503" t="str">
        <f>IF($G315="","",IF(AND($G315&gt;=30,$AT$3&lt;=CY$7),ROUND(CY315*($AP$3+#REF!),-1),""))</f>
        <v/>
      </c>
      <c r="DA315" s="517"/>
      <c r="DB315" s="503" t="str">
        <f>IF($G315="","",IF(AND($G315&gt;=30,$AT$3&lt;=DA$7),ROUND(DA315*($AP$3+#REF!),-1),""))</f>
        <v/>
      </c>
      <c r="DC315" s="517"/>
      <c r="DD315" s="503" t="str">
        <f>IF($G315="","",IF(AND($G315&gt;=30,$AT$3&lt;=DC$7),ROUND(DC315*($AP$3+#REF!),-1),""))</f>
        <v/>
      </c>
      <c r="DE315" s="517"/>
      <c r="DF315" s="503" t="str">
        <f>IF($G315="","",IF(AND($G315&gt;=30,$AT$3&lt;=DE$7),ROUND(DE315*($AP$3+#REF!),-1),""))</f>
        <v/>
      </c>
      <c r="DG315" s="517"/>
      <c r="DH315" s="503" t="str">
        <f>IF($G315="","",IF(AND($G315&gt;=30,$AT$3&lt;=DG$7),ROUND(DG315*($AP$3+#REF!),-1),""))</f>
        <v/>
      </c>
      <c r="DI315" s="517"/>
      <c r="DJ315" s="503" t="str">
        <f>IF($G315="","",IF(AND($G315&gt;=30,$AT$3&lt;=DI$7),ROUND(DI315*($AP$3+#REF!),-1),""))</f>
        <v/>
      </c>
      <c r="DK315" s="517"/>
      <c r="DL315" s="503" t="str">
        <f>IF($G315="","",IF(AND($G315&gt;=30,$AT$3&lt;=DK$7),ROUND(DK315*($AP$3+#REF!),-1),""))</f>
        <v/>
      </c>
      <c r="DM315" s="517"/>
      <c r="DN315" s="503" t="str">
        <f>IF($G315="","",IF(AND($G315&gt;=30,$AT$3&lt;=DM$7),ROUND(DM315*($AP$3+#REF!),-1),""))</f>
        <v/>
      </c>
      <c r="DO315" s="517"/>
      <c r="DP315" s="503" t="str">
        <f>IF($G315="","",IF(AND($G315&gt;=30,$AT$3&lt;=DO$7),ROUND(DO315*($AP$3+#REF!),-1),""))</f>
        <v/>
      </c>
      <c r="DQ315" s="517"/>
      <c r="DR315" s="503" t="str">
        <f>IF($G315="","",IF(AND($G315&gt;=30,$AT$3&lt;=DQ$7),ROUND(DQ315*($AP$3+#REF!),-1),""))</f>
        <v/>
      </c>
      <c r="DS315" s="517"/>
      <c r="DT315" s="503" t="str">
        <f>IF($G315="","",IF(AND($G315&gt;=30,$AT$3&lt;=DS$7),ROUND(DS315*($AP$3+#REF!),-1),""))</f>
        <v/>
      </c>
      <c r="DU315" s="517"/>
      <c r="DV315" s="503" t="str">
        <f>IF($G315="","",IF(AND($G315&gt;=30,$AT$3&lt;=DU$7),ROUND(DU315*($AP$3+#REF!),-1),""))</f>
        <v/>
      </c>
      <c r="DW315" s="517"/>
      <c r="DX315" s="503" t="str">
        <f>IF($G315="","",IF(AND($G315&gt;=30,$AT$3&lt;=DW$7),ROUND(DW315*($AP$3+#REF!),-1),""))</f>
        <v/>
      </c>
      <c r="DY315" s="517"/>
      <c r="DZ315" s="503" t="str">
        <f>IF($G315="","",IF(AND($G315&gt;=30,$AT$3&lt;=DY$7),ROUND(DY315*($AP$3+#REF!),-1),""))</f>
        <v/>
      </c>
      <c r="EA315" s="517"/>
      <c r="EB315" s="503" t="str">
        <f>IF($G315="","",IF(AND($G315&gt;=30,$AT$3&lt;=EA$7),ROUND(EA315*($AP$3+#REF!),-1),""))</f>
        <v/>
      </c>
      <c r="EC315" s="504" t="s">
        <v>621</v>
      </c>
      <c r="ED315" s="1124"/>
      <c r="EE315" s="325">
        <v>7</v>
      </c>
    </row>
    <row r="316" spans="1:135" ht="9.75" customHeight="1">
      <c r="A316" s="321" t="str">
        <f t="shared" si="82"/>
        <v/>
      </c>
      <c r="B316" s="567">
        <f>(ii!$D$13*12+V316)+1</f>
        <v>210</v>
      </c>
      <c r="C316" s="337">
        <f t="shared" si="72"/>
        <v>51744</v>
      </c>
      <c r="D316" s="484">
        <f t="shared" si="75"/>
        <v>2041</v>
      </c>
      <c r="E316" s="484">
        <f t="shared" si="73"/>
        <v>0.66666666666666663</v>
      </c>
      <c r="F316" s="484">
        <f t="shared" si="76"/>
        <v>2041.6666666666667</v>
      </c>
      <c r="G316" s="485" t="str">
        <f>IF(OR(C316&lt;$I$2,C316&gt;$J$3),"",(ii!$D$13*12+V316+1)/12)</f>
        <v/>
      </c>
      <c r="H316" s="486"/>
      <c r="I316" s="486"/>
      <c r="J316" s="487"/>
      <c r="K316" s="488"/>
      <c r="L316" s="548"/>
      <c r="M316" s="489" t="str">
        <f t="shared" si="77"/>
        <v/>
      </c>
      <c r="N316" s="490" t="s">
        <v>621</v>
      </c>
      <c r="O316" s="490" t="str">
        <f t="shared" si="70"/>
        <v/>
      </c>
      <c r="P316" s="491"/>
      <c r="Q316" s="491"/>
      <c r="R316" s="491" t="str">
        <f t="shared" si="71"/>
        <v/>
      </c>
      <c r="S316" s="528" t="str">
        <f t="shared" si="69"/>
        <v/>
      </c>
      <c r="T316" s="528" t="str">
        <f t="shared" si="81"/>
        <v/>
      </c>
      <c r="U316" s="493" t="str">
        <f>IF(H316="","",#REF!*12+#REF!+#REF!*12+#REF!)</f>
        <v/>
      </c>
      <c r="V316" s="338">
        <f>IF(ii!$J$3&gt;gg!C316,"",IF(AND((YEAR(C316)=YEAR($I$2)),MONTH(C316)=MONTH($I$2)),ii!$B$14*12+ii!$C$14+ii!$B$15*12+ii!$C$15-1,V315+1))</f>
        <v>209</v>
      </c>
      <c r="W316" s="339">
        <f t="shared" si="74"/>
        <v>17.416666666666668</v>
      </c>
      <c r="X316" s="494" t="s">
        <v>621</v>
      </c>
      <c r="Y316" s="495" t="s">
        <v>621</v>
      </c>
      <c r="Z316" s="496"/>
      <c r="AA316" s="497"/>
      <c r="AB316" s="498" t="e">
        <f t="shared" si="80"/>
        <v>#VALUE!</v>
      </c>
      <c r="AC316" s="484" t="str">
        <f t="shared" si="78"/>
        <v/>
      </c>
      <c r="AD316" s="495" t="str">
        <f t="shared" si="79"/>
        <v/>
      </c>
      <c r="AE316" s="499" t="s">
        <v>621</v>
      </c>
      <c r="AF316" s="500" t="s">
        <v>621</v>
      </c>
      <c r="AG316" s="556" t="s">
        <v>621</v>
      </c>
      <c r="AH316" s="503" t="str">
        <f>IF($G316="","",IF(AND($G316&gt;=30,$AT$3&lt;=AG$7),ROUND(AG316*($AP$3+#REF!),-1),""))</f>
        <v/>
      </c>
      <c r="AI316" s="506" t="s">
        <v>621</v>
      </c>
      <c r="AJ316" s="503" t="str">
        <f>IF($G316="","",IF(AND($G316&gt;=30,$AT$3&lt;=AI$7),ROUND(AI316*($AP$3+#REF!),-1),""))</f>
        <v/>
      </c>
      <c r="AK316" s="506" t="s">
        <v>621</v>
      </c>
      <c r="AL316" s="503" t="str">
        <f>IF($G316="","",IF(AND($G316&gt;=30,$AT$3&lt;=AK$7),ROUND(AK316*($AP$3+#REF!),-1),""))</f>
        <v/>
      </c>
      <c r="AM316" s="506" t="s">
        <v>621</v>
      </c>
      <c r="AN316" s="503" t="str">
        <f>IF($G316="","",IF(AND($G316&gt;=30,$AT$3&lt;=AM$7),ROUND(AM316*($AP$3+#REF!),-1),""))</f>
        <v/>
      </c>
      <c r="AO316" s="503" t="e">
        <v>#REF!</v>
      </c>
      <c r="AP316" s="503" t="str">
        <f>IF($G316="","",IF(AND($G316&gt;=30,$AT$3&lt;=AO$7),ROUND(AO316*($AP$3+#REF!),-1),""))</f>
        <v/>
      </c>
      <c r="AQ316" s="503" t="s">
        <v>621</v>
      </c>
      <c r="AR316" s="503" t="str">
        <f>IF($G316="","",IF(AND($G316&gt;=30,$AT$3&lt;=AQ$7),ROUND(AQ316*($AP$3+#REF!),-1),""))</f>
        <v/>
      </c>
      <c r="AS316" s="503" t="s">
        <v>621</v>
      </c>
      <c r="AT316" s="503" t="str">
        <f>IF($G316="","",IF(AND($G316&gt;=30,$AT$3&lt;=AS$7),ROUND(AS316*($AP$3+#REF!),-1),""))</f>
        <v/>
      </c>
      <c r="AU316" s="503" t="s">
        <v>621</v>
      </c>
      <c r="AV316" s="503" t="str">
        <f>IF($G316="","",IF(AND($G316&gt;=30,$AT$3&lt;=AU$7),ROUND(AU316*($AP$3+#REF!),-1),""))</f>
        <v/>
      </c>
      <c r="AW316" s="503" t="s">
        <v>621</v>
      </c>
      <c r="AX316" s="503" t="str">
        <f>IF($G316="","",IF(AND($G316&gt;=30,$AT$3&lt;=AW$7),ROUND(AW316*($AP$3+#REF!),-1),""))</f>
        <v/>
      </c>
      <c r="AY316" s="503" t="s">
        <v>621</v>
      </c>
      <c r="AZ316" s="503" t="str">
        <f>IF($G316="","",IF(AND($G316&gt;=30,$AT$3&lt;=AY$7),ROUND(AY316*($AP$3+#REF!),-1),""))</f>
        <v/>
      </c>
      <c r="BA316" s="503" t="s">
        <v>621</v>
      </c>
      <c r="BB316" s="503" t="str">
        <f>IF($G316="","",IF(AND($G316&gt;=30,$AT$3&lt;=BA$7),ROUND(BA316*($AP$3+#REF!),-1),""))</f>
        <v/>
      </c>
      <c r="BC316" s="503" t="s">
        <v>621</v>
      </c>
      <c r="BD316" s="503" t="str">
        <f>IF($G316="","",IF(AND($G316&gt;=30,$AT$3&lt;=BC$7),ROUND(BC316*($AP$3+#REF!),-1),""))</f>
        <v/>
      </c>
      <c r="BE316" s="503" t="s">
        <v>621</v>
      </c>
      <c r="BF316" s="503" t="str">
        <f>IF($G316="","",IF(AND($G316&gt;=30,$AT$3&lt;=BE$7),ROUND(BE316*($AP$3+#REF!),-1),""))</f>
        <v/>
      </c>
      <c r="BG316" s="503" t="s">
        <v>621</v>
      </c>
      <c r="BH316" s="503" t="str">
        <f>IF($G316="","",IF(AND($G316&gt;=30,$AT$3&lt;=BG$7),ROUND(BG316*($AP$3+#REF!),-1),""))</f>
        <v/>
      </c>
      <c r="BI316" s="503" t="s">
        <v>621</v>
      </c>
      <c r="BJ316" s="503" t="str">
        <f>IF($G316="","",IF(AND($G316&gt;=30,$AT$3&lt;=BI$7),ROUND(BI316*($AP$3+#REF!),-1),""))</f>
        <v/>
      </c>
      <c r="BK316" s="503" t="s">
        <v>621</v>
      </c>
      <c r="BL316" s="503" t="str">
        <f>IF($G316="","",IF(AND($G316&gt;=30,$AT$3&lt;=BK$7),ROUND(BK316*($AP$3+#REF!),-1),""))</f>
        <v/>
      </c>
      <c r="BM316" s="503" t="s">
        <v>621</v>
      </c>
      <c r="BN316" s="503" t="str">
        <f>IF($G316="","",IF(AND($G316&gt;=30,$AT$3&lt;=BM$7),ROUND(BM316*($AP$3+#REF!),-1),""))</f>
        <v/>
      </c>
      <c r="BO316" s="503" t="s">
        <v>621</v>
      </c>
      <c r="BP316" s="503" t="str">
        <f>IF($G316="","",IF(AND($G316&gt;=30,$AT$3&lt;=BO$7),ROUND(BO316*($AP$3+#REF!),-1),""))</f>
        <v/>
      </c>
      <c r="BQ316" s="503" t="s">
        <v>621</v>
      </c>
      <c r="BR316" s="503" t="str">
        <f>IF($G316="","",IF(AND($G316&gt;=30,$AT$3&lt;=BQ$7),ROUND(BQ316*($AP$3+#REF!),-1),""))</f>
        <v/>
      </c>
      <c r="BS316" s="503" t="s">
        <v>621</v>
      </c>
      <c r="BT316" s="503" t="str">
        <f>IF($G316="","",IF(AND($G316&gt;=30,$AT$3&lt;=BS$7),ROUND(BS316*($AP$3+#REF!),-1),""))</f>
        <v/>
      </c>
      <c r="BU316" s="503" t="s">
        <v>621</v>
      </c>
      <c r="BV316" s="503" t="str">
        <f>IF($G316="","",IF(AND($G316&gt;=30,$AT$3&lt;=BU$7),ROUND(BU316*($AP$3+#REF!),-1),""))</f>
        <v/>
      </c>
      <c r="BW316" s="503" t="s">
        <v>621</v>
      </c>
      <c r="BX316" s="503" t="str">
        <f>IF($G316="","",IF(AND($G316&gt;=30,$AT$3&lt;=BW$7),ROUND(BW316*($AP$3+#REF!),-1),""))</f>
        <v/>
      </c>
      <c r="BY316" s="503" t="s">
        <v>621</v>
      </c>
      <c r="BZ316" s="503" t="str">
        <f>IF($G316="","",IF(AND($G316&gt;=30,$AT$3&lt;=BY$7),ROUND(BY316*($AP$3+#REF!),-1),""))</f>
        <v/>
      </c>
      <c r="CA316" s="503" t="s">
        <v>621</v>
      </c>
      <c r="CB316" s="503" t="str">
        <f>IF($G316="","",IF(AND($G316&gt;=30,$AT$3&lt;=CA$7),ROUND(CA316*($AP$3+#REF!),-1),""))</f>
        <v/>
      </c>
      <c r="CC316" s="503" t="s">
        <v>621</v>
      </c>
      <c r="CD316" s="503" t="str">
        <f>IF($G316="","",IF(AND($G316&gt;=30,$AT$3&lt;=CC$7),ROUND(CC316*($AP$3+#REF!),-1),""))</f>
        <v/>
      </c>
      <c r="CE316" s="517" t="e">
        <v>#REF!</v>
      </c>
      <c r="CF316" s="503" t="str">
        <f>IF($G316="","",IF(AND($G316&gt;=30,$AT$3&lt;=CE$7),ROUND(CE316*($AP$3+#REF!),-1),""))</f>
        <v/>
      </c>
      <c r="CG316" s="517"/>
      <c r="CH316" s="503" t="str">
        <f>IF($G316="","",IF(AND($G316&gt;=30,$AT$3&lt;=CG$7),ROUND(CG316*($AP$3+#REF!),-1),""))</f>
        <v/>
      </c>
      <c r="CI316" s="517"/>
      <c r="CJ316" s="503" t="str">
        <f>IF($G316="","",IF(AND($G316&gt;=30,$AT$3&lt;=CI$7),ROUND(CI316*($AP$3+#REF!),-1),""))</f>
        <v/>
      </c>
      <c r="CK316" s="517"/>
      <c r="CL316" s="503" t="str">
        <f>IF($G316="","",IF(AND($G316&gt;=30,$AT$3&lt;=CK$7),ROUND(CK316*($AP$3+#REF!),-1),""))</f>
        <v/>
      </c>
      <c r="CM316" s="517"/>
      <c r="CN316" s="503" t="str">
        <f>IF($G316="","",IF(AND($G316&gt;=30,$AT$3&lt;=CM$7),ROUND(CM316*($AP$3+#REF!),-1),""))</f>
        <v/>
      </c>
      <c r="CO316" s="517"/>
      <c r="CP316" s="503" t="str">
        <f>IF($G316="","",IF(AND($G316&gt;=30,$AT$3&lt;=CO$7),ROUND(CO316*($AP$3+#REF!),-1),""))</f>
        <v/>
      </c>
      <c r="CQ316" s="517"/>
      <c r="CR316" s="503" t="str">
        <f>IF($G316="","",IF(AND($G316&gt;=30,$AT$3&lt;=CQ$7),ROUND(CQ316*($AP$3+#REF!),-1),""))</f>
        <v/>
      </c>
      <c r="CS316" s="517"/>
      <c r="CT316" s="503" t="str">
        <f>IF($G316="","",IF(AND($G316&gt;=30,$AT$3&lt;=CS$7),ROUND(CS316*($AP$3+#REF!),-1),""))</f>
        <v/>
      </c>
      <c r="CU316" s="517"/>
      <c r="CV316" s="503" t="str">
        <f>IF($G316="","",IF(AND($G316&gt;=30,$AT$3&lt;=CU$7),ROUND(CU316*($AP$3+#REF!),-1),""))</f>
        <v/>
      </c>
      <c r="CW316" s="517"/>
      <c r="CX316" s="503" t="str">
        <f>IF($G316="","",IF(AND($G316&gt;=30,$AT$3&lt;=CW$7),ROUND(CW316*($AP$3+#REF!),-1),""))</f>
        <v/>
      </c>
      <c r="CY316" s="517"/>
      <c r="CZ316" s="503" t="str">
        <f>IF($G316="","",IF(AND($G316&gt;=30,$AT$3&lt;=CY$7),ROUND(CY316*($AP$3+#REF!),-1),""))</f>
        <v/>
      </c>
      <c r="DA316" s="517"/>
      <c r="DB316" s="503" t="str">
        <f>IF($G316="","",IF(AND($G316&gt;=30,$AT$3&lt;=DA$7),ROUND(DA316*($AP$3+#REF!),-1),""))</f>
        <v/>
      </c>
      <c r="DC316" s="517"/>
      <c r="DD316" s="503" t="str">
        <f>IF($G316="","",IF(AND($G316&gt;=30,$AT$3&lt;=DC$7),ROUND(DC316*($AP$3+#REF!),-1),""))</f>
        <v/>
      </c>
      <c r="DE316" s="517"/>
      <c r="DF316" s="503" t="str">
        <f>IF($G316="","",IF(AND($G316&gt;=30,$AT$3&lt;=DE$7),ROUND(DE316*($AP$3+#REF!),-1),""))</f>
        <v/>
      </c>
      <c r="DG316" s="517"/>
      <c r="DH316" s="503" t="str">
        <f>IF($G316="","",IF(AND($G316&gt;=30,$AT$3&lt;=DG$7),ROUND(DG316*($AP$3+#REF!),-1),""))</f>
        <v/>
      </c>
      <c r="DI316" s="517"/>
      <c r="DJ316" s="503" t="str">
        <f>IF($G316="","",IF(AND($G316&gt;=30,$AT$3&lt;=DI$7),ROUND(DI316*($AP$3+#REF!),-1),""))</f>
        <v/>
      </c>
      <c r="DK316" s="517"/>
      <c r="DL316" s="503" t="str">
        <f>IF($G316="","",IF(AND($G316&gt;=30,$AT$3&lt;=DK$7),ROUND(DK316*($AP$3+#REF!),-1),""))</f>
        <v/>
      </c>
      <c r="DM316" s="517"/>
      <c r="DN316" s="503" t="str">
        <f>IF($G316="","",IF(AND($G316&gt;=30,$AT$3&lt;=DM$7),ROUND(DM316*($AP$3+#REF!),-1),""))</f>
        <v/>
      </c>
      <c r="DO316" s="517"/>
      <c r="DP316" s="503" t="str">
        <f>IF($G316="","",IF(AND($G316&gt;=30,$AT$3&lt;=DO$7),ROUND(DO316*($AP$3+#REF!),-1),""))</f>
        <v/>
      </c>
      <c r="DQ316" s="517"/>
      <c r="DR316" s="503" t="str">
        <f>IF($G316="","",IF(AND($G316&gt;=30,$AT$3&lt;=DQ$7),ROUND(DQ316*($AP$3+#REF!),-1),""))</f>
        <v/>
      </c>
      <c r="DS316" s="517"/>
      <c r="DT316" s="503" t="str">
        <f>IF($G316="","",IF(AND($G316&gt;=30,$AT$3&lt;=DS$7),ROUND(DS316*($AP$3+#REF!),-1),""))</f>
        <v/>
      </c>
      <c r="DU316" s="517"/>
      <c r="DV316" s="503" t="str">
        <f>IF($G316="","",IF(AND($G316&gt;=30,$AT$3&lt;=DU$7),ROUND(DU316*($AP$3+#REF!),-1),""))</f>
        <v/>
      </c>
      <c r="DW316" s="517"/>
      <c r="DX316" s="503" t="str">
        <f>IF($G316="","",IF(AND($G316&gt;=30,$AT$3&lt;=DW$7),ROUND(DW316*($AP$3+#REF!),-1),""))</f>
        <v/>
      </c>
      <c r="DY316" s="517"/>
      <c r="DZ316" s="503" t="str">
        <f>IF($G316="","",IF(AND($G316&gt;=30,$AT$3&lt;=DY$7),ROUND(DY316*($AP$3+#REF!),-1),""))</f>
        <v/>
      </c>
      <c r="EA316" s="517"/>
      <c r="EB316" s="503" t="str">
        <f>IF($G316="","",IF(AND($G316&gt;=30,$AT$3&lt;=EA$7),ROUND(EA316*($AP$3+#REF!),-1),""))</f>
        <v/>
      </c>
      <c r="EC316" s="504" t="s">
        <v>621</v>
      </c>
      <c r="ED316" s="1124"/>
      <c r="EE316" s="325">
        <v>8</v>
      </c>
    </row>
    <row r="317" spans="1:135" ht="9.75" customHeight="1">
      <c r="A317" s="321" t="str">
        <f t="shared" si="82"/>
        <v/>
      </c>
      <c r="B317" s="567">
        <f>(ii!$D$13*12+V317)+1</f>
        <v>211</v>
      </c>
      <c r="C317" s="337">
        <f t="shared" si="72"/>
        <v>51774</v>
      </c>
      <c r="D317" s="484">
        <f t="shared" si="75"/>
        <v>2041</v>
      </c>
      <c r="E317" s="484">
        <f t="shared" si="73"/>
        <v>0.75</v>
      </c>
      <c r="F317" s="484">
        <f t="shared" si="76"/>
        <v>2041.75</v>
      </c>
      <c r="G317" s="485" t="str">
        <f>IF(OR(C317&lt;$I$2,C317&gt;$J$3),"",(ii!$D$13*12+V317+1)/12)</f>
        <v/>
      </c>
      <c r="H317" s="486"/>
      <c r="I317" s="486"/>
      <c r="J317" s="487"/>
      <c r="K317" s="488"/>
      <c r="L317" s="548"/>
      <c r="M317" s="489" t="str">
        <f t="shared" si="77"/>
        <v/>
      </c>
      <c r="N317" s="490" t="s">
        <v>621</v>
      </c>
      <c r="O317" s="490" t="str">
        <f t="shared" si="70"/>
        <v/>
      </c>
      <c r="P317" s="491"/>
      <c r="Q317" s="491"/>
      <c r="R317" s="491" t="str">
        <f t="shared" si="71"/>
        <v/>
      </c>
      <c r="S317" s="528" t="str">
        <f t="shared" si="69"/>
        <v/>
      </c>
      <c r="T317" s="528" t="str">
        <f t="shared" si="81"/>
        <v/>
      </c>
      <c r="U317" s="493" t="str">
        <f>IF(H317="","",#REF!*12+#REF!+#REF!*12+#REF!)</f>
        <v/>
      </c>
      <c r="V317" s="338">
        <f>IF(ii!$J$3&gt;gg!C317,"",IF(AND((YEAR(C317)=YEAR($I$2)),MONTH(C317)=MONTH($I$2)),ii!$B$14*12+ii!$C$14+ii!$B$15*12+ii!$C$15-1,V316+1))</f>
        <v>210</v>
      </c>
      <c r="W317" s="339">
        <f t="shared" si="74"/>
        <v>17.5</v>
      </c>
      <c r="X317" s="494" t="s">
        <v>621</v>
      </c>
      <c r="Y317" s="495" t="s">
        <v>621</v>
      </c>
      <c r="Z317" s="496"/>
      <c r="AA317" s="497"/>
      <c r="AB317" s="498" t="e">
        <f t="shared" si="80"/>
        <v>#VALUE!</v>
      </c>
      <c r="AC317" s="484" t="str">
        <f t="shared" si="78"/>
        <v/>
      </c>
      <c r="AD317" s="495" t="str">
        <f t="shared" si="79"/>
        <v/>
      </c>
      <c r="AE317" s="499" t="s">
        <v>621</v>
      </c>
      <c r="AF317" s="500" t="s">
        <v>621</v>
      </c>
      <c r="AG317" s="556" t="s">
        <v>621</v>
      </c>
      <c r="AH317" s="503" t="str">
        <f>IF($G317="","",IF(AND($G317&gt;=30,$AT$3&lt;=AG$7),ROUND(AG317*($AP$3+#REF!),-1),""))</f>
        <v/>
      </c>
      <c r="AI317" s="506" t="s">
        <v>621</v>
      </c>
      <c r="AJ317" s="503" t="str">
        <f>IF($G317="","",IF(AND($G317&gt;=30,$AT$3&lt;=AI$7),ROUND(AI317*($AP$3+#REF!),-1),""))</f>
        <v/>
      </c>
      <c r="AK317" s="506" t="s">
        <v>621</v>
      </c>
      <c r="AL317" s="503" t="str">
        <f>IF($G317="","",IF(AND($G317&gt;=30,$AT$3&lt;=AK$7),ROUND(AK317*($AP$3+#REF!),-1),""))</f>
        <v/>
      </c>
      <c r="AM317" s="506" t="s">
        <v>621</v>
      </c>
      <c r="AN317" s="503" t="str">
        <f>IF($G317="","",IF(AND($G317&gt;=30,$AT$3&lt;=AM$7),ROUND(AM317*($AP$3+#REF!),-1),""))</f>
        <v/>
      </c>
      <c r="AO317" s="503" t="e">
        <v>#REF!</v>
      </c>
      <c r="AP317" s="503" t="str">
        <f>IF($G317="","",IF(AND($G317&gt;=30,$AT$3&lt;=AO$7),ROUND(AO317*($AP$3+#REF!),-1),""))</f>
        <v/>
      </c>
      <c r="AQ317" s="503" t="s">
        <v>621</v>
      </c>
      <c r="AR317" s="503" t="str">
        <f>IF($G317="","",IF(AND($G317&gt;=30,$AT$3&lt;=AQ$7),ROUND(AQ317*($AP$3+#REF!),-1),""))</f>
        <v/>
      </c>
      <c r="AS317" s="503" t="s">
        <v>621</v>
      </c>
      <c r="AT317" s="503" t="str">
        <f>IF($G317="","",IF(AND($G317&gt;=30,$AT$3&lt;=AS$7),ROUND(AS317*($AP$3+#REF!),-1),""))</f>
        <v/>
      </c>
      <c r="AU317" s="503" t="s">
        <v>621</v>
      </c>
      <c r="AV317" s="503" t="str">
        <f>IF($G317="","",IF(AND($G317&gt;=30,$AT$3&lt;=AU$7),ROUND(AU317*($AP$3+#REF!),-1),""))</f>
        <v/>
      </c>
      <c r="AW317" s="503" t="s">
        <v>621</v>
      </c>
      <c r="AX317" s="503" t="str">
        <f>IF($G317="","",IF(AND($G317&gt;=30,$AT$3&lt;=AW$7),ROUND(AW317*($AP$3+#REF!),-1),""))</f>
        <v/>
      </c>
      <c r="AY317" s="503" t="s">
        <v>621</v>
      </c>
      <c r="AZ317" s="503" t="str">
        <f>IF($G317="","",IF(AND($G317&gt;=30,$AT$3&lt;=AY$7),ROUND(AY317*($AP$3+#REF!),-1),""))</f>
        <v/>
      </c>
      <c r="BA317" s="503" t="s">
        <v>621</v>
      </c>
      <c r="BB317" s="503" t="str">
        <f>IF($G317="","",IF(AND($G317&gt;=30,$AT$3&lt;=BA$7),ROUND(BA317*($AP$3+#REF!),-1),""))</f>
        <v/>
      </c>
      <c r="BC317" s="503" t="s">
        <v>621</v>
      </c>
      <c r="BD317" s="503" t="str">
        <f>IF($G317="","",IF(AND($G317&gt;=30,$AT$3&lt;=BC$7),ROUND(BC317*($AP$3+#REF!),-1),""))</f>
        <v/>
      </c>
      <c r="BE317" s="503" t="s">
        <v>621</v>
      </c>
      <c r="BF317" s="503" t="str">
        <f>IF($G317="","",IF(AND($G317&gt;=30,$AT$3&lt;=BE$7),ROUND(BE317*($AP$3+#REF!),-1),""))</f>
        <v/>
      </c>
      <c r="BG317" s="503" t="s">
        <v>621</v>
      </c>
      <c r="BH317" s="503" t="str">
        <f>IF($G317="","",IF(AND($G317&gt;=30,$AT$3&lt;=BG$7),ROUND(BG317*($AP$3+#REF!),-1),""))</f>
        <v/>
      </c>
      <c r="BI317" s="503" t="s">
        <v>621</v>
      </c>
      <c r="BJ317" s="503" t="str">
        <f>IF($G317="","",IF(AND($G317&gt;=30,$AT$3&lt;=BI$7),ROUND(BI317*($AP$3+#REF!),-1),""))</f>
        <v/>
      </c>
      <c r="BK317" s="503" t="s">
        <v>621</v>
      </c>
      <c r="BL317" s="503" t="str">
        <f>IF($G317="","",IF(AND($G317&gt;=30,$AT$3&lt;=BK$7),ROUND(BK317*($AP$3+#REF!),-1),""))</f>
        <v/>
      </c>
      <c r="BM317" s="503" t="s">
        <v>621</v>
      </c>
      <c r="BN317" s="503" t="str">
        <f>IF($G317="","",IF(AND($G317&gt;=30,$AT$3&lt;=BM$7),ROUND(BM317*($AP$3+#REF!),-1),""))</f>
        <v/>
      </c>
      <c r="BO317" s="503" t="s">
        <v>621</v>
      </c>
      <c r="BP317" s="503" t="str">
        <f>IF($G317="","",IF(AND($G317&gt;=30,$AT$3&lt;=BO$7),ROUND(BO317*($AP$3+#REF!),-1),""))</f>
        <v/>
      </c>
      <c r="BQ317" s="503" t="s">
        <v>621</v>
      </c>
      <c r="BR317" s="503" t="str">
        <f>IF($G317="","",IF(AND($G317&gt;=30,$AT$3&lt;=BQ$7),ROUND(BQ317*($AP$3+#REF!),-1),""))</f>
        <v/>
      </c>
      <c r="BS317" s="503" t="s">
        <v>621</v>
      </c>
      <c r="BT317" s="503" t="str">
        <f>IF($G317="","",IF(AND($G317&gt;=30,$AT$3&lt;=BS$7),ROUND(BS317*($AP$3+#REF!),-1),""))</f>
        <v/>
      </c>
      <c r="BU317" s="503" t="s">
        <v>621</v>
      </c>
      <c r="BV317" s="503" t="str">
        <f>IF($G317="","",IF(AND($G317&gt;=30,$AT$3&lt;=BU$7),ROUND(BU317*($AP$3+#REF!),-1),""))</f>
        <v/>
      </c>
      <c r="BW317" s="503" t="s">
        <v>621</v>
      </c>
      <c r="BX317" s="503" t="str">
        <f>IF($G317="","",IF(AND($G317&gt;=30,$AT$3&lt;=BW$7),ROUND(BW317*($AP$3+#REF!),-1),""))</f>
        <v/>
      </c>
      <c r="BY317" s="503" t="s">
        <v>621</v>
      </c>
      <c r="BZ317" s="503" t="str">
        <f>IF($G317="","",IF(AND($G317&gt;=30,$AT$3&lt;=BY$7),ROUND(BY317*($AP$3+#REF!),-1),""))</f>
        <v/>
      </c>
      <c r="CA317" s="503" t="s">
        <v>621</v>
      </c>
      <c r="CB317" s="503" t="str">
        <f>IF($G317="","",IF(AND($G317&gt;=30,$AT$3&lt;=CA$7),ROUND(CA317*($AP$3+#REF!),-1),""))</f>
        <v/>
      </c>
      <c r="CC317" s="503" t="s">
        <v>621</v>
      </c>
      <c r="CD317" s="503" t="str">
        <f>IF($G317="","",IF(AND($G317&gt;=30,$AT$3&lt;=CC$7),ROUND(CC317*($AP$3+#REF!),-1),""))</f>
        <v/>
      </c>
      <c r="CE317" s="517" t="e">
        <v>#REF!</v>
      </c>
      <c r="CF317" s="503" t="str">
        <f>IF($G317="","",IF(AND($G317&gt;=30,$AT$3&lt;=CE$7),ROUND(CE317*($AP$3+#REF!),-1),""))</f>
        <v/>
      </c>
      <c r="CG317" s="517"/>
      <c r="CH317" s="503" t="str">
        <f>IF($G317="","",IF(AND($G317&gt;=30,$AT$3&lt;=CG$7),ROUND(CG317*($AP$3+#REF!),-1),""))</f>
        <v/>
      </c>
      <c r="CI317" s="517"/>
      <c r="CJ317" s="503" t="str">
        <f>IF($G317="","",IF(AND($G317&gt;=30,$AT$3&lt;=CI$7),ROUND(CI317*($AP$3+#REF!),-1),""))</f>
        <v/>
      </c>
      <c r="CK317" s="517"/>
      <c r="CL317" s="503" t="str">
        <f>IF($G317="","",IF(AND($G317&gt;=30,$AT$3&lt;=CK$7),ROUND(CK317*($AP$3+#REF!),-1),""))</f>
        <v/>
      </c>
      <c r="CM317" s="517"/>
      <c r="CN317" s="503" t="str">
        <f>IF($G317="","",IF(AND($G317&gt;=30,$AT$3&lt;=CM$7),ROUND(CM317*($AP$3+#REF!),-1),""))</f>
        <v/>
      </c>
      <c r="CO317" s="517"/>
      <c r="CP317" s="503" t="str">
        <f>IF($G317="","",IF(AND($G317&gt;=30,$AT$3&lt;=CO$7),ROUND(CO317*($AP$3+#REF!),-1),""))</f>
        <v/>
      </c>
      <c r="CQ317" s="517"/>
      <c r="CR317" s="503" t="str">
        <f>IF($G317="","",IF(AND($G317&gt;=30,$AT$3&lt;=CQ$7),ROUND(CQ317*($AP$3+#REF!),-1),""))</f>
        <v/>
      </c>
      <c r="CS317" s="517"/>
      <c r="CT317" s="503" t="str">
        <f>IF($G317="","",IF(AND($G317&gt;=30,$AT$3&lt;=CS$7),ROUND(CS317*($AP$3+#REF!),-1),""))</f>
        <v/>
      </c>
      <c r="CU317" s="517"/>
      <c r="CV317" s="503" t="str">
        <f>IF($G317="","",IF(AND($G317&gt;=30,$AT$3&lt;=CU$7),ROUND(CU317*($AP$3+#REF!),-1),""))</f>
        <v/>
      </c>
      <c r="CW317" s="517"/>
      <c r="CX317" s="503" t="str">
        <f>IF($G317="","",IF(AND($G317&gt;=30,$AT$3&lt;=CW$7),ROUND(CW317*($AP$3+#REF!),-1),""))</f>
        <v/>
      </c>
      <c r="CY317" s="517"/>
      <c r="CZ317" s="503" t="str">
        <f>IF($G317="","",IF(AND($G317&gt;=30,$AT$3&lt;=CY$7),ROUND(CY317*($AP$3+#REF!),-1),""))</f>
        <v/>
      </c>
      <c r="DA317" s="517"/>
      <c r="DB317" s="503" t="str">
        <f>IF($G317="","",IF(AND($G317&gt;=30,$AT$3&lt;=DA$7),ROUND(DA317*($AP$3+#REF!),-1),""))</f>
        <v/>
      </c>
      <c r="DC317" s="517"/>
      <c r="DD317" s="503" t="str">
        <f>IF($G317="","",IF(AND($G317&gt;=30,$AT$3&lt;=DC$7),ROUND(DC317*($AP$3+#REF!),-1),""))</f>
        <v/>
      </c>
      <c r="DE317" s="517"/>
      <c r="DF317" s="503" t="str">
        <f>IF($G317="","",IF(AND($G317&gt;=30,$AT$3&lt;=DE$7),ROUND(DE317*($AP$3+#REF!),-1),""))</f>
        <v/>
      </c>
      <c r="DG317" s="517"/>
      <c r="DH317" s="503" t="str">
        <f>IF($G317="","",IF(AND($G317&gt;=30,$AT$3&lt;=DG$7),ROUND(DG317*($AP$3+#REF!),-1),""))</f>
        <v/>
      </c>
      <c r="DI317" s="517"/>
      <c r="DJ317" s="503" t="str">
        <f>IF($G317="","",IF(AND($G317&gt;=30,$AT$3&lt;=DI$7),ROUND(DI317*($AP$3+#REF!),-1),""))</f>
        <v/>
      </c>
      <c r="DK317" s="517"/>
      <c r="DL317" s="503" t="str">
        <f>IF($G317="","",IF(AND($G317&gt;=30,$AT$3&lt;=DK$7),ROUND(DK317*($AP$3+#REF!),-1),""))</f>
        <v/>
      </c>
      <c r="DM317" s="517"/>
      <c r="DN317" s="503" t="str">
        <f>IF($G317="","",IF(AND($G317&gt;=30,$AT$3&lt;=DM$7),ROUND(DM317*($AP$3+#REF!),-1),""))</f>
        <v/>
      </c>
      <c r="DO317" s="517"/>
      <c r="DP317" s="503" t="str">
        <f>IF($G317="","",IF(AND($G317&gt;=30,$AT$3&lt;=DO$7),ROUND(DO317*($AP$3+#REF!),-1),""))</f>
        <v/>
      </c>
      <c r="DQ317" s="517"/>
      <c r="DR317" s="503" t="str">
        <f>IF($G317="","",IF(AND($G317&gt;=30,$AT$3&lt;=DQ$7),ROUND(DQ317*($AP$3+#REF!),-1),""))</f>
        <v/>
      </c>
      <c r="DS317" s="517"/>
      <c r="DT317" s="503" t="str">
        <f>IF($G317="","",IF(AND($G317&gt;=30,$AT$3&lt;=DS$7),ROUND(DS317*($AP$3+#REF!),-1),""))</f>
        <v/>
      </c>
      <c r="DU317" s="517"/>
      <c r="DV317" s="503" t="str">
        <f>IF($G317="","",IF(AND($G317&gt;=30,$AT$3&lt;=DU$7),ROUND(DU317*($AP$3+#REF!),-1),""))</f>
        <v/>
      </c>
      <c r="DW317" s="517"/>
      <c r="DX317" s="503" t="str">
        <f>IF($G317="","",IF(AND($G317&gt;=30,$AT$3&lt;=DW$7),ROUND(DW317*($AP$3+#REF!),-1),""))</f>
        <v/>
      </c>
      <c r="DY317" s="517"/>
      <c r="DZ317" s="503" t="str">
        <f>IF($G317="","",IF(AND($G317&gt;=30,$AT$3&lt;=DY$7),ROUND(DY317*($AP$3+#REF!),-1),""))</f>
        <v/>
      </c>
      <c r="EA317" s="517"/>
      <c r="EB317" s="503" t="str">
        <f>IF($G317="","",IF(AND($G317&gt;=30,$AT$3&lt;=EA$7),ROUND(EA317*($AP$3+#REF!),-1),""))</f>
        <v/>
      </c>
      <c r="EC317" s="504" t="s">
        <v>621</v>
      </c>
      <c r="ED317" s="1124"/>
      <c r="EE317" s="325">
        <v>9</v>
      </c>
    </row>
    <row r="318" spans="1:135" ht="9.75" customHeight="1">
      <c r="A318" s="321" t="str">
        <f t="shared" si="82"/>
        <v/>
      </c>
      <c r="B318" s="567">
        <f>(ii!$D$13*12+V318)+1</f>
        <v>212</v>
      </c>
      <c r="C318" s="337">
        <f t="shared" si="72"/>
        <v>51805</v>
      </c>
      <c r="D318" s="484">
        <f t="shared" si="75"/>
        <v>2041</v>
      </c>
      <c r="E318" s="484">
        <f t="shared" si="73"/>
        <v>0.83333333333333337</v>
      </c>
      <c r="F318" s="484">
        <f t="shared" si="76"/>
        <v>2041.8333333333333</v>
      </c>
      <c r="G318" s="485" t="str">
        <f>IF(OR(C318&lt;$I$2,C318&gt;$J$3),"",(ii!$D$13*12+V318+1)/12)</f>
        <v/>
      </c>
      <c r="H318" s="486"/>
      <c r="I318" s="486"/>
      <c r="J318" s="487"/>
      <c r="K318" s="488"/>
      <c r="L318" s="548"/>
      <c r="M318" s="489" t="str">
        <f t="shared" si="77"/>
        <v/>
      </c>
      <c r="N318" s="490" t="s">
        <v>621</v>
      </c>
      <c r="O318" s="490" t="str">
        <f t="shared" si="70"/>
        <v/>
      </c>
      <c r="P318" s="491"/>
      <c r="Q318" s="491"/>
      <c r="R318" s="491" t="str">
        <f t="shared" si="71"/>
        <v/>
      </c>
      <c r="S318" s="528" t="str">
        <f t="shared" si="69"/>
        <v/>
      </c>
      <c r="T318" s="528" t="str">
        <f t="shared" si="81"/>
        <v/>
      </c>
      <c r="U318" s="493" t="str">
        <f>IF(H318="","",#REF!*12+#REF!+#REF!*12+#REF!)</f>
        <v/>
      </c>
      <c r="V318" s="338">
        <f>IF(ii!$J$3&gt;gg!C318,"",IF(AND((YEAR(C318)=YEAR($I$2)),MONTH(C318)=MONTH($I$2)),ii!$B$14*12+ii!$C$14+ii!$B$15*12+ii!$C$15-1,V317+1))</f>
        <v>211</v>
      </c>
      <c r="W318" s="339">
        <f t="shared" si="74"/>
        <v>17.583333333333332</v>
      </c>
      <c r="X318" s="494" t="s">
        <v>621</v>
      </c>
      <c r="Y318" s="495" t="s">
        <v>621</v>
      </c>
      <c r="Z318" s="496"/>
      <c r="AA318" s="497"/>
      <c r="AB318" s="498" t="e">
        <f t="shared" si="80"/>
        <v>#VALUE!</v>
      </c>
      <c r="AC318" s="484" t="str">
        <f t="shared" si="78"/>
        <v/>
      </c>
      <c r="AD318" s="495" t="str">
        <f t="shared" si="79"/>
        <v/>
      </c>
      <c r="AE318" s="499" t="s">
        <v>621</v>
      </c>
      <c r="AF318" s="500" t="s">
        <v>621</v>
      </c>
      <c r="AG318" s="556" t="s">
        <v>621</v>
      </c>
      <c r="AH318" s="503" t="str">
        <f>IF($G318="","",IF(AND($G318&gt;=30,$AT$3&lt;=AG$7),ROUND(AG318*($AP$3+#REF!),-1),""))</f>
        <v/>
      </c>
      <c r="AI318" s="506" t="s">
        <v>621</v>
      </c>
      <c r="AJ318" s="503" t="str">
        <f>IF($G318="","",IF(AND($G318&gt;=30,$AT$3&lt;=AI$7),ROUND(AI318*($AP$3+#REF!),-1),""))</f>
        <v/>
      </c>
      <c r="AK318" s="506" t="s">
        <v>621</v>
      </c>
      <c r="AL318" s="503" t="str">
        <f>IF($G318="","",IF(AND($G318&gt;=30,$AT$3&lt;=AK$7),ROUND(AK318*($AP$3+#REF!),-1),""))</f>
        <v/>
      </c>
      <c r="AM318" s="506" t="s">
        <v>621</v>
      </c>
      <c r="AN318" s="503" t="str">
        <f>IF($G318="","",IF(AND($G318&gt;=30,$AT$3&lt;=AM$7),ROUND(AM318*($AP$3+#REF!),-1),""))</f>
        <v/>
      </c>
      <c r="AO318" s="503" t="e">
        <v>#REF!</v>
      </c>
      <c r="AP318" s="503" t="str">
        <f>IF($G318="","",IF(AND($G318&gt;=30,$AT$3&lt;=AO$7),ROUND(AO318*($AP$3+#REF!),-1),""))</f>
        <v/>
      </c>
      <c r="AQ318" s="503" t="s">
        <v>621</v>
      </c>
      <c r="AR318" s="503" t="str">
        <f>IF($G318="","",IF(AND($G318&gt;=30,$AT$3&lt;=AQ$7),ROUND(AQ318*($AP$3+#REF!),-1),""))</f>
        <v/>
      </c>
      <c r="AS318" s="503" t="s">
        <v>621</v>
      </c>
      <c r="AT318" s="503" t="str">
        <f>IF($G318="","",IF(AND($G318&gt;=30,$AT$3&lt;=AS$7),ROUND(AS318*($AP$3+#REF!),-1),""))</f>
        <v/>
      </c>
      <c r="AU318" s="503" t="s">
        <v>621</v>
      </c>
      <c r="AV318" s="503" t="str">
        <f>IF($G318="","",IF(AND($G318&gt;=30,$AT$3&lt;=AU$7),ROUND(AU318*($AP$3+#REF!),-1),""))</f>
        <v/>
      </c>
      <c r="AW318" s="503" t="s">
        <v>621</v>
      </c>
      <c r="AX318" s="503" t="str">
        <f>IF($G318="","",IF(AND($G318&gt;=30,$AT$3&lt;=AW$7),ROUND(AW318*($AP$3+#REF!),-1),""))</f>
        <v/>
      </c>
      <c r="AY318" s="503" t="s">
        <v>621</v>
      </c>
      <c r="AZ318" s="503" t="str">
        <f>IF($G318="","",IF(AND($G318&gt;=30,$AT$3&lt;=AY$7),ROUND(AY318*($AP$3+#REF!),-1),""))</f>
        <v/>
      </c>
      <c r="BA318" s="503" t="s">
        <v>621</v>
      </c>
      <c r="BB318" s="503" t="str">
        <f>IF($G318="","",IF(AND($G318&gt;=30,$AT$3&lt;=BA$7),ROUND(BA318*($AP$3+#REF!),-1),""))</f>
        <v/>
      </c>
      <c r="BC318" s="503" t="s">
        <v>621</v>
      </c>
      <c r="BD318" s="503" t="str">
        <f>IF($G318="","",IF(AND($G318&gt;=30,$AT$3&lt;=BC$7),ROUND(BC318*($AP$3+#REF!),-1),""))</f>
        <v/>
      </c>
      <c r="BE318" s="503" t="s">
        <v>621</v>
      </c>
      <c r="BF318" s="503" t="str">
        <f>IF($G318="","",IF(AND($G318&gt;=30,$AT$3&lt;=BE$7),ROUND(BE318*($AP$3+#REF!),-1),""))</f>
        <v/>
      </c>
      <c r="BG318" s="503" t="s">
        <v>621</v>
      </c>
      <c r="BH318" s="503" t="str">
        <f>IF($G318="","",IF(AND($G318&gt;=30,$AT$3&lt;=BG$7),ROUND(BG318*($AP$3+#REF!),-1),""))</f>
        <v/>
      </c>
      <c r="BI318" s="503" t="s">
        <v>621</v>
      </c>
      <c r="BJ318" s="503" t="str">
        <f>IF($G318="","",IF(AND($G318&gt;=30,$AT$3&lt;=BI$7),ROUND(BI318*($AP$3+#REF!),-1),""))</f>
        <v/>
      </c>
      <c r="BK318" s="503" t="s">
        <v>621</v>
      </c>
      <c r="BL318" s="503" t="str">
        <f>IF($G318="","",IF(AND($G318&gt;=30,$AT$3&lt;=BK$7),ROUND(BK318*($AP$3+#REF!),-1),""))</f>
        <v/>
      </c>
      <c r="BM318" s="503" t="s">
        <v>621</v>
      </c>
      <c r="BN318" s="503" t="str">
        <f>IF($G318="","",IF(AND($G318&gt;=30,$AT$3&lt;=BM$7),ROUND(BM318*($AP$3+#REF!),-1),""))</f>
        <v/>
      </c>
      <c r="BO318" s="503" t="s">
        <v>621</v>
      </c>
      <c r="BP318" s="503" t="str">
        <f>IF($G318="","",IF(AND($G318&gt;=30,$AT$3&lt;=BO$7),ROUND(BO318*($AP$3+#REF!),-1),""))</f>
        <v/>
      </c>
      <c r="BQ318" s="503" t="s">
        <v>621</v>
      </c>
      <c r="BR318" s="503" t="str">
        <f>IF($G318="","",IF(AND($G318&gt;=30,$AT$3&lt;=BQ$7),ROUND(BQ318*($AP$3+#REF!),-1),""))</f>
        <v/>
      </c>
      <c r="BS318" s="503" t="s">
        <v>621</v>
      </c>
      <c r="BT318" s="503" t="str">
        <f>IF($G318="","",IF(AND($G318&gt;=30,$AT$3&lt;=BS$7),ROUND(BS318*($AP$3+#REF!),-1),""))</f>
        <v/>
      </c>
      <c r="BU318" s="503" t="s">
        <v>621</v>
      </c>
      <c r="BV318" s="503" t="str">
        <f>IF($G318="","",IF(AND($G318&gt;=30,$AT$3&lt;=BU$7),ROUND(BU318*($AP$3+#REF!),-1),""))</f>
        <v/>
      </c>
      <c r="BW318" s="503" t="s">
        <v>621</v>
      </c>
      <c r="BX318" s="503" t="str">
        <f>IF($G318="","",IF(AND($G318&gt;=30,$AT$3&lt;=BW$7),ROUND(BW318*($AP$3+#REF!),-1),""))</f>
        <v/>
      </c>
      <c r="BY318" s="503" t="s">
        <v>621</v>
      </c>
      <c r="BZ318" s="503" t="str">
        <f>IF($G318="","",IF(AND($G318&gt;=30,$AT$3&lt;=BY$7),ROUND(BY318*($AP$3+#REF!),-1),""))</f>
        <v/>
      </c>
      <c r="CA318" s="503" t="s">
        <v>621</v>
      </c>
      <c r="CB318" s="503" t="str">
        <f>IF($G318="","",IF(AND($G318&gt;=30,$AT$3&lt;=CA$7),ROUND(CA318*($AP$3+#REF!),-1),""))</f>
        <v/>
      </c>
      <c r="CC318" s="503" t="s">
        <v>621</v>
      </c>
      <c r="CD318" s="503" t="str">
        <f>IF($G318="","",IF(AND($G318&gt;=30,$AT$3&lt;=CC$7),ROUND(CC318*($AP$3+#REF!),-1),""))</f>
        <v/>
      </c>
      <c r="CE318" s="517" t="e">
        <v>#REF!</v>
      </c>
      <c r="CF318" s="503" t="str">
        <f>IF($G318="","",IF(AND($G318&gt;=30,$AT$3&lt;=CE$7),ROUND(CE318*($AP$3+#REF!),-1),""))</f>
        <v/>
      </c>
      <c r="CG318" s="517"/>
      <c r="CH318" s="503" t="str">
        <f>IF($G318="","",IF(AND($G318&gt;=30,$AT$3&lt;=CG$7),ROUND(CG318*($AP$3+#REF!),-1),""))</f>
        <v/>
      </c>
      <c r="CI318" s="517"/>
      <c r="CJ318" s="503" t="str">
        <f>IF($G318="","",IF(AND($G318&gt;=30,$AT$3&lt;=CI$7),ROUND(CI318*($AP$3+#REF!),-1),""))</f>
        <v/>
      </c>
      <c r="CK318" s="517"/>
      <c r="CL318" s="503" t="str">
        <f>IF($G318="","",IF(AND($G318&gt;=30,$AT$3&lt;=CK$7),ROUND(CK318*($AP$3+#REF!),-1),""))</f>
        <v/>
      </c>
      <c r="CM318" s="517"/>
      <c r="CN318" s="503" t="str">
        <f>IF($G318="","",IF(AND($G318&gt;=30,$AT$3&lt;=CM$7),ROUND(CM318*($AP$3+#REF!),-1),""))</f>
        <v/>
      </c>
      <c r="CO318" s="517"/>
      <c r="CP318" s="503" t="str">
        <f>IF($G318="","",IF(AND($G318&gt;=30,$AT$3&lt;=CO$7),ROUND(CO318*($AP$3+#REF!),-1),""))</f>
        <v/>
      </c>
      <c r="CQ318" s="517"/>
      <c r="CR318" s="503" t="str">
        <f>IF($G318="","",IF(AND($G318&gt;=30,$AT$3&lt;=CQ$7),ROUND(CQ318*($AP$3+#REF!),-1),""))</f>
        <v/>
      </c>
      <c r="CS318" s="517"/>
      <c r="CT318" s="503" t="str">
        <f>IF($G318="","",IF(AND($G318&gt;=30,$AT$3&lt;=CS$7),ROUND(CS318*($AP$3+#REF!),-1),""))</f>
        <v/>
      </c>
      <c r="CU318" s="517"/>
      <c r="CV318" s="503" t="str">
        <f>IF($G318="","",IF(AND($G318&gt;=30,$AT$3&lt;=CU$7),ROUND(CU318*($AP$3+#REF!),-1),""))</f>
        <v/>
      </c>
      <c r="CW318" s="517"/>
      <c r="CX318" s="503" t="str">
        <f>IF($G318="","",IF(AND($G318&gt;=30,$AT$3&lt;=CW$7),ROUND(CW318*($AP$3+#REF!),-1),""))</f>
        <v/>
      </c>
      <c r="CY318" s="517"/>
      <c r="CZ318" s="503" t="str">
        <f>IF($G318="","",IF(AND($G318&gt;=30,$AT$3&lt;=CY$7),ROUND(CY318*($AP$3+#REF!),-1),""))</f>
        <v/>
      </c>
      <c r="DA318" s="517"/>
      <c r="DB318" s="503" t="str">
        <f>IF($G318="","",IF(AND($G318&gt;=30,$AT$3&lt;=DA$7),ROUND(DA318*($AP$3+#REF!),-1),""))</f>
        <v/>
      </c>
      <c r="DC318" s="517"/>
      <c r="DD318" s="503" t="str">
        <f>IF($G318="","",IF(AND($G318&gt;=30,$AT$3&lt;=DC$7),ROUND(DC318*($AP$3+#REF!),-1),""))</f>
        <v/>
      </c>
      <c r="DE318" s="517"/>
      <c r="DF318" s="503" t="str">
        <f>IF($G318="","",IF(AND($G318&gt;=30,$AT$3&lt;=DE$7),ROUND(DE318*($AP$3+#REF!),-1),""))</f>
        <v/>
      </c>
      <c r="DG318" s="517"/>
      <c r="DH318" s="503" t="str">
        <f>IF($G318="","",IF(AND($G318&gt;=30,$AT$3&lt;=DG$7),ROUND(DG318*($AP$3+#REF!),-1),""))</f>
        <v/>
      </c>
      <c r="DI318" s="517"/>
      <c r="DJ318" s="503" t="str">
        <f>IF($G318="","",IF(AND($G318&gt;=30,$AT$3&lt;=DI$7),ROUND(DI318*($AP$3+#REF!),-1),""))</f>
        <v/>
      </c>
      <c r="DK318" s="517"/>
      <c r="DL318" s="503" t="str">
        <f>IF($G318="","",IF(AND($G318&gt;=30,$AT$3&lt;=DK$7),ROUND(DK318*($AP$3+#REF!),-1),""))</f>
        <v/>
      </c>
      <c r="DM318" s="517"/>
      <c r="DN318" s="503" t="str">
        <f>IF($G318="","",IF(AND($G318&gt;=30,$AT$3&lt;=DM$7),ROUND(DM318*($AP$3+#REF!),-1),""))</f>
        <v/>
      </c>
      <c r="DO318" s="517"/>
      <c r="DP318" s="503" t="str">
        <f>IF($G318="","",IF(AND($G318&gt;=30,$AT$3&lt;=DO$7),ROUND(DO318*($AP$3+#REF!),-1),""))</f>
        <v/>
      </c>
      <c r="DQ318" s="517"/>
      <c r="DR318" s="503" t="str">
        <f>IF($G318="","",IF(AND($G318&gt;=30,$AT$3&lt;=DQ$7),ROUND(DQ318*($AP$3+#REF!),-1),""))</f>
        <v/>
      </c>
      <c r="DS318" s="517"/>
      <c r="DT318" s="503" t="str">
        <f>IF($G318="","",IF(AND($G318&gt;=30,$AT$3&lt;=DS$7),ROUND(DS318*($AP$3+#REF!),-1),""))</f>
        <v/>
      </c>
      <c r="DU318" s="517"/>
      <c r="DV318" s="503" t="str">
        <f>IF($G318="","",IF(AND($G318&gt;=30,$AT$3&lt;=DU$7),ROUND(DU318*($AP$3+#REF!),-1),""))</f>
        <v/>
      </c>
      <c r="DW318" s="517"/>
      <c r="DX318" s="503" t="str">
        <f>IF($G318="","",IF(AND($G318&gt;=30,$AT$3&lt;=DW$7),ROUND(DW318*($AP$3+#REF!),-1),""))</f>
        <v/>
      </c>
      <c r="DY318" s="517"/>
      <c r="DZ318" s="503" t="str">
        <f>IF($G318="","",IF(AND($G318&gt;=30,$AT$3&lt;=DY$7),ROUND(DY318*($AP$3+#REF!),-1),""))</f>
        <v/>
      </c>
      <c r="EA318" s="517"/>
      <c r="EB318" s="503" t="str">
        <f>IF($G318="","",IF(AND($G318&gt;=30,$AT$3&lt;=EA$7),ROUND(EA318*($AP$3+#REF!),-1),""))</f>
        <v/>
      </c>
      <c r="EC318" s="504" t="s">
        <v>621</v>
      </c>
      <c r="ED318" s="1124"/>
      <c r="EE318" s="325">
        <v>10</v>
      </c>
    </row>
    <row r="319" spans="1:135" ht="9.75" customHeight="1">
      <c r="A319" s="321" t="str">
        <f t="shared" si="82"/>
        <v/>
      </c>
      <c r="B319" s="567">
        <f>(ii!$D$13*12+V319)+1</f>
        <v>213</v>
      </c>
      <c r="C319" s="337">
        <f t="shared" si="72"/>
        <v>51835</v>
      </c>
      <c r="D319" s="484">
        <f t="shared" si="75"/>
        <v>2041</v>
      </c>
      <c r="E319" s="484">
        <f t="shared" si="73"/>
        <v>0.91666666666666663</v>
      </c>
      <c r="F319" s="484">
        <f t="shared" si="76"/>
        <v>2041.9166666666667</v>
      </c>
      <c r="G319" s="485" t="str">
        <f>IF(OR(C319&lt;$I$2,C319&gt;$J$3),"",(ii!$D$13*12+V319+1)/12)</f>
        <v/>
      </c>
      <c r="H319" s="486"/>
      <c r="I319" s="486"/>
      <c r="J319" s="487"/>
      <c r="K319" s="488"/>
      <c r="L319" s="548"/>
      <c r="M319" s="489" t="str">
        <f t="shared" si="77"/>
        <v/>
      </c>
      <c r="N319" s="490" t="s">
        <v>621</v>
      </c>
      <c r="O319" s="490" t="str">
        <f t="shared" si="70"/>
        <v/>
      </c>
      <c r="P319" s="491"/>
      <c r="Q319" s="491"/>
      <c r="R319" s="491" t="str">
        <f t="shared" si="71"/>
        <v/>
      </c>
      <c r="S319" s="528" t="str">
        <f t="shared" si="69"/>
        <v/>
      </c>
      <c r="T319" s="528" t="str">
        <f t="shared" si="81"/>
        <v/>
      </c>
      <c r="U319" s="493" t="str">
        <f>IF(H319="","",#REF!*12+#REF!+#REF!*12+#REF!)</f>
        <v/>
      </c>
      <c r="V319" s="338">
        <f>IF(ii!$J$3&gt;gg!C319,"",IF(AND((YEAR(C319)=YEAR($I$2)),MONTH(C319)=MONTH($I$2)),ii!$B$14*12+ii!$C$14+ii!$B$15*12+ii!$C$15-1,V318+1))</f>
        <v>212</v>
      </c>
      <c r="W319" s="339">
        <f t="shared" si="74"/>
        <v>17.666666666666668</v>
      </c>
      <c r="X319" s="494" t="s">
        <v>621</v>
      </c>
      <c r="Y319" s="495" t="s">
        <v>621</v>
      </c>
      <c r="Z319" s="496"/>
      <c r="AA319" s="497"/>
      <c r="AB319" s="498" t="e">
        <f t="shared" si="80"/>
        <v>#VALUE!</v>
      </c>
      <c r="AC319" s="484" t="str">
        <f t="shared" si="78"/>
        <v/>
      </c>
      <c r="AD319" s="495" t="str">
        <f t="shared" si="79"/>
        <v/>
      </c>
      <c r="AE319" s="499" t="s">
        <v>621</v>
      </c>
      <c r="AF319" s="500" t="s">
        <v>621</v>
      </c>
      <c r="AG319" s="556" t="s">
        <v>621</v>
      </c>
      <c r="AH319" s="503" t="str">
        <f>IF($G319="","",IF(AND($G319&gt;=30,$AT$3&lt;=AG$7),ROUND(AG319*($AP$3+#REF!),-1),""))</f>
        <v/>
      </c>
      <c r="AI319" s="506" t="s">
        <v>621</v>
      </c>
      <c r="AJ319" s="503" t="str">
        <f>IF($G319="","",IF(AND($G319&gt;=30,$AT$3&lt;=AI$7),ROUND(AI319*($AP$3+#REF!),-1),""))</f>
        <v/>
      </c>
      <c r="AK319" s="506" t="s">
        <v>621</v>
      </c>
      <c r="AL319" s="503" t="str">
        <f>IF($G319="","",IF(AND($G319&gt;=30,$AT$3&lt;=AK$7),ROUND(AK319*($AP$3+#REF!),-1),""))</f>
        <v/>
      </c>
      <c r="AM319" s="506" t="s">
        <v>621</v>
      </c>
      <c r="AN319" s="503" t="str">
        <f>IF($G319="","",IF(AND($G319&gt;=30,$AT$3&lt;=AM$7),ROUND(AM319*($AP$3+#REF!),-1),""))</f>
        <v/>
      </c>
      <c r="AO319" s="503" t="e">
        <v>#REF!</v>
      </c>
      <c r="AP319" s="503" t="str">
        <f>IF($G319="","",IF(AND($G319&gt;=30,$AT$3&lt;=AO$7),ROUND(AO319*($AP$3+#REF!),-1),""))</f>
        <v/>
      </c>
      <c r="AQ319" s="503" t="s">
        <v>621</v>
      </c>
      <c r="AR319" s="503" t="str">
        <f>IF($G319="","",IF(AND($G319&gt;=30,$AT$3&lt;=AQ$7),ROUND(AQ319*($AP$3+#REF!),-1),""))</f>
        <v/>
      </c>
      <c r="AS319" s="503" t="s">
        <v>621</v>
      </c>
      <c r="AT319" s="503" t="str">
        <f>IF($G319="","",IF(AND($G319&gt;=30,$AT$3&lt;=AS$7),ROUND(AS319*($AP$3+#REF!),-1),""))</f>
        <v/>
      </c>
      <c r="AU319" s="503" t="s">
        <v>621</v>
      </c>
      <c r="AV319" s="503" t="str">
        <f>IF($G319="","",IF(AND($G319&gt;=30,$AT$3&lt;=AU$7),ROUND(AU319*($AP$3+#REF!),-1),""))</f>
        <v/>
      </c>
      <c r="AW319" s="503" t="s">
        <v>621</v>
      </c>
      <c r="AX319" s="503" t="str">
        <f>IF($G319="","",IF(AND($G319&gt;=30,$AT$3&lt;=AW$7),ROUND(AW319*($AP$3+#REF!),-1),""))</f>
        <v/>
      </c>
      <c r="AY319" s="503" t="s">
        <v>621</v>
      </c>
      <c r="AZ319" s="503" t="str">
        <f>IF($G319="","",IF(AND($G319&gt;=30,$AT$3&lt;=AY$7),ROUND(AY319*($AP$3+#REF!),-1),""))</f>
        <v/>
      </c>
      <c r="BA319" s="503" t="s">
        <v>621</v>
      </c>
      <c r="BB319" s="503" t="str">
        <f>IF($G319="","",IF(AND($G319&gt;=30,$AT$3&lt;=BA$7),ROUND(BA319*($AP$3+#REF!),-1),""))</f>
        <v/>
      </c>
      <c r="BC319" s="503" t="s">
        <v>621</v>
      </c>
      <c r="BD319" s="503" t="str">
        <f>IF($G319="","",IF(AND($G319&gt;=30,$AT$3&lt;=BC$7),ROUND(BC319*($AP$3+#REF!),-1),""))</f>
        <v/>
      </c>
      <c r="BE319" s="503" t="s">
        <v>621</v>
      </c>
      <c r="BF319" s="503" t="str">
        <f>IF($G319="","",IF(AND($G319&gt;=30,$AT$3&lt;=BE$7),ROUND(BE319*($AP$3+#REF!),-1),""))</f>
        <v/>
      </c>
      <c r="BG319" s="503" t="s">
        <v>621</v>
      </c>
      <c r="BH319" s="503" t="str">
        <f>IF($G319="","",IF(AND($G319&gt;=30,$AT$3&lt;=BG$7),ROUND(BG319*($AP$3+#REF!),-1),""))</f>
        <v/>
      </c>
      <c r="BI319" s="503" t="s">
        <v>621</v>
      </c>
      <c r="BJ319" s="503" t="str">
        <f>IF($G319="","",IF(AND($G319&gt;=30,$AT$3&lt;=BI$7),ROUND(BI319*($AP$3+#REF!),-1),""))</f>
        <v/>
      </c>
      <c r="BK319" s="503" t="s">
        <v>621</v>
      </c>
      <c r="BL319" s="503" t="str">
        <f>IF($G319="","",IF(AND($G319&gt;=30,$AT$3&lt;=BK$7),ROUND(BK319*($AP$3+#REF!),-1),""))</f>
        <v/>
      </c>
      <c r="BM319" s="503" t="s">
        <v>621</v>
      </c>
      <c r="BN319" s="503" t="str">
        <f>IF($G319="","",IF(AND($G319&gt;=30,$AT$3&lt;=BM$7),ROUND(BM319*($AP$3+#REF!),-1),""))</f>
        <v/>
      </c>
      <c r="BO319" s="503" t="s">
        <v>621</v>
      </c>
      <c r="BP319" s="503" t="str">
        <f>IF($G319="","",IF(AND($G319&gt;=30,$AT$3&lt;=BO$7),ROUND(BO319*($AP$3+#REF!),-1),""))</f>
        <v/>
      </c>
      <c r="BQ319" s="503" t="s">
        <v>621</v>
      </c>
      <c r="BR319" s="503" t="str">
        <f>IF($G319="","",IF(AND($G319&gt;=30,$AT$3&lt;=BQ$7),ROUND(BQ319*($AP$3+#REF!),-1),""))</f>
        <v/>
      </c>
      <c r="BS319" s="503" t="s">
        <v>621</v>
      </c>
      <c r="BT319" s="503" t="str">
        <f>IF($G319="","",IF(AND($G319&gt;=30,$AT$3&lt;=BS$7),ROUND(BS319*($AP$3+#REF!),-1),""))</f>
        <v/>
      </c>
      <c r="BU319" s="503" t="s">
        <v>621</v>
      </c>
      <c r="BV319" s="503" t="str">
        <f>IF($G319="","",IF(AND($G319&gt;=30,$AT$3&lt;=BU$7),ROUND(BU319*($AP$3+#REF!),-1),""))</f>
        <v/>
      </c>
      <c r="BW319" s="503" t="s">
        <v>621</v>
      </c>
      <c r="BX319" s="503" t="str">
        <f>IF($G319="","",IF(AND($G319&gt;=30,$AT$3&lt;=BW$7),ROUND(BW319*($AP$3+#REF!),-1),""))</f>
        <v/>
      </c>
      <c r="BY319" s="503" t="s">
        <v>621</v>
      </c>
      <c r="BZ319" s="503" t="str">
        <f>IF($G319="","",IF(AND($G319&gt;=30,$AT$3&lt;=BY$7),ROUND(BY319*($AP$3+#REF!),-1),""))</f>
        <v/>
      </c>
      <c r="CA319" s="503" t="s">
        <v>621</v>
      </c>
      <c r="CB319" s="503" t="str">
        <f>IF($G319="","",IF(AND($G319&gt;=30,$AT$3&lt;=CA$7),ROUND(CA319*($AP$3+#REF!),-1),""))</f>
        <v/>
      </c>
      <c r="CC319" s="503" t="s">
        <v>621</v>
      </c>
      <c r="CD319" s="503" t="str">
        <f>IF($G319="","",IF(AND($G319&gt;=30,$AT$3&lt;=CC$7),ROUND(CC319*($AP$3+#REF!),-1),""))</f>
        <v/>
      </c>
      <c r="CE319" s="517" t="e">
        <v>#REF!</v>
      </c>
      <c r="CF319" s="503" t="str">
        <f>IF($G319="","",IF(AND($G319&gt;=30,$AT$3&lt;=CE$7),ROUND(CE319*($AP$3+#REF!),-1),""))</f>
        <v/>
      </c>
      <c r="CG319" s="517"/>
      <c r="CH319" s="503" t="str">
        <f>IF($G319="","",IF(AND($G319&gt;=30,$AT$3&lt;=CG$7),ROUND(CG319*($AP$3+#REF!),-1),""))</f>
        <v/>
      </c>
      <c r="CI319" s="517"/>
      <c r="CJ319" s="503" t="str">
        <f>IF($G319="","",IF(AND($G319&gt;=30,$AT$3&lt;=CI$7),ROUND(CI319*($AP$3+#REF!),-1),""))</f>
        <v/>
      </c>
      <c r="CK319" s="517"/>
      <c r="CL319" s="503" t="str">
        <f>IF($G319="","",IF(AND($G319&gt;=30,$AT$3&lt;=CK$7),ROUND(CK319*($AP$3+#REF!),-1),""))</f>
        <v/>
      </c>
      <c r="CM319" s="517"/>
      <c r="CN319" s="503" t="str">
        <f>IF($G319="","",IF(AND($G319&gt;=30,$AT$3&lt;=CM$7),ROUND(CM319*($AP$3+#REF!),-1),""))</f>
        <v/>
      </c>
      <c r="CO319" s="517"/>
      <c r="CP319" s="503" t="str">
        <f>IF($G319="","",IF(AND($G319&gt;=30,$AT$3&lt;=CO$7),ROUND(CO319*($AP$3+#REF!),-1),""))</f>
        <v/>
      </c>
      <c r="CQ319" s="517"/>
      <c r="CR319" s="503" t="str">
        <f>IF($G319="","",IF(AND($G319&gt;=30,$AT$3&lt;=CQ$7),ROUND(CQ319*($AP$3+#REF!),-1),""))</f>
        <v/>
      </c>
      <c r="CS319" s="517"/>
      <c r="CT319" s="503" t="str">
        <f>IF($G319="","",IF(AND($G319&gt;=30,$AT$3&lt;=CS$7),ROUND(CS319*($AP$3+#REF!),-1),""))</f>
        <v/>
      </c>
      <c r="CU319" s="517"/>
      <c r="CV319" s="503" t="str">
        <f>IF($G319="","",IF(AND($G319&gt;=30,$AT$3&lt;=CU$7),ROUND(CU319*($AP$3+#REF!),-1),""))</f>
        <v/>
      </c>
      <c r="CW319" s="517"/>
      <c r="CX319" s="503" t="str">
        <f>IF($G319="","",IF(AND($G319&gt;=30,$AT$3&lt;=CW$7),ROUND(CW319*($AP$3+#REF!),-1),""))</f>
        <v/>
      </c>
      <c r="CY319" s="517"/>
      <c r="CZ319" s="503" t="str">
        <f>IF($G319="","",IF(AND($G319&gt;=30,$AT$3&lt;=CY$7),ROUND(CY319*($AP$3+#REF!),-1),""))</f>
        <v/>
      </c>
      <c r="DA319" s="517"/>
      <c r="DB319" s="503" t="str">
        <f>IF($G319="","",IF(AND($G319&gt;=30,$AT$3&lt;=DA$7),ROUND(DA319*($AP$3+#REF!),-1),""))</f>
        <v/>
      </c>
      <c r="DC319" s="517"/>
      <c r="DD319" s="503" t="str">
        <f>IF($G319="","",IF(AND($G319&gt;=30,$AT$3&lt;=DC$7),ROUND(DC319*($AP$3+#REF!),-1),""))</f>
        <v/>
      </c>
      <c r="DE319" s="517"/>
      <c r="DF319" s="503" t="str">
        <f>IF($G319="","",IF(AND($G319&gt;=30,$AT$3&lt;=DE$7),ROUND(DE319*($AP$3+#REF!),-1),""))</f>
        <v/>
      </c>
      <c r="DG319" s="517"/>
      <c r="DH319" s="503" t="str">
        <f>IF($G319="","",IF(AND($G319&gt;=30,$AT$3&lt;=DG$7),ROUND(DG319*($AP$3+#REF!),-1),""))</f>
        <v/>
      </c>
      <c r="DI319" s="517"/>
      <c r="DJ319" s="503" t="str">
        <f>IF($G319="","",IF(AND($G319&gt;=30,$AT$3&lt;=DI$7),ROUND(DI319*($AP$3+#REF!),-1),""))</f>
        <v/>
      </c>
      <c r="DK319" s="517"/>
      <c r="DL319" s="503" t="str">
        <f>IF($G319="","",IF(AND($G319&gt;=30,$AT$3&lt;=DK$7),ROUND(DK319*($AP$3+#REF!),-1),""))</f>
        <v/>
      </c>
      <c r="DM319" s="517"/>
      <c r="DN319" s="503" t="str">
        <f>IF($G319="","",IF(AND($G319&gt;=30,$AT$3&lt;=DM$7),ROUND(DM319*($AP$3+#REF!),-1),""))</f>
        <v/>
      </c>
      <c r="DO319" s="517"/>
      <c r="DP319" s="503" t="str">
        <f>IF($G319="","",IF(AND($G319&gt;=30,$AT$3&lt;=DO$7),ROUND(DO319*($AP$3+#REF!),-1),""))</f>
        <v/>
      </c>
      <c r="DQ319" s="517"/>
      <c r="DR319" s="503" t="str">
        <f>IF($G319="","",IF(AND($G319&gt;=30,$AT$3&lt;=DQ$7),ROUND(DQ319*($AP$3+#REF!),-1),""))</f>
        <v/>
      </c>
      <c r="DS319" s="517"/>
      <c r="DT319" s="503" t="str">
        <f>IF($G319="","",IF(AND($G319&gt;=30,$AT$3&lt;=DS$7),ROUND(DS319*($AP$3+#REF!),-1),""))</f>
        <v/>
      </c>
      <c r="DU319" s="517"/>
      <c r="DV319" s="503" t="str">
        <f>IF($G319="","",IF(AND($G319&gt;=30,$AT$3&lt;=DU$7),ROUND(DU319*($AP$3+#REF!),-1),""))</f>
        <v/>
      </c>
      <c r="DW319" s="517"/>
      <c r="DX319" s="503" t="str">
        <f>IF($G319="","",IF(AND($G319&gt;=30,$AT$3&lt;=DW$7),ROUND(DW319*($AP$3+#REF!),-1),""))</f>
        <v/>
      </c>
      <c r="DY319" s="517"/>
      <c r="DZ319" s="503" t="str">
        <f>IF($G319="","",IF(AND($G319&gt;=30,$AT$3&lt;=DY$7),ROUND(DY319*($AP$3+#REF!),-1),""))</f>
        <v/>
      </c>
      <c r="EA319" s="517"/>
      <c r="EB319" s="503" t="str">
        <f>IF($G319="","",IF(AND($G319&gt;=30,$AT$3&lt;=EA$7),ROUND(EA319*($AP$3+#REF!),-1),""))</f>
        <v/>
      </c>
      <c r="EC319" s="504" t="s">
        <v>621</v>
      </c>
      <c r="ED319" s="1124"/>
      <c r="EE319" s="325">
        <v>11</v>
      </c>
    </row>
    <row r="320" spans="1:135" ht="9.75" customHeight="1">
      <c r="A320" s="321" t="str">
        <f t="shared" si="82"/>
        <v/>
      </c>
      <c r="B320" s="567">
        <f>(ii!$D$13*12+V320)+1</f>
        <v>214</v>
      </c>
      <c r="C320" s="337">
        <f t="shared" si="72"/>
        <v>51866</v>
      </c>
      <c r="D320" s="484">
        <f t="shared" si="75"/>
        <v>2041</v>
      </c>
      <c r="E320" s="484">
        <f t="shared" si="73"/>
        <v>1</v>
      </c>
      <c r="F320" s="484">
        <f t="shared" si="76"/>
        <v>2042</v>
      </c>
      <c r="G320" s="485" t="str">
        <f>IF(OR(C320&lt;$I$2,C320&gt;$J$3),"",(ii!$D$13*12+V320+1)/12)</f>
        <v/>
      </c>
      <c r="H320" s="486"/>
      <c r="I320" s="486"/>
      <c r="J320" s="487"/>
      <c r="K320" s="488"/>
      <c r="L320" s="548"/>
      <c r="M320" s="489" t="str">
        <f t="shared" si="77"/>
        <v/>
      </c>
      <c r="N320" s="490" t="s">
        <v>621</v>
      </c>
      <c r="O320" s="490" t="str">
        <f t="shared" si="70"/>
        <v/>
      </c>
      <c r="P320" s="491"/>
      <c r="Q320" s="491"/>
      <c r="R320" s="491" t="str">
        <f t="shared" si="71"/>
        <v/>
      </c>
      <c r="S320" s="528" t="str">
        <f t="shared" ref="S320:S383" si="83">IF(G320="","",SUM(AF320:EB320))</f>
        <v/>
      </c>
      <c r="T320" s="528" t="str">
        <f t="shared" si="81"/>
        <v/>
      </c>
      <c r="U320" s="493" t="str">
        <f>IF(H320="","",#REF!*12+#REF!+#REF!*12+#REF!)</f>
        <v/>
      </c>
      <c r="V320" s="338">
        <f>IF(ii!$J$3&gt;gg!C320,"",IF(AND((YEAR(C320)=YEAR($I$2)),MONTH(C320)=MONTH($I$2)),ii!$B$14*12+ii!$C$14+ii!$B$15*12+ii!$C$15-1,V319+1))</f>
        <v>213</v>
      </c>
      <c r="W320" s="339">
        <f t="shared" si="74"/>
        <v>17.75</v>
      </c>
      <c r="X320" s="494" t="s">
        <v>621</v>
      </c>
      <c r="Y320" s="495" t="s">
        <v>621</v>
      </c>
      <c r="Z320" s="496"/>
      <c r="AA320" s="497"/>
      <c r="AB320" s="498" t="e">
        <f t="shared" si="80"/>
        <v>#VALUE!</v>
      </c>
      <c r="AC320" s="484" t="str">
        <f t="shared" si="78"/>
        <v/>
      </c>
      <c r="AD320" s="495" t="str">
        <f t="shared" si="79"/>
        <v/>
      </c>
      <c r="AE320" s="499" t="s">
        <v>621</v>
      </c>
      <c r="AF320" s="500" t="s">
        <v>621</v>
      </c>
      <c r="AG320" s="556" t="s">
        <v>621</v>
      </c>
      <c r="AH320" s="503" t="str">
        <f>IF($G320="","",IF(AND($G320&gt;=30,$AT$3&lt;=AG$7),ROUND(AG320*($AP$3+#REF!),-1),""))</f>
        <v/>
      </c>
      <c r="AI320" s="506" t="s">
        <v>621</v>
      </c>
      <c r="AJ320" s="503" t="str">
        <f>IF($G320="","",IF(AND($G320&gt;=30,$AT$3&lt;=AI$7),ROUND(AI320*($AP$3+#REF!),-1),""))</f>
        <v/>
      </c>
      <c r="AK320" s="506" t="s">
        <v>621</v>
      </c>
      <c r="AL320" s="503" t="str">
        <f>IF($G320="","",IF(AND($G320&gt;=30,$AT$3&lt;=AK$7),ROUND(AK320*($AP$3+#REF!),-1),""))</f>
        <v/>
      </c>
      <c r="AM320" s="506" t="s">
        <v>621</v>
      </c>
      <c r="AN320" s="503" t="str">
        <f>IF($G320="","",IF(AND($G320&gt;=30,$AT$3&lt;=AM$7),ROUND(AM320*($AP$3+#REF!),-1),""))</f>
        <v/>
      </c>
      <c r="AO320" s="503" t="e">
        <v>#REF!</v>
      </c>
      <c r="AP320" s="503" t="str">
        <f>IF($G320="","",IF(AND($G320&gt;=30,$AT$3&lt;=AO$7),ROUND(AO320*($AP$3+#REF!),-1),""))</f>
        <v/>
      </c>
      <c r="AQ320" s="503" t="s">
        <v>621</v>
      </c>
      <c r="AR320" s="503" t="str">
        <f>IF($G320="","",IF(AND($G320&gt;=30,$AT$3&lt;=AQ$7),ROUND(AQ320*($AP$3+#REF!),-1),""))</f>
        <v/>
      </c>
      <c r="AS320" s="503" t="s">
        <v>621</v>
      </c>
      <c r="AT320" s="503" t="str">
        <f>IF($G320="","",IF(AND($G320&gt;=30,$AT$3&lt;=AS$7),ROUND(AS320*($AP$3+#REF!),-1),""))</f>
        <v/>
      </c>
      <c r="AU320" s="503" t="s">
        <v>621</v>
      </c>
      <c r="AV320" s="503" t="str">
        <f>IF($G320="","",IF(AND($G320&gt;=30,$AT$3&lt;=AU$7),ROUND(AU320*($AP$3+#REF!),-1),""))</f>
        <v/>
      </c>
      <c r="AW320" s="503" t="s">
        <v>621</v>
      </c>
      <c r="AX320" s="503" t="str">
        <f>IF($G320="","",IF(AND($G320&gt;=30,$AT$3&lt;=AW$7),ROUND(AW320*($AP$3+#REF!),-1),""))</f>
        <v/>
      </c>
      <c r="AY320" s="503" t="s">
        <v>621</v>
      </c>
      <c r="AZ320" s="503" t="str">
        <f>IF($G320="","",IF(AND($G320&gt;=30,$AT$3&lt;=AY$7),ROUND(AY320*($AP$3+#REF!),-1),""))</f>
        <v/>
      </c>
      <c r="BA320" s="503" t="s">
        <v>621</v>
      </c>
      <c r="BB320" s="503" t="str">
        <f>IF($G320="","",IF(AND($G320&gt;=30,$AT$3&lt;=BA$7),ROUND(BA320*($AP$3+#REF!),-1),""))</f>
        <v/>
      </c>
      <c r="BC320" s="503" t="s">
        <v>621</v>
      </c>
      <c r="BD320" s="503" t="str">
        <f>IF($G320="","",IF(AND($G320&gt;=30,$AT$3&lt;=BC$7),ROUND(BC320*($AP$3+#REF!),-1),""))</f>
        <v/>
      </c>
      <c r="BE320" s="503" t="s">
        <v>621</v>
      </c>
      <c r="BF320" s="503" t="str">
        <f>IF($G320="","",IF(AND($G320&gt;=30,$AT$3&lt;=BE$7),ROUND(BE320*($AP$3+#REF!),-1),""))</f>
        <v/>
      </c>
      <c r="BG320" s="503" t="s">
        <v>621</v>
      </c>
      <c r="BH320" s="503" t="str">
        <f>IF($G320="","",IF(AND($G320&gt;=30,$AT$3&lt;=BG$7),ROUND(BG320*($AP$3+#REF!),-1),""))</f>
        <v/>
      </c>
      <c r="BI320" s="503" t="s">
        <v>621</v>
      </c>
      <c r="BJ320" s="503" t="str">
        <f>IF($G320="","",IF(AND($G320&gt;=30,$AT$3&lt;=BI$7),ROUND(BI320*($AP$3+#REF!),-1),""))</f>
        <v/>
      </c>
      <c r="BK320" s="503" t="s">
        <v>621</v>
      </c>
      <c r="BL320" s="503" t="str">
        <f>IF($G320="","",IF(AND($G320&gt;=30,$AT$3&lt;=BK$7),ROUND(BK320*($AP$3+#REF!),-1),""))</f>
        <v/>
      </c>
      <c r="BM320" s="503" t="s">
        <v>621</v>
      </c>
      <c r="BN320" s="503" t="str">
        <f>IF($G320="","",IF(AND($G320&gt;=30,$AT$3&lt;=BM$7),ROUND(BM320*($AP$3+#REF!),-1),""))</f>
        <v/>
      </c>
      <c r="BO320" s="503" t="s">
        <v>621</v>
      </c>
      <c r="BP320" s="503" t="str">
        <f>IF($G320="","",IF(AND($G320&gt;=30,$AT$3&lt;=BO$7),ROUND(BO320*($AP$3+#REF!),-1),""))</f>
        <v/>
      </c>
      <c r="BQ320" s="503" t="s">
        <v>621</v>
      </c>
      <c r="BR320" s="503" t="str">
        <f>IF($G320="","",IF(AND($G320&gt;=30,$AT$3&lt;=BQ$7),ROUND(BQ320*($AP$3+#REF!),-1),""))</f>
        <v/>
      </c>
      <c r="BS320" s="503" t="s">
        <v>621</v>
      </c>
      <c r="BT320" s="503" t="str">
        <f>IF($G320="","",IF(AND($G320&gt;=30,$AT$3&lt;=BS$7),ROUND(BS320*($AP$3+#REF!),-1),""))</f>
        <v/>
      </c>
      <c r="BU320" s="503" t="s">
        <v>621</v>
      </c>
      <c r="BV320" s="503" t="str">
        <f>IF($G320="","",IF(AND($G320&gt;=30,$AT$3&lt;=BU$7),ROUND(BU320*($AP$3+#REF!),-1),""))</f>
        <v/>
      </c>
      <c r="BW320" s="503" t="s">
        <v>621</v>
      </c>
      <c r="BX320" s="503" t="str">
        <f>IF($G320="","",IF(AND($G320&gt;=30,$AT$3&lt;=BW$7),ROUND(BW320*($AP$3+#REF!),-1),""))</f>
        <v/>
      </c>
      <c r="BY320" s="503" t="s">
        <v>621</v>
      </c>
      <c r="BZ320" s="503" t="str">
        <f>IF($G320="","",IF(AND($G320&gt;=30,$AT$3&lt;=BY$7),ROUND(BY320*($AP$3+#REF!),-1),""))</f>
        <v/>
      </c>
      <c r="CA320" s="503" t="s">
        <v>621</v>
      </c>
      <c r="CB320" s="503" t="str">
        <f>IF($G320="","",IF(AND($G320&gt;=30,$AT$3&lt;=CA$7),ROUND(CA320*($AP$3+#REF!),-1),""))</f>
        <v/>
      </c>
      <c r="CC320" s="503" t="s">
        <v>621</v>
      </c>
      <c r="CD320" s="503" t="str">
        <f>IF($G320="","",IF(AND($G320&gt;=30,$AT$3&lt;=CC$7),ROUND(CC320*($AP$3+#REF!),-1),""))</f>
        <v/>
      </c>
      <c r="CE320" s="517" t="e">
        <v>#REF!</v>
      </c>
      <c r="CF320" s="503" t="str">
        <f>IF($G320="","",IF(AND($G320&gt;=30,$AT$3&lt;=CE$7),ROUND(CE320*($AP$3+#REF!),-1),""))</f>
        <v/>
      </c>
      <c r="CG320" s="517"/>
      <c r="CH320" s="503" t="str">
        <f>IF($G320="","",IF(AND($G320&gt;=30,$AT$3&lt;=CG$7),ROUND(CG320*($AP$3+#REF!),-1),""))</f>
        <v/>
      </c>
      <c r="CI320" s="517"/>
      <c r="CJ320" s="503" t="str">
        <f>IF($G320="","",IF(AND($G320&gt;=30,$AT$3&lt;=CI$7),ROUND(CI320*($AP$3+#REF!),-1),""))</f>
        <v/>
      </c>
      <c r="CK320" s="517"/>
      <c r="CL320" s="503" t="str">
        <f>IF($G320="","",IF(AND($G320&gt;=30,$AT$3&lt;=CK$7),ROUND(CK320*($AP$3+#REF!),-1),""))</f>
        <v/>
      </c>
      <c r="CM320" s="517"/>
      <c r="CN320" s="503" t="str">
        <f>IF($G320="","",IF(AND($G320&gt;=30,$AT$3&lt;=CM$7),ROUND(CM320*($AP$3+#REF!),-1),""))</f>
        <v/>
      </c>
      <c r="CO320" s="517"/>
      <c r="CP320" s="503" t="str">
        <f>IF($G320="","",IF(AND($G320&gt;=30,$AT$3&lt;=CO$7),ROUND(CO320*($AP$3+#REF!),-1),""))</f>
        <v/>
      </c>
      <c r="CQ320" s="517"/>
      <c r="CR320" s="503" t="str">
        <f>IF($G320="","",IF(AND($G320&gt;=30,$AT$3&lt;=CQ$7),ROUND(CQ320*($AP$3+#REF!),-1),""))</f>
        <v/>
      </c>
      <c r="CS320" s="517"/>
      <c r="CT320" s="503" t="str">
        <f>IF($G320="","",IF(AND($G320&gt;=30,$AT$3&lt;=CS$7),ROUND(CS320*($AP$3+#REF!),-1),""))</f>
        <v/>
      </c>
      <c r="CU320" s="517"/>
      <c r="CV320" s="503" t="str">
        <f>IF($G320="","",IF(AND($G320&gt;=30,$AT$3&lt;=CU$7),ROUND(CU320*($AP$3+#REF!),-1),""))</f>
        <v/>
      </c>
      <c r="CW320" s="517"/>
      <c r="CX320" s="503" t="str">
        <f>IF($G320="","",IF(AND($G320&gt;=30,$AT$3&lt;=CW$7),ROUND(CW320*($AP$3+#REF!),-1),""))</f>
        <v/>
      </c>
      <c r="CY320" s="517"/>
      <c r="CZ320" s="503" t="str">
        <f>IF($G320="","",IF(AND($G320&gt;=30,$AT$3&lt;=CY$7),ROUND(CY320*($AP$3+#REF!),-1),""))</f>
        <v/>
      </c>
      <c r="DA320" s="517"/>
      <c r="DB320" s="503" t="str">
        <f>IF($G320="","",IF(AND($G320&gt;=30,$AT$3&lt;=DA$7),ROUND(DA320*($AP$3+#REF!),-1),""))</f>
        <v/>
      </c>
      <c r="DC320" s="517"/>
      <c r="DD320" s="503" t="str">
        <f>IF($G320="","",IF(AND($G320&gt;=30,$AT$3&lt;=DC$7),ROUND(DC320*($AP$3+#REF!),-1),""))</f>
        <v/>
      </c>
      <c r="DE320" s="517"/>
      <c r="DF320" s="503" t="str">
        <f>IF($G320="","",IF(AND($G320&gt;=30,$AT$3&lt;=DE$7),ROUND(DE320*($AP$3+#REF!),-1),""))</f>
        <v/>
      </c>
      <c r="DG320" s="517"/>
      <c r="DH320" s="503" t="str">
        <f>IF($G320="","",IF(AND($G320&gt;=30,$AT$3&lt;=DG$7),ROUND(DG320*($AP$3+#REF!),-1),""))</f>
        <v/>
      </c>
      <c r="DI320" s="517"/>
      <c r="DJ320" s="503" t="str">
        <f>IF($G320="","",IF(AND($G320&gt;=30,$AT$3&lt;=DI$7),ROUND(DI320*($AP$3+#REF!),-1),""))</f>
        <v/>
      </c>
      <c r="DK320" s="517"/>
      <c r="DL320" s="503" t="str">
        <f>IF($G320="","",IF(AND($G320&gt;=30,$AT$3&lt;=DK$7),ROUND(DK320*($AP$3+#REF!),-1),""))</f>
        <v/>
      </c>
      <c r="DM320" s="517"/>
      <c r="DN320" s="503" t="str">
        <f>IF($G320="","",IF(AND($G320&gt;=30,$AT$3&lt;=DM$7),ROUND(DM320*($AP$3+#REF!),-1),""))</f>
        <v/>
      </c>
      <c r="DO320" s="517"/>
      <c r="DP320" s="503" t="str">
        <f>IF($G320="","",IF(AND($G320&gt;=30,$AT$3&lt;=DO$7),ROUND(DO320*($AP$3+#REF!),-1),""))</f>
        <v/>
      </c>
      <c r="DQ320" s="517"/>
      <c r="DR320" s="503" t="str">
        <f>IF($G320="","",IF(AND($G320&gt;=30,$AT$3&lt;=DQ$7),ROUND(DQ320*($AP$3+#REF!),-1),""))</f>
        <v/>
      </c>
      <c r="DS320" s="517"/>
      <c r="DT320" s="503" t="str">
        <f>IF($G320="","",IF(AND($G320&gt;=30,$AT$3&lt;=DS$7),ROUND(DS320*($AP$3+#REF!),-1),""))</f>
        <v/>
      </c>
      <c r="DU320" s="517"/>
      <c r="DV320" s="503" t="str">
        <f>IF($G320="","",IF(AND($G320&gt;=30,$AT$3&lt;=DU$7),ROUND(DU320*($AP$3+#REF!),-1),""))</f>
        <v/>
      </c>
      <c r="DW320" s="517"/>
      <c r="DX320" s="503" t="str">
        <f>IF($G320="","",IF(AND($G320&gt;=30,$AT$3&lt;=DW$7),ROUND(DW320*($AP$3+#REF!),-1),""))</f>
        <v/>
      </c>
      <c r="DY320" s="517"/>
      <c r="DZ320" s="503" t="str">
        <f>IF($G320="","",IF(AND($G320&gt;=30,$AT$3&lt;=DY$7),ROUND(DY320*($AP$3+#REF!),-1),""))</f>
        <v/>
      </c>
      <c r="EA320" s="517"/>
      <c r="EB320" s="503" t="str">
        <f>IF($G320="","",IF(AND($G320&gt;=30,$AT$3&lt;=EA$7),ROUND(EA320*($AP$3+#REF!),-1),""))</f>
        <v/>
      </c>
      <c r="EC320" s="504" t="s">
        <v>621</v>
      </c>
      <c r="ED320" s="1125"/>
      <c r="EE320" s="325">
        <v>12</v>
      </c>
    </row>
    <row r="321" spans="1:135" ht="9.75" customHeight="1">
      <c r="A321" s="321" t="str">
        <f t="shared" si="82"/>
        <v/>
      </c>
      <c r="B321" s="567">
        <f>(ii!$D$13*12+V321)+1</f>
        <v>215</v>
      </c>
      <c r="C321" s="345">
        <f t="shared" si="72"/>
        <v>51897</v>
      </c>
      <c r="D321" s="340">
        <f t="shared" si="75"/>
        <v>2042</v>
      </c>
      <c r="E321" s="340">
        <f t="shared" si="73"/>
        <v>8.3333333333333329E-2</v>
      </c>
      <c r="F321" s="340">
        <f t="shared" si="76"/>
        <v>2042.0833333333333</v>
      </c>
      <c r="G321" s="531" t="str">
        <f>IF(OR(C321&lt;$I$2,C321&gt;$J$3),"",(ii!$D$13*12+V321+1)/12)</f>
        <v/>
      </c>
      <c r="H321" s="532"/>
      <c r="I321" s="532"/>
      <c r="J321" s="533"/>
      <c r="K321" s="553"/>
      <c r="L321" s="534"/>
      <c r="M321" s="489" t="str">
        <f t="shared" si="77"/>
        <v/>
      </c>
      <c r="N321" s="536" t="s">
        <v>621</v>
      </c>
      <c r="O321" s="490" t="str">
        <f t="shared" si="70"/>
        <v/>
      </c>
      <c r="P321" s="537"/>
      <c r="Q321" s="537"/>
      <c r="R321" s="533" t="str">
        <f t="shared" si="71"/>
        <v/>
      </c>
      <c r="S321" s="538" t="str">
        <f t="shared" si="83"/>
        <v/>
      </c>
      <c r="T321" s="538" t="str">
        <f t="shared" si="81"/>
        <v/>
      </c>
      <c r="U321" s="539" t="str">
        <f>IF(H321="","",#REF!*12+#REF!+#REF!*12+#REF!)</f>
        <v/>
      </c>
      <c r="V321" s="338">
        <f>IF(ii!$J$3&gt;gg!C321,"",IF(AND((YEAR(C321)=YEAR($I$2)),MONTH(C321)=MONTH($I$2)),ii!$B$14*12+ii!$C$14+ii!$B$15*12+ii!$C$15-1,V320+1))</f>
        <v>214</v>
      </c>
      <c r="W321" s="339">
        <f t="shared" si="74"/>
        <v>17.833333333333332</v>
      </c>
      <c r="X321" s="540" t="s">
        <v>621</v>
      </c>
      <c r="Y321" s="538" t="s">
        <v>621</v>
      </c>
      <c r="Z321" s="541">
        <f>Z309+$Z$26</f>
        <v>0.72000000000000042</v>
      </c>
      <c r="AA321" s="542" t="str">
        <f>IF(Y321="","",(Y321-Y320)/Y320)</f>
        <v/>
      </c>
      <c r="AB321" s="543" t="e">
        <f t="shared" si="80"/>
        <v>#VALUE!</v>
      </c>
      <c r="AC321" s="544" t="str">
        <f t="shared" si="78"/>
        <v/>
      </c>
      <c r="AD321" s="538" t="str">
        <f t="shared" si="79"/>
        <v/>
      </c>
      <c r="AE321" s="545" t="s">
        <v>621</v>
      </c>
      <c r="AF321" s="546" t="s">
        <v>621</v>
      </c>
      <c r="AG321" s="558" t="s">
        <v>621</v>
      </c>
      <c r="AH321" s="547" t="str">
        <f>IF($G321="","",IF(AND($G321&gt;=30,$AT$3&lt;=AG$7),ROUND(AG321*($AP$3+#REF!),-1),""))</f>
        <v/>
      </c>
      <c r="AI321" s="558" t="s">
        <v>621</v>
      </c>
      <c r="AJ321" s="547" t="str">
        <f>IF($G321="","",IF(AND($G321&gt;=30,$AT$3&lt;=AI$7),ROUND(AI321*($AP$3+#REF!),-1),""))</f>
        <v/>
      </c>
      <c r="AK321" s="560" t="s">
        <v>621</v>
      </c>
      <c r="AL321" s="547" t="str">
        <f>IF($G321="","",IF(AND($G321&gt;=30,$AT$3&lt;=AK$7),ROUND(AK321*($AP$3+#REF!),-1),""))</f>
        <v/>
      </c>
      <c r="AM321" s="560" t="s">
        <v>621</v>
      </c>
      <c r="AN321" s="547" t="str">
        <f>IF($G321="","",IF(AND($G321&gt;=30,$AT$3&lt;=AM$7),ROUND(AM321*($AP$3+#REF!),-1),""))</f>
        <v/>
      </c>
      <c r="AO321" s="547" t="e">
        <v>#REF!</v>
      </c>
      <c r="AP321" s="547" t="str">
        <f>IF($G321="","",IF(AND($G321&gt;=30,$AT$3&lt;=AO$7),ROUND(AO321*($AP$3+#REF!),-1),""))</f>
        <v/>
      </c>
      <c r="AQ321" s="547" t="s">
        <v>621</v>
      </c>
      <c r="AR321" s="547" t="str">
        <f>IF($G321="","",IF(AND($G321&gt;=30,$AT$3&lt;=AQ$7),ROUND(AQ321*($AP$3+#REF!),-1),""))</f>
        <v/>
      </c>
      <c r="AS321" s="547" t="s">
        <v>621</v>
      </c>
      <c r="AT321" s="547" t="str">
        <f>IF($G321="","",IF(AND($G321&gt;=30,$AT$3&lt;=AS$7),ROUND(AS321*($AP$3+#REF!),-1),""))</f>
        <v/>
      </c>
      <c r="AU321" s="547" t="s">
        <v>621</v>
      </c>
      <c r="AV321" s="547" t="str">
        <f>IF($G321="","",IF(AND($G321&gt;=30,$AT$3&lt;=AU$7),ROUND(AU321*($AP$3+#REF!),-1),""))</f>
        <v/>
      </c>
      <c r="AW321" s="547" t="s">
        <v>621</v>
      </c>
      <c r="AX321" s="547" t="str">
        <f>IF($G321="","",IF(AND($G321&gt;=30,$AT$3&lt;=AW$7),ROUND(AW321*($AP$3+#REF!),-1),""))</f>
        <v/>
      </c>
      <c r="AY321" s="547" t="s">
        <v>621</v>
      </c>
      <c r="AZ321" s="547" t="str">
        <f>IF($G321="","",IF(AND($G321&gt;=30,$AT$3&lt;=AY$7),ROUND(AY321*($AP$3+#REF!),-1),""))</f>
        <v/>
      </c>
      <c r="BA321" s="547" t="s">
        <v>621</v>
      </c>
      <c r="BB321" s="547" t="str">
        <f>IF($G321="","",IF(AND($G321&gt;=30,$AT$3&lt;=BA$7),ROUND(BA321*($AP$3+#REF!),-1),""))</f>
        <v/>
      </c>
      <c r="BC321" s="547" t="s">
        <v>621</v>
      </c>
      <c r="BD321" s="547" t="str">
        <f>IF($G321="","",IF(AND($G321&gt;=30,$AT$3&lt;=BC$7),ROUND(BC321*($AP$3+#REF!),-1),""))</f>
        <v/>
      </c>
      <c r="BE321" s="547" t="s">
        <v>621</v>
      </c>
      <c r="BF321" s="547" t="str">
        <f>IF($G321="","",IF(AND($G321&gt;=30,$AT$3&lt;=BE$7),ROUND(BE321*($AP$3+#REF!),-1),""))</f>
        <v/>
      </c>
      <c r="BG321" s="547" t="s">
        <v>621</v>
      </c>
      <c r="BH321" s="547" t="str">
        <f>IF($G321="","",IF(AND($G321&gt;=30,$AT$3&lt;=BG$7),ROUND(BG321*($AP$3+#REF!),-1),""))</f>
        <v/>
      </c>
      <c r="BI321" s="547" t="s">
        <v>621</v>
      </c>
      <c r="BJ321" s="547" t="str">
        <f>IF($G321="","",IF(AND($G321&gt;=30,$AT$3&lt;=BI$7),ROUND(BI321*($AP$3+#REF!),-1),""))</f>
        <v/>
      </c>
      <c r="BK321" s="547" t="s">
        <v>621</v>
      </c>
      <c r="BL321" s="547" t="str">
        <f>IF($G321="","",IF(AND($G321&gt;=30,$AT$3&lt;=BK$7),ROUND(BK321*($AP$3+#REF!),-1),""))</f>
        <v/>
      </c>
      <c r="BM321" s="547" t="s">
        <v>621</v>
      </c>
      <c r="BN321" s="547" t="str">
        <f>IF($G321="","",IF(AND($G321&gt;=30,$AT$3&lt;=BM$7),ROUND(BM321*($AP$3+#REF!),-1),""))</f>
        <v/>
      </c>
      <c r="BO321" s="547" t="s">
        <v>621</v>
      </c>
      <c r="BP321" s="547" t="str">
        <f>IF($G321="","",IF(AND($G321&gt;=30,$AT$3&lt;=BO$7),ROUND(BO321*($AP$3+#REF!),-1),""))</f>
        <v/>
      </c>
      <c r="BQ321" s="547" t="s">
        <v>621</v>
      </c>
      <c r="BR321" s="547" t="str">
        <f>IF($G321="","",IF(AND($G321&gt;=30,$AT$3&lt;=BQ$7),ROUND(BQ321*($AP$3+#REF!),-1),""))</f>
        <v/>
      </c>
      <c r="BS321" s="547" t="s">
        <v>621</v>
      </c>
      <c r="BT321" s="547" t="str">
        <f>IF($G321="","",IF(AND($G321&gt;=30,$AT$3&lt;=BS$7),ROUND(BS321*($AP$3+#REF!),-1),""))</f>
        <v/>
      </c>
      <c r="BU321" s="547" t="s">
        <v>621</v>
      </c>
      <c r="BV321" s="547" t="str">
        <f>IF($G321="","",IF(AND($G321&gt;=30,$AT$3&lt;=BU$7),ROUND(BU321*($AP$3+#REF!),-1),""))</f>
        <v/>
      </c>
      <c r="BW321" s="547" t="s">
        <v>621</v>
      </c>
      <c r="BX321" s="547" t="str">
        <f>IF($G321="","",IF(AND($G321&gt;=30,$AT$3&lt;=BW$7),ROUND(BW321*($AP$3+#REF!),-1),""))</f>
        <v/>
      </c>
      <c r="BY321" s="547" t="s">
        <v>621</v>
      </c>
      <c r="BZ321" s="547" t="str">
        <f>IF($G321="","",IF(AND($G321&gt;=30,$AT$3&lt;=BY$7),ROUND(BY321*($AP$3+#REF!),-1),""))</f>
        <v/>
      </c>
      <c r="CA321" s="547" t="s">
        <v>621</v>
      </c>
      <c r="CB321" s="547" t="str">
        <f>IF($G321="","",IF(AND($G321&gt;=30,$AT$3&lt;=CA$7),ROUND(CA321*($AP$3+#REF!),-1),""))</f>
        <v/>
      </c>
      <c r="CC321" s="547" t="s">
        <v>621</v>
      </c>
      <c r="CD321" s="547" t="str">
        <f>IF($G321="","",IF(AND($G321&gt;=30,$AT$3&lt;=CC$7),ROUND(CC321*($AP$3+#REF!),-1),""))</f>
        <v/>
      </c>
      <c r="CE321" s="547" t="s">
        <v>621</v>
      </c>
      <c r="CF321" s="547" t="str">
        <f>IF($G321="","",IF(AND($G321&gt;=30,$AT$3&lt;=CE$7),ROUND(CE321*($AP$3+#REF!),-1),""))</f>
        <v/>
      </c>
      <c r="CG321" s="533" t="e">
        <v>#REF!</v>
      </c>
      <c r="CH321" s="547" t="str">
        <f>IF($G321="","",IF(AND($G321&gt;=30,$AT$3&lt;=CG$7),ROUND(CG321*($AP$3+#REF!),-1),""))</f>
        <v/>
      </c>
      <c r="CI321" s="547"/>
      <c r="CJ321" s="547" t="str">
        <f>IF($G321="","",IF(AND($G321&gt;=30,$AT$3&lt;=CI$7),ROUND(CI321*($AP$3+#REF!),-1),""))</f>
        <v/>
      </c>
      <c r="CK321" s="547"/>
      <c r="CL321" s="547" t="str">
        <f>IF($G321="","",IF(AND($G321&gt;=30,$AT$3&lt;=CK$7),ROUND(CK321*($AP$3+#REF!),-1),""))</f>
        <v/>
      </c>
      <c r="CM321" s="547"/>
      <c r="CN321" s="547" t="str">
        <f>IF($G321="","",IF(AND($G321&gt;=30,$AT$3&lt;=CM$7),ROUND(CM321*($AP$3+#REF!),-1),""))</f>
        <v/>
      </c>
      <c r="CO321" s="547"/>
      <c r="CP321" s="547" t="str">
        <f>IF($G321="","",IF(AND($G321&gt;=30,$AT$3&lt;=CO$7),ROUND(CO321*($AP$3+#REF!),-1),""))</f>
        <v/>
      </c>
      <c r="CQ321" s="547"/>
      <c r="CR321" s="547" t="str">
        <f>IF($G321="","",IF(AND($G321&gt;=30,$AT$3&lt;=CQ$7),ROUND(CQ321*($AP$3+#REF!),-1),""))</f>
        <v/>
      </c>
      <c r="CS321" s="547"/>
      <c r="CT321" s="547" t="str">
        <f>IF($G321="","",IF(AND($G321&gt;=30,$AT$3&lt;=CS$7),ROUND(CS321*($AP$3+#REF!),-1),""))</f>
        <v/>
      </c>
      <c r="CU321" s="547"/>
      <c r="CV321" s="547" t="str">
        <f>IF($G321="","",IF(AND($G321&gt;=30,$AT$3&lt;=CU$7),ROUND(CU321*($AP$3+#REF!),-1),""))</f>
        <v/>
      </c>
      <c r="CW321" s="547"/>
      <c r="CX321" s="547" t="str">
        <f>IF($G321="","",IF(AND($G321&gt;=30,$AT$3&lt;=CW$7),ROUND(CW321*($AP$3+#REF!),-1),""))</f>
        <v/>
      </c>
      <c r="CY321" s="547"/>
      <c r="CZ321" s="547" t="str">
        <f>IF($G321="","",IF(AND($G321&gt;=30,$AT$3&lt;=CY$7),ROUND(CY321*($AP$3+#REF!),-1),""))</f>
        <v/>
      </c>
      <c r="DA321" s="547"/>
      <c r="DB321" s="547" t="str">
        <f>IF($G321="","",IF(AND($G321&gt;=30,$AT$3&lt;=DA$7),ROUND(DA321*($AP$3+#REF!),-1),""))</f>
        <v/>
      </c>
      <c r="DC321" s="547"/>
      <c r="DD321" s="547" t="str">
        <f>IF($G321="","",IF(AND($G321&gt;=30,$AT$3&lt;=DC$7),ROUND(DC321*($AP$3+#REF!),-1),""))</f>
        <v/>
      </c>
      <c r="DE321" s="547"/>
      <c r="DF321" s="547" t="str">
        <f>IF($G321="","",IF(AND($G321&gt;=30,$AT$3&lt;=DE$7),ROUND(DE321*($AP$3+#REF!),-1),""))</f>
        <v/>
      </c>
      <c r="DG321" s="547"/>
      <c r="DH321" s="547" t="str">
        <f>IF($G321="","",IF(AND($G321&gt;=30,$AT$3&lt;=DG$7),ROUND(DG321*($AP$3+#REF!),-1),""))</f>
        <v/>
      </c>
      <c r="DI321" s="547"/>
      <c r="DJ321" s="547" t="str">
        <f>IF($G321="","",IF(AND($G321&gt;=30,$AT$3&lt;=DI$7),ROUND(DI321*($AP$3+#REF!),-1),""))</f>
        <v/>
      </c>
      <c r="DK321" s="547"/>
      <c r="DL321" s="547" t="str">
        <f>IF($G321="","",IF(AND($G321&gt;=30,$AT$3&lt;=DK$7),ROUND(DK321*($AP$3+#REF!),-1),""))</f>
        <v/>
      </c>
      <c r="DM321" s="547"/>
      <c r="DN321" s="547" t="str">
        <f>IF($G321="","",IF(AND($G321&gt;=30,$AT$3&lt;=DM$7),ROUND(DM321*($AP$3+#REF!),-1),""))</f>
        <v/>
      </c>
      <c r="DO321" s="547"/>
      <c r="DP321" s="547" t="str">
        <f>IF($G321="","",IF(AND($G321&gt;=30,$AT$3&lt;=DO$7),ROUND(DO321*($AP$3+#REF!),-1),""))</f>
        <v/>
      </c>
      <c r="DQ321" s="547"/>
      <c r="DR321" s="547" t="str">
        <f>IF($G321="","",IF(AND($G321&gt;=30,$AT$3&lt;=DQ$7),ROUND(DQ321*($AP$3+#REF!),-1),""))</f>
        <v/>
      </c>
      <c r="DS321" s="547"/>
      <c r="DT321" s="547" t="str">
        <f>IF($G321="","",IF(AND($G321&gt;=30,$AT$3&lt;=DS$7),ROUND(DS321*($AP$3+#REF!),-1),""))</f>
        <v/>
      </c>
      <c r="DU321" s="547"/>
      <c r="DV321" s="547" t="str">
        <f>IF($G321="","",IF(AND($G321&gt;=30,$AT$3&lt;=DU$7),ROUND(DU321*($AP$3+#REF!),-1),""))</f>
        <v/>
      </c>
      <c r="DW321" s="547"/>
      <c r="DX321" s="547" t="str">
        <f>IF($G321="","",IF(AND($G321&gt;=30,$AT$3&lt;=DW$7),ROUND(DW321*($AP$3+#REF!),-1),""))</f>
        <v/>
      </c>
      <c r="DY321" s="547"/>
      <c r="DZ321" s="547" t="str">
        <f>IF($G321="","",IF(AND($G321&gt;=30,$AT$3&lt;=DY$7),ROUND(DY321*($AP$3+#REF!),-1),""))</f>
        <v/>
      </c>
      <c r="EA321" s="547"/>
      <c r="EB321" s="547" t="str">
        <f>IF($G321="","",IF(AND($G321&gt;=30,$AT$3&lt;=EA$7),ROUND(EA321*($AP$3+#REF!),-1),""))</f>
        <v/>
      </c>
      <c r="EC321" s="547" t="s">
        <v>621</v>
      </c>
      <c r="ED321" s="1123">
        <f>SUM(EC321:EC332)</f>
        <v>0</v>
      </c>
      <c r="EE321" s="325">
        <v>1</v>
      </c>
    </row>
    <row r="322" spans="1:135" ht="9.75" customHeight="1">
      <c r="A322" s="321" t="str">
        <f t="shared" si="82"/>
        <v/>
      </c>
      <c r="B322" s="567">
        <f>(ii!$D$13*12+V322)+1</f>
        <v>216</v>
      </c>
      <c r="C322" s="337">
        <f t="shared" si="72"/>
        <v>51925</v>
      </c>
      <c r="D322" s="484">
        <f t="shared" si="75"/>
        <v>2042</v>
      </c>
      <c r="E322" s="484">
        <f t="shared" si="73"/>
        <v>0.16666666666666666</v>
      </c>
      <c r="F322" s="484">
        <f t="shared" si="76"/>
        <v>2042.1666666666667</v>
      </c>
      <c r="G322" s="485" t="str">
        <f>IF(OR(C322&lt;$I$2,C322&gt;$J$3),"",(ii!$D$13*12+V322+1)/12)</f>
        <v/>
      </c>
      <c r="H322" s="486"/>
      <c r="I322" s="486"/>
      <c r="J322" s="487"/>
      <c r="K322" s="488"/>
      <c r="L322" s="548"/>
      <c r="M322" s="489" t="str">
        <f t="shared" si="77"/>
        <v/>
      </c>
      <c r="N322" s="490" t="s">
        <v>621</v>
      </c>
      <c r="O322" s="490" t="str">
        <f t="shared" si="70"/>
        <v/>
      </c>
      <c r="P322" s="491"/>
      <c r="Q322" s="491"/>
      <c r="R322" s="491" t="str">
        <f t="shared" si="71"/>
        <v/>
      </c>
      <c r="S322" s="528" t="str">
        <f t="shared" si="83"/>
        <v/>
      </c>
      <c r="T322" s="528" t="str">
        <f t="shared" si="81"/>
        <v/>
      </c>
      <c r="U322" s="493" t="str">
        <f>IF(H322="","",#REF!*12+#REF!+#REF!*12+#REF!)</f>
        <v/>
      </c>
      <c r="V322" s="338">
        <f>IF(ii!$J$3&gt;gg!C322,"",IF(AND((YEAR(C322)=YEAR($I$2)),MONTH(C322)=MONTH($I$2)),ii!$B$14*12+ii!$C$14+ii!$B$15*12+ii!$C$15-1,V321+1))</f>
        <v>215</v>
      </c>
      <c r="W322" s="339">
        <f t="shared" si="74"/>
        <v>17.916666666666668</v>
      </c>
      <c r="X322" s="494" t="s">
        <v>621</v>
      </c>
      <c r="Y322" s="495" t="s">
        <v>621</v>
      </c>
      <c r="Z322" s="496"/>
      <c r="AA322" s="497"/>
      <c r="AB322" s="498" t="e">
        <f t="shared" si="80"/>
        <v>#VALUE!</v>
      </c>
      <c r="AC322" s="484" t="str">
        <f t="shared" si="78"/>
        <v/>
      </c>
      <c r="AD322" s="495" t="str">
        <f t="shared" si="79"/>
        <v/>
      </c>
      <c r="AE322" s="499" t="s">
        <v>621</v>
      </c>
      <c r="AF322" s="500" t="s">
        <v>621</v>
      </c>
      <c r="AG322" s="556" t="s">
        <v>621</v>
      </c>
      <c r="AH322" s="503" t="str">
        <f>IF($G322="","",IF(AND($G322&gt;=30,$AT$3&lt;=AG$7),ROUND(AG322*($AP$3+#REF!),-1),""))</f>
        <v/>
      </c>
      <c r="AI322" s="506" t="s">
        <v>621</v>
      </c>
      <c r="AJ322" s="503" t="str">
        <f>IF($G322="","",IF(AND($G322&gt;=30,$AT$3&lt;=AI$7),ROUND(AI322*($AP$3+#REF!),-1),""))</f>
        <v/>
      </c>
      <c r="AK322" s="506" t="s">
        <v>621</v>
      </c>
      <c r="AL322" s="503" t="str">
        <f>IF($G322="","",IF(AND($G322&gt;=30,$AT$3&lt;=AK$7),ROUND(AK322*($AP$3+#REF!),-1),""))</f>
        <v/>
      </c>
      <c r="AM322" s="506" t="s">
        <v>621</v>
      </c>
      <c r="AN322" s="503" t="str">
        <f>IF($G322="","",IF(AND($G322&gt;=30,$AT$3&lt;=AM$7),ROUND(AM322*($AP$3+#REF!),-1),""))</f>
        <v/>
      </c>
      <c r="AO322" s="503" t="e">
        <f>IF(AO321="","",AO321*1.001)</f>
        <v>#REF!</v>
      </c>
      <c r="AP322" s="503" t="str">
        <f>IF($G322="","",IF(AND($G322&gt;=30,$AT$3&lt;=AO$7),ROUND(AO322*($AP$3+#REF!),-1),""))</f>
        <v/>
      </c>
      <c r="AQ322" s="503" t="s">
        <v>621</v>
      </c>
      <c r="AR322" s="503" t="str">
        <f>IF($G322="","",IF(AND($G322&gt;=30,$AT$3&lt;=AQ$7),ROUND(AQ322*($AP$3+#REF!),-1),""))</f>
        <v/>
      </c>
      <c r="AS322" s="503" t="s">
        <v>621</v>
      </c>
      <c r="AT322" s="503" t="str">
        <f>IF($G322="","",IF(AND($G322&gt;=30,$AT$3&lt;=AS$7),ROUND(AS322*($AP$3+#REF!),-1),""))</f>
        <v/>
      </c>
      <c r="AU322" s="503" t="s">
        <v>621</v>
      </c>
      <c r="AV322" s="503" t="str">
        <f>IF($G322="","",IF(AND($G322&gt;=30,$AT$3&lt;=AU$7),ROUND(AU322*($AP$3+#REF!),-1),""))</f>
        <v/>
      </c>
      <c r="AW322" s="503" t="s">
        <v>621</v>
      </c>
      <c r="AX322" s="503" t="str">
        <f>IF($G322="","",IF(AND($G322&gt;=30,$AT$3&lt;=AW$7),ROUND(AW322*($AP$3+#REF!),-1),""))</f>
        <v/>
      </c>
      <c r="AY322" s="503" t="s">
        <v>621</v>
      </c>
      <c r="AZ322" s="503" t="str">
        <f>IF($G322="","",IF(AND($G322&gt;=30,$AT$3&lt;=AY$7),ROUND(AY322*($AP$3+#REF!),-1),""))</f>
        <v/>
      </c>
      <c r="BA322" s="503" t="s">
        <v>621</v>
      </c>
      <c r="BB322" s="503" t="str">
        <f>IF($G322="","",IF(AND($G322&gt;=30,$AT$3&lt;=BA$7),ROUND(BA322*($AP$3+#REF!),-1),""))</f>
        <v/>
      </c>
      <c r="BC322" s="503" t="s">
        <v>621</v>
      </c>
      <c r="BD322" s="503" t="str">
        <f>IF($G322="","",IF(AND($G322&gt;=30,$AT$3&lt;=BC$7),ROUND(BC322*($AP$3+#REF!),-1),""))</f>
        <v/>
      </c>
      <c r="BE322" s="503" t="s">
        <v>621</v>
      </c>
      <c r="BF322" s="503" t="str">
        <f>IF($G322="","",IF(AND($G322&gt;=30,$AT$3&lt;=BE$7),ROUND(BE322*($AP$3+#REF!),-1),""))</f>
        <v/>
      </c>
      <c r="BG322" s="503" t="s">
        <v>621</v>
      </c>
      <c r="BH322" s="503" t="str">
        <f>IF($G322="","",IF(AND($G322&gt;=30,$AT$3&lt;=BG$7),ROUND(BG322*($AP$3+#REF!),-1),""))</f>
        <v/>
      </c>
      <c r="BI322" s="503" t="s">
        <v>621</v>
      </c>
      <c r="BJ322" s="503" t="str">
        <f>IF($G322="","",IF(AND($G322&gt;=30,$AT$3&lt;=BI$7),ROUND(BI322*($AP$3+#REF!),-1),""))</f>
        <v/>
      </c>
      <c r="BK322" s="503" t="s">
        <v>621</v>
      </c>
      <c r="BL322" s="503" t="str">
        <f>IF($G322="","",IF(AND($G322&gt;=30,$AT$3&lt;=BK$7),ROUND(BK322*($AP$3+#REF!),-1),""))</f>
        <v/>
      </c>
      <c r="BM322" s="503" t="s">
        <v>621</v>
      </c>
      <c r="BN322" s="503" t="str">
        <f>IF($G322="","",IF(AND($G322&gt;=30,$AT$3&lt;=BM$7),ROUND(BM322*($AP$3+#REF!),-1),""))</f>
        <v/>
      </c>
      <c r="BO322" s="503" t="s">
        <v>621</v>
      </c>
      <c r="BP322" s="503" t="str">
        <f>IF($G322="","",IF(AND($G322&gt;=30,$AT$3&lt;=BO$7),ROUND(BO322*($AP$3+#REF!),-1),""))</f>
        <v/>
      </c>
      <c r="BQ322" s="503" t="s">
        <v>621</v>
      </c>
      <c r="BR322" s="503" t="str">
        <f>IF($G322="","",IF(AND($G322&gt;=30,$AT$3&lt;=BQ$7),ROUND(BQ322*($AP$3+#REF!),-1),""))</f>
        <v/>
      </c>
      <c r="BS322" s="503" t="s">
        <v>621</v>
      </c>
      <c r="BT322" s="503" t="str">
        <f>IF($G322="","",IF(AND($G322&gt;=30,$AT$3&lt;=BS$7),ROUND(BS322*($AP$3+#REF!),-1),""))</f>
        <v/>
      </c>
      <c r="BU322" s="503" t="s">
        <v>621</v>
      </c>
      <c r="BV322" s="503" t="str">
        <f>IF($G322="","",IF(AND($G322&gt;=30,$AT$3&lt;=BU$7),ROUND(BU322*($AP$3+#REF!),-1),""))</f>
        <v/>
      </c>
      <c r="BW322" s="503" t="s">
        <v>621</v>
      </c>
      <c r="BX322" s="503" t="str">
        <f>IF($G322="","",IF(AND($G322&gt;=30,$AT$3&lt;=BW$7),ROUND(BW322*($AP$3+#REF!),-1),""))</f>
        <v/>
      </c>
      <c r="BY322" s="503" t="s">
        <v>621</v>
      </c>
      <c r="BZ322" s="503" t="str">
        <f>IF($G322="","",IF(AND($G322&gt;=30,$AT$3&lt;=BY$7),ROUND(BY322*($AP$3+#REF!),-1),""))</f>
        <v/>
      </c>
      <c r="CA322" s="503" t="s">
        <v>621</v>
      </c>
      <c r="CB322" s="503" t="str">
        <f>IF($G322="","",IF(AND($G322&gt;=30,$AT$3&lt;=CA$7),ROUND(CA322*($AP$3+#REF!),-1),""))</f>
        <v/>
      </c>
      <c r="CC322" s="503" t="s">
        <v>621</v>
      </c>
      <c r="CD322" s="503" t="str">
        <f>IF($G322="","",IF(AND($G322&gt;=30,$AT$3&lt;=CC$7),ROUND(CC322*($AP$3+#REF!),-1),""))</f>
        <v/>
      </c>
      <c r="CE322" s="503" t="s">
        <v>621</v>
      </c>
      <c r="CF322" s="503" t="str">
        <f>IF($G322="","",IF(AND($G322&gt;=30,$AT$3&lt;=CE$7),ROUND(CE322*($AP$3+#REF!),-1),""))</f>
        <v/>
      </c>
      <c r="CG322" s="517" t="e">
        <v>#REF!</v>
      </c>
      <c r="CH322" s="503" t="str">
        <f>IF($G322="","",IF(AND($G322&gt;=30,$AT$3&lt;=CG$7),ROUND(CG322*($AP$3+#REF!),-1),""))</f>
        <v/>
      </c>
      <c r="CI322" s="517"/>
      <c r="CJ322" s="503" t="str">
        <f>IF($G322="","",IF(AND($G322&gt;=30,$AT$3&lt;=CI$7),ROUND(CI322*($AP$3+#REF!),-1),""))</f>
        <v/>
      </c>
      <c r="CK322" s="517"/>
      <c r="CL322" s="503" t="str">
        <f>IF($G322="","",IF(AND($G322&gt;=30,$AT$3&lt;=CK$7),ROUND(CK322*($AP$3+#REF!),-1),""))</f>
        <v/>
      </c>
      <c r="CM322" s="517"/>
      <c r="CN322" s="503" t="str">
        <f>IF($G322="","",IF(AND($G322&gt;=30,$AT$3&lt;=CM$7),ROUND(CM322*($AP$3+#REF!),-1),""))</f>
        <v/>
      </c>
      <c r="CO322" s="517"/>
      <c r="CP322" s="503" t="str">
        <f>IF($G322="","",IF(AND($G322&gt;=30,$AT$3&lt;=CO$7),ROUND(CO322*($AP$3+#REF!),-1),""))</f>
        <v/>
      </c>
      <c r="CQ322" s="517"/>
      <c r="CR322" s="503" t="str">
        <f>IF($G322="","",IF(AND($G322&gt;=30,$AT$3&lt;=CQ$7),ROUND(CQ322*($AP$3+#REF!),-1),""))</f>
        <v/>
      </c>
      <c r="CS322" s="517"/>
      <c r="CT322" s="503" t="str">
        <f>IF($G322="","",IF(AND($G322&gt;=30,$AT$3&lt;=CS$7),ROUND(CS322*($AP$3+#REF!),-1),""))</f>
        <v/>
      </c>
      <c r="CU322" s="517"/>
      <c r="CV322" s="503" t="str">
        <f>IF($G322="","",IF(AND($G322&gt;=30,$AT$3&lt;=CU$7),ROUND(CU322*($AP$3+#REF!),-1),""))</f>
        <v/>
      </c>
      <c r="CW322" s="517"/>
      <c r="CX322" s="503" t="str">
        <f>IF($G322="","",IF(AND($G322&gt;=30,$AT$3&lt;=CW$7),ROUND(CW322*($AP$3+#REF!),-1),""))</f>
        <v/>
      </c>
      <c r="CY322" s="517"/>
      <c r="CZ322" s="503" t="str">
        <f>IF($G322="","",IF(AND($G322&gt;=30,$AT$3&lt;=CY$7),ROUND(CY322*($AP$3+#REF!),-1),""))</f>
        <v/>
      </c>
      <c r="DA322" s="517"/>
      <c r="DB322" s="503" t="str">
        <f>IF($G322="","",IF(AND($G322&gt;=30,$AT$3&lt;=DA$7),ROUND(DA322*($AP$3+#REF!),-1),""))</f>
        <v/>
      </c>
      <c r="DC322" s="517"/>
      <c r="DD322" s="503" t="str">
        <f>IF($G322="","",IF(AND($G322&gt;=30,$AT$3&lt;=DC$7),ROUND(DC322*($AP$3+#REF!),-1),""))</f>
        <v/>
      </c>
      <c r="DE322" s="517"/>
      <c r="DF322" s="503" t="str">
        <f>IF($G322="","",IF(AND($G322&gt;=30,$AT$3&lt;=DE$7),ROUND(DE322*($AP$3+#REF!),-1),""))</f>
        <v/>
      </c>
      <c r="DG322" s="517"/>
      <c r="DH322" s="503" t="str">
        <f>IF($G322="","",IF(AND($G322&gt;=30,$AT$3&lt;=DG$7),ROUND(DG322*($AP$3+#REF!),-1),""))</f>
        <v/>
      </c>
      <c r="DI322" s="517"/>
      <c r="DJ322" s="503" t="str">
        <f>IF($G322="","",IF(AND($G322&gt;=30,$AT$3&lt;=DI$7),ROUND(DI322*($AP$3+#REF!),-1),""))</f>
        <v/>
      </c>
      <c r="DK322" s="517"/>
      <c r="DL322" s="503" t="str">
        <f>IF($G322="","",IF(AND($G322&gt;=30,$AT$3&lt;=DK$7),ROUND(DK322*($AP$3+#REF!),-1),""))</f>
        <v/>
      </c>
      <c r="DM322" s="517"/>
      <c r="DN322" s="503" t="str">
        <f>IF($G322="","",IF(AND($G322&gt;=30,$AT$3&lt;=DM$7),ROUND(DM322*($AP$3+#REF!),-1),""))</f>
        <v/>
      </c>
      <c r="DO322" s="517"/>
      <c r="DP322" s="503" t="str">
        <f>IF($G322="","",IF(AND($G322&gt;=30,$AT$3&lt;=DO$7),ROUND(DO322*($AP$3+#REF!),-1),""))</f>
        <v/>
      </c>
      <c r="DQ322" s="517"/>
      <c r="DR322" s="503" t="str">
        <f>IF($G322="","",IF(AND($G322&gt;=30,$AT$3&lt;=DQ$7),ROUND(DQ322*($AP$3+#REF!),-1),""))</f>
        <v/>
      </c>
      <c r="DS322" s="517"/>
      <c r="DT322" s="503" t="str">
        <f>IF($G322="","",IF(AND($G322&gt;=30,$AT$3&lt;=DS$7),ROUND(DS322*($AP$3+#REF!),-1),""))</f>
        <v/>
      </c>
      <c r="DU322" s="517"/>
      <c r="DV322" s="503" t="str">
        <f>IF($G322="","",IF(AND($G322&gt;=30,$AT$3&lt;=DU$7),ROUND(DU322*($AP$3+#REF!),-1),""))</f>
        <v/>
      </c>
      <c r="DW322" s="517"/>
      <c r="DX322" s="503" t="str">
        <f>IF($G322="","",IF(AND($G322&gt;=30,$AT$3&lt;=DW$7),ROUND(DW322*($AP$3+#REF!),-1),""))</f>
        <v/>
      </c>
      <c r="DY322" s="517"/>
      <c r="DZ322" s="503" t="str">
        <f>IF($G322="","",IF(AND($G322&gt;=30,$AT$3&lt;=DY$7),ROUND(DY322*($AP$3+#REF!),-1),""))</f>
        <v/>
      </c>
      <c r="EA322" s="517"/>
      <c r="EB322" s="503" t="str">
        <f>IF($G322="","",IF(AND($G322&gt;=30,$AT$3&lt;=EA$7),ROUND(EA322*($AP$3+#REF!),-1),""))</f>
        <v/>
      </c>
      <c r="EC322" s="504" t="s">
        <v>621</v>
      </c>
      <c r="ED322" s="1124"/>
      <c r="EE322" s="325">
        <v>2</v>
      </c>
    </row>
    <row r="323" spans="1:135" ht="9.75" customHeight="1">
      <c r="A323" s="321" t="str">
        <f t="shared" si="82"/>
        <v/>
      </c>
      <c r="B323" s="567">
        <f>(ii!$D$13*12+V323)+1</f>
        <v>217</v>
      </c>
      <c r="C323" s="337">
        <f t="shared" si="72"/>
        <v>51956</v>
      </c>
      <c r="D323" s="484">
        <f t="shared" si="75"/>
        <v>2042</v>
      </c>
      <c r="E323" s="484">
        <f t="shared" si="73"/>
        <v>0.25</v>
      </c>
      <c r="F323" s="484">
        <f t="shared" si="76"/>
        <v>2042.25</v>
      </c>
      <c r="G323" s="485" t="str">
        <f>IF(OR(C323&lt;$I$2,C323&gt;$J$3),"",(ii!$D$13*12+V323+1)/12)</f>
        <v/>
      </c>
      <c r="H323" s="486"/>
      <c r="I323" s="486"/>
      <c r="J323" s="487"/>
      <c r="K323" s="488"/>
      <c r="L323" s="548"/>
      <c r="M323" s="489" t="str">
        <f t="shared" si="77"/>
        <v/>
      </c>
      <c r="N323" s="490" t="s">
        <v>621</v>
      </c>
      <c r="O323" s="490" t="str">
        <f t="shared" si="70"/>
        <v/>
      </c>
      <c r="P323" s="491"/>
      <c r="Q323" s="491"/>
      <c r="R323" s="491" t="str">
        <f t="shared" si="71"/>
        <v/>
      </c>
      <c r="S323" s="528" t="str">
        <f t="shared" si="83"/>
        <v/>
      </c>
      <c r="T323" s="528" t="str">
        <f t="shared" si="81"/>
        <v/>
      </c>
      <c r="U323" s="493" t="str">
        <f>IF(H323="","",#REF!*12+#REF!+#REF!*12+#REF!)</f>
        <v/>
      </c>
      <c r="V323" s="338">
        <f>IF(ii!$J$3&gt;gg!C323,"",IF(AND((YEAR(C323)=YEAR($I$2)),MONTH(C323)=MONTH($I$2)),ii!$B$14*12+ii!$C$14+ii!$B$15*12+ii!$C$15-1,V322+1))</f>
        <v>216</v>
      </c>
      <c r="W323" s="339">
        <f t="shared" si="74"/>
        <v>18</v>
      </c>
      <c r="X323" s="494" t="s">
        <v>621</v>
      </c>
      <c r="Y323" s="495" t="s">
        <v>621</v>
      </c>
      <c r="Z323" s="496"/>
      <c r="AA323" s="497"/>
      <c r="AB323" s="498" t="e">
        <f t="shared" si="80"/>
        <v>#VALUE!</v>
      </c>
      <c r="AC323" s="484" t="str">
        <f t="shared" si="78"/>
        <v/>
      </c>
      <c r="AD323" s="495" t="str">
        <f t="shared" si="79"/>
        <v/>
      </c>
      <c r="AE323" s="499" t="s">
        <v>621</v>
      </c>
      <c r="AF323" s="500" t="s">
        <v>621</v>
      </c>
      <c r="AG323" s="556" t="s">
        <v>621</v>
      </c>
      <c r="AH323" s="503" t="str">
        <f>IF($G323="","",IF(AND($G323&gt;=30,$AT$3&lt;=AG$7),ROUND(AG323*($AP$3+#REF!),-1),""))</f>
        <v/>
      </c>
      <c r="AI323" s="506" t="s">
        <v>621</v>
      </c>
      <c r="AJ323" s="503" t="str">
        <f>IF($G323="","",IF(AND($G323&gt;=30,$AT$3&lt;=AI$7),ROUND(AI323*($AP$3+#REF!),-1),""))</f>
        <v/>
      </c>
      <c r="AK323" s="506" t="s">
        <v>621</v>
      </c>
      <c r="AL323" s="503" t="str">
        <f>IF($G323="","",IF(AND($G323&gt;=30,$AT$3&lt;=AK$7),ROUND(AK323*($AP$3+#REF!),-1),""))</f>
        <v/>
      </c>
      <c r="AM323" s="506" t="s">
        <v>621</v>
      </c>
      <c r="AN323" s="503" t="str">
        <f>IF($G323="","",IF(AND($G323&gt;=30,$AT$3&lt;=AM$7),ROUND(AM323*($AP$3+#REF!),-1),""))</f>
        <v/>
      </c>
      <c r="AO323" s="503" t="e">
        <v>#REF!</v>
      </c>
      <c r="AP323" s="503" t="str">
        <f>IF($G323="","",IF(AND($G323&gt;=30,$AT$3&lt;=AO$7),ROUND(AO323*($AP$3+#REF!),-1),""))</f>
        <v/>
      </c>
      <c r="AQ323" s="503" t="s">
        <v>621</v>
      </c>
      <c r="AR323" s="503" t="str">
        <f>IF($G323="","",IF(AND($G323&gt;=30,$AT$3&lt;=AQ$7),ROUND(AQ323*($AP$3+#REF!),-1),""))</f>
        <v/>
      </c>
      <c r="AS323" s="503" t="s">
        <v>621</v>
      </c>
      <c r="AT323" s="503" t="str">
        <f>IF($G323="","",IF(AND($G323&gt;=30,$AT$3&lt;=AS$7),ROUND(AS323*($AP$3+#REF!),-1),""))</f>
        <v/>
      </c>
      <c r="AU323" s="503" t="s">
        <v>621</v>
      </c>
      <c r="AV323" s="503" t="str">
        <f>IF($G323="","",IF(AND($G323&gt;=30,$AT$3&lt;=AU$7),ROUND(AU323*($AP$3+#REF!),-1),""))</f>
        <v/>
      </c>
      <c r="AW323" s="503" t="s">
        <v>621</v>
      </c>
      <c r="AX323" s="503" t="str">
        <f>IF($G323="","",IF(AND($G323&gt;=30,$AT$3&lt;=AW$7),ROUND(AW323*($AP$3+#REF!),-1),""))</f>
        <v/>
      </c>
      <c r="AY323" s="503" t="s">
        <v>621</v>
      </c>
      <c r="AZ323" s="503" t="str">
        <f>IF($G323="","",IF(AND($G323&gt;=30,$AT$3&lt;=AY$7),ROUND(AY323*($AP$3+#REF!),-1),""))</f>
        <v/>
      </c>
      <c r="BA323" s="503" t="s">
        <v>621</v>
      </c>
      <c r="BB323" s="503" t="str">
        <f>IF($G323="","",IF(AND($G323&gt;=30,$AT$3&lt;=BA$7),ROUND(BA323*($AP$3+#REF!),-1),""))</f>
        <v/>
      </c>
      <c r="BC323" s="503" t="s">
        <v>621</v>
      </c>
      <c r="BD323" s="503" t="str">
        <f>IF($G323="","",IF(AND($G323&gt;=30,$AT$3&lt;=BC$7),ROUND(BC323*($AP$3+#REF!),-1),""))</f>
        <v/>
      </c>
      <c r="BE323" s="503" t="s">
        <v>621</v>
      </c>
      <c r="BF323" s="503" t="str">
        <f>IF($G323="","",IF(AND($G323&gt;=30,$AT$3&lt;=BE$7),ROUND(BE323*($AP$3+#REF!),-1),""))</f>
        <v/>
      </c>
      <c r="BG323" s="503" t="s">
        <v>621</v>
      </c>
      <c r="BH323" s="503" t="str">
        <f>IF($G323="","",IF(AND($G323&gt;=30,$AT$3&lt;=BG$7),ROUND(BG323*($AP$3+#REF!),-1),""))</f>
        <v/>
      </c>
      <c r="BI323" s="503" t="s">
        <v>621</v>
      </c>
      <c r="BJ323" s="503" t="str">
        <f>IF($G323="","",IF(AND($G323&gt;=30,$AT$3&lt;=BI$7),ROUND(BI323*($AP$3+#REF!),-1),""))</f>
        <v/>
      </c>
      <c r="BK323" s="503" t="s">
        <v>621</v>
      </c>
      <c r="BL323" s="503" t="str">
        <f>IF($G323="","",IF(AND($G323&gt;=30,$AT$3&lt;=BK$7),ROUND(BK323*($AP$3+#REF!),-1),""))</f>
        <v/>
      </c>
      <c r="BM323" s="503" t="s">
        <v>621</v>
      </c>
      <c r="BN323" s="503" t="str">
        <f>IF($G323="","",IF(AND($G323&gt;=30,$AT$3&lt;=BM$7),ROUND(BM323*($AP$3+#REF!),-1),""))</f>
        <v/>
      </c>
      <c r="BO323" s="503" t="s">
        <v>621</v>
      </c>
      <c r="BP323" s="503" t="str">
        <f>IF($G323="","",IF(AND($G323&gt;=30,$AT$3&lt;=BO$7),ROUND(BO323*($AP$3+#REF!),-1),""))</f>
        <v/>
      </c>
      <c r="BQ323" s="503" t="s">
        <v>621</v>
      </c>
      <c r="BR323" s="503" t="str">
        <f>IF($G323="","",IF(AND($G323&gt;=30,$AT$3&lt;=BQ$7),ROUND(BQ323*($AP$3+#REF!),-1),""))</f>
        <v/>
      </c>
      <c r="BS323" s="503" t="s">
        <v>621</v>
      </c>
      <c r="BT323" s="503" t="str">
        <f>IF($G323="","",IF(AND($G323&gt;=30,$AT$3&lt;=BS$7),ROUND(BS323*($AP$3+#REF!),-1),""))</f>
        <v/>
      </c>
      <c r="BU323" s="503" t="s">
        <v>621</v>
      </c>
      <c r="BV323" s="503" t="str">
        <f>IF($G323="","",IF(AND($G323&gt;=30,$AT$3&lt;=BU$7),ROUND(BU323*($AP$3+#REF!),-1),""))</f>
        <v/>
      </c>
      <c r="BW323" s="503" t="s">
        <v>621</v>
      </c>
      <c r="BX323" s="503" t="str">
        <f>IF($G323="","",IF(AND($G323&gt;=30,$AT$3&lt;=BW$7),ROUND(BW323*($AP$3+#REF!),-1),""))</f>
        <v/>
      </c>
      <c r="BY323" s="503" t="s">
        <v>621</v>
      </c>
      <c r="BZ323" s="503" t="str">
        <f>IF($G323="","",IF(AND($G323&gt;=30,$AT$3&lt;=BY$7),ROUND(BY323*($AP$3+#REF!),-1),""))</f>
        <v/>
      </c>
      <c r="CA323" s="503" t="s">
        <v>621</v>
      </c>
      <c r="CB323" s="503" t="str">
        <f>IF($G323="","",IF(AND($G323&gt;=30,$AT$3&lt;=CA$7),ROUND(CA323*($AP$3+#REF!),-1),""))</f>
        <v/>
      </c>
      <c r="CC323" s="503" t="s">
        <v>621</v>
      </c>
      <c r="CD323" s="503" t="str">
        <f>IF($G323="","",IF(AND($G323&gt;=30,$AT$3&lt;=CC$7),ROUND(CC323*($AP$3+#REF!),-1),""))</f>
        <v/>
      </c>
      <c r="CE323" s="503" t="s">
        <v>621</v>
      </c>
      <c r="CF323" s="503" t="str">
        <f>IF($G323="","",IF(AND($G323&gt;=30,$AT$3&lt;=CE$7),ROUND(CE323*($AP$3+#REF!),-1),""))</f>
        <v/>
      </c>
      <c r="CG323" s="517" t="e">
        <v>#REF!</v>
      </c>
      <c r="CH323" s="503" t="str">
        <f>IF($G323="","",IF(AND($G323&gt;=30,$AT$3&lt;=CG$7),ROUND(CG323*($AP$3+#REF!),-1),""))</f>
        <v/>
      </c>
      <c r="CI323" s="517"/>
      <c r="CJ323" s="503" t="str">
        <f>IF($G323="","",IF(AND($G323&gt;=30,$AT$3&lt;=CI$7),ROUND(CI323*($AP$3+#REF!),-1),""))</f>
        <v/>
      </c>
      <c r="CK323" s="517"/>
      <c r="CL323" s="503" t="str">
        <f>IF($G323="","",IF(AND($G323&gt;=30,$AT$3&lt;=CK$7),ROUND(CK323*($AP$3+#REF!),-1),""))</f>
        <v/>
      </c>
      <c r="CM323" s="517"/>
      <c r="CN323" s="503" t="str">
        <f>IF($G323="","",IF(AND($G323&gt;=30,$AT$3&lt;=CM$7),ROUND(CM323*($AP$3+#REF!),-1),""))</f>
        <v/>
      </c>
      <c r="CO323" s="517"/>
      <c r="CP323" s="503" t="str">
        <f>IF($G323="","",IF(AND($G323&gt;=30,$AT$3&lt;=CO$7),ROUND(CO323*($AP$3+#REF!),-1),""))</f>
        <v/>
      </c>
      <c r="CQ323" s="517"/>
      <c r="CR323" s="503" t="str">
        <f>IF($G323="","",IF(AND($G323&gt;=30,$AT$3&lt;=CQ$7),ROUND(CQ323*($AP$3+#REF!),-1),""))</f>
        <v/>
      </c>
      <c r="CS323" s="517"/>
      <c r="CT323" s="503" t="str">
        <f>IF($G323="","",IF(AND($G323&gt;=30,$AT$3&lt;=CS$7),ROUND(CS323*($AP$3+#REF!),-1),""))</f>
        <v/>
      </c>
      <c r="CU323" s="517"/>
      <c r="CV323" s="503" t="str">
        <f>IF($G323="","",IF(AND($G323&gt;=30,$AT$3&lt;=CU$7),ROUND(CU323*($AP$3+#REF!),-1),""))</f>
        <v/>
      </c>
      <c r="CW323" s="517"/>
      <c r="CX323" s="503" t="str">
        <f>IF($G323="","",IF(AND($G323&gt;=30,$AT$3&lt;=CW$7),ROUND(CW323*($AP$3+#REF!),-1),""))</f>
        <v/>
      </c>
      <c r="CY323" s="517"/>
      <c r="CZ323" s="503" t="str">
        <f>IF($G323="","",IF(AND($G323&gt;=30,$AT$3&lt;=CY$7),ROUND(CY323*($AP$3+#REF!),-1),""))</f>
        <v/>
      </c>
      <c r="DA323" s="517"/>
      <c r="DB323" s="503" t="str">
        <f>IF($G323="","",IF(AND($G323&gt;=30,$AT$3&lt;=DA$7),ROUND(DA323*($AP$3+#REF!),-1),""))</f>
        <v/>
      </c>
      <c r="DC323" s="517"/>
      <c r="DD323" s="503" t="str">
        <f>IF($G323="","",IF(AND($G323&gt;=30,$AT$3&lt;=DC$7),ROUND(DC323*($AP$3+#REF!),-1),""))</f>
        <v/>
      </c>
      <c r="DE323" s="517"/>
      <c r="DF323" s="503" t="str">
        <f>IF($G323="","",IF(AND($G323&gt;=30,$AT$3&lt;=DE$7),ROUND(DE323*($AP$3+#REF!),-1),""))</f>
        <v/>
      </c>
      <c r="DG323" s="517"/>
      <c r="DH323" s="503" t="str">
        <f>IF($G323="","",IF(AND($G323&gt;=30,$AT$3&lt;=DG$7),ROUND(DG323*($AP$3+#REF!),-1),""))</f>
        <v/>
      </c>
      <c r="DI323" s="517"/>
      <c r="DJ323" s="503" t="str">
        <f>IF($G323="","",IF(AND($G323&gt;=30,$AT$3&lt;=DI$7),ROUND(DI323*($AP$3+#REF!),-1),""))</f>
        <v/>
      </c>
      <c r="DK323" s="517"/>
      <c r="DL323" s="503" t="str">
        <f>IF($G323="","",IF(AND($G323&gt;=30,$AT$3&lt;=DK$7),ROUND(DK323*($AP$3+#REF!),-1),""))</f>
        <v/>
      </c>
      <c r="DM323" s="517"/>
      <c r="DN323" s="503" t="str">
        <f>IF($G323="","",IF(AND($G323&gt;=30,$AT$3&lt;=DM$7),ROUND(DM323*($AP$3+#REF!),-1),""))</f>
        <v/>
      </c>
      <c r="DO323" s="517"/>
      <c r="DP323" s="503" t="str">
        <f>IF($G323="","",IF(AND($G323&gt;=30,$AT$3&lt;=DO$7),ROUND(DO323*($AP$3+#REF!),-1),""))</f>
        <v/>
      </c>
      <c r="DQ323" s="517"/>
      <c r="DR323" s="503" t="str">
        <f>IF($G323="","",IF(AND($G323&gt;=30,$AT$3&lt;=DQ$7),ROUND(DQ323*($AP$3+#REF!),-1),""))</f>
        <v/>
      </c>
      <c r="DS323" s="517"/>
      <c r="DT323" s="503" t="str">
        <f>IF($G323="","",IF(AND($G323&gt;=30,$AT$3&lt;=DS$7),ROUND(DS323*($AP$3+#REF!),-1),""))</f>
        <v/>
      </c>
      <c r="DU323" s="517"/>
      <c r="DV323" s="503" t="str">
        <f>IF($G323="","",IF(AND($G323&gt;=30,$AT$3&lt;=DU$7),ROUND(DU323*($AP$3+#REF!),-1),""))</f>
        <v/>
      </c>
      <c r="DW323" s="517"/>
      <c r="DX323" s="503" t="str">
        <f>IF($G323="","",IF(AND($G323&gt;=30,$AT$3&lt;=DW$7),ROUND(DW323*($AP$3+#REF!),-1),""))</f>
        <v/>
      </c>
      <c r="DY323" s="517"/>
      <c r="DZ323" s="503" t="str">
        <f>IF($G323="","",IF(AND($G323&gt;=30,$AT$3&lt;=DY$7),ROUND(DY323*($AP$3+#REF!),-1),""))</f>
        <v/>
      </c>
      <c r="EA323" s="517"/>
      <c r="EB323" s="503" t="str">
        <f>IF($G323="","",IF(AND($G323&gt;=30,$AT$3&lt;=EA$7),ROUND(EA323*($AP$3+#REF!),-1),""))</f>
        <v/>
      </c>
      <c r="EC323" s="504" t="s">
        <v>621</v>
      </c>
      <c r="ED323" s="1124"/>
      <c r="EE323" s="325">
        <v>3</v>
      </c>
    </row>
    <row r="324" spans="1:135" ht="9.75" customHeight="1">
      <c r="A324" s="321" t="str">
        <f t="shared" si="82"/>
        <v/>
      </c>
      <c r="B324" s="567">
        <f>(ii!$D$13*12+V324)+1</f>
        <v>218</v>
      </c>
      <c r="C324" s="337">
        <f t="shared" si="72"/>
        <v>51986</v>
      </c>
      <c r="D324" s="484">
        <f t="shared" si="75"/>
        <v>2042</v>
      </c>
      <c r="E324" s="484">
        <f t="shared" si="73"/>
        <v>0.33333333333333331</v>
      </c>
      <c r="F324" s="484">
        <f t="shared" si="76"/>
        <v>2042.3333333333333</v>
      </c>
      <c r="G324" s="485" t="str">
        <f>IF(OR(C324&lt;$I$2,C324&gt;$J$3),"",(ii!$D$13*12+V324+1)/12)</f>
        <v/>
      </c>
      <c r="H324" s="486"/>
      <c r="I324" s="486"/>
      <c r="J324" s="487"/>
      <c r="K324" s="488"/>
      <c r="L324" s="548"/>
      <c r="M324" s="489" t="str">
        <f t="shared" si="77"/>
        <v/>
      </c>
      <c r="N324" s="490" t="s">
        <v>621</v>
      </c>
      <c r="O324" s="490" t="str">
        <f t="shared" si="70"/>
        <v/>
      </c>
      <c r="P324" s="491"/>
      <c r="Q324" s="491"/>
      <c r="R324" s="491" t="str">
        <f t="shared" si="71"/>
        <v/>
      </c>
      <c r="S324" s="528" t="str">
        <f t="shared" si="83"/>
        <v/>
      </c>
      <c r="T324" s="528" t="str">
        <f t="shared" si="81"/>
        <v/>
      </c>
      <c r="U324" s="493" t="str">
        <f>IF(H324="","",#REF!*12+#REF!+#REF!*12+#REF!)</f>
        <v/>
      </c>
      <c r="V324" s="338">
        <f>IF(ii!$J$3&gt;gg!C324,"",IF(AND((YEAR(C324)=YEAR($I$2)),MONTH(C324)=MONTH($I$2)),ii!$B$14*12+ii!$C$14+ii!$B$15*12+ii!$C$15-1,V323+1))</f>
        <v>217</v>
      </c>
      <c r="W324" s="339">
        <f t="shared" si="74"/>
        <v>18.083333333333332</v>
      </c>
      <c r="X324" s="494" t="s">
        <v>621</v>
      </c>
      <c r="Y324" s="495" t="s">
        <v>621</v>
      </c>
      <c r="Z324" s="496"/>
      <c r="AA324" s="497"/>
      <c r="AB324" s="498" t="e">
        <f t="shared" si="80"/>
        <v>#VALUE!</v>
      </c>
      <c r="AC324" s="484" t="str">
        <f t="shared" si="78"/>
        <v/>
      </c>
      <c r="AD324" s="495" t="str">
        <f t="shared" si="79"/>
        <v/>
      </c>
      <c r="AE324" s="499" t="s">
        <v>621</v>
      </c>
      <c r="AF324" s="500" t="s">
        <v>621</v>
      </c>
      <c r="AG324" s="556" t="s">
        <v>621</v>
      </c>
      <c r="AH324" s="503" t="str">
        <f>IF($G324="","",IF(AND($G324&gt;=30,$AT$3&lt;=AG$7),ROUND(AG324*($AP$3+#REF!),-1),""))</f>
        <v/>
      </c>
      <c r="AI324" s="506" t="s">
        <v>621</v>
      </c>
      <c r="AJ324" s="503" t="str">
        <f>IF($G324="","",IF(AND($G324&gt;=30,$AT$3&lt;=AI$7),ROUND(AI324*($AP$3+#REF!),-1),""))</f>
        <v/>
      </c>
      <c r="AK324" s="506" t="s">
        <v>621</v>
      </c>
      <c r="AL324" s="503" t="str">
        <f>IF($G324="","",IF(AND($G324&gt;=30,$AT$3&lt;=AK$7),ROUND(AK324*($AP$3+#REF!),-1),""))</f>
        <v/>
      </c>
      <c r="AM324" s="506" t="s">
        <v>621</v>
      </c>
      <c r="AN324" s="503" t="str">
        <f>IF($G324="","",IF(AND($G324&gt;=30,$AT$3&lt;=AM$7),ROUND(AM324*($AP$3+#REF!),-1),""))</f>
        <v/>
      </c>
      <c r="AO324" s="503" t="e">
        <v>#REF!</v>
      </c>
      <c r="AP324" s="503" t="str">
        <f>IF($G324="","",IF(AND($G324&gt;=30,$AT$3&lt;=AO$7),ROUND(AO324*($AP$3+#REF!),-1),""))</f>
        <v/>
      </c>
      <c r="AQ324" s="503" t="s">
        <v>621</v>
      </c>
      <c r="AR324" s="503" t="str">
        <f>IF($G324="","",IF(AND($G324&gt;=30,$AT$3&lt;=AQ$7),ROUND(AQ324*($AP$3+#REF!),-1),""))</f>
        <v/>
      </c>
      <c r="AS324" s="503" t="s">
        <v>621</v>
      </c>
      <c r="AT324" s="503" t="str">
        <f>IF($G324="","",IF(AND($G324&gt;=30,$AT$3&lt;=AS$7),ROUND(AS324*($AP$3+#REF!),-1),""))</f>
        <v/>
      </c>
      <c r="AU324" s="503" t="s">
        <v>621</v>
      </c>
      <c r="AV324" s="503" t="str">
        <f>IF($G324="","",IF(AND($G324&gt;=30,$AT$3&lt;=AU$7),ROUND(AU324*($AP$3+#REF!),-1),""))</f>
        <v/>
      </c>
      <c r="AW324" s="503" t="s">
        <v>621</v>
      </c>
      <c r="AX324" s="503" t="str">
        <f>IF($G324="","",IF(AND($G324&gt;=30,$AT$3&lt;=AW$7),ROUND(AW324*($AP$3+#REF!),-1),""))</f>
        <v/>
      </c>
      <c r="AY324" s="503" t="s">
        <v>621</v>
      </c>
      <c r="AZ324" s="503" t="str">
        <f>IF($G324="","",IF(AND($G324&gt;=30,$AT$3&lt;=AY$7),ROUND(AY324*($AP$3+#REF!),-1),""))</f>
        <v/>
      </c>
      <c r="BA324" s="503" t="s">
        <v>621</v>
      </c>
      <c r="BB324" s="503" t="str">
        <f>IF($G324="","",IF(AND($G324&gt;=30,$AT$3&lt;=BA$7),ROUND(BA324*($AP$3+#REF!),-1),""))</f>
        <v/>
      </c>
      <c r="BC324" s="503" t="s">
        <v>621</v>
      </c>
      <c r="BD324" s="503" t="str">
        <f>IF($G324="","",IF(AND($G324&gt;=30,$AT$3&lt;=BC$7),ROUND(BC324*($AP$3+#REF!),-1),""))</f>
        <v/>
      </c>
      <c r="BE324" s="503" t="s">
        <v>621</v>
      </c>
      <c r="BF324" s="503" t="str">
        <f>IF($G324="","",IF(AND($G324&gt;=30,$AT$3&lt;=BE$7),ROUND(BE324*($AP$3+#REF!),-1),""))</f>
        <v/>
      </c>
      <c r="BG324" s="503" t="s">
        <v>621</v>
      </c>
      <c r="BH324" s="503" t="str">
        <f>IF($G324="","",IF(AND($G324&gt;=30,$AT$3&lt;=BG$7),ROUND(BG324*($AP$3+#REF!),-1),""))</f>
        <v/>
      </c>
      <c r="BI324" s="503" t="s">
        <v>621</v>
      </c>
      <c r="BJ324" s="503" t="str">
        <f>IF($G324="","",IF(AND($G324&gt;=30,$AT$3&lt;=BI$7),ROUND(BI324*($AP$3+#REF!),-1),""))</f>
        <v/>
      </c>
      <c r="BK324" s="503" t="s">
        <v>621</v>
      </c>
      <c r="BL324" s="503" t="str">
        <f>IF($G324="","",IF(AND($G324&gt;=30,$AT$3&lt;=BK$7),ROUND(BK324*($AP$3+#REF!),-1),""))</f>
        <v/>
      </c>
      <c r="BM324" s="503" t="s">
        <v>621</v>
      </c>
      <c r="BN324" s="503" t="str">
        <f>IF($G324="","",IF(AND($G324&gt;=30,$AT$3&lt;=BM$7),ROUND(BM324*($AP$3+#REF!),-1),""))</f>
        <v/>
      </c>
      <c r="BO324" s="503" t="s">
        <v>621</v>
      </c>
      <c r="BP324" s="503" t="str">
        <f>IF($G324="","",IF(AND($G324&gt;=30,$AT$3&lt;=BO$7),ROUND(BO324*($AP$3+#REF!),-1),""))</f>
        <v/>
      </c>
      <c r="BQ324" s="503" t="s">
        <v>621</v>
      </c>
      <c r="BR324" s="503" t="str">
        <f>IF($G324="","",IF(AND($G324&gt;=30,$AT$3&lt;=BQ$7),ROUND(BQ324*($AP$3+#REF!),-1),""))</f>
        <v/>
      </c>
      <c r="BS324" s="503" t="s">
        <v>621</v>
      </c>
      <c r="BT324" s="503" t="str">
        <f>IF($G324="","",IF(AND($G324&gt;=30,$AT$3&lt;=BS$7),ROUND(BS324*($AP$3+#REF!),-1),""))</f>
        <v/>
      </c>
      <c r="BU324" s="503" t="s">
        <v>621</v>
      </c>
      <c r="BV324" s="503" t="str">
        <f>IF($G324="","",IF(AND($G324&gt;=30,$AT$3&lt;=BU$7),ROUND(BU324*($AP$3+#REF!),-1),""))</f>
        <v/>
      </c>
      <c r="BW324" s="503" t="s">
        <v>621</v>
      </c>
      <c r="BX324" s="503" t="str">
        <f>IF($G324="","",IF(AND($G324&gt;=30,$AT$3&lt;=BW$7),ROUND(BW324*($AP$3+#REF!),-1),""))</f>
        <v/>
      </c>
      <c r="BY324" s="503" t="s">
        <v>621</v>
      </c>
      <c r="BZ324" s="503" t="str">
        <f>IF($G324="","",IF(AND($G324&gt;=30,$AT$3&lt;=BY$7),ROUND(BY324*($AP$3+#REF!),-1),""))</f>
        <v/>
      </c>
      <c r="CA324" s="503" t="s">
        <v>621</v>
      </c>
      <c r="CB324" s="503" t="str">
        <f>IF($G324="","",IF(AND($G324&gt;=30,$AT$3&lt;=CA$7),ROUND(CA324*($AP$3+#REF!),-1),""))</f>
        <v/>
      </c>
      <c r="CC324" s="503" t="s">
        <v>621</v>
      </c>
      <c r="CD324" s="503" t="str">
        <f>IF($G324="","",IF(AND($G324&gt;=30,$AT$3&lt;=CC$7),ROUND(CC324*($AP$3+#REF!),-1),""))</f>
        <v/>
      </c>
      <c r="CE324" s="503" t="s">
        <v>621</v>
      </c>
      <c r="CF324" s="503" t="str">
        <f>IF($G324="","",IF(AND($G324&gt;=30,$AT$3&lt;=CE$7),ROUND(CE324*($AP$3+#REF!),-1),""))</f>
        <v/>
      </c>
      <c r="CG324" s="517" t="e">
        <v>#REF!</v>
      </c>
      <c r="CH324" s="503" t="str">
        <f>IF($G324="","",IF(AND($G324&gt;=30,$AT$3&lt;=CG$7),ROUND(CG324*($AP$3+#REF!),-1),""))</f>
        <v/>
      </c>
      <c r="CI324" s="517"/>
      <c r="CJ324" s="503" t="str">
        <f>IF($G324="","",IF(AND($G324&gt;=30,$AT$3&lt;=CI$7),ROUND(CI324*($AP$3+#REF!),-1),""))</f>
        <v/>
      </c>
      <c r="CK324" s="517"/>
      <c r="CL324" s="503" t="str">
        <f>IF($G324="","",IF(AND($G324&gt;=30,$AT$3&lt;=CK$7),ROUND(CK324*($AP$3+#REF!),-1),""))</f>
        <v/>
      </c>
      <c r="CM324" s="517"/>
      <c r="CN324" s="503" t="str">
        <f>IF($G324="","",IF(AND($G324&gt;=30,$AT$3&lt;=CM$7),ROUND(CM324*($AP$3+#REF!),-1),""))</f>
        <v/>
      </c>
      <c r="CO324" s="517"/>
      <c r="CP324" s="503" t="str">
        <f>IF($G324="","",IF(AND($G324&gt;=30,$AT$3&lt;=CO$7),ROUND(CO324*($AP$3+#REF!),-1),""))</f>
        <v/>
      </c>
      <c r="CQ324" s="517"/>
      <c r="CR324" s="503" t="str">
        <f>IF($G324="","",IF(AND($G324&gt;=30,$AT$3&lt;=CQ$7),ROUND(CQ324*($AP$3+#REF!),-1),""))</f>
        <v/>
      </c>
      <c r="CS324" s="517"/>
      <c r="CT324" s="503" t="str">
        <f>IF($G324="","",IF(AND($G324&gt;=30,$AT$3&lt;=CS$7),ROUND(CS324*($AP$3+#REF!),-1),""))</f>
        <v/>
      </c>
      <c r="CU324" s="517"/>
      <c r="CV324" s="503" t="str">
        <f>IF($G324="","",IF(AND($G324&gt;=30,$AT$3&lt;=CU$7),ROUND(CU324*($AP$3+#REF!),-1),""))</f>
        <v/>
      </c>
      <c r="CW324" s="517"/>
      <c r="CX324" s="503" t="str">
        <f>IF($G324="","",IF(AND($G324&gt;=30,$AT$3&lt;=CW$7),ROUND(CW324*($AP$3+#REF!),-1),""))</f>
        <v/>
      </c>
      <c r="CY324" s="517"/>
      <c r="CZ324" s="503" t="str">
        <f>IF($G324="","",IF(AND($G324&gt;=30,$AT$3&lt;=CY$7),ROUND(CY324*($AP$3+#REF!),-1),""))</f>
        <v/>
      </c>
      <c r="DA324" s="517"/>
      <c r="DB324" s="503" t="str">
        <f>IF($G324="","",IF(AND($G324&gt;=30,$AT$3&lt;=DA$7),ROUND(DA324*($AP$3+#REF!),-1),""))</f>
        <v/>
      </c>
      <c r="DC324" s="517"/>
      <c r="DD324" s="503" t="str">
        <f>IF($G324="","",IF(AND($G324&gt;=30,$AT$3&lt;=DC$7),ROUND(DC324*($AP$3+#REF!),-1),""))</f>
        <v/>
      </c>
      <c r="DE324" s="517"/>
      <c r="DF324" s="503" t="str">
        <f>IF($G324="","",IF(AND($G324&gt;=30,$AT$3&lt;=DE$7),ROUND(DE324*($AP$3+#REF!),-1),""))</f>
        <v/>
      </c>
      <c r="DG324" s="517"/>
      <c r="DH324" s="503" t="str">
        <f>IF($G324="","",IF(AND($G324&gt;=30,$AT$3&lt;=DG$7),ROUND(DG324*($AP$3+#REF!),-1),""))</f>
        <v/>
      </c>
      <c r="DI324" s="517"/>
      <c r="DJ324" s="503" t="str">
        <f>IF($G324="","",IF(AND($G324&gt;=30,$AT$3&lt;=DI$7),ROUND(DI324*($AP$3+#REF!),-1),""))</f>
        <v/>
      </c>
      <c r="DK324" s="517"/>
      <c r="DL324" s="503" t="str">
        <f>IF($G324="","",IF(AND($G324&gt;=30,$AT$3&lt;=DK$7),ROUND(DK324*($AP$3+#REF!),-1),""))</f>
        <v/>
      </c>
      <c r="DM324" s="517"/>
      <c r="DN324" s="503" t="str">
        <f>IF($G324="","",IF(AND($G324&gt;=30,$AT$3&lt;=DM$7),ROUND(DM324*($AP$3+#REF!),-1),""))</f>
        <v/>
      </c>
      <c r="DO324" s="517"/>
      <c r="DP324" s="503" t="str">
        <f>IF($G324="","",IF(AND($G324&gt;=30,$AT$3&lt;=DO$7),ROUND(DO324*($AP$3+#REF!),-1),""))</f>
        <v/>
      </c>
      <c r="DQ324" s="517"/>
      <c r="DR324" s="503" t="str">
        <f>IF($G324="","",IF(AND($G324&gt;=30,$AT$3&lt;=DQ$7),ROUND(DQ324*($AP$3+#REF!),-1),""))</f>
        <v/>
      </c>
      <c r="DS324" s="517"/>
      <c r="DT324" s="503" t="str">
        <f>IF($G324="","",IF(AND($G324&gt;=30,$AT$3&lt;=DS$7),ROUND(DS324*($AP$3+#REF!),-1),""))</f>
        <v/>
      </c>
      <c r="DU324" s="517"/>
      <c r="DV324" s="503" t="str">
        <f>IF($G324="","",IF(AND($G324&gt;=30,$AT$3&lt;=DU$7),ROUND(DU324*($AP$3+#REF!),-1),""))</f>
        <v/>
      </c>
      <c r="DW324" s="517"/>
      <c r="DX324" s="503" t="str">
        <f>IF($G324="","",IF(AND($G324&gt;=30,$AT$3&lt;=DW$7),ROUND(DW324*($AP$3+#REF!),-1),""))</f>
        <v/>
      </c>
      <c r="DY324" s="517"/>
      <c r="DZ324" s="503" t="str">
        <f>IF($G324="","",IF(AND($G324&gt;=30,$AT$3&lt;=DY$7),ROUND(DY324*($AP$3+#REF!),-1),""))</f>
        <v/>
      </c>
      <c r="EA324" s="517"/>
      <c r="EB324" s="503" t="str">
        <f>IF($G324="","",IF(AND($G324&gt;=30,$AT$3&lt;=EA$7),ROUND(EA324*($AP$3+#REF!),-1),""))</f>
        <v/>
      </c>
      <c r="EC324" s="504" t="s">
        <v>621</v>
      </c>
      <c r="ED324" s="1124"/>
      <c r="EE324" s="325">
        <v>4</v>
      </c>
    </row>
    <row r="325" spans="1:135" ht="9.75" customHeight="1">
      <c r="A325" s="321" t="str">
        <f t="shared" si="82"/>
        <v/>
      </c>
      <c r="B325" s="567">
        <f>(ii!$D$13*12+V325)+1</f>
        <v>219</v>
      </c>
      <c r="C325" s="337">
        <f t="shared" si="72"/>
        <v>52017</v>
      </c>
      <c r="D325" s="484">
        <f t="shared" si="75"/>
        <v>2042</v>
      </c>
      <c r="E325" s="484">
        <f t="shared" si="73"/>
        <v>0.41666666666666669</v>
      </c>
      <c r="F325" s="484">
        <f t="shared" si="76"/>
        <v>2042.4166666666667</v>
      </c>
      <c r="G325" s="485" t="str">
        <f>IF(OR(C325&lt;$I$2,C325&gt;$J$3),"",(ii!$D$13*12+V325+1)/12)</f>
        <v/>
      </c>
      <c r="H325" s="486"/>
      <c r="I325" s="486"/>
      <c r="J325" s="507"/>
      <c r="K325" s="508"/>
      <c r="L325" s="548"/>
      <c r="M325" s="489" t="str">
        <f t="shared" si="77"/>
        <v/>
      </c>
      <c r="N325" s="490" t="s">
        <v>621</v>
      </c>
      <c r="O325" s="490" t="str">
        <f t="shared" si="70"/>
        <v/>
      </c>
      <c r="P325" s="507"/>
      <c r="Q325" s="507"/>
      <c r="R325" s="491" t="str">
        <f t="shared" si="71"/>
        <v/>
      </c>
      <c r="S325" s="528" t="str">
        <f t="shared" si="83"/>
        <v/>
      </c>
      <c r="T325" s="528" t="str">
        <f t="shared" si="81"/>
        <v/>
      </c>
      <c r="U325" s="493" t="str">
        <f>IF(H325="","",#REF!*12+#REF!+#REF!*12+#REF!)</f>
        <v/>
      </c>
      <c r="V325" s="338">
        <f>IF(ii!$J$3&gt;gg!C325,"",IF(AND((YEAR(C325)=YEAR($I$2)),MONTH(C325)=MONTH($I$2)),ii!$B$14*12+ii!$C$14+ii!$B$15*12+ii!$C$15-1,V324+1))</f>
        <v>218</v>
      </c>
      <c r="W325" s="339">
        <f t="shared" si="74"/>
        <v>18.166666666666668</v>
      </c>
      <c r="X325" s="494" t="s">
        <v>621</v>
      </c>
      <c r="Y325" s="495" t="s">
        <v>621</v>
      </c>
      <c r="Z325" s="496"/>
      <c r="AA325" s="497"/>
      <c r="AB325" s="498" t="e">
        <f t="shared" si="80"/>
        <v>#VALUE!</v>
      </c>
      <c r="AC325" s="484" t="str">
        <f t="shared" si="78"/>
        <v/>
      </c>
      <c r="AD325" s="495" t="str">
        <f t="shared" si="79"/>
        <v/>
      </c>
      <c r="AE325" s="499" t="s">
        <v>621</v>
      </c>
      <c r="AF325" s="500" t="s">
        <v>621</v>
      </c>
      <c r="AG325" s="556" t="s">
        <v>621</v>
      </c>
      <c r="AH325" s="503" t="str">
        <f>IF($G325="","",IF(AND($G325&gt;=30,$AT$3&lt;=AG$7),ROUND(AG325*($AP$3+#REF!),-1),""))</f>
        <v/>
      </c>
      <c r="AI325" s="506" t="s">
        <v>621</v>
      </c>
      <c r="AJ325" s="503" t="str">
        <f>IF($G325="","",IF(AND($G325&gt;=30,$AT$3&lt;=AI$7),ROUND(AI325*($AP$3+#REF!),-1),""))</f>
        <v/>
      </c>
      <c r="AK325" s="506" t="s">
        <v>621</v>
      </c>
      <c r="AL325" s="503" t="str">
        <f>IF($G325="","",IF(AND($G325&gt;=30,$AT$3&lt;=AK$7),ROUND(AK325*($AP$3+#REF!),-1),""))</f>
        <v/>
      </c>
      <c r="AM325" s="506" t="s">
        <v>621</v>
      </c>
      <c r="AN325" s="503" t="str">
        <f>IF($G325="","",IF(AND($G325&gt;=30,$AT$3&lt;=AM$7),ROUND(AM325*($AP$3+#REF!),-1),""))</f>
        <v/>
      </c>
      <c r="AO325" s="503" t="e">
        <v>#REF!</v>
      </c>
      <c r="AP325" s="503" t="str">
        <f>IF($G325="","",IF(AND($G325&gt;=30,$AT$3&lt;=AO$7),ROUND(AO325*($AP$3+#REF!),-1),""))</f>
        <v/>
      </c>
      <c r="AQ325" s="503" t="s">
        <v>621</v>
      </c>
      <c r="AR325" s="503" t="str">
        <f>IF($G325="","",IF(AND($G325&gt;=30,$AT$3&lt;=AQ$7),ROUND(AQ325*($AP$3+#REF!),-1),""))</f>
        <v/>
      </c>
      <c r="AS325" s="503" t="s">
        <v>621</v>
      </c>
      <c r="AT325" s="503" t="str">
        <f>IF($G325="","",IF(AND($G325&gt;=30,$AT$3&lt;=AS$7),ROUND(AS325*($AP$3+#REF!),-1),""))</f>
        <v/>
      </c>
      <c r="AU325" s="503" t="s">
        <v>621</v>
      </c>
      <c r="AV325" s="503" t="str">
        <f>IF($G325="","",IF(AND($G325&gt;=30,$AT$3&lt;=AU$7),ROUND(AU325*($AP$3+#REF!),-1),""))</f>
        <v/>
      </c>
      <c r="AW325" s="503" t="s">
        <v>621</v>
      </c>
      <c r="AX325" s="503" t="str">
        <f>IF($G325="","",IF(AND($G325&gt;=30,$AT$3&lt;=AW$7),ROUND(AW325*($AP$3+#REF!),-1),""))</f>
        <v/>
      </c>
      <c r="AY325" s="503" t="s">
        <v>621</v>
      </c>
      <c r="AZ325" s="503" t="str">
        <f>IF($G325="","",IF(AND($G325&gt;=30,$AT$3&lt;=AY$7),ROUND(AY325*($AP$3+#REF!),-1),""))</f>
        <v/>
      </c>
      <c r="BA325" s="503" t="s">
        <v>621</v>
      </c>
      <c r="BB325" s="503" t="str">
        <f>IF($G325="","",IF(AND($G325&gt;=30,$AT$3&lt;=BA$7),ROUND(BA325*($AP$3+#REF!),-1),""))</f>
        <v/>
      </c>
      <c r="BC325" s="503" t="s">
        <v>621</v>
      </c>
      <c r="BD325" s="503" t="str">
        <f>IF($G325="","",IF(AND($G325&gt;=30,$AT$3&lt;=BC$7),ROUND(BC325*($AP$3+#REF!),-1),""))</f>
        <v/>
      </c>
      <c r="BE325" s="503" t="s">
        <v>621</v>
      </c>
      <c r="BF325" s="503" t="str">
        <f>IF($G325="","",IF(AND($G325&gt;=30,$AT$3&lt;=BE$7),ROUND(BE325*($AP$3+#REF!),-1),""))</f>
        <v/>
      </c>
      <c r="BG325" s="503" t="s">
        <v>621</v>
      </c>
      <c r="BH325" s="503" t="str">
        <f>IF($G325="","",IF(AND($G325&gt;=30,$AT$3&lt;=BG$7),ROUND(BG325*($AP$3+#REF!),-1),""))</f>
        <v/>
      </c>
      <c r="BI325" s="503" t="s">
        <v>621</v>
      </c>
      <c r="BJ325" s="503" t="str">
        <f>IF($G325="","",IF(AND($G325&gt;=30,$AT$3&lt;=BI$7),ROUND(BI325*($AP$3+#REF!),-1),""))</f>
        <v/>
      </c>
      <c r="BK325" s="503" t="s">
        <v>621</v>
      </c>
      <c r="BL325" s="503" t="str">
        <f>IF($G325="","",IF(AND($G325&gt;=30,$AT$3&lt;=BK$7),ROUND(BK325*($AP$3+#REF!),-1),""))</f>
        <v/>
      </c>
      <c r="BM325" s="503" t="s">
        <v>621</v>
      </c>
      <c r="BN325" s="503" t="str">
        <f>IF($G325="","",IF(AND($G325&gt;=30,$AT$3&lt;=BM$7),ROUND(BM325*($AP$3+#REF!),-1),""))</f>
        <v/>
      </c>
      <c r="BO325" s="503" t="s">
        <v>621</v>
      </c>
      <c r="BP325" s="503" t="str">
        <f>IF($G325="","",IF(AND($G325&gt;=30,$AT$3&lt;=BO$7),ROUND(BO325*($AP$3+#REF!),-1),""))</f>
        <v/>
      </c>
      <c r="BQ325" s="503" t="s">
        <v>621</v>
      </c>
      <c r="BR325" s="503" t="str">
        <f>IF($G325="","",IF(AND($G325&gt;=30,$AT$3&lt;=BQ$7),ROUND(BQ325*($AP$3+#REF!),-1),""))</f>
        <v/>
      </c>
      <c r="BS325" s="503" t="s">
        <v>621</v>
      </c>
      <c r="BT325" s="503" t="str">
        <f>IF($G325="","",IF(AND($G325&gt;=30,$AT$3&lt;=BS$7),ROUND(BS325*($AP$3+#REF!),-1),""))</f>
        <v/>
      </c>
      <c r="BU325" s="503" t="s">
        <v>621</v>
      </c>
      <c r="BV325" s="503" t="str">
        <f>IF($G325="","",IF(AND($G325&gt;=30,$AT$3&lt;=BU$7),ROUND(BU325*($AP$3+#REF!),-1),""))</f>
        <v/>
      </c>
      <c r="BW325" s="503" t="s">
        <v>621</v>
      </c>
      <c r="BX325" s="503" t="str">
        <f>IF($G325="","",IF(AND($G325&gt;=30,$AT$3&lt;=BW$7),ROUND(BW325*($AP$3+#REF!),-1),""))</f>
        <v/>
      </c>
      <c r="BY325" s="503" t="s">
        <v>621</v>
      </c>
      <c r="BZ325" s="503" t="str">
        <f>IF($G325="","",IF(AND($G325&gt;=30,$AT$3&lt;=BY$7),ROUND(BY325*($AP$3+#REF!),-1),""))</f>
        <v/>
      </c>
      <c r="CA325" s="503" t="s">
        <v>621</v>
      </c>
      <c r="CB325" s="503" t="str">
        <f>IF($G325="","",IF(AND($G325&gt;=30,$AT$3&lt;=CA$7),ROUND(CA325*($AP$3+#REF!),-1),""))</f>
        <v/>
      </c>
      <c r="CC325" s="503" t="s">
        <v>621</v>
      </c>
      <c r="CD325" s="503" t="str">
        <f>IF($G325="","",IF(AND($G325&gt;=30,$AT$3&lt;=CC$7),ROUND(CC325*($AP$3+#REF!),-1),""))</f>
        <v/>
      </c>
      <c r="CE325" s="503" t="s">
        <v>621</v>
      </c>
      <c r="CF325" s="503" t="str">
        <f>IF($G325="","",IF(AND($G325&gt;=30,$AT$3&lt;=CE$7),ROUND(CE325*($AP$3+#REF!),-1),""))</f>
        <v/>
      </c>
      <c r="CG325" s="517" t="e">
        <v>#REF!</v>
      </c>
      <c r="CH325" s="503" t="str">
        <f>IF($G325="","",IF(AND($G325&gt;=30,$AT$3&lt;=CG$7),ROUND(CG325*($AP$3+#REF!),-1),""))</f>
        <v/>
      </c>
      <c r="CI325" s="517"/>
      <c r="CJ325" s="503" t="str">
        <f>IF($G325="","",IF(AND($G325&gt;=30,$AT$3&lt;=CI$7),ROUND(CI325*($AP$3+#REF!),-1),""))</f>
        <v/>
      </c>
      <c r="CK325" s="517"/>
      <c r="CL325" s="503" t="str">
        <f>IF($G325="","",IF(AND($G325&gt;=30,$AT$3&lt;=CK$7),ROUND(CK325*($AP$3+#REF!),-1),""))</f>
        <v/>
      </c>
      <c r="CM325" s="517"/>
      <c r="CN325" s="503" t="str">
        <f>IF($G325="","",IF(AND($G325&gt;=30,$AT$3&lt;=CM$7),ROUND(CM325*($AP$3+#REF!),-1),""))</f>
        <v/>
      </c>
      <c r="CO325" s="517"/>
      <c r="CP325" s="503" t="str">
        <f>IF($G325="","",IF(AND($G325&gt;=30,$AT$3&lt;=CO$7),ROUND(CO325*($AP$3+#REF!),-1),""))</f>
        <v/>
      </c>
      <c r="CQ325" s="517"/>
      <c r="CR325" s="503" t="str">
        <f>IF($G325="","",IF(AND($G325&gt;=30,$AT$3&lt;=CQ$7),ROUND(CQ325*($AP$3+#REF!),-1),""))</f>
        <v/>
      </c>
      <c r="CS325" s="517"/>
      <c r="CT325" s="503" t="str">
        <f>IF($G325="","",IF(AND($G325&gt;=30,$AT$3&lt;=CS$7),ROUND(CS325*($AP$3+#REF!),-1),""))</f>
        <v/>
      </c>
      <c r="CU325" s="517"/>
      <c r="CV325" s="503" t="str">
        <f>IF($G325="","",IF(AND($G325&gt;=30,$AT$3&lt;=CU$7),ROUND(CU325*($AP$3+#REF!),-1),""))</f>
        <v/>
      </c>
      <c r="CW325" s="517"/>
      <c r="CX325" s="503" t="str">
        <f>IF($G325="","",IF(AND($G325&gt;=30,$AT$3&lt;=CW$7),ROUND(CW325*($AP$3+#REF!),-1),""))</f>
        <v/>
      </c>
      <c r="CY325" s="517"/>
      <c r="CZ325" s="503" t="str">
        <f>IF($G325="","",IF(AND($G325&gt;=30,$AT$3&lt;=CY$7),ROUND(CY325*($AP$3+#REF!),-1),""))</f>
        <v/>
      </c>
      <c r="DA325" s="517"/>
      <c r="DB325" s="503" t="str">
        <f>IF($G325="","",IF(AND($G325&gt;=30,$AT$3&lt;=DA$7),ROUND(DA325*($AP$3+#REF!),-1),""))</f>
        <v/>
      </c>
      <c r="DC325" s="517"/>
      <c r="DD325" s="503" t="str">
        <f>IF($G325="","",IF(AND($G325&gt;=30,$AT$3&lt;=DC$7),ROUND(DC325*($AP$3+#REF!),-1),""))</f>
        <v/>
      </c>
      <c r="DE325" s="517"/>
      <c r="DF325" s="503" t="str">
        <f>IF($G325="","",IF(AND($G325&gt;=30,$AT$3&lt;=DE$7),ROUND(DE325*($AP$3+#REF!),-1),""))</f>
        <v/>
      </c>
      <c r="DG325" s="517"/>
      <c r="DH325" s="503" t="str">
        <f>IF($G325="","",IF(AND($G325&gt;=30,$AT$3&lt;=DG$7),ROUND(DG325*($AP$3+#REF!),-1),""))</f>
        <v/>
      </c>
      <c r="DI325" s="517"/>
      <c r="DJ325" s="503" t="str">
        <f>IF($G325="","",IF(AND($G325&gt;=30,$AT$3&lt;=DI$7),ROUND(DI325*($AP$3+#REF!),-1),""))</f>
        <v/>
      </c>
      <c r="DK325" s="517"/>
      <c r="DL325" s="503" t="str">
        <f>IF($G325="","",IF(AND($G325&gt;=30,$AT$3&lt;=DK$7),ROUND(DK325*($AP$3+#REF!),-1),""))</f>
        <v/>
      </c>
      <c r="DM325" s="517"/>
      <c r="DN325" s="503" t="str">
        <f>IF($G325="","",IF(AND($G325&gt;=30,$AT$3&lt;=DM$7),ROUND(DM325*($AP$3+#REF!),-1),""))</f>
        <v/>
      </c>
      <c r="DO325" s="517"/>
      <c r="DP325" s="503" t="str">
        <f>IF($G325="","",IF(AND($G325&gt;=30,$AT$3&lt;=DO$7),ROUND(DO325*($AP$3+#REF!),-1),""))</f>
        <v/>
      </c>
      <c r="DQ325" s="517"/>
      <c r="DR325" s="503" t="str">
        <f>IF($G325="","",IF(AND($G325&gt;=30,$AT$3&lt;=DQ$7),ROUND(DQ325*($AP$3+#REF!),-1),""))</f>
        <v/>
      </c>
      <c r="DS325" s="517"/>
      <c r="DT325" s="503" t="str">
        <f>IF($G325="","",IF(AND($G325&gt;=30,$AT$3&lt;=DS$7),ROUND(DS325*($AP$3+#REF!),-1),""))</f>
        <v/>
      </c>
      <c r="DU325" s="517"/>
      <c r="DV325" s="503" t="str">
        <f>IF($G325="","",IF(AND($G325&gt;=30,$AT$3&lt;=DU$7),ROUND(DU325*($AP$3+#REF!),-1),""))</f>
        <v/>
      </c>
      <c r="DW325" s="517"/>
      <c r="DX325" s="503" t="str">
        <f>IF($G325="","",IF(AND($G325&gt;=30,$AT$3&lt;=DW$7),ROUND(DW325*($AP$3+#REF!),-1),""))</f>
        <v/>
      </c>
      <c r="DY325" s="517"/>
      <c r="DZ325" s="503" t="str">
        <f>IF($G325="","",IF(AND($G325&gt;=30,$AT$3&lt;=DY$7),ROUND(DY325*($AP$3+#REF!),-1),""))</f>
        <v/>
      </c>
      <c r="EA325" s="517"/>
      <c r="EB325" s="503" t="str">
        <f>IF($G325="","",IF(AND($G325&gt;=30,$AT$3&lt;=EA$7),ROUND(EA325*($AP$3+#REF!),-1),""))</f>
        <v/>
      </c>
      <c r="EC325" s="504" t="s">
        <v>621</v>
      </c>
      <c r="ED325" s="1124"/>
      <c r="EE325" s="325">
        <v>5</v>
      </c>
    </row>
    <row r="326" spans="1:135" ht="9.75" customHeight="1">
      <c r="A326" s="321" t="str">
        <f t="shared" si="82"/>
        <v/>
      </c>
      <c r="B326" s="567">
        <f>(ii!$D$13*12+V326)+1</f>
        <v>220</v>
      </c>
      <c r="C326" s="337">
        <f t="shared" si="72"/>
        <v>52047</v>
      </c>
      <c r="D326" s="484">
        <f t="shared" si="75"/>
        <v>2042</v>
      </c>
      <c r="E326" s="484">
        <f t="shared" si="73"/>
        <v>0.5</v>
      </c>
      <c r="F326" s="484">
        <f t="shared" si="76"/>
        <v>2042.5</v>
      </c>
      <c r="G326" s="485" t="str">
        <f>IF(OR(C326&lt;$I$2,C326&gt;$J$3),"",(ii!$D$13*12+V326+1)/12)</f>
        <v/>
      </c>
      <c r="H326" s="486"/>
      <c r="I326" s="486"/>
      <c r="J326" s="487"/>
      <c r="K326" s="488"/>
      <c r="L326" s="548"/>
      <c r="M326" s="489" t="str">
        <f t="shared" si="77"/>
        <v/>
      </c>
      <c r="N326" s="490" t="s">
        <v>621</v>
      </c>
      <c r="O326" s="490" t="str">
        <f t="shared" si="70"/>
        <v/>
      </c>
      <c r="P326" s="491"/>
      <c r="Q326" s="491"/>
      <c r="R326" s="491" t="str">
        <f t="shared" si="71"/>
        <v/>
      </c>
      <c r="S326" s="528" t="str">
        <f t="shared" si="83"/>
        <v/>
      </c>
      <c r="T326" s="528" t="str">
        <f t="shared" si="81"/>
        <v/>
      </c>
      <c r="U326" s="493" t="str">
        <f>IF(H326="","",#REF!*12+#REF!+#REF!*12+#REF!)</f>
        <v/>
      </c>
      <c r="V326" s="338">
        <f>IF(ii!$J$3&gt;gg!C326,"",IF(AND((YEAR(C326)=YEAR($I$2)),MONTH(C326)=MONTH($I$2)),ii!$B$14*12+ii!$C$14+ii!$B$15*12+ii!$C$15-1,V325+1))</f>
        <v>219</v>
      </c>
      <c r="W326" s="339">
        <f t="shared" si="74"/>
        <v>18.25</v>
      </c>
      <c r="X326" s="494" t="s">
        <v>621</v>
      </c>
      <c r="Y326" s="495" t="s">
        <v>621</v>
      </c>
      <c r="Z326" s="496"/>
      <c r="AA326" s="497"/>
      <c r="AB326" s="498" t="e">
        <f t="shared" si="80"/>
        <v>#VALUE!</v>
      </c>
      <c r="AC326" s="484" t="str">
        <f t="shared" si="78"/>
        <v/>
      </c>
      <c r="AD326" s="495" t="str">
        <f t="shared" si="79"/>
        <v/>
      </c>
      <c r="AE326" s="499" t="s">
        <v>621</v>
      </c>
      <c r="AF326" s="500" t="s">
        <v>621</v>
      </c>
      <c r="AG326" s="556" t="s">
        <v>621</v>
      </c>
      <c r="AH326" s="503" t="str">
        <f>IF($G326="","",IF(AND($G326&gt;=30,$AT$3&lt;=AG$7),ROUND(AG326*($AP$3+#REF!),-1),""))</f>
        <v/>
      </c>
      <c r="AI326" s="506" t="s">
        <v>621</v>
      </c>
      <c r="AJ326" s="503" t="str">
        <f>IF($G326="","",IF(AND($G326&gt;=30,$AT$3&lt;=AI$7),ROUND(AI326*($AP$3+#REF!),-1),""))</f>
        <v/>
      </c>
      <c r="AK326" s="506" t="s">
        <v>621</v>
      </c>
      <c r="AL326" s="503" t="str">
        <f>IF($G326="","",IF(AND($G326&gt;=30,$AT$3&lt;=AK$7),ROUND(AK326*($AP$3+#REF!),-1),""))</f>
        <v/>
      </c>
      <c r="AM326" s="506" t="s">
        <v>621</v>
      </c>
      <c r="AN326" s="503" t="str">
        <f>IF($G326="","",IF(AND($G326&gt;=30,$AT$3&lt;=AM$7),ROUND(AM326*($AP$3+#REF!),-1),""))</f>
        <v/>
      </c>
      <c r="AO326" s="503" t="e">
        <v>#REF!</v>
      </c>
      <c r="AP326" s="503" t="str">
        <f>IF($G326="","",IF(AND($G326&gt;=30,$AT$3&lt;=AO$7),ROUND(AO326*($AP$3+#REF!),-1),""))</f>
        <v/>
      </c>
      <c r="AQ326" s="503" t="s">
        <v>621</v>
      </c>
      <c r="AR326" s="503" t="str">
        <f>IF($G326="","",IF(AND($G326&gt;=30,$AT$3&lt;=AQ$7),ROUND(AQ326*($AP$3+#REF!),-1),""))</f>
        <v/>
      </c>
      <c r="AS326" s="503" t="s">
        <v>621</v>
      </c>
      <c r="AT326" s="503" t="str">
        <f>IF($G326="","",IF(AND($G326&gt;=30,$AT$3&lt;=AS$7),ROUND(AS326*($AP$3+#REF!),-1),""))</f>
        <v/>
      </c>
      <c r="AU326" s="503" t="s">
        <v>621</v>
      </c>
      <c r="AV326" s="503" t="str">
        <f>IF($G326="","",IF(AND($G326&gt;=30,$AT$3&lt;=AU$7),ROUND(AU326*($AP$3+#REF!),-1),""))</f>
        <v/>
      </c>
      <c r="AW326" s="503" t="s">
        <v>621</v>
      </c>
      <c r="AX326" s="503" t="str">
        <f>IF($G326="","",IF(AND($G326&gt;=30,$AT$3&lt;=AW$7),ROUND(AW326*($AP$3+#REF!),-1),""))</f>
        <v/>
      </c>
      <c r="AY326" s="503" t="s">
        <v>621</v>
      </c>
      <c r="AZ326" s="503" t="str">
        <f>IF($G326="","",IF(AND($G326&gt;=30,$AT$3&lt;=AY$7),ROUND(AY326*($AP$3+#REF!),-1),""))</f>
        <v/>
      </c>
      <c r="BA326" s="503" t="s">
        <v>621</v>
      </c>
      <c r="BB326" s="503" t="str">
        <f>IF($G326="","",IF(AND($G326&gt;=30,$AT$3&lt;=BA$7),ROUND(BA326*($AP$3+#REF!),-1),""))</f>
        <v/>
      </c>
      <c r="BC326" s="503" t="s">
        <v>621</v>
      </c>
      <c r="BD326" s="503" t="str">
        <f>IF($G326="","",IF(AND($G326&gt;=30,$AT$3&lt;=BC$7),ROUND(BC326*($AP$3+#REF!),-1),""))</f>
        <v/>
      </c>
      <c r="BE326" s="503" t="s">
        <v>621</v>
      </c>
      <c r="BF326" s="503" t="str">
        <f>IF($G326="","",IF(AND($G326&gt;=30,$AT$3&lt;=BE$7),ROUND(BE326*($AP$3+#REF!),-1),""))</f>
        <v/>
      </c>
      <c r="BG326" s="503" t="s">
        <v>621</v>
      </c>
      <c r="BH326" s="503" t="str">
        <f>IF($G326="","",IF(AND($G326&gt;=30,$AT$3&lt;=BG$7),ROUND(BG326*($AP$3+#REF!),-1),""))</f>
        <v/>
      </c>
      <c r="BI326" s="503" t="s">
        <v>621</v>
      </c>
      <c r="BJ326" s="503" t="str">
        <f>IF($G326="","",IF(AND($G326&gt;=30,$AT$3&lt;=BI$7),ROUND(BI326*($AP$3+#REF!),-1),""))</f>
        <v/>
      </c>
      <c r="BK326" s="503" t="s">
        <v>621</v>
      </c>
      <c r="BL326" s="503" t="str">
        <f>IF($G326="","",IF(AND($G326&gt;=30,$AT$3&lt;=BK$7),ROUND(BK326*($AP$3+#REF!),-1),""))</f>
        <v/>
      </c>
      <c r="BM326" s="503" t="s">
        <v>621</v>
      </c>
      <c r="BN326" s="503" t="str">
        <f>IF($G326="","",IF(AND($G326&gt;=30,$AT$3&lt;=BM$7),ROUND(BM326*($AP$3+#REF!),-1),""))</f>
        <v/>
      </c>
      <c r="BO326" s="503" t="s">
        <v>621</v>
      </c>
      <c r="BP326" s="503" t="str">
        <f>IF($G326="","",IF(AND($G326&gt;=30,$AT$3&lt;=BO$7),ROUND(BO326*($AP$3+#REF!),-1),""))</f>
        <v/>
      </c>
      <c r="BQ326" s="503" t="s">
        <v>621</v>
      </c>
      <c r="BR326" s="503" t="str">
        <f>IF($G326="","",IF(AND($G326&gt;=30,$AT$3&lt;=BQ$7),ROUND(BQ326*($AP$3+#REF!),-1),""))</f>
        <v/>
      </c>
      <c r="BS326" s="503" t="s">
        <v>621</v>
      </c>
      <c r="BT326" s="503" t="str">
        <f>IF($G326="","",IF(AND($G326&gt;=30,$AT$3&lt;=BS$7),ROUND(BS326*($AP$3+#REF!),-1),""))</f>
        <v/>
      </c>
      <c r="BU326" s="503" t="s">
        <v>621</v>
      </c>
      <c r="BV326" s="503" t="str">
        <f>IF($G326="","",IF(AND($G326&gt;=30,$AT$3&lt;=BU$7),ROUND(BU326*($AP$3+#REF!),-1),""))</f>
        <v/>
      </c>
      <c r="BW326" s="503" t="s">
        <v>621</v>
      </c>
      <c r="BX326" s="503" t="str">
        <f>IF($G326="","",IF(AND($G326&gt;=30,$AT$3&lt;=BW$7),ROUND(BW326*($AP$3+#REF!),-1),""))</f>
        <v/>
      </c>
      <c r="BY326" s="503" t="s">
        <v>621</v>
      </c>
      <c r="BZ326" s="503" t="str">
        <f>IF($G326="","",IF(AND($G326&gt;=30,$AT$3&lt;=BY$7),ROUND(BY326*($AP$3+#REF!),-1),""))</f>
        <v/>
      </c>
      <c r="CA326" s="503" t="s">
        <v>621</v>
      </c>
      <c r="CB326" s="503" t="str">
        <f>IF($G326="","",IF(AND($G326&gt;=30,$AT$3&lt;=CA$7),ROUND(CA326*($AP$3+#REF!),-1),""))</f>
        <v/>
      </c>
      <c r="CC326" s="503" t="s">
        <v>621</v>
      </c>
      <c r="CD326" s="503" t="str">
        <f>IF($G326="","",IF(AND($G326&gt;=30,$AT$3&lt;=CC$7),ROUND(CC326*($AP$3+#REF!),-1),""))</f>
        <v/>
      </c>
      <c r="CE326" s="503" t="s">
        <v>621</v>
      </c>
      <c r="CF326" s="503" t="str">
        <f>IF($G326="","",IF(AND($G326&gt;=30,$AT$3&lt;=CE$7),ROUND(CE326*($AP$3+#REF!),-1),""))</f>
        <v/>
      </c>
      <c r="CG326" s="517" t="e">
        <v>#REF!</v>
      </c>
      <c r="CH326" s="503" t="str">
        <f>IF($G326="","",IF(AND($G326&gt;=30,$AT$3&lt;=CG$7),ROUND(CG326*($AP$3+#REF!),-1),""))</f>
        <v/>
      </c>
      <c r="CI326" s="517"/>
      <c r="CJ326" s="503" t="str">
        <f>IF($G326="","",IF(AND($G326&gt;=30,$AT$3&lt;=CI$7),ROUND(CI326*($AP$3+#REF!),-1),""))</f>
        <v/>
      </c>
      <c r="CK326" s="517"/>
      <c r="CL326" s="503" t="str">
        <f>IF($G326="","",IF(AND($G326&gt;=30,$AT$3&lt;=CK$7),ROUND(CK326*($AP$3+#REF!),-1),""))</f>
        <v/>
      </c>
      <c r="CM326" s="517"/>
      <c r="CN326" s="503" t="str">
        <f>IF($G326="","",IF(AND($G326&gt;=30,$AT$3&lt;=CM$7),ROUND(CM326*($AP$3+#REF!),-1),""))</f>
        <v/>
      </c>
      <c r="CO326" s="517"/>
      <c r="CP326" s="503" t="str">
        <f>IF($G326="","",IF(AND($G326&gt;=30,$AT$3&lt;=CO$7),ROUND(CO326*($AP$3+#REF!),-1),""))</f>
        <v/>
      </c>
      <c r="CQ326" s="517"/>
      <c r="CR326" s="503" t="str">
        <f>IF($G326="","",IF(AND($G326&gt;=30,$AT$3&lt;=CQ$7),ROUND(CQ326*($AP$3+#REF!),-1),""))</f>
        <v/>
      </c>
      <c r="CS326" s="517"/>
      <c r="CT326" s="503" t="str">
        <f>IF($G326="","",IF(AND($G326&gt;=30,$AT$3&lt;=CS$7),ROUND(CS326*($AP$3+#REF!),-1),""))</f>
        <v/>
      </c>
      <c r="CU326" s="517"/>
      <c r="CV326" s="503" t="str">
        <f>IF($G326="","",IF(AND($G326&gt;=30,$AT$3&lt;=CU$7),ROUND(CU326*($AP$3+#REF!),-1),""))</f>
        <v/>
      </c>
      <c r="CW326" s="517"/>
      <c r="CX326" s="503" t="str">
        <f>IF($G326="","",IF(AND($G326&gt;=30,$AT$3&lt;=CW$7),ROUND(CW326*($AP$3+#REF!),-1),""))</f>
        <v/>
      </c>
      <c r="CY326" s="517"/>
      <c r="CZ326" s="503" t="str">
        <f>IF($G326="","",IF(AND($G326&gt;=30,$AT$3&lt;=CY$7),ROUND(CY326*($AP$3+#REF!),-1),""))</f>
        <v/>
      </c>
      <c r="DA326" s="517"/>
      <c r="DB326" s="503" t="str">
        <f>IF($G326="","",IF(AND($G326&gt;=30,$AT$3&lt;=DA$7),ROUND(DA326*($AP$3+#REF!),-1),""))</f>
        <v/>
      </c>
      <c r="DC326" s="517"/>
      <c r="DD326" s="503" t="str">
        <f>IF($G326="","",IF(AND($G326&gt;=30,$AT$3&lt;=DC$7),ROUND(DC326*($AP$3+#REF!),-1),""))</f>
        <v/>
      </c>
      <c r="DE326" s="517"/>
      <c r="DF326" s="503" t="str">
        <f>IF($G326="","",IF(AND($G326&gt;=30,$AT$3&lt;=DE$7),ROUND(DE326*($AP$3+#REF!),-1),""))</f>
        <v/>
      </c>
      <c r="DG326" s="517"/>
      <c r="DH326" s="503" t="str">
        <f>IF($G326="","",IF(AND($G326&gt;=30,$AT$3&lt;=DG$7),ROUND(DG326*($AP$3+#REF!),-1),""))</f>
        <v/>
      </c>
      <c r="DI326" s="517"/>
      <c r="DJ326" s="503" t="str">
        <f>IF($G326="","",IF(AND($G326&gt;=30,$AT$3&lt;=DI$7),ROUND(DI326*($AP$3+#REF!),-1),""))</f>
        <v/>
      </c>
      <c r="DK326" s="517"/>
      <c r="DL326" s="503" t="str">
        <f>IF($G326="","",IF(AND($G326&gt;=30,$AT$3&lt;=DK$7),ROUND(DK326*($AP$3+#REF!),-1),""))</f>
        <v/>
      </c>
      <c r="DM326" s="517"/>
      <c r="DN326" s="503" t="str">
        <f>IF($G326="","",IF(AND($G326&gt;=30,$AT$3&lt;=DM$7),ROUND(DM326*($AP$3+#REF!),-1),""))</f>
        <v/>
      </c>
      <c r="DO326" s="517"/>
      <c r="DP326" s="503" t="str">
        <f>IF($G326="","",IF(AND($G326&gt;=30,$AT$3&lt;=DO$7),ROUND(DO326*($AP$3+#REF!),-1),""))</f>
        <v/>
      </c>
      <c r="DQ326" s="517"/>
      <c r="DR326" s="503" t="str">
        <f>IF($G326="","",IF(AND($G326&gt;=30,$AT$3&lt;=DQ$7),ROUND(DQ326*($AP$3+#REF!),-1),""))</f>
        <v/>
      </c>
      <c r="DS326" s="517"/>
      <c r="DT326" s="503" t="str">
        <f>IF($G326="","",IF(AND($G326&gt;=30,$AT$3&lt;=DS$7),ROUND(DS326*($AP$3+#REF!),-1),""))</f>
        <v/>
      </c>
      <c r="DU326" s="517"/>
      <c r="DV326" s="503" t="str">
        <f>IF($G326="","",IF(AND($G326&gt;=30,$AT$3&lt;=DU$7),ROUND(DU326*($AP$3+#REF!),-1),""))</f>
        <v/>
      </c>
      <c r="DW326" s="517"/>
      <c r="DX326" s="503" t="str">
        <f>IF($G326="","",IF(AND($G326&gt;=30,$AT$3&lt;=DW$7),ROUND(DW326*($AP$3+#REF!),-1),""))</f>
        <v/>
      </c>
      <c r="DY326" s="517"/>
      <c r="DZ326" s="503" t="str">
        <f>IF($G326="","",IF(AND($G326&gt;=30,$AT$3&lt;=DY$7),ROUND(DY326*($AP$3+#REF!),-1),""))</f>
        <v/>
      </c>
      <c r="EA326" s="517"/>
      <c r="EB326" s="503" t="str">
        <f>IF($G326="","",IF(AND($G326&gt;=30,$AT$3&lt;=EA$7),ROUND(EA326*($AP$3+#REF!),-1),""))</f>
        <v/>
      </c>
      <c r="EC326" s="504" t="s">
        <v>621</v>
      </c>
      <c r="ED326" s="1124"/>
      <c r="EE326" s="325">
        <v>6</v>
      </c>
    </row>
    <row r="327" spans="1:135" ht="9.75" customHeight="1">
      <c r="A327" s="321" t="str">
        <f t="shared" si="82"/>
        <v/>
      </c>
      <c r="B327" s="567">
        <f>(ii!$D$13*12+V327)+1</f>
        <v>221</v>
      </c>
      <c r="C327" s="337">
        <f t="shared" si="72"/>
        <v>52078</v>
      </c>
      <c r="D327" s="484">
        <f t="shared" si="75"/>
        <v>2042</v>
      </c>
      <c r="E327" s="484">
        <f t="shared" si="73"/>
        <v>0.58333333333333337</v>
      </c>
      <c r="F327" s="484">
        <f t="shared" si="76"/>
        <v>2042.5833333333333</v>
      </c>
      <c r="G327" s="485" t="str">
        <f>IF(OR(C327&lt;$I$2,C327&gt;$J$3),"",(ii!$D$13*12+V327+1)/12)</f>
        <v/>
      </c>
      <c r="H327" s="486"/>
      <c r="I327" s="486"/>
      <c r="J327" s="487"/>
      <c r="K327" s="488"/>
      <c r="L327" s="548"/>
      <c r="M327" s="489" t="str">
        <f t="shared" si="77"/>
        <v/>
      </c>
      <c r="N327" s="490" t="s">
        <v>621</v>
      </c>
      <c r="O327" s="490" t="str">
        <f t="shared" si="70"/>
        <v/>
      </c>
      <c r="P327" s="491"/>
      <c r="Q327" s="491"/>
      <c r="R327" s="491" t="str">
        <f t="shared" si="71"/>
        <v/>
      </c>
      <c r="S327" s="528" t="str">
        <f t="shared" si="83"/>
        <v/>
      </c>
      <c r="T327" s="528" t="str">
        <f t="shared" si="81"/>
        <v/>
      </c>
      <c r="U327" s="493" t="str">
        <f>IF(H327="","",#REF!*12+#REF!+#REF!*12+#REF!)</f>
        <v/>
      </c>
      <c r="V327" s="338">
        <f>IF(ii!$J$3&gt;gg!C327,"",IF(AND((YEAR(C327)=YEAR($I$2)),MONTH(C327)=MONTH($I$2)),ii!$B$14*12+ii!$C$14+ii!$B$15*12+ii!$C$15-1,V326+1))</f>
        <v>220</v>
      </c>
      <c r="W327" s="339">
        <f t="shared" si="74"/>
        <v>18.333333333333332</v>
      </c>
      <c r="X327" s="494" t="s">
        <v>621</v>
      </c>
      <c r="Y327" s="495" t="s">
        <v>621</v>
      </c>
      <c r="Z327" s="496"/>
      <c r="AA327" s="497"/>
      <c r="AB327" s="498" t="e">
        <f t="shared" si="80"/>
        <v>#VALUE!</v>
      </c>
      <c r="AC327" s="484" t="str">
        <f t="shared" si="78"/>
        <v/>
      </c>
      <c r="AD327" s="495" t="str">
        <f t="shared" si="79"/>
        <v/>
      </c>
      <c r="AE327" s="499" t="s">
        <v>621</v>
      </c>
      <c r="AF327" s="500" t="s">
        <v>621</v>
      </c>
      <c r="AG327" s="556" t="s">
        <v>621</v>
      </c>
      <c r="AH327" s="503" t="str">
        <f>IF($G327="","",IF(AND($G327&gt;=30,$AT$3&lt;=AG$7),ROUND(AG327*($AP$3+#REF!),-1),""))</f>
        <v/>
      </c>
      <c r="AI327" s="506" t="s">
        <v>621</v>
      </c>
      <c r="AJ327" s="503" t="str">
        <f>IF($G327="","",IF(AND($G327&gt;=30,$AT$3&lt;=AI$7),ROUND(AI327*($AP$3+#REF!),-1),""))</f>
        <v/>
      </c>
      <c r="AK327" s="506" t="s">
        <v>621</v>
      </c>
      <c r="AL327" s="503" t="str">
        <f>IF($G327="","",IF(AND($G327&gt;=30,$AT$3&lt;=AK$7),ROUND(AK327*($AP$3+#REF!),-1),""))</f>
        <v/>
      </c>
      <c r="AM327" s="506" t="s">
        <v>621</v>
      </c>
      <c r="AN327" s="503" t="str">
        <f>IF($G327="","",IF(AND($G327&gt;=30,$AT$3&lt;=AM$7),ROUND(AM327*($AP$3+#REF!),-1),""))</f>
        <v/>
      </c>
      <c r="AO327" s="503" t="e">
        <v>#REF!</v>
      </c>
      <c r="AP327" s="503" t="str">
        <f>IF($G327="","",IF(AND($G327&gt;=30,$AT$3&lt;=AO$7),ROUND(AO327*($AP$3+#REF!),-1),""))</f>
        <v/>
      </c>
      <c r="AQ327" s="503" t="s">
        <v>621</v>
      </c>
      <c r="AR327" s="503" t="str">
        <f>IF($G327="","",IF(AND($G327&gt;=30,$AT$3&lt;=AQ$7),ROUND(AQ327*($AP$3+#REF!),-1),""))</f>
        <v/>
      </c>
      <c r="AS327" s="503" t="s">
        <v>621</v>
      </c>
      <c r="AT327" s="503" t="str">
        <f>IF($G327="","",IF(AND($G327&gt;=30,$AT$3&lt;=AS$7),ROUND(AS327*($AP$3+#REF!),-1),""))</f>
        <v/>
      </c>
      <c r="AU327" s="503" t="s">
        <v>621</v>
      </c>
      <c r="AV327" s="503" t="str">
        <f>IF($G327="","",IF(AND($G327&gt;=30,$AT$3&lt;=AU$7),ROUND(AU327*($AP$3+#REF!),-1),""))</f>
        <v/>
      </c>
      <c r="AW327" s="503" t="s">
        <v>621</v>
      </c>
      <c r="AX327" s="503" t="str">
        <f>IF($G327="","",IF(AND($G327&gt;=30,$AT$3&lt;=AW$7),ROUND(AW327*($AP$3+#REF!),-1),""))</f>
        <v/>
      </c>
      <c r="AY327" s="503" t="s">
        <v>621</v>
      </c>
      <c r="AZ327" s="503" t="str">
        <f>IF($G327="","",IF(AND($G327&gt;=30,$AT$3&lt;=AY$7),ROUND(AY327*($AP$3+#REF!),-1),""))</f>
        <v/>
      </c>
      <c r="BA327" s="503" t="s">
        <v>621</v>
      </c>
      <c r="BB327" s="503" t="str">
        <f>IF($G327="","",IF(AND($G327&gt;=30,$AT$3&lt;=BA$7),ROUND(BA327*($AP$3+#REF!),-1),""))</f>
        <v/>
      </c>
      <c r="BC327" s="503" t="s">
        <v>621</v>
      </c>
      <c r="BD327" s="503" t="str">
        <f>IF($G327="","",IF(AND($G327&gt;=30,$AT$3&lt;=BC$7),ROUND(BC327*($AP$3+#REF!),-1),""))</f>
        <v/>
      </c>
      <c r="BE327" s="503" t="s">
        <v>621</v>
      </c>
      <c r="BF327" s="503" t="str">
        <f>IF($G327="","",IF(AND($G327&gt;=30,$AT$3&lt;=BE$7),ROUND(BE327*($AP$3+#REF!),-1),""))</f>
        <v/>
      </c>
      <c r="BG327" s="503" t="s">
        <v>621</v>
      </c>
      <c r="BH327" s="503" t="str">
        <f>IF($G327="","",IF(AND($G327&gt;=30,$AT$3&lt;=BG$7),ROUND(BG327*($AP$3+#REF!),-1),""))</f>
        <v/>
      </c>
      <c r="BI327" s="503" t="s">
        <v>621</v>
      </c>
      <c r="BJ327" s="503" t="str">
        <f>IF($G327="","",IF(AND($G327&gt;=30,$AT$3&lt;=BI$7),ROUND(BI327*($AP$3+#REF!),-1),""))</f>
        <v/>
      </c>
      <c r="BK327" s="503" t="s">
        <v>621</v>
      </c>
      <c r="BL327" s="503" t="str">
        <f>IF($G327="","",IF(AND($G327&gt;=30,$AT$3&lt;=BK$7),ROUND(BK327*($AP$3+#REF!),-1),""))</f>
        <v/>
      </c>
      <c r="BM327" s="503" t="s">
        <v>621</v>
      </c>
      <c r="BN327" s="503" t="str">
        <f>IF($G327="","",IF(AND($G327&gt;=30,$AT$3&lt;=BM$7),ROUND(BM327*($AP$3+#REF!),-1),""))</f>
        <v/>
      </c>
      <c r="BO327" s="503" t="s">
        <v>621</v>
      </c>
      <c r="BP327" s="503" t="str">
        <f>IF($G327="","",IF(AND($G327&gt;=30,$AT$3&lt;=BO$7),ROUND(BO327*($AP$3+#REF!),-1),""))</f>
        <v/>
      </c>
      <c r="BQ327" s="503" t="s">
        <v>621</v>
      </c>
      <c r="BR327" s="503" t="str">
        <f>IF($G327="","",IF(AND($G327&gt;=30,$AT$3&lt;=BQ$7),ROUND(BQ327*($AP$3+#REF!),-1),""))</f>
        <v/>
      </c>
      <c r="BS327" s="503" t="s">
        <v>621</v>
      </c>
      <c r="BT327" s="503" t="str">
        <f>IF($G327="","",IF(AND($G327&gt;=30,$AT$3&lt;=BS$7),ROUND(BS327*($AP$3+#REF!),-1),""))</f>
        <v/>
      </c>
      <c r="BU327" s="503" t="s">
        <v>621</v>
      </c>
      <c r="BV327" s="503" t="str">
        <f>IF($G327="","",IF(AND($G327&gt;=30,$AT$3&lt;=BU$7),ROUND(BU327*($AP$3+#REF!),-1),""))</f>
        <v/>
      </c>
      <c r="BW327" s="503" t="s">
        <v>621</v>
      </c>
      <c r="BX327" s="503" t="str">
        <f>IF($G327="","",IF(AND($G327&gt;=30,$AT$3&lt;=BW$7),ROUND(BW327*($AP$3+#REF!),-1),""))</f>
        <v/>
      </c>
      <c r="BY327" s="503" t="s">
        <v>621</v>
      </c>
      <c r="BZ327" s="503" t="str">
        <f>IF($G327="","",IF(AND($G327&gt;=30,$AT$3&lt;=BY$7),ROUND(BY327*($AP$3+#REF!),-1),""))</f>
        <v/>
      </c>
      <c r="CA327" s="503" t="s">
        <v>621</v>
      </c>
      <c r="CB327" s="503" t="str">
        <f>IF($G327="","",IF(AND($G327&gt;=30,$AT$3&lt;=CA$7),ROUND(CA327*($AP$3+#REF!),-1),""))</f>
        <v/>
      </c>
      <c r="CC327" s="503" t="s">
        <v>621</v>
      </c>
      <c r="CD327" s="503" t="str">
        <f>IF($G327="","",IF(AND($G327&gt;=30,$AT$3&lt;=CC$7),ROUND(CC327*($AP$3+#REF!),-1),""))</f>
        <v/>
      </c>
      <c r="CE327" s="503" t="s">
        <v>621</v>
      </c>
      <c r="CF327" s="503" t="str">
        <f>IF($G327="","",IF(AND($G327&gt;=30,$AT$3&lt;=CE$7),ROUND(CE327*($AP$3+#REF!),-1),""))</f>
        <v/>
      </c>
      <c r="CG327" s="517" t="e">
        <v>#REF!</v>
      </c>
      <c r="CH327" s="503" t="str">
        <f>IF($G327="","",IF(AND($G327&gt;=30,$AT$3&lt;=CG$7),ROUND(CG327*($AP$3+#REF!),-1),""))</f>
        <v/>
      </c>
      <c r="CI327" s="517"/>
      <c r="CJ327" s="503" t="str">
        <f>IF($G327="","",IF(AND($G327&gt;=30,$AT$3&lt;=CI$7),ROUND(CI327*($AP$3+#REF!),-1),""))</f>
        <v/>
      </c>
      <c r="CK327" s="517"/>
      <c r="CL327" s="503" t="str">
        <f>IF($G327="","",IF(AND($G327&gt;=30,$AT$3&lt;=CK$7),ROUND(CK327*($AP$3+#REF!),-1),""))</f>
        <v/>
      </c>
      <c r="CM327" s="517"/>
      <c r="CN327" s="503" t="str">
        <f>IF($G327="","",IF(AND($G327&gt;=30,$AT$3&lt;=CM$7),ROUND(CM327*($AP$3+#REF!),-1),""))</f>
        <v/>
      </c>
      <c r="CO327" s="517"/>
      <c r="CP327" s="503" t="str">
        <f>IF($G327="","",IF(AND($G327&gt;=30,$AT$3&lt;=CO$7),ROUND(CO327*($AP$3+#REF!),-1),""))</f>
        <v/>
      </c>
      <c r="CQ327" s="517"/>
      <c r="CR327" s="503" t="str">
        <f>IF($G327="","",IF(AND($G327&gt;=30,$AT$3&lt;=CQ$7),ROUND(CQ327*($AP$3+#REF!),-1),""))</f>
        <v/>
      </c>
      <c r="CS327" s="517"/>
      <c r="CT327" s="503" t="str">
        <f>IF($G327="","",IF(AND($G327&gt;=30,$AT$3&lt;=CS$7),ROUND(CS327*($AP$3+#REF!),-1),""))</f>
        <v/>
      </c>
      <c r="CU327" s="517"/>
      <c r="CV327" s="503" t="str">
        <f>IF($G327="","",IF(AND($G327&gt;=30,$AT$3&lt;=CU$7),ROUND(CU327*($AP$3+#REF!),-1),""))</f>
        <v/>
      </c>
      <c r="CW327" s="517"/>
      <c r="CX327" s="503" t="str">
        <f>IF($G327="","",IF(AND($G327&gt;=30,$AT$3&lt;=CW$7),ROUND(CW327*($AP$3+#REF!),-1),""))</f>
        <v/>
      </c>
      <c r="CY327" s="517"/>
      <c r="CZ327" s="503" t="str">
        <f>IF($G327="","",IF(AND($G327&gt;=30,$AT$3&lt;=CY$7),ROUND(CY327*($AP$3+#REF!),-1),""))</f>
        <v/>
      </c>
      <c r="DA327" s="517"/>
      <c r="DB327" s="503" t="str">
        <f>IF($G327="","",IF(AND($G327&gt;=30,$AT$3&lt;=DA$7),ROUND(DA327*($AP$3+#REF!),-1),""))</f>
        <v/>
      </c>
      <c r="DC327" s="517"/>
      <c r="DD327" s="503" t="str">
        <f>IF($G327="","",IF(AND($G327&gt;=30,$AT$3&lt;=DC$7),ROUND(DC327*($AP$3+#REF!),-1),""))</f>
        <v/>
      </c>
      <c r="DE327" s="517"/>
      <c r="DF327" s="503" t="str">
        <f>IF($G327="","",IF(AND($G327&gt;=30,$AT$3&lt;=DE$7),ROUND(DE327*($AP$3+#REF!),-1),""))</f>
        <v/>
      </c>
      <c r="DG327" s="517"/>
      <c r="DH327" s="503" t="str">
        <f>IF($G327="","",IF(AND($G327&gt;=30,$AT$3&lt;=DG$7),ROUND(DG327*($AP$3+#REF!),-1),""))</f>
        <v/>
      </c>
      <c r="DI327" s="517"/>
      <c r="DJ327" s="503" t="str">
        <f>IF($G327="","",IF(AND($G327&gt;=30,$AT$3&lt;=DI$7),ROUND(DI327*($AP$3+#REF!),-1),""))</f>
        <v/>
      </c>
      <c r="DK327" s="517"/>
      <c r="DL327" s="503" t="str">
        <f>IF($G327="","",IF(AND($G327&gt;=30,$AT$3&lt;=DK$7),ROUND(DK327*($AP$3+#REF!),-1),""))</f>
        <v/>
      </c>
      <c r="DM327" s="517"/>
      <c r="DN327" s="503" t="str">
        <f>IF($G327="","",IF(AND($G327&gt;=30,$AT$3&lt;=DM$7),ROUND(DM327*($AP$3+#REF!),-1),""))</f>
        <v/>
      </c>
      <c r="DO327" s="517"/>
      <c r="DP327" s="503" t="str">
        <f>IF($G327="","",IF(AND($G327&gt;=30,$AT$3&lt;=DO$7),ROUND(DO327*($AP$3+#REF!),-1),""))</f>
        <v/>
      </c>
      <c r="DQ327" s="517"/>
      <c r="DR327" s="503" t="str">
        <f>IF($G327="","",IF(AND($G327&gt;=30,$AT$3&lt;=DQ$7),ROUND(DQ327*($AP$3+#REF!),-1),""))</f>
        <v/>
      </c>
      <c r="DS327" s="517"/>
      <c r="DT327" s="503" t="str">
        <f>IF($G327="","",IF(AND($G327&gt;=30,$AT$3&lt;=DS$7),ROUND(DS327*($AP$3+#REF!),-1),""))</f>
        <v/>
      </c>
      <c r="DU327" s="517"/>
      <c r="DV327" s="503" t="str">
        <f>IF($G327="","",IF(AND($G327&gt;=30,$AT$3&lt;=DU$7),ROUND(DU327*($AP$3+#REF!),-1),""))</f>
        <v/>
      </c>
      <c r="DW327" s="517"/>
      <c r="DX327" s="503" t="str">
        <f>IF($G327="","",IF(AND($G327&gt;=30,$AT$3&lt;=DW$7),ROUND(DW327*($AP$3+#REF!),-1),""))</f>
        <v/>
      </c>
      <c r="DY327" s="517"/>
      <c r="DZ327" s="503" t="str">
        <f>IF($G327="","",IF(AND($G327&gt;=30,$AT$3&lt;=DY$7),ROUND(DY327*($AP$3+#REF!),-1),""))</f>
        <v/>
      </c>
      <c r="EA327" s="517"/>
      <c r="EB327" s="503" t="str">
        <f>IF($G327="","",IF(AND($G327&gt;=30,$AT$3&lt;=EA$7),ROUND(EA327*($AP$3+#REF!),-1),""))</f>
        <v/>
      </c>
      <c r="EC327" s="504" t="s">
        <v>621</v>
      </c>
      <c r="ED327" s="1124"/>
      <c r="EE327" s="325">
        <v>7</v>
      </c>
    </row>
    <row r="328" spans="1:135" ht="9.75" customHeight="1">
      <c r="A328" s="321" t="str">
        <f t="shared" si="82"/>
        <v/>
      </c>
      <c r="B328" s="567">
        <f>(ii!$D$13*12+V328)+1</f>
        <v>222</v>
      </c>
      <c r="C328" s="337">
        <f t="shared" si="72"/>
        <v>52109</v>
      </c>
      <c r="D328" s="484">
        <f t="shared" si="75"/>
        <v>2042</v>
      </c>
      <c r="E328" s="484">
        <f t="shared" si="73"/>
        <v>0.66666666666666663</v>
      </c>
      <c r="F328" s="484">
        <f t="shared" si="76"/>
        <v>2042.6666666666667</v>
      </c>
      <c r="G328" s="485" t="str">
        <f>IF(OR(C328&lt;$I$2,C328&gt;$J$3),"",(ii!$D$13*12+V328+1)/12)</f>
        <v/>
      </c>
      <c r="H328" s="486"/>
      <c r="I328" s="486"/>
      <c r="J328" s="487"/>
      <c r="K328" s="488"/>
      <c r="L328" s="548"/>
      <c r="M328" s="489" t="str">
        <f t="shared" si="77"/>
        <v/>
      </c>
      <c r="N328" s="490" t="s">
        <v>621</v>
      </c>
      <c r="O328" s="490" t="str">
        <f t="shared" si="70"/>
        <v/>
      </c>
      <c r="P328" s="491"/>
      <c r="Q328" s="491"/>
      <c r="R328" s="491" t="str">
        <f t="shared" si="71"/>
        <v/>
      </c>
      <c r="S328" s="528" t="str">
        <f t="shared" si="83"/>
        <v/>
      </c>
      <c r="T328" s="528" t="str">
        <f t="shared" si="81"/>
        <v/>
      </c>
      <c r="U328" s="493" t="str">
        <f>IF(H328="","",#REF!*12+#REF!+#REF!*12+#REF!)</f>
        <v/>
      </c>
      <c r="V328" s="338">
        <f>IF(ii!$J$3&gt;gg!C328,"",IF(AND((YEAR(C328)=YEAR($I$2)),MONTH(C328)=MONTH($I$2)),ii!$B$14*12+ii!$C$14+ii!$B$15*12+ii!$C$15-1,V327+1))</f>
        <v>221</v>
      </c>
      <c r="W328" s="339">
        <f t="shared" si="74"/>
        <v>18.416666666666668</v>
      </c>
      <c r="X328" s="494" t="s">
        <v>621</v>
      </c>
      <c r="Y328" s="495" t="s">
        <v>621</v>
      </c>
      <c r="Z328" s="496"/>
      <c r="AA328" s="497"/>
      <c r="AB328" s="498" t="e">
        <f t="shared" si="80"/>
        <v>#VALUE!</v>
      </c>
      <c r="AC328" s="484" t="str">
        <f t="shared" si="78"/>
        <v/>
      </c>
      <c r="AD328" s="495" t="str">
        <f t="shared" si="79"/>
        <v/>
      </c>
      <c r="AE328" s="499" t="s">
        <v>621</v>
      </c>
      <c r="AF328" s="500" t="s">
        <v>621</v>
      </c>
      <c r="AG328" s="556" t="s">
        <v>621</v>
      </c>
      <c r="AH328" s="503" t="str">
        <f>IF($G328="","",IF(AND($G328&gt;=30,$AT$3&lt;=AG$7),ROUND(AG328*($AP$3+#REF!),-1),""))</f>
        <v/>
      </c>
      <c r="AI328" s="506" t="s">
        <v>621</v>
      </c>
      <c r="AJ328" s="503" t="str">
        <f>IF($G328="","",IF(AND($G328&gt;=30,$AT$3&lt;=AI$7),ROUND(AI328*($AP$3+#REF!),-1),""))</f>
        <v/>
      </c>
      <c r="AK328" s="506" t="s">
        <v>621</v>
      </c>
      <c r="AL328" s="503" t="str">
        <f>IF($G328="","",IF(AND($G328&gt;=30,$AT$3&lt;=AK$7),ROUND(AK328*($AP$3+#REF!),-1),""))</f>
        <v/>
      </c>
      <c r="AM328" s="506" t="s">
        <v>621</v>
      </c>
      <c r="AN328" s="503" t="str">
        <f>IF($G328="","",IF(AND($G328&gt;=30,$AT$3&lt;=AM$7),ROUND(AM328*($AP$3+#REF!),-1),""))</f>
        <v/>
      </c>
      <c r="AO328" s="503" t="e">
        <v>#REF!</v>
      </c>
      <c r="AP328" s="503" t="str">
        <f>IF($G328="","",IF(AND($G328&gt;=30,$AT$3&lt;=AO$7),ROUND(AO328*($AP$3+#REF!),-1),""))</f>
        <v/>
      </c>
      <c r="AQ328" s="503" t="s">
        <v>621</v>
      </c>
      <c r="AR328" s="503" t="str">
        <f>IF($G328="","",IF(AND($G328&gt;=30,$AT$3&lt;=AQ$7),ROUND(AQ328*($AP$3+#REF!),-1),""))</f>
        <v/>
      </c>
      <c r="AS328" s="503" t="s">
        <v>621</v>
      </c>
      <c r="AT328" s="503" t="str">
        <f>IF($G328="","",IF(AND($G328&gt;=30,$AT$3&lt;=AS$7),ROUND(AS328*($AP$3+#REF!),-1),""))</f>
        <v/>
      </c>
      <c r="AU328" s="503" t="s">
        <v>621</v>
      </c>
      <c r="AV328" s="503" t="str">
        <f>IF($G328="","",IF(AND($G328&gt;=30,$AT$3&lt;=AU$7),ROUND(AU328*($AP$3+#REF!),-1),""))</f>
        <v/>
      </c>
      <c r="AW328" s="503" t="s">
        <v>621</v>
      </c>
      <c r="AX328" s="503" t="str">
        <f>IF($G328="","",IF(AND($G328&gt;=30,$AT$3&lt;=AW$7),ROUND(AW328*($AP$3+#REF!),-1),""))</f>
        <v/>
      </c>
      <c r="AY328" s="503" t="s">
        <v>621</v>
      </c>
      <c r="AZ328" s="503" t="str">
        <f>IF($G328="","",IF(AND($G328&gt;=30,$AT$3&lt;=AY$7),ROUND(AY328*($AP$3+#REF!),-1),""))</f>
        <v/>
      </c>
      <c r="BA328" s="503" t="s">
        <v>621</v>
      </c>
      <c r="BB328" s="503" t="str">
        <f>IF($G328="","",IF(AND($G328&gt;=30,$AT$3&lt;=BA$7),ROUND(BA328*($AP$3+#REF!),-1),""))</f>
        <v/>
      </c>
      <c r="BC328" s="503" t="s">
        <v>621</v>
      </c>
      <c r="BD328" s="503" t="str">
        <f>IF($G328="","",IF(AND($G328&gt;=30,$AT$3&lt;=BC$7),ROUND(BC328*($AP$3+#REF!),-1),""))</f>
        <v/>
      </c>
      <c r="BE328" s="503" t="s">
        <v>621</v>
      </c>
      <c r="BF328" s="503" t="str">
        <f>IF($G328="","",IF(AND($G328&gt;=30,$AT$3&lt;=BE$7),ROUND(BE328*($AP$3+#REF!),-1),""))</f>
        <v/>
      </c>
      <c r="BG328" s="503" t="s">
        <v>621</v>
      </c>
      <c r="BH328" s="503" t="str">
        <f>IF($G328="","",IF(AND($G328&gt;=30,$AT$3&lt;=BG$7),ROUND(BG328*($AP$3+#REF!),-1),""))</f>
        <v/>
      </c>
      <c r="BI328" s="503" t="s">
        <v>621</v>
      </c>
      <c r="BJ328" s="503" t="str">
        <f>IF($G328="","",IF(AND($G328&gt;=30,$AT$3&lt;=BI$7),ROUND(BI328*($AP$3+#REF!),-1),""))</f>
        <v/>
      </c>
      <c r="BK328" s="503" t="s">
        <v>621</v>
      </c>
      <c r="BL328" s="503" t="str">
        <f>IF($G328="","",IF(AND($G328&gt;=30,$AT$3&lt;=BK$7),ROUND(BK328*($AP$3+#REF!),-1),""))</f>
        <v/>
      </c>
      <c r="BM328" s="503" t="s">
        <v>621</v>
      </c>
      <c r="BN328" s="503" t="str">
        <f>IF($G328="","",IF(AND($G328&gt;=30,$AT$3&lt;=BM$7),ROUND(BM328*($AP$3+#REF!),-1),""))</f>
        <v/>
      </c>
      <c r="BO328" s="503" t="s">
        <v>621</v>
      </c>
      <c r="BP328" s="503" t="str">
        <f>IF($G328="","",IF(AND($G328&gt;=30,$AT$3&lt;=BO$7),ROUND(BO328*($AP$3+#REF!),-1),""))</f>
        <v/>
      </c>
      <c r="BQ328" s="503" t="s">
        <v>621</v>
      </c>
      <c r="BR328" s="503" t="str">
        <f>IF($G328="","",IF(AND($G328&gt;=30,$AT$3&lt;=BQ$7),ROUND(BQ328*($AP$3+#REF!),-1),""))</f>
        <v/>
      </c>
      <c r="BS328" s="503" t="s">
        <v>621</v>
      </c>
      <c r="BT328" s="503" t="str">
        <f>IF($G328="","",IF(AND($G328&gt;=30,$AT$3&lt;=BS$7),ROUND(BS328*($AP$3+#REF!),-1),""))</f>
        <v/>
      </c>
      <c r="BU328" s="503" t="s">
        <v>621</v>
      </c>
      <c r="BV328" s="503" t="str">
        <f>IF($G328="","",IF(AND($G328&gt;=30,$AT$3&lt;=BU$7),ROUND(BU328*($AP$3+#REF!),-1),""))</f>
        <v/>
      </c>
      <c r="BW328" s="503" t="s">
        <v>621</v>
      </c>
      <c r="BX328" s="503" t="str">
        <f>IF($G328="","",IF(AND($G328&gt;=30,$AT$3&lt;=BW$7),ROUND(BW328*($AP$3+#REF!),-1),""))</f>
        <v/>
      </c>
      <c r="BY328" s="503" t="s">
        <v>621</v>
      </c>
      <c r="BZ328" s="503" t="str">
        <f>IF($G328="","",IF(AND($G328&gt;=30,$AT$3&lt;=BY$7),ROUND(BY328*($AP$3+#REF!),-1),""))</f>
        <v/>
      </c>
      <c r="CA328" s="503" t="s">
        <v>621</v>
      </c>
      <c r="CB328" s="503" t="str">
        <f>IF($G328="","",IF(AND($G328&gt;=30,$AT$3&lt;=CA$7),ROUND(CA328*($AP$3+#REF!),-1),""))</f>
        <v/>
      </c>
      <c r="CC328" s="503" t="s">
        <v>621</v>
      </c>
      <c r="CD328" s="503" t="str">
        <f>IF($G328="","",IF(AND($G328&gt;=30,$AT$3&lt;=CC$7),ROUND(CC328*($AP$3+#REF!),-1),""))</f>
        <v/>
      </c>
      <c r="CE328" s="503" t="s">
        <v>621</v>
      </c>
      <c r="CF328" s="503" t="str">
        <f>IF($G328="","",IF(AND($G328&gt;=30,$AT$3&lt;=CE$7),ROUND(CE328*($AP$3+#REF!),-1),""))</f>
        <v/>
      </c>
      <c r="CG328" s="517" t="e">
        <v>#REF!</v>
      </c>
      <c r="CH328" s="503" t="str">
        <f>IF($G328="","",IF(AND($G328&gt;=30,$AT$3&lt;=CG$7),ROUND(CG328*($AP$3+#REF!),-1),""))</f>
        <v/>
      </c>
      <c r="CI328" s="517"/>
      <c r="CJ328" s="503" t="str">
        <f>IF($G328="","",IF(AND($G328&gt;=30,$AT$3&lt;=CI$7),ROUND(CI328*($AP$3+#REF!),-1),""))</f>
        <v/>
      </c>
      <c r="CK328" s="517"/>
      <c r="CL328" s="503" t="str">
        <f>IF($G328="","",IF(AND($G328&gt;=30,$AT$3&lt;=CK$7),ROUND(CK328*($AP$3+#REF!),-1),""))</f>
        <v/>
      </c>
      <c r="CM328" s="517"/>
      <c r="CN328" s="503" t="str">
        <f>IF($G328="","",IF(AND($G328&gt;=30,$AT$3&lt;=CM$7),ROUND(CM328*($AP$3+#REF!),-1),""))</f>
        <v/>
      </c>
      <c r="CO328" s="517"/>
      <c r="CP328" s="503" t="str">
        <f>IF($G328="","",IF(AND($G328&gt;=30,$AT$3&lt;=CO$7),ROUND(CO328*($AP$3+#REF!),-1),""))</f>
        <v/>
      </c>
      <c r="CQ328" s="517"/>
      <c r="CR328" s="503" t="str">
        <f>IF($G328="","",IF(AND($G328&gt;=30,$AT$3&lt;=CQ$7),ROUND(CQ328*($AP$3+#REF!),-1),""))</f>
        <v/>
      </c>
      <c r="CS328" s="517"/>
      <c r="CT328" s="503" t="str">
        <f>IF($G328="","",IF(AND($G328&gt;=30,$AT$3&lt;=CS$7),ROUND(CS328*($AP$3+#REF!),-1),""))</f>
        <v/>
      </c>
      <c r="CU328" s="517"/>
      <c r="CV328" s="503" t="str">
        <f>IF($G328="","",IF(AND($G328&gt;=30,$AT$3&lt;=CU$7),ROUND(CU328*($AP$3+#REF!),-1),""))</f>
        <v/>
      </c>
      <c r="CW328" s="517"/>
      <c r="CX328" s="503" t="str">
        <f>IF($G328="","",IF(AND($G328&gt;=30,$AT$3&lt;=CW$7),ROUND(CW328*($AP$3+#REF!),-1),""))</f>
        <v/>
      </c>
      <c r="CY328" s="517"/>
      <c r="CZ328" s="503" t="str">
        <f>IF($G328="","",IF(AND($G328&gt;=30,$AT$3&lt;=CY$7),ROUND(CY328*($AP$3+#REF!),-1),""))</f>
        <v/>
      </c>
      <c r="DA328" s="517"/>
      <c r="DB328" s="503" t="str">
        <f>IF($G328="","",IF(AND($G328&gt;=30,$AT$3&lt;=DA$7),ROUND(DA328*($AP$3+#REF!),-1),""))</f>
        <v/>
      </c>
      <c r="DC328" s="517"/>
      <c r="DD328" s="503" t="str">
        <f>IF($G328="","",IF(AND($G328&gt;=30,$AT$3&lt;=DC$7),ROUND(DC328*($AP$3+#REF!),-1),""))</f>
        <v/>
      </c>
      <c r="DE328" s="517"/>
      <c r="DF328" s="503" t="str">
        <f>IF($G328="","",IF(AND($G328&gt;=30,$AT$3&lt;=DE$7),ROUND(DE328*($AP$3+#REF!),-1),""))</f>
        <v/>
      </c>
      <c r="DG328" s="517"/>
      <c r="DH328" s="503" t="str">
        <f>IF($G328="","",IF(AND($G328&gt;=30,$AT$3&lt;=DG$7),ROUND(DG328*($AP$3+#REF!),-1),""))</f>
        <v/>
      </c>
      <c r="DI328" s="517"/>
      <c r="DJ328" s="503" t="str">
        <f>IF($G328="","",IF(AND($G328&gt;=30,$AT$3&lt;=DI$7),ROUND(DI328*($AP$3+#REF!),-1),""))</f>
        <v/>
      </c>
      <c r="DK328" s="517"/>
      <c r="DL328" s="503" t="str">
        <f>IF($G328="","",IF(AND($G328&gt;=30,$AT$3&lt;=DK$7),ROUND(DK328*($AP$3+#REF!),-1),""))</f>
        <v/>
      </c>
      <c r="DM328" s="517"/>
      <c r="DN328" s="503" t="str">
        <f>IF($G328="","",IF(AND($G328&gt;=30,$AT$3&lt;=DM$7),ROUND(DM328*($AP$3+#REF!),-1),""))</f>
        <v/>
      </c>
      <c r="DO328" s="517"/>
      <c r="DP328" s="503" t="str">
        <f>IF($G328="","",IF(AND($G328&gt;=30,$AT$3&lt;=DO$7),ROUND(DO328*($AP$3+#REF!),-1),""))</f>
        <v/>
      </c>
      <c r="DQ328" s="517"/>
      <c r="DR328" s="503" t="str">
        <f>IF($G328="","",IF(AND($G328&gt;=30,$AT$3&lt;=DQ$7),ROUND(DQ328*($AP$3+#REF!),-1),""))</f>
        <v/>
      </c>
      <c r="DS328" s="517"/>
      <c r="DT328" s="503" t="str">
        <f>IF($G328="","",IF(AND($G328&gt;=30,$AT$3&lt;=DS$7),ROUND(DS328*($AP$3+#REF!),-1),""))</f>
        <v/>
      </c>
      <c r="DU328" s="517"/>
      <c r="DV328" s="503" t="str">
        <f>IF($G328="","",IF(AND($G328&gt;=30,$AT$3&lt;=DU$7),ROUND(DU328*($AP$3+#REF!),-1),""))</f>
        <v/>
      </c>
      <c r="DW328" s="517"/>
      <c r="DX328" s="503" t="str">
        <f>IF($G328="","",IF(AND($G328&gt;=30,$AT$3&lt;=DW$7),ROUND(DW328*($AP$3+#REF!),-1),""))</f>
        <v/>
      </c>
      <c r="DY328" s="517"/>
      <c r="DZ328" s="503" t="str">
        <f>IF($G328="","",IF(AND($G328&gt;=30,$AT$3&lt;=DY$7),ROUND(DY328*($AP$3+#REF!),-1),""))</f>
        <v/>
      </c>
      <c r="EA328" s="517"/>
      <c r="EB328" s="503" t="str">
        <f>IF($G328="","",IF(AND($G328&gt;=30,$AT$3&lt;=EA$7),ROUND(EA328*($AP$3+#REF!),-1),""))</f>
        <v/>
      </c>
      <c r="EC328" s="504" t="s">
        <v>621</v>
      </c>
      <c r="ED328" s="1124"/>
      <c r="EE328" s="325">
        <v>8</v>
      </c>
    </row>
    <row r="329" spans="1:135" ht="9.75" customHeight="1">
      <c r="A329" s="321" t="str">
        <f t="shared" si="82"/>
        <v/>
      </c>
      <c r="B329" s="567">
        <f>(ii!$D$13*12+V329)+1</f>
        <v>223</v>
      </c>
      <c r="C329" s="337">
        <f t="shared" si="72"/>
        <v>52139</v>
      </c>
      <c r="D329" s="484">
        <f t="shared" si="75"/>
        <v>2042</v>
      </c>
      <c r="E329" s="484">
        <f t="shared" si="73"/>
        <v>0.75</v>
      </c>
      <c r="F329" s="484">
        <f t="shared" si="76"/>
        <v>2042.75</v>
      </c>
      <c r="G329" s="485" t="str">
        <f>IF(OR(C329&lt;$I$2,C329&gt;$J$3),"",(ii!$D$13*12+V329+1)/12)</f>
        <v/>
      </c>
      <c r="H329" s="486"/>
      <c r="I329" s="486"/>
      <c r="J329" s="487"/>
      <c r="K329" s="488"/>
      <c r="L329" s="548"/>
      <c r="M329" s="489" t="str">
        <f t="shared" si="77"/>
        <v/>
      </c>
      <c r="N329" s="490" t="s">
        <v>621</v>
      </c>
      <c r="O329" s="490" t="str">
        <f t="shared" ref="O329:O392" si="84">IF(OR(N329="",N328=""),"",N329-N328)</f>
        <v/>
      </c>
      <c r="P329" s="491"/>
      <c r="Q329" s="491"/>
      <c r="R329" s="491" t="str">
        <f t="shared" ref="R329:R392" si="85">IF(OR(P329="",P328=""),"",P329-P328)</f>
        <v/>
      </c>
      <c r="S329" s="528" t="str">
        <f t="shared" si="83"/>
        <v/>
      </c>
      <c r="T329" s="528" t="str">
        <f t="shared" si="81"/>
        <v/>
      </c>
      <c r="U329" s="493" t="str">
        <f>IF(H329="","",#REF!*12+#REF!+#REF!*12+#REF!)</f>
        <v/>
      </c>
      <c r="V329" s="338">
        <f>IF(ii!$J$3&gt;gg!C329,"",IF(AND((YEAR(C329)=YEAR($I$2)),MONTH(C329)=MONTH($I$2)),ii!$B$14*12+ii!$C$14+ii!$B$15*12+ii!$C$15-1,V328+1))</f>
        <v>222</v>
      </c>
      <c r="W329" s="339">
        <f t="shared" si="74"/>
        <v>18.5</v>
      </c>
      <c r="X329" s="494" t="s">
        <v>621</v>
      </c>
      <c r="Y329" s="495" t="s">
        <v>621</v>
      </c>
      <c r="Z329" s="496"/>
      <c r="AA329" s="497"/>
      <c r="AB329" s="498" t="e">
        <f t="shared" si="80"/>
        <v>#VALUE!</v>
      </c>
      <c r="AC329" s="484" t="str">
        <f t="shared" si="78"/>
        <v/>
      </c>
      <c r="AD329" s="495" t="str">
        <f t="shared" si="79"/>
        <v/>
      </c>
      <c r="AE329" s="499" t="s">
        <v>621</v>
      </c>
      <c r="AF329" s="500" t="s">
        <v>621</v>
      </c>
      <c r="AG329" s="556" t="s">
        <v>621</v>
      </c>
      <c r="AH329" s="503" t="str">
        <f>IF($G329="","",IF(AND($G329&gt;=30,$AT$3&lt;=AG$7),ROUND(AG329*($AP$3+#REF!),-1),""))</f>
        <v/>
      </c>
      <c r="AI329" s="506" t="s">
        <v>621</v>
      </c>
      <c r="AJ329" s="503" t="str">
        <f>IF($G329="","",IF(AND($G329&gt;=30,$AT$3&lt;=AI$7),ROUND(AI329*($AP$3+#REF!),-1),""))</f>
        <v/>
      </c>
      <c r="AK329" s="506" t="s">
        <v>621</v>
      </c>
      <c r="AL329" s="503" t="str">
        <f>IF($G329="","",IF(AND($G329&gt;=30,$AT$3&lt;=AK$7),ROUND(AK329*($AP$3+#REF!),-1),""))</f>
        <v/>
      </c>
      <c r="AM329" s="506" t="s">
        <v>621</v>
      </c>
      <c r="AN329" s="503" t="str">
        <f>IF($G329="","",IF(AND($G329&gt;=30,$AT$3&lt;=AM$7),ROUND(AM329*($AP$3+#REF!),-1),""))</f>
        <v/>
      </c>
      <c r="AO329" s="503" t="e">
        <v>#REF!</v>
      </c>
      <c r="AP329" s="503" t="str">
        <f>IF($G329="","",IF(AND($G329&gt;=30,$AT$3&lt;=AO$7),ROUND(AO329*($AP$3+#REF!),-1),""))</f>
        <v/>
      </c>
      <c r="AQ329" s="503" t="s">
        <v>621</v>
      </c>
      <c r="AR329" s="503" t="str">
        <f>IF($G329="","",IF(AND($G329&gt;=30,$AT$3&lt;=AQ$7),ROUND(AQ329*($AP$3+#REF!),-1),""))</f>
        <v/>
      </c>
      <c r="AS329" s="503" t="s">
        <v>621</v>
      </c>
      <c r="AT329" s="503" t="str">
        <f>IF($G329="","",IF(AND($G329&gt;=30,$AT$3&lt;=AS$7),ROUND(AS329*($AP$3+#REF!),-1),""))</f>
        <v/>
      </c>
      <c r="AU329" s="503" t="s">
        <v>621</v>
      </c>
      <c r="AV329" s="503" t="str">
        <f>IF($G329="","",IF(AND($G329&gt;=30,$AT$3&lt;=AU$7),ROUND(AU329*($AP$3+#REF!),-1),""))</f>
        <v/>
      </c>
      <c r="AW329" s="503" t="s">
        <v>621</v>
      </c>
      <c r="AX329" s="503" t="str">
        <f>IF($G329="","",IF(AND($G329&gt;=30,$AT$3&lt;=AW$7),ROUND(AW329*($AP$3+#REF!),-1),""))</f>
        <v/>
      </c>
      <c r="AY329" s="503" t="s">
        <v>621</v>
      </c>
      <c r="AZ329" s="503" t="str">
        <f>IF($G329="","",IF(AND($G329&gt;=30,$AT$3&lt;=AY$7),ROUND(AY329*($AP$3+#REF!),-1),""))</f>
        <v/>
      </c>
      <c r="BA329" s="503" t="s">
        <v>621</v>
      </c>
      <c r="BB329" s="503" t="str">
        <f>IF($G329="","",IF(AND($G329&gt;=30,$AT$3&lt;=BA$7),ROUND(BA329*($AP$3+#REF!),-1),""))</f>
        <v/>
      </c>
      <c r="BC329" s="503" t="s">
        <v>621</v>
      </c>
      <c r="BD329" s="503" t="str">
        <f>IF($G329="","",IF(AND($G329&gt;=30,$AT$3&lt;=BC$7),ROUND(BC329*($AP$3+#REF!),-1),""))</f>
        <v/>
      </c>
      <c r="BE329" s="503" t="s">
        <v>621</v>
      </c>
      <c r="BF329" s="503" t="str">
        <f>IF($G329="","",IF(AND($G329&gt;=30,$AT$3&lt;=BE$7),ROUND(BE329*($AP$3+#REF!),-1),""))</f>
        <v/>
      </c>
      <c r="BG329" s="503" t="s">
        <v>621</v>
      </c>
      <c r="BH329" s="503" t="str">
        <f>IF($G329="","",IF(AND($G329&gt;=30,$AT$3&lt;=BG$7),ROUND(BG329*($AP$3+#REF!),-1),""))</f>
        <v/>
      </c>
      <c r="BI329" s="503" t="s">
        <v>621</v>
      </c>
      <c r="BJ329" s="503" t="str">
        <f>IF($G329="","",IF(AND($G329&gt;=30,$AT$3&lt;=BI$7),ROUND(BI329*($AP$3+#REF!),-1),""))</f>
        <v/>
      </c>
      <c r="BK329" s="503" t="s">
        <v>621</v>
      </c>
      <c r="BL329" s="503" t="str">
        <f>IF($G329="","",IF(AND($G329&gt;=30,$AT$3&lt;=BK$7),ROUND(BK329*($AP$3+#REF!),-1),""))</f>
        <v/>
      </c>
      <c r="BM329" s="503" t="s">
        <v>621</v>
      </c>
      <c r="BN329" s="503" t="str">
        <f>IF($G329="","",IF(AND($G329&gt;=30,$AT$3&lt;=BM$7),ROUND(BM329*($AP$3+#REF!),-1),""))</f>
        <v/>
      </c>
      <c r="BO329" s="503" t="s">
        <v>621</v>
      </c>
      <c r="BP329" s="503" t="str">
        <f>IF($G329="","",IF(AND($G329&gt;=30,$AT$3&lt;=BO$7),ROUND(BO329*($AP$3+#REF!),-1),""))</f>
        <v/>
      </c>
      <c r="BQ329" s="503" t="s">
        <v>621</v>
      </c>
      <c r="BR329" s="503" t="str">
        <f>IF($G329="","",IF(AND($G329&gt;=30,$AT$3&lt;=BQ$7),ROUND(BQ329*($AP$3+#REF!),-1),""))</f>
        <v/>
      </c>
      <c r="BS329" s="503" t="s">
        <v>621</v>
      </c>
      <c r="BT329" s="503" t="str">
        <f>IF($G329="","",IF(AND($G329&gt;=30,$AT$3&lt;=BS$7),ROUND(BS329*($AP$3+#REF!),-1),""))</f>
        <v/>
      </c>
      <c r="BU329" s="503" t="s">
        <v>621</v>
      </c>
      <c r="BV329" s="503" t="str">
        <f>IF($G329="","",IF(AND($G329&gt;=30,$AT$3&lt;=BU$7),ROUND(BU329*($AP$3+#REF!),-1),""))</f>
        <v/>
      </c>
      <c r="BW329" s="503" t="s">
        <v>621</v>
      </c>
      <c r="BX329" s="503" t="str">
        <f>IF($G329="","",IF(AND($G329&gt;=30,$AT$3&lt;=BW$7),ROUND(BW329*($AP$3+#REF!),-1),""))</f>
        <v/>
      </c>
      <c r="BY329" s="503" t="s">
        <v>621</v>
      </c>
      <c r="BZ329" s="503" t="str">
        <f>IF($G329="","",IF(AND($G329&gt;=30,$AT$3&lt;=BY$7),ROUND(BY329*($AP$3+#REF!),-1),""))</f>
        <v/>
      </c>
      <c r="CA329" s="503" t="s">
        <v>621</v>
      </c>
      <c r="CB329" s="503" t="str">
        <f>IF($G329="","",IF(AND($G329&gt;=30,$AT$3&lt;=CA$7),ROUND(CA329*($AP$3+#REF!),-1),""))</f>
        <v/>
      </c>
      <c r="CC329" s="503" t="s">
        <v>621</v>
      </c>
      <c r="CD329" s="503" t="str">
        <f>IF($G329="","",IF(AND($G329&gt;=30,$AT$3&lt;=CC$7),ROUND(CC329*($AP$3+#REF!),-1),""))</f>
        <v/>
      </c>
      <c r="CE329" s="503" t="s">
        <v>621</v>
      </c>
      <c r="CF329" s="503" t="str">
        <f>IF($G329="","",IF(AND($G329&gt;=30,$AT$3&lt;=CE$7),ROUND(CE329*($AP$3+#REF!),-1),""))</f>
        <v/>
      </c>
      <c r="CG329" s="517" t="e">
        <v>#REF!</v>
      </c>
      <c r="CH329" s="503" t="str">
        <f>IF($G329="","",IF(AND($G329&gt;=30,$AT$3&lt;=CG$7),ROUND(CG329*($AP$3+#REF!),-1),""))</f>
        <v/>
      </c>
      <c r="CI329" s="517"/>
      <c r="CJ329" s="503" t="str">
        <f>IF($G329="","",IF(AND($G329&gt;=30,$AT$3&lt;=CI$7),ROUND(CI329*($AP$3+#REF!),-1),""))</f>
        <v/>
      </c>
      <c r="CK329" s="517"/>
      <c r="CL329" s="503" t="str">
        <f>IF($G329="","",IF(AND($G329&gt;=30,$AT$3&lt;=CK$7),ROUND(CK329*($AP$3+#REF!),-1),""))</f>
        <v/>
      </c>
      <c r="CM329" s="517"/>
      <c r="CN329" s="503" t="str">
        <f>IF($G329="","",IF(AND($G329&gt;=30,$AT$3&lt;=CM$7),ROUND(CM329*($AP$3+#REF!),-1),""))</f>
        <v/>
      </c>
      <c r="CO329" s="517"/>
      <c r="CP329" s="503" t="str">
        <f>IF($G329="","",IF(AND($G329&gt;=30,$AT$3&lt;=CO$7),ROUND(CO329*($AP$3+#REF!),-1),""))</f>
        <v/>
      </c>
      <c r="CQ329" s="517"/>
      <c r="CR329" s="503" t="str">
        <f>IF($G329="","",IF(AND($G329&gt;=30,$AT$3&lt;=CQ$7),ROUND(CQ329*($AP$3+#REF!),-1),""))</f>
        <v/>
      </c>
      <c r="CS329" s="517"/>
      <c r="CT329" s="503" t="str">
        <f>IF($G329="","",IF(AND($G329&gt;=30,$AT$3&lt;=CS$7),ROUND(CS329*($AP$3+#REF!),-1),""))</f>
        <v/>
      </c>
      <c r="CU329" s="517"/>
      <c r="CV329" s="503" t="str">
        <f>IF($G329="","",IF(AND($G329&gt;=30,$AT$3&lt;=CU$7),ROUND(CU329*($AP$3+#REF!),-1),""))</f>
        <v/>
      </c>
      <c r="CW329" s="517"/>
      <c r="CX329" s="503" t="str">
        <f>IF($G329="","",IF(AND($G329&gt;=30,$AT$3&lt;=CW$7),ROUND(CW329*($AP$3+#REF!),-1),""))</f>
        <v/>
      </c>
      <c r="CY329" s="517"/>
      <c r="CZ329" s="503" t="str">
        <f>IF($G329="","",IF(AND($G329&gt;=30,$AT$3&lt;=CY$7),ROUND(CY329*($AP$3+#REF!),-1),""))</f>
        <v/>
      </c>
      <c r="DA329" s="517"/>
      <c r="DB329" s="503" t="str">
        <f>IF($G329="","",IF(AND($G329&gt;=30,$AT$3&lt;=DA$7),ROUND(DA329*($AP$3+#REF!),-1),""))</f>
        <v/>
      </c>
      <c r="DC329" s="517"/>
      <c r="DD329" s="503" t="str">
        <f>IF($G329="","",IF(AND($G329&gt;=30,$AT$3&lt;=DC$7),ROUND(DC329*($AP$3+#REF!),-1),""))</f>
        <v/>
      </c>
      <c r="DE329" s="517"/>
      <c r="DF329" s="503" t="str">
        <f>IF($G329="","",IF(AND($G329&gt;=30,$AT$3&lt;=DE$7),ROUND(DE329*($AP$3+#REF!),-1),""))</f>
        <v/>
      </c>
      <c r="DG329" s="517"/>
      <c r="DH329" s="503" t="str">
        <f>IF($G329="","",IF(AND($G329&gt;=30,$AT$3&lt;=DG$7),ROUND(DG329*($AP$3+#REF!),-1),""))</f>
        <v/>
      </c>
      <c r="DI329" s="517"/>
      <c r="DJ329" s="503" t="str">
        <f>IF($G329="","",IF(AND($G329&gt;=30,$AT$3&lt;=DI$7),ROUND(DI329*($AP$3+#REF!),-1),""))</f>
        <v/>
      </c>
      <c r="DK329" s="517"/>
      <c r="DL329" s="503" t="str">
        <f>IF($G329="","",IF(AND($G329&gt;=30,$AT$3&lt;=DK$7),ROUND(DK329*($AP$3+#REF!),-1),""))</f>
        <v/>
      </c>
      <c r="DM329" s="517"/>
      <c r="DN329" s="503" t="str">
        <f>IF($G329="","",IF(AND($G329&gt;=30,$AT$3&lt;=DM$7),ROUND(DM329*($AP$3+#REF!),-1),""))</f>
        <v/>
      </c>
      <c r="DO329" s="517"/>
      <c r="DP329" s="503" t="str">
        <f>IF($G329="","",IF(AND($G329&gt;=30,$AT$3&lt;=DO$7),ROUND(DO329*($AP$3+#REF!),-1),""))</f>
        <v/>
      </c>
      <c r="DQ329" s="517"/>
      <c r="DR329" s="503" t="str">
        <f>IF($G329="","",IF(AND($G329&gt;=30,$AT$3&lt;=DQ$7),ROUND(DQ329*($AP$3+#REF!),-1),""))</f>
        <v/>
      </c>
      <c r="DS329" s="517"/>
      <c r="DT329" s="503" t="str">
        <f>IF($G329="","",IF(AND($G329&gt;=30,$AT$3&lt;=DS$7),ROUND(DS329*($AP$3+#REF!),-1),""))</f>
        <v/>
      </c>
      <c r="DU329" s="517"/>
      <c r="DV329" s="503" t="str">
        <f>IF($G329="","",IF(AND($G329&gt;=30,$AT$3&lt;=DU$7),ROUND(DU329*($AP$3+#REF!),-1),""))</f>
        <v/>
      </c>
      <c r="DW329" s="517"/>
      <c r="DX329" s="503" t="str">
        <f>IF($G329="","",IF(AND($G329&gt;=30,$AT$3&lt;=DW$7),ROUND(DW329*($AP$3+#REF!),-1),""))</f>
        <v/>
      </c>
      <c r="DY329" s="517"/>
      <c r="DZ329" s="503" t="str">
        <f>IF($G329="","",IF(AND($G329&gt;=30,$AT$3&lt;=DY$7),ROUND(DY329*($AP$3+#REF!),-1),""))</f>
        <v/>
      </c>
      <c r="EA329" s="517"/>
      <c r="EB329" s="503" t="str">
        <f>IF($G329="","",IF(AND($G329&gt;=30,$AT$3&lt;=EA$7),ROUND(EA329*($AP$3+#REF!),-1),""))</f>
        <v/>
      </c>
      <c r="EC329" s="504" t="s">
        <v>621</v>
      </c>
      <c r="ED329" s="1124"/>
      <c r="EE329" s="325">
        <v>9</v>
      </c>
    </row>
    <row r="330" spans="1:135" ht="9.75" customHeight="1">
      <c r="A330" s="321" t="str">
        <f t="shared" si="82"/>
        <v/>
      </c>
      <c r="B330" s="567">
        <f>(ii!$D$13*12+V330)+1</f>
        <v>224</v>
      </c>
      <c r="C330" s="337">
        <f t="shared" si="72"/>
        <v>52170</v>
      </c>
      <c r="D330" s="484">
        <f t="shared" si="75"/>
        <v>2042</v>
      </c>
      <c r="E330" s="484">
        <f t="shared" si="73"/>
        <v>0.83333333333333337</v>
      </c>
      <c r="F330" s="484">
        <f t="shared" si="76"/>
        <v>2042.8333333333333</v>
      </c>
      <c r="G330" s="485" t="str">
        <f>IF(OR(C330&lt;$I$2,C330&gt;$J$3),"",(ii!$D$13*12+V330+1)/12)</f>
        <v/>
      </c>
      <c r="H330" s="486"/>
      <c r="I330" s="486"/>
      <c r="J330" s="487"/>
      <c r="K330" s="488"/>
      <c r="L330" s="548"/>
      <c r="M330" s="489" t="str">
        <f t="shared" si="77"/>
        <v/>
      </c>
      <c r="N330" s="490" t="s">
        <v>621</v>
      </c>
      <c r="O330" s="490" t="str">
        <f t="shared" si="84"/>
        <v/>
      </c>
      <c r="P330" s="491"/>
      <c r="Q330" s="491"/>
      <c r="R330" s="491" t="str">
        <f t="shared" si="85"/>
        <v/>
      </c>
      <c r="S330" s="528" t="str">
        <f t="shared" si="83"/>
        <v/>
      </c>
      <c r="T330" s="528" t="str">
        <f t="shared" si="81"/>
        <v/>
      </c>
      <c r="U330" s="493" t="str">
        <f>IF(H330="","",#REF!*12+#REF!+#REF!*12+#REF!)</f>
        <v/>
      </c>
      <c r="V330" s="338">
        <f>IF(ii!$J$3&gt;gg!C330,"",IF(AND((YEAR(C330)=YEAR($I$2)),MONTH(C330)=MONTH($I$2)),ii!$B$14*12+ii!$C$14+ii!$B$15*12+ii!$C$15-1,V329+1))</f>
        <v>223</v>
      </c>
      <c r="W330" s="339">
        <f t="shared" si="74"/>
        <v>18.583333333333332</v>
      </c>
      <c r="X330" s="494" t="s">
        <v>621</v>
      </c>
      <c r="Y330" s="495" t="s">
        <v>621</v>
      </c>
      <c r="Z330" s="496"/>
      <c r="AA330" s="497"/>
      <c r="AB330" s="498" t="e">
        <f t="shared" si="80"/>
        <v>#VALUE!</v>
      </c>
      <c r="AC330" s="484" t="str">
        <f t="shared" si="78"/>
        <v/>
      </c>
      <c r="AD330" s="495" t="str">
        <f t="shared" si="79"/>
        <v/>
      </c>
      <c r="AE330" s="499" t="s">
        <v>621</v>
      </c>
      <c r="AF330" s="500" t="s">
        <v>621</v>
      </c>
      <c r="AG330" s="556" t="s">
        <v>621</v>
      </c>
      <c r="AH330" s="503" t="str">
        <f>IF($G330="","",IF(AND($G330&gt;=30,$AT$3&lt;=AG$7),ROUND(AG330*($AP$3+#REF!),-1),""))</f>
        <v/>
      </c>
      <c r="AI330" s="506" t="s">
        <v>621</v>
      </c>
      <c r="AJ330" s="503" t="str">
        <f>IF($G330="","",IF(AND($G330&gt;=30,$AT$3&lt;=AI$7),ROUND(AI330*($AP$3+#REF!),-1),""))</f>
        <v/>
      </c>
      <c r="AK330" s="506" t="s">
        <v>621</v>
      </c>
      <c r="AL330" s="503" t="str">
        <f>IF($G330="","",IF(AND($G330&gt;=30,$AT$3&lt;=AK$7),ROUND(AK330*($AP$3+#REF!),-1),""))</f>
        <v/>
      </c>
      <c r="AM330" s="506" t="s">
        <v>621</v>
      </c>
      <c r="AN330" s="503" t="str">
        <f>IF($G330="","",IF(AND($G330&gt;=30,$AT$3&lt;=AM$7),ROUND(AM330*($AP$3+#REF!),-1),""))</f>
        <v/>
      </c>
      <c r="AO330" s="503" t="e">
        <v>#REF!</v>
      </c>
      <c r="AP330" s="503" t="str">
        <f>IF($G330="","",IF(AND($G330&gt;=30,$AT$3&lt;=AO$7),ROUND(AO330*($AP$3+#REF!),-1),""))</f>
        <v/>
      </c>
      <c r="AQ330" s="503" t="s">
        <v>621</v>
      </c>
      <c r="AR330" s="503" t="str">
        <f>IF($G330="","",IF(AND($G330&gt;=30,$AT$3&lt;=AQ$7),ROUND(AQ330*($AP$3+#REF!),-1),""))</f>
        <v/>
      </c>
      <c r="AS330" s="503" t="s">
        <v>621</v>
      </c>
      <c r="AT330" s="503" t="str">
        <f>IF($G330="","",IF(AND($G330&gt;=30,$AT$3&lt;=AS$7),ROUND(AS330*($AP$3+#REF!),-1),""))</f>
        <v/>
      </c>
      <c r="AU330" s="503" t="s">
        <v>621</v>
      </c>
      <c r="AV330" s="503" t="str">
        <f>IF($G330="","",IF(AND($G330&gt;=30,$AT$3&lt;=AU$7),ROUND(AU330*($AP$3+#REF!),-1),""))</f>
        <v/>
      </c>
      <c r="AW330" s="503" t="s">
        <v>621</v>
      </c>
      <c r="AX330" s="503" t="str">
        <f>IF($G330="","",IF(AND($G330&gt;=30,$AT$3&lt;=AW$7),ROUND(AW330*($AP$3+#REF!),-1),""))</f>
        <v/>
      </c>
      <c r="AY330" s="503" t="s">
        <v>621</v>
      </c>
      <c r="AZ330" s="503" t="str">
        <f>IF($G330="","",IF(AND($G330&gt;=30,$AT$3&lt;=AY$7),ROUND(AY330*($AP$3+#REF!),-1),""))</f>
        <v/>
      </c>
      <c r="BA330" s="503" t="s">
        <v>621</v>
      </c>
      <c r="BB330" s="503" t="str">
        <f>IF($G330="","",IF(AND($G330&gt;=30,$AT$3&lt;=BA$7),ROUND(BA330*($AP$3+#REF!),-1),""))</f>
        <v/>
      </c>
      <c r="BC330" s="503" t="s">
        <v>621</v>
      </c>
      <c r="BD330" s="503" t="str">
        <f>IF($G330="","",IF(AND($G330&gt;=30,$AT$3&lt;=BC$7),ROUND(BC330*($AP$3+#REF!),-1),""))</f>
        <v/>
      </c>
      <c r="BE330" s="503" t="s">
        <v>621</v>
      </c>
      <c r="BF330" s="503" t="str">
        <f>IF($G330="","",IF(AND($G330&gt;=30,$AT$3&lt;=BE$7),ROUND(BE330*($AP$3+#REF!),-1),""))</f>
        <v/>
      </c>
      <c r="BG330" s="503" t="s">
        <v>621</v>
      </c>
      <c r="BH330" s="503" t="str">
        <f>IF($G330="","",IF(AND($G330&gt;=30,$AT$3&lt;=BG$7),ROUND(BG330*($AP$3+#REF!),-1),""))</f>
        <v/>
      </c>
      <c r="BI330" s="503" t="s">
        <v>621</v>
      </c>
      <c r="BJ330" s="503" t="str">
        <f>IF($G330="","",IF(AND($G330&gt;=30,$AT$3&lt;=BI$7),ROUND(BI330*($AP$3+#REF!),-1),""))</f>
        <v/>
      </c>
      <c r="BK330" s="503" t="s">
        <v>621</v>
      </c>
      <c r="BL330" s="503" t="str">
        <f>IF($G330="","",IF(AND($G330&gt;=30,$AT$3&lt;=BK$7),ROUND(BK330*($AP$3+#REF!),-1),""))</f>
        <v/>
      </c>
      <c r="BM330" s="503" t="s">
        <v>621</v>
      </c>
      <c r="BN330" s="503" t="str">
        <f>IF($G330="","",IF(AND($G330&gt;=30,$AT$3&lt;=BM$7),ROUND(BM330*($AP$3+#REF!),-1),""))</f>
        <v/>
      </c>
      <c r="BO330" s="503" t="s">
        <v>621</v>
      </c>
      <c r="BP330" s="503" t="str">
        <f>IF($G330="","",IF(AND($G330&gt;=30,$AT$3&lt;=BO$7),ROUND(BO330*($AP$3+#REF!),-1),""))</f>
        <v/>
      </c>
      <c r="BQ330" s="503" t="s">
        <v>621</v>
      </c>
      <c r="BR330" s="503" t="str">
        <f>IF($G330="","",IF(AND($G330&gt;=30,$AT$3&lt;=BQ$7),ROUND(BQ330*($AP$3+#REF!),-1),""))</f>
        <v/>
      </c>
      <c r="BS330" s="503" t="s">
        <v>621</v>
      </c>
      <c r="BT330" s="503" t="str">
        <f>IF($G330="","",IF(AND($G330&gt;=30,$AT$3&lt;=BS$7),ROUND(BS330*($AP$3+#REF!),-1),""))</f>
        <v/>
      </c>
      <c r="BU330" s="503" t="s">
        <v>621</v>
      </c>
      <c r="BV330" s="503" t="str">
        <f>IF($G330="","",IF(AND($G330&gt;=30,$AT$3&lt;=BU$7),ROUND(BU330*($AP$3+#REF!),-1),""))</f>
        <v/>
      </c>
      <c r="BW330" s="503" t="s">
        <v>621</v>
      </c>
      <c r="BX330" s="503" t="str">
        <f>IF($G330="","",IF(AND($G330&gt;=30,$AT$3&lt;=BW$7),ROUND(BW330*($AP$3+#REF!),-1),""))</f>
        <v/>
      </c>
      <c r="BY330" s="503" t="s">
        <v>621</v>
      </c>
      <c r="BZ330" s="503" t="str">
        <f>IF($G330="","",IF(AND($G330&gt;=30,$AT$3&lt;=BY$7),ROUND(BY330*($AP$3+#REF!),-1),""))</f>
        <v/>
      </c>
      <c r="CA330" s="503" t="s">
        <v>621</v>
      </c>
      <c r="CB330" s="503" t="str">
        <f>IF($G330="","",IF(AND($G330&gt;=30,$AT$3&lt;=CA$7),ROUND(CA330*($AP$3+#REF!),-1),""))</f>
        <v/>
      </c>
      <c r="CC330" s="503" t="s">
        <v>621</v>
      </c>
      <c r="CD330" s="503" t="str">
        <f>IF($G330="","",IF(AND($G330&gt;=30,$AT$3&lt;=CC$7),ROUND(CC330*($AP$3+#REF!),-1),""))</f>
        <v/>
      </c>
      <c r="CE330" s="503" t="s">
        <v>621</v>
      </c>
      <c r="CF330" s="503" t="str">
        <f>IF($G330="","",IF(AND($G330&gt;=30,$AT$3&lt;=CE$7),ROUND(CE330*($AP$3+#REF!),-1),""))</f>
        <v/>
      </c>
      <c r="CG330" s="517" t="e">
        <v>#REF!</v>
      </c>
      <c r="CH330" s="503" t="str">
        <f>IF($G330="","",IF(AND($G330&gt;=30,$AT$3&lt;=CG$7),ROUND(CG330*($AP$3+#REF!),-1),""))</f>
        <v/>
      </c>
      <c r="CI330" s="517"/>
      <c r="CJ330" s="503" t="str">
        <f>IF($G330="","",IF(AND($G330&gt;=30,$AT$3&lt;=CI$7),ROUND(CI330*($AP$3+#REF!),-1),""))</f>
        <v/>
      </c>
      <c r="CK330" s="517"/>
      <c r="CL330" s="503" t="str">
        <f>IF($G330="","",IF(AND($G330&gt;=30,$AT$3&lt;=CK$7),ROUND(CK330*($AP$3+#REF!),-1),""))</f>
        <v/>
      </c>
      <c r="CM330" s="517"/>
      <c r="CN330" s="503" t="str">
        <f>IF($G330="","",IF(AND($G330&gt;=30,$AT$3&lt;=CM$7),ROUND(CM330*($AP$3+#REF!),-1),""))</f>
        <v/>
      </c>
      <c r="CO330" s="517"/>
      <c r="CP330" s="503" t="str">
        <f>IF($G330="","",IF(AND($G330&gt;=30,$AT$3&lt;=CO$7),ROUND(CO330*($AP$3+#REF!),-1),""))</f>
        <v/>
      </c>
      <c r="CQ330" s="517"/>
      <c r="CR330" s="503" t="str">
        <f>IF($G330="","",IF(AND($G330&gt;=30,$AT$3&lt;=CQ$7),ROUND(CQ330*($AP$3+#REF!),-1),""))</f>
        <v/>
      </c>
      <c r="CS330" s="517"/>
      <c r="CT330" s="503" t="str">
        <f>IF($G330="","",IF(AND($G330&gt;=30,$AT$3&lt;=CS$7),ROUND(CS330*($AP$3+#REF!),-1),""))</f>
        <v/>
      </c>
      <c r="CU330" s="517"/>
      <c r="CV330" s="503" t="str">
        <f>IF($G330="","",IF(AND($G330&gt;=30,$AT$3&lt;=CU$7),ROUND(CU330*($AP$3+#REF!),-1),""))</f>
        <v/>
      </c>
      <c r="CW330" s="517"/>
      <c r="CX330" s="503" t="str">
        <f>IF($G330="","",IF(AND($G330&gt;=30,$AT$3&lt;=CW$7),ROUND(CW330*($AP$3+#REF!),-1),""))</f>
        <v/>
      </c>
      <c r="CY330" s="517"/>
      <c r="CZ330" s="503" t="str">
        <f>IF($G330="","",IF(AND($G330&gt;=30,$AT$3&lt;=CY$7),ROUND(CY330*($AP$3+#REF!),-1),""))</f>
        <v/>
      </c>
      <c r="DA330" s="517"/>
      <c r="DB330" s="503" t="str">
        <f>IF($G330="","",IF(AND($G330&gt;=30,$AT$3&lt;=DA$7),ROUND(DA330*($AP$3+#REF!),-1),""))</f>
        <v/>
      </c>
      <c r="DC330" s="517"/>
      <c r="DD330" s="503" t="str">
        <f>IF($G330="","",IF(AND($G330&gt;=30,$AT$3&lt;=DC$7),ROUND(DC330*($AP$3+#REF!),-1),""))</f>
        <v/>
      </c>
      <c r="DE330" s="517"/>
      <c r="DF330" s="503" t="str">
        <f>IF($G330="","",IF(AND($G330&gt;=30,$AT$3&lt;=DE$7),ROUND(DE330*($AP$3+#REF!),-1),""))</f>
        <v/>
      </c>
      <c r="DG330" s="517"/>
      <c r="DH330" s="503" t="str">
        <f>IF($G330="","",IF(AND($G330&gt;=30,$AT$3&lt;=DG$7),ROUND(DG330*($AP$3+#REF!),-1),""))</f>
        <v/>
      </c>
      <c r="DI330" s="517"/>
      <c r="DJ330" s="503" t="str">
        <f>IF($G330="","",IF(AND($G330&gt;=30,$AT$3&lt;=DI$7),ROUND(DI330*($AP$3+#REF!),-1),""))</f>
        <v/>
      </c>
      <c r="DK330" s="517"/>
      <c r="DL330" s="503" t="str">
        <f>IF($G330="","",IF(AND($G330&gt;=30,$AT$3&lt;=DK$7),ROUND(DK330*($AP$3+#REF!),-1),""))</f>
        <v/>
      </c>
      <c r="DM330" s="517"/>
      <c r="DN330" s="503" t="str">
        <f>IF($G330="","",IF(AND($G330&gt;=30,$AT$3&lt;=DM$7),ROUND(DM330*($AP$3+#REF!),-1),""))</f>
        <v/>
      </c>
      <c r="DO330" s="517"/>
      <c r="DP330" s="503" t="str">
        <f>IF($G330="","",IF(AND($G330&gt;=30,$AT$3&lt;=DO$7),ROUND(DO330*($AP$3+#REF!),-1),""))</f>
        <v/>
      </c>
      <c r="DQ330" s="517"/>
      <c r="DR330" s="503" t="str">
        <f>IF($G330="","",IF(AND($G330&gt;=30,$AT$3&lt;=DQ$7),ROUND(DQ330*($AP$3+#REF!),-1),""))</f>
        <v/>
      </c>
      <c r="DS330" s="517"/>
      <c r="DT330" s="503" t="str">
        <f>IF($G330="","",IF(AND($G330&gt;=30,$AT$3&lt;=DS$7),ROUND(DS330*($AP$3+#REF!),-1),""))</f>
        <v/>
      </c>
      <c r="DU330" s="517"/>
      <c r="DV330" s="503" t="str">
        <f>IF($G330="","",IF(AND($G330&gt;=30,$AT$3&lt;=DU$7),ROUND(DU330*($AP$3+#REF!),-1),""))</f>
        <v/>
      </c>
      <c r="DW330" s="517"/>
      <c r="DX330" s="503" t="str">
        <f>IF($G330="","",IF(AND($G330&gt;=30,$AT$3&lt;=DW$7),ROUND(DW330*($AP$3+#REF!),-1),""))</f>
        <v/>
      </c>
      <c r="DY330" s="517"/>
      <c r="DZ330" s="503" t="str">
        <f>IF($G330="","",IF(AND($G330&gt;=30,$AT$3&lt;=DY$7),ROUND(DY330*($AP$3+#REF!),-1),""))</f>
        <v/>
      </c>
      <c r="EA330" s="517"/>
      <c r="EB330" s="503" t="str">
        <f>IF($G330="","",IF(AND($G330&gt;=30,$AT$3&lt;=EA$7),ROUND(EA330*($AP$3+#REF!),-1),""))</f>
        <v/>
      </c>
      <c r="EC330" s="504" t="s">
        <v>621</v>
      </c>
      <c r="ED330" s="1124"/>
      <c r="EE330" s="325">
        <v>10</v>
      </c>
    </row>
    <row r="331" spans="1:135" ht="9.75" customHeight="1">
      <c r="A331" s="321" t="str">
        <f t="shared" si="82"/>
        <v/>
      </c>
      <c r="B331" s="567">
        <f>(ii!$D$13*12+V331)+1</f>
        <v>225</v>
      </c>
      <c r="C331" s="337">
        <f t="shared" ref="C331:C394" si="86">EOMONTH(C330,1)</f>
        <v>52200</v>
      </c>
      <c r="D331" s="484">
        <f t="shared" si="75"/>
        <v>2042</v>
      </c>
      <c r="E331" s="484">
        <f t="shared" si="73"/>
        <v>0.91666666666666663</v>
      </c>
      <c r="F331" s="484">
        <f t="shared" si="76"/>
        <v>2042.9166666666667</v>
      </c>
      <c r="G331" s="485" t="str">
        <f>IF(OR(C331&lt;$I$2,C331&gt;$J$3),"",(ii!$D$13*12+V331+1)/12)</f>
        <v/>
      </c>
      <c r="H331" s="486"/>
      <c r="I331" s="486"/>
      <c r="J331" s="487"/>
      <c r="K331" s="488"/>
      <c r="L331" s="548"/>
      <c r="M331" s="489" t="str">
        <f t="shared" si="77"/>
        <v/>
      </c>
      <c r="N331" s="490" t="s">
        <v>621</v>
      </c>
      <c r="O331" s="490" t="str">
        <f t="shared" si="84"/>
        <v/>
      </c>
      <c r="P331" s="491"/>
      <c r="Q331" s="491"/>
      <c r="R331" s="491" t="str">
        <f t="shared" si="85"/>
        <v/>
      </c>
      <c r="S331" s="528" t="str">
        <f t="shared" si="83"/>
        <v/>
      </c>
      <c r="T331" s="528" t="str">
        <f t="shared" si="81"/>
        <v/>
      </c>
      <c r="U331" s="493" t="str">
        <f>IF(H331="","",#REF!*12+#REF!+#REF!*12+#REF!)</f>
        <v/>
      </c>
      <c r="V331" s="338">
        <f>IF(ii!$J$3&gt;gg!C331,"",IF(AND((YEAR(C331)=YEAR($I$2)),MONTH(C331)=MONTH($I$2)),ii!$B$14*12+ii!$C$14+ii!$B$15*12+ii!$C$15-1,V330+1))</f>
        <v>224</v>
      </c>
      <c r="W331" s="339">
        <f t="shared" si="74"/>
        <v>18.666666666666668</v>
      </c>
      <c r="X331" s="494" t="s">
        <v>621</v>
      </c>
      <c r="Y331" s="495" t="s">
        <v>621</v>
      </c>
      <c r="Z331" s="496"/>
      <c r="AA331" s="497"/>
      <c r="AB331" s="498" t="e">
        <f t="shared" si="80"/>
        <v>#VALUE!</v>
      </c>
      <c r="AC331" s="484" t="str">
        <f t="shared" si="78"/>
        <v/>
      </c>
      <c r="AD331" s="495" t="str">
        <f t="shared" si="79"/>
        <v/>
      </c>
      <c r="AE331" s="499" t="s">
        <v>621</v>
      </c>
      <c r="AF331" s="500" t="s">
        <v>621</v>
      </c>
      <c r="AG331" s="556" t="s">
        <v>621</v>
      </c>
      <c r="AH331" s="503" t="str">
        <f>IF($G331="","",IF(AND($G331&gt;=30,$AT$3&lt;=AG$7),ROUND(AG331*($AP$3+#REF!),-1),""))</f>
        <v/>
      </c>
      <c r="AI331" s="506" t="s">
        <v>621</v>
      </c>
      <c r="AJ331" s="503" t="str">
        <f>IF($G331="","",IF(AND($G331&gt;=30,$AT$3&lt;=AI$7),ROUND(AI331*($AP$3+#REF!),-1),""))</f>
        <v/>
      </c>
      <c r="AK331" s="506" t="s">
        <v>621</v>
      </c>
      <c r="AL331" s="503" t="str">
        <f>IF($G331="","",IF(AND($G331&gt;=30,$AT$3&lt;=AK$7),ROUND(AK331*($AP$3+#REF!),-1),""))</f>
        <v/>
      </c>
      <c r="AM331" s="506" t="s">
        <v>621</v>
      </c>
      <c r="AN331" s="503" t="str">
        <f>IF($G331="","",IF(AND($G331&gt;=30,$AT$3&lt;=AM$7),ROUND(AM331*($AP$3+#REF!),-1),""))</f>
        <v/>
      </c>
      <c r="AO331" s="503" t="e">
        <v>#REF!</v>
      </c>
      <c r="AP331" s="503" t="str">
        <f>IF($G331="","",IF(AND($G331&gt;=30,$AT$3&lt;=AO$7),ROUND(AO331*($AP$3+#REF!),-1),""))</f>
        <v/>
      </c>
      <c r="AQ331" s="503" t="s">
        <v>621</v>
      </c>
      <c r="AR331" s="503" t="str">
        <f>IF($G331="","",IF(AND($G331&gt;=30,$AT$3&lt;=AQ$7),ROUND(AQ331*($AP$3+#REF!),-1),""))</f>
        <v/>
      </c>
      <c r="AS331" s="503" t="s">
        <v>621</v>
      </c>
      <c r="AT331" s="503" t="str">
        <f>IF($G331="","",IF(AND($G331&gt;=30,$AT$3&lt;=AS$7),ROUND(AS331*($AP$3+#REF!),-1),""))</f>
        <v/>
      </c>
      <c r="AU331" s="503" t="s">
        <v>621</v>
      </c>
      <c r="AV331" s="503" t="str">
        <f>IF($G331="","",IF(AND($G331&gt;=30,$AT$3&lt;=AU$7),ROUND(AU331*($AP$3+#REF!),-1),""))</f>
        <v/>
      </c>
      <c r="AW331" s="503" t="s">
        <v>621</v>
      </c>
      <c r="AX331" s="503" t="str">
        <f>IF($G331="","",IF(AND($G331&gt;=30,$AT$3&lt;=AW$7),ROUND(AW331*($AP$3+#REF!),-1),""))</f>
        <v/>
      </c>
      <c r="AY331" s="503" t="s">
        <v>621</v>
      </c>
      <c r="AZ331" s="503" t="str">
        <f>IF($G331="","",IF(AND($G331&gt;=30,$AT$3&lt;=AY$7),ROUND(AY331*($AP$3+#REF!),-1),""))</f>
        <v/>
      </c>
      <c r="BA331" s="503" t="s">
        <v>621</v>
      </c>
      <c r="BB331" s="503" t="str">
        <f>IF($G331="","",IF(AND($G331&gt;=30,$AT$3&lt;=BA$7),ROUND(BA331*($AP$3+#REF!),-1),""))</f>
        <v/>
      </c>
      <c r="BC331" s="503" t="s">
        <v>621</v>
      </c>
      <c r="BD331" s="503" t="str">
        <f>IF($G331="","",IF(AND($G331&gt;=30,$AT$3&lt;=BC$7),ROUND(BC331*($AP$3+#REF!),-1),""))</f>
        <v/>
      </c>
      <c r="BE331" s="503" t="s">
        <v>621</v>
      </c>
      <c r="BF331" s="503" t="str">
        <f>IF($G331="","",IF(AND($G331&gt;=30,$AT$3&lt;=BE$7),ROUND(BE331*($AP$3+#REF!),-1),""))</f>
        <v/>
      </c>
      <c r="BG331" s="503" t="s">
        <v>621</v>
      </c>
      <c r="BH331" s="503" t="str">
        <f>IF($G331="","",IF(AND($G331&gt;=30,$AT$3&lt;=BG$7),ROUND(BG331*($AP$3+#REF!),-1),""))</f>
        <v/>
      </c>
      <c r="BI331" s="503" t="s">
        <v>621</v>
      </c>
      <c r="BJ331" s="503" t="str">
        <f>IF($G331="","",IF(AND($G331&gt;=30,$AT$3&lt;=BI$7),ROUND(BI331*($AP$3+#REF!),-1),""))</f>
        <v/>
      </c>
      <c r="BK331" s="503" t="s">
        <v>621</v>
      </c>
      <c r="BL331" s="503" t="str">
        <f>IF($G331="","",IF(AND($G331&gt;=30,$AT$3&lt;=BK$7),ROUND(BK331*($AP$3+#REF!),-1),""))</f>
        <v/>
      </c>
      <c r="BM331" s="503" t="s">
        <v>621</v>
      </c>
      <c r="BN331" s="503" t="str">
        <f>IF($G331="","",IF(AND($G331&gt;=30,$AT$3&lt;=BM$7),ROUND(BM331*($AP$3+#REF!),-1),""))</f>
        <v/>
      </c>
      <c r="BO331" s="503" t="s">
        <v>621</v>
      </c>
      <c r="BP331" s="503" t="str">
        <f>IF($G331="","",IF(AND($G331&gt;=30,$AT$3&lt;=BO$7),ROUND(BO331*($AP$3+#REF!),-1),""))</f>
        <v/>
      </c>
      <c r="BQ331" s="503" t="s">
        <v>621</v>
      </c>
      <c r="BR331" s="503" t="str">
        <f>IF($G331="","",IF(AND($G331&gt;=30,$AT$3&lt;=BQ$7),ROUND(BQ331*($AP$3+#REF!),-1),""))</f>
        <v/>
      </c>
      <c r="BS331" s="503" t="s">
        <v>621</v>
      </c>
      <c r="BT331" s="503" t="str">
        <f>IF($G331="","",IF(AND($G331&gt;=30,$AT$3&lt;=BS$7),ROUND(BS331*($AP$3+#REF!),-1),""))</f>
        <v/>
      </c>
      <c r="BU331" s="503" t="s">
        <v>621</v>
      </c>
      <c r="BV331" s="503" t="str">
        <f>IF($G331="","",IF(AND($G331&gt;=30,$AT$3&lt;=BU$7),ROUND(BU331*($AP$3+#REF!),-1),""))</f>
        <v/>
      </c>
      <c r="BW331" s="503" t="s">
        <v>621</v>
      </c>
      <c r="BX331" s="503" t="str">
        <f>IF($G331="","",IF(AND($G331&gt;=30,$AT$3&lt;=BW$7),ROUND(BW331*($AP$3+#REF!),-1),""))</f>
        <v/>
      </c>
      <c r="BY331" s="503" t="s">
        <v>621</v>
      </c>
      <c r="BZ331" s="503" t="str">
        <f>IF($G331="","",IF(AND($G331&gt;=30,$AT$3&lt;=BY$7),ROUND(BY331*($AP$3+#REF!),-1),""))</f>
        <v/>
      </c>
      <c r="CA331" s="503" t="s">
        <v>621</v>
      </c>
      <c r="CB331" s="503" t="str">
        <f>IF($G331="","",IF(AND($G331&gt;=30,$AT$3&lt;=CA$7),ROUND(CA331*($AP$3+#REF!),-1),""))</f>
        <v/>
      </c>
      <c r="CC331" s="503" t="s">
        <v>621</v>
      </c>
      <c r="CD331" s="503" t="str">
        <f>IF($G331="","",IF(AND($G331&gt;=30,$AT$3&lt;=CC$7),ROUND(CC331*($AP$3+#REF!),-1),""))</f>
        <v/>
      </c>
      <c r="CE331" s="503" t="s">
        <v>621</v>
      </c>
      <c r="CF331" s="503" t="str">
        <f>IF($G331="","",IF(AND($G331&gt;=30,$AT$3&lt;=CE$7),ROUND(CE331*($AP$3+#REF!),-1),""))</f>
        <v/>
      </c>
      <c r="CG331" s="517" t="e">
        <v>#REF!</v>
      </c>
      <c r="CH331" s="503" t="str">
        <f>IF($G331="","",IF(AND($G331&gt;=30,$AT$3&lt;=CG$7),ROUND(CG331*($AP$3+#REF!),-1),""))</f>
        <v/>
      </c>
      <c r="CI331" s="517"/>
      <c r="CJ331" s="503" t="str">
        <f>IF($G331="","",IF(AND($G331&gt;=30,$AT$3&lt;=CI$7),ROUND(CI331*($AP$3+#REF!),-1),""))</f>
        <v/>
      </c>
      <c r="CK331" s="517"/>
      <c r="CL331" s="503" t="str">
        <f>IF($G331="","",IF(AND($G331&gt;=30,$AT$3&lt;=CK$7),ROUND(CK331*($AP$3+#REF!),-1),""))</f>
        <v/>
      </c>
      <c r="CM331" s="517"/>
      <c r="CN331" s="503" t="str">
        <f>IF($G331="","",IF(AND($G331&gt;=30,$AT$3&lt;=CM$7),ROUND(CM331*($AP$3+#REF!),-1),""))</f>
        <v/>
      </c>
      <c r="CO331" s="517"/>
      <c r="CP331" s="503" t="str">
        <f>IF($G331="","",IF(AND($G331&gt;=30,$AT$3&lt;=CO$7),ROUND(CO331*($AP$3+#REF!),-1),""))</f>
        <v/>
      </c>
      <c r="CQ331" s="517"/>
      <c r="CR331" s="503" t="str">
        <f>IF($G331="","",IF(AND($G331&gt;=30,$AT$3&lt;=CQ$7),ROUND(CQ331*($AP$3+#REF!),-1),""))</f>
        <v/>
      </c>
      <c r="CS331" s="517"/>
      <c r="CT331" s="503" t="str">
        <f>IF($G331="","",IF(AND($G331&gt;=30,$AT$3&lt;=CS$7),ROUND(CS331*($AP$3+#REF!),-1),""))</f>
        <v/>
      </c>
      <c r="CU331" s="517"/>
      <c r="CV331" s="503" t="str">
        <f>IF($G331="","",IF(AND($G331&gt;=30,$AT$3&lt;=CU$7),ROUND(CU331*($AP$3+#REF!),-1),""))</f>
        <v/>
      </c>
      <c r="CW331" s="517"/>
      <c r="CX331" s="503" t="str">
        <f>IF($G331="","",IF(AND($G331&gt;=30,$AT$3&lt;=CW$7),ROUND(CW331*($AP$3+#REF!),-1),""))</f>
        <v/>
      </c>
      <c r="CY331" s="517"/>
      <c r="CZ331" s="503" t="str">
        <f>IF($G331="","",IF(AND($G331&gt;=30,$AT$3&lt;=CY$7),ROUND(CY331*($AP$3+#REF!),-1),""))</f>
        <v/>
      </c>
      <c r="DA331" s="517"/>
      <c r="DB331" s="503" t="str">
        <f>IF($G331="","",IF(AND($G331&gt;=30,$AT$3&lt;=DA$7),ROUND(DA331*($AP$3+#REF!),-1),""))</f>
        <v/>
      </c>
      <c r="DC331" s="517"/>
      <c r="DD331" s="503" t="str">
        <f>IF($G331="","",IF(AND($G331&gt;=30,$AT$3&lt;=DC$7),ROUND(DC331*($AP$3+#REF!),-1),""))</f>
        <v/>
      </c>
      <c r="DE331" s="517"/>
      <c r="DF331" s="503" t="str">
        <f>IF($G331="","",IF(AND($G331&gt;=30,$AT$3&lt;=DE$7),ROUND(DE331*($AP$3+#REF!),-1),""))</f>
        <v/>
      </c>
      <c r="DG331" s="517"/>
      <c r="DH331" s="503" t="str">
        <f>IF($G331="","",IF(AND($G331&gt;=30,$AT$3&lt;=DG$7),ROUND(DG331*($AP$3+#REF!),-1),""))</f>
        <v/>
      </c>
      <c r="DI331" s="517"/>
      <c r="DJ331" s="503" t="str">
        <f>IF($G331="","",IF(AND($G331&gt;=30,$AT$3&lt;=DI$7),ROUND(DI331*($AP$3+#REF!),-1),""))</f>
        <v/>
      </c>
      <c r="DK331" s="517"/>
      <c r="DL331" s="503" t="str">
        <f>IF($G331="","",IF(AND($G331&gt;=30,$AT$3&lt;=DK$7),ROUND(DK331*($AP$3+#REF!),-1),""))</f>
        <v/>
      </c>
      <c r="DM331" s="517"/>
      <c r="DN331" s="503" t="str">
        <f>IF($G331="","",IF(AND($G331&gt;=30,$AT$3&lt;=DM$7),ROUND(DM331*($AP$3+#REF!),-1),""))</f>
        <v/>
      </c>
      <c r="DO331" s="517"/>
      <c r="DP331" s="503" t="str">
        <f>IF($G331="","",IF(AND($G331&gt;=30,$AT$3&lt;=DO$7),ROUND(DO331*($AP$3+#REF!),-1),""))</f>
        <v/>
      </c>
      <c r="DQ331" s="517"/>
      <c r="DR331" s="503" t="str">
        <f>IF($G331="","",IF(AND($G331&gt;=30,$AT$3&lt;=DQ$7),ROUND(DQ331*($AP$3+#REF!),-1),""))</f>
        <v/>
      </c>
      <c r="DS331" s="517"/>
      <c r="DT331" s="503" t="str">
        <f>IF($G331="","",IF(AND($G331&gt;=30,$AT$3&lt;=DS$7),ROUND(DS331*($AP$3+#REF!),-1),""))</f>
        <v/>
      </c>
      <c r="DU331" s="517"/>
      <c r="DV331" s="503" t="str">
        <f>IF($G331="","",IF(AND($G331&gt;=30,$AT$3&lt;=DU$7),ROUND(DU331*($AP$3+#REF!),-1),""))</f>
        <v/>
      </c>
      <c r="DW331" s="517"/>
      <c r="DX331" s="503" t="str">
        <f>IF($G331="","",IF(AND($G331&gt;=30,$AT$3&lt;=DW$7),ROUND(DW331*($AP$3+#REF!),-1),""))</f>
        <v/>
      </c>
      <c r="DY331" s="517"/>
      <c r="DZ331" s="503" t="str">
        <f>IF($G331="","",IF(AND($G331&gt;=30,$AT$3&lt;=DY$7),ROUND(DY331*($AP$3+#REF!),-1),""))</f>
        <v/>
      </c>
      <c r="EA331" s="517"/>
      <c r="EB331" s="503" t="str">
        <f>IF($G331="","",IF(AND($G331&gt;=30,$AT$3&lt;=EA$7),ROUND(EA331*($AP$3+#REF!),-1),""))</f>
        <v/>
      </c>
      <c r="EC331" s="504" t="s">
        <v>621</v>
      </c>
      <c r="ED331" s="1124"/>
      <c r="EE331" s="325">
        <v>11</v>
      </c>
    </row>
    <row r="332" spans="1:135" ht="9.75" customHeight="1">
      <c r="A332" s="321" t="str">
        <f t="shared" si="82"/>
        <v/>
      </c>
      <c r="B332" s="567">
        <f>(ii!$D$13*12+V332)+1</f>
        <v>226</v>
      </c>
      <c r="C332" s="337">
        <f t="shared" si="86"/>
        <v>52231</v>
      </c>
      <c r="D332" s="484">
        <f t="shared" si="75"/>
        <v>2042</v>
      </c>
      <c r="E332" s="484">
        <f t="shared" si="73"/>
        <v>1</v>
      </c>
      <c r="F332" s="484">
        <f t="shared" si="76"/>
        <v>2043</v>
      </c>
      <c r="G332" s="485" t="str">
        <f>IF(OR(C332&lt;$I$2,C332&gt;$J$3),"",(ii!$D$13*12+V332+1)/12)</f>
        <v/>
      </c>
      <c r="H332" s="486"/>
      <c r="I332" s="486"/>
      <c r="J332" s="487"/>
      <c r="K332" s="488"/>
      <c r="L332" s="548"/>
      <c r="M332" s="489" t="str">
        <f t="shared" si="77"/>
        <v/>
      </c>
      <c r="N332" s="490" t="s">
        <v>621</v>
      </c>
      <c r="O332" s="490" t="str">
        <f t="shared" si="84"/>
        <v/>
      </c>
      <c r="P332" s="491"/>
      <c r="Q332" s="491"/>
      <c r="R332" s="491" t="str">
        <f t="shared" si="85"/>
        <v/>
      </c>
      <c r="S332" s="528" t="str">
        <f t="shared" si="83"/>
        <v/>
      </c>
      <c r="T332" s="528" t="str">
        <f t="shared" si="81"/>
        <v/>
      </c>
      <c r="U332" s="493" t="str">
        <f>IF(H332="","",#REF!*12+#REF!+#REF!*12+#REF!)</f>
        <v/>
      </c>
      <c r="V332" s="338">
        <f>IF(ii!$J$3&gt;gg!C332,"",IF(AND((YEAR(C332)=YEAR($I$2)),MONTH(C332)=MONTH($I$2)),ii!$B$14*12+ii!$C$14+ii!$B$15*12+ii!$C$15-1,V331+1))</f>
        <v>225</v>
      </c>
      <c r="W332" s="339">
        <f t="shared" si="74"/>
        <v>18.75</v>
      </c>
      <c r="X332" s="494" t="s">
        <v>621</v>
      </c>
      <c r="Y332" s="495" t="s">
        <v>621</v>
      </c>
      <c r="Z332" s="496"/>
      <c r="AA332" s="497"/>
      <c r="AB332" s="498" t="e">
        <f t="shared" si="80"/>
        <v>#VALUE!</v>
      </c>
      <c r="AC332" s="484" t="str">
        <f t="shared" si="78"/>
        <v/>
      </c>
      <c r="AD332" s="495" t="str">
        <f t="shared" si="79"/>
        <v/>
      </c>
      <c r="AE332" s="499" t="s">
        <v>621</v>
      </c>
      <c r="AF332" s="500" t="s">
        <v>621</v>
      </c>
      <c r="AG332" s="556" t="s">
        <v>621</v>
      </c>
      <c r="AH332" s="503" t="str">
        <f>IF($G332="","",IF(AND($G332&gt;=30,$AT$3&lt;=AG$7),ROUND(AG332*($AP$3+#REF!),-1),""))</f>
        <v/>
      </c>
      <c r="AI332" s="506" t="s">
        <v>621</v>
      </c>
      <c r="AJ332" s="503" t="str">
        <f>IF($G332="","",IF(AND($G332&gt;=30,$AT$3&lt;=AI$7),ROUND(AI332*($AP$3+#REF!),-1),""))</f>
        <v/>
      </c>
      <c r="AK332" s="506" t="s">
        <v>621</v>
      </c>
      <c r="AL332" s="503" t="str">
        <f>IF($G332="","",IF(AND($G332&gt;=30,$AT$3&lt;=AK$7),ROUND(AK332*($AP$3+#REF!),-1),""))</f>
        <v/>
      </c>
      <c r="AM332" s="506" t="s">
        <v>621</v>
      </c>
      <c r="AN332" s="503" t="str">
        <f>IF($G332="","",IF(AND($G332&gt;=30,$AT$3&lt;=AM$7),ROUND(AM332*($AP$3+#REF!),-1),""))</f>
        <v/>
      </c>
      <c r="AO332" s="503" t="e">
        <v>#REF!</v>
      </c>
      <c r="AP332" s="503" t="str">
        <f>IF($G332="","",IF(AND($G332&gt;=30,$AT$3&lt;=AO$7),ROUND(AO332*($AP$3+#REF!),-1),""))</f>
        <v/>
      </c>
      <c r="AQ332" s="503" t="s">
        <v>621</v>
      </c>
      <c r="AR332" s="503" t="str">
        <f>IF($G332="","",IF(AND($G332&gt;=30,$AT$3&lt;=AQ$7),ROUND(AQ332*($AP$3+#REF!),-1),""))</f>
        <v/>
      </c>
      <c r="AS332" s="503" t="s">
        <v>621</v>
      </c>
      <c r="AT332" s="503" t="str">
        <f>IF($G332="","",IF(AND($G332&gt;=30,$AT$3&lt;=AS$7),ROUND(AS332*($AP$3+#REF!),-1),""))</f>
        <v/>
      </c>
      <c r="AU332" s="503" t="s">
        <v>621</v>
      </c>
      <c r="AV332" s="503" t="str">
        <f>IF($G332="","",IF(AND($G332&gt;=30,$AT$3&lt;=AU$7),ROUND(AU332*($AP$3+#REF!),-1),""))</f>
        <v/>
      </c>
      <c r="AW332" s="503" t="s">
        <v>621</v>
      </c>
      <c r="AX332" s="503" t="str">
        <f>IF($G332="","",IF(AND($G332&gt;=30,$AT$3&lt;=AW$7),ROUND(AW332*($AP$3+#REF!),-1),""))</f>
        <v/>
      </c>
      <c r="AY332" s="503" t="s">
        <v>621</v>
      </c>
      <c r="AZ332" s="503" t="str">
        <f>IF($G332="","",IF(AND($G332&gt;=30,$AT$3&lt;=AY$7),ROUND(AY332*($AP$3+#REF!),-1),""))</f>
        <v/>
      </c>
      <c r="BA332" s="503" t="s">
        <v>621</v>
      </c>
      <c r="BB332" s="503" t="str">
        <f>IF($G332="","",IF(AND($G332&gt;=30,$AT$3&lt;=BA$7),ROUND(BA332*($AP$3+#REF!),-1),""))</f>
        <v/>
      </c>
      <c r="BC332" s="503" t="s">
        <v>621</v>
      </c>
      <c r="BD332" s="503" t="str">
        <f>IF($G332="","",IF(AND($G332&gt;=30,$AT$3&lt;=BC$7),ROUND(BC332*($AP$3+#REF!),-1),""))</f>
        <v/>
      </c>
      <c r="BE332" s="503" t="s">
        <v>621</v>
      </c>
      <c r="BF332" s="503" t="str">
        <f>IF($G332="","",IF(AND($G332&gt;=30,$AT$3&lt;=BE$7),ROUND(BE332*($AP$3+#REF!),-1),""))</f>
        <v/>
      </c>
      <c r="BG332" s="503" t="s">
        <v>621</v>
      </c>
      <c r="BH332" s="503" t="str">
        <f>IF($G332="","",IF(AND($G332&gt;=30,$AT$3&lt;=BG$7),ROUND(BG332*($AP$3+#REF!),-1),""))</f>
        <v/>
      </c>
      <c r="BI332" s="503" t="s">
        <v>621</v>
      </c>
      <c r="BJ332" s="503" t="str">
        <f>IF($G332="","",IF(AND($G332&gt;=30,$AT$3&lt;=BI$7),ROUND(BI332*($AP$3+#REF!),-1),""))</f>
        <v/>
      </c>
      <c r="BK332" s="503" t="s">
        <v>621</v>
      </c>
      <c r="BL332" s="503" t="str">
        <f>IF($G332="","",IF(AND($G332&gt;=30,$AT$3&lt;=BK$7),ROUND(BK332*($AP$3+#REF!),-1),""))</f>
        <v/>
      </c>
      <c r="BM332" s="503" t="s">
        <v>621</v>
      </c>
      <c r="BN332" s="503" t="str">
        <f>IF($G332="","",IF(AND($G332&gt;=30,$AT$3&lt;=BM$7),ROUND(BM332*($AP$3+#REF!),-1),""))</f>
        <v/>
      </c>
      <c r="BO332" s="503" t="s">
        <v>621</v>
      </c>
      <c r="BP332" s="503" t="str">
        <f>IF($G332="","",IF(AND($G332&gt;=30,$AT$3&lt;=BO$7),ROUND(BO332*($AP$3+#REF!),-1),""))</f>
        <v/>
      </c>
      <c r="BQ332" s="503" t="s">
        <v>621</v>
      </c>
      <c r="BR332" s="503" t="str">
        <f>IF($G332="","",IF(AND($G332&gt;=30,$AT$3&lt;=BQ$7),ROUND(BQ332*($AP$3+#REF!),-1),""))</f>
        <v/>
      </c>
      <c r="BS332" s="503" t="s">
        <v>621</v>
      </c>
      <c r="BT332" s="503" t="str">
        <f>IF($G332="","",IF(AND($G332&gt;=30,$AT$3&lt;=BS$7),ROUND(BS332*($AP$3+#REF!),-1),""))</f>
        <v/>
      </c>
      <c r="BU332" s="503" t="s">
        <v>621</v>
      </c>
      <c r="BV332" s="503" t="str">
        <f>IF($G332="","",IF(AND($G332&gt;=30,$AT$3&lt;=BU$7),ROUND(BU332*($AP$3+#REF!),-1),""))</f>
        <v/>
      </c>
      <c r="BW332" s="503" t="s">
        <v>621</v>
      </c>
      <c r="BX332" s="503" t="str">
        <f>IF($G332="","",IF(AND($G332&gt;=30,$AT$3&lt;=BW$7),ROUND(BW332*($AP$3+#REF!),-1),""))</f>
        <v/>
      </c>
      <c r="BY332" s="503" t="s">
        <v>621</v>
      </c>
      <c r="BZ332" s="503" t="str">
        <f>IF($G332="","",IF(AND($G332&gt;=30,$AT$3&lt;=BY$7),ROUND(BY332*($AP$3+#REF!),-1),""))</f>
        <v/>
      </c>
      <c r="CA332" s="503" t="s">
        <v>621</v>
      </c>
      <c r="CB332" s="503" t="str">
        <f>IF($G332="","",IF(AND($G332&gt;=30,$AT$3&lt;=CA$7),ROUND(CA332*($AP$3+#REF!),-1),""))</f>
        <v/>
      </c>
      <c r="CC332" s="503" t="s">
        <v>621</v>
      </c>
      <c r="CD332" s="503" t="str">
        <f>IF($G332="","",IF(AND($G332&gt;=30,$AT$3&lt;=CC$7),ROUND(CC332*($AP$3+#REF!),-1),""))</f>
        <v/>
      </c>
      <c r="CE332" s="503" t="s">
        <v>621</v>
      </c>
      <c r="CF332" s="503" t="str">
        <f>IF($G332="","",IF(AND($G332&gt;=30,$AT$3&lt;=CE$7),ROUND(CE332*($AP$3+#REF!),-1),""))</f>
        <v/>
      </c>
      <c r="CG332" s="517" t="e">
        <v>#REF!</v>
      </c>
      <c r="CH332" s="503" t="str">
        <f>IF($G332="","",IF(AND($G332&gt;=30,$AT$3&lt;=CG$7),ROUND(CG332*($AP$3+#REF!),-1),""))</f>
        <v/>
      </c>
      <c r="CI332" s="517"/>
      <c r="CJ332" s="503" t="str">
        <f>IF($G332="","",IF(AND($G332&gt;=30,$AT$3&lt;=CI$7),ROUND(CI332*($AP$3+#REF!),-1),""))</f>
        <v/>
      </c>
      <c r="CK332" s="517"/>
      <c r="CL332" s="503" t="str">
        <f>IF($G332="","",IF(AND($G332&gt;=30,$AT$3&lt;=CK$7),ROUND(CK332*($AP$3+#REF!),-1),""))</f>
        <v/>
      </c>
      <c r="CM332" s="517"/>
      <c r="CN332" s="503" t="str">
        <f>IF($G332="","",IF(AND($G332&gt;=30,$AT$3&lt;=CM$7),ROUND(CM332*($AP$3+#REF!),-1),""))</f>
        <v/>
      </c>
      <c r="CO332" s="517"/>
      <c r="CP332" s="503" t="str">
        <f>IF($G332="","",IF(AND($G332&gt;=30,$AT$3&lt;=CO$7),ROUND(CO332*($AP$3+#REF!),-1),""))</f>
        <v/>
      </c>
      <c r="CQ332" s="517"/>
      <c r="CR332" s="503" t="str">
        <f>IF($G332="","",IF(AND($G332&gt;=30,$AT$3&lt;=CQ$7),ROUND(CQ332*($AP$3+#REF!),-1),""))</f>
        <v/>
      </c>
      <c r="CS332" s="517"/>
      <c r="CT332" s="503" t="str">
        <f>IF($G332="","",IF(AND($G332&gt;=30,$AT$3&lt;=CS$7),ROUND(CS332*($AP$3+#REF!),-1),""))</f>
        <v/>
      </c>
      <c r="CU332" s="517"/>
      <c r="CV332" s="503" t="str">
        <f>IF($G332="","",IF(AND($G332&gt;=30,$AT$3&lt;=CU$7),ROUND(CU332*($AP$3+#REF!),-1),""))</f>
        <v/>
      </c>
      <c r="CW332" s="517"/>
      <c r="CX332" s="503" t="str">
        <f>IF($G332="","",IF(AND($G332&gt;=30,$AT$3&lt;=CW$7),ROUND(CW332*($AP$3+#REF!),-1),""))</f>
        <v/>
      </c>
      <c r="CY332" s="517"/>
      <c r="CZ332" s="503" t="str">
        <f>IF($G332="","",IF(AND($G332&gt;=30,$AT$3&lt;=CY$7),ROUND(CY332*($AP$3+#REF!),-1),""))</f>
        <v/>
      </c>
      <c r="DA332" s="517"/>
      <c r="DB332" s="503" t="str">
        <f>IF($G332="","",IF(AND($G332&gt;=30,$AT$3&lt;=DA$7),ROUND(DA332*($AP$3+#REF!),-1),""))</f>
        <v/>
      </c>
      <c r="DC332" s="517"/>
      <c r="DD332" s="503" t="str">
        <f>IF($G332="","",IF(AND($G332&gt;=30,$AT$3&lt;=DC$7),ROUND(DC332*($AP$3+#REF!),-1),""))</f>
        <v/>
      </c>
      <c r="DE332" s="517"/>
      <c r="DF332" s="503" t="str">
        <f>IF($G332="","",IF(AND($G332&gt;=30,$AT$3&lt;=DE$7),ROUND(DE332*($AP$3+#REF!),-1),""))</f>
        <v/>
      </c>
      <c r="DG332" s="517"/>
      <c r="DH332" s="503" t="str">
        <f>IF($G332="","",IF(AND($G332&gt;=30,$AT$3&lt;=DG$7),ROUND(DG332*($AP$3+#REF!),-1),""))</f>
        <v/>
      </c>
      <c r="DI332" s="517"/>
      <c r="DJ332" s="503" t="str">
        <f>IF($G332="","",IF(AND($G332&gt;=30,$AT$3&lt;=DI$7),ROUND(DI332*($AP$3+#REF!),-1),""))</f>
        <v/>
      </c>
      <c r="DK332" s="517"/>
      <c r="DL332" s="503" t="str">
        <f>IF($G332="","",IF(AND($G332&gt;=30,$AT$3&lt;=DK$7),ROUND(DK332*($AP$3+#REF!),-1),""))</f>
        <v/>
      </c>
      <c r="DM332" s="517"/>
      <c r="DN332" s="503" t="str">
        <f>IF($G332="","",IF(AND($G332&gt;=30,$AT$3&lt;=DM$7),ROUND(DM332*($AP$3+#REF!),-1),""))</f>
        <v/>
      </c>
      <c r="DO332" s="517"/>
      <c r="DP332" s="503" t="str">
        <f>IF($G332="","",IF(AND($G332&gt;=30,$AT$3&lt;=DO$7),ROUND(DO332*($AP$3+#REF!),-1),""))</f>
        <v/>
      </c>
      <c r="DQ332" s="517"/>
      <c r="DR332" s="503" t="str">
        <f>IF($G332="","",IF(AND($G332&gt;=30,$AT$3&lt;=DQ$7),ROUND(DQ332*($AP$3+#REF!),-1),""))</f>
        <v/>
      </c>
      <c r="DS332" s="517"/>
      <c r="DT332" s="503" t="str">
        <f>IF($G332="","",IF(AND($G332&gt;=30,$AT$3&lt;=DS$7),ROUND(DS332*($AP$3+#REF!),-1),""))</f>
        <v/>
      </c>
      <c r="DU332" s="517"/>
      <c r="DV332" s="503" t="str">
        <f>IF($G332="","",IF(AND($G332&gt;=30,$AT$3&lt;=DU$7),ROUND(DU332*($AP$3+#REF!),-1),""))</f>
        <v/>
      </c>
      <c r="DW332" s="517"/>
      <c r="DX332" s="503" t="str">
        <f>IF($G332="","",IF(AND($G332&gt;=30,$AT$3&lt;=DW$7),ROUND(DW332*($AP$3+#REF!),-1),""))</f>
        <v/>
      </c>
      <c r="DY332" s="517"/>
      <c r="DZ332" s="503" t="str">
        <f>IF($G332="","",IF(AND($G332&gt;=30,$AT$3&lt;=DY$7),ROUND(DY332*($AP$3+#REF!),-1),""))</f>
        <v/>
      </c>
      <c r="EA332" s="517"/>
      <c r="EB332" s="503" t="str">
        <f>IF($G332="","",IF(AND($G332&gt;=30,$AT$3&lt;=EA$7),ROUND(EA332*($AP$3+#REF!),-1),""))</f>
        <v/>
      </c>
      <c r="EC332" s="504" t="s">
        <v>621</v>
      </c>
      <c r="ED332" s="1125"/>
      <c r="EE332" s="325">
        <v>12</v>
      </c>
    </row>
    <row r="333" spans="1:135" ht="9.75" customHeight="1">
      <c r="A333" s="321" t="str">
        <f t="shared" si="82"/>
        <v/>
      </c>
      <c r="B333" s="567">
        <f>(ii!$D$13*12+V333)+1</f>
        <v>227</v>
      </c>
      <c r="C333" s="345">
        <f t="shared" si="86"/>
        <v>52262</v>
      </c>
      <c r="D333" s="340">
        <f t="shared" si="75"/>
        <v>2043</v>
      </c>
      <c r="E333" s="340">
        <f t="shared" si="73"/>
        <v>8.3333333333333329E-2</v>
      </c>
      <c r="F333" s="340">
        <f t="shared" si="76"/>
        <v>2043.0833333333333</v>
      </c>
      <c r="G333" s="531" t="str">
        <f>IF(OR(C333&lt;$I$2,C333&gt;$J$3),"",(ii!$D$13*12+V333+1)/12)</f>
        <v/>
      </c>
      <c r="H333" s="532"/>
      <c r="I333" s="532"/>
      <c r="J333" s="533"/>
      <c r="K333" s="553"/>
      <c r="L333" s="534"/>
      <c r="M333" s="489" t="str">
        <f t="shared" si="77"/>
        <v/>
      </c>
      <c r="N333" s="536" t="s">
        <v>621</v>
      </c>
      <c r="O333" s="490" t="str">
        <f t="shared" si="84"/>
        <v/>
      </c>
      <c r="P333" s="537"/>
      <c r="Q333" s="537"/>
      <c r="R333" s="533" t="str">
        <f t="shared" si="85"/>
        <v/>
      </c>
      <c r="S333" s="538" t="str">
        <f t="shared" si="83"/>
        <v/>
      </c>
      <c r="T333" s="538" t="str">
        <f t="shared" si="81"/>
        <v/>
      </c>
      <c r="U333" s="539" t="str">
        <f>IF(H333="","",#REF!*12+#REF!+#REF!*12+#REF!)</f>
        <v/>
      </c>
      <c r="V333" s="338">
        <f>IF(ii!$J$3&gt;gg!C333,"",IF(AND((YEAR(C333)=YEAR($I$2)),MONTH(C333)=MONTH($I$2)),ii!$B$14*12+ii!$C$14+ii!$B$15*12+ii!$C$15-1,V332+1))</f>
        <v>226</v>
      </c>
      <c r="W333" s="339">
        <f t="shared" si="74"/>
        <v>18.833333333333332</v>
      </c>
      <c r="X333" s="540" t="s">
        <v>621</v>
      </c>
      <c r="Y333" s="538" t="s">
        <v>621</v>
      </c>
      <c r="Z333" s="541">
        <f>Z321+$Z$26</f>
        <v>0.75000000000000044</v>
      </c>
      <c r="AA333" s="542" t="str">
        <f>IF(Y333="","",(Y333-Y332)/Y332)</f>
        <v/>
      </c>
      <c r="AB333" s="543" t="e">
        <f t="shared" si="80"/>
        <v>#VALUE!</v>
      </c>
      <c r="AC333" s="544" t="str">
        <f t="shared" si="78"/>
        <v/>
      </c>
      <c r="AD333" s="538" t="str">
        <f t="shared" si="79"/>
        <v/>
      </c>
      <c r="AE333" s="545" t="s">
        <v>621</v>
      </c>
      <c r="AF333" s="546" t="s">
        <v>621</v>
      </c>
      <c r="AG333" s="558" t="s">
        <v>621</v>
      </c>
      <c r="AH333" s="547" t="str">
        <f>IF($G333="","",IF(AND($G333&gt;=30,$AT$3&lt;=AG$7),ROUND(AG333*($AP$3+#REF!),-1),""))</f>
        <v/>
      </c>
      <c r="AI333" s="558" t="s">
        <v>621</v>
      </c>
      <c r="AJ333" s="547" t="str">
        <f>IF($G333="","",IF(AND($G333&gt;=30,$AT$3&lt;=AI$7),ROUND(AI333*($AP$3+#REF!),-1),""))</f>
        <v/>
      </c>
      <c r="AK333" s="560" t="s">
        <v>621</v>
      </c>
      <c r="AL333" s="547" t="str">
        <f>IF($G333="","",IF(AND($G333&gt;=30,$AT$3&lt;=AK$7),ROUND(AK333*($AP$3+#REF!),-1),""))</f>
        <v/>
      </c>
      <c r="AM333" s="560" t="s">
        <v>621</v>
      </c>
      <c r="AN333" s="547" t="str">
        <f>IF($G333="","",IF(AND($G333&gt;=30,$AT$3&lt;=AM$7),ROUND(AM333*($AP$3+#REF!),-1),""))</f>
        <v/>
      </c>
      <c r="AO333" s="547" t="e">
        <v>#REF!</v>
      </c>
      <c r="AP333" s="547" t="str">
        <f>IF($G333="","",IF(AND($G333&gt;=30,$AT$3&lt;=AO$7),ROUND(AO333*($AP$3+#REF!),-1),""))</f>
        <v/>
      </c>
      <c r="AQ333" s="547" t="s">
        <v>621</v>
      </c>
      <c r="AR333" s="547" t="str">
        <f>IF($G333="","",IF(AND($G333&gt;=30,$AT$3&lt;=AQ$7),ROUND(AQ333*($AP$3+#REF!),-1),""))</f>
        <v/>
      </c>
      <c r="AS333" s="547" t="s">
        <v>621</v>
      </c>
      <c r="AT333" s="547" t="str">
        <f>IF($G333="","",IF(AND($G333&gt;=30,$AT$3&lt;=AS$7),ROUND(AS333*($AP$3+#REF!),-1),""))</f>
        <v/>
      </c>
      <c r="AU333" s="547" t="s">
        <v>621</v>
      </c>
      <c r="AV333" s="547" t="str">
        <f>IF($G333="","",IF(AND($G333&gt;=30,$AT$3&lt;=AU$7),ROUND(AU333*($AP$3+#REF!),-1),""))</f>
        <v/>
      </c>
      <c r="AW333" s="547" t="s">
        <v>621</v>
      </c>
      <c r="AX333" s="547" t="str">
        <f>IF($G333="","",IF(AND($G333&gt;=30,$AT$3&lt;=AW$7),ROUND(AW333*($AP$3+#REF!),-1),""))</f>
        <v/>
      </c>
      <c r="AY333" s="547" t="s">
        <v>621</v>
      </c>
      <c r="AZ333" s="547" t="str">
        <f>IF($G333="","",IF(AND($G333&gt;=30,$AT$3&lt;=AY$7),ROUND(AY333*($AP$3+#REF!),-1),""))</f>
        <v/>
      </c>
      <c r="BA333" s="547" t="s">
        <v>621</v>
      </c>
      <c r="BB333" s="547" t="str">
        <f>IF($G333="","",IF(AND($G333&gt;=30,$AT$3&lt;=BA$7),ROUND(BA333*($AP$3+#REF!),-1),""))</f>
        <v/>
      </c>
      <c r="BC333" s="547" t="s">
        <v>621</v>
      </c>
      <c r="BD333" s="547" t="str">
        <f>IF($G333="","",IF(AND($G333&gt;=30,$AT$3&lt;=BC$7),ROUND(BC333*($AP$3+#REF!),-1),""))</f>
        <v/>
      </c>
      <c r="BE333" s="547" t="s">
        <v>621</v>
      </c>
      <c r="BF333" s="547" t="str">
        <f>IF($G333="","",IF(AND($G333&gt;=30,$AT$3&lt;=BE$7),ROUND(BE333*($AP$3+#REF!),-1),""))</f>
        <v/>
      </c>
      <c r="BG333" s="547" t="s">
        <v>621</v>
      </c>
      <c r="BH333" s="547" t="str">
        <f>IF($G333="","",IF(AND($G333&gt;=30,$AT$3&lt;=BG$7),ROUND(BG333*($AP$3+#REF!),-1),""))</f>
        <v/>
      </c>
      <c r="BI333" s="547" t="s">
        <v>621</v>
      </c>
      <c r="BJ333" s="547" t="str">
        <f>IF($G333="","",IF(AND($G333&gt;=30,$AT$3&lt;=BI$7),ROUND(BI333*($AP$3+#REF!),-1),""))</f>
        <v/>
      </c>
      <c r="BK333" s="547" t="s">
        <v>621</v>
      </c>
      <c r="BL333" s="547" t="str">
        <f>IF($G333="","",IF(AND($G333&gt;=30,$AT$3&lt;=BK$7),ROUND(BK333*($AP$3+#REF!),-1),""))</f>
        <v/>
      </c>
      <c r="BM333" s="547" t="s">
        <v>621</v>
      </c>
      <c r="BN333" s="547" t="str">
        <f>IF($G333="","",IF(AND($G333&gt;=30,$AT$3&lt;=BM$7),ROUND(BM333*($AP$3+#REF!),-1),""))</f>
        <v/>
      </c>
      <c r="BO333" s="547" t="s">
        <v>621</v>
      </c>
      <c r="BP333" s="547" t="str">
        <f>IF($G333="","",IF(AND($G333&gt;=30,$AT$3&lt;=BO$7),ROUND(BO333*($AP$3+#REF!),-1),""))</f>
        <v/>
      </c>
      <c r="BQ333" s="547" t="s">
        <v>621</v>
      </c>
      <c r="BR333" s="547" t="str">
        <f>IF($G333="","",IF(AND($G333&gt;=30,$AT$3&lt;=BQ$7),ROUND(BQ333*($AP$3+#REF!),-1),""))</f>
        <v/>
      </c>
      <c r="BS333" s="547" t="s">
        <v>621</v>
      </c>
      <c r="BT333" s="547" t="str">
        <f>IF($G333="","",IF(AND($G333&gt;=30,$AT$3&lt;=BS$7),ROUND(BS333*($AP$3+#REF!),-1),""))</f>
        <v/>
      </c>
      <c r="BU333" s="547" t="s">
        <v>621</v>
      </c>
      <c r="BV333" s="547" t="str">
        <f>IF($G333="","",IF(AND($G333&gt;=30,$AT$3&lt;=BU$7),ROUND(BU333*($AP$3+#REF!),-1),""))</f>
        <v/>
      </c>
      <c r="BW333" s="547" t="s">
        <v>621</v>
      </c>
      <c r="BX333" s="547" t="str">
        <f>IF($G333="","",IF(AND($G333&gt;=30,$AT$3&lt;=BW$7),ROUND(BW333*($AP$3+#REF!),-1),""))</f>
        <v/>
      </c>
      <c r="BY333" s="547" t="s">
        <v>621</v>
      </c>
      <c r="BZ333" s="547" t="str">
        <f>IF($G333="","",IF(AND($G333&gt;=30,$AT$3&lt;=BY$7),ROUND(BY333*($AP$3+#REF!),-1),""))</f>
        <v/>
      </c>
      <c r="CA333" s="547" t="s">
        <v>621</v>
      </c>
      <c r="CB333" s="547" t="str">
        <f>IF($G333="","",IF(AND($G333&gt;=30,$AT$3&lt;=CA$7),ROUND(CA333*($AP$3+#REF!),-1),""))</f>
        <v/>
      </c>
      <c r="CC333" s="547" t="s">
        <v>621</v>
      </c>
      <c r="CD333" s="547" t="str">
        <f>IF($G333="","",IF(AND($G333&gt;=30,$AT$3&lt;=CC$7),ROUND(CC333*($AP$3+#REF!),-1),""))</f>
        <v/>
      </c>
      <c r="CE333" s="547" t="s">
        <v>621</v>
      </c>
      <c r="CF333" s="547" t="str">
        <f>IF($G333="","",IF(AND($G333&gt;=30,$AT$3&lt;=CE$7),ROUND(CE333*($AP$3+#REF!),-1),""))</f>
        <v/>
      </c>
      <c r="CG333" s="547" t="s">
        <v>621</v>
      </c>
      <c r="CH333" s="547" t="str">
        <f>IF($G333="","",IF(AND($G333&gt;=30,$AT$3&lt;=CG$7),ROUND(CG333*($AP$3+#REF!),-1),""))</f>
        <v/>
      </c>
      <c r="CI333" s="533" t="e">
        <v>#REF!</v>
      </c>
      <c r="CJ333" s="547" t="str">
        <f>IF($G333="","",IF(AND($G333&gt;=30,$AT$3&lt;=CI$7),ROUND(CI333*($AP$3+#REF!),-1),""))</f>
        <v/>
      </c>
      <c r="CK333" s="547"/>
      <c r="CL333" s="547" t="str">
        <f>IF($G333="","",IF(AND($G333&gt;=30,$AT$3&lt;=CK$7),ROUND(CK333*($AP$3+#REF!),-1),""))</f>
        <v/>
      </c>
      <c r="CM333" s="547"/>
      <c r="CN333" s="547" t="str">
        <f>IF($G333="","",IF(AND($G333&gt;=30,$AT$3&lt;=CM$7),ROUND(CM333*($AP$3+#REF!),-1),""))</f>
        <v/>
      </c>
      <c r="CO333" s="547"/>
      <c r="CP333" s="547" t="str">
        <f>IF($G333="","",IF(AND($G333&gt;=30,$AT$3&lt;=CO$7),ROUND(CO333*($AP$3+#REF!),-1),""))</f>
        <v/>
      </c>
      <c r="CQ333" s="547"/>
      <c r="CR333" s="547" t="str">
        <f>IF($G333="","",IF(AND($G333&gt;=30,$AT$3&lt;=CQ$7),ROUND(CQ333*($AP$3+#REF!),-1),""))</f>
        <v/>
      </c>
      <c r="CS333" s="547"/>
      <c r="CT333" s="547" t="str">
        <f>IF($G333="","",IF(AND($G333&gt;=30,$AT$3&lt;=CS$7),ROUND(CS333*($AP$3+#REF!),-1),""))</f>
        <v/>
      </c>
      <c r="CU333" s="547"/>
      <c r="CV333" s="547" t="str">
        <f>IF($G333="","",IF(AND($G333&gt;=30,$AT$3&lt;=CU$7),ROUND(CU333*($AP$3+#REF!),-1),""))</f>
        <v/>
      </c>
      <c r="CW333" s="547"/>
      <c r="CX333" s="547" t="str">
        <f>IF($G333="","",IF(AND($G333&gt;=30,$AT$3&lt;=CW$7),ROUND(CW333*($AP$3+#REF!),-1),""))</f>
        <v/>
      </c>
      <c r="CY333" s="547"/>
      <c r="CZ333" s="547" t="str">
        <f>IF($G333="","",IF(AND($G333&gt;=30,$AT$3&lt;=CY$7),ROUND(CY333*($AP$3+#REF!),-1),""))</f>
        <v/>
      </c>
      <c r="DA333" s="547"/>
      <c r="DB333" s="547" t="str">
        <f>IF($G333="","",IF(AND($G333&gt;=30,$AT$3&lt;=DA$7),ROUND(DA333*($AP$3+#REF!),-1),""))</f>
        <v/>
      </c>
      <c r="DC333" s="547"/>
      <c r="DD333" s="547" t="str">
        <f>IF($G333="","",IF(AND($G333&gt;=30,$AT$3&lt;=DC$7),ROUND(DC333*($AP$3+#REF!),-1),""))</f>
        <v/>
      </c>
      <c r="DE333" s="547"/>
      <c r="DF333" s="547" t="str">
        <f>IF($G333="","",IF(AND($G333&gt;=30,$AT$3&lt;=DE$7),ROUND(DE333*($AP$3+#REF!),-1),""))</f>
        <v/>
      </c>
      <c r="DG333" s="547"/>
      <c r="DH333" s="547" t="str">
        <f>IF($G333="","",IF(AND($G333&gt;=30,$AT$3&lt;=DG$7),ROUND(DG333*($AP$3+#REF!),-1),""))</f>
        <v/>
      </c>
      <c r="DI333" s="547"/>
      <c r="DJ333" s="547" t="str">
        <f>IF($G333="","",IF(AND($G333&gt;=30,$AT$3&lt;=DI$7),ROUND(DI333*($AP$3+#REF!),-1),""))</f>
        <v/>
      </c>
      <c r="DK333" s="547"/>
      <c r="DL333" s="547" t="str">
        <f>IF($G333="","",IF(AND($G333&gt;=30,$AT$3&lt;=DK$7),ROUND(DK333*($AP$3+#REF!),-1),""))</f>
        <v/>
      </c>
      <c r="DM333" s="547"/>
      <c r="DN333" s="547" t="str">
        <f>IF($G333="","",IF(AND($G333&gt;=30,$AT$3&lt;=DM$7),ROUND(DM333*($AP$3+#REF!),-1),""))</f>
        <v/>
      </c>
      <c r="DO333" s="547"/>
      <c r="DP333" s="547" t="str">
        <f>IF($G333="","",IF(AND($G333&gt;=30,$AT$3&lt;=DO$7),ROUND(DO333*($AP$3+#REF!),-1),""))</f>
        <v/>
      </c>
      <c r="DQ333" s="547"/>
      <c r="DR333" s="547" t="str">
        <f>IF($G333="","",IF(AND($G333&gt;=30,$AT$3&lt;=DQ$7),ROUND(DQ333*($AP$3+#REF!),-1),""))</f>
        <v/>
      </c>
      <c r="DS333" s="547"/>
      <c r="DT333" s="547" t="str">
        <f>IF($G333="","",IF(AND($G333&gt;=30,$AT$3&lt;=DS$7),ROUND(DS333*($AP$3+#REF!),-1),""))</f>
        <v/>
      </c>
      <c r="DU333" s="547"/>
      <c r="DV333" s="547" t="str">
        <f>IF($G333="","",IF(AND($G333&gt;=30,$AT$3&lt;=DU$7),ROUND(DU333*($AP$3+#REF!),-1),""))</f>
        <v/>
      </c>
      <c r="DW333" s="547"/>
      <c r="DX333" s="547" t="str">
        <f>IF($G333="","",IF(AND($G333&gt;=30,$AT$3&lt;=DW$7),ROUND(DW333*($AP$3+#REF!),-1),""))</f>
        <v/>
      </c>
      <c r="DY333" s="547"/>
      <c r="DZ333" s="547" t="str">
        <f>IF($G333="","",IF(AND($G333&gt;=30,$AT$3&lt;=DY$7),ROUND(DY333*($AP$3+#REF!),-1),""))</f>
        <v/>
      </c>
      <c r="EA333" s="547"/>
      <c r="EB333" s="547" t="str">
        <f>IF($G333="","",IF(AND($G333&gt;=30,$AT$3&lt;=EA$7),ROUND(EA333*($AP$3+#REF!),-1),""))</f>
        <v/>
      </c>
      <c r="EC333" s="547" t="s">
        <v>621</v>
      </c>
      <c r="ED333" s="1123">
        <f>SUM(EC333:EC344)</f>
        <v>0</v>
      </c>
      <c r="EE333" s="325">
        <v>1</v>
      </c>
    </row>
    <row r="334" spans="1:135" ht="9.75" customHeight="1">
      <c r="A334" s="321" t="str">
        <f t="shared" si="82"/>
        <v/>
      </c>
      <c r="B334" s="567">
        <f>(ii!$D$13*12+V334)+1</f>
        <v>228</v>
      </c>
      <c r="C334" s="337">
        <f t="shared" si="86"/>
        <v>52290</v>
      </c>
      <c r="D334" s="484">
        <f t="shared" si="75"/>
        <v>2043</v>
      </c>
      <c r="E334" s="484">
        <f t="shared" ref="E334:E397" si="87">MONTH(C334)/12</f>
        <v>0.16666666666666666</v>
      </c>
      <c r="F334" s="484">
        <f t="shared" si="76"/>
        <v>2043.1666666666667</v>
      </c>
      <c r="G334" s="485" t="str">
        <f>IF(OR(C334&lt;$I$2,C334&gt;$J$3),"",(ii!$D$13*12+V334+1)/12)</f>
        <v/>
      </c>
      <c r="H334" s="486"/>
      <c r="I334" s="486"/>
      <c r="J334" s="487"/>
      <c r="K334" s="488"/>
      <c r="L334" s="548"/>
      <c r="M334" s="489" t="str">
        <f t="shared" si="77"/>
        <v/>
      </c>
      <c r="N334" s="490" t="s">
        <v>621</v>
      </c>
      <c r="O334" s="490" t="str">
        <f t="shared" si="84"/>
        <v/>
      </c>
      <c r="P334" s="491"/>
      <c r="Q334" s="491"/>
      <c r="R334" s="491" t="str">
        <f t="shared" si="85"/>
        <v/>
      </c>
      <c r="S334" s="528" t="str">
        <f t="shared" si="83"/>
        <v/>
      </c>
      <c r="T334" s="528" t="str">
        <f t="shared" si="81"/>
        <v/>
      </c>
      <c r="U334" s="493" t="str">
        <f>IF(H334="","",#REF!*12+#REF!+#REF!*12+#REF!)</f>
        <v/>
      </c>
      <c r="V334" s="338">
        <f>IF(ii!$J$3&gt;gg!C334,"",IF(AND((YEAR(C334)=YEAR($I$2)),MONTH(C334)=MONTH($I$2)),ii!$B$14*12+ii!$C$14+ii!$B$15*12+ii!$C$15-1,V333+1))</f>
        <v>227</v>
      </c>
      <c r="W334" s="339">
        <f t="shared" si="74"/>
        <v>18.916666666666668</v>
      </c>
      <c r="X334" s="494" t="s">
        <v>621</v>
      </c>
      <c r="Y334" s="495" t="s">
        <v>621</v>
      </c>
      <c r="Z334" s="496"/>
      <c r="AA334" s="497"/>
      <c r="AB334" s="498" t="e">
        <f t="shared" si="80"/>
        <v>#VALUE!</v>
      </c>
      <c r="AC334" s="484" t="str">
        <f t="shared" si="78"/>
        <v/>
      </c>
      <c r="AD334" s="495" t="str">
        <f t="shared" si="79"/>
        <v/>
      </c>
      <c r="AE334" s="499" t="s">
        <v>621</v>
      </c>
      <c r="AF334" s="500" t="s">
        <v>621</v>
      </c>
      <c r="AG334" s="556" t="s">
        <v>621</v>
      </c>
      <c r="AH334" s="503" t="str">
        <f>IF($G334="","",IF(AND($G334&gt;=30,$AT$3&lt;=AG$7),ROUND(AG334*($AP$3+#REF!),-1),""))</f>
        <v/>
      </c>
      <c r="AI334" s="506" t="s">
        <v>621</v>
      </c>
      <c r="AJ334" s="503" t="str">
        <f>IF($G334="","",IF(AND($G334&gt;=30,$AT$3&lt;=AI$7),ROUND(AI334*($AP$3+#REF!),-1),""))</f>
        <v/>
      </c>
      <c r="AK334" s="506" t="s">
        <v>621</v>
      </c>
      <c r="AL334" s="503" t="str">
        <f>IF($G334="","",IF(AND($G334&gt;=30,$AT$3&lt;=AK$7),ROUND(AK334*($AP$3+#REF!),-1),""))</f>
        <v/>
      </c>
      <c r="AM334" s="506" t="s">
        <v>621</v>
      </c>
      <c r="AN334" s="503" t="str">
        <f>IF($G334="","",IF(AND($G334&gt;=30,$AT$3&lt;=AM$7),ROUND(AM334*($AP$3+#REF!),-1),""))</f>
        <v/>
      </c>
      <c r="AO334" s="503" t="e">
        <f>IF(AO333="","",AO333*1.001)</f>
        <v>#REF!</v>
      </c>
      <c r="AP334" s="503" t="str">
        <f>IF($G334="","",IF(AND($G334&gt;=30,$AT$3&lt;=AO$7),ROUND(AO334*($AP$3+#REF!),-1),""))</f>
        <v/>
      </c>
      <c r="AQ334" s="503" t="s">
        <v>621</v>
      </c>
      <c r="AR334" s="503" t="str">
        <f>IF($G334="","",IF(AND($G334&gt;=30,$AT$3&lt;=AQ$7),ROUND(AQ334*($AP$3+#REF!),-1),""))</f>
        <v/>
      </c>
      <c r="AS334" s="503" t="s">
        <v>621</v>
      </c>
      <c r="AT334" s="503" t="str">
        <f>IF($G334="","",IF(AND($G334&gt;=30,$AT$3&lt;=AS$7),ROUND(AS334*($AP$3+#REF!),-1),""))</f>
        <v/>
      </c>
      <c r="AU334" s="503" t="s">
        <v>621</v>
      </c>
      <c r="AV334" s="503" t="str">
        <f>IF($G334="","",IF(AND($G334&gt;=30,$AT$3&lt;=AU$7),ROUND(AU334*($AP$3+#REF!),-1),""))</f>
        <v/>
      </c>
      <c r="AW334" s="503" t="s">
        <v>621</v>
      </c>
      <c r="AX334" s="503" t="str">
        <f>IF($G334="","",IF(AND($G334&gt;=30,$AT$3&lt;=AW$7),ROUND(AW334*($AP$3+#REF!),-1),""))</f>
        <v/>
      </c>
      <c r="AY334" s="503" t="s">
        <v>621</v>
      </c>
      <c r="AZ334" s="503" t="str">
        <f>IF($G334="","",IF(AND($G334&gt;=30,$AT$3&lt;=AY$7),ROUND(AY334*($AP$3+#REF!),-1),""))</f>
        <v/>
      </c>
      <c r="BA334" s="503" t="s">
        <v>621</v>
      </c>
      <c r="BB334" s="503" t="str">
        <f>IF($G334="","",IF(AND($G334&gt;=30,$AT$3&lt;=BA$7),ROUND(BA334*($AP$3+#REF!),-1),""))</f>
        <v/>
      </c>
      <c r="BC334" s="503" t="s">
        <v>621</v>
      </c>
      <c r="BD334" s="503" t="str">
        <f>IF($G334="","",IF(AND($G334&gt;=30,$AT$3&lt;=BC$7),ROUND(BC334*($AP$3+#REF!),-1),""))</f>
        <v/>
      </c>
      <c r="BE334" s="503" t="s">
        <v>621</v>
      </c>
      <c r="BF334" s="503" t="str">
        <f>IF($G334="","",IF(AND($G334&gt;=30,$AT$3&lt;=BE$7),ROUND(BE334*($AP$3+#REF!),-1),""))</f>
        <v/>
      </c>
      <c r="BG334" s="503" t="s">
        <v>621</v>
      </c>
      <c r="BH334" s="503" t="str">
        <f>IF($G334="","",IF(AND($G334&gt;=30,$AT$3&lt;=BG$7),ROUND(BG334*($AP$3+#REF!),-1),""))</f>
        <v/>
      </c>
      <c r="BI334" s="503" t="s">
        <v>621</v>
      </c>
      <c r="BJ334" s="503" t="str">
        <f>IF($G334="","",IF(AND($G334&gt;=30,$AT$3&lt;=BI$7),ROUND(BI334*($AP$3+#REF!),-1),""))</f>
        <v/>
      </c>
      <c r="BK334" s="503" t="s">
        <v>621</v>
      </c>
      <c r="BL334" s="503" t="str">
        <f>IF($G334="","",IF(AND($G334&gt;=30,$AT$3&lt;=BK$7),ROUND(BK334*($AP$3+#REF!),-1),""))</f>
        <v/>
      </c>
      <c r="BM334" s="503" t="s">
        <v>621</v>
      </c>
      <c r="BN334" s="503" t="str">
        <f>IF($G334="","",IF(AND($G334&gt;=30,$AT$3&lt;=BM$7),ROUND(BM334*($AP$3+#REF!),-1),""))</f>
        <v/>
      </c>
      <c r="BO334" s="503" t="s">
        <v>621</v>
      </c>
      <c r="BP334" s="503" t="str">
        <f>IF($G334="","",IF(AND($G334&gt;=30,$AT$3&lt;=BO$7),ROUND(BO334*($AP$3+#REF!),-1),""))</f>
        <v/>
      </c>
      <c r="BQ334" s="503" t="s">
        <v>621</v>
      </c>
      <c r="BR334" s="503" t="str">
        <f>IF($G334="","",IF(AND($G334&gt;=30,$AT$3&lt;=BQ$7),ROUND(BQ334*($AP$3+#REF!),-1),""))</f>
        <v/>
      </c>
      <c r="BS334" s="503" t="s">
        <v>621</v>
      </c>
      <c r="BT334" s="503" t="str">
        <f>IF($G334="","",IF(AND($G334&gt;=30,$AT$3&lt;=BS$7),ROUND(BS334*($AP$3+#REF!),-1),""))</f>
        <v/>
      </c>
      <c r="BU334" s="503" t="s">
        <v>621</v>
      </c>
      <c r="BV334" s="503" t="str">
        <f>IF($G334="","",IF(AND($G334&gt;=30,$AT$3&lt;=BU$7),ROUND(BU334*($AP$3+#REF!),-1),""))</f>
        <v/>
      </c>
      <c r="BW334" s="503" t="s">
        <v>621</v>
      </c>
      <c r="BX334" s="503" t="str">
        <f>IF($G334="","",IF(AND($G334&gt;=30,$AT$3&lt;=BW$7),ROUND(BW334*($AP$3+#REF!),-1),""))</f>
        <v/>
      </c>
      <c r="BY334" s="503" t="s">
        <v>621</v>
      </c>
      <c r="BZ334" s="503" t="str">
        <f>IF($G334="","",IF(AND($G334&gt;=30,$AT$3&lt;=BY$7),ROUND(BY334*($AP$3+#REF!),-1),""))</f>
        <v/>
      </c>
      <c r="CA334" s="503" t="s">
        <v>621</v>
      </c>
      <c r="CB334" s="503" t="str">
        <f>IF($G334="","",IF(AND($G334&gt;=30,$AT$3&lt;=CA$7),ROUND(CA334*($AP$3+#REF!),-1),""))</f>
        <v/>
      </c>
      <c r="CC334" s="503" t="s">
        <v>621</v>
      </c>
      <c r="CD334" s="503" t="str">
        <f>IF($G334="","",IF(AND($G334&gt;=30,$AT$3&lt;=CC$7),ROUND(CC334*($AP$3+#REF!),-1),""))</f>
        <v/>
      </c>
      <c r="CE334" s="503" t="s">
        <v>621</v>
      </c>
      <c r="CF334" s="503" t="str">
        <f>IF($G334="","",IF(AND($G334&gt;=30,$AT$3&lt;=CE$7),ROUND(CE334*($AP$3+#REF!),-1),""))</f>
        <v/>
      </c>
      <c r="CG334" s="503" t="s">
        <v>621</v>
      </c>
      <c r="CH334" s="503" t="str">
        <f>IF($G334="","",IF(AND($G334&gt;=30,$AT$3&lt;=CG$7),ROUND(CG334*($AP$3+#REF!),-1),""))</f>
        <v/>
      </c>
      <c r="CI334" s="517" t="e">
        <v>#REF!</v>
      </c>
      <c r="CJ334" s="503" t="str">
        <f>IF($G334="","",IF(AND($G334&gt;=30,$AT$3&lt;=CI$7),ROUND(CI334*($AP$3+#REF!),-1),""))</f>
        <v/>
      </c>
      <c r="CK334" s="517"/>
      <c r="CL334" s="503" t="str">
        <f>IF($G334="","",IF(AND($G334&gt;=30,$AT$3&lt;=CK$7),ROUND(CK334*($AP$3+#REF!),-1),""))</f>
        <v/>
      </c>
      <c r="CM334" s="517"/>
      <c r="CN334" s="503" t="str">
        <f>IF($G334="","",IF(AND($G334&gt;=30,$AT$3&lt;=CM$7),ROUND(CM334*($AP$3+#REF!),-1),""))</f>
        <v/>
      </c>
      <c r="CO334" s="517"/>
      <c r="CP334" s="503" t="str">
        <f>IF($G334="","",IF(AND($G334&gt;=30,$AT$3&lt;=CO$7),ROUND(CO334*($AP$3+#REF!),-1),""))</f>
        <v/>
      </c>
      <c r="CQ334" s="517"/>
      <c r="CR334" s="503" t="str">
        <f>IF($G334="","",IF(AND($G334&gt;=30,$AT$3&lt;=CQ$7),ROUND(CQ334*($AP$3+#REF!),-1),""))</f>
        <v/>
      </c>
      <c r="CS334" s="517"/>
      <c r="CT334" s="503" t="str">
        <f>IF($G334="","",IF(AND($G334&gt;=30,$AT$3&lt;=CS$7),ROUND(CS334*($AP$3+#REF!),-1),""))</f>
        <v/>
      </c>
      <c r="CU334" s="517"/>
      <c r="CV334" s="503" t="str">
        <f>IF($G334="","",IF(AND($G334&gt;=30,$AT$3&lt;=CU$7),ROUND(CU334*($AP$3+#REF!),-1),""))</f>
        <v/>
      </c>
      <c r="CW334" s="517"/>
      <c r="CX334" s="503" t="str">
        <f>IF($G334="","",IF(AND($G334&gt;=30,$AT$3&lt;=CW$7),ROUND(CW334*($AP$3+#REF!),-1),""))</f>
        <v/>
      </c>
      <c r="CY334" s="517"/>
      <c r="CZ334" s="503" t="str">
        <f>IF($G334="","",IF(AND($G334&gt;=30,$AT$3&lt;=CY$7),ROUND(CY334*($AP$3+#REF!),-1),""))</f>
        <v/>
      </c>
      <c r="DA334" s="517"/>
      <c r="DB334" s="503" t="str">
        <f>IF($G334="","",IF(AND($G334&gt;=30,$AT$3&lt;=DA$7),ROUND(DA334*($AP$3+#REF!),-1),""))</f>
        <v/>
      </c>
      <c r="DC334" s="517"/>
      <c r="DD334" s="503" t="str">
        <f>IF($G334="","",IF(AND($G334&gt;=30,$AT$3&lt;=DC$7),ROUND(DC334*($AP$3+#REF!),-1),""))</f>
        <v/>
      </c>
      <c r="DE334" s="517"/>
      <c r="DF334" s="503" t="str">
        <f>IF($G334="","",IF(AND($G334&gt;=30,$AT$3&lt;=DE$7),ROUND(DE334*($AP$3+#REF!),-1),""))</f>
        <v/>
      </c>
      <c r="DG334" s="517"/>
      <c r="DH334" s="503" t="str">
        <f>IF($G334="","",IF(AND($G334&gt;=30,$AT$3&lt;=DG$7),ROUND(DG334*($AP$3+#REF!),-1),""))</f>
        <v/>
      </c>
      <c r="DI334" s="517"/>
      <c r="DJ334" s="503" t="str">
        <f>IF($G334="","",IF(AND($G334&gt;=30,$AT$3&lt;=DI$7),ROUND(DI334*($AP$3+#REF!),-1),""))</f>
        <v/>
      </c>
      <c r="DK334" s="517"/>
      <c r="DL334" s="503" t="str">
        <f>IF($G334="","",IF(AND($G334&gt;=30,$AT$3&lt;=DK$7),ROUND(DK334*($AP$3+#REF!),-1),""))</f>
        <v/>
      </c>
      <c r="DM334" s="517"/>
      <c r="DN334" s="503" t="str">
        <f>IF($G334="","",IF(AND($G334&gt;=30,$AT$3&lt;=DM$7),ROUND(DM334*($AP$3+#REF!),-1),""))</f>
        <v/>
      </c>
      <c r="DO334" s="517"/>
      <c r="DP334" s="503" t="str">
        <f>IF($G334="","",IF(AND($G334&gt;=30,$AT$3&lt;=DO$7),ROUND(DO334*($AP$3+#REF!),-1),""))</f>
        <v/>
      </c>
      <c r="DQ334" s="517"/>
      <c r="DR334" s="503" t="str">
        <f>IF($G334="","",IF(AND($G334&gt;=30,$AT$3&lt;=DQ$7),ROUND(DQ334*($AP$3+#REF!),-1),""))</f>
        <v/>
      </c>
      <c r="DS334" s="517"/>
      <c r="DT334" s="503" t="str">
        <f>IF($G334="","",IF(AND($G334&gt;=30,$AT$3&lt;=DS$7),ROUND(DS334*($AP$3+#REF!),-1),""))</f>
        <v/>
      </c>
      <c r="DU334" s="517"/>
      <c r="DV334" s="503" t="str">
        <f>IF($G334="","",IF(AND($G334&gt;=30,$AT$3&lt;=DU$7),ROUND(DU334*($AP$3+#REF!),-1),""))</f>
        <v/>
      </c>
      <c r="DW334" s="517"/>
      <c r="DX334" s="503" t="str">
        <f>IF($G334="","",IF(AND($G334&gt;=30,$AT$3&lt;=DW$7),ROUND(DW334*($AP$3+#REF!),-1),""))</f>
        <v/>
      </c>
      <c r="DY334" s="517"/>
      <c r="DZ334" s="503" t="str">
        <f>IF($G334="","",IF(AND($G334&gt;=30,$AT$3&lt;=DY$7),ROUND(DY334*($AP$3+#REF!),-1),""))</f>
        <v/>
      </c>
      <c r="EA334" s="517"/>
      <c r="EB334" s="503" t="str">
        <f>IF($G334="","",IF(AND($G334&gt;=30,$AT$3&lt;=EA$7),ROUND(EA334*($AP$3+#REF!),-1),""))</f>
        <v/>
      </c>
      <c r="EC334" s="504" t="s">
        <v>621</v>
      </c>
      <c r="ED334" s="1124"/>
      <c r="EE334" s="325">
        <v>2</v>
      </c>
    </row>
    <row r="335" spans="1:135" ht="9.75" customHeight="1">
      <c r="A335" s="321" t="str">
        <f t="shared" si="82"/>
        <v/>
      </c>
      <c r="B335" s="567">
        <f>(ii!$D$13*12+V335)+1</f>
        <v>229</v>
      </c>
      <c r="C335" s="337">
        <f t="shared" si="86"/>
        <v>52321</v>
      </c>
      <c r="D335" s="484">
        <f t="shared" si="75"/>
        <v>2043</v>
      </c>
      <c r="E335" s="484">
        <f t="shared" si="87"/>
        <v>0.25</v>
      </c>
      <c r="F335" s="484">
        <f t="shared" si="76"/>
        <v>2043.25</v>
      </c>
      <c r="G335" s="485" t="str">
        <f>IF(OR(C335&lt;$I$2,C335&gt;$J$3),"",(ii!$D$13*12+V335+1)/12)</f>
        <v/>
      </c>
      <c r="H335" s="486"/>
      <c r="I335" s="486"/>
      <c r="J335" s="487"/>
      <c r="K335" s="488"/>
      <c r="L335" s="548"/>
      <c r="M335" s="489" t="str">
        <f t="shared" si="77"/>
        <v/>
      </c>
      <c r="N335" s="490" t="s">
        <v>621</v>
      </c>
      <c r="O335" s="490" t="str">
        <f t="shared" si="84"/>
        <v/>
      </c>
      <c r="P335" s="491"/>
      <c r="Q335" s="491"/>
      <c r="R335" s="491" t="str">
        <f t="shared" si="85"/>
        <v/>
      </c>
      <c r="S335" s="528" t="str">
        <f t="shared" si="83"/>
        <v/>
      </c>
      <c r="T335" s="528" t="str">
        <f t="shared" si="81"/>
        <v/>
      </c>
      <c r="U335" s="493" t="str">
        <f>IF(H335="","",#REF!*12+#REF!+#REF!*12+#REF!)</f>
        <v/>
      </c>
      <c r="V335" s="338">
        <f>IF(ii!$J$3&gt;gg!C335,"",IF(AND((YEAR(C335)=YEAR($I$2)),MONTH(C335)=MONTH($I$2)),ii!$B$14*12+ii!$C$14+ii!$B$15*12+ii!$C$15-1,V334+1))</f>
        <v>228</v>
      </c>
      <c r="W335" s="339">
        <f t="shared" si="74"/>
        <v>19</v>
      </c>
      <c r="X335" s="494" t="s">
        <v>621</v>
      </c>
      <c r="Y335" s="495" t="s">
        <v>621</v>
      </c>
      <c r="Z335" s="496"/>
      <c r="AA335" s="497"/>
      <c r="AB335" s="498" t="e">
        <f t="shared" si="80"/>
        <v>#VALUE!</v>
      </c>
      <c r="AC335" s="484" t="str">
        <f t="shared" si="78"/>
        <v/>
      </c>
      <c r="AD335" s="495" t="str">
        <f t="shared" si="79"/>
        <v/>
      </c>
      <c r="AE335" s="499" t="s">
        <v>621</v>
      </c>
      <c r="AF335" s="500" t="s">
        <v>621</v>
      </c>
      <c r="AG335" s="556" t="s">
        <v>621</v>
      </c>
      <c r="AH335" s="503" t="str">
        <f>IF($G335="","",IF(AND($G335&gt;=30,$AT$3&lt;=AG$7),ROUND(AG335*($AP$3+#REF!),-1),""))</f>
        <v/>
      </c>
      <c r="AI335" s="506" t="s">
        <v>621</v>
      </c>
      <c r="AJ335" s="503" t="str">
        <f>IF($G335="","",IF(AND($G335&gt;=30,$AT$3&lt;=AI$7),ROUND(AI335*($AP$3+#REF!),-1),""))</f>
        <v/>
      </c>
      <c r="AK335" s="506" t="s">
        <v>621</v>
      </c>
      <c r="AL335" s="503" t="str">
        <f>IF($G335="","",IF(AND($G335&gt;=30,$AT$3&lt;=AK$7),ROUND(AK335*($AP$3+#REF!),-1),""))</f>
        <v/>
      </c>
      <c r="AM335" s="506" t="s">
        <v>621</v>
      </c>
      <c r="AN335" s="503" t="str">
        <f>IF($G335="","",IF(AND($G335&gt;=30,$AT$3&lt;=AM$7),ROUND(AM335*($AP$3+#REF!),-1),""))</f>
        <v/>
      </c>
      <c r="AO335" s="503" t="e">
        <v>#REF!</v>
      </c>
      <c r="AP335" s="503" t="str">
        <f>IF($G335="","",IF(AND($G335&gt;=30,$AT$3&lt;=AO$7),ROUND(AO335*($AP$3+#REF!),-1),""))</f>
        <v/>
      </c>
      <c r="AQ335" s="503" t="s">
        <v>621</v>
      </c>
      <c r="AR335" s="503" t="str">
        <f>IF($G335="","",IF(AND($G335&gt;=30,$AT$3&lt;=AQ$7),ROUND(AQ335*($AP$3+#REF!),-1),""))</f>
        <v/>
      </c>
      <c r="AS335" s="503" t="s">
        <v>621</v>
      </c>
      <c r="AT335" s="503" t="str">
        <f>IF($G335="","",IF(AND($G335&gt;=30,$AT$3&lt;=AS$7),ROUND(AS335*($AP$3+#REF!),-1),""))</f>
        <v/>
      </c>
      <c r="AU335" s="503" t="s">
        <v>621</v>
      </c>
      <c r="AV335" s="503" t="str">
        <f>IF($G335="","",IF(AND($G335&gt;=30,$AT$3&lt;=AU$7),ROUND(AU335*($AP$3+#REF!),-1),""))</f>
        <v/>
      </c>
      <c r="AW335" s="503" t="s">
        <v>621</v>
      </c>
      <c r="AX335" s="503" t="str">
        <f>IF($G335="","",IF(AND($G335&gt;=30,$AT$3&lt;=AW$7),ROUND(AW335*($AP$3+#REF!),-1),""))</f>
        <v/>
      </c>
      <c r="AY335" s="503" t="s">
        <v>621</v>
      </c>
      <c r="AZ335" s="503" t="str">
        <f>IF($G335="","",IF(AND($G335&gt;=30,$AT$3&lt;=AY$7),ROUND(AY335*($AP$3+#REF!),-1),""))</f>
        <v/>
      </c>
      <c r="BA335" s="503" t="s">
        <v>621</v>
      </c>
      <c r="BB335" s="503" t="str">
        <f>IF($G335="","",IF(AND($G335&gt;=30,$AT$3&lt;=BA$7),ROUND(BA335*($AP$3+#REF!),-1),""))</f>
        <v/>
      </c>
      <c r="BC335" s="503" t="s">
        <v>621</v>
      </c>
      <c r="BD335" s="503" t="str">
        <f>IF($G335="","",IF(AND($G335&gt;=30,$AT$3&lt;=BC$7),ROUND(BC335*($AP$3+#REF!),-1),""))</f>
        <v/>
      </c>
      <c r="BE335" s="503" t="s">
        <v>621</v>
      </c>
      <c r="BF335" s="503" t="str">
        <f>IF($G335="","",IF(AND($G335&gt;=30,$AT$3&lt;=BE$7),ROUND(BE335*($AP$3+#REF!),-1),""))</f>
        <v/>
      </c>
      <c r="BG335" s="503" t="s">
        <v>621</v>
      </c>
      <c r="BH335" s="503" t="str">
        <f>IF($G335="","",IF(AND($G335&gt;=30,$AT$3&lt;=BG$7),ROUND(BG335*($AP$3+#REF!),-1),""))</f>
        <v/>
      </c>
      <c r="BI335" s="503" t="s">
        <v>621</v>
      </c>
      <c r="BJ335" s="503" t="str">
        <f>IF($G335="","",IF(AND($G335&gt;=30,$AT$3&lt;=BI$7),ROUND(BI335*($AP$3+#REF!),-1),""))</f>
        <v/>
      </c>
      <c r="BK335" s="503" t="s">
        <v>621</v>
      </c>
      <c r="BL335" s="503" t="str">
        <f>IF($G335="","",IF(AND($G335&gt;=30,$AT$3&lt;=BK$7),ROUND(BK335*($AP$3+#REF!),-1),""))</f>
        <v/>
      </c>
      <c r="BM335" s="503" t="s">
        <v>621</v>
      </c>
      <c r="BN335" s="503" t="str">
        <f>IF($G335="","",IF(AND($G335&gt;=30,$AT$3&lt;=BM$7),ROUND(BM335*($AP$3+#REF!),-1),""))</f>
        <v/>
      </c>
      <c r="BO335" s="503" t="s">
        <v>621</v>
      </c>
      <c r="BP335" s="503" t="str">
        <f>IF($G335="","",IF(AND($G335&gt;=30,$AT$3&lt;=BO$7),ROUND(BO335*($AP$3+#REF!),-1),""))</f>
        <v/>
      </c>
      <c r="BQ335" s="503" t="s">
        <v>621</v>
      </c>
      <c r="BR335" s="503" t="str">
        <f>IF($G335="","",IF(AND($G335&gt;=30,$AT$3&lt;=BQ$7),ROUND(BQ335*($AP$3+#REF!),-1),""))</f>
        <v/>
      </c>
      <c r="BS335" s="503" t="s">
        <v>621</v>
      </c>
      <c r="BT335" s="503" t="str">
        <f>IF($G335="","",IF(AND($G335&gt;=30,$AT$3&lt;=BS$7),ROUND(BS335*($AP$3+#REF!),-1),""))</f>
        <v/>
      </c>
      <c r="BU335" s="503" t="s">
        <v>621</v>
      </c>
      <c r="BV335" s="503" t="str">
        <f>IF($G335="","",IF(AND($G335&gt;=30,$AT$3&lt;=BU$7),ROUND(BU335*($AP$3+#REF!),-1),""))</f>
        <v/>
      </c>
      <c r="BW335" s="503" t="s">
        <v>621</v>
      </c>
      <c r="BX335" s="503" t="str">
        <f>IF($G335="","",IF(AND($G335&gt;=30,$AT$3&lt;=BW$7),ROUND(BW335*($AP$3+#REF!),-1),""))</f>
        <v/>
      </c>
      <c r="BY335" s="503" t="s">
        <v>621</v>
      </c>
      <c r="BZ335" s="503" t="str">
        <f>IF($G335="","",IF(AND($G335&gt;=30,$AT$3&lt;=BY$7),ROUND(BY335*($AP$3+#REF!),-1),""))</f>
        <v/>
      </c>
      <c r="CA335" s="503" t="s">
        <v>621</v>
      </c>
      <c r="CB335" s="503" t="str">
        <f>IF($G335="","",IF(AND($G335&gt;=30,$AT$3&lt;=CA$7),ROUND(CA335*($AP$3+#REF!),-1),""))</f>
        <v/>
      </c>
      <c r="CC335" s="503" t="s">
        <v>621</v>
      </c>
      <c r="CD335" s="503" t="str">
        <f>IF($G335="","",IF(AND($G335&gt;=30,$AT$3&lt;=CC$7),ROUND(CC335*($AP$3+#REF!),-1),""))</f>
        <v/>
      </c>
      <c r="CE335" s="503" t="s">
        <v>621</v>
      </c>
      <c r="CF335" s="503" t="str">
        <f>IF($G335="","",IF(AND($G335&gt;=30,$AT$3&lt;=CE$7),ROUND(CE335*($AP$3+#REF!),-1),""))</f>
        <v/>
      </c>
      <c r="CG335" s="503" t="s">
        <v>621</v>
      </c>
      <c r="CH335" s="503" t="str">
        <f>IF($G335="","",IF(AND($G335&gt;=30,$AT$3&lt;=CG$7),ROUND(CG335*($AP$3+#REF!),-1),""))</f>
        <v/>
      </c>
      <c r="CI335" s="517" t="e">
        <v>#REF!</v>
      </c>
      <c r="CJ335" s="503" t="str">
        <f>IF($G335="","",IF(AND($G335&gt;=30,$AT$3&lt;=CI$7),ROUND(CI335*($AP$3+#REF!),-1),""))</f>
        <v/>
      </c>
      <c r="CK335" s="517"/>
      <c r="CL335" s="503" t="str">
        <f>IF($G335="","",IF(AND($G335&gt;=30,$AT$3&lt;=CK$7),ROUND(CK335*($AP$3+#REF!),-1),""))</f>
        <v/>
      </c>
      <c r="CM335" s="517"/>
      <c r="CN335" s="503" t="str">
        <f>IF($G335="","",IF(AND($G335&gt;=30,$AT$3&lt;=CM$7),ROUND(CM335*($AP$3+#REF!),-1),""))</f>
        <v/>
      </c>
      <c r="CO335" s="517"/>
      <c r="CP335" s="503" t="str">
        <f>IF($G335="","",IF(AND($G335&gt;=30,$AT$3&lt;=CO$7),ROUND(CO335*($AP$3+#REF!),-1),""))</f>
        <v/>
      </c>
      <c r="CQ335" s="517"/>
      <c r="CR335" s="503" t="str">
        <f>IF($G335="","",IF(AND($G335&gt;=30,$AT$3&lt;=CQ$7),ROUND(CQ335*($AP$3+#REF!),-1),""))</f>
        <v/>
      </c>
      <c r="CS335" s="517"/>
      <c r="CT335" s="503" t="str">
        <f>IF($G335="","",IF(AND($G335&gt;=30,$AT$3&lt;=CS$7),ROUND(CS335*($AP$3+#REF!),-1),""))</f>
        <v/>
      </c>
      <c r="CU335" s="517"/>
      <c r="CV335" s="503" t="str">
        <f>IF($G335="","",IF(AND($G335&gt;=30,$AT$3&lt;=CU$7),ROUND(CU335*($AP$3+#REF!),-1),""))</f>
        <v/>
      </c>
      <c r="CW335" s="517"/>
      <c r="CX335" s="503" t="str">
        <f>IF($G335="","",IF(AND($G335&gt;=30,$AT$3&lt;=CW$7),ROUND(CW335*($AP$3+#REF!),-1),""))</f>
        <v/>
      </c>
      <c r="CY335" s="517"/>
      <c r="CZ335" s="503" t="str">
        <f>IF($G335="","",IF(AND($G335&gt;=30,$AT$3&lt;=CY$7),ROUND(CY335*($AP$3+#REF!),-1),""))</f>
        <v/>
      </c>
      <c r="DA335" s="517"/>
      <c r="DB335" s="503" t="str">
        <f>IF($G335="","",IF(AND($G335&gt;=30,$AT$3&lt;=DA$7),ROUND(DA335*($AP$3+#REF!),-1),""))</f>
        <v/>
      </c>
      <c r="DC335" s="517"/>
      <c r="DD335" s="503" t="str">
        <f>IF($G335="","",IF(AND($G335&gt;=30,$AT$3&lt;=DC$7),ROUND(DC335*($AP$3+#REF!),-1),""))</f>
        <v/>
      </c>
      <c r="DE335" s="517"/>
      <c r="DF335" s="503" t="str">
        <f>IF($G335="","",IF(AND($G335&gt;=30,$AT$3&lt;=DE$7),ROUND(DE335*($AP$3+#REF!),-1),""))</f>
        <v/>
      </c>
      <c r="DG335" s="517"/>
      <c r="DH335" s="503" t="str">
        <f>IF($G335="","",IF(AND($G335&gt;=30,$AT$3&lt;=DG$7),ROUND(DG335*($AP$3+#REF!),-1),""))</f>
        <v/>
      </c>
      <c r="DI335" s="517"/>
      <c r="DJ335" s="503" t="str">
        <f>IF($G335="","",IF(AND($G335&gt;=30,$AT$3&lt;=DI$7),ROUND(DI335*($AP$3+#REF!),-1),""))</f>
        <v/>
      </c>
      <c r="DK335" s="517"/>
      <c r="DL335" s="503" t="str">
        <f>IF($G335="","",IF(AND($G335&gt;=30,$AT$3&lt;=DK$7),ROUND(DK335*($AP$3+#REF!),-1),""))</f>
        <v/>
      </c>
      <c r="DM335" s="517"/>
      <c r="DN335" s="503" t="str">
        <f>IF($G335="","",IF(AND($G335&gt;=30,$AT$3&lt;=DM$7),ROUND(DM335*($AP$3+#REF!),-1),""))</f>
        <v/>
      </c>
      <c r="DO335" s="517"/>
      <c r="DP335" s="503" t="str">
        <f>IF($G335="","",IF(AND($G335&gt;=30,$AT$3&lt;=DO$7),ROUND(DO335*($AP$3+#REF!),-1),""))</f>
        <v/>
      </c>
      <c r="DQ335" s="517"/>
      <c r="DR335" s="503" t="str">
        <f>IF($G335="","",IF(AND($G335&gt;=30,$AT$3&lt;=DQ$7),ROUND(DQ335*($AP$3+#REF!),-1),""))</f>
        <v/>
      </c>
      <c r="DS335" s="517"/>
      <c r="DT335" s="503" t="str">
        <f>IF($G335="","",IF(AND($G335&gt;=30,$AT$3&lt;=DS$7),ROUND(DS335*($AP$3+#REF!),-1),""))</f>
        <v/>
      </c>
      <c r="DU335" s="517"/>
      <c r="DV335" s="503" t="str">
        <f>IF($G335="","",IF(AND($G335&gt;=30,$AT$3&lt;=DU$7),ROUND(DU335*($AP$3+#REF!),-1),""))</f>
        <v/>
      </c>
      <c r="DW335" s="517"/>
      <c r="DX335" s="503" t="str">
        <f>IF($G335="","",IF(AND($G335&gt;=30,$AT$3&lt;=DW$7),ROUND(DW335*($AP$3+#REF!),-1),""))</f>
        <v/>
      </c>
      <c r="DY335" s="517"/>
      <c r="DZ335" s="503" t="str">
        <f>IF($G335="","",IF(AND($G335&gt;=30,$AT$3&lt;=DY$7),ROUND(DY335*($AP$3+#REF!),-1),""))</f>
        <v/>
      </c>
      <c r="EA335" s="517"/>
      <c r="EB335" s="503" t="str">
        <f>IF($G335="","",IF(AND($G335&gt;=30,$AT$3&lt;=EA$7),ROUND(EA335*($AP$3+#REF!),-1),""))</f>
        <v/>
      </c>
      <c r="EC335" s="504" t="s">
        <v>621</v>
      </c>
      <c r="ED335" s="1124"/>
      <c r="EE335" s="325">
        <v>3</v>
      </c>
    </row>
    <row r="336" spans="1:135" ht="9.75" customHeight="1">
      <c r="A336" s="321" t="str">
        <f t="shared" si="82"/>
        <v/>
      </c>
      <c r="B336" s="567">
        <f>(ii!$D$13*12+V336)+1</f>
        <v>230</v>
      </c>
      <c r="C336" s="337">
        <f t="shared" si="86"/>
        <v>52351</v>
      </c>
      <c r="D336" s="484">
        <f t="shared" si="75"/>
        <v>2043</v>
      </c>
      <c r="E336" s="484">
        <f t="shared" si="87"/>
        <v>0.33333333333333331</v>
      </c>
      <c r="F336" s="484">
        <f t="shared" si="76"/>
        <v>2043.3333333333333</v>
      </c>
      <c r="G336" s="485" t="str">
        <f>IF(OR(C336&lt;$I$2,C336&gt;$J$3),"",(ii!$D$13*12+V336+1)/12)</f>
        <v/>
      </c>
      <c r="H336" s="486"/>
      <c r="I336" s="486"/>
      <c r="J336" s="487"/>
      <c r="K336" s="488"/>
      <c r="L336" s="548"/>
      <c r="M336" s="489" t="str">
        <f t="shared" si="77"/>
        <v/>
      </c>
      <c r="N336" s="490" t="s">
        <v>621</v>
      </c>
      <c r="O336" s="490" t="str">
        <f t="shared" si="84"/>
        <v/>
      </c>
      <c r="P336" s="491"/>
      <c r="Q336" s="491"/>
      <c r="R336" s="491" t="str">
        <f t="shared" si="85"/>
        <v/>
      </c>
      <c r="S336" s="528" t="str">
        <f t="shared" si="83"/>
        <v/>
      </c>
      <c r="T336" s="528" t="str">
        <f t="shared" si="81"/>
        <v/>
      </c>
      <c r="U336" s="493" t="str">
        <f>IF(H336="","",#REF!*12+#REF!+#REF!*12+#REF!)</f>
        <v/>
      </c>
      <c r="V336" s="338">
        <f>IF(ii!$J$3&gt;gg!C336,"",IF(AND((YEAR(C336)=YEAR($I$2)),MONTH(C336)=MONTH($I$2)),ii!$B$14*12+ii!$C$14+ii!$B$15*12+ii!$C$15-1,V335+1))</f>
        <v>229</v>
      </c>
      <c r="W336" s="339">
        <f t="shared" si="74"/>
        <v>19.083333333333332</v>
      </c>
      <c r="X336" s="494" t="s">
        <v>621</v>
      </c>
      <c r="Y336" s="495" t="s">
        <v>621</v>
      </c>
      <c r="Z336" s="496"/>
      <c r="AA336" s="497"/>
      <c r="AB336" s="498" t="e">
        <f t="shared" si="80"/>
        <v>#VALUE!</v>
      </c>
      <c r="AC336" s="484" t="str">
        <f t="shared" si="78"/>
        <v/>
      </c>
      <c r="AD336" s="495" t="str">
        <f t="shared" si="79"/>
        <v/>
      </c>
      <c r="AE336" s="499" t="s">
        <v>621</v>
      </c>
      <c r="AF336" s="500" t="s">
        <v>621</v>
      </c>
      <c r="AG336" s="556" t="s">
        <v>621</v>
      </c>
      <c r="AH336" s="503" t="str">
        <f>IF($G336="","",IF(AND($G336&gt;=30,$AT$3&lt;=AG$7),ROUND(AG336*($AP$3+#REF!),-1),""))</f>
        <v/>
      </c>
      <c r="AI336" s="506" t="s">
        <v>621</v>
      </c>
      <c r="AJ336" s="503" t="str">
        <f>IF($G336="","",IF(AND($G336&gt;=30,$AT$3&lt;=AI$7),ROUND(AI336*($AP$3+#REF!),-1),""))</f>
        <v/>
      </c>
      <c r="AK336" s="506" t="s">
        <v>621</v>
      </c>
      <c r="AL336" s="503" t="str">
        <f>IF($G336="","",IF(AND($G336&gt;=30,$AT$3&lt;=AK$7),ROUND(AK336*($AP$3+#REF!),-1),""))</f>
        <v/>
      </c>
      <c r="AM336" s="506" t="s">
        <v>621</v>
      </c>
      <c r="AN336" s="503" t="str">
        <f>IF($G336="","",IF(AND($G336&gt;=30,$AT$3&lt;=AM$7),ROUND(AM336*($AP$3+#REF!),-1),""))</f>
        <v/>
      </c>
      <c r="AO336" s="503" t="e">
        <v>#REF!</v>
      </c>
      <c r="AP336" s="503" t="str">
        <f>IF($G336="","",IF(AND($G336&gt;=30,$AT$3&lt;=AO$7),ROUND(AO336*($AP$3+#REF!),-1),""))</f>
        <v/>
      </c>
      <c r="AQ336" s="503" t="s">
        <v>621</v>
      </c>
      <c r="AR336" s="503" t="str">
        <f>IF($G336="","",IF(AND($G336&gt;=30,$AT$3&lt;=AQ$7),ROUND(AQ336*($AP$3+#REF!),-1),""))</f>
        <v/>
      </c>
      <c r="AS336" s="503" t="s">
        <v>621</v>
      </c>
      <c r="AT336" s="503" t="str">
        <f>IF($G336="","",IF(AND($G336&gt;=30,$AT$3&lt;=AS$7),ROUND(AS336*($AP$3+#REF!),-1),""))</f>
        <v/>
      </c>
      <c r="AU336" s="503" t="s">
        <v>621</v>
      </c>
      <c r="AV336" s="503" t="str">
        <f>IF($G336="","",IF(AND($G336&gt;=30,$AT$3&lt;=AU$7),ROUND(AU336*($AP$3+#REF!),-1),""))</f>
        <v/>
      </c>
      <c r="AW336" s="503" t="s">
        <v>621</v>
      </c>
      <c r="AX336" s="503" t="str">
        <f>IF($G336="","",IF(AND($G336&gt;=30,$AT$3&lt;=AW$7),ROUND(AW336*($AP$3+#REF!),-1),""))</f>
        <v/>
      </c>
      <c r="AY336" s="503" t="s">
        <v>621</v>
      </c>
      <c r="AZ336" s="503" t="str">
        <f>IF($G336="","",IF(AND($G336&gt;=30,$AT$3&lt;=AY$7),ROUND(AY336*($AP$3+#REF!),-1),""))</f>
        <v/>
      </c>
      <c r="BA336" s="503" t="s">
        <v>621</v>
      </c>
      <c r="BB336" s="503" t="str">
        <f>IF($G336="","",IF(AND($G336&gt;=30,$AT$3&lt;=BA$7),ROUND(BA336*($AP$3+#REF!),-1),""))</f>
        <v/>
      </c>
      <c r="BC336" s="503" t="s">
        <v>621</v>
      </c>
      <c r="BD336" s="503" t="str">
        <f>IF($G336="","",IF(AND($G336&gt;=30,$AT$3&lt;=BC$7),ROUND(BC336*($AP$3+#REF!),-1),""))</f>
        <v/>
      </c>
      <c r="BE336" s="503" t="s">
        <v>621</v>
      </c>
      <c r="BF336" s="503" t="str">
        <f>IF($G336="","",IF(AND($G336&gt;=30,$AT$3&lt;=BE$7),ROUND(BE336*($AP$3+#REF!),-1),""))</f>
        <v/>
      </c>
      <c r="BG336" s="503" t="s">
        <v>621</v>
      </c>
      <c r="BH336" s="503" t="str">
        <f>IF($G336="","",IF(AND($G336&gt;=30,$AT$3&lt;=BG$7),ROUND(BG336*($AP$3+#REF!),-1),""))</f>
        <v/>
      </c>
      <c r="BI336" s="503" t="s">
        <v>621</v>
      </c>
      <c r="BJ336" s="503" t="str">
        <f>IF($G336="","",IF(AND($G336&gt;=30,$AT$3&lt;=BI$7),ROUND(BI336*($AP$3+#REF!),-1),""))</f>
        <v/>
      </c>
      <c r="BK336" s="503" t="s">
        <v>621</v>
      </c>
      <c r="BL336" s="503" t="str">
        <f>IF($G336="","",IF(AND($G336&gt;=30,$AT$3&lt;=BK$7),ROUND(BK336*($AP$3+#REF!),-1),""))</f>
        <v/>
      </c>
      <c r="BM336" s="503" t="s">
        <v>621</v>
      </c>
      <c r="BN336" s="503" t="str">
        <f>IF($G336="","",IF(AND($G336&gt;=30,$AT$3&lt;=BM$7),ROUND(BM336*($AP$3+#REF!),-1),""))</f>
        <v/>
      </c>
      <c r="BO336" s="503" t="s">
        <v>621</v>
      </c>
      <c r="BP336" s="503" t="str">
        <f>IF($G336="","",IF(AND($G336&gt;=30,$AT$3&lt;=BO$7),ROUND(BO336*($AP$3+#REF!),-1),""))</f>
        <v/>
      </c>
      <c r="BQ336" s="503" t="s">
        <v>621</v>
      </c>
      <c r="BR336" s="503" t="str">
        <f>IF($G336="","",IF(AND($G336&gt;=30,$AT$3&lt;=BQ$7),ROUND(BQ336*($AP$3+#REF!),-1),""))</f>
        <v/>
      </c>
      <c r="BS336" s="503" t="s">
        <v>621</v>
      </c>
      <c r="BT336" s="503" t="str">
        <f>IF($G336="","",IF(AND($G336&gt;=30,$AT$3&lt;=BS$7),ROUND(BS336*($AP$3+#REF!),-1),""))</f>
        <v/>
      </c>
      <c r="BU336" s="503" t="s">
        <v>621</v>
      </c>
      <c r="BV336" s="503" t="str">
        <f>IF($G336="","",IF(AND($G336&gt;=30,$AT$3&lt;=BU$7),ROUND(BU336*($AP$3+#REF!),-1),""))</f>
        <v/>
      </c>
      <c r="BW336" s="503" t="s">
        <v>621</v>
      </c>
      <c r="BX336" s="503" t="str">
        <f>IF($G336="","",IF(AND($G336&gt;=30,$AT$3&lt;=BW$7),ROUND(BW336*($AP$3+#REF!),-1),""))</f>
        <v/>
      </c>
      <c r="BY336" s="503" t="s">
        <v>621</v>
      </c>
      <c r="BZ336" s="503" t="str">
        <f>IF($G336="","",IF(AND($G336&gt;=30,$AT$3&lt;=BY$7),ROUND(BY336*($AP$3+#REF!),-1),""))</f>
        <v/>
      </c>
      <c r="CA336" s="503" t="s">
        <v>621</v>
      </c>
      <c r="CB336" s="503" t="str">
        <f>IF($G336="","",IF(AND($G336&gt;=30,$AT$3&lt;=CA$7),ROUND(CA336*($AP$3+#REF!),-1),""))</f>
        <v/>
      </c>
      <c r="CC336" s="503" t="s">
        <v>621</v>
      </c>
      <c r="CD336" s="503" t="str">
        <f>IF($G336="","",IF(AND($G336&gt;=30,$AT$3&lt;=CC$7),ROUND(CC336*($AP$3+#REF!),-1),""))</f>
        <v/>
      </c>
      <c r="CE336" s="503" t="s">
        <v>621</v>
      </c>
      <c r="CF336" s="503" t="str">
        <f>IF($G336="","",IF(AND($G336&gt;=30,$AT$3&lt;=CE$7),ROUND(CE336*($AP$3+#REF!),-1),""))</f>
        <v/>
      </c>
      <c r="CG336" s="503" t="s">
        <v>621</v>
      </c>
      <c r="CH336" s="503" t="str">
        <f>IF($G336="","",IF(AND($G336&gt;=30,$AT$3&lt;=CG$7),ROUND(CG336*($AP$3+#REF!),-1),""))</f>
        <v/>
      </c>
      <c r="CI336" s="517" t="e">
        <v>#REF!</v>
      </c>
      <c r="CJ336" s="503" t="str">
        <f>IF($G336="","",IF(AND($G336&gt;=30,$AT$3&lt;=CI$7),ROUND(CI336*($AP$3+#REF!),-1),""))</f>
        <v/>
      </c>
      <c r="CK336" s="517"/>
      <c r="CL336" s="503" t="str">
        <f>IF($G336="","",IF(AND($G336&gt;=30,$AT$3&lt;=CK$7),ROUND(CK336*($AP$3+#REF!),-1),""))</f>
        <v/>
      </c>
      <c r="CM336" s="517"/>
      <c r="CN336" s="503" t="str">
        <f>IF($G336="","",IF(AND($G336&gt;=30,$AT$3&lt;=CM$7),ROUND(CM336*($AP$3+#REF!),-1),""))</f>
        <v/>
      </c>
      <c r="CO336" s="517"/>
      <c r="CP336" s="503" t="str">
        <f>IF($G336="","",IF(AND($G336&gt;=30,$AT$3&lt;=CO$7),ROUND(CO336*($AP$3+#REF!),-1),""))</f>
        <v/>
      </c>
      <c r="CQ336" s="517"/>
      <c r="CR336" s="503" t="str">
        <f>IF($G336="","",IF(AND($G336&gt;=30,$AT$3&lt;=CQ$7),ROUND(CQ336*($AP$3+#REF!),-1),""))</f>
        <v/>
      </c>
      <c r="CS336" s="517"/>
      <c r="CT336" s="503" t="str">
        <f>IF($G336="","",IF(AND($G336&gt;=30,$AT$3&lt;=CS$7),ROUND(CS336*($AP$3+#REF!),-1),""))</f>
        <v/>
      </c>
      <c r="CU336" s="517"/>
      <c r="CV336" s="503" t="str">
        <f>IF($G336="","",IF(AND($G336&gt;=30,$AT$3&lt;=CU$7),ROUND(CU336*($AP$3+#REF!),-1),""))</f>
        <v/>
      </c>
      <c r="CW336" s="517"/>
      <c r="CX336" s="503" t="str">
        <f>IF($G336="","",IF(AND($G336&gt;=30,$AT$3&lt;=CW$7),ROUND(CW336*($AP$3+#REF!),-1),""))</f>
        <v/>
      </c>
      <c r="CY336" s="517"/>
      <c r="CZ336" s="503" t="str">
        <f>IF($G336="","",IF(AND($G336&gt;=30,$AT$3&lt;=CY$7),ROUND(CY336*($AP$3+#REF!),-1),""))</f>
        <v/>
      </c>
      <c r="DA336" s="517"/>
      <c r="DB336" s="503" t="str">
        <f>IF($G336="","",IF(AND($G336&gt;=30,$AT$3&lt;=DA$7),ROUND(DA336*($AP$3+#REF!),-1),""))</f>
        <v/>
      </c>
      <c r="DC336" s="517"/>
      <c r="DD336" s="503" t="str">
        <f>IF($G336="","",IF(AND($G336&gt;=30,$AT$3&lt;=DC$7),ROUND(DC336*($AP$3+#REF!),-1),""))</f>
        <v/>
      </c>
      <c r="DE336" s="517"/>
      <c r="DF336" s="503" t="str">
        <f>IF($G336="","",IF(AND($G336&gt;=30,$AT$3&lt;=DE$7),ROUND(DE336*($AP$3+#REF!),-1),""))</f>
        <v/>
      </c>
      <c r="DG336" s="517"/>
      <c r="DH336" s="503" t="str">
        <f>IF($G336="","",IF(AND($G336&gt;=30,$AT$3&lt;=DG$7),ROUND(DG336*($AP$3+#REF!),-1),""))</f>
        <v/>
      </c>
      <c r="DI336" s="517"/>
      <c r="DJ336" s="503" t="str">
        <f>IF($G336="","",IF(AND($G336&gt;=30,$AT$3&lt;=DI$7),ROUND(DI336*($AP$3+#REF!),-1),""))</f>
        <v/>
      </c>
      <c r="DK336" s="517"/>
      <c r="DL336" s="503" t="str">
        <f>IF($G336="","",IF(AND($G336&gt;=30,$AT$3&lt;=DK$7),ROUND(DK336*($AP$3+#REF!),-1),""))</f>
        <v/>
      </c>
      <c r="DM336" s="517"/>
      <c r="DN336" s="503" t="str">
        <f>IF($G336="","",IF(AND($G336&gt;=30,$AT$3&lt;=DM$7),ROUND(DM336*($AP$3+#REF!),-1),""))</f>
        <v/>
      </c>
      <c r="DO336" s="517"/>
      <c r="DP336" s="503" t="str">
        <f>IF($G336="","",IF(AND($G336&gt;=30,$AT$3&lt;=DO$7),ROUND(DO336*($AP$3+#REF!),-1),""))</f>
        <v/>
      </c>
      <c r="DQ336" s="517"/>
      <c r="DR336" s="503" t="str">
        <f>IF($G336="","",IF(AND($G336&gt;=30,$AT$3&lt;=DQ$7),ROUND(DQ336*($AP$3+#REF!),-1),""))</f>
        <v/>
      </c>
      <c r="DS336" s="517"/>
      <c r="DT336" s="503" t="str">
        <f>IF($G336="","",IF(AND($G336&gt;=30,$AT$3&lt;=DS$7),ROUND(DS336*($AP$3+#REF!),-1),""))</f>
        <v/>
      </c>
      <c r="DU336" s="517"/>
      <c r="DV336" s="503" t="str">
        <f>IF($G336="","",IF(AND($G336&gt;=30,$AT$3&lt;=DU$7),ROUND(DU336*($AP$3+#REF!),-1),""))</f>
        <v/>
      </c>
      <c r="DW336" s="517"/>
      <c r="DX336" s="503" t="str">
        <f>IF($G336="","",IF(AND($G336&gt;=30,$AT$3&lt;=DW$7),ROUND(DW336*($AP$3+#REF!),-1),""))</f>
        <v/>
      </c>
      <c r="DY336" s="517"/>
      <c r="DZ336" s="503" t="str">
        <f>IF($G336="","",IF(AND($G336&gt;=30,$AT$3&lt;=DY$7),ROUND(DY336*($AP$3+#REF!),-1),""))</f>
        <v/>
      </c>
      <c r="EA336" s="517"/>
      <c r="EB336" s="503" t="str">
        <f>IF($G336="","",IF(AND($G336&gt;=30,$AT$3&lt;=EA$7),ROUND(EA336*($AP$3+#REF!),-1),""))</f>
        <v/>
      </c>
      <c r="EC336" s="504" t="s">
        <v>621</v>
      </c>
      <c r="ED336" s="1124"/>
      <c r="EE336" s="325">
        <v>4</v>
      </c>
    </row>
    <row r="337" spans="1:135" ht="9.75" customHeight="1">
      <c r="A337" s="321" t="str">
        <f t="shared" si="82"/>
        <v/>
      </c>
      <c r="B337" s="567">
        <f>(ii!$D$13*12+V337)+1</f>
        <v>231</v>
      </c>
      <c r="C337" s="337">
        <f t="shared" si="86"/>
        <v>52382</v>
      </c>
      <c r="D337" s="484">
        <f t="shared" si="75"/>
        <v>2043</v>
      </c>
      <c r="E337" s="484">
        <f t="shared" si="87"/>
        <v>0.41666666666666669</v>
      </c>
      <c r="F337" s="484">
        <f t="shared" si="76"/>
        <v>2043.4166666666667</v>
      </c>
      <c r="G337" s="485" t="str">
        <f>IF(OR(C337&lt;$I$2,C337&gt;$J$3),"",(ii!$D$13*12+V337+1)/12)</f>
        <v/>
      </c>
      <c r="H337" s="486"/>
      <c r="I337" s="486"/>
      <c r="J337" s="507"/>
      <c r="K337" s="508"/>
      <c r="L337" s="548"/>
      <c r="M337" s="489" t="str">
        <f t="shared" si="77"/>
        <v/>
      </c>
      <c r="N337" s="490" t="s">
        <v>621</v>
      </c>
      <c r="O337" s="490" t="str">
        <f t="shared" si="84"/>
        <v/>
      </c>
      <c r="P337" s="507"/>
      <c r="Q337" s="507"/>
      <c r="R337" s="491" t="str">
        <f t="shared" si="85"/>
        <v/>
      </c>
      <c r="S337" s="528" t="str">
        <f t="shared" si="83"/>
        <v/>
      </c>
      <c r="T337" s="528" t="str">
        <f t="shared" si="81"/>
        <v/>
      </c>
      <c r="U337" s="493" t="str">
        <f>IF(H337="","",#REF!*12+#REF!+#REF!*12+#REF!)</f>
        <v/>
      </c>
      <c r="V337" s="338">
        <f>IF(ii!$J$3&gt;gg!C337,"",IF(AND((YEAR(C337)=YEAR($I$2)),MONTH(C337)=MONTH($I$2)),ii!$B$14*12+ii!$C$14+ii!$B$15*12+ii!$C$15-1,V336+1))</f>
        <v>230</v>
      </c>
      <c r="W337" s="339">
        <f t="shared" si="74"/>
        <v>19.166666666666668</v>
      </c>
      <c r="X337" s="494" t="s">
        <v>621</v>
      </c>
      <c r="Y337" s="495" t="s">
        <v>621</v>
      </c>
      <c r="Z337" s="496"/>
      <c r="AA337" s="497"/>
      <c r="AB337" s="498" t="e">
        <f t="shared" si="80"/>
        <v>#VALUE!</v>
      </c>
      <c r="AC337" s="484" t="str">
        <f t="shared" si="78"/>
        <v/>
      </c>
      <c r="AD337" s="495" t="str">
        <f t="shared" si="79"/>
        <v/>
      </c>
      <c r="AE337" s="499" t="s">
        <v>621</v>
      </c>
      <c r="AF337" s="500" t="s">
        <v>621</v>
      </c>
      <c r="AG337" s="556" t="s">
        <v>621</v>
      </c>
      <c r="AH337" s="503" t="str">
        <f>IF($G337="","",IF(AND($G337&gt;=30,$AT$3&lt;=AG$7),ROUND(AG337*($AP$3+#REF!),-1),""))</f>
        <v/>
      </c>
      <c r="AI337" s="506" t="s">
        <v>621</v>
      </c>
      <c r="AJ337" s="503" t="str">
        <f>IF($G337="","",IF(AND($G337&gt;=30,$AT$3&lt;=AI$7),ROUND(AI337*($AP$3+#REF!),-1),""))</f>
        <v/>
      </c>
      <c r="AK337" s="506" t="s">
        <v>621</v>
      </c>
      <c r="AL337" s="503" t="str">
        <f>IF($G337="","",IF(AND($G337&gt;=30,$AT$3&lt;=AK$7),ROUND(AK337*($AP$3+#REF!),-1),""))</f>
        <v/>
      </c>
      <c r="AM337" s="506" t="s">
        <v>621</v>
      </c>
      <c r="AN337" s="503" t="str">
        <f>IF($G337="","",IF(AND($G337&gt;=30,$AT$3&lt;=AM$7),ROUND(AM337*($AP$3+#REF!),-1),""))</f>
        <v/>
      </c>
      <c r="AO337" s="503" t="e">
        <v>#REF!</v>
      </c>
      <c r="AP337" s="503" t="str">
        <f>IF($G337="","",IF(AND($G337&gt;=30,$AT$3&lt;=AO$7),ROUND(AO337*($AP$3+#REF!),-1),""))</f>
        <v/>
      </c>
      <c r="AQ337" s="503" t="s">
        <v>621</v>
      </c>
      <c r="AR337" s="503" t="str">
        <f>IF($G337="","",IF(AND($G337&gt;=30,$AT$3&lt;=AQ$7),ROUND(AQ337*($AP$3+#REF!),-1),""))</f>
        <v/>
      </c>
      <c r="AS337" s="503" t="s">
        <v>621</v>
      </c>
      <c r="AT337" s="503" t="str">
        <f>IF($G337="","",IF(AND($G337&gt;=30,$AT$3&lt;=AS$7),ROUND(AS337*($AP$3+#REF!),-1),""))</f>
        <v/>
      </c>
      <c r="AU337" s="503" t="s">
        <v>621</v>
      </c>
      <c r="AV337" s="503" t="str">
        <f>IF($G337="","",IF(AND($G337&gt;=30,$AT$3&lt;=AU$7),ROUND(AU337*($AP$3+#REF!),-1),""))</f>
        <v/>
      </c>
      <c r="AW337" s="503" t="s">
        <v>621</v>
      </c>
      <c r="AX337" s="503" t="str">
        <f>IF($G337="","",IF(AND($G337&gt;=30,$AT$3&lt;=AW$7),ROUND(AW337*($AP$3+#REF!),-1),""))</f>
        <v/>
      </c>
      <c r="AY337" s="503" t="s">
        <v>621</v>
      </c>
      <c r="AZ337" s="503" t="str">
        <f>IF($G337="","",IF(AND($G337&gt;=30,$AT$3&lt;=AY$7),ROUND(AY337*($AP$3+#REF!),-1),""))</f>
        <v/>
      </c>
      <c r="BA337" s="503" t="s">
        <v>621</v>
      </c>
      <c r="BB337" s="503" t="str">
        <f>IF($G337="","",IF(AND($G337&gt;=30,$AT$3&lt;=BA$7),ROUND(BA337*($AP$3+#REF!),-1),""))</f>
        <v/>
      </c>
      <c r="BC337" s="503" t="s">
        <v>621</v>
      </c>
      <c r="BD337" s="503" t="str">
        <f>IF($G337="","",IF(AND($G337&gt;=30,$AT$3&lt;=BC$7),ROUND(BC337*($AP$3+#REF!),-1),""))</f>
        <v/>
      </c>
      <c r="BE337" s="503" t="s">
        <v>621</v>
      </c>
      <c r="BF337" s="503" t="str">
        <f>IF($G337="","",IF(AND($G337&gt;=30,$AT$3&lt;=BE$7),ROUND(BE337*($AP$3+#REF!),-1),""))</f>
        <v/>
      </c>
      <c r="BG337" s="503" t="s">
        <v>621</v>
      </c>
      <c r="BH337" s="503" t="str">
        <f>IF($G337="","",IF(AND($G337&gt;=30,$AT$3&lt;=BG$7),ROUND(BG337*($AP$3+#REF!),-1),""))</f>
        <v/>
      </c>
      <c r="BI337" s="503" t="s">
        <v>621</v>
      </c>
      <c r="BJ337" s="503" t="str">
        <f>IF($G337="","",IF(AND($G337&gt;=30,$AT$3&lt;=BI$7),ROUND(BI337*($AP$3+#REF!),-1),""))</f>
        <v/>
      </c>
      <c r="BK337" s="503" t="s">
        <v>621</v>
      </c>
      <c r="BL337" s="503" t="str">
        <f>IF($G337="","",IF(AND($G337&gt;=30,$AT$3&lt;=BK$7),ROUND(BK337*($AP$3+#REF!),-1),""))</f>
        <v/>
      </c>
      <c r="BM337" s="503" t="s">
        <v>621</v>
      </c>
      <c r="BN337" s="503" t="str">
        <f>IF($G337="","",IF(AND($G337&gt;=30,$AT$3&lt;=BM$7),ROUND(BM337*($AP$3+#REF!),-1),""))</f>
        <v/>
      </c>
      <c r="BO337" s="503" t="s">
        <v>621</v>
      </c>
      <c r="BP337" s="503" t="str">
        <f>IF($G337="","",IF(AND($G337&gt;=30,$AT$3&lt;=BO$7),ROUND(BO337*($AP$3+#REF!),-1),""))</f>
        <v/>
      </c>
      <c r="BQ337" s="503" t="s">
        <v>621</v>
      </c>
      <c r="BR337" s="503" t="str">
        <f>IF($G337="","",IF(AND($G337&gt;=30,$AT$3&lt;=BQ$7),ROUND(BQ337*($AP$3+#REF!),-1),""))</f>
        <v/>
      </c>
      <c r="BS337" s="503" t="s">
        <v>621</v>
      </c>
      <c r="BT337" s="503" t="str">
        <f>IF($G337="","",IF(AND($G337&gt;=30,$AT$3&lt;=BS$7),ROUND(BS337*($AP$3+#REF!),-1),""))</f>
        <v/>
      </c>
      <c r="BU337" s="503" t="s">
        <v>621</v>
      </c>
      <c r="BV337" s="503" t="str">
        <f>IF($G337="","",IF(AND($G337&gt;=30,$AT$3&lt;=BU$7),ROUND(BU337*($AP$3+#REF!),-1),""))</f>
        <v/>
      </c>
      <c r="BW337" s="503" t="s">
        <v>621</v>
      </c>
      <c r="BX337" s="503" t="str">
        <f>IF($G337="","",IF(AND($G337&gt;=30,$AT$3&lt;=BW$7),ROUND(BW337*($AP$3+#REF!),-1),""))</f>
        <v/>
      </c>
      <c r="BY337" s="503" t="s">
        <v>621</v>
      </c>
      <c r="BZ337" s="503" t="str">
        <f>IF($G337="","",IF(AND($G337&gt;=30,$AT$3&lt;=BY$7),ROUND(BY337*($AP$3+#REF!),-1),""))</f>
        <v/>
      </c>
      <c r="CA337" s="503" t="s">
        <v>621</v>
      </c>
      <c r="CB337" s="503" t="str">
        <f>IF($G337="","",IF(AND($G337&gt;=30,$AT$3&lt;=CA$7),ROUND(CA337*($AP$3+#REF!),-1),""))</f>
        <v/>
      </c>
      <c r="CC337" s="503" t="s">
        <v>621</v>
      </c>
      <c r="CD337" s="503" t="str">
        <f>IF($G337="","",IF(AND($G337&gt;=30,$AT$3&lt;=CC$7),ROUND(CC337*($AP$3+#REF!),-1),""))</f>
        <v/>
      </c>
      <c r="CE337" s="503" t="s">
        <v>621</v>
      </c>
      <c r="CF337" s="503" t="str">
        <f>IF($G337="","",IF(AND($G337&gt;=30,$AT$3&lt;=CE$7),ROUND(CE337*($AP$3+#REF!),-1),""))</f>
        <v/>
      </c>
      <c r="CG337" s="503" t="s">
        <v>621</v>
      </c>
      <c r="CH337" s="503" t="str">
        <f>IF($G337="","",IF(AND($G337&gt;=30,$AT$3&lt;=CG$7),ROUND(CG337*($AP$3+#REF!),-1),""))</f>
        <v/>
      </c>
      <c r="CI337" s="517" t="e">
        <v>#REF!</v>
      </c>
      <c r="CJ337" s="503" t="str">
        <f>IF($G337="","",IF(AND($G337&gt;=30,$AT$3&lt;=CI$7),ROUND(CI337*($AP$3+#REF!),-1),""))</f>
        <v/>
      </c>
      <c r="CK337" s="517"/>
      <c r="CL337" s="503" t="str">
        <f>IF($G337="","",IF(AND($G337&gt;=30,$AT$3&lt;=CK$7),ROUND(CK337*($AP$3+#REF!),-1),""))</f>
        <v/>
      </c>
      <c r="CM337" s="517"/>
      <c r="CN337" s="503" t="str">
        <f>IF($G337="","",IF(AND($G337&gt;=30,$AT$3&lt;=CM$7),ROUND(CM337*($AP$3+#REF!),-1),""))</f>
        <v/>
      </c>
      <c r="CO337" s="517"/>
      <c r="CP337" s="503" t="str">
        <f>IF($G337="","",IF(AND($G337&gt;=30,$AT$3&lt;=CO$7),ROUND(CO337*($AP$3+#REF!),-1),""))</f>
        <v/>
      </c>
      <c r="CQ337" s="517"/>
      <c r="CR337" s="503" t="str">
        <f>IF($G337="","",IF(AND($G337&gt;=30,$AT$3&lt;=CQ$7),ROUND(CQ337*($AP$3+#REF!),-1),""))</f>
        <v/>
      </c>
      <c r="CS337" s="517"/>
      <c r="CT337" s="503" t="str">
        <f>IF($G337="","",IF(AND($G337&gt;=30,$AT$3&lt;=CS$7),ROUND(CS337*($AP$3+#REF!),-1),""))</f>
        <v/>
      </c>
      <c r="CU337" s="517"/>
      <c r="CV337" s="503" t="str">
        <f>IF($G337="","",IF(AND($G337&gt;=30,$AT$3&lt;=CU$7),ROUND(CU337*($AP$3+#REF!),-1),""))</f>
        <v/>
      </c>
      <c r="CW337" s="517"/>
      <c r="CX337" s="503" t="str">
        <f>IF($G337="","",IF(AND($G337&gt;=30,$AT$3&lt;=CW$7),ROUND(CW337*($AP$3+#REF!),-1),""))</f>
        <v/>
      </c>
      <c r="CY337" s="517"/>
      <c r="CZ337" s="503" t="str">
        <f>IF($G337="","",IF(AND($G337&gt;=30,$AT$3&lt;=CY$7),ROUND(CY337*($AP$3+#REF!),-1),""))</f>
        <v/>
      </c>
      <c r="DA337" s="517"/>
      <c r="DB337" s="503" t="str">
        <f>IF($G337="","",IF(AND($G337&gt;=30,$AT$3&lt;=DA$7),ROUND(DA337*($AP$3+#REF!),-1),""))</f>
        <v/>
      </c>
      <c r="DC337" s="517"/>
      <c r="DD337" s="503" t="str">
        <f>IF($G337="","",IF(AND($G337&gt;=30,$AT$3&lt;=DC$7),ROUND(DC337*($AP$3+#REF!),-1),""))</f>
        <v/>
      </c>
      <c r="DE337" s="517"/>
      <c r="DF337" s="503" t="str">
        <f>IF($G337="","",IF(AND($G337&gt;=30,$AT$3&lt;=DE$7),ROUND(DE337*($AP$3+#REF!),-1),""))</f>
        <v/>
      </c>
      <c r="DG337" s="517"/>
      <c r="DH337" s="503" t="str">
        <f>IF($G337="","",IF(AND($G337&gt;=30,$AT$3&lt;=DG$7),ROUND(DG337*($AP$3+#REF!),-1),""))</f>
        <v/>
      </c>
      <c r="DI337" s="517"/>
      <c r="DJ337" s="503" t="str">
        <f>IF($G337="","",IF(AND($G337&gt;=30,$AT$3&lt;=DI$7),ROUND(DI337*($AP$3+#REF!),-1),""))</f>
        <v/>
      </c>
      <c r="DK337" s="517"/>
      <c r="DL337" s="503" t="str">
        <f>IF($G337="","",IF(AND($G337&gt;=30,$AT$3&lt;=DK$7),ROUND(DK337*($AP$3+#REF!),-1),""))</f>
        <v/>
      </c>
      <c r="DM337" s="517"/>
      <c r="DN337" s="503" t="str">
        <f>IF($G337="","",IF(AND($G337&gt;=30,$AT$3&lt;=DM$7),ROUND(DM337*($AP$3+#REF!),-1),""))</f>
        <v/>
      </c>
      <c r="DO337" s="517"/>
      <c r="DP337" s="503" t="str">
        <f>IF($G337="","",IF(AND($G337&gt;=30,$AT$3&lt;=DO$7),ROUND(DO337*($AP$3+#REF!),-1),""))</f>
        <v/>
      </c>
      <c r="DQ337" s="517"/>
      <c r="DR337" s="503" t="str">
        <f>IF($G337="","",IF(AND($G337&gt;=30,$AT$3&lt;=DQ$7),ROUND(DQ337*($AP$3+#REF!),-1),""))</f>
        <v/>
      </c>
      <c r="DS337" s="517"/>
      <c r="DT337" s="503" t="str">
        <f>IF($G337="","",IF(AND($G337&gt;=30,$AT$3&lt;=DS$7),ROUND(DS337*($AP$3+#REF!),-1),""))</f>
        <v/>
      </c>
      <c r="DU337" s="517"/>
      <c r="DV337" s="503" t="str">
        <f>IF($G337="","",IF(AND($G337&gt;=30,$AT$3&lt;=DU$7),ROUND(DU337*($AP$3+#REF!),-1),""))</f>
        <v/>
      </c>
      <c r="DW337" s="517"/>
      <c r="DX337" s="503" t="str">
        <f>IF($G337="","",IF(AND($G337&gt;=30,$AT$3&lt;=DW$7),ROUND(DW337*($AP$3+#REF!),-1),""))</f>
        <v/>
      </c>
      <c r="DY337" s="517"/>
      <c r="DZ337" s="503" t="str">
        <f>IF($G337="","",IF(AND($G337&gt;=30,$AT$3&lt;=DY$7),ROUND(DY337*($AP$3+#REF!),-1),""))</f>
        <v/>
      </c>
      <c r="EA337" s="517"/>
      <c r="EB337" s="503" t="str">
        <f>IF($G337="","",IF(AND($G337&gt;=30,$AT$3&lt;=EA$7),ROUND(EA337*($AP$3+#REF!),-1),""))</f>
        <v/>
      </c>
      <c r="EC337" s="504" t="s">
        <v>621</v>
      </c>
      <c r="ED337" s="1124"/>
      <c r="EE337" s="325">
        <v>5</v>
      </c>
    </row>
    <row r="338" spans="1:135" ht="9.75" customHeight="1">
      <c r="A338" s="321" t="str">
        <f t="shared" si="82"/>
        <v/>
      </c>
      <c r="B338" s="567">
        <f>(ii!$D$13*12+V338)+1</f>
        <v>232</v>
      </c>
      <c r="C338" s="337">
        <f t="shared" si="86"/>
        <v>52412</v>
      </c>
      <c r="D338" s="484">
        <f t="shared" si="75"/>
        <v>2043</v>
      </c>
      <c r="E338" s="484">
        <f t="shared" si="87"/>
        <v>0.5</v>
      </c>
      <c r="F338" s="484">
        <f t="shared" si="76"/>
        <v>2043.5</v>
      </c>
      <c r="G338" s="485" t="str">
        <f>IF(OR(C338&lt;$I$2,C338&gt;$J$3),"",(ii!$D$13*12+V338+1)/12)</f>
        <v/>
      </c>
      <c r="H338" s="486"/>
      <c r="I338" s="486"/>
      <c r="J338" s="487"/>
      <c r="K338" s="488"/>
      <c r="L338" s="548"/>
      <c r="M338" s="489" t="str">
        <f t="shared" si="77"/>
        <v/>
      </c>
      <c r="N338" s="490" t="s">
        <v>621</v>
      </c>
      <c r="O338" s="490" t="str">
        <f t="shared" si="84"/>
        <v/>
      </c>
      <c r="P338" s="491"/>
      <c r="Q338" s="491"/>
      <c r="R338" s="491" t="str">
        <f t="shared" si="85"/>
        <v/>
      </c>
      <c r="S338" s="528" t="str">
        <f t="shared" si="83"/>
        <v/>
      </c>
      <c r="T338" s="528" t="str">
        <f t="shared" si="81"/>
        <v/>
      </c>
      <c r="U338" s="493" t="str">
        <f>IF(H338="","",#REF!*12+#REF!+#REF!*12+#REF!)</f>
        <v/>
      </c>
      <c r="V338" s="338">
        <f>IF(ii!$J$3&gt;gg!C338,"",IF(AND((YEAR(C338)=YEAR($I$2)),MONTH(C338)=MONTH($I$2)),ii!$B$14*12+ii!$C$14+ii!$B$15*12+ii!$C$15-1,V337+1))</f>
        <v>231</v>
      </c>
      <c r="W338" s="339">
        <f t="shared" si="74"/>
        <v>19.25</v>
      </c>
      <c r="X338" s="494" t="s">
        <v>621</v>
      </c>
      <c r="Y338" s="495" t="s">
        <v>621</v>
      </c>
      <c r="Z338" s="496"/>
      <c r="AA338" s="497"/>
      <c r="AB338" s="498" t="e">
        <f t="shared" si="80"/>
        <v>#VALUE!</v>
      </c>
      <c r="AC338" s="484" t="str">
        <f t="shared" si="78"/>
        <v/>
      </c>
      <c r="AD338" s="495" t="str">
        <f t="shared" si="79"/>
        <v/>
      </c>
      <c r="AE338" s="499" t="s">
        <v>621</v>
      </c>
      <c r="AF338" s="500" t="s">
        <v>621</v>
      </c>
      <c r="AG338" s="556" t="s">
        <v>621</v>
      </c>
      <c r="AH338" s="503" t="str">
        <f>IF($G338="","",IF(AND($G338&gt;=30,$AT$3&lt;=AG$7),ROUND(AG338*($AP$3+#REF!),-1),""))</f>
        <v/>
      </c>
      <c r="AI338" s="506" t="s">
        <v>621</v>
      </c>
      <c r="AJ338" s="503" t="str">
        <f>IF($G338="","",IF(AND($G338&gt;=30,$AT$3&lt;=AI$7),ROUND(AI338*($AP$3+#REF!),-1),""))</f>
        <v/>
      </c>
      <c r="AK338" s="506" t="s">
        <v>621</v>
      </c>
      <c r="AL338" s="503" t="str">
        <f>IF($G338="","",IF(AND($G338&gt;=30,$AT$3&lt;=AK$7),ROUND(AK338*($AP$3+#REF!),-1),""))</f>
        <v/>
      </c>
      <c r="AM338" s="506" t="s">
        <v>621</v>
      </c>
      <c r="AN338" s="503" t="str">
        <f>IF($G338="","",IF(AND($G338&gt;=30,$AT$3&lt;=AM$7),ROUND(AM338*($AP$3+#REF!),-1),""))</f>
        <v/>
      </c>
      <c r="AO338" s="503" t="e">
        <v>#REF!</v>
      </c>
      <c r="AP338" s="503" t="str">
        <f>IF($G338="","",IF(AND($G338&gt;=30,$AT$3&lt;=AO$7),ROUND(AO338*($AP$3+#REF!),-1),""))</f>
        <v/>
      </c>
      <c r="AQ338" s="503" t="s">
        <v>621</v>
      </c>
      <c r="AR338" s="503" t="str">
        <f>IF($G338="","",IF(AND($G338&gt;=30,$AT$3&lt;=AQ$7),ROUND(AQ338*($AP$3+#REF!),-1),""))</f>
        <v/>
      </c>
      <c r="AS338" s="503" t="s">
        <v>621</v>
      </c>
      <c r="AT338" s="503" t="str">
        <f>IF($G338="","",IF(AND($G338&gt;=30,$AT$3&lt;=AS$7),ROUND(AS338*($AP$3+#REF!),-1),""))</f>
        <v/>
      </c>
      <c r="AU338" s="503" t="s">
        <v>621</v>
      </c>
      <c r="AV338" s="503" t="str">
        <f>IF($G338="","",IF(AND($G338&gt;=30,$AT$3&lt;=AU$7),ROUND(AU338*($AP$3+#REF!),-1),""))</f>
        <v/>
      </c>
      <c r="AW338" s="503" t="s">
        <v>621</v>
      </c>
      <c r="AX338" s="503" t="str">
        <f>IF($G338="","",IF(AND($G338&gt;=30,$AT$3&lt;=AW$7),ROUND(AW338*($AP$3+#REF!),-1),""))</f>
        <v/>
      </c>
      <c r="AY338" s="503" t="s">
        <v>621</v>
      </c>
      <c r="AZ338" s="503" t="str">
        <f>IF($G338="","",IF(AND($G338&gt;=30,$AT$3&lt;=AY$7),ROUND(AY338*($AP$3+#REF!),-1),""))</f>
        <v/>
      </c>
      <c r="BA338" s="503" t="s">
        <v>621</v>
      </c>
      <c r="BB338" s="503" t="str">
        <f>IF($G338="","",IF(AND($G338&gt;=30,$AT$3&lt;=BA$7),ROUND(BA338*($AP$3+#REF!),-1),""))</f>
        <v/>
      </c>
      <c r="BC338" s="503" t="s">
        <v>621</v>
      </c>
      <c r="BD338" s="503" t="str">
        <f>IF($G338="","",IF(AND($G338&gt;=30,$AT$3&lt;=BC$7),ROUND(BC338*($AP$3+#REF!),-1),""))</f>
        <v/>
      </c>
      <c r="BE338" s="503" t="s">
        <v>621</v>
      </c>
      <c r="BF338" s="503" t="str">
        <f>IF($G338="","",IF(AND($G338&gt;=30,$AT$3&lt;=BE$7),ROUND(BE338*($AP$3+#REF!),-1),""))</f>
        <v/>
      </c>
      <c r="BG338" s="503" t="s">
        <v>621</v>
      </c>
      <c r="BH338" s="503" t="str">
        <f>IF($G338="","",IF(AND($G338&gt;=30,$AT$3&lt;=BG$7),ROUND(BG338*($AP$3+#REF!),-1),""))</f>
        <v/>
      </c>
      <c r="BI338" s="503" t="s">
        <v>621</v>
      </c>
      <c r="BJ338" s="503" t="str">
        <f>IF($G338="","",IF(AND($G338&gt;=30,$AT$3&lt;=BI$7),ROUND(BI338*($AP$3+#REF!),-1),""))</f>
        <v/>
      </c>
      <c r="BK338" s="503" t="s">
        <v>621</v>
      </c>
      <c r="BL338" s="503" t="str">
        <f>IF($G338="","",IF(AND($G338&gt;=30,$AT$3&lt;=BK$7),ROUND(BK338*($AP$3+#REF!),-1),""))</f>
        <v/>
      </c>
      <c r="BM338" s="503" t="s">
        <v>621</v>
      </c>
      <c r="BN338" s="503" t="str">
        <f>IF($G338="","",IF(AND($G338&gt;=30,$AT$3&lt;=BM$7),ROUND(BM338*($AP$3+#REF!),-1),""))</f>
        <v/>
      </c>
      <c r="BO338" s="503" t="s">
        <v>621</v>
      </c>
      <c r="BP338" s="503" t="str">
        <f>IF($G338="","",IF(AND($G338&gt;=30,$AT$3&lt;=BO$7),ROUND(BO338*($AP$3+#REF!),-1),""))</f>
        <v/>
      </c>
      <c r="BQ338" s="503" t="s">
        <v>621</v>
      </c>
      <c r="BR338" s="503" t="str">
        <f>IF($G338="","",IF(AND($G338&gt;=30,$AT$3&lt;=BQ$7),ROUND(BQ338*($AP$3+#REF!),-1),""))</f>
        <v/>
      </c>
      <c r="BS338" s="503" t="s">
        <v>621</v>
      </c>
      <c r="BT338" s="503" t="str">
        <f>IF($G338="","",IF(AND($G338&gt;=30,$AT$3&lt;=BS$7),ROUND(BS338*($AP$3+#REF!),-1),""))</f>
        <v/>
      </c>
      <c r="BU338" s="503" t="s">
        <v>621</v>
      </c>
      <c r="BV338" s="503" t="str">
        <f>IF($G338="","",IF(AND($G338&gt;=30,$AT$3&lt;=BU$7),ROUND(BU338*($AP$3+#REF!),-1),""))</f>
        <v/>
      </c>
      <c r="BW338" s="503" t="s">
        <v>621</v>
      </c>
      <c r="BX338" s="503" t="str">
        <f>IF($G338="","",IF(AND($G338&gt;=30,$AT$3&lt;=BW$7),ROUND(BW338*($AP$3+#REF!),-1),""))</f>
        <v/>
      </c>
      <c r="BY338" s="503" t="s">
        <v>621</v>
      </c>
      <c r="BZ338" s="503" t="str">
        <f>IF($G338="","",IF(AND($G338&gt;=30,$AT$3&lt;=BY$7),ROUND(BY338*($AP$3+#REF!),-1),""))</f>
        <v/>
      </c>
      <c r="CA338" s="503" t="s">
        <v>621</v>
      </c>
      <c r="CB338" s="503" t="str">
        <f>IF($G338="","",IF(AND($G338&gt;=30,$AT$3&lt;=CA$7),ROUND(CA338*($AP$3+#REF!),-1),""))</f>
        <v/>
      </c>
      <c r="CC338" s="503" t="s">
        <v>621</v>
      </c>
      <c r="CD338" s="503" t="str">
        <f>IF($G338="","",IF(AND($G338&gt;=30,$AT$3&lt;=CC$7),ROUND(CC338*($AP$3+#REF!),-1),""))</f>
        <v/>
      </c>
      <c r="CE338" s="503" t="s">
        <v>621</v>
      </c>
      <c r="CF338" s="503" t="str">
        <f>IF($G338="","",IF(AND($G338&gt;=30,$AT$3&lt;=CE$7),ROUND(CE338*($AP$3+#REF!),-1),""))</f>
        <v/>
      </c>
      <c r="CG338" s="503" t="s">
        <v>621</v>
      </c>
      <c r="CH338" s="503" t="str">
        <f>IF($G338="","",IF(AND($G338&gt;=30,$AT$3&lt;=CG$7),ROUND(CG338*($AP$3+#REF!),-1),""))</f>
        <v/>
      </c>
      <c r="CI338" s="517" t="e">
        <v>#REF!</v>
      </c>
      <c r="CJ338" s="503" t="str">
        <f>IF($G338="","",IF(AND($G338&gt;=30,$AT$3&lt;=CI$7),ROUND(CI338*($AP$3+#REF!),-1),""))</f>
        <v/>
      </c>
      <c r="CK338" s="517"/>
      <c r="CL338" s="503" t="str">
        <f>IF($G338="","",IF(AND($G338&gt;=30,$AT$3&lt;=CK$7),ROUND(CK338*($AP$3+#REF!),-1),""))</f>
        <v/>
      </c>
      <c r="CM338" s="517"/>
      <c r="CN338" s="503" t="str">
        <f>IF($G338="","",IF(AND($G338&gt;=30,$AT$3&lt;=CM$7),ROUND(CM338*($AP$3+#REF!),-1),""))</f>
        <v/>
      </c>
      <c r="CO338" s="517"/>
      <c r="CP338" s="503" t="str">
        <f>IF($G338="","",IF(AND($G338&gt;=30,$AT$3&lt;=CO$7),ROUND(CO338*($AP$3+#REF!),-1),""))</f>
        <v/>
      </c>
      <c r="CQ338" s="517"/>
      <c r="CR338" s="503" t="str">
        <f>IF($G338="","",IF(AND($G338&gt;=30,$AT$3&lt;=CQ$7),ROUND(CQ338*($AP$3+#REF!),-1),""))</f>
        <v/>
      </c>
      <c r="CS338" s="517"/>
      <c r="CT338" s="503" t="str">
        <f>IF($G338="","",IF(AND($G338&gt;=30,$AT$3&lt;=CS$7),ROUND(CS338*($AP$3+#REF!),-1),""))</f>
        <v/>
      </c>
      <c r="CU338" s="517"/>
      <c r="CV338" s="503" t="str">
        <f>IF($G338="","",IF(AND($G338&gt;=30,$AT$3&lt;=CU$7),ROUND(CU338*($AP$3+#REF!),-1),""))</f>
        <v/>
      </c>
      <c r="CW338" s="517"/>
      <c r="CX338" s="503" t="str">
        <f>IF($G338="","",IF(AND($G338&gt;=30,$AT$3&lt;=CW$7),ROUND(CW338*($AP$3+#REF!),-1),""))</f>
        <v/>
      </c>
      <c r="CY338" s="517"/>
      <c r="CZ338" s="503" t="str">
        <f>IF($G338="","",IF(AND($G338&gt;=30,$AT$3&lt;=CY$7),ROUND(CY338*($AP$3+#REF!),-1),""))</f>
        <v/>
      </c>
      <c r="DA338" s="517"/>
      <c r="DB338" s="503" t="str">
        <f>IF($G338="","",IF(AND($G338&gt;=30,$AT$3&lt;=DA$7),ROUND(DA338*($AP$3+#REF!),-1),""))</f>
        <v/>
      </c>
      <c r="DC338" s="517"/>
      <c r="DD338" s="503" t="str">
        <f>IF($G338="","",IF(AND($G338&gt;=30,$AT$3&lt;=DC$7),ROUND(DC338*($AP$3+#REF!),-1),""))</f>
        <v/>
      </c>
      <c r="DE338" s="517"/>
      <c r="DF338" s="503" t="str">
        <f>IF($G338="","",IF(AND($G338&gt;=30,$AT$3&lt;=DE$7),ROUND(DE338*($AP$3+#REF!),-1),""))</f>
        <v/>
      </c>
      <c r="DG338" s="517"/>
      <c r="DH338" s="503" t="str">
        <f>IF($G338="","",IF(AND($G338&gt;=30,$AT$3&lt;=DG$7),ROUND(DG338*($AP$3+#REF!),-1),""))</f>
        <v/>
      </c>
      <c r="DI338" s="517"/>
      <c r="DJ338" s="503" t="str">
        <f>IF($G338="","",IF(AND($G338&gt;=30,$AT$3&lt;=DI$7),ROUND(DI338*($AP$3+#REF!),-1),""))</f>
        <v/>
      </c>
      <c r="DK338" s="517"/>
      <c r="DL338" s="503" t="str">
        <f>IF($G338="","",IF(AND($G338&gt;=30,$AT$3&lt;=DK$7),ROUND(DK338*($AP$3+#REF!),-1),""))</f>
        <v/>
      </c>
      <c r="DM338" s="517"/>
      <c r="DN338" s="503" t="str">
        <f>IF($G338="","",IF(AND($G338&gt;=30,$AT$3&lt;=DM$7),ROUND(DM338*($AP$3+#REF!),-1),""))</f>
        <v/>
      </c>
      <c r="DO338" s="517"/>
      <c r="DP338" s="503" t="str">
        <f>IF($G338="","",IF(AND($G338&gt;=30,$AT$3&lt;=DO$7),ROUND(DO338*($AP$3+#REF!),-1),""))</f>
        <v/>
      </c>
      <c r="DQ338" s="517"/>
      <c r="DR338" s="503" t="str">
        <f>IF($G338="","",IF(AND($G338&gt;=30,$AT$3&lt;=DQ$7),ROUND(DQ338*($AP$3+#REF!),-1),""))</f>
        <v/>
      </c>
      <c r="DS338" s="517"/>
      <c r="DT338" s="503" t="str">
        <f>IF($G338="","",IF(AND($G338&gt;=30,$AT$3&lt;=DS$7),ROUND(DS338*($AP$3+#REF!),-1),""))</f>
        <v/>
      </c>
      <c r="DU338" s="517"/>
      <c r="DV338" s="503" t="str">
        <f>IF($G338="","",IF(AND($G338&gt;=30,$AT$3&lt;=DU$7),ROUND(DU338*($AP$3+#REF!),-1),""))</f>
        <v/>
      </c>
      <c r="DW338" s="517"/>
      <c r="DX338" s="503" t="str">
        <f>IF($G338="","",IF(AND($G338&gt;=30,$AT$3&lt;=DW$7),ROUND(DW338*($AP$3+#REF!),-1),""))</f>
        <v/>
      </c>
      <c r="DY338" s="517"/>
      <c r="DZ338" s="503" t="str">
        <f>IF($G338="","",IF(AND($G338&gt;=30,$AT$3&lt;=DY$7),ROUND(DY338*($AP$3+#REF!),-1),""))</f>
        <v/>
      </c>
      <c r="EA338" s="517"/>
      <c r="EB338" s="503" t="str">
        <f>IF($G338="","",IF(AND($G338&gt;=30,$AT$3&lt;=EA$7),ROUND(EA338*($AP$3+#REF!),-1),""))</f>
        <v/>
      </c>
      <c r="EC338" s="504" t="s">
        <v>621</v>
      </c>
      <c r="ED338" s="1124"/>
      <c r="EE338" s="325">
        <v>6</v>
      </c>
    </row>
    <row r="339" spans="1:135" ht="9.75" customHeight="1">
      <c r="A339" s="321" t="str">
        <f t="shared" si="82"/>
        <v/>
      </c>
      <c r="B339" s="567">
        <f>(ii!$D$13*12+V339)+1</f>
        <v>233</v>
      </c>
      <c r="C339" s="337">
        <f t="shared" si="86"/>
        <v>52443</v>
      </c>
      <c r="D339" s="484">
        <f t="shared" si="75"/>
        <v>2043</v>
      </c>
      <c r="E339" s="484">
        <f t="shared" si="87"/>
        <v>0.58333333333333337</v>
      </c>
      <c r="F339" s="484">
        <f t="shared" si="76"/>
        <v>2043.5833333333333</v>
      </c>
      <c r="G339" s="485" t="str">
        <f>IF(OR(C339&lt;$I$2,C339&gt;$J$3),"",(ii!$D$13*12+V339+1)/12)</f>
        <v/>
      </c>
      <c r="H339" s="486"/>
      <c r="I339" s="486"/>
      <c r="J339" s="487"/>
      <c r="K339" s="488"/>
      <c r="L339" s="548"/>
      <c r="M339" s="489" t="str">
        <f t="shared" si="77"/>
        <v/>
      </c>
      <c r="N339" s="490" t="s">
        <v>621</v>
      </c>
      <c r="O339" s="490" t="str">
        <f t="shared" si="84"/>
        <v/>
      </c>
      <c r="P339" s="491"/>
      <c r="Q339" s="491"/>
      <c r="R339" s="491" t="str">
        <f t="shared" si="85"/>
        <v/>
      </c>
      <c r="S339" s="528" t="str">
        <f t="shared" si="83"/>
        <v/>
      </c>
      <c r="T339" s="528" t="str">
        <f t="shared" si="81"/>
        <v/>
      </c>
      <c r="U339" s="493" t="str">
        <f>IF(H339="","",#REF!*12+#REF!+#REF!*12+#REF!)</f>
        <v/>
      </c>
      <c r="V339" s="338">
        <f>IF(ii!$J$3&gt;gg!C339,"",IF(AND((YEAR(C339)=YEAR($I$2)),MONTH(C339)=MONTH($I$2)),ii!$B$14*12+ii!$C$14+ii!$B$15*12+ii!$C$15-1,V338+1))</f>
        <v>232</v>
      </c>
      <c r="W339" s="339">
        <f t="shared" ref="W339:W402" si="88">IF(V340="","",(V340-1)/12)</f>
        <v>19.333333333333332</v>
      </c>
      <c r="X339" s="494" t="s">
        <v>621</v>
      </c>
      <c r="Y339" s="495" t="s">
        <v>621</v>
      </c>
      <c r="Z339" s="496"/>
      <c r="AA339" s="497"/>
      <c r="AB339" s="498" t="e">
        <f t="shared" si="80"/>
        <v>#VALUE!</v>
      </c>
      <c r="AC339" s="484" t="str">
        <f t="shared" si="78"/>
        <v/>
      </c>
      <c r="AD339" s="495" t="str">
        <f t="shared" si="79"/>
        <v/>
      </c>
      <c r="AE339" s="499" t="s">
        <v>621</v>
      </c>
      <c r="AF339" s="500" t="s">
        <v>621</v>
      </c>
      <c r="AG339" s="556" t="s">
        <v>621</v>
      </c>
      <c r="AH339" s="503" t="str">
        <f>IF($G339="","",IF(AND($G339&gt;=30,$AT$3&lt;=AG$7),ROUND(AG339*($AP$3+#REF!),-1),""))</f>
        <v/>
      </c>
      <c r="AI339" s="506" t="s">
        <v>621</v>
      </c>
      <c r="AJ339" s="503" t="str">
        <f>IF($G339="","",IF(AND($G339&gt;=30,$AT$3&lt;=AI$7),ROUND(AI339*($AP$3+#REF!),-1),""))</f>
        <v/>
      </c>
      <c r="AK339" s="506" t="s">
        <v>621</v>
      </c>
      <c r="AL339" s="503" t="str">
        <f>IF($G339="","",IF(AND($G339&gt;=30,$AT$3&lt;=AK$7),ROUND(AK339*($AP$3+#REF!),-1),""))</f>
        <v/>
      </c>
      <c r="AM339" s="506" t="s">
        <v>621</v>
      </c>
      <c r="AN339" s="503" t="str">
        <f>IF($G339="","",IF(AND($G339&gt;=30,$AT$3&lt;=AM$7),ROUND(AM339*($AP$3+#REF!),-1),""))</f>
        <v/>
      </c>
      <c r="AO339" s="503" t="e">
        <v>#REF!</v>
      </c>
      <c r="AP339" s="503" t="str">
        <f>IF($G339="","",IF(AND($G339&gt;=30,$AT$3&lt;=AO$7),ROUND(AO339*($AP$3+#REF!),-1),""))</f>
        <v/>
      </c>
      <c r="AQ339" s="503" t="s">
        <v>621</v>
      </c>
      <c r="AR339" s="503" t="str">
        <f>IF($G339="","",IF(AND($G339&gt;=30,$AT$3&lt;=AQ$7),ROUND(AQ339*($AP$3+#REF!),-1),""))</f>
        <v/>
      </c>
      <c r="AS339" s="503" t="s">
        <v>621</v>
      </c>
      <c r="AT339" s="503" t="str">
        <f>IF($G339="","",IF(AND($G339&gt;=30,$AT$3&lt;=AS$7),ROUND(AS339*($AP$3+#REF!),-1),""))</f>
        <v/>
      </c>
      <c r="AU339" s="503" t="s">
        <v>621</v>
      </c>
      <c r="AV339" s="503" t="str">
        <f>IF($G339="","",IF(AND($G339&gt;=30,$AT$3&lt;=AU$7),ROUND(AU339*($AP$3+#REF!),-1),""))</f>
        <v/>
      </c>
      <c r="AW339" s="503" t="s">
        <v>621</v>
      </c>
      <c r="AX339" s="503" t="str">
        <f>IF($G339="","",IF(AND($G339&gt;=30,$AT$3&lt;=AW$7),ROUND(AW339*($AP$3+#REF!),-1),""))</f>
        <v/>
      </c>
      <c r="AY339" s="503" t="s">
        <v>621</v>
      </c>
      <c r="AZ339" s="503" t="str">
        <f>IF($G339="","",IF(AND($G339&gt;=30,$AT$3&lt;=AY$7),ROUND(AY339*($AP$3+#REF!),-1),""))</f>
        <v/>
      </c>
      <c r="BA339" s="503" t="s">
        <v>621</v>
      </c>
      <c r="BB339" s="503" t="str">
        <f>IF($G339="","",IF(AND($G339&gt;=30,$AT$3&lt;=BA$7),ROUND(BA339*($AP$3+#REF!),-1),""))</f>
        <v/>
      </c>
      <c r="BC339" s="503" t="s">
        <v>621</v>
      </c>
      <c r="BD339" s="503" t="str">
        <f>IF($G339="","",IF(AND($G339&gt;=30,$AT$3&lt;=BC$7),ROUND(BC339*($AP$3+#REF!),-1),""))</f>
        <v/>
      </c>
      <c r="BE339" s="503" t="s">
        <v>621</v>
      </c>
      <c r="BF339" s="503" t="str">
        <f>IF($G339="","",IF(AND($G339&gt;=30,$AT$3&lt;=BE$7),ROUND(BE339*($AP$3+#REF!),-1),""))</f>
        <v/>
      </c>
      <c r="BG339" s="503" t="s">
        <v>621</v>
      </c>
      <c r="BH339" s="503" t="str">
        <f>IF($G339="","",IF(AND($G339&gt;=30,$AT$3&lt;=BG$7),ROUND(BG339*($AP$3+#REF!),-1),""))</f>
        <v/>
      </c>
      <c r="BI339" s="503" t="s">
        <v>621</v>
      </c>
      <c r="BJ339" s="503" t="str">
        <f>IF($G339="","",IF(AND($G339&gt;=30,$AT$3&lt;=BI$7),ROUND(BI339*($AP$3+#REF!),-1),""))</f>
        <v/>
      </c>
      <c r="BK339" s="503" t="s">
        <v>621</v>
      </c>
      <c r="BL339" s="503" t="str">
        <f>IF($G339="","",IF(AND($G339&gt;=30,$AT$3&lt;=BK$7),ROUND(BK339*($AP$3+#REF!),-1),""))</f>
        <v/>
      </c>
      <c r="BM339" s="503" t="s">
        <v>621</v>
      </c>
      <c r="BN339" s="503" t="str">
        <f>IF($G339="","",IF(AND($G339&gt;=30,$AT$3&lt;=BM$7),ROUND(BM339*($AP$3+#REF!),-1),""))</f>
        <v/>
      </c>
      <c r="BO339" s="503" t="s">
        <v>621</v>
      </c>
      <c r="BP339" s="503" t="str">
        <f>IF($G339="","",IF(AND($G339&gt;=30,$AT$3&lt;=BO$7),ROUND(BO339*($AP$3+#REF!),-1),""))</f>
        <v/>
      </c>
      <c r="BQ339" s="503" t="s">
        <v>621</v>
      </c>
      <c r="BR339" s="503" t="str">
        <f>IF($G339="","",IF(AND($G339&gt;=30,$AT$3&lt;=BQ$7),ROUND(BQ339*($AP$3+#REF!),-1),""))</f>
        <v/>
      </c>
      <c r="BS339" s="503" t="s">
        <v>621</v>
      </c>
      <c r="BT339" s="503" t="str">
        <f>IF($G339="","",IF(AND($G339&gt;=30,$AT$3&lt;=BS$7),ROUND(BS339*($AP$3+#REF!),-1),""))</f>
        <v/>
      </c>
      <c r="BU339" s="503" t="s">
        <v>621</v>
      </c>
      <c r="BV339" s="503" t="str">
        <f>IF($G339="","",IF(AND($G339&gt;=30,$AT$3&lt;=BU$7),ROUND(BU339*($AP$3+#REF!),-1),""))</f>
        <v/>
      </c>
      <c r="BW339" s="503" t="s">
        <v>621</v>
      </c>
      <c r="BX339" s="503" t="str">
        <f>IF($G339="","",IF(AND($G339&gt;=30,$AT$3&lt;=BW$7),ROUND(BW339*($AP$3+#REF!),-1),""))</f>
        <v/>
      </c>
      <c r="BY339" s="503" t="s">
        <v>621</v>
      </c>
      <c r="BZ339" s="503" t="str">
        <f>IF($G339="","",IF(AND($G339&gt;=30,$AT$3&lt;=BY$7),ROUND(BY339*($AP$3+#REF!),-1),""))</f>
        <v/>
      </c>
      <c r="CA339" s="503" t="s">
        <v>621</v>
      </c>
      <c r="CB339" s="503" t="str">
        <f>IF($G339="","",IF(AND($G339&gt;=30,$AT$3&lt;=CA$7),ROUND(CA339*($AP$3+#REF!),-1),""))</f>
        <v/>
      </c>
      <c r="CC339" s="503" t="s">
        <v>621</v>
      </c>
      <c r="CD339" s="503" t="str">
        <f>IF($G339="","",IF(AND($G339&gt;=30,$AT$3&lt;=CC$7),ROUND(CC339*($AP$3+#REF!),-1),""))</f>
        <v/>
      </c>
      <c r="CE339" s="503" t="s">
        <v>621</v>
      </c>
      <c r="CF339" s="503" t="str">
        <f>IF($G339="","",IF(AND($G339&gt;=30,$AT$3&lt;=CE$7),ROUND(CE339*($AP$3+#REF!),-1),""))</f>
        <v/>
      </c>
      <c r="CG339" s="503" t="s">
        <v>621</v>
      </c>
      <c r="CH339" s="503" t="str">
        <f>IF($G339="","",IF(AND($G339&gt;=30,$AT$3&lt;=CG$7),ROUND(CG339*($AP$3+#REF!),-1),""))</f>
        <v/>
      </c>
      <c r="CI339" s="517" t="e">
        <v>#REF!</v>
      </c>
      <c r="CJ339" s="503" t="str">
        <f>IF($G339="","",IF(AND($G339&gt;=30,$AT$3&lt;=CI$7),ROUND(CI339*($AP$3+#REF!),-1),""))</f>
        <v/>
      </c>
      <c r="CK339" s="517"/>
      <c r="CL339" s="503" t="str">
        <f>IF($G339="","",IF(AND($G339&gt;=30,$AT$3&lt;=CK$7),ROUND(CK339*($AP$3+#REF!),-1),""))</f>
        <v/>
      </c>
      <c r="CM339" s="517"/>
      <c r="CN339" s="503" t="str">
        <f>IF($G339="","",IF(AND($G339&gt;=30,$AT$3&lt;=CM$7),ROUND(CM339*($AP$3+#REF!),-1),""))</f>
        <v/>
      </c>
      <c r="CO339" s="517"/>
      <c r="CP339" s="503" t="str">
        <f>IF($G339="","",IF(AND($G339&gt;=30,$AT$3&lt;=CO$7),ROUND(CO339*($AP$3+#REF!),-1),""))</f>
        <v/>
      </c>
      <c r="CQ339" s="517"/>
      <c r="CR339" s="503" t="str">
        <f>IF($G339="","",IF(AND($G339&gt;=30,$AT$3&lt;=CQ$7),ROUND(CQ339*($AP$3+#REF!),-1),""))</f>
        <v/>
      </c>
      <c r="CS339" s="517"/>
      <c r="CT339" s="503" t="str">
        <f>IF($G339="","",IF(AND($G339&gt;=30,$AT$3&lt;=CS$7),ROUND(CS339*($AP$3+#REF!),-1),""))</f>
        <v/>
      </c>
      <c r="CU339" s="517"/>
      <c r="CV339" s="503" t="str">
        <f>IF($G339="","",IF(AND($G339&gt;=30,$AT$3&lt;=CU$7),ROUND(CU339*($AP$3+#REF!),-1),""))</f>
        <v/>
      </c>
      <c r="CW339" s="517"/>
      <c r="CX339" s="503" t="str">
        <f>IF($G339="","",IF(AND($G339&gt;=30,$AT$3&lt;=CW$7),ROUND(CW339*($AP$3+#REF!),-1),""))</f>
        <v/>
      </c>
      <c r="CY339" s="517"/>
      <c r="CZ339" s="503" t="str">
        <f>IF($G339="","",IF(AND($G339&gt;=30,$AT$3&lt;=CY$7),ROUND(CY339*($AP$3+#REF!),-1),""))</f>
        <v/>
      </c>
      <c r="DA339" s="517"/>
      <c r="DB339" s="503" t="str">
        <f>IF($G339="","",IF(AND($G339&gt;=30,$AT$3&lt;=DA$7),ROUND(DA339*($AP$3+#REF!),-1),""))</f>
        <v/>
      </c>
      <c r="DC339" s="517"/>
      <c r="DD339" s="503" t="str">
        <f>IF($G339="","",IF(AND($G339&gt;=30,$AT$3&lt;=DC$7),ROUND(DC339*($AP$3+#REF!),-1),""))</f>
        <v/>
      </c>
      <c r="DE339" s="517"/>
      <c r="DF339" s="503" t="str">
        <f>IF($G339="","",IF(AND($G339&gt;=30,$AT$3&lt;=DE$7),ROUND(DE339*($AP$3+#REF!),-1),""))</f>
        <v/>
      </c>
      <c r="DG339" s="517"/>
      <c r="DH339" s="503" t="str">
        <f>IF($G339="","",IF(AND($G339&gt;=30,$AT$3&lt;=DG$7),ROUND(DG339*($AP$3+#REF!),-1),""))</f>
        <v/>
      </c>
      <c r="DI339" s="517"/>
      <c r="DJ339" s="503" t="str">
        <f>IF($G339="","",IF(AND($G339&gt;=30,$AT$3&lt;=DI$7),ROUND(DI339*($AP$3+#REF!),-1),""))</f>
        <v/>
      </c>
      <c r="DK339" s="517"/>
      <c r="DL339" s="503" t="str">
        <f>IF($G339="","",IF(AND($G339&gt;=30,$AT$3&lt;=DK$7),ROUND(DK339*($AP$3+#REF!),-1),""))</f>
        <v/>
      </c>
      <c r="DM339" s="517"/>
      <c r="DN339" s="503" t="str">
        <f>IF($G339="","",IF(AND($G339&gt;=30,$AT$3&lt;=DM$7),ROUND(DM339*($AP$3+#REF!),-1),""))</f>
        <v/>
      </c>
      <c r="DO339" s="517"/>
      <c r="DP339" s="503" t="str">
        <f>IF($G339="","",IF(AND($G339&gt;=30,$AT$3&lt;=DO$7),ROUND(DO339*($AP$3+#REF!),-1),""))</f>
        <v/>
      </c>
      <c r="DQ339" s="517"/>
      <c r="DR339" s="503" t="str">
        <f>IF($G339="","",IF(AND($G339&gt;=30,$AT$3&lt;=DQ$7),ROUND(DQ339*($AP$3+#REF!),-1),""))</f>
        <v/>
      </c>
      <c r="DS339" s="517"/>
      <c r="DT339" s="503" t="str">
        <f>IF($G339="","",IF(AND($G339&gt;=30,$AT$3&lt;=DS$7),ROUND(DS339*($AP$3+#REF!),-1),""))</f>
        <v/>
      </c>
      <c r="DU339" s="517"/>
      <c r="DV339" s="503" t="str">
        <f>IF($G339="","",IF(AND($G339&gt;=30,$AT$3&lt;=DU$7),ROUND(DU339*($AP$3+#REF!),-1),""))</f>
        <v/>
      </c>
      <c r="DW339" s="517"/>
      <c r="DX339" s="503" t="str">
        <f>IF($G339="","",IF(AND($G339&gt;=30,$AT$3&lt;=DW$7),ROUND(DW339*($AP$3+#REF!),-1),""))</f>
        <v/>
      </c>
      <c r="DY339" s="517"/>
      <c r="DZ339" s="503" t="str">
        <f>IF($G339="","",IF(AND($G339&gt;=30,$AT$3&lt;=DY$7),ROUND(DY339*($AP$3+#REF!),-1),""))</f>
        <v/>
      </c>
      <c r="EA339" s="517"/>
      <c r="EB339" s="503" t="str">
        <f>IF($G339="","",IF(AND($G339&gt;=30,$AT$3&lt;=EA$7),ROUND(EA339*($AP$3+#REF!),-1),""))</f>
        <v/>
      </c>
      <c r="EC339" s="504" t="s">
        <v>621</v>
      </c>
      <c r="ED339" s="1124"/>
      <c r="EE339" s="325">
        <v>7</v>
      </c>
    </row>
    <row r="340" spans="1:135" ht="9.75" customHeight="1">
      <c r="A340" s="321" t="str">
        <f t="shared" si="82"/>
        <v/>
      </c>
      <c r="B340" s="567">
        <f>(ii!$D$13*12+V340)+1</f>
        <v>234</v>
      </c>
      <c r="C340" s="337">
        <f t="shared" si="86"/>
        <v>52474</v>
      </c>
      <c r="D340" s="484">
        <f t="shared" si="75"/>
        <v>2043</v>
      </c>
      <c r="E340" s="484">
        <f t="shared" si="87"/>
        <v>0.66666666666666663</v>
      </c>
      <c r="F340" s="484">
        <f t="shared" si="76"/>
        <v>2043.6666666666667</v>
      </c>
      <c r="G340" s="485" t="str">
        <f>IF(OR(C340&lt;$I$2,C340&gt;$J$3),"",(ii!$D$13*12+V340+1)/12)</f>
        <v/>
      </c>
      <c r="H340" s="486"/>
      <c r="I340" s="486"/>
      <c r="J340" s="487"/>
      <c r="K340" s="488"/>
      <c r="L340" s="548"/>
      <c r="M340" s="489" t="str">
        <f t="shared" si="77"/>
        <v/>
      </c>
      <c r="N340" s="490" t="s">
        <v>621</v>
      </c>
      <c r="O340" s="490" t="str">
        <f t="shared" si="84"/>
        <v/>
      </c>
      <c r="P340" s="491"/>
      <c r="Q340" s="491"/>
      <c r="R340" s="491" t="str">
        <f t="shared" si="85"/>
        <v/>
      </c>
      <c r="S340" s="528" t="str">
        <f t="shared" si="83"/>
        <v/>
      </c>
      <c r="T340" s="528" t="str">
        <f t="shared" si="81"/>
        <v/>
      </c>
      <c r="U340" s="493" t="str">
        <f>IF(H340="","",#REF!*12+#REF!+#REF!*12+#REF!)</f>
        <v/>
      </c>
      <c r="V340" s="338">
        <f>IF(ii!$J$3&gt;gg!C340,"",IF(AND((YEAR(C340)=YEAR($I$2)),MONTH(C340)=MONTH($I$2)),ii!$B$14*12+ii!$C$14+ii!$B$15*12+ii!$C$15-1,V339+1))</f>
        <v>233</v>
      </c>
      <c r="W340" s="339">
        <f t="shared" si="88"/>
        <v>19.416666666666668</v>
      </c>
      <c r="X340" s="494" t="s">
        <v>621</v>
      </c>
      <c r="Y340" s="495" t="s">
        <v>621</v>
      </c>
      <c r="Z340" s="496"/>
      <c r="AA340" s="497"/>
      <c r="AB340" s="498" t="e">
        <f t="shared" si="80"/>
        <v>#VALUE!</v>
      </c>
      <c r="AC340" s="484" t="str">
        <f t="shared" si="78"/>
        <v/>
      </c>
      <c r="AD340" s="495" t="str">
        <f t="shared" si="79"/>
        <v/>
      </c>
      <c r="AE340" s="499" t="s">
        <v>621</v>
      </c>
      <c r="AF340" s="500" t="s">
        <v>621</v>
      </c>
      <c r="AG340" s="556" t="s">
        <v>621</v>
      </c>
      <c r="AH340" s="503" t="str">
        <f>IF($G340="","",IF(AND($G340&gt;=30,$AT$3&lt;=AG$7),ROUND(AG340*($AP$3+#REF!),-1),""))</f>
        <v/>
      </c>
      <c r="AI340" s="506" t="s">
        <v>621</v>
      </c>
      <c r="AJ340" s="503" t="str">
        <f>IF($G340="","",IF(AND($G340&gt;=30,$AT$3&lt;=AI$7),ROUND(AI340*($AP$3+#REF!),-1),""))</f>
        <v/>
      </c>
      <c r="AK340" s="506" t="s">
        <v>621</v>
      </c>
      <c r="AL340" s="503" t="str">
        <f>IF($G340="","",IF(AND($G340&gt;=30,$AT$3&lt;=AK$7),ROUND(AK340*($AP$3+#REF!),-1),""))</f>
        <v/>
      </c>
      <c r="AM340" s="506" t="s">
        <v>621</v>
      </c>
      <c r="AN340" s="503" t="str">
        <f>IF($G340="","",IF(AND($G340&gt;=30,$AT$3&lt;=AM$7),ROUND(AM340*($AP$3+#REF!),-1),""))</f>
        <v/>
      </c>
      <c r="AO340" s="503" t="e">
        <v>#REF!</v>
      </c>
      <c r="AP340" s="503" t="str">
        <f>IF($G340="","",IF(AND($G340&gt;=30,$AT$3&lt;=AO$7),ROUND(AO340*($AP$3+#REF!),-1),""))</f>
        <v/>
      </c>
      <c r="AQ340" s="503" t="s">
        <v>621</v>
      </c>
      <c r="AR340" s="503" t="str">
        <f>IF($G340="","",IF(AND($G340&gt;=30,$AT$3&lt;=AQ$7),ROUND(AQ340*($AP$3+#REF!),-1),""))</f>
        <v/>
      </c>
      <c r="AS340" s="503" t="s">
        <v>621</v>
      </c>
      <c r="AT340" s="503" t="str">
        <f>IF($G340="","",IF(AND($G340&gt;=30,$AT$3&lt;=AS$7),ROUND(AS340*($AP$3+#REF!),-1),""))</f>
        <v/>
      </c>
      <c r="AU340" s="503" t="s">
        <v>621</v>
      </c>
      <c r="AV340" s="503" t="str">
        <f>IF($G340="","",IF(AND($G340&gt;=30,$AT$3&lt;=AU$7),ROUND(AU340*($AP$3+#REF!),-1),""))</f>
        <v/>
      </c>
      <c r="AW340" s="503" t="s">
        <v>621</v>
      </c>
      <c r="AX340" s="503" t="str">
        <f>IF($G340="","",IF(AND($G340&gt;=30,$AT$3&lt;=AW$7),ROUND(AW340*($AP$3+#REF!),-1),""))</f>
        <v/>
      </c>
      <c r="AY340" s="503" t="s">
        <v>621</v>
      </c>
      <c r="AZ340" s="503" t="str">
        <f>IF($G340="","",IF(AND($G340&gt;=30,$AT$3&lt;=AY$7),ROUND(AY340*($AP$3+#REF!),-1),""))</f>
        <v/>
      </c>
      <c r="BA340" s="503" t="s">
        <v>621</v>
      </c>
      <c r="BB340" s="503" t="str">
        <f>IF($G340="","",IF(AND($G340&gt;=30,$AT$3&lt;=BA$7),ROUND(BA340*($AP$3+#REF!),-1),""))</f>
        <v/>
      </c>
      <c r="BC340" s="503" t="s">
        <v>621</v>
      </c>
      <c r="BD340" s="503" t="str">
        <f>IF($G340="","",IF(AND($G340&gt;=30,$AT$3&lt;=BC$7),ROUND(BC340*($AP$3+#REF!),-1),""))</f>
        <v/>
      </c>
      <c r="BE340" s="503" t="s">
        <v>621</v>
      </c>
      <c r="BF340" s="503" t="str">
        <f>IF($G340="","",IF(AND($G340&gt;=30,$AT$3&lt;=BE$7),ROUND(BE340*($AP$3+#REF!),-1),""))</f>
        <v/>
      </c>
      <c r="BG340" s="503" t="s">
        <v>621</v>
      </c>
      <c r="BH340" s="503" t="str">
        <f>IF($G340="","",IF(AND($G340&gt;=30,$AT$3&lt;=BG$7),ROUND(BG340*($AP$3+#REF!),-1),""))</f>
        <v/>
      </c>
      <c r="BI340" s="503" t="s">
        <v>621</v>
      </c>
      <c r="BJ340" s="503" t="str">
        <f>IF($G340="","",IF(AND($G340&gt;=30,$AT$3&lt;=BI$7),ROUND(BI340*($AP$3+#REF!),-1),""))</f>
        <v/>
      </c>
      <c r="BK340" s="503" t="s">
        <v>621</v>
      </c>
      <c r="BL340" s="503" t="str">
        <f>IF($G340="","",IF(AND($G340&gt;=30,$AT$3&lt;=BK$7),ROUND(BK340*($AP$3+#REF!),-1),""))</f>
        <v/>
      </c>
      <c r="BM340" s="503" t="s">
        <v>621</v>
      </c>
      <c r="BN340" s="503" t="str">
        <f>IF($G340="","",IF(AND($G340&gt;=30,$AT$3&lt;=BM$7),ROUND(BM340*($AP$3+#REF!),-1),""))</f>
        <v/>
      </c>
      <c r="BO340" s="503" t="s">
        <v>621</v>
      </c>
      <c r="BP340" s="503" t="str">
        <f>IF($G340="","",IF(AND($G340&gt;=30,$AT$3&lt;=BO$7),ROUND(BO340*($AP$3+#REF!),-1),""))</f>
        <v/>
      </c>
      <c r="BQ340" s="503" t="s">
        <v>621</v>
      </c>
      <c r="BR340" s="503" t="str">
        <f>IF($G340="","",IF(AND($G340&gt;=30,$AT$3&lt;=BQ$7),ROUND(BQ340*($AP$3+#REF!),-1),""))</f>
        <v/>
      </c>
      <c r="BS340" s="503" t="s">
        <v>621</v>
      </c>
      <c r="BT340" s="503" t="str">
        <f>IF($G340="","",IF(AND($G340&gt;=30,$AT$3&lt;=BS$7),ROUND(BS340*($AP$3+#REF!),-1),""))</f>
        <v/>
      </c>
      <c r="BU340" s="503" t="s">
        <v>621</v>
      </c>
      <c r="BV340" s="503" t="str">
        <f>IF($G340="","",IF(AND($G340&gt;=30,$AT$3&lt;=BU$7),ROUND(BU340*($AP$3+#REF!),-1),""))</f>
        <v/>
      </c>
      <c r="BW340" s="503" t="s">
        <v>621</v>
      </c>
      <c r="BX340" s="503" t="str">
        <f>IF($G340="","",IF(AND($G340&gt;=30,$AT$3&lt;=BW$7),ROUND(BW340*($AP$3+#REF!),-1),""))</f>
        <v/>
      </c>
      <c r="BY340" s="503" t="s">
        <v>621</v>
      </c>
      <c r="BZ340" s="503" t="str">
        <f>IF($G340="","",IF(AND($G340&gt;=30,$AT$3&lt;=BY$7),ROUND(BY340*($AP$3+#REF!),-1),""))</f>
        <v/>
      </c>
      <c r="CA340" s="503" t="s">
        <v>621</v>
      </c>
      <c r="CB340" s="503" t="str">
        <f>IF($G340="","",IF(AND($G340&gt;=30,$AT$3&lt;=CA$7),ROUND(CA340*($AP$3+#REF!),-1),""))</f>
        <v/>
      </c>
      <c r="CC340" s="503" t="s">
        <v>621</v>
      </c>
      <c r="CD340" s="503" t="str">
        <f>IF($G340="","",IF(AND($G340&gt;=30,$AT$3&lt;=CC$7),ROUND(CC340*($AP$3+#REF!),-1),""))</f>
        <v/>
      </c>
      <c r="CE340" s="503" t="s">
        <v>621</v>
      </c>
      <c r="CF340" s="503" t="str">
        <f>IF($G340="","",IF(AND($G340&gt;=30,$AT$3&lt;=CE$7),ROUND(CE340*($AP$3+#REF!),-1),""))</f>
        <v/>
      </c>
      <c r="CG340" s="503" t="s">
        <v>621</v>
      </c>
      <c r="CH340" s="503" t="str">
        <f>IF($G340="","",IF(AND($G340&gt;=30,$AT$3&lt;=CG$7),ROUND(CG340*($AP$3+#REF!),-1),""))</f>
        <v/>
      </c>
      <c r="CI340" s="517" t="e">
        <v>#REF!</v>
      </c>
      <c r="CJ340" s="503" t="str">
        <f>IF($G340="","",IF(AND($G340&gt;=30,$AT$3&lt;=CI$7),ROUND(CI340*($AP$3+#REF!),-1),""))</f>
        <v/>
      </c>
      <c r="CK340" s="517"/>
      <c r="CL340" s="503" t="str">
        <f>IF($G340="","",IF(AND($G340&gt;=30,$AT$3&lt;=CK$7),ROUND(CK340*($AP$3+#REF!),-1),""))</f>
        <v/>
      </c>
      <c r="CM340" s="517"/>
      <c r="CN340" s="503" t="str">
        <f>IF($G340="","",IF(AND($G340&gt;=30,$AT$3&lt;=CM$7),ROUND(CM340*($AP$3+#REF!),-1),""))</f>
        <v/>
      </c>
      <c r="CO340" s="517"/>
      <c r="CP340" s="503" t="str">
        <f>IF($G340="","",IF(AND($G340&gt;=30,$AT$3&lt;=CO$7),ROUND(CO340*($AP$3+#REF!),-1),""))</f>
        <v/>
      </c>
      <c r="CQ340" s="517"/>
      <c r="CR340" s="503" t="str">
        <f>IF($G340="","",IF(AND($G340&gt;=30,$AT$3&lt;=CQ$7),ROUND(CQ340*($AP$3+#REF!),-1),""))</f>
        <v/>
      </c>
      <c r="CS340" s="517"/>
      <c r="CT340" s="503" t="str">
        <f>IF($G340="","",IF(AND($G340&gt;=30,$AT$3&lt;=CS$7),ROUND(CS340*($AP$3+#REF!),-1),""))</f>
        <v/>
      </c>
      <c r="CU340" s="517"/>
      <c r="CV340" s="503" t="str">
        <f>IF($G340="","",IF(AND($G340&gt;=30,$AT$3&lt;=CU$7),ROUND(CU340*($AP$3+#REF!),-1),""))</f>
        <v/>
      </c>
      <c r="CW340" s="517"/>
      <c r="CX340" s="503" t="str">
        <f>IF($G340="","",IF(AND($G340&gt;=30,$AT$3&lt;=CW$7),ROUND(CW340*($AP$3+#REF!),-1),""))</f>
        <v/>
      </c>
      <c r="CY340" s="517"/>
      <c r="CZ340" s="503" t="str">
        <f>IF($G340="","",IF(AND($G340&gt;=30,$AT$3&lt;=CY$7),ROUND(CY340*($AP$3+#REF!),-1),""))</f>
        <v/>
      </c>
      <c r="DA340" s="517"/>
      <c r="DB340" s="503" t="str">
        <f>IF($G340="","",IF(AND($G340&gt;=30,$AT$3&lt;=DA$7),ROUND(DA340*($AP$3+#REF!),-1),""))</f>
        <v/>
      </c>
      <c r="DC340" s="517"/>
      <c r="DD340" s="503" t="str">
        <f>IF($G340="","",IF(AND($G340&gt;=30,$AT$3&lt;=DC$7),ROUND(DC340*($AP$3+#REF!),-1),""))</f>
        <v/>
      </c>
      <c r="DE340" s="517"/>
      <c r="DF340" s="503" t="str">
        <f>IF($G340="","",IF(AND($G340&gt;=30,$AT$3&lt;=DE$7),ROUND(DE340*($AP$3+#REF!),-1),""))</f>
        <v/>
      </c>
      <c r="DG340" s="517"/>
      <c r="DH340" s="503" t="str">
        <f>IF($G340="","",IF(AND($G340&gt;=30,$AT$3&lt;=DG$7),ROUND(DG340*($AP$3+#REF!),-1),""))</f>
        <v/>
      </c>
      <c r="DI340" s="517"/>
      <c r="DJ340" s="503" t="str">
        <f>IF($G340="","",IF(AND($G340&gt;=30,$AT$3&lt;=DI$7),ROUND(DI340*($AP$3+#REF!),-1),""))</f>
        <v/>
      </c>
      <c r="DK340" s="517"/>
      <c r="DL340" s="503" t="str">
        <f>IF($G340="","",IF(AND($G340&gt;=30,$AT$3&lt;=DK$7),ROUND(DK340*($AP$3+#REF!),-1),""))</f>
        <v/>
      </c>
      <c r="DM340" s="517"/>
      <c r="DN340" s="503" t="str">
        <f>IF($G340="","",IF(AND($G340&gt;=30,$AT$3&lt;=DM$7),ROUND(DM340*($AP$3+#REF!),-1),""))</f>
        <v/>
      </c>
      <c r="DO340" s="517"/>
      <c r="DP340" s="503" t="str">
        <f>IF($G340="","",IF(AND($G340&gt;=30,$AT$3&lt;=DO$7),ROUND(DO340*($AP$3+#REF!),-1),""))</f>
        <v/>
      </c>
      <c r="DQ340" s="517"/>
      <c r="DR340" s="503" t="str">
        <f>IF($G340="","",IF(AND($G340&gt;=30,$AT$3&lt;=DQ$7),ROUND(DQ340*($AP$3+#REF!),-1),""))</f>
        <v/>
      </c>
      <c r="DS340" s="517"/>
      <c r="DT340" s="503" t="str">
        <f>IF($G340="","",IF(AND($G340&gt;=30,$AT$3&lt;=DS$7),ROUND(DS340*($AP$3+#REF!),-1),""))</f>
        <v/>
      </c>
      <c r="DU340" s="517"/>
      <c r="DV340" s="503" t="str">
        <f>IF($G340="","",IF(AND($G340&gt;=30,$AT$3&lt;=DU$7),ROUND(DU340*($AP$3+#REF!),-1),""))</f>
        <v/>
      </c>
      <c r="DW340" s="517"/>
      <c r="DX340" s="503" t="str">
        <f>IF($G340="","",IF(AND($G340&gt;=30,$AT$3&lt;=DW$7),ROUND(DW340*($AP$3+#REF!),-1),""))</f>
        <v/>
      </c>
      <c r="DY340" s="517"/>
      <c r="DZ340" s="503" t="str">
        <f>IF($G340="","",IF(AND($G340&gt;=30,$AT$3&lt;=DY$7),ROUND(DY340*($AP$3+#REF!),-1),""))</f>
        <v/>
      </c>
      <c r="EA340" s="517"/>
      <c r="EB340" s="503" t="str">
        <f>IF($G340="","",IF(AND($G340&gt;=30,$AT$3&lt;=EA$7),ROUND(EA340*($AP$3+#REF!),-1),""))</f>
        <v/>
      </c>
      <c r="EC340" s="504" t="s">
        <v>621</v>
      </c>
      <c r="ED340" s="1124"/>
      <c r="EE340" s="325">
        <v>8</v>
      </c>
    </row>
    <row r="341" spans="1:135" ht="9.75" customHeight="1">
      <c r="A341" s="321" t="str">
        <f t="shared" si="82"/>
        <v/>
      </c>
      <c r="B341" s="567">
        <f>(ii!$D$13*12+V341)+1</f>
        <v>235</v>
      </c>
      <c r="C341" s="337">
        <f t="shared" si="86"/>
        <v>52504</v>
      </c>
      <c r="D341" s="484">
        <f t="shared" si="75"/>
        <v>2043</v>
      </c>
      <c r="E341" s="484">
        <f t="shared" si="87"/>
        <v>0.75</v>
      </c>
      <c r="F341" s="484">
        <f t="shared" si="76"/>
        <v>2043.75</v>
      </c>
      <c r="G341" s="485" t="str">
        <f>IF(OR(C341&lt;$I$2,C341&gt;$J$3),"",(ii!$D$13*12+V341+1)/12)</f>
        <v/>
      </c>
      <c r="H341" s="486"/>
      <c r="I341" s="486"/>
      <c r="J341" s="487"/>
      <c r="K341" s="488"/>
      <c r="L341" s="548"/>
      <c r="M341" s="489" t="str">
        <f t="shared" si="77"/>
        <v/>
      </c>
      <c r="N341" s="490" t="s">
        <v>621</v>
      </c>
      <c r="O341" s="490" t="str">
        <f t="shared" si="84"/>
        <v/>
      </c>
      <c r="P341" s="491"/>
      <c r="Q341" s="491"/>
      <c r="R341" s="491" t="str">
        <f t="shared" si="85"/>
        <v/>
      </c>
      <c r="S341" s="528" t="str">
        <f t="shared" si="83"/>
        <v/>
      </c>
      <c r="T341" s="528" t="str">
        <f t="shared" si="81"/>
        <v/>
      </c>
      <c r="U341" s="493" t="str">
        <f>IF(H341="","",#REF!*12+#REF!+#REF!*12+#REF!)</f>
        <v/>
      </c>
      <c r="V341" s="338">
        <f>IF(ii!$J$3&gt;gg!C341,"",IF(AND((YEAR(C341)=YEAR($I$2)),MONTH(C341)=MONTH($I$2)),ii!$B$14*12+ii!$C$14+ii!$B$15*12+ii!$C$15-1,V340+1))</f>
        <v>234</v>
      </c>
      <c r="W341" s="339">
        <f t="shared" si="88"/>
        <v>19.5</v>
      </c>
      <c r="X341" s="494" t="s">
        <v>621</v>
      </c>
      <c r="Y341" s="495" t="s">
        <v>621</v>
      </c>
      <c r="Z341" s="496"/>
      <c r="AA341" s="497"/>
      <c r="AB341" s="498" t="e">
        <f t="shared" si="80"/>
        <v>#VALUE!</v>
      </c>
      <c r="AC341" s="484" t="str">
        <f t="shared" si="78"/>
        <v/>
      </c>
      <c r="AD341" s="495" t="str">
        <f t="shared" si="79"/>
        <v/>
      </c>
      <c r="AE341" s="499" t="s">
        <v>621</v>
      </c>
      <c r="AF341" s="500" t="s">
        <v>621</v>
      </c>
      <c r="AG341" s="556" t="s">
        <v>621</v>
      </c>
      <c r="AH341" s="503" t="str">
        <f>IF($G341="","",IF(AND($G341&gt;=30,$AT$3&lt;=AG$7),ROUND(AG341*($AP$3+#REF!),-1),""))</f>
        <v/>
      </c>
      <c r="AI341" s="506" t="s">
        <v>621</v>
      </c>
      <c r="AJ341" s="503" t="str">
        <f>IF($G341="","",IF(AND($G341&gt;=30,$AT$3&lt;=AI$7),ROUND(AI341*($AP$3+#REF!),-1),""))</f>
        <v/>
      </c>
      <c r="AK341" s="506" t="s">
        <v>621</v>
      </c>
      <c r="AL341" s="503" t="str">
        <f>IF($G341="","",IF(AND($G341&gt;=30,$AT$3&lt;=AK$7),ROUND(AK341*($AP$3+#REF!),-1),""))</f>
        <v/>
      </c>
      <c r="AM341" s="506" t="s">
        <v>621</v>
      </c>
      <c r="AN341" s="503" t="str">
        <f>IF($G341="","",IF(AND($G341&gt;=30,$AT$3&lt;=AM$7),ROUND(AM341*($AP$3+#REF!),-1),""))</f>
        <v/>
      </c>
      <c r="AO341" s="503" t="e">
        <v>#REF!</v>
      </c>
      <c r="AP341" s="503" t="str">
        <f>IF($G341="","",IF(AND($G341&gt;=30,$AT$3&lt;=AO$7),ROUND(AO341*($AP$3+#REF!),-1),""))</f>
        <v/>
      </c>
      <c r="AQ341" s="503" t="s">
        <v>621</v>
      </c>
      <c r="AR341" s="503" t="str">
        <f>IF($G341="","",IF(AND($G341&gt;=30,$AT$3&lt;=AQ$7),ROUND(AQ341*($AP$3+#REF!),-1),""))</f>
        <v/>
      </c>
      <c r="AS341" s="503" t="s">
        <v>621</v>
      </c>
      <c r="AT341" s="503" t="str">
        <f>IF($G341="","",IF(AND($G341&gt;=30,$AT$3&lt;=AS$7),ROUND(AS341*($AP$3+#REF!),-1),""))</f>
        <v/>
      </c>
      <c r="AU341" s="503" t="s">
        <v>621</v>
      </c>
      <c r="AV341" s="503" t="str">
        <f>IF($G341="","",IF(AND($G341&gt;=30,$AT$3&lt;=AU$7),ROUND(AU341*($AP$3+#REF!),-1),""))</f>
        <v/>
      </c>
      <c r="AW341" s="503" t="s">
        <v>621</v>
      </c>
      <c r="AX341" s="503" t="str">
        <f>IF($G341="","",IF(AND($G341&gt;=30,$AT$3&lt;=AW$7),ROUND(AW341*($AP$3+#REF!),-1),""))</f>
        <v/>
      </c>
      <c r="AY341" s="503" t="s">
        <v>621</v>
      </c>
      <c r="AZ341" s="503" t="str">
        <f>IF($G341="","",IF(AND($G341&gt;=30,$AT$3&lt;=AY$7),ROUND(AY341*($AP$3+#REF!),-1),""))</f>
        <v/>
      </c>
      <c r="BA341" s="503" t="s">
        <v>621</v>
      </c>
      <c r="BB341" s="503" t="str">
        <f>IF($G341="","",IF(AND($G341&gt;=30,$AT$3&lt;=BA$7),ROUND(BA341*($AP$3+#REF!),-1),""))</f>
        <v/>
      </c>
      <c r="BC341" s="503" t="s">
        <v>621</v>
      </c>
      <c r="BD341" s="503" t="str">
        <f>IF($G341="","",IF(AND($G341&gt;=30,$AT$3&lt;=BC$7),ROUND(BC341*($AP$3+#REF!),-1),""))</f>
        <v/>
      </c>
      <c r="BE341" s="503" t="s">
        <v>621</v>
      </c>
      <c r="BF341" s="503" t="str">
        <f>IF($G341="","",IF(AND($G341&gt;=30,$AT$3&lt;=BE$7),ROUND(BE341*($AP$3+#REF!),-1),""))</f>
        <v/>
      </c>
      <c r="BG341" s="503" t="s">
        <v>621</v>
      </c>
      <c r="BH341" s="503" t="str">
        <f>IF($G341="","",IF(AND($G341&gt;=30,$AT$3&lt;=BG$7),ROUND(BG341*($AP$3+#REF!),-1),""))</f>
        <v/>
      </c>
      <c r="BI341" s="503" t="s">
        <v>621</v>
      </c>
      <c r="BJ341" s="503" t="str">
        <f>IF($G341="","",IF(AND($G341&gt;=30,$AT$3&lt;=BI$7),ROUND(BI341*($AP$3+#REF!),-1),""))</f>
        <v/>
      </c>
      <c r="BK341" s="503" t="s">
        <v>621</v>
      </c>
      <c r="BL341" s="503" t="str">
        <f>IF($G341="","",IF(AND($G341&gt;=30,$AT$3&lt;=BK$7),ROUND(BK341*($AP$3+#REF!),-1),""))</f>
        <v/>
      </c>
      <c r="BM341" s="503" t="s">
        <v>621</v>
      </c>
      <c r="BN341" s="503" t="str">
        <f>IF($G341="","",IF(AND($G341&gt;=30,$AT$3&lt;=BM$7),ROUND(BM341*($AP$3+#REF!),-1),""))</f>
        <v/>
      </c>
      <c r="BO341" s="503" t="s">
        <v>621</v>
      </c>
      <c r="BP341" s="503" t="str">
        <f>IF($G341="","",IF(AND($G341&gt;=30,$AT$3&lt;=BO$7),ROUND(BO341*($AP$3+#REF!),-1),""))</f>
        <v/>
      </c>
      <c r="BQ341" s="503" t="s">
        <v>621</v>
      </c>
      <c r="BR341" s="503" t="str">
        <f>IF($G341="","",IF(AND($G341&gt;=30,$AT$3&lt;=BQ$7),ROUND(BQ341*($AP$3+#REF!),-1),""))</f>
        <v/>
      </c>
      <c r="BS341" s="503" t="s">
        <v>621</v>
      </c>
      <c r="BT341" s="503" t="str">
        <f>IF($G341="","",IF(AND($G341&gt;=30,$AT$3&lt;=BS$7),ROUND(BS341*($AP$3+#REF!),-1),""))</f>
        <v/>
      </c>
      <c r="BU341" s="503" t="s">
        <v>621</v>
      </c>
      <c r="BV341" s="503" t="str">
        <f>IF($G341="","",IF(AND($G341&gt;=30,$AT$3&lt;=BU$7),ROUND(BU341*($AP$3+#REF!),-1),""))</f>
        <v/>
      </c>
      <c r="BW341" s="503" t="s">
        <v>621</v>
      </c>
      <c r="BX341" s="503" t="str">
        <f>IF($G341="","",IF(AND($G341&gt;=30,$AT$3&lt;=BW$7),ROUND(BW341*($AP$3+#REF!),-1),""))</f>
        <v/>
      </c>
      <c r="BY341" s="503" t="s">
        <v>621</v>
      </c>
      <c r="BZ341" s="503" t="str">
        <f>IF($G341="","",IF(AND($G341&gt;=30,$AT$3&lt;=BY$7),ROUND(BY341*($AP$3+#REF!),-1),""))</f>
        <v/>
      </c>
      <c r="CA341" s="503" t="s">
        <v>621</v>
      </c>
      <c r="CB341" s="503" t="str">
        <f>IF($G341="","",IF(AND($G341&gt;=30,$AT$3&lt;=CA$7),ROUND(CA341*($AP$3+#REF!),-1),""))</f>
        <v/>
      </c>
      <c r="CC341" s="503" t="s">
        <v>621</v>
      </c>
      <c r="CD341" s="503" t="str">
        <f>IF($G341="","",IF(AND($G341&gt;=30,$AT$3&lt;=CC$7),ROUND(CC341*($AP$3+#REF!),-1),""))</f>
        <v/>
      </c>
      <c r="CE341" s="503" t="s">
        <v>621</v>
      </c>
      <c r="CF341" s="503" t="str">
        <f>IF($G341="","",IF(AND($G341&gt;=30,$AT$3&lt;=CE$7),ROUND(CE341*($AP$3+#REF!),-1),""))</f>
        <v/>
      </c>
      <c r="CG341" s="503" t="s">
        <v>621</v>
      </c>
      <c r="CH341" s="503" t="str">
        <f>IF($G341="","",IF(AND($G341&gt;=30,$AT$3&lt;=CG$7),ROUND(CG341*($AP$3+#REF!),-1),""))</f>
        <v/>
      </c>
      <c r="CI341" s="517" t="e">
        <v>#REF!</v>
      </c>
      <c r="CJ341" s="503" t="str">
        <f>IF($G341="","",IF(AND($G341&gt;=30,$AT$3&lt;=CI$7),ROUND(CI341*($AP$3+#REF!),-1),""))</f>
        <v/>
      </c>
      <c r="CK341" s="517"/>
      <c r="CL341" s="503" t="str">
        <f>IF($G341="","",IF(AND($G341&gt;=30,$AT$3&lt;=CK$7),ROUND(CK341*($AP$3+#REF!),-1),""))</f>
        <v/>
      </c>
      <c r="CM341" s="517"/>
      <c r="CN341" s="503" t="str">
        <f>IF($G341="","",IF(AND($G341&gt;=30,$AT$3&lt;=CM$7),ROUND(CM341*($AP$3+#REF!),-1),""))</f>
        <v/>
      </c>
      <c r="CO341" s="517"/>
      <c r="CP341" s="503" t="str">
        <f>IF($G341="","",IF(AND($G341&gt;=30,$AT$3&lt;=CO$7),ROUND(CO341*($AP$3+#REF!),-1),""))</f>
        <v/>
      </c>
      <c r="CQ341" s="517"/>
      <c r="CR341" s="503" t="str">
        <f>IF($G341="","",IF(AND($G341&gt;=30,$AT$3&lt;=CQ$7),ROUND(CQ341*($AP$3+#REF!),-1),""))</f>
        <v/>
      </c>
      <c r="CS341" s="517"/>
      <c r="CT341" s="503" t="str">
        <f>IF($G341="","",IF(AND($G341&gt;=30,$AT$3&lt;=CS$7),ROUND(CS341*($AP$3+#REF!),-1),""))</f>
        <v/>
      </c>
      <c r="CU341" s="517"/>
      <c r="CV341" s="503" t="str">
        <f>IF($G341="","",IF(AND($G341&gt;=30,$AT$3&lt;=CU$7),ROUND(CU341*($AP$3+#REF!),-1),""))</f>
        <v/>
      </c>
      <c r="CW341" s="517"/>
      <c r="CX341" s="503" t="str">
        <f>IF($G341="","",IF(AND($G341&gt;=30,$AT$3&lt;=CW$7),ROUND(CW341*($AP$3+#REF!),-1),""))</f>
        <v/>
      </c>
      <c r="CY341" s="517"/>
      <c r="CZ341" s="503" t="str">
        <f>IF($G341="","",IF(AND($G341&gt;=30,$AT$3&lt;=CY$7),ROUND(CY341*($AP$3+#REF!),-1),""))</f>
        <v/>
      </c>
      <c r="DA341" s="517"/>
      <c r="DB341" s="503" t="str">
        <f>IF($G341="","",IF(AND($G341&gt;=30,$AT$3&lt;=DA$7),ROUND(DA341*($AP$3+#REF!),-1),""))</f>
        <v/>
      </c>
      <c r="DC341" s="517"/>
      <c r="DD341" s="503" t="str">
        <f>IF($G341="","",IF(AND($G341&gt;=30,$AT$3&lt;=DC$7),ROUND(DC341*($AP$3+#REF!),-1),""))</f>
        <v/>
      </c>
      <c r="DE341" s="517"/>
      <c r="DF341" s="503" t="str">
        <f>IF($G341="","",IF(AND($G341&gt;=30,$AT$3&lt;=DE$7),ROUND(DE341*($AP$3+#REF!),-1),""))</f>
        <v/>
      </c>
      <c r="DG341" s="517"/>
      <c r="DH341" s="503" t="str">
        <f>IF($G341="","",IF(AND($G341&gt;=30,$AT$3&lt;=DG$7),ROUND(DG341*($AP$3+#REF!),-1),""))</f>
        <v/>
      </c>
      <c r="DI341" s="517"/>
      <c r="DJ341" s="503" t="str">
        <f>IF($G341="","",IF(AND($G341&gt;=30,$AT$3&lt;=DI$7),ROUND(DI341*($AP$3+#REF!),-1),""))</f>
        <v/>
      </c>
      <c r="DK341" s="517"/>
      <c r="DL341" s="503" t="str">
        <f>IF($G341="","",IF(AND($G341&gt;=30,$AT$3&lt;=DK$7),ROUND(DK341*($AP$3+#REF!),-1),""))</f>
        <v/>
      </c>
      <c r="DM341" s="517"/>
      <c r="DN341" s="503" t="str">
        <f>IF($G341="","",IF(AND($G341&gt;=30,$AT$3&lt;=DM$7),ROUND(DM341*($AP$3+#REF!),-1),""))</f>
        <v/>
      </c>
      <c r="DO341" s="517"/>
      <c r="DP341" s="503" t="str">
        <f>IF($G341="","",IF(AND($G341&gt;=30,$AT$3&lt;=DO$7),ROUND(DO341*($AP$3+#REF!),-1),""))</f>
        <v/>
      </c>
      <c r="DQ341" s="517"/>
      <c r="DR341" s="503" t="str">
        <f>IF($G341="","",IF(AND($G341&gt;=30,$AT$3&lt;=DQ$7),ROUND(DQ341*($AP$3+#REF!),-1),""))</f>
        <v/>
      </c>
      <c r="DS341" s="517"/>
      <c r="DT341" s="503" t="str">
        <f>IF($G341="","",IF(AND($G341&gt;=30,$AT$3&lt;=DS$7),ROUND(DS341*($AP$3+#REF!),-1),""))</f>
        <v/>
      </c>
      <c r="DU341" s="517"/>
      <c r="DV341" s="503" t="str">
        <f>IF($G341="","",IF(AND($G341&gt;=30,$AT$3&lt;=DU$7),ROUND(DU341*($AP$3+#REF!),-1),""))</f>
        <v/>
      </c>
      <c r="DW341" s="517"/>
      <c r="DX341" s="503" t="str">
        <f>IF($G341="","",IF(AND($G341&gt;=30,$AT$3&lt;=DW$7),ROUND(DW341*($AP$3+#REF!),-1),""))</f>
        <v/>
      </c>
      <c r="DY341" s="517"/>
      <c r="DZ341" s="503" t="str">
        <f>IF($G341="","",IF(AND($G341&gt;=30,$AT$3&lt;=DY$7),ROUND(DY341*($AP$3+#REF!),-1),""))</f>
        <v/>
      </c>
      <c r="EA341" s="517"/>
      <c r="EB341" s="503" t="str">
        <f>IF($G341="","",IF(AND($G341&gt;=30,$AT$3&lt;=EA$7),ROUND(EA341*($AP$3+#REF!),-1),""))</f>
        <v/>
      </c>
      <c r="EC341" s="504" t="s">
        <v>621</v>
      </c>
      <c r="ED341" s="1124"/>
      <c r="EE341" s="325">
        <v>9</v>
      </c>
    </row>
    <row r="342" spans="1:135" ht="9.75" customHeight="1">
      <c r="A342" s="321" t="str">
        <f t="shared" si="82"/>
        <v/>
      </c>
      <c r="B342" s="567">
        <f>(ii!$D$13*12+V342)+1</f>
        <v>236</v>
      </c>
      <c r="C342" s="337">
        <f t="shared" si="86"/>
        <v>52535</v>
      </c>
      <c r="D342" s="484">
        <f t="shared" si="75"/>
        <v>2043</v>
      </c>
      <c r="E342" s="484">
        <f t="shared" si="87"/>
        <v>0.83333333333333337</v>
      </c>
      <c r="F342" s="484">
        <f t="shared" si="76"/>
        <v>2043.8333333333333</v>
      </c>
      <c r="G342" s="485" t="str">
        <f>IF(OR(C342&lt;$I$2,C342&gt;$J$3),"",(ii!$D$13*12+V342+1)/12)</f>
        <v/>
      </c>
      <c r="H342" s="486"/>
      <c r="I342" s="486"/>
      <c r="J342" s="487"/>
      <c r="K342" s="488"/>
      <c r="L342" s="548"/>
      <c r="M342" s="489" t="str">
        <f t="shared" si="77"/>
        <v/>
      </c>
      <c r="N342" s="490" t="s">
        <v>621</v>
      </c>
      <c r="O342" s="490" t="str">
        <f t="shared" si="84"/>
        <v/>
      </c>
      <c r="P342" s="491"/>
      <c r="Q342" s="491"/>
      <c r="R342" s="491" t="str">
        <f t="shared" si="85"/>
        <v/>
      </c>
      <c r="S342" s="528" t="str">
        <f t="shared" si="83"/>
        <v/>
      </c>
      <c r="T342" s="528" t="str">
        <f t="shared" si="81"/>
        <v/>
      </c>
      <c r="U342" s="493" t="str">
        <f>IF(H342="","",#REF!*12+#REF!+#REF!*12+#REF!)</f>
        <v/>
      </c>
      <c r="V342" s="338">
        <f>IF(ii!$J$3&gt;gg!C342,"",IF(AND((YEAR(C342)=YEAR($I$2)),MONTH(C342)=MONTH($I$2)),ii!$B$14*12+ii!$C$14+ii!$B$15*12+ii!$C$15-1,V341+1))</f>
        <v>235</v>
      </c>
      <c r="W342" s="339">
        <f t="shared" si="88"/>
        <v>19.583333333333332</v>
      </c>
      <c r="X342" s="494" t="s">
        <v>621</v>
      </c>
      <c r="Y342" s="495" t="s">
        <v>621</v>
      </c>
      <c r="Z342" s="496"/>
      <c r="AA342" s="497"/>
      <c r="AB342" s="498" t="e">
        <f t="shared" si="80"/>
        <v>#VALUE!</v>
      </c>
      <c r="AC342" s="484" t="str">
        <f t="shared" si="78"/>
        <v/>
      </c>
      <c r="AD342" s="495" t="str">
        <f t="shared" si="79"/>
        <v/>
      </c>
      <c r="AE342" s="499" t="s">
        <v>621</v>
      </c>
      <c r="AF342" s="500" t="s">
        <v>621</v>
      </c>
      <c r="AG342" s="556" t="s">
        <v>621</v>
      </c>
      <c r="AH342" s="503" t="str">
        <f>IF($G342="","",IF(AND($G342&gt;=30,$AT$3&lt;=AG$7),ROUND(AG342*($AP$3+#REF!),-1),""))</f>
        <v/>
      </c>
      <c r="AI342" s="506" t="s">
        <v>621</v>
      </c>
      <c r="AJ342" s="503" t="str">
        <f>IF($G342="","",IF(AND($G342&gt;=30,$AT$3&lt;=AI$7),ROUND(AI342*($AP$3+#REF!),-1),""))</f>
        <v/>
      </c>
      <c r="AK342" s="506" t="s">
        <v>621</v>
      </c>
      <c r="AL342" s="503" t="str">
        <f>IF($G342="","",IF(AND($G342&gt;=30,$AT$3&lt;=AK$7),ROUND(AK342*($AP$3+#REF!),-1),""))</f>
        <v/>
      </c>
      <c r="AM342" s="506" t="s">
        <v>621</v>
      </c>
      <c r="AN342" s="503" t="str">
        <f>IF($G342="","",IF(AND($G342&gt;=30,$AT$3&lt;=AM$7),ROUND(AM342*($AP$3+#REF!),-1),""))</f>
        <v/>
      </c>
      <c r="AO342" s="503" t="e">
        <v>#REF!</v>
      </c>
      <c r="AP342" s="503" t="str">
        <f>IF($G342="","",IF(AND($G342&gt;=30,$AT$3&lt;=AO$7),ROUND(AO342*($AP$3+#REF!),-1),""))</f>
        <v/>
      </c>
      <c r="AQ342" s="503" t="s">
        <v>621</v>
      </c>
      <c r="AR342" s="503" t="str">
        <f>IF($G342="","",IF(AND($G342&gt;=30,$AT$3&lt;=AQ$7),ROUND(AQ342*($AP$3+#REF!),-1),""))</f>
        <v/>
      </c>
      <c r="AS342" s="503" t="s">
        <v>621</v>
      </c>
      <c r="AT342" s="503" t="str">
        <f>IF($G342="","",IF(AND($G342&gt;=30,$AT$3&lt;=AS$7),ROUND(AS342*($AP$3+#REF!),-1),""))</f>
        <v/>
      </c>
      <c r="AU342" s="503" t="s">
        <v>621</v>
      </c>
      <c r="AV342" s="503" t="str">
        <f>IF($G342="","",IF(AND($G342&gt;=30,$AT$3&lt;=AU$7),ROUND(AU342*($AP$3+#REF!),-1),""))</f>
        <v/>
      </c>
      <c r="AW342" s="503" t="s">
        <v>621</v>
      </c>
      <c r="AX342" s="503" t="str">
        <f>IF($G342="","",IF(AND($G342&gt;=30,$AT$3&lt;=AW$7),ROUND(AW342*($AP$3+#REF!),-1),""))</f>
        <v/>
      </c>
      <c r="AY342" s="503" t="s">
        <v>621</v>
      </c>
      <c r="AZ342" s="503" t="str">
        <f>IF($G342="","",IF(AND($G342&gt;=30,$AT$3&lt;=AY$7),ROUND(AY342*($AP$3+#REF!),-1),""))</f>
        <v/>
      </c>
      <c r="BA342" s="503" t="s">
        <v>621</v>
      </c>
      <c r="BB342" s="503" t="str">
        <f>IF($G342="","",IF(AND($G342&gt;=30,$AT$3&lt;=BA$7),ROUND(BA342*($AP$3+#REF!),-1),""))</f>
        <v/>
      </c>
      <c r="BC342" s="503" t="s">
        <v>621</v>
      </c>
      <c r="BD342" s="503" t="str">
        <f>IF($G342="","",IF(AND($G342&gt;=30,$AT$3&lt;=BC$7),ROUND(BC342*($AP$3+#REF!),-1),""))</f>
        <v/>
      </c>
      <c r="BE342" s="503" t="s">
        <v>621</v>
      </c>
      <c r="BF342" s="503" t="str">
        <f>IF($G342="","",IF(AND($G342&gt;=30,$AT$3&lt;=BE$7),ROUND(BE342*($AP$3+#REF!),-1),""))</f>
        <v/>
      </c>
      <c r="BG342" s="503" t="s">
        <v>621</v>
      </c>
      <c r="BH342" s="503" t="str">
        <f>IF($G342="","",IF(AND($G342&gt;=30,$AT$3&lt;=BG$7),ROUND(BG342*($AP$3+#REF!),-1),""))</f>
        <v/>
      </c>
      <c r="BI342" s="503" t="s">
        <v>621</v>
      </c>
      <c r="BJ342" s="503" t="str">
        <f>IF($G342="","",IF(AND($G342&gt;=30,$AT$3&lt;=BI$7),ROUND(BI342*($AP$3+#REF!),-1),""))</f>
        <v/>
      </c>
      <c r="BK342" s="503" t="s">
        <v>621</v>
      </c>
      <c r="BL342" s="503" t="str">
        <f>IF($G342="","",IF(AND($G342&gt;=30,$AT$3&lt;=BK$7),ROUND(BK342*($AP$3+#REF!),-1),""))</f>
        <v/>
      </c>
      <c r="BM342" s="503" t="s">
        <v>621</v>
      </c>
      <c r="BN342" s="503" t="str">
        <f>IF($G342="","",IF(AND($G342&gt;=30,$AT$3&lt;=BM$7),ROUND(BM342*($AP$3+#REF!),-1),""))</f>
        <v/>
      </c>
      <c r="BO342" s="503" t="s">
        <v>621</v>
      </c>
      <c r="BP342" s="503" t="str">
        <f>IF($G342="","",IF(AND($G342&gt;=30,$AT$3&lt;=BO$7),ROUND(BO342*($AP$3+#REF!),-1),""))</f>
        <v/>
      </c>
      <c r="BQ342" s="503" t="s">
        <v>621</v>
      </c>
      <c r="BR342" s="503" t="str">
        <f>IF($G342="","",IF(AND($G342&gt;=30,$AT$3&lt;=BQ$7),ROUND(BQ342*($AP$3+#REF!),-1),""))</f>
        <v/>
      </c>
      <c r="BS342" s="503" t="s">
        <v>621</v>
      </c>
      <c r="BT342" s="503" t="str">
        <f>IF($G342="","",IF(AND($G342&gt;=30,$AT$3&lt;=BS$7),ROUND(BS342*($AP$3+#REF!),-1),""))</f>
        <v/>
      </c>
      <c r="BU342" s="503" t="s">
        <v>621</v>
      </c>
      <c r="BV342" s="503" t="str">
        <f>IF($G342="","",IF(AND($G342&gt;=30,$AT$3&lt;=BU$7),ROUND(BU342*($AP$3+#REF!),-1),""))</f>
        <v/>
      </c>
      <c r="BW342" s="503" t="s">
        <v>621</v>
      </c>
      <c r="BX342" s="503" t="str">
        <f>IF($G342="","",IF(AND($G342&gt;=30,$AT$3&lt;=BW$7),ROUND(BW342*($AP$3+#REF!),-1),""))</f>
        <v/>
      </c>
      <c r="BY342" s="503" t="s">
        <v>621</v>
      </c>
      <c r="BZ342" s="503" t="str">
        <f>IF($G342="","",IF(AND($G342&gt;=30,$AT$3&lt;=BY$7),ROUND(BY342*($AP$3+#REF!),-1),""))</f>
        <v/>
      </c>
      <c r="CA342" s="503" t="s">
        <v>621</v>
      </c>
      <c r="CB342" s="503" t="str">
        <f>IF($G342="","",IF(AND($G342&gt;=30,$AT$3&lt;=CA$7),ROUND(CA342*($AP$3+#REF!),-1),""))</f>
        <v/>
      </c>
      <c r="CC342" s="503" t="s">
        <v>621</v>
      </c>
      <c r="CD342" s="503" t="str">
        <f>IF($G342="","",IF(AND($G342&gt;=30,$AT$3&lt;=CC$7),ROUND(CC342*($AP$3+#REF!),-1),""))</f>
        <v/>
      </c>
      <c r="CE342" s="503" t="s">
        <v>621</v>
      </c>
      <c r="CF342" s="503" t="str">
        <f>IF($G342="","",IF(AND($G342&gt;=30,$AT$3&lt;=CE$7),ROUND(CE342*($AP$3+#REF!),-1),""))</f>
        <v/>
      </c>
      <c r="CG342" s="503" t="s">
        <v>621</v>
      </c>
      <c r="CH342" s="503" t="str">
        <f>IF($G342="","",IF(AND($G342&gt;=30,$AT$3&lt;=CG$7),ROUND(CG342*($AP$3+#REF!),-1),""))</f>
        <v/>
      </c>
      <c r="CI342" s="517" t="e">
        <v>#REF!</v>
      </c>
      <c r="CJ342" s="503" t="str">
        <f>IF($G342="","",IF(AND($G342&gt;=30,$AT$3&lt;=CI$7),ROUND(CI342*($AP$3+#REF!),-1),""))</f>
        <v/>
      </c>
      <c r="CK342" s="517"/>
      <c r="CL342" s="503" t="str">
        <f>IF($G342="","",IF(AND($G342&gt;=30,$AT$3&lt;=CK$7),ROUND(CK342*($AP$3+#REF!),-1),""))</f>
        <v/>
      </c>
      <c r="CM342" s="517"/>
      <c r="CN342" s="503" t="str">
        <f>IF($G342="","",IF(AND($G342&gt;=30,$AT$3&lt;=CM$7),ROUND(CM342*($AP$3+#REF!),-1),""))</f>
        <v/>
      </c>
      <c r="CO342" s="517"/>
      <c r="CP342" s="503" t="str">
        <f>IF($G342="","",IF(AND($G342&gt;=30,$AT$3&lt;=CO$7),ROUND(CO342*($AP$3+#REF!),-1),""))</f>
        <v/>
      </c>
      <c r="CQ342" s="517"/>
      <c r="CR342" s="503" t="str">
        <f>IF($G342="","",IF(AND($G342&gt;=30,$AT$3&lt;=CQ$7),ROUND(CQ342*($AP$3+#REF!),-1),""))</f>
        <v/>
      </c>
      <c r="CS342" s="517"/>
      <c r="CT342" s="503" t="str">
        <f>IF($G342="","",IF(AND($G342&gt;=30,$AT$3&lt;=CS$7),ROUND(CS342*($AP$3+#REF!),-1),""))</f>
        <v/>
      </c>
      <c r="CU342" s="517"/>
      <c r="CV342" s="503" t="str">
        <f>IF($G342="","",IF(AND($G342&gt;=30,$AT$3&lt;=CU$7),ROUND(CU342*($AP$3+#REF!),-1),""))</f>
        <v/>
      </c>
      <c r="CW342" s="517"/>
      <c r="CX342" s="503" t="str">
        <f>IF($G342="","",IF(AND($G342&gt;=30,$AT$3&lt;=CW$7),ROUND(CW342*($AP$3+#REF!),-1),""))</f>
        <v/>
      </c>
      <c r="CY342" s="517"/>
      <c r="CZ342" s="503" t="str">
        <f>IF($G342="","",IF(AND($G342&gt;=30,$AT$3&lt;=CY$7),ROUND(CY342*($AP$3+#REF!),-1),""))</f>
        <v/>
      </c>
      <c r="DA342" s="517"/>
      <c r="DB342" s="503" t="str">
        <f>IF($G342="","",IF(AND($G342&gt;=30,$AT$3&lt;=DA$7),ROUND(DA342*($AP$3+#REF!),-1),""))</f>
        <v/>
      </c>
      <c r="DC342" s="517"/>
      <c r="DD342" s="503" t="str">
        <f>IF($G342="","",IF(AND($G342&gt;=30,$AT$3&lt;=DC$7),ROUND(DC342*($AP$3+#REF!),-1),""))</f>
        <v/>
      </c>
      <c r="DE342" s="517"/>
      <c r="DF342" s="503" t="str">
        <f>IF($G342="","",IF(AND($G342&gt;=30,$AT$3&lt;=DE$7),ROUND(DE342*($AP$3+#REF!),-1),""))</f>
        <v/>
      </c>
      <c r="DG342" s="517"/>
      <c r="DH342" s="503" t="str">
        <f>IF($G342="","",IF(AND($G342&gt;=30,$AT$3&lt;=DG$7),ROUND(DG342*($AP$3+#REF!),-1),""))</f>
        <v/>
      </c>
      <c r="DI342" s="517"/>
      <c r="DJ342" s="503" t="str">
        <f>IF($G342="","",IF(AND($G342&gt;=30,$AT$3&lt;=DI$7),ROUND(DI342*($AP$3+#REF!),-1),""))</f>
        <v/>
      </c>
      <c r="DK342" s="517"/>
      <c r="DL342" s="503" t="str">
        <f>IF($G342="","",IF(AND($G342&gt;=30,$AT$3&lt;=DK$7),ROUND(DK342*($AP$3+#REF!),-1),""))</f>
        <v/>
      </c>
      <c r="DM342" s="517"/>
      <c r="DN342" s="503" t="str">
        <f>IF($G342="","",IF(AND($G342&gt;=30,$AT$3&lt;=DM$7),ROUND(DM342*($AP$3+#REF!),-1),""))</f>
        <v/>
      </c>
      <c r="DO342" s="517"/>
      <c r="DP342" s="503" t="str">
        <f>IF($G342="","",IF(AND($G342&gt;=30,$AT$3&lt;=DO$7),ROUND(DO342*($AP$3+#REF!),-1),""))</f>
        <v/>
      </c>
      <c r="DQ342" s="517"/>
      <c r="DR342" s="503" t="str">
        <f>IF($G342="","",IF(AND($G342&gt;=30,$AT$3&lt;=DQ$7),ROUND(DQ342*($AP$3+#REF!),-1),""))</f>
        <v/>
      </c>
      <c r="DS342" s="517"/>
      <c r="DT342" s="503" t="str">
        <f>IF($G342="","",IF(AND($G342&gt;=30,$AT$3&lt;=DS$7),ROUND(DS342*($AP$3+#REF!),-1),""))</f>
        <v/>
      </c>
      <c r="DU342" s="517"/>
      <c r="DV342" s="503" t="str">
        <f>IF($G342="","",IF(AND($G342&gt;=30,$AT$3&lt;=DU$7),ROUND(DU342*($AP$3+#REF!),-1),""))</f>
        <v/>
      </c>
      <c r="DW342" s="517"/>
      <c r="DX342" s="503" t="str">
        <f>IF($G342="","",IF(AND($G342&gt;=30,$AT$3&lt;=DW$7),ROUND(DW342*($AP$3+#REF!),-1),""))</f>
        <v/>
      </c>
      <c r="DY342" s="517"/>
      <c r="DZ342" s="503" t="str">
        <f>IF($G342="","",IF(AND($G342&gt;=30,$AT$3&lt;=DY$7),ROUND(DY342*($AP$3+#REF!),-1),""))</f>
        <v/>
      </c>
      <c r="EA342" s="517"/>
      <c r="EB342" s="503" t="str">
        <f>IF($G342="","",IF(AND($G342&gt;=30,$AT$3&lt;=EA$7),ROUND(EA342*($AP$3+#REF!),-1),""))</f>
        <v/>
      </c>
      <c r="EC342" s="504" t="s">
        <v>621</v>
      </c>
      <c r="ED342" s="1124"/>
      <c r="EE342" s="325">
        <v>10</v>
      </c>
    </row>
    <row r="343" spans="1:135" ht="9.75" customHeight="1">
      <c r="A343" s="321" t="str">
        <f t="shared" si="82"/>
        <v/>
      </c>
      <c r="B343" s="567">
        <f>(ii!$D$13*12+V343)+1</f>
        <v>237</v>
      </c>
      <c r="C343" s="337">
        <f t="shared" si="86"/>
        <v>52565</v>
      </c>
      <c r="D343" s="484">
        <f t="shared" si="75"/>
        <v>2043</v>
      </c>
      <c r="E343" s="484">
        <f t="shared" si="87"/>
        <v>0.91666666666666663</v>
      </c>
      <c r="F343" s="484">
        <f t="shared" si="76"/>
        <v>2043.9166666666667</v>
      </c>
      <c r="G343" s="485" t="str">
        <f>IF(OR(C343&lt;$I$2,C343&gt;$J$3),"",(ii!$D$13*12+V343+1)/12)</f>
        <v/>
      </c>
      <c r="H343" s="486"/>
      <c r="I343" s="486"/>
      <c r="J343" s="487"/>
      <c r="K343" s="488"/>
      <c r="L343" s="548"/>
      <c r="M343" s="489" t="str">
        <f t="shared" si="77"/>
        <v/>
      </c>
      <c r="N343" s="490" t="s">
        <v>621</v>
      </c>
      <c r="O343" s="490" t="str">
        <f t="shared" si="84"/>
        <v/>
      </c>
      <c r="P343" s="491"/>
      <c r="Q343" s="491"/>
      <c r="R343" s="491" t="str">
        <f t="shared" si="85"/>
        <v/>
      </c>
      <c r="S343" s="528" t="str">
        <f t="shared" si="83"/>
        <v/>
      </c>
      <c r="T343" s="528" t="str">
        <f t="shared" si="81"/>
        <v/>
      </c>
      <c r="U343" s="493" t="str">
        <f>IF(H343="","",#REF!*12+#REF!+#REF!*12+#REF!)</f>
        <v/>
      </c>
      <c r="V343" s="338">
        <f>IF(ii!$J$3&gt;gg!C343,"",IF(AND((YEAR(C343)=YEAR($I$2)),MONTH(C343)=MONTH($I$2)),ii!$B$14*12+ii!$C$14+ii!$B$15*12+ii!$C$15-1,V342+1))</f>
        <v>236</v>
      </c>
      <c r="W343" s="339">
        <f t="shared" si="88"/>
        <v>19.666666666666668</v>
      </c>
      <c r="X343" s="494" t="s">
        <v>621</v>
      </c>
      <c r="Y343" s="495" t="s">
        <v>621</v>
      </c>
      <c r="Z343" s="496"/>
      <c r="AA343" s="497"/>
      <c r="AB343" s="498" t="e">
        <f t="shared" si="80"/>
        <v>#VALUE!</v>
      </c>
      <c r="AC343" s="484" t="str">
        <f t="shared" si="78"/>
        <v/>
      </c>
      <c r="AD343" s="495" t="str">
        <f t="shared" si="79"/>
        <v/>
      </c>
      <c r="AE343" s="499" t="s">
        <v>621</v>
      </c>
      <c r="AF343" s="500" t="s">
        <v>621</v>
      </c>
      <c r="AG343" s="556" t="s">
        <v>621</v>
      </c>
      <c r="AH343" s="503" t="str">
        <f>IF($G343="","",IF(AND($G343&gt;=30,$AT$3&lt;=AG$7),ROUND(AG343*($AP$3+#REF!),-1),""))</f>
        <v/>
      </c>
      <c r="AI343" s="506" t="s">
        <v>621</v>
      </c>
      <c r="AJ343" s="503" t="str">
        <f>IF($G343="","",IF(AND($G343&gt;=30,$AT$3&lt;=AI$7),ROUND(AI343*($AP$3+#REF!),-1),""))</f>
        <v/>
      </c>
      <c r="AK343" s="506" t="s">
        <v>621</v>
      </c>
      <c r="AL343" s="503" t="str">
        <f>IF($G343="","",IF(AND($G343&gt;=30,$AT$3&lt;=AK$7),ROUND(AK343*($AP$3+#REF!),-1),""))</f>
        <v/>
      </c>
      <c r="AM343" s="506" t="s">
        <v>621</v>
      </c>
      <c r="AN343" s="503" t="str">
        <f>IF($G343="","",IF(AND($G343&gt;=30,$AT$3&lt;=AM$7),ROUND(AM343*($AP$3+#REF!),-1),""))</f>
        <v/>
      </c>
      <c r="AO343" s="503" t="e">
        <v>#REF!</v>
      </c>
      <c r="AP343" s="503" t="str">
        <f>IF($G343="","",IF(AND($G343&gt;=30,$AT$3&lt;=AO$7),ROUND(AO343*($AP$3+#REF!),-1),""))</f>
        <v/>
      </c>
      <c r="AQ343" s="503" t="s">
        <v>621</v>
      </c>
      <c r="AR343" s="503" t="str">
        <f>IF($G343="","",IF(AND($G343&gt;=30,$AT$3&lt;=AQ$7),ROUND(AQ343*($AP$3+#REF!),-1),""))</f>
        <v/>
      </c>
      <c r="AS343" s="503" t="s">
        <v>621</v>
      </c>
      <c r="AT343" s="503" t="str">
        <f>IF($G343="","",IF(AND($G343&gt;=30,$AT$3&lt;=AS$7),ROUND(AS343*($AP$3+#REF!),-1),""))</f>
        <v/>
      </c>
      <c r="AU343" s="503" t="s">
        <v>621</v>
      </c>
      <c r="AV343" s="503" t="str">
        <f>IF($G343="","",IF(AND($G343&gt;=30,$AT$3&lt;=AU$7),ROUND(AU343*($AP$3+#REF!),-1),""))</f>
        <v/>
      </c>
      <c r="AW343" s="503" t="s">
        <v>621</v>
      </c>
      <c r="AX343" s="503" t="str">
        <f>IF($G343="","",IF(AND($G343&gt;=30,$AT$3&lt;=AW$7),ROUND(AW343*($AP$3+#REF!),-1),""))</f>
        <v/>
      </c>
      <c r="AY343" s="503" t="s">
        <v>621</v>
      </c>
      <c r="AZ343" s="503" t="str">
        <f>IF($G343="","",IF(AND($G343&gt;=30,$AT$3&lt;=AY$7),ROUND(AY343*($AP$3+#REF!),-1),""))</f>
        <v/>
      </c>
      <c r="BA343" s="503" t="s">
        <v>621</v>
      </c>
      <c r="BB343" s="503" t="str">
        <f>IF($G343="","",IF(AND($G343&gt;=30,$AT$3&lt;=BA$7),ROUND(BA343*($AP$3+#REF!),-1),""))</f>
        <v/>
      </c>
      <c r="BC343" s="503" t="s">
        <v>621</v>
      </c>
      <c r="BD343" s="503" t="str">
        <f>IF($G343="","",IF(AND($G343&gt;=30,$AT$3&lt;=BC$7),ROUND(BC343*($AP$3+#REF!),-1),""))</f>
        <v/>
      </c>
      <c r="BE343" s="503" t="s">
        <v>621</v>
      </c>
      <c r="BF343" s="503" t="str">
        <f>IF($G343="","",IF(AND($G343&gt;=30,$AT$3&lt;=BE$7),ROUND(BE343*($AP$3+#REF!),-1),""))</f>
        <v/>
      </c>
      <c r="BG343" s="503" t="s">
        <v>621</v>
      </c>
      <c r="BH343" s="503" t="str">
        <f>IF($G343="","",IF(AND($G343&gt;=30,$AT$3&lt;=BG$7),ROUND(BG343*($AP$3+#REF!),-1),""))</f>
        <v/>
      </c>
      <c r="BI343" s="503" t="s">
        <v>621</v>
      </c>
      <c r="BJ343" s="503" t="str">
        <f>IF($G343="","",IF(AND($G343&gt;=30,$AT$3&lt;=BI$7),ROUND(BI343*($AP$3+#REF!),-1),""))</f>
        <v/>
      </c>
      <c r="BK343" s="503" t="s">
        <v>621</v>
      </c>
      <c r="BL343" s="503" t="str">
        <f>IF($G343="","",IF(AND($G343&gt;=30,$AT$3&lt;=BK$7),ROUND(BK343*($AP$3+#REF!),-1),""))</f>
        <v/>
      </c>
      <c r="BM343" s="503" t="s">
        <v>621</v>
      </c>
      <c r="BN343" s="503" t="str">
        <f>IF($G343="","",IF(AND($G343&gt;=30,$AT$3&lt;=BM$7),ROUND(BM343*($AP$3+#REF!),-1),""))</f>
        <v/>
      </c>
      <c r="BO343" s="503" t="s">
        <v>621</v>
      </c>
      <c r="BP343" s="503" t="str">
        <f>IF($G343="","",IF(AND($G343&gt;=30,$AT$3&lt;=BO$7),ROUND(BO343*($AP$3+#REF!),-1),""))</f>
        <v/>
      </c>
      <c r="BQ343" s="503" t="s">
        <v>621</v>
      </c>
      <c r="BR343" s="503" t="str">
        <f>IF($G343="","",IF(AND($G343&gt;=30,$AT$3&lt;=BQ$7),ROUND(BQ343*($AP$3+#REF!),-1),""))</f>
        <v/>
      </c>
      <c r="BS343" s="503" t="s">
        <v>621</v>
      </c>
      <c r="BT343" s="503" t="str">
        <f>IF($G343="","",IF(AND($G343&gt;=30,$AT$3&lt;=BS$7),ROUND(BS343*($AP$3+#REF!),-1),""))</f>
        <v/>
      </c>
      <c r="BU343" s="503" t="s">
        <v>621</v>
      </c>
      <c r="BV343" s="503" t="str">
        <f>IF($G343="","",IF(AND($G343&gt;=30,$AT$3&lt;=BU$7),ROUND(BU343*($AP$3+#REF!),-1),""))</f>
        <v/>
      </c>
      <c r="BW343" s="503" t="s">
        <v>621</v>
      </c>
      <c r="BX343" s="503" t="str">
        <f>IF($G343="","",IF(AND($G343&gt;=30,$AT$3&lt;=BW$7),ROUND(BW343*($AP$3+#REF!),-1),""))</f>
        <v/>
      </c>
      <c r="BY343" s="503" t="s">
        <v>621</v>
      </c>
      <c r="BZ343" s="503" t="str">
        <f>IF($G343="","",IF(AND($G343&gt;=30,$AT$3&lt;=BY$7),ROUND(BY343*($AP$3+#REF!),-1),""))</f>
        <v/>
      </c>
      <c r="CA343" s="503" t="s">
        <v>621</v>
      </c>
      <c r="CB343" s="503" t="str">
        <f>IF($G343="","",IF(AND($G343&gt;=30,$AT$3&lt;=CA$7),ROUND(CA343*($AP$3+#REF!),-1),""))</f>
        <v/>
      </c>
      <c r="CC343" s="503" t="s">
        <v>621</v>
      </c>
      <c r="CD343" s="503" t="str">
        <f>IF($G343="","",IF(AND($G343&gt;=30,$AT$3&lt;=CC$7),ROUND(CC343*($AP$3+#REF!),-1),""))</f>
        <v/>
      </c>
      <c r="CE343" s="503" t="s">
        <v>621</v>
      </c>
      <c r="CF343" s="503" t="str">
        <f>IF($G343="","",IF(AND($G343&gt;=30,$AT$3&lt;=CE$7),ROUND(CE343*($AP$3+#REF!),-1),""))</f>
        <v/>
      </c>
      <c r="CG343" s="503" t="s">
        <v>621</v>
      </c>
      <c r="CH343" s="503" t="str">
        <f>IF($G343="","",IF(AND($G343&gt;=30,$AT$3&lt;=CG$7),ROUND(CG343*($AP$3+#REF!),-1),""))</f>
        <v/>
      </c>
      <c r="CI343" s="517" t="e">
        <v>#REF!</v>
      </c>
      <c r="CJ343" s="503" t="str">
        <f>IF($G343="","",IF(AND($G343&gt;=30,$AT$3&lt;=CI$7),ROUND(CI343*($AP$3+#REF!),-1),""))</f>
        <v/>
      </c>
      <c r="CK343" s="517"/>
      <c r="CL343" s="503" t="str">
        <f>IF($G343="","",IF(AND($G343&gt;=30,$AT$3&lt;=CK$7),ROUND(CK343*($AP$3+#REF!),-1),""))</f>
        <v/>
      </c>
      <c r="CM343" s="517"/>
      <c r="CN343" s="503" t="str">
        <f>IF($G343="","",IF(AND($G343&gt;=30,$AT$3&lt;=CM$7),ROUND(CM343*($AP$3+#REF!),-1),""))</f>
        <v/>
      </c>
      <c r="CO343" s="517"/>
      <c r="CP343" s="503" t="str">
        <f>IF($G343="","",IF(AND($G343&gt;=30,$AT$3&lt;=CO$7),ROUND(CO343*($AP$3+#REF!),-1),""))</f>
        <v/>
      </c>
      <c r="CQ343" s="517"/>
      <c r="CR343" s="503" t="str">
        <f>IF($G343="","",IF(AND($G343&gt;=30,$AT$3&lt;=CQ$7),ROUND(CQ343*($AP$3+#REF!),-1),""))</f>
        <v/>
      </c>
      <c r="CS343" s="517"/>
      <c r="CT343" s="503" t="str">
        <f>IF($G343="","",IF(AND($G343&gt;=30,$AT$3&lt;=CS$7),ROUND(CS343*($AP$3+#REF!),-1),""))</f>
        <v/>
      </c>
      <c r="CU343" s="517"/>
      <c r="CV343" s="503" t="str">
        <f>IF($G343="","",IF(AND($G343&gt;=30,$AT$3&lt;=CU$7),ROUND(CU343*($AP$3+#REF!),-1),""))</f>
        <v/>
      </c>
      <c r="CW343" s="517"/>
      <c r="CX343" s="503" t="str">
        <f>IF($G343="","",IF(AND($G343&gt;=30,$AT$3&lt;=CW$7),ROUND(CW343*($AP$3+#REF!),-1),""))</f>
        <v/>
      </c>
      <c r="CY343" s="517"/>
      <c r="CZ343" s="503" t="str">
        <f>IF($G343="","",IF(AND($G343&gt;=30,$AT$3&lt;=CY$7),ROUND(CY343*($AP$3+#REF!),-1),""))</f>
        <v/>
      </c>
      <c r="DA343" s="517"/>
      <c r="DB343" s="503" t="str">
        <f>IF($G343="","",IF(AND($G343&gt;=30,$AT$3&lt;=DA$7),ROUND(DA343*($AP$3+#REF!),-1),""))</f>
        <v/>
      </c>
      <c r="DC343" s="517"/>
      <c r="DD343" s="503" t="str">
        <f>IF($G343="","",IF(AND($G343&gt;=30,$AT$3&lt;=DC$7),ROUND(DC343*($AP$3+#REF!),-1),""))</f>
        <v/>
      </c>
      <c r="DE343" s="517"/>
      <c r="DF343" s="503" t="str">
        <f>IF($G343="","",IF(AND($G343&gt;=30,$AT$3&lt;=DE$7),ROUND(DE343*($AP$3+#REF!),-1),""))</f>
        <v/>
      </c>
      <c r="DG343" s="517"/>
      <c r="DH343" s="503" t="str">
        <f>IF($G343="","",IF(AND($G343&gt;=30,$AT$3&lt;=DG$7),ROUND(DG343*($AP$3+#REF!),-1),""))</f>
        <v/>
      </c>
      <c r="DI343" s="517"/>
      <c r="DJ343" s="503" t="str">
        <f>IF($G343="","",IF(AND($G343&gt;=30,$AT$3&lt;=DI$7),ROUND(DI343*($AP$3+#REF!),-1),""))</f>
        <v/>
      </c>
      <c r="DK343" s="517"/>
      <c r="DL343" s="503" t="str">
        <f>IF($G343="","",IF(AND($G343&gt;=30,$AT$3&lt;=DK$7),ROUND(DK343*($AP$3+#REF!),-1),""))</f>
        <v/>
      </c>
      <c r="DM343" s="517"/>
      <c r="DN343" s="503" t="str">
        <f>IF($G343="","",IF(AND($G343&gt;=30,$AT$3&lt;=DM$7),ROUND(DM343*($AP$3+#REF!),-1),""))</f>
        <v/>
      </c>
      <c r="DO343" s="517"/>
      <c r="DP343" s="503" t="str">
        <f>IF($G343="","",IF(AND($G343&gt;=30,$AT$3&lt;=DO$7),ROUND(DO343*($AP$3+#REF!),-1),""))</f>
        <v/>
      </c>
      <c r="DQ343" s="517"/>
      <c r="DR343" s="503" t="str">
        <f>IF($G343="","",IF(AND($G343&gt;=30,$AT$3&lt;=DQ$7),ROUND(DQ343*($AP$3+#REF!),-1),""))</f>
        <v/>
      </c>
      <c r="DS343" s="517"/>
      <c r="DT343" s="503" t="str">
        <f>IF($G343="","",IF(AND($G343&gt;=30,$AT$3&lt;=DS$7),ROUND(DS343*($AP$3+#REF!),-1),""))</f>
        <v/>
      </c>
      <c r="DU343" s="517"/>
      <c r="DV343" s="503" t="str">
        <f>IF($G343="","",IF(AND($G343&gt;=30,$AT$3&lt;=DU$7),ROUND(DU343*($AP$3+#REF!),-1),""))</f>
        <v/>
      </c>
      <c r="DW343" s="517"/>
      <c r="DX343" s="503" t="str">
        <f>IF($G343="","",IF(AND($G343&gt;=30,$AT$3&lt;=DW$7),ROUND(DW343*($AP$3+#REF!),-1),""))</f>
        <v/>
      </c>
      <c r="DY343" s="517"/>
      <c r="DZ343" s="503" t="str">
        <f>IF($G343="","",IF(AND($G343&gt;=30,$AT$3&lt;=DY$7),ROUND(DY343*($AP$3+#REF!),-1),""))</f>
        <v/>
      </c>
      <c r="EA343" s="517"/>
      <c r="EB343" s="503" t="str">
        <f>IF($G343="","",IF(AND($G343&gt;=30,$AT$3&lt;=EA$7),ROUND(EA343*($AP$3+#REF!),-1),""))</f>
        <v/>
      </c>
      <c r="EC343" s="504" t="s">
        <v>621</v>
      </c>
      <c r="ED343" s="1124"/>
      <c r="EE343" s="325">
        <v>11</v>
      </c>
    </row>
    <row r="344" spans="1:135" ht="9.75" customHeight="1">
      <c r="A344" s="321" t="str">
        <f t="shared" si="82"/>
        <v/>
      </c>
      <c r="B344" s="567">
        <f>(ii!$D$13*12+V344)+1</f>
        <v>238</v>
      </c>
      <c r="C344" s="337">
        <f t="shared" si="86"/>
        <v>52596</v>
      </c>
      <c r="D344" s="484">
        <f t="shared" si="75"/>
        <v>2043</v>
      </c>
      <c r="E344" s="484">
        <f t="shared" si="87"/>
        <v>1</v>
      </c>
      <c r="F344" s="484">
        <f t="shared" si="76"/>
        <v>2044</v>
      </c>
      <c r="G344" s="485" t="str">
        <f>IF(OR(C344&lt;$I$2,C344&gt;$J$3),"",(ii!$D$13*12+V344+1)/12)</f>
        <v/>
      </c>
      <c r="H344" s="486"/>
      <c r="I344" s="486"/>
      <c r="J344" s="487"/>
      <c r="K344" s="488"/>
      <c r="L344" s="548"/>
      <c r="M344" s="489" t="str">
        <f t="shared" si="77"/>
        <v/>
      </c>
      <c r="N344" s="490" t="s">
        <v>621</v>
      </c>
      <c r="O344" s="490" t="str">
        <f t="shared" si="84"/>
        <v/>
      </c>
      <c r="P344" s="491"/>
      <c r="Q344" s="491"/>
      <c r="R344" s="491" t="str">
        <f t="shared" si="85"/>
        <v/>
      </c>
      <c r="S344" s="528" t="str">
        <f t="shared" si="83"/>
        <v/>
      </c>
      <c r="T344" s="528" t="str">
        <f t="shared" si="81"/>
        <v/>
      </c>
      <c r="U344" s="493" t="str">
        <f>IF(H344="","",#REF!*12+#REF!+#REF!*12+#REF!)</f>
        <v/>
      </c>
      <c r="V344" s="338">
        <f>IF(ii!$J$3&gt;gg!C344,"",IF(AND((YEAR(C344)=YEAR($I$2)),MONTH(C344)=MONTH($I$2)),ii!$B$14*12+ii!$C$14+ii!$B$15*12+ii!$C$15-1,V343+1))</f>
        <v>237</v>
      </c>
      <c r="W344" s="339">
        <f t="shared" si="88"/>
        <v>19.75</v>
      </c>
      <c r="X344" s="494" t="s">
        <v>621</v>
      </c>
      <c r="Y344" s="495" t="s">
        <v>621</v>
      </c>
      <c r="Z344" s="496"/>
      <c r="AA344" s="497"/>
      <c r="AB344" s="498" t="e">
        <f t="shared" si="80"/>
        <v>#VALUE!</v>
      </c>
      <c r="AC344" s="484" t="str">
        <f t="shared" si="78"/>
        <v/>
      </c>
      <c r="AD344" s="495" t="str">
        <f t="shared" si="79"/>
        <v/>
      </c>
      <c r="AE344" s="499" t="s">
        <v>621</v>
      </c>
      <c r="AF344" s="500" t="s">
        <v>621</v>
      </c>
      <c r="AG344" s="556" t="s">
        <v>621</v>
      </c>
      <c r="AH344" s="503" t="str">
        <f>IF($G344="","",IF(AND($G344&gt;=30,$AT$3&lt;=AG$7),ROUND(AG344*($AP$3+#REF!),-1),""))</f>
        <v/>
      </c>
      <c r="AI344" s="506" t="s">
        <v>621</v>
      </c>
      <c r="AJ344" s="503" t="str">
        <f>IF($G344="","",IF(AND($G344&gt;=30,$AT$3&lt;=AI$7),ROUND(AI344*($AP$3+#REF!),-1),""))</f>
        <v/>
      </c>
      <c r="AK344" s="506" t="s">
        <v>621</v>
      </c>
      <c r="AL344" s="503" t="str">
        <f>IF($G344="","",IF(AND($G344&gt;=30,$AT$3&lt;=AK$7),ROUND(AK344*($AP$3+#REF!),-1),""))</f>
        <v/>
      </c>
      <c r="AM344" s="506" t="s">
        <v>621</v>
      </c>
      <c r="AN344" s="503" t="str">
        <f>IF($G344="","",IF(AND($G344&gt;=30,$AT$3&lt;=AM$7),ROUND(AM344*($AP$3+#REF!),-1),""))</f>
        <v/>
      </c>
      <c r="AO344" s="503" t="e">
        <v>#REF!</v>
      </c>
      <c r="AP344" s="503" t="str">
        <f>IF($G344="","",IF(AND($G344&gt;=30,$AT$3&lt;=AO$7),ROUND(AO344*($AP$3+#REF!),-1),""))</f>
        <v/>
      </c>
      <c r="AQ344" s="503" t="s">
        <v>621</v>
      </c>
      <c r="AR344" s="503" t="str">
        <f>IF($G344="","",IF(AND($G344&gt;=30,$AT$3&lt;=AQ$7),ROUND(AQ344*($AP$3+#REF!),-1),""))</f>
        <v/>
      </c>
      <c r="AS344" s="503" t="s">
        <v>621</v>
      </c>
      <c r="AT344" s="503" t="str">
        <f>IF($G344="","",IF(AND($G344&gt;=30,$AT$3&lt;=AS$7),ROUND(AS344*($AP$3+#REF!),-1),""))</f>
        <v/>
      </c>
      <c r="AU344" s="503" t="s">
        <v>621</v>
      </c>
      <c r="AV344" s="503" t="str">
        <f>IF($G344="","",IF(AND($G344&gt;=30,$AT$3&lt;=AU$7),ROUND(AU344*($AP$3+#REF!),-1),""))</f>
        <v/>
      </c>
      <c r="AW344" s="503" t="s">
        <v>621</v>
      </c>
      <c r="AX344" s="503" t="str">
        <f>IF($G344="","",IF(AND($G344&gt;=30,$AT$3&lt;=AW$7),ROUND(AW344*($AP$3+#REF!),-1),""))</f>
        <v/>
      </c>
      <c r="AY344" s="503" t="s">
        <v>621</v>
      </c>
      <c r="AZ344" s="503" t="str">
        <f>IF($G344="","",IF(AND($G344&gt;=30,$AT$3&lt;=AY$7),ROUND(AY344*($AP$3+#REF!),-1),""))</f>
        <v/>
      </c>
      <c r="BA344" s="503" t="s">
        <v>621</v>
      </c>
      <c r="BB344" s="503" t="str">
        <f>IF($G344="","",IF(AND($G344&gt;=30,$AT$3&lt;=BA$7),ROUND(BA344*($AP$3+#REF!),-1),""))</f>
        <v/>
      </c>
      <c r="BC344" s="503" t="s">
        <v>621</v>
      </c>
      <c r="BD344" s="503" t="str">
        <f>IF($G344="","",IF(AND($G344&gt;=30,$AT$3&lt;=BC$7),ROUND(BC344*($AP$3+#REF!),-1),""))</f>
        <v/>
      </c>
      <c r="BE344" s="503" t="s">
        <v>621</v>
      </c>
      <c r="BF344" s="503" t="str">
        <f>IF($G344="","",IF(AND($G344&gt;=30,$AT$3&lt;=BE$7),ROUND(BE344*($AP$3+#REF!),-1),""))</f>
        <v/>
      </c>
      <c r="BG344" s="503" t="s">
        <v>621</v>
      </c>
      <c r="BH344" s="503" t="str">
        <f>IF($G344="","",IF(AND($G344&gt;=30,$AT$3&lt;=BG$7),ROUND(BG344*($AP$3+#REF!),-1),""))</f>
        <v/>
      </c>
      <c r="BI344" s="503" t="s">
        <v>621</v>
      </c>
      <c r="BJ344" s="503" t="str">
        <f>IF($G344="","",IF(AND($G344&gt;=30,$AT$3&lt;=BI$7),ROUND(BI344*($AP$3+#REF!),-1),""))</f>
        <v/>
      </c>
      <c r="BK344" s="503" t="s">
        <v>621</v>
      </c>
      <c r="BL344" s="503" t="str">
        <f>IF($G344="","",IF(AND($G344&gt;=30,$AT$3&lt;=BK$7),ROUND(BK344*($AP$3+#REF!),-1),""))</f>
        <v/>
      </c>
      <c r="BM344" s="503" t="s">
        <v>621</v>
      </c>
      <c r="BN344" s="503" t="str">
        <f>IF($G344="","",IF(AND($G344&gt;=30,$AT$3&lt;=BM$7),ROUND(BM344*($AP$3+#REF!),-1),""))</f>
        <v/>
      </c>
      <c r="BO344" s="503" t="s">
        <v>621</v>
      </c>
      <c r="BP344" s="503" t="str">
        <f>IF($G344="","",IF(AND($G344&gt;=30,$AT$3&lt;=BO$7),ROUND(BO344*($AP$3+#REF!),-1),""))</f>
        <v/>
      </c>
      <c r="BQ344" s="503" t="s">
        <v>621</v>
      </c>
      <c r="BR344" s="503" t="str">
        <f>IF($G344="","",IF(AND($G344&gt;=30,$AT$3&lt;=BQ$7),ROUND(BQ344*($AP$3+#REF!),-1),""))</f>
        <v/>
      </c>
      <c r="BS344" s="503" t="s">
        <v>621</v>
      </c>
      <c r="BT344" s="503" t="str">
        <f>IF($G344="","",IF(AND($G344&gt;=30,$AT$3&lt;=BS$7),ROUND(BS344*($AP$3+#REF!),-1),""))</f>
        <v/>
      </c>
      <c r="BU344" s="503" t="s">
        <v>621</v>
      </c>
      <c r="BV344" s="503" t="str">
        <f>IF($G344="","",IF(AND($G344&gt;=30,$AT$3&lt;=BU$7),ROUND(BU344*($AP$3+#REF!),-1),""))</f>
        <v/>
      </c>
      <c r="BW344" s="503" t="s">
        <v>621</v>
      </c>
      <c r="BX344" s="503" t="str">
        <f>IF($G344="","",IF(AND($G344&gt;=30,$AT$3&lt;=BW$7),ROUND(BW344*($AP$3+#REF!),-1),""))</f>
        <v/>
      </c>
      <c r="BY344" s="503" t="s">
        <v>621</v>
      </c>
      <c r="BZ344" s="503" t="str">
        <f>IF($G344="","",IF(AND($G344&gt;=30,$AT$3&lt;=BY$7),ROUND(BY344*($AP$3+#REF!),-1),""))</f>
        <v/>
      </c>
      <c r="CA344" s="503" t="s">
        <v>621</v>
      </c>
      <c r="CB344" s="503" t="str">
        <f>IF($G344="","",IF(AND($G344&gt;=30,$AT$3&lt;=CA$7),ROUND(CA344*($AP$3+#REF!),-1),""))</f>
        <v/>
      </c>
      <c r="CC344" s="503" t="s">
        <v>621</v>
      </c>
      <c r="CD344" s="503" t="str">
        <f>IF($G344="","",IF(AND($G344&gt;=30,$AT$3&lt;=CC$7),ROUND(CC344*($AP$3+#REF!),-1),""))</f>
        <v/>
      </c>
      <c r="CE344" s="503" t="s">
        <v>621</v>
      </c>
      <c r="CF344" s="503" t="str">
        <f>IF($G344="","",IF(AND($G344&gt;=30,$AT$3&lt;=CE$7),ROUND(CE344*($AP$3+#REF!),-1),""))</f>
        <v/>
      </c>
      <c r="CG344" s="503" t="s">
        <v>621</v>
      </c>
      <c r="CH344" s="503" t="str">
        <f>IF($G344="","",IF(AND($G344&gt;=30,$AT$3&lt;=CG$7),ROUND(CG344*($AP$3+#REF!),-1),""))</f>
        <v/>
      </c>
      <c r="CI344" s="517" t="e">
        <v>#REF!</v>
      </c>
      <c r="CJ344" s="503" t="str">
        <f>IF($G344="","",IF(AND($G344&gt;=30,$AT$3&lt;=CI$7),ROUND(CI344*($AP$3+#REF!),-1),""))</f>
        <v/>
      </c>
      <c r="CK344" s="517"/>
      <c r="CL344" s="503" t="str">
        <f>IF($G344="","",IF(AND($G344&gt;=30,$AT$3&lt;=CK$7),ROUND(CK344*($AP$3+#REF!),-1),""))</f>
        <v/>
      </c>
      <c r="CM344" s="517"/>
      <c r="CN344" s="503" t="str">
        <f>IF($G344="","",IF(AND($G344&gt;=30,$AT$3&lt;=CM$7),ROUND(CM344*($AP$3+#REF!),-1),""))</f>
        <v/>
      </c>
      <c r="CO344" s="517"/>
      <c r="CP344" s="503" t="str">
        <f>IF($G344="","",IF(AND($G344&gt;=30,$AT$3&lt;=CO$7),ROUND(CO344*($AP$3+#REF!),-1),""))</f>
        <v/>
      </c>
      <c r="CQ344" s="517"/>
      <c r="CR344" s="503" t="str">
        <f>IF($G344="","",IF(AND($G344&gt;=30,$AT$3&lt;=CQ$7),ROUND(CQ344*($AP$3+#REF!),-1),""))</f>
        <v/>
      </c>
      <c r="CS344" s="517"/>
      <c r="CT344" s="503" t="str">
        <f>IF($G344="","",IF(AND($G344&gt;=30,$AT$3&lt;=CS$7),ROUND(CS344*($AP$3+#REF!),-1),""))</f>
        <v/>
      </c>
      <c r="CU344" s="517"/>
      <c r="CV344" s="503" t="str">
        <f>IF($G344="","",IF(AND($G344&gt;=30,$AT$3&lt;=CU$7),ROUND(CU344*($AP$3+#REF!),-1),""))</f>
        <v/>
      </c>
      <c r="CW344" s="517"/>
      <c r="CX344" s="503" t="str">
        <f>IF($G344="","",IF(AND($G344&gt;=30,$AT$3&lt;=CW$7),ROUND(CW344*($AP$3+#REF!),-1),""))</f>
        <v/>
      </c>
      <c r="CY344" s="517"/>
      <c r="CZ344" s="503" t="str">
        <f>IF($G344="","",IF(AND($G344&gt;=30,$AT$3&lt;=CY$7),ROUND(CY344*($AP$3+#REF!),-1),""))</f>
        <v/>
      </c>
      <c r="DA344" s="517"/>
      <c r="DB344" s="503" t="str">
        <f>IF($G344="","",IF(AND($G344&gt;=30,$AT$3&lt;=DA$7),ROUND(DA344*($AP$3+#REF!),-1),""))</f>
        <v/>
      </c>
      <c r="DC344" s="517"/>
      <c r="DD344" s="503" t="str">
        <f>IF($G344="","",IF(AND($G344&gt;=30,$AT$3&lt;=DC$7),ROUND(DC344*($AP$3+#REF!),-1),""))</f>
        <v/>
      </c>
      <c r="DE344" s="517"/>
      <c r="DF344" s="503" t="str">
        <f>IF($G344="","",IF(AND($G344&gt;=30,$AT$3&lt;=DE$7),ROUND(DE344*($AP$3+#REF!),-1),""))</f>
        <v/>
      </c>
      <c r="DG344" s="517"/>
      <c r="DH344" s="503" t="str">
        <f>IF($G344="","",IF(AND($G344&gt;=30,$AT$3&lt;=DG$7),ROUND(DG344*($AP$3+#REF!),-1),""))</f>
        <v/>
      </c>
      <c r="DI344" s="517"/>
      <c r="DJ344" s="503" t="str">
        <f>IF($G344="","",IF(AND($G344&gt;=30,$AT$3&lt;=DI$7),ROUND(DI344*($AP$3+#REF!),-1),""))</f>
        <v/>
      </c>
      <c r="DK344" s="517"/>
      <c r="DL344" s="503" t="str">
        <f>IF($G344="","",IF(AND($G344&gt;=30,$AT$3&lt;=DK$7),ROUND(DK344*($AP$3+#REF!),-1),""))</f>
        <v/>
      </c>
      <c r="DM344" s="517"/>
      <c r="DN344" s="503" t="str">
        <f>IF($G344="","",IF(AND($G344&gt;=30,$AT$3&lt;=DM$7),ROUND(DM344*($AP$3+#REF!),-1),""))</f>
        <v/>
      </c>
      <c r="DO344" s="517"/>
      <c r="DP344" s="503" t="str">
        <f>IF($G344="","",IF(AND($G344&gt;=30,$AT$3&lt;=DO$7),ROUND(DO344*($AP$3+#REF!),-1),""))</f>
        <v/>
      </c>
      <c r="DQ344" s="517"/>
      <c r="DR344" s="503" t="str">
        <f>IF($G344="","",IF(AND($G344&gt;=30,$AT$3&lt;=DQ$7),ROUND(DQ344*($AP$3+#REF!),-1),""))</f>
        <v/>
      </c>
      <c r="DS344" s="517"/>
      <c r="DT344" s="503" t="str">
        <f>IF($G344="","",IF(AND($G344&gt;=30,$AT$3&lt;=DS$7),ROUND(DS344*($AP$3+#REF!),-1),""))</f>
        <v/>
      </c>
      <c r="DU344" s="517"/>
      <c r="DV344" s="503" t="str">
        <f>IF($G344="","",IF(AND($G344&gt;=30,$AT$3&lt;=DU$7),ROUND(DU344*($AP$3+#REF!),-1),""))</f>
        <v/>
      </c>
      <c r="DW344" s="517"/>
      <c r="DX344" s="503" t="str">
        <f>IF($G344="","",IF(AND($G344&gt;=30,$AT$3&lt;=DW$7),ROUND(DW344*($AP$3+#REF!),-1),""))</f>
        <v/>
      </c>
      <c r="DY344" s="517"/>
      <c r="DZ344" s="503" t="str">
        <f>IF($G344="","",IF(AND($G344&gt;=30,$AT$3&lt;=DY$7),ROUND(DY344*($AP$3+#REF!),-1),""))</f>
        <v/>
      </c>
      <c r="EA344" s="517"/>
      <c r="EB344" s="503" t="str">
        <f>IF($G344="","",IF(AND($G344&gt;=30,$AT$3&lt;=EA$7),ROUND(EA344*($AP$3+#REF!),-1),""))</f>
        <v/>
      </c>
      <c r="EC344" s="504" t="s">
        <v>621</v>
      </c>
      <c r="ED344" s="1125"/>
      <c r="EE344" s="325">
        <v>12</v>
      </c>
    </row>
    <row r="345" spans="1:135" ht="9.75" customHeight="1">
      <c r="A345" s="321" t="str">
        <f t="shared" si="82"/>
        <v/>
      </c>
      <c r="B345" s="567">
        <f>(ii!$D$13*12+V345)+1</f>
        <v>239</v>
      </c>
      <c r="C345" s="345">
        <f t="shared" si="86"/>
        <v>52627</v>
      </c>
      <c r="D345" s="340">
        <f t="shared" si="75"/>
        <v>2044</v>
      </c>
      <c r="E345" s="340">
        <f t="shared" si="87"/>
        <v>8.3333333333333329E-2</v>
      </c>
      <c r="F345" s="340">
        <f t="shared" si="76"/>
        <v>2044.0833333333333</v>
      </c>
      <c r="G345" s="531" t="str">
        <f>IF(OR(C345&lt;$I$2,C345&gt;$J$3),"",(ii!$D$13*12+V345+1)/12)</f>
        <v/>
      </c>
      <c r="H345" s="532"/>
      <c r="I345" s="532"/>
      <c r="J345" s="533"/>
      <c r="K345" s="553"/>
      <c r="L345" s="534"/>
      <c r="M345" s="489" t="str">
        <f t="shared" si="77"/>
        <v/>
      </c>
      <c r="N345" s="536" t="s">
        <v>621</v>
      </c>
      <c r="O345" s="490" t="str">
        <f t="shared" si="84"/>
        <v/>
      </c>
      <c r="P345" s="537"/>
      <c r="Q345" s="537"/>
      <c r="R345" s="533" t="str">
        <f t="shared" si="85"/>
        <v/>
      </c>
      <c r="S345" s="538" t="str">
        <f t="shared" si="83"/>
        <v/>
      </c>
      <c r="T345" s="538" t="str">
        <f t="shared" si="81"/>
        <v/>
      </c>
      <c r="U345" s="539" t="str">
        <f>IF(H345="","",#REF!*12+#REF!+#REF!*12+#REF!)</f>
        <v/>
      </c>
      <c r="V345" s="338">
        <f>IF(ii!$J$3&gt;gg!C345,"",IF(AND((YEAR(C345)=YEAR($I$2)),MONTH(C345)=MONTH($I$2)),ii!$B$14*12+ii!$C$14+ii!$B$15*12+ii!$C$15-1,V344+1))</f>
        <v>238</v>
      </c>
      <c r="W345" s="339">
        <f t="shared" si="88"/>
        <v>19.833333333333332</v>
      </c>
      <c r="X345" s="540" t="s">
        <v>621</v>
      </c>
      <c r="Y345" s="538" t="s">
        <v>621</v>
      </c>
      <c r="Z345" s="541">
        <f>Z333+$Z$26</f>
        <v>0.78000000000000047</v>
      </c>
      <c r="AA345" s="542" t="str">
        <f>IF(Y345="","",(Y345-Y344)/Y344)</f>
        <v/>
      </c>
      <c r="AB345" s="543" t="e">
        <f t="shared" si="80"/>
        <v>#VALUE!</v>
      </c>
      <c r="AC345" s="544" t="str">
        <f t="shared" si="78"/>
        <v/>
      </c>
      <c r="AD345" s="538" t="str">
        <f t="shared" si="79"/>
        <v/>
      </c>
      <c r="AE345" s="545" t="s">
        <v>621</v>
      </c>
      <c r="AF345" s="546" t="s">
        <v>621</v>
      </c>
      <c r="AG345" s="558" t="s">
        <v>621</v>
      </c>
      <c r="AH345" s="547" t="str">
        <f>IF($G345="","",IF(AND($G345&gt;=30,$AT$3&lt;=AG$7),ROUND(AG345*($AP$3+#REF!),-1),""))</f>
        <v/>
      </c>
      <c r="AI345" s="558" t="s">
        <v>621</v>
      </c>
      <c r="AJ345" s="547" t="str">
        <f>IF($G345="","",IF(AND($G345&gt;=30,$AT$3&lt;=AI$7),ROUND(AI345*($AP$3+#REF!),-1),""))</f>
        <v/>
      </c>
      <c r="AK345" s="560" t="s">
        <v>621</v>
      </c>
      <c r="AL345" s="547" t="str">
        <f>IF($G345="","",IF(AND($G345&gt;=30,$AT$3&lt;=AK$7),ROUND(AK345*($AP$3+#REF!),-1),""))</f>
        <v/>
      </c>
      <c r="AM345" s="560" t="s">
        <v>621</v>
      </c>
      <c r="AN345" s="547" t="str">
        <f>IF($G345="","",IF(AND($G345&gt;=30,$AT$3&lt;=AM$7),ROUND(AM345*($AP$3+#REF!),-1),""))</f>
        <v/>
      </c>
      <c r="AO345" s="547" t="e">
        <v>#REF!</v>
      </c>
      <c r="AP345" s="547" t="str">
        <f>IF($G345="","",IF(AND($G345&gt;=30,$AT$3&lt;=AO$7),ROUND(AO345*($AP$3+#REF!),-1),""))</f>
        <v/>
      </c>
      <c r="AQ345" s="547" t="s">
        <v>621</v>
      </c>
      <c r="AR345" s="547" t="str">
        <f>IF($G345="","",IF(AND($G345&gt;=30,$AT$3&lt;=AQ$7),ROUND(AQ345*($AP$3+#REF!),-1),""))</f>
        <v/>
      </c>
      <c r="AS345" s="547" t="s">
        <v>621</v>
      </c>
      <c r="AT345" s="547" t="str">
        <f>IF($G345="","",IF(AND($G345&gt;=30,$AT$3&lt;=AS$7),ROUND(AS345*($AP$3+#REF!),-1),""))</f>
        <v/>
      </c>
      <c r="AU345" s="547" t="s">
        <v>621</v>
      </c>
      <c r="AV345" s="547" t="str">
        <f>IF($G345="","",IF(AND($G345&gt;=30,$AT$3&lt;=AU$7),ROUND(AU345*($AP$3+#REF!),-1),""))</f>
        <v/>
      </c>
      <c r="AW345" s="547" t="s">
        <v>621</v>
      </c>
      <c r="AX345" s="547" t="str">
        <f>IF($G345="","",IF(AND($G345&gt;=30,$AT$3&lt;=AW$7),ROUND(AW345*($AP$3+#REF!),-1),""))</f>
        <v/>
      </c>
      <c r="AY345" s="547" t="s">
        <v>621</v>
      </c>
      <c r="AZ345" s="547" t="str">
        <f>IF($G345="","",IF(AND($G345&gt;=30,$AT$3&lt;=AY$7),ROUND(AY345*($AP$3+#REF!),-1),""))</f>
        <v/>
      </c>
      <c r="BA345" s="547" t="s">
        <v>621</v>
      </c>
      <c r="BB345" s="547" t="str">
        <f>IF($G345="","",IF(AND($G345&gt;=30,$AT$3&lt;=BA$7),ROUND(BA345*($AP$3+#REF!),-1),""))</f>
        <v/>
      </c>
      <c r="BC345" s="547" t="s">
        <v>621</v>
      </c>
      <c r="BD345" s="547" t="str">
        <f>IF($G345="","",IF(AND($G345&gt;=30,$AT$3&lt;=BC$7),ROUND(BC345*($AP$3+#REF!),-1),""))</f>
        <v/>
      </c>
      <c r="BE345" s="547" t="s">
        <v>621</v>
      </c>
      <c r="BF345" s="547" t="str">
        <f>IF($G345="","",IF(AND($G345&gt;=30,$AT$3&lt;=BE$7),ROUND(BE345*($AP$3+#REF!),-1),""))</f>
        <v/>
      </c>
      <c r="BG345" s="547" t="s">
        <v>621</v>
      </c>
      <c r="BH345" s="547" t="str">
        <f>IF($G345="","",IF(AND($G345&gt;=30,$AT$3&lt;=BG$7),ROUND(BG345*($AP$3+#REF!),-1),""))</f>
        <v/>
      </c>
      <c r="BI345" s="547" t="s">
        <v>621</v>
      </c>
      <c r="BJ345" s="547" t="str">
        <f>IF($G345="","",IF(AND($G345&gt;=30,$AT$3&lt;=BI$7),ROUND(BI345*($AP$3+#REF!),-1),""))</f>
        <v/>
      </c>
      <c r="BK345" s="547" t="s">
        <v>621</v>
      </c>
      <c r="BL345" s="547" t="str">
        <f>IF($G345="","",IF(AND($G345&gt;=30,$AT$3&lt;=BK$7),ROUND(BK345*($AP$3+#REF!),-1),""))</f>
        <v/>
      </c>
      <c r="BM345" s="547" t="s">
        <v>621</v>
      </c>
      <c r="BN345" s="547" t="str">
        <f>IF($G345="","",IF(AND($G345&gt;=30,$AT$3&lt;=BM$7),ROUND(BM345*($AP$3+#REF!),-1),""))</f>
        <v/>
      </c>
      <c r="BO345" s="547" t="s">
        <v>621</v>
      </c>
      <c r="BP345" s="547" t="str">
        <f>IF($G345="","",IF(AND($G345&gt;=30,$AT$3&lt;=BO$7),ROUND(BO345*($AP$3+#REF!),-1),""))</f>
        <v/>
      </c>
      <c r="BQ345" s="547" t="s">
        <v>621</v>
      </c>
      <c r="BR345" s="547" t="str">
        <f>IF($G345="","",IF(AND($G345&gt;=30,$AT$3&lt;=BQ$7),ROUND(BQ345*($AP$3+#REF!),-1),""))</f>
        <v/>
      </c>
      <c r="BS345" s="547" t="s">
        <v>621</v>
      </c>
      <c r="BT345" s="547" t="str">
        <f>IF($G345="","",IF(AND($G345&gt;=30,$AT$3&lt;=BS$7),ROUND(BS345*($AP$3+#REF!),-1),""))</f>
        <v/>
      </c>
      <c r="BU345" s="547" t="s">
        <v>621</v>
      </c>
      <c r="BV345" s="547" t="str">
        <f>IF($G345="","",IF(AND($G345&gt;=30,$AT$3&lt;=BU$7),ROUND(BU345*($AP$3+#REF!),-1),""))</f>
        <v/>
      </c>
      <c r="BW345" s="547" t="s">
        <v>621</v>
      </c>
      <c r="BX345" s="547" t="str">
        <f>IF($G345="","",IF(AND($G345&gt;=30,$AT$3&lt;=BW$7),ROUND(BW345*($AP$3+#REF!),-1),""))</f>
        <v/>
      </c>
      <c r="BY345" s="547" t="s">
        <v>621</v>
      </c>
      <c r="BZ345" s="547" t="str">
        <f>IF($G345="","",IF(AND($G345&gt;=30,$AT$3&lt;=BY$7),ROUND(BY345*($AP$3+#REF!),-1),""))</f>
        <v/>
      </c>
      <c r="CA345" s="547" t="s">
        <v>621</v>
      </c>
      <c r="CB345" s="547" t="str">
        <f>IF($G345="","",IF(AND($G345&gt;=30,$AT$3&lt;=CA$7),ROUND(CA345*($AP$3+#REF!),-1),""))</f>
        <v/>
      </c>
      <c r="CC345" s="547" t="s">
        <v>621</v>
      </c>
      <c r="CD345" s="547" t="str">
        <f>IF($G345="","",IF(AND($G345&gt;=30,$AT$3&lt;=CC$7),ROUND(CC345*($AP$3+#REF!),-1),""))</f>
        <v/>
      </c>
      <c r="CE345" s="547" t="s">
        <v>621</v>
      </c>
      <c r="CF345" s="547" t="str">
        <f>IF($G345="","",IF(AND($G345&gt;=30,$AT$3&lt;=CE$7),ROUND(CE345*($AP$3+#REF!),-1),""))</f>
        <v/>
      </c>
      <c r="CG345" s="547" t="s">
        <v>621</v>
      </c>
      <c r="CH345" s="547" t="str">
        <f>IF($G345="","",IF(AND($G345&gt;=30,$AT$3&lt;=CG$7),ROUND(CG345*($AP$3+#REF!),-1),""))</f>
        <v/>
      </c>
      <c r="CI345" s="547" t="s">
        <v>621</v>
      </c>
      <c r="CJ345" s="547" t="str">
        <f>IF($G345="","",IF(AND($G345&gt;=30,$AT$3&lt;=CI$7),ROUND(CI345*($AP$3+#REF!),-1),""))</f>
        <v/>
      </c>
      <c r="CK345" s="533" t="e">
        <v>#REF!</v>
      </c>
      <c r="CL345" s="547" t="str">
        <f>IF($G345="","",IF(AND($G345&gt;=30,$AT$3&lt;=CK$7),ROUND(CK345*($AP$3+#REF!),-1),""))</f>
        <v/>
      </c>
      <c r="CM345" s="547"/>
      <c r="CN345" s="547" t="str">
        <f>IF($G345="","",IF(AND($G345&gt;=30,$AT$3&lt;=CM$7),ROUND(CM345*($AP$3+#REF!),-1),""))</f>
        <v/>
      </c>
      <c r="CO345" s="547"/>
      <c r="CP345" s="547" t="str">
        <f>IF($G345="","",IF(AND($G345&gt;=30,$AT$3&lt;=CO$7),ROUND(CO345*($AP$3+#REF!),-1),""))</f>
        <v/>
      </c>
      <c r="CQ345" s="547"/>
      <c r="CR345" s="547" t="str">
        <f>IF($G345="","",IF(AND($G345&gt;=30,$AT$3&lt;=CQ$7),ROUND(CQ345*($AP$3+#REF!),-1),""))</f>
        <v/>
      </c>
      <c r="CS345" s="547"/>
      <c r="CT345" s="547" t="str">
        <f>IF($G345="","",IF(AND($G345&gt;=30,$AT$3&lt;=CS$7),ROUND(CS345*($AP$3+#REF!),-1),""))</f>
        <v/>
      </c>
      <c r="CU345" s="547"/>
      <c r="CV345" s="547" t="str">
        <f>IF($G345="","",IF(AND($G345&gt;=30,$AT$3&lt;=CU$7),ROUND(CU345*($AP$3+#REF!),-1),""))</f>
        <v/>
      </c>
      <c r="CW345" s="547"/>
      <c r="CX345" s="547" t="str">
        <f>IF($G345="","",IF(AND($G345&gt;=30,$AT$3&lt;=CW$7),ROUND(CW345*($AP$3+#REF!),-1),""))</f>
        <v/>
      </c>
      <c r="CY345" s="547"/>
      <c r="CZ345" s="547" t="str">
        <f>IF($G345="","",IF(AND($G345&gt;=30,$AT$3&lt;=CY$7),ROUND(CY345*($AP$3+#REF!),-1),""))</f>
        <v/>
      </c>
      <c r="DA345" s="547"/>
      <c r="DB345" s="547" t="str">
        <f>IF($G345="","",IF(AND($G345&gt;=30,$AT$3&lt;=DA$7),ROUND(DA345*($AP$3+#REF!),-1),""))</f>
        <v/>
      </c>
      <c r="DC345" s="547"/>
      <c r="DD345" s="547" t="str">
        <f>IF($G345="","",IF(AND($G345&gt;=30,$AT$3&lt;=DC$7),ROUND(DC345*($AP$3+#REF!),-1),""))</f>
        <v/>
      </c>
      <c r="DE345" s="547"/>
      <c r="DF345" s="547" t="str">
        <f>IF($G345="","",IF(AND($G345&gt;=30,$AT$3&lt;=DE$7),ROUND(DE345*($AP$3+#REF!),-1),""))</f>
        <v/>
      </c>
      <c r="DG345" s="547"/>
      <c r="DH345" s="547" t="str">
        <f>IF($G345="","",IF(AND($G345&gt;=30,$AT$3&lt;=DG$7),ROUND(DG345*($AP$3+#REF!),-1),""))</f>
        <v/>
      </c>
      <c r="DI345" s="547"/>
      <c r="DJ345" s="547" t="str">
        <f>IF($G345="","",IF(AND($G345&gt;=30,$AT$3&lt;=DI$7),ROUND(DI345*($AP$3+#REF!),-1),""))</f>
        <v/>
      </c>
      <c r="DK345" s="547"/>
      <c r="DL345" s="547" t="str">
        <f>IF($G345="","",IF(AND($G345&gt;=30,$AT$3&lt;=DK$7),ROUND(DK345*($AP$3+#REF!),-1),""))</f>
        <v/>
      </c>
      <c r="DM345" s="547"/>
      <c r="DN345" s="547" t="str">
        <f>IF($G345="","",IF(AND($G345&gt;=30,$AT$3&lt;=DM$7),ROUND(DM345*($AP$3+#REF!),-1),""))</f>
        <v/>
      </c>
      <c r="DO345" s="547"/>
      <c r="DP345" s="547" t="str">
        <f>IF($G345="","",IF(AND($G345&gt;=30,$AT$3&lt;=DO$7),ROUND(DO345*($AP$3+#REF!),-1),""))</f>
        <v/>
      </c>
      <c r="DQ345" s="547"/>
      <c r="DR345" s="547" t="str">
        <f>IF($G345="","",IF(AND($G345&gt;=30,$AT$3&lt;=DQ$7),ROUND(DQ345*($AP$3+#REF!),-1),""))</f>
        <v/>
      </c>
      <c r="DS345" s="547"/>
      <c r="DT345" s="547" t="str">
        <f>IF($G345="","",IF(AND($G345&gt;=30,$AT$3&lt;=DS$7),ROUND(DS345*($AP$3+#REF!),-1),""))</f>
        <v/>
      </c>
      <c r="DU345" s="547"/>
      <c r="DV345" s="547" t="str">
        <f>IF($G345="","",IF(AND($G345&gt;=30,$AT$3&lt;=DU$7),ROUND(DU345*($AP$3+#REF!),-1),""))</f>
        <v/>
      </c>
      <c r="DW345" s="547"/>
      <c r="DX345" s="547" t="str">
        <f>IF($G345="","",IF(AND($G345&gt;=30,$AT$3&lt;=DW$7),ROUND(DW345*($AP$3+#REF!),-1),""))</f>
        <v/>
      </c>
      <c r="DY345" s="547"/>
      <c r="DZ345" s="547" t="str">
        <f>IF($G345="","",IF(AND($G345&gt;=30,$AT$3&lt;=DY$7),ROUND(DY345*($AP$3+#REF!),-1),""))</f>
        <v/>
      </c>
      <c r="EA345" s="547"/>
      <c r="EB345" s="547" t="str">
        <f>IF($G345="","",IF(AND($G345&gt;=30,$AT$3&lt;=EA$7),ROUND(EA345*($AP$3+#REF!),-1),""))</f>
        <v/>
      </c>
      <c r="EC345" s="547" t="s">
        <v>621</v>
      </c>
      <c r="ED345" s="1123">
        <f>SUM(EC345:EC356)</f>
        <v>0</v>
      </c>
      <c r="EE345" s="325">
        <v>1</v>
      </c>
    </row>
    <row r="346" spans="1:135" ht="9.75" customHeight="1">
      <c r="A346" s="321" t="str">
        <f t="shared" si="82"/>
        <v/>
      </c>
      <c r="B346" s="567">
        <f>(ii!$D$13*12+V346)+1</f>
        <v>240</v>
      </c>
      <c r="C346" s="337">
        <f t="shared" si="86"/>
        <v>52656</v>
      </c>
      <c r="D346" s="484">
        <f t="shared" ref="D346:D409" si="89">YEAR(C346)</f>
        <v>2044</v>
      </c>
      <c r="E346" s="484">
        <f t="shared" si="87"/>
        <v>0.16666666666666666</v>
      </c>
      <c r="F346" s="484">
        <f t="shared" ref="F346:F409" si="90">D346+E346</f>
        <v>2044.1666666666667</v>
      </c>
      <c r="G346" s="485" t="str">
        <f>IF(OR(C346&lt;$I$2,C346&gt;$J$3),"",(ii!$D$13*12+V346+1)/12)</f>
        <v/>
      </c>
      <c r="H346" s="486"/>
      <c r="I346" s="486"/>
      <c r="J346" s="487"/>
      <c r="K346" s="488"/>
      <c r="L346" s="548"/>
      <c r="M346" s="489" t="str">
        <f t="shared" ref="M346:M409" si="91">IF(K346="","",IF(OR(J344=0,J343=0,J344=""),"",(J346-J345)/J345))</f>
        <v/>
      </c>
      <c r="N346" s="490" t="s">
        <v>621</v>
      </c>
      <c r="O346" s="490" t="str">
        <f t="shared" si="84"/>
        <v/>
      </c>
      <c r="P346" s="491"/>
      <c r="Q346" s="491"/>
      <c r="R346" s="491" t="str">
        <f t="shared" si="85"/>
        <v/>
      </c>
      <c r="S346" s="528" t="str">
        <f t="shared" si="83"/>
        <v/>
      </c>
      <c r="T346" s="528" t="str">
        <f t="shared" si="81"/>
        <v/>
      </c>
      <c r="U346" s="493" t="str">
        <f>IF(H346="","",#REF!*12+#REF!+#REF!*12+#REF!)</f>
        <v/>
      </c>
      <c r="V346" s="338">
        <f>IF(ii!$J$3&gt;gg!C346,"",IF(AND((YEAR(C346)=YEAR($I$2)),MONTH(C346)=MONTH($I$2)),ii!$B$14*12+ii!$C$14+ii!$B$15*12+ii!$C$15-1,V345+1))</f>
        <v>239</v>
      </c>
      <c r="W346" s="339">
        <f t="shared" si="88"/>
        <v>19.916666666666668</v>
      </c>
      <c r="X346" s="494" t="s">
        <v>621</v>
      </c>
      <c r="Y346" s="495" t="s">
        <v>621</v>
      </c>
      <c r="Z346" s="496"/>
      <c r="AA346" s="497"/>
      <c r="AB346" s="498" t="e">
        <f t="shared" si="80"/>
        <v>#VALUE!</v>
      </c>
      <c r="AC346" s="484" t="str">
        <f t="shared" si="78"/>
        <v/>
      </c>
      <c r="AD346" s="495" t="str">
        <f t="shared" si="79"/>
        <v/>
      </c>
      <c r="AE346" s="499" t="s">
        <v>621</v>
      </c>
      <c r="AF346" s="500" t="s">
        <v>621</v>
      </c>
      <c r="AG346" s="556" t="s">
        <v>621</v>
      </c>
      <c r="AH346" s="503" t="str">
        <f>IF($G346="","",IF(AND($G346&gt;=30,$AT$3&lt;=AG$7),ROUND(AG346*($AP$3+#REF!),-1),""))</f>
        <v/>
      </c>
      <c r="AI346" s="506" t="s">
        <v>621</v>
      </c>
      <c r="AJ346" s="503" t="str">
        <f>IF($G346="","",IF(AND($G346&gt;=30,$AT$3&lt;=AI$7),ROUND(AI346*($AP$3+#REF!),-1),""))</f>
        <v/>
      </c>
      <c r="AK346" s="506" t="s">
        <v>621</v>
      </c>
      <c r="AL346" s="503" t="str">
        <f>IF($G346="","",IF(AND($G346&gt;=30,$AT$3&lt;=AK$7),ROUND(AK346*($AP$3+#REF!),-1),""))</f>
        <v/>
      </c>
      <c r="AM346" s="506" t="s">
        <v>621</v>
      </c>
      <c r="AN346" s="503" t="str">
        <f>IF($G346="","",IF(AND($G346&gt;=30,$AT$3&lt;=AM$7),ROUND(AM346*($AP$3+#REF!),-1),""))</f>
        <v/>
      </c>
      <c r="AO346" s="503" t="e">
        <f>IF(AO345="","",AO345*1.001)</f>
        <v>#REF!</v>
      </c>
      <c r="AP346" s="503" t="str">
        <f>IF($G346="","",IF(AND($G346&gt;=30,$AT$3&lt;=AO$7),ROUND(AO346*($AP$3+#REF!),-1),""))</f>
        <v/>
      </c>
      <c r="AQ346" s="503" t="s">
        <v>621</v>
      </c>
      <c r="AR346" s="503" t="str">
        <f>IF($G346="","",IF(AND($G346&gt;=30,$AT$3&lt;=AQ$7),ROUND(AQ346*($AP$3+#REF!),-1),""))</f>
        <v/>
      </c>
      <c r="AS346" s="503" t="s">
        <v>621</v>
      </c>
      <c r="AT346" s="503" t="str">
        <f>IF($G346="","",IF(AND($G346&gt;=30,$AT$3&lt;=AS$7),ROUND(AS346*($AP$3+#REF!),-1),""))</f>
        <v/>
      </c>
      <c r="AU346" s="503" t="s">
        <v>621</v>
      </c>
      <c r="AV346" s="503" t="str">
        <f>IF($G346="","",IF(AND($G346&gt;=30,$AT$3&lt;=AU$7),ROUND(AU346*($AP$3+#REF!),-1),""))</f>
        <v/>
      </c>
      <c r="AW346" s="503" t="s">
        <v>621</v>
      </c>
      <c r="AX346" s="503" t="str">
        <f>IF($G346="","",IF(AND($G346&gt;=30,$AT$3&lt;=AW$7),ROUND(AW346*($AP$3+#REF!),-1),""))</f>
        <v/>
      </c>
      <c r="AY346" s="503" t="s">
        <v>621</v>
      </c>
      <c r="AZ346" s="503" t="str">
        <f>IF($G346="","",IF(AND($G346&gt;=30,$AT$3&lt;=AY$7),ROUND(AY346*($AP$3+#REF!),-1),""))</f>
        <v/>
      </c>
      <c r="BA346" s="503" t="s">
        <v>621</v>
      </c>
      <c r="BB346" s="503" t="str">
        <f>IF($G346="","",IF(AND($G346&gt;=30,$AT$3&lt;=BA$7),ROUND(BA346*($AP$3+#REF!),-1),""))</f>
        <v/>
      </c>
      <c r="BC346" s="503" t="s">
        <v>621</v>
      </c>
      <c r="BD346" s="503" t="str">
        <f>IF($G346="","",IF(AND($G346&gt;=30,$AT$3&lt;=BC$7),ROUND(BC346*($AP$3+#REF!),-1),""))</f>
        <v/>
      </c>
      <c r="BE346" s="503" t="s">
        <v>621</v>
      </c>
      <c r="BF346" s="503" t="str">
        <f>IF($G346="","",IF(AND($G346&gt;=30,$AT$3&lt;=BE$7),ROUND(BE346*($AP$3+#REF!),-1),""))</f>
        <v/>
      </c>
      <c r="BG346" s="503" t="s">
        <v>621</v>
      </c>
      <c r="BH346" s="503" t="str">
        <f>IF($G346="","",IF(AND($G346&gt;=30,$AT$3&lt;=BG$7),ROUND(BG346*($AP$3+#REF!),-1),""))</f>
        <v/>
      </c>
      <c r="BI346" s="503" t="s">
        <v>621</v>
      </c>
      <c r="BJ346" s="503" t="str">
        <f>IF($G346="","",IF(AND($G346&gt;=30,$AT$3&lt;=BI$7),ROUND(BI346*($AP$3+#REF!),-1),""))</f>
        <v/>
      </c>
      <c r="BK346" s="503" t="s">
        <v>621</v>
      </c>
      <c r="BL346" s="503" t="str">
        <f>IF($G346="","",IF(AND($G346&gt;=30,$AT$3&lt;=BK$7),ROUND(BK346*($AP$3+#REF!),-1),""))</f>
        <v/>
      </c>
      <c r="BM346" s="503" t="s">
        <v>621</v>
      </c>
      <c r="BN346" s="503" t="str">
        <f>IF($G346="","",IF(AND($G346&gt;=30,$AT$3&lt;=BM$7),ROUND(BM346*($AP$3+#REF!),-1),""))</f>
        <v/>
      </c>
      <c r="BO346" s="503" t="s">
        <v>621</v>
      </c>
      <c r="BP346" s="503" t="str">
        <f>IF($G346="","",IF(AND($G346&gt;=30,$AT$3&lt;=BO$7),ROUND(BO346*($AP$3+#REF!),-1),""))</f>
        <v/>
      </c>
      <c r="BQ346" s="503" t="s">
        <v>621</v>
      </c>
      <c r="BR346" s="503" t="str">
        <f>IF($G346="","",IF(AND($G346&gt;=30,$AT$3&lt;=BQ$7),ROUND(BQ346*($AP$3+#REF!),-1),""))</f>
        <v/>
      </c>
      <c r="BS346" s="503" t="s">
        <v>621</v>
      </c>
      <c r="BT346" s="503" t="str">
        <f>IF($G346="","",IF(AND($G346&gt;=30,$AT$3&lt;=BS$7),ROUND(BS346*($AP$3+#REF!),-1),""))</f>
        <v/>
      </c>
      <c r="BU346" s="503" t="s">
        <v>621</v>
      </c>
      <c r="BV346" s="503" t="str">
        <f>IF($G346="","",IF(AND($G346&gt;=30,$AT$3&lt;=BU$7),ROUND(BU346*($AP$3+#REF!),-1),""))</f>
        <v/>
      </c>
      <c r="BW346" s="503" t="s">
        <v>621</v>
      </c>
      <c r="BX346" s="503" t="str">
        <f>IF($G346="","",IF(AND($G346&gt;=30,$AT$3&lt;=BW$7),ROUND(BW346*($AP$3+#REF!),-1),""))</f>
        <v/>
      </c>
      <c r="BY346" s="503" t="s">
        <v>621</v>
      </c>
      <c r="BZ346" s="503" t="str">
        <f>IF($G346="","",IF(AND($G346&gt;=30,$AT$3&lt;=BY$7),ROUND(BY346*($AP$3+#REF!),-1),""))</f>
        <v/>
      </c>
      <c r="CA346" s="503" t="s">
        <v>621</v>
      </c>
      <c r="CB346" s="503" t="str">
        <f>IF($G346="","",IF(AND($G346&gt;=30,$AT$3&lt;=CA$7),ROUND(CA346*($AP$3+#REF!),-1),""))</f>
        <v/>
      </c>
      <c r="CC346" s="503" t="s">
        <v>621</v>
      </c>
      <c r="CD346" s="503" t="str">
        <f>IF($G346="","",IF(AND($G346&gt;=30,$AT$3&lt;=CC$7),ROUND(CC346*($AP$3+#REF!),-1),""))</f>
        <v/>
      </c>
      <c r="CE346" s="503" t="s">
        <v>621</v>
      </c>
      <c r="CF346" s="503" t="str">
        <f>IF($G346="","",IF(AND($G346&gt;=30,$AT$3&lt;=CE$7),ROUND(CE346*($AP$3+#REF!),-1),""))</f>
        <v/>
      </c>
      <c r="CG346" s="503" t="s">
        <v>621</v>
      </c>
      <c r="CH346" s="503" t="str">
        <f>IF($G346="","",IF(AND($G346&gt;=30,$AT$3&lt;=CG$7),ROUND(CG346*($AP$3+#REF!),-1),""))</f>
        <v/>
      </c>
      <c r="CI346" s="503" t="s">
        <v>621</v>
      </c>
      <c r="CJ346" s="503" t="str">
        <f>IF($G346="","",IF(AND($G346&gt;=30,$AT$3&lt;=CI$7),ROUND(CI346*($AP$3+#REF!),-1),""))</f>
        <v/>
      </c>
      <c r="CK346" s="517" t="e">
        <v>#REF!</v>
      </c>
      <c r="CL346" s="503" t="str">
        <f>IF($G346="","",IF(AND($G346&gt;=30,$AT$3&lt;=CK$7),ROUND(CK346*($AP$3+#REF!),-1),""))</f>
        <v/>
      </c>
      <c r="CM346" s="517"/>
      <c r="CN346" s="503" t="str">
        <f>IF($G346="","",IF(AND($G346&gt;=30,$AT$3&lt;=CM$7),ROUND(CM346*($AP$3+#REF!),-1),""))</f>
        <v/>
      </c>
      <c r="CO346" s="517"/>
      <c r="CP346" s="503" t="str">
        <f>IF($G346="","",IF(AND($G346&gt;=30,$AT$3&lt;=CO$7),ROUND(CO346*($AP$3+#REF!),-1),""))</f>
        <v/>
      </c>
      <c r="CQ346" s="517"/>
      <c r="CR346" s="503" t="str">
        <f>IF($G346="","",IF(AND($G346&gt;=30,$AT$3&lt;=CQ$7),ROUND(CQ346*($AP$3+#REF!),-1),""))</f>
        <v/>
      </c>
      <c r="CS346" s="517"/>
      <c r="CT346" s="503" t="str">
        <f>IF($G346="","",IF(AND($G346&gt;=30,$AT$3&lt;=CS$7),ROUND(CS346*($AP$3+#REF!),-1),""))</f>
        <v/>
      </c>
      <c r="CU346" s="517"/>
      <c r="CV346" s="503" t="str">
        <f>IF($G346="","",IF(AND($G346&gt;=30,$AT$3&lt;=CU$7),ROUND(CU346*($AP$3+#REF!),-1),""))</f>
        <v/>
      </c>
      <c r="CW346" s="517"/>
      <c r="CX346" s="503" t="str">
        <f>IF($G346="","",IF(AND($G346&gt;=30,$AT$3&lt;=CW$7),ROUND(CW346*($AP$3+#REF!),-1),""))</f>
        <v/>
      </c>
      <c r="CY346" s="517"/>
      <c r="CZ346" s="503" t="str">
        <f>IF($G346="","",IF(AND($G346&gt;=30,$AT$3&lt;=CY$7),ROUND(CY346*($AP$3+#REF!),-1),""))</f>
        <v/>
      </c>
      <c r="DA346" s="517"/>
      <c r="DB346" s="503" t="str">
        <f>IF($G346="","",IF(AND($G346&gt;=30,$AT$3&lt;=DA$7),ROUND(DA346*($AP$3+#REF!),-1),""))</f>
        <v/>
      </c>
      <c r="DC346" s="517"/>
      <c r="DD346" s="503" t="str">
        <f>IF($G346="","",IF(AND($G346&gt;=30,$AT$3&lt;=DC$7),ROUND(DC346*($AP$3+#REF!),-1),""))</f>
        <v/>
      </c>
      <c r="DE346" s="517"/>
      <c r="DF346" s="503" t="str">
        <f>IF($G346="","",IF(AND($G346&gt;=30,$AT$3&lt;=DE$7),ROUND(DE346*($AP$3+#REF!),-1),""))</f>
        <v/>
      </c>
      <c r="DG346" s="517"/>
      <c r="DH346" s="503" t="str">
        <f>IF($G346="","",IF(AND($G346&gt;=30,$AT$3&lt;=DG$7),ROUND(DG346*($AP$3+#REF!),-1),""))</f>
        <v/>
      </c>
      <c r="DI346" s="517"/>
      <c r="DJ346" s="503" t="str">
        <f>IF($G346="","",IF(AND($G346&gt;=30,$AT$3&lt;=DI$7),ROUND(DI346*($AP$3+#REF!),-1),""))</f>
        <v/>
      </c>
      <c r="DK346" s="517"/>
      <c r="DL346" s="503" t="str">
        <f>IF($G346="","",IF(AND($G346&gt;=30,$AT$3&lt;=DK$7),ROUND(DK346*($AP$3+#REF!),-1),""))</f>
        <v/>
      </c>
      <c r="DM346" s="517"/>
      <c r="DN346" s="503" t="str">
        <f>IF($G346="","",IF(AND($G346&gt;=30,$AT$3&lt;=DM$7),ROUND(DM346*($AP$3+#REF!),-1),""))</f>
        <v/>
      </c>
      <c r="DO346" s="517"/>
      <c r="DP346" s="503" t="str">
        <f>IF($G346="","",IF(AND($G346&gt;=30,$AT$3&lt;=DO$7),ROUND(DO346*($AP$3+#REF!),-1),""))</f>
        <v/>
      </c>
      <c r="DQ346" s="517"/>
      <c r="DR346" s="503" t="str">
        <f>IF($G346="","",IF(AND($G346&gt;=30,$AT$3&lt;=DQ$7),ROUND(DQ346*($AP$3+#REF!),-1),""))</f>
        <v/>
      </c>
      <c r="DS346" s="517"/>
      <c r="DT346" s="503" t="str">
        <f>IF($G346="","",IF(AND($G346&gt;=30,$AT$3&lt;=DS$7),ROUND(DS346*($AP$3+#REF!),-1),""))</f>
        <v/>
      </c>
      <c r="DU346" s="517"/>
      <c r="DV346" s="503" t="str">
        <f>IF($G346="","",IF(AND($G346&gt;=30,$AT$3&lt;=DU$7),ROUND(DU346*($AP$3+#REF!),-1),""))</f>
        <v/>
      </c>
      <c r="DW346" s="517"/>
      <c r="DX346" s="503" t="str">
        <f>IF($G346="","",IF(AND($G346&gt;=30,$AT$3&lt;=DW$7),ROUND(DW346*($AP$3+#REF!),-1),""))</f>
        <v/>
      </c>
      <c r="DY346" s="517"/>
      <c r="DZ346" s="503" t="str">
        <f>IF($G346="","",IF(AND($G346&gt;=30,$AT$3&lt;=DY$7),ROUND(DY346*($AP$3+#REF!),-1),""))</f>
        <v/>
      </c>
      <c r="EA346" s="517"/>
      <c r="EB346" s="503" t="str">
        <f>IF($G346="","",IF(AND($G346&gt;=30,$AT$3&lt;=EA$7),ROUND(EA346*($AP$3+#REF!),-1),""))</f>
        <v/>
      </c>
      <c r="EC346" s="504" t="s">
        <v>621</v>
      </c>
      <c r="ED346" s="1124"/>
      <c r="EE346" s="325">
        <v>2</v>
      </c>
    </row>
    <row r="347" spans="1:135" ht="9.75" customHeight="1">
      <c r="A347" s="321" t="str">
        <f t="shared" si="82"/>
        <v/>
      </c>
      <c r="B347" s="567">
        <f>(ii!$D$13*12+V347)+1</f>
        <v>241</v>
      </c>
      <c r="C347" s="337">
        <f t="shared" si="86"/>
        <v>52687</v>
      </c>
      <c r="D347" s="484">
        <f t="shared" si="89"/>
        <v>2044</v>
      </c>
      <c r="E347" s="484">
        <f t="shared" si="87"/>
        <v>0.25</v>
      </c>
      <c r="F347" s="484">
        <f t="shared" si="90"/>
        <v>2044.25</v>
      </c>
      <c r="G347" s="485" t="str">
        <f>IF(OR(C347&lt;$I$2,C347&gt;$J$3),"",(ii!$D$13*12+V347+1)/12)</f>
        <v/>
      </c>
      <c r="H347" s="486"/>
      <c r="I347" s="486"/>
      <c r="J347" s="487"/>
      <c r="K347" s="488"/>
      <c r="L347" s="548"/>
      <c r="M347" s="489" t="str">
        <f t="shared" si="91"/>
        <v/>
      </c>
      <c r="N347" s="490" t="s">
        <v>621</v>
      </c>
      <c r="O347" s="490" t="str">
        <f t="shared" si="84"/>
        <v/>
      </c>
      <c r="P347" s="491"/>
      <c r="Q347" s="491"/>
      <c r="R347" s="491" t="str">
        <f t="shared" si="85"/>
        <v/>
      </c>
      <c r="S347" s="528" t="str">
        <f t="shared" si="83"/>
        <v/>
      </c>
      <c r="T347" s="528" t="str">
        <f t="shared" si="81"/>
        <v/>
      </c>
      <c r="U347" s="493" t="str">
        <f>IF(H347="","",#REF!*12+#REF!+#REF!*12+#REF!)</f>
        <v/>
      </c>
      <c r="V347" s="338">
        <f>IF(ii!$J$3&gt;gg!C347,"",IF(AND((YEAR(C347)=YEAR($I$2)),MONTH(C347)=MONTH($I$2)),ii!$B$14*12+ii!$C$14+ii!$B$15*12+ii!$C$15-1,V346+1))</f>
        <v>240</v>
      </c>
      <c r="W347" s="339">
        <f t="shared" si="88"/>
        <v>20</v>
      </c>
      <c r="X347" s="494" t="s">
        <v>621</v>
      </c>
      <c r="Y347" s="495" t="s">
        <v>621</v>
      </c>
      <c r="Z347" s="496"/>
      <c r="AA347" s="497"/>
      <c r="AB347" s="498" t="e">
        <f t="shared" si="80"/>
        <v>#VALUE!</v>
      </c>
      <c r="AC347" s="484" t="str">
        <f t="shared" ref="AC347:AC410" si="92">IF(OR(C347&lt;$I$2,C347&gt;$J$3),"",IF(AB347&lt;0.3,300,IF(AND(AB347&gt;=0.3,AB347&lt;0.4),216.67,IF(AND(AB347&gt;=0.4,AB347&lt;0.5),175,IF(AND(AB347&gt;=0.5,AB347&lt;0.6),150,IF(AND(AB347&gt;=0.6,AB347&lt;0.7),133.33,IF(AND(AB347&gt;=0.7,AB347&lt;0.8),121.43,IF(AND(AB347&gt;=0.8,AB347&lt;0.9),112.5,IF(AND(AB347&gt;=0.9,AB347&lt;1),105.56,IF(AND(AB347&gt;=1,AB347&lt;1.1),100,IF(AND(AB347&gt;=1.1,AB347&lt;1.2),95.45,IF(AND(AB347&gt;=1.2,AB347&lt;1.3),91.67,IF(AND(AB347&gt;=1.3,AB347&lt;1.4),88.46,IF(AND(AB347&gt;=1.4,AB347&lt;1.5),85.71,IF(AND(AB347&gt;=1.5,AB347&lt;1.6),83.33,IF(AB347&gt;=1.6,81.25,"???"))))))))))))))))</f>
        <v/>
      </c>
      <c r="AD347" s="495" t="str">
        <f t="shared" ref="AD347:AD410" si="93">IF(AC347="","",P347*AC347%)</f>
        <v/>
      </c>
      <c r="AE347" s="499" t="s">
        <v>621</v>
      </c>
      <c r="AF347" s="500" t="s">
        <v>621</v>
      </c>
      <c r="AG347" s="556" t="s">
        <v>621</v>
      </c>
      <c r="AH347" s="503" t="str">
        <f>IF($G347="","",IF(AND($G347&gt;=30,$AT$3&lt;=AG$7),ROUND(AG347*($AP$3+#REF!),-1),""))</f>
        <v/>
      </c>
      <c r="AI347" s="506" t="s">
        <v>621</v>
      </c>
      <c r="AJ347" s="503" t="str">
        <f>IF($G347="","",IF(AND($G347&gt;=30,$AT$3&lt;=AI$7),ROUND(AI347*($AP$3+#REF!),-1),""))</f>
        <v/>
      </c>
      <c r="AK347" s="506" t="s">
        <v>621</v>
      </c>
      <c r="AL347" s="503" t="str">
        <f>IF($G347="","",IF(AND($G347&gt;=30,$AT$3&lt;=AK$7),ROUND(AK347*($AP$3+#REF!),-1),""))</f>
        <v/>
      </c>
      <c r="AM347" s="506" t="s">
        <v>621</v>
      </c>
      <c r="AN347" s="503" t="str">
        <f>IF($G347="","",IF(AND($G347&gt;=30,$AT$3&lt;=AM$7),ROUND(AM347*($AP$3+#REF!),-1),""))</f>
        <v/>
      </c>
      <c r="AO347" s="503" t="e">
        <v>#REF!</v>
      </c>
      <c r="AP347" s="503" t="str">
        <f>IF($G347="","",IF(AND($G347&gt;=30,$AT$3&lt;=AO$7),ROUND(AO347*($AP$3+#REF!),-1),""))</f>
        <v/>
      </c>
      <c r="AQ347" s="503" t="s">
        <v>621</v>
      </c>
      <c r="AR347" s="503" t="str">
        <f>IF($G347="","",IF(AND($G347&gt;=30,$AT$3&lt;=AQ$7),ROUND(AQ347*($AP$3+#REF!),-1),""))</f>
        <v/>
      </c>
      <c r="AS347" s="503" t="s">
        <v>621</v>
      </c>
      <c r="AT347" s="503" t="str">
        <f>IF($G347="","",IF(AND($G347&gt;=30,$AT$3&lt;=AS$7),ROUND(AS347*($AP$3+#REF!),-1),""))</f>
        <v/>
      </c>
      <c r="AU347" s="503" t="s">
        <v>621</v>
      </c>
      <c r="AV347" s="503" t="str">
        <f>IF($G347="","",IF(AND($G347&gt;=30,$AT$3&lt;=AU$7),ROUND(AU347*($AP$3+#REF!),-1),""))</f>
        <v/>
      </c>
      <c r="AW347" s="503" t="s">
        <v>621</v>
      </c>
      <c r="AX347" s="503" t="str">
        <f>IF($G347="","",IF(AND($G347&gt;=30,$AT$3&lt;=AW$7),ROUND(AW347*($AP$3+#REF!),-1),""))</f>
        <v/>
      </c>
      <c r="AY347" s="503" t="s">
        <v>621</v>
      </c>
      <c r="AZ347" s="503" t="str">
        <f>IF($G347="","",IF(AND($G347&gt;=30,$AT$3&lt;=AY$7),ROUND(AY347*($AP$3+#REF!),-1),""))</f>
        <v/>
      </c>
      <c r="BA347" s="503" t="s">
        <v>621</v>
      </c>
      <c r="BB347" s="503" t="str">
        <f>IF($G347="","",IF(AND($G347&gt;=30,$AT$3&lt;=BA$7),ROUND(BA347*($AP$3+#REF!),-1),""))</f>
        <v/>
      </c>
      <c r="BC347" s="503" t="s">
        <v>621</v>
      </c>
      <c r="BD347" s="503" t="str">
        <f>IF($G347="","",IF(AND($G347&gt;=30,$AT$3&lt;=BC$7),ROUND(BC347*($AP$3+#REF!),-1),""))</f>
        <v/>
      </c>
      <c r="BE347" s="503" t="s">
        <v>621</v>
      </c>
      <c r="BF347" s="503" t="str">
        <f>IF($G347="","",IF(AND($G347&gt;=30,$AT$3&lt;=BE$7),ROUND(BE347*($AP$3+#REF!),-1),""))</f>
        <v/>
      </c>
      <c r="BG347" s="503" t="s">
        <v>621</v>
      </c>
      <c r="BH347" s="503" t="str">
        <f>IF($G347="","",IF(AND($G347&gt;=30,$AT$3&lt;=BG$7),ROUND(BG347*($AP$3+#REF!),-1),""))</f>
        <v/>
      </c>
      <c r="BI347" s="503" t="s">
        <v>621</v>
      </c>
      <c r="BJ347" s="503" t="str">
        <f>IF($G347="","",IF(AND($G347&gt;=30,$AT$3&lt;=BI$7),ROUND(BI347*($AP$3+#REF!),-1),""))</f>
        <v/>
      </c>
      <c r="BK347" s="503" t="s">
        <v>621</v>
      </c>
      <c r="BL347" s="503" t="str">
        <f>IF($G347="","",IF(AND($G347&gt;=30,$AT$3&lt;=BK$7),ROUND(BK347*($AP$3+#REF!),-1),""))</f>
        <v/>
      </c>
      <c r="BM347" s="503" t="s">
        <v>621</v>
      </c>
      <c r="BN347" s="503" t="str">
        <f>IF($G347="","",IF(AND($G347&gt;=30,$AT$3&lt;=BM$7),ROUND(BM347*($AP$3+#REF!),-1),""))</f>
        <v/>
      </c>
      <c r="BO347" s="503" t="s">
        <v>621</v>
      </c>
      <c r="BP347" s="503" t="str">
        <f>IF($G347="","",IF(AND($G347&gt;=30,$AT$3&lt;=BO$7),ROUND(BO347*($AP$3+#REF!),-1),""))</f>
        <v/>
      </c>
      <c r="BQ347" s="503" t="s">
        <v>621</v>
      </c>
      <c r="BR347" s="503" t="str">
        <f>IF($G347="","",IF(AND($G347&gt;=30,$AT$3&lt;=BQ$7),ROUND(BQ347*($AP$3+#REF!),-1),""))</f>
        <v/>
      </c>
      <c r="BS347" s="503" t="s">
        <v>621</v>
      </c>
      <c r="BT347" s="503" t="str">
        <f>IF($G347="","",IF(AND($G347&gt;=30,$AT$3&lt;=BS$7),ROUND(BS347*($AP$3+#REF!),-1),""))</f>
        <v/>
      </c>
      <c r="BU347" s="503" t="s">
        <v>621</v>
      </c>
      <c r="BV347" s="503" t="str">
        <f>IF($G347="","",IF(AND($G347&gt;=30,$AT$3&lt;=BU$7),ROUND(BU347*($AP$3+#REF!),-1),""))</f>
        <v/>
      </c>
      <c r="BW347" s="503" t="s">
        <v>621</v>
      </c>
      <c r="BX347" s="503" t="str">
        <f>IF($G347="","",IF(AND($G347&gt;=30,$AT$3&lt;=BW$7),ROUND(BW347*($AP$3+#REF!),-1),""))</f>
        <v/>
      </c>
      <c r="BY347" s="503" t="s">
        <v>621</v>
      </c>
      <c r="BZ347" s="503" t="str">
        <f>IF($G347="","",IF(AND($G347&gt;=30,$AT$3&lt;=BY$7),ROUND(BY347*($AP$3+#REF!),-1),""))</f>
        <v/>
      </c>
      <c r="CA347" s="503" t="s">
        <v>621</v>
      </c>
      <c r="CB347" s="503" t="str">
        <f>IF($G347="","",IF(AND($G347&gt;=30,$AT$3&lt;=CA$7),ROUND(CA347*($AP$3+#REF!),-1),""))</f>
        <v/>
      </c>
      <c r="CC347" s="503" t="s">
        <v>621</v>
      </c>
      <c r="CD347" s="503" t="str">
        <f>IF($G347="","",IF(AND($G347&gt;=30,$AT$3&lt;=CC$7),ROUND(CC347*($AP$3+#REF!),-1),""))</f>
        <v/>
      </c>
      <c r="CE347" s="503" t="s">
        <v>621</v>
      </c>
      <c r="CF347" s="503" t="str">
        <f>IF($G347="","",IF(AND($G347&gt;=30,$AT$3&lt;=CE$7),ROUND(CE347*($AP$3+#REF!),-1),""))</f>
        <v/>
      </c>
      <c r="CG347" s="503" t="s">
        <v>621</v>
      </c>
      <c r="CH347" s="503" t="str">
        <f>IF($G347="","",IF(AND($G347&gt;=30,$AT$3&lt;=CG$7),ROUND(CG347*($AP$3+#REF!),-1),""))</f>
        <v/>
      </c>
      <c r="CI347" s="503" t="s">
        <v>621</v>
      </c>
      <c r="CJ347" s="503" t="str">
        <f>IF($G347="","",IF(AND($G347&gt;=30,$AT$3&lt;=CI$7),ROUND(CI347*($AP$3+#REF!),-1),""))</f>
        <v/>
      </c>
      <c r="CK347" s="517" t="e">
        <v>#REF!</v>
      </c>
      <c r="CL347" s="503" t="str">
        <f>IF($G347="","",IF(AND($G347&gt;=30,$AT$3&lt;=CK$7),ROUND(CK347*($AP$3+#REF!),-1),""))</f>
        <v/>
      </c>
      <c r="CM347" s="517"/>
      <c r="CN347" s="503" t="str">
        <f>IF($G347="","",IF(AND($G347&gt;=30,$AT$3&lt;=CM$7),ROUND(CM347*($AP$3+#REF!),-1),""))</f>
        <v/>
      </c>
      <c r="CO347" s="517"/>
      <c r="CP347" s="503" t="str">
        <f>IF($G347="","",IF(AND($G347&gt;=30,$AT$3&lt;=CO$7),ROUND(CO347*($AP$3+#REF!),-1),""))</f>
        <v/>
      </c>
      <c r="CQ347" s="517"/>
      <c r="CR347" s="503" t="str">
        <f>IF($G347="","",IF(AND($G347&gt;=30,$AT$3&lt;=CQ$7),ROUND(CQ347*($AP$3+#REF!),-1),""))</f>
        <v/>
      </c>
      <c r="CS347" s="517"/>
      <c r="CT347" s="503" t="str">
        <f>IF($G347="","",IF(AND($G347&gt;=30,$AT$3&lt;=CS$7),ROUND(CS347*($AP$3+#REF!),-1),""))</f>
        <v/>
      </c>
      <c r="CU347" s="517"/>
      <c r="CV347" s="503" t="str">
        <f>IF($G347="","",IF(AND($G347&gt;=30,$AT$3&lt;=CU$7),ROUND(CU347*($AP$3+#REF!),-1),""))</f>
        <v/>
      </c>
      <c r="CW347" s="517"/>
      <c r="CX347" s="503" t="str">
        <f>IF($G347="","",IF(AND($G347&gt;=30,$AT$3&lt;=CW$7),ROUND(CW347*($AP$3+#REF!),-1),""))</f>
        <v/>
      </c>
      <c r="CY347" s="517"/>
      <c r="CZ347" s="503" t="str">
        <f>IF($G347="","",IF(AND($G347&gt;=30,$AT$3&lt;=CY$7),ROUND(CY347*($AP$3+#REF!),-1),""))</f>
        <v/>
      </c>
      <c r="DA347" s="517"/>
      <c r="DB347" s="503" t="str">
        <f>IF($G347="","",IF(AND($G347&gt;=30,$AT$3&lt;=DA$7),ROUND(DA347*($AP$3+#REF!),-1),""))</f>
        <v/>
      </c>
      <c r="DC347" s="517"/>
      <c r="DD347" s="503" t="str">
        <f>IF($G347="","",IF(AND($G347&gt;=30,$AT$3&lt;=DC$7),ROUND(DC347*($AP$3+#REF!),-1),""))</f>
        <v/>
      </c>
      <c r="DE347" s="517"/>
      <c r="DF347" s="503" t="str">
        <f>IF($G347="","",IF(AND($G347&gt;=30,$AT$3&lt;=DE$7),ROUND(DE347*($AP$3+#REF!),-1),""))</f>
        <v/>
      </c>
      <c r="DG347" s="517"/>
      <c r="DH347" s="503" t="str">
        <f>IF($G347="","",IF(AND($G347&gt;=30,$AT$3&lt;=DG$7),ROUND(DG347*($AP$3+#REF!),-1),""))</f>
        <v/>
      </c>
      <c r="DI347" s="517"/>
      <c r="DJ347" s="503" t="str">
        <f>IF($G347="","",IF(AND($G347&gt;=30,$AT$3&lt;=DI$7),ROUND(DI347*($AP$3+#REF!),-1),""))</f>
        <v/>
      </c>
      <c r="DK347" s="517"/>
      <c r="DL347" s="503" t="str">
        <f>IF($G347="","",IF(AND($G347&gt;=30,$AT$3&lt;=DK$7),ROUND(DK347*($AP$3+#REF!),-1),""))</f>
        <v/>
      </c>
      <c r="DM347" s="517"/>
      <c r="DN347" s="503" t="str">
        <f>IF($G347="","",IF(AND($G347&gt;=30,$AT$3&lt;=DM$7),ROUND(DM347*($AP$3+#REF!),-1),""))</f>
        <v/>
      </c>
      <c r="DO347" s="517"/>
      <c r="DP347" s="503" t="str">
        <f>IF($G347="","",IF(AND($G347&gt;=30,$AT$3&lt;=DO$7),ROUND(DO347*($AP$3+#REF!),-1),""))</f>
        <v/>
      </c>
      <c r="DQ347" s="517"/>
      <c r="DR347" s="503" t="str">
        <f>IF($G347="","",IF(AND($G347&gt;=30,$AT$3&lt;=DQ$7),ROUND(DQ347*($AP$3+#REF!),-1),""))</f>
        <v/>
      </c>
      <c r="DS347" s="517"/>
      <c r="DT347" s="503" t="str">
        <f>IF($G347="","",IF(AND($G347&gt;=30,$AT$3&lt;=DS$7),ROUND(DS347*($AP$3+#REF!),-1),""))</f>
        <v/>
      </c>
      <c r="DU347" s="517"/>
      <c r="DV347" s="503" t="str">
        <f>IF($G347="","",IF(AND($G347&gt;=30,$AT$3&lt;=DU$7),ROUND(DU347*($AP$3+#REF!),-1),""))</f>
        <v/>
      </c>
      <c r="DW347" s="517"/>
      <c r="DX347" s="503" t="str">
        <f>IF($G347="","",IF(AND($G347&gt;=30,$AT$3&lt;=DW$7),ROUND(DW347*($AP$3+#REF!),-1),""))</f>
        <v/>
      </c>
      <c r="DY347" s="517"/>
      <c r="DZ347" s="503" t="str">
        <f>IF($G347="","",IF(AND($G347&gt;=30,$AT$3&lt;=DY$7),ROUND(DY347*($AP$3+#REF!),-1),""))</f>
        <v/>
      </c>
      <c r="EA347" s="517"/>
      <c r="EB347" s="503" t="str">
        <f>IF($G347="","",IF(AND($G347&gt;=30,$AT$3&lt;=EA$7),ROUND(EA347*($AP$3+#REF!),-1),""))</f>
        <v/>
      </c>
      <c r="EC347" s="504" t="s">
        <v>621</v>
      </c>
      <c r="ED347" s="1124"/>
      <c r="EE347" s="325">
        <v>3</v>
      </c>
    </row>
    <row r="348" spans="1:135" ht="9.75" customHeight="1">
      <c r="A348" s="321" t="str">
        <f t="shared" si="82"/>
        <v/>
      </c>
      <c r="B348" s="567">
        <f>(ii!$D$13*12+V348)+1</f>
        <v>242</v>
      </c>
      <c r="C348" s="337">
        <f t="shared" si="86"/>
        <v>52717</v>
      </c>
      <c r="D348" s="484">
        <f t="shared" si="89"/>
        <v>2044</v>
      </c>
      <c r="E348" s="484">
        <f t="shared" si="87"/>
        <v>0.33333333333333331</v>
      </c>
      <c r="F348" s="484">
        <f t="shared" si="90"/>
        <v>2044.3333333333333</v>
      </c>
      <c r="G348" s="485" t="str">
        <f>IF(OR(C348&lt;$I$2,C348&gt;$J$3),"",(ii!$D$13*12+V348+1)/12)</f>
        <v/>
      </c>
      <c r="H348" s="486"/>
      <c r="I348" s="486"/>
      <c r="J348" s="487"/>
      <c r="K348" s="488"/>
      <c r="L348" s="548"/>
      <c r="M348" s="489" t="str">
        <f t="shared" si="91"/>
        <v/>
      </c>
      <c r="N348" s="490" t="s">
        <v>621</v>
      </c>
      <c r="O348" s="490" t="str">
        <f t="shared" si="84"/>
        <v/>
      </c>
      <c r="P348" s="491"/>
      <c r="Q348" s="491"/>
      <c r="R348" s="491" t="str">
        <f t="shared" si="85"/>
        <v/>
      </c>
      <c r="S348" s="528" t="str">
        <f t="shared" si="83"/>
        <v/>
      </c>
      <c r="T348" s="528" t="str">
        <f t="shared" si="81"/>
        <v/>
      </c>
      <c r="U348" s="493" t="str">
        <f>IF(H348="","",#REF!*12+#REF!+#REF!*12+#REF!)</f>
        <v/>
      </c>
      <c r="V348" s="338">
        <f>IF(ii!$J$3&gt;gg!C348,"",IF(AND((YEAR(C348)=YEAR($I$2)),MONTH(C348)=MONTH($I$2)),ii!$B$14*12+ii!$C$14+ii!$B$15*12+ii!$C$15-1,V347+1))</f>
        <v>241</v>
      </c>
      <c r="W348" s="339">
        <f t="shared" si="88"/>
        <v>20.083333333333332</v>
      </c>
      <c r="X348" s="494" t="s">
        <v>621</v>
      </c>
      <c r="Y348" s="495" t="s">
        <v>621</v>
      </c>
      <c r="Z348" s="496"/>
      <c r="AA348" s="497"/>
      <c r="AB348" s="498" t="e">
        <f t="shared" si="80"/>
        <v>#VALUE!</v>
      </c>
      <c r="AC348" s="484" t="str">
        <f t="shared" si="92"/>
        <v/>
      </c>
      <c r="AD348" s="495" t="str">
        <f t="shared" si="93"/>
        <v/>
      </c>
      <c r="AE348" s="499" t="s">
        <v>621</v>
      </c>
      <c r="AF348" s="500" t="s">
        <v>621</v>
      </c>
      <c r="AG348" s="556" t="s">
        <v>621</v>
      </c>
      <c r="AH348" s="503" t="str">
        <f>IF($G348="","",IF(AND($G348&gt;=30,$AT$3&lt;=AG$7),ROUND(AG348*($AP$3+#REF!),-1),""))</f>
        <v/>
      </c>
      <c r="AI348" s="506" t="s">
        <v>621</v>
      </c>
      <c r="AJ348" s="503" t="str">
        <f>IF($G348="","",IF(AND($G348&gt;=30,$AT$3&lt;=AI$7),ROUND(AI348*($AP$3+#REF!),-1),""))</f>
        <v/>
      </c>
      <c r="AK348" s="506" t="s">
        <v>621</v>
      </c>
      <c r="AL348" s="503" t="str">
        <f>IF($G348="","",IF(AND($G348&gt;=30,$AT$3&lt;=AK$7),ROUND(AK348*($AP$3+#REF!),-1),""))</f>
        <v/>
      </c>
      <c r="AM348" s="506" t="s">
        <v>621</v>
      </c>
      <c r="AN348" s="503" t="str">
        <f>IF($G348="","",IF(AND($G348&gt;=30,$AT$3&lt;=AM$7),ROUND(AM348*($AP$3+#REF!),-1),""))</f>
        <v/>
      </c>
      <c r="AO348" s="503" t="e">
        <v>#REF!</v>
      </c>
      <c r="AP348" s="503" t="str">
        <f>IF($G348="","",IF(AND($G348&gt;=30,$AT$3&lt;=AO$7),ROUND(AO348*($AP$3+#REF!),-1),""))</f>
        <v/>
      </c>
      <c r="AQ348" s="503" t="s">
        <v>621</v>
      </c>
      <c r="AR348" s="503" t="str">
        <f>IF($G348="","",IF(AND($G348&gt;=30,$AT$3&lt;=AQ$7),ROUND(AQ348*($AP$3+#REF!),-1),""))</f>
        <v/>
      </c>
      <c r="AS348" s="503" t="s">
        <v>621</v>
      </c>
      <c r="AT348" s="503" t="str">
        <f>IF($G348="","",IF(AND($G348&gt;=30,$AT$3&lt;=AS$7),ROUND(AS348*($AP$3+#REF!),-1),""))</f>
        <v/>
      </c>
      <c r="AU348" s="503" t="s">
        <v>621</v>
      </c>
      <c r="AV348" s="503" t="str">
        <f>IF($G348="","",IF(AND($G348&gt;=30,$AT$3&lt;=AU$7),ROUND(AU348*($AP$3+#REF!),-1),""))</f>
        <v/>
      </c>
      <c r="AW348" s="503" t="s">
        <v>621</v>
      </c>
      <c r="AX348" s="503" t="str">
        <f>IF($G348="","",IF(AND($G348&gt;=30,$AT$3&lt;=AW$7),ROUND(AW348*($AP$3+#REF!),-1),""))</f>
        <v/>
      </c>
      <c r="AY348" s="503" t="s">
        <v>621</v>
      </c>
      <c r="AZ348" s="503" t="str">
        <f>IF($G348="","",IF(AND($G348&gt;=30,$AT$3&lt;=AY$7),ROUND(AY348*($AP$3+#REF!),-1),""))</f>
        <v/>
      </c>
      <c r="BA348" s="503" t="s">
        <v>621</v>
      </c>
      <c r="BB348" s="503" t="str">
        <f>IF($G348="","",IF(AND($G348&gt;=30,$AT$3&lt;=BA$7),ROUND(BA348*($AP$3+#REF!),-1),""))</f>
        <v/>
      </c>
      <c r="BC348" s="503" t="s">
        <v>621</v>
      </c>
      <c r="BD348" s="503" t="str">
        <f>IF($G348="","",IF(AND($G348&gt;=30,$AT$3&lt;=BC$7),ROUND(BC348*($AP$3+#REF!),-1),""))</f>
        <v/>
      </c>
      <c r="BE348" s="503" t="s">
        <v>621</v>
      </c>
      <c r="BF348" s="503" t="str">
        <f>IF($G348="","",IF(AND($G348&gt;=30,$AT$3&lt;=BE$7),ROUND(BE348*($AP$3+#REF!),-1),""))</f>
        <v/>
      </c>
      <c r="BG348" s="503" t="s">
        <v>621</v>
      </c>
      <c r="BH348" s="503" t="str">
        <f>IF($G348="","",IF(AND($G348&gt;=30,$AT$3&lt;=BG$7),ROUND(BG348*($AP$3+#REF!),-1),""))</f>
        <v/>
      </c>
      <c r="BI348" s="503" t="s">
        <v>621</v>
      </c>
      <c r="BJ348" s="503" t="str">
        <f>IF($G348="","",IF(AND($G348&gt;=30,$AT$3&lt;=BI$7),ROUND(BI348*($AP$3+#REF!),-1),""))</f>
        <v/>
      </c>
      <c r="BK348" s="503" t="s">
        <v>621</v>
      </c>
      <c r="BL348" s="503" t="str">
        <f>IF($G348="","",IF(AND($G348&gt;=30,$AT$3&lt;=BK$7),ROUND(BK348*($AP$3+#REF!),-1),""))</f>
        <v/>
      </c>
      <c r="BM348" s="503" t="s">
        <v>621</v>
      </c>
      <c r="BN348" s="503" t="str">
        <f>IF($G348="","",IF(AND($G348&gt;=30,$AT$3&lt;=BM$7),ROUND(BM348*($AP$3+#REF!),-1),""))</f>
        <v/>
      </c>
      <c r="BO348" s="503" t="s">
        <v>621</v>
      </c>
      <c r="BP348" s="503" t="str">
        <f>IF($G348="","",IF(AND($G348&gt;=30,$AT$3&lt;=BO$7),ROUND(BO348*($AP$3+#REF!),-1),""))</f>
        <v/>
      </c>
      <c r="BQ348" s="503" t="s">
        <v>621</v>
      </c>
      <c r="BR348" s="503" t="str">
        <f>IF($G348="","",IF(AND($G348&gt;=30,$AT$3&lt;=BQ$7),ROUND(BQ348*($AP$3+#REF!),-1),""))</f>
        <v/>
      </c>
      <c r="BS348" s="503" t="s">
        <v>621</v>
      </c>
      <c r="BT348" s="503" t="str">
        <f>IF($G348="","",IF(AND($G348&gt;=30,$AT$3&lt;=BS$7),ROUND(BS348*($AP$3+#REF!),-1),""))</f>
        <v/>
      </c>
      <c r="BU348" s="503" t="s">
        <v>621</v>
      </c>
      <c r="BV348" s="503" t="str">
        <f>IF($G348="","",IF(AND($G348&gt;=30,$AT$3&lt;=BU$7),ROUND(BU348*($AP$3+#REF!),-1),""))</f>
        <v/>
      </c>
      <c r="BW348" s="503" t="s">
        <v>621</v>
      </c>
      <c r="BX348" s="503" t="str">
        <f>IF($G348="","",IF(AND($G348&gt;=30,$AT$3&lt;=BW$7),ROUND(BW348*($AP$3+#REF!),-1),""))</f>
        <v/>
      </c>
      <c r="BY348" s="503" t="s">
        <v>621</v>
      </c>
      <c r="BZ348" s="503" t="str">
        <f>IF($G348="","",IF(AND($G348&gt;=30,$AT$3&lt;=BY$7),ROUND(BY348*($AP$3+#REF!),-1),""))</f>
        <v/>
      </c>
      <c r="CA348" s="503" t="s">
        <v>621</v>
      </c>
      <c r="CB348" s="503" t="str">
        <f>IF($G348="","",IF(AND($G348&gt;=30,$AT$3&lt;=CA$7),ROUND(CA348*($AP$3+#REF!),-1),""))</f>
        <v/>
      </c>
      <c r="CC348" s="503" t="s">
        <v>621</v>
      </c>
      <c r="CD348" s="503" t="str">
        <f>IF($G348="","",IF(AND($G348&gt;=30,$AT$3&lt;=CC$7),ROUND(CC348*($AP$3+#REF!),-1),""))</f>
        <v/>
      </c>
      <c r="CE348" s="503" t="s">
        <v>621</v>
      </c>
      <c r="CF348" s="503" t="str">
        <f>IF($G348="","",IF(AND($G348&gt;=30,$AT$3&lt;=CE$7),ROUND(CE348*($AP$3+#REF!),-1),""))</f>
        <v/>
      </c>
      <c r="CG348" s="503" t="s">
        <v>621</v>
      </c>
      <c r="CH348" s="503" t="str">
        <f>IF($G348="","",IF(AND($G348&gt;=30,$AT$3&lt;=CG$7),ROUND(CG348*($AP$3+#REF!),-1),""))</f>
        <v/>
      </c>
      <c r="CI348" s="503" t="s">
        <v>621</v>
      </c>
      <c r="CJ348" s="503" t="str">
        <f>IF($G348="","",IF(AND($G348&gt;=30,$AT$3&lt;=CI$7),ROUND(CI348*($AP$3+#REF!),-1),""))</f>
        <v/>
      </c>
      <c r="CK348" s="517" t="e">
        <v>#REF!</v>
      </c>
      <c r="CL348" s="503" t="str">
        <f>IF($G348="","",IF(AND($G348&gt;=30,$AT$3&lt;=CK$7),ROUND(CK348*($AP$3+#REF!),-1),""))</f>
        <v/>
      </c>
      <c r="CM348" s="517"/>
      <c r="CN348" s="503" t="str">
        <f>IF($G348="","",IF(AND($G348&gt;=30,$AT$3&lt;=CM$7),ROUND(CM348*($AP$3+#REF!),-1),""))</f>
        <v/>
      </c>
      <c r="CO348" s="517"/>
      <c r="CP348" s="503" t="str">
        <f>IF($G348="","",IF(AND($G348&gt;=30,$AT$3&lt;=CO$7),ROUND(CO348*($AP$3+#REF!),-1),""))</f>
        <v/>
      </c>
      <c r="CQ348" s="517"/>
      <c r="CR348" s="503" t="str">
        <f>IF($G348="","",IF(AND($G348&gt;=30,$AT$3&lt;=CQ$7),ROUND(CQ348*($AP$3+#REF!),-1),""))</f>
        <v/>
      </c>
      <c r="CS348" s="517"/>
      <c r="CT348" s="503" t="str">
        <f>IF($G348="","",IF(AND($G348&gt;=30,$AT$3&lt;=CS$7),ROUND(CS348*($AP$3+#REF!),-1),""))</f>
        <v/>
      </c>
      <c r="CU348" s="517"/>
      <c r="CV348" s="503" t="str">
        <f>IF($G348="","",IF(AND($G348&gt;=30,$AT$3&lt;=CU$7),ROUND(CU348*($AP$3+#REF!),-1),""))</f>
        <v/>
      </c>
      <c r="CW348" s="517"/>
      <c r="CX348" s="503" t="str">
        <f>IF($G348="","",IF(AND($G348&gt;=30,$AT$3&lt;=CW$7),ROUND(CW348*($AP$3+#REF!),-1),""))</f>
        <v/>
      </c>
      <c r="CY348" s="517"/>
      <c r="CZ348" s="503" t="str">
        <f>IF($G348="","",IF(AND($G348&gt;=30,$AT$3&lt;=CY$7),ROUND(CY348*($AP$3+#REF!),-1),""))</f>
        <v/>
      </c>
      <c r="DA348" s="517"/>
      <c r="DB348" s="503" t="str">
        <f>IF($G348="","",IF(AND($G348&gt;=30,$AT$3&lt;=DA$7),ROUND(DA348*($AP$3+#REF!),-1),""))</f>
        <v/>
      </c>
      <c r="DC348" s="517"/>
      <c r="DD348" s="503" t="str">
        <f>IF($G348="","",IF(AND($G348&gt;=30,$AT$3&lt;=DC$7),ROUND(DC348*($AP$3+#REF!),-1),""))</f>
        <v/>
      </c>
      <c r="DE348" s="517"/>
      <c r="DF348" s="503" t="str">
        <f>IF($G348="","",IF(AND($G348&gt;=30,$AT$3&lt;=DE$7),ROUND(DE348*($AP$3+#REF!),-1),""))</f>
        <v/>
      </c>
      <c r="DG348" s="517"/>
      <c r="DH348" s="503" t="str">
        <f>IF($G348="","",IF(AND($G348&gt;=30,$AT$3&lt;=DG$7),ROUND(DG348*($AP$3+#REF!),-1),""))</f>
        <v/>
      </c>
      <c r="DI348" s="517"/>
      <c r="DJ348" s="503" t="str">
        <f>IF($G348="","",IF(AND($G348&gt;=30,$AT$3&lt;=DI$7),ROUND(DI348*($AP$3+#REF!),-1),""))</f>
        <v/>
      </c>
      <c r="DK348" s="517"/>
      <c r="DL348" s="503" t="str">
        <f>IF($G348="","",IF(AND($G348&gt;=30,$AT$3&lt;=DK$7),ROUND(DK348*($AP$3+#REF!),-1),""))</f>
        <v/>
      </c>
      <c r="DM348" s="517"/>
      <c r="DN348" s="503" t="str">
        <f>IF($G348="","",IF(AND($G348&gt;=30,$AT$3&lt;=DM$7),ROUND(DM348*($AP$3+#REF!),-1),""))</f>
        <v/>
      </c>
      <c r="DO348" s="517"/>
      <c r="DP348" s="503" t="str">
        <f>IF($G348="","",IF(AND($G348&gt;=30,$AT$3&lt;=DO$7),ROUND(DO348*($AP$3+#REF!),-1),""))</f>
        <v/>
      </c>
      <c r="DQ348" s="517"/>
      <c r="DR348" s="503" t="str">
        <f>IF($G348="","",IF(AND($G348&gt;=30,$AT$3&lt;=DQ$7),ROUND(DQ348*($AP$3+#REF!),-1),""))</f>
        <v/>
      </c>
      <c r="DS348" s="517"/>
      <c r="DT348" s="503" t="str">
        <f>IF($G348="","",IF(AND($G348&gt;=30,$AT$3&lt;=DS$7),ROUND(DS348*($AP$3+#REF!),-1),""))</f>
        <v/>
      </c>
      <c r="DU348" s="517"/>
      <c r="DV348" s="503" t="str">
        <f>IF($G348="","",IF(AND($G348&gt;=30,$AT$3&lt;=DU$7),ROUND(DU348*($AP$3+#REF!),-1),""))</f>
        <v/>
      </c>
      <c r="DW348" s="517"/>
      <c r="DX348" s="503" t="str">
        <f>IF($G348="","",IF(AND($G348&gt;=30,$AT$3&lt;=DW$7),ROUND(DW348*($AP$3+#REF!),-1),""))</f>
        <v/>
      </c>
      <c r="DY348" s="517"/>
      <c r="DZ348" s="503" t="str">
        <f>IF($G348="","",IF(AND($G348&gt;=30,$AT$3&lt;=DY$7),ROUND(DY348*($AP$3+#REF!),-1),""))</f>
        <v/>
      </c>
      <c r="EA348" s="517"/>
      <c r="EB348" s="503" t="str">
        <f>IF($G348="","",IF(AND($G348&gt;=30,$AT$3&lt;=EA$7),ROUND(EA348*($AP$3+#REF!),-1),""))</f>
        <v/>
      </c>
      <c r="EC348" s="504" t="s">
        <v>621</v>
      </c>
      <c r="ED348" s="1124"/>
      <c r="EE348" s="325">
        <v>4</v>
      </c>
    </row>
    <row r="349" spans="1:135" ht="9.75" customHeight="1">
      <c r="A349" s="321" t="str">
        <f t="shared" si="82"/>
        <v/>
      </c>
      <c r="B349" s="567">
        <f>(ii!$D$13*12+V349)+1</f>
        <v>243</v>
      </c>
      <c r="C349" s="337">
        <f t="shared" si="86"/>
        <v>52748</v>
      </c>
      <c r="D349" s="484">
        <f t="shared" si="89"/>
        <v>2044</v>
      </c>
      <c r="E349" s="484">
        <f t="shared" si="87"/>
        <v>0.41666666666666669</v>
      </c>
      <c r="F349" s="484">
        <f t="shared" si="90"/>
        <v>2044.4166666666667</v>
      </c>
      <c r="G349" s="485" t="str">
        <f>IF(OR(C349&lt;$I$2,C349&gt;$J$3),"",(ii!$D$13*12+V349+1)/12)</f>
        <v/>
      </c>
      <c r="H349" s="486"/>
      <c r="I349" s="486"/>
      <c r="J349" s="507"/>
      <c r="K349" s="508"/>
      <c r="L349" s="548"/>
      <c r="M349" s="489" t="str">
        <f t="shared" si="91"/>
        <v/>
      </c>
      <c r="N349" s="490" t="s">
        <v>621</v>
      </c>
      <c r="O349" s="490" t="str">
        <f t="shared" si="84"/>
        <v/>
      </c>
      <c r="P349" s="507"/>
      <c r="Q349" s="507"/>
      <c r="R349" s="491" t="str">
        <f t="shared" si="85"/>
        <v/>
      </c>
      <c r="S349" s="528" t="str">
        <f t="shared" si="83"/>
        <v/>
      </c>
      <c r="T349" s="528" t="str">
        <f t="shared" si="81"/>
        <v/>
      </c>
      <c r="U349" s="493" t="str">
        <f>IF(H349="","",#REF!*12+#REF!+#REF!*12+#REF!)</f>
        <v/>
      </c>
      <c r="V349" s="338">
        <f>IF(ii!$J$3&gt;gg!C349,"",IF(AND((YEAR(C349)=YEAR($I$2)),MONTH(C349)=MONTH($I$2)),ii!$B$14*12+ii!$C$14+ii!$B$15*12+ii!$C$15-1,V348+1))</f>
        <v>242</v>
      </c>
      <c r="W349" s="339">
        <f t="shared" si="88"/>
        <v>20.166666666666668</v>
      </c>
      <c r="X349" s="494" t="s">
        <v>621</v>
      </c>
      <c r="Y349" s="495" t="s">
        <v>621</v>
      </c>
      <c r="Z349" s="496"/>
      <c r="AA349" s="497"/>
      <c r="AB349" s="498" t="e">
        <f t="shared" si="80"/>
        <v>#VALUE!</v>
      </c>
      <c r="AC349" s="484" t="str">
        <f t="shared" si="92"/>
        <v/>
      </c>
      <c r="AD349" s="495" t="str">
        <f t="shared" si="93"/>
        <v/>
      </c>
      <c r="AE349" s="499" t="s">
        <v>621</v>
      </c>
      <c r="AF349" s="500" t="s">
        <v>621</v>
      </c>
      <c r="AG349" s="556" t="s">
        <v>621</v>
      </c>
      <c r="AH349" s="503" t="str">
        <f>IF($G349="","",IF(AND($G349&gt;=30,$AT$3&lt;=AG$7),ROUND(AG349*($AP$3+#REF!),-1),""))</f>
        <v/>
      </c>
      <c r="AI349" s="506" t="s">
        <v>621</v>
      </c>
      <c r="AJ349" s="503" t="str">
        <f>IF($G349="","",IF(AND($G349&gt;=30,$AT$3&lt;=AI$7),ROUND(AI349*($AP$3+#REF!),-1),""))</f>
        <v/>
      </c>
      <c r="AK349" s="506" t="s">
        <v>621</v>
      </c>
      <c r="AL349" s="503" t="str">
        <f>IF($G349="","",IF(AND($G349&gt;=30,$AT$3&lt;=AK$7),ROUND(AK349*($AP$3+#REF!),-1),""))</f>
        <v/>
      </c>
      <c r="AM349" s="506" t="s">
        <v>621</v>
      </c>
      <c r="AN349" s="503" t="str">
        <f>IF($G349="","",IF(AND($G349&gt;=30,$AT$3&lt;=AM$7),ROUND(AM349*($AP$3+#REF!),-1),""))</f>
        <v/>
      </c>
      <c r="AO349" s="503" t="e">
        <v>#REF!</v>
      </c>
      <c r="AP349" s="503" t="str">
        <f>IF($G349="","",IF(AND($G349&gt;=30,$AT$3&lt;=AO$7),ROUND(AO349*($AP$3+#REF!),-1),""))</f>
        <v/>
      </c>
      <c r="AQ349" s="503" t="s">
        <v>621</v>
      </c>
      <c r="AR349" s="503" t="str">
        <f>IF($G349="","",IF(AND($G349&gt;=30,$AT$3&lt;=AQ$7),ROUND(AQ349*($AP$3+#REF!),-1),""))</f>
        <v/>
      </c>
      <c r="AS349" s="503" t="s">
        <v>621</v>
      </c>
      <c r="AT349" s="503" t="str">
        <f>IF($G349="","",IF(AND($G349&gt;=30,$AT$3&lt;=AS$7),ROUND(AS349*($AP$3+#REF!),-1),""))</f>
        <v/>
      </c>
      <c r="AU349" s="503" t="s">
        <v>621</v>
      </c>
      <c r="AV349" s="503" t="str">
        <f>IF($G349="","",IF(AND($G349&gt;=30,$AT$3&lt;=AU$7),ROUND(AU349*($AP$3+#REF!),-1),""))</f>
        <v/>
      </c>
      <c r="AW349" s="503" t="s">
        <v>621</v>
      </c>
      <c r="AX349" s="503" t="str">
        <f>IF($G349="","",IF(AND($G349&gt;=30,$AT$3&lt;=AW$7),ROUND(AW349*($AP$3+#REF!),-1),""))</f>
        <v/>
      </c>
      <c r="AY349" s="503" t="s">
        <v>621</v>
      </c>
      <c r="AZ349" s="503" t="str">
        <f>IF($G349="","",IF(AND($G349&gt;=30,$AT$3&lt;=AY$7),ROUND(AY349*($AP$3+#REF!),-1),""))</f>
        <v/>
      </c>
      <c r="BA349" s="503" t="s">
        <v>621</v>
      </c>
      <c r="BB349" s="503" t="str">
        <f>IF($G349="","",IF(AND($G349&gt;=30,$AT$3&lt;=BA$7),ROUND(BA349*($AP$3+#REF!),-1),""))</f>
        <v/>
      </c>
      <c r="BC349" s="503" t="s">
        <v>621</v>
      </c>
      <c r="BD349" s="503" t="str">
        <f>IF($G349="","",IF(AND($G349&gt;=30,$AT$3&lt;=BC$7),ROUND(BC349*($AP$3+#REF!),-1),""))</f>
        <v/>
      </c>
      <c r="BE349" s="503" t="s">
        <v>621</v>
      </c>
      <c r="BF349" s="503" t="str">
        <f>IF($G349="","",IF(AND($G349&gt;=30,$AT$3&lt;=BE$7),ROUND(BE349*($AP$3+#REF!),-1),""))</f>
        <v/>
      </c>
      <c r="BG349" s="503" t="s">
        <v>621</v>
      </c>
      <c r="BH349" s="503" t="str">
        <f>IF($G349="","",IF(AND($G349&gt;=30,$AT$3&lt;=BG$7),ROUND(BG349*($AP$3+#REF!),-1),""))</f>
        <v/>
      </c>
      <c r="BI349" s="503" t="s">
        <v>621</v>
      </c>
      <c r="BJ349" s="503" t="str">
        <f>IF($G349="","",IF(AND($G349&gt;=30,$AT$3&lt;=BI$7),ROUND(BI349*($AP$3+#REF!),-1),""))</f>
        <v/>
      </c>
      <c r="BK349" s="503" t="s">
        <v>621</v>
      </c>
      <c r="BL349" s="503" t="str">
        <f>IF($G349="","",IF(AND($G349&gt;=30,$AT$3&lt;=BK$7),ROUND(BK349*($AP$3+#REF!),-1),""))</f>
        <v/>
      </c>
      <c r="BM349" s="503" t="s">
        <v>621</v>
      </c>
      <c r="BN349" s="503" t="str">
        <f>IF($G349="","",IF(AND($G349&gt;=30,$AT$3&lt;=BM$7),ROUND(BM349*($AP$3+#REF!),-1),""))</f>
        <v/>
      </c>
      <c r="BO349" s="503" t="s">
        <v>621</v>
      </c>
      <c r="BP349" s="503" t="str">
        <f>IF($G349="","",IF(AND($G349&gt;=30,$AT$3&lt;=BO$7),ROUND(BO349*($AP$3+#REF!),-1),""))</f>
        <v/>
      </c>
      <c r="BQ349" s="503" t="s">
        <v>621</v>
      </c>
      <c r="BR349" s="503" t="str">
        <f>IF($G349="","",IF(AND($G349&gt;=30,$AT$3&lt;=BQ$7),ROUND(BQ349*($AP$3+#REF!),-1),""))</f>
        <v/>
      </c>
      <c r="BS349" s="503" t="s">
        <v>621</v>
      </c>
      <c r="BT349" s="503" t="str">
        <f>IF($G349="","",IF(AND($G349&gt;=30,$AT$3&lt;=BS$7),ROUND(BS349*($AP$3+#REF!),-1),""))</f>
        <v/>
      </c>
      <c r="BU349" s="503" t="s">
        <v>621</v>
      </c>
      <c r="BV349" s="503" t="str">
        <f>IF($G349="","",IF(AND($G349&gt;=30,$AT$3&lt;=BU$7),ROUND(BU349*($AP$3+#REF!),-1),""))</f>
        <v/>
      </c>
      <c r="BW349" s="503" t="s">
        <v>621</v>
      </c>
      <c r="BX349" s="503" t="str">
        <f>IF($G349="","",IF(AND($G349&gt;=30,$AT$3&lt;=BW$7),ROUND(BW349*($AP$3+#REF!),-1),""))</f>
        <v/>
      </c>
      <c r="BY349" s="503" t="s">
        <v>621</v>
      </c>
      <c r="BZ349" s="503" t="str">
        <f>IF($G349="","",IF(AND($G349&gt;=30,$AT$3&lt;=BY$7),ROUND(BY349*($AP$3+#REF!),-1),""))</f>
        <v/>
      </c>
      <c r="CA349" s="503" t="s">
        <v>621</v>
      </c>
      <c r="CB349" s="503" t="str">
        <f>IF($G349="","",IF(AND($G349&gt;=30,$AT$3&lt;=CA$7),ROUND(CA349*($AP$3+#REF!),-1),""))</f>
        <v/>
      </c>
      <c r="CC349" s="503" t="s">
        <v>621</v>
      </c>
      <c r="CD349" s="503" t="str">
        <f>IF($G349="","",IF(AND($G349&gt;=30,$AT$3&lt;=CC$7),ROUND(CC349*($AP$3+#REF!),-1),""))</f>
        <v/>
      </c>
      <c r="CE349" s="503" t="s">
        <v>621</v>
      </c>
      <c r="CF349" s="503" t="str">
        <f>IF($G349="","",IF(AND($G349&gt;=30,$AT$3&lt;=CE$7),ROUND(CE349*($AP$3+#REF!),-1),""))</f>
        <v/>
      </c>
      <c r="CG349" s="503" t="s">
        <v>621</v>
      </c>
      <c r="CH349" s="503" t="str">
        <f>IF($G349="","",IF(AND($G349&gt;=30,$AT$3&lt;=CG$7),ROUND(CG349*($AP$3+#REF!),-1),""))</f>
        <v/>
      </c>
      <c r="CI349" s="503" t="s">
        <v>621</v>
      </c>
      <c r="CJ349" s="503" t="str">
        <f>IF($G349="","",IF(AND($G349&gt;=30,$AT$3&lt;=CI$7),ROUND(CI349*($AP$3+#REF!),-1),""))</f>
        <v/>
      </c>
      <c r="CK349" s="517" t="e">
        <v>#REF!</v>
      </c>
      <c r="CL349" s="503" t="str">
        <f>IF($G349="","",IF(AND($G349&gt;=30,$AT$3&lt;=CK$7),ROUND(CK349*($AP$3+#REF!),-1),""))</f>
        <v/>
      </c>
      <c r="CM349" s="517"/>
      <c r="CN349" s="503" t="str">
        <f>IF($G349="","",IF(AND($G349&gt;=30,$AT$3&lt;=CM$7),ROUND(CM349*($AP$3+#REF!),-1),""))</f>
        <v/>
      </c>
      <c r="CO349" s="517"/>
      <c r="CP349" s="503" t="str">
        <f>IF($G349="","",IF(AND($G349&gt;=30,$AT$3&lt;=CO$7),ROUND(CO349*($AP$3+#REF!),-1),""))</f>
        <v/>
      </c>
      <c r="CQ349" s="517"/>
      <c r="CR349" s="503" t="str">
        <f>IF($G349="","",IF(AND($G349&gt;=30,$AT$3&lt;=CQ$7),ROUND(CQ349*($AP$3+#REF!),-1),""))</f>
        <v/>
      </c>
      <c r="CS349" s="517"/>
      <c r="CT349" s="503" t="str">
        <f>IF($G349="","",IF(AND($G349&gt;=30,$AT$3&lt;=CS$7),ROUND(CS349*($AP$3+#REF!),-1),""))</f>
        <v/>
      </c>
      <c r="CU349" s="517"/>
      <c r="CV349" s="503" t="str">
        <f>IF($G349="","",IF(AND($G349&gt;=30,$AT$3&lt;=CU$7),ROUND(CU349*($AP$3+#REF!),-1),""))</f>
        <v/>
      </c>
      <c r="CW349" s="517"/>
      <c r="CX349" s="503" t="str">
        <f>IF($G349="","",IF(AND($G349&gt;=30,$AT$3&lt;=CW$7),ROUND(CW349*($AP$3+#REF!),-1),""))</f>
        <v/>
      </c>
      <c r="CY349" s="517"/>
      <c r="CZ349" s="503" t="str">
        <f>IF($G349="","",IF(AND($G349&gt;=30,$AT$3&lt;=CY$7),ROUND(CY349*($AP$3+#REF!),-1),""))</f>
        <v/>
      </c>
      <c r="DA349" s="517"/>
      <c r="DB349" s="503" t="str">
        <f>IF($G349="","",IF(AND($G349&gt;=30,$AT$3&lt;=DA$7),ROUND(DA349*($AP$3+#REF!),-1),""))</f>
        <v/>
      </c>
      <c r="DC349" s="517"/>
      <c r="DD349" s="503" t="str">
        <f>IF($G349="","",IF(AND($G349&gt;=30,$AT$3&lt;=DC$7),ROUND(DC349*($AP$3+#REF!),-1),""))</f>
        <v/>
      </c>
      <c r="DE349" s="517"/>
      <c r="DF349" s="503" t="str">
        <f>IF($G349="","",IF(AND($G349&gt;=30,$AT$3&lt;=DE$7),ROUND(DE349*($AP$3+#REF!),-1),""))</f>
        <v/>
      </c>
      <c r="DG349" s="517"/>
      <c r="DH349" s="503" t="str">
        <f>IF($G349="","",IF(AND($G349&gt;=30,$AT$3&lt;=DG$7),ROUND(DG349*($AP$3+#REF!),-1),""))</f>
        <v/>
      </c>
      <c r="DI349" s="517"/>
      <c r="DJ349" s="503" t="str">
        <f>IF($G349="","",IF(AND($G349&gt;=30,$AT$3&lt;=DI$7),ROUND(DI349*($AP$3+#REF!),-1),""))</f>
        <v/>
      </c>
      <c r="DK349" s="517"/>
      <c r="DL349" s="503" t="str">
        <f>IF($G349="","",IF(AND($G349&gt;=30,$AT$3&lt;=DK$7),ROUND(DK349*($AP$3+#REF!),-1),""))</f>
        <v/>
      </c>
      <c r="DM349" s="517"/>
      <c r="DN349" s="503" t="str">
        <f>IF($G349="","",IF(AND($G349&gt;=30,$AT$3&lt;=DM$7),ROUND(DM349*($AP$3+#REF!),-1),""))</f>
        <v/>
      </c>
      <c r="DO349" s="517"/>
      <c r="DP349" s="503" t="str">
        <f>IF($G349="","",IF(AND($G349&gt;=30,$AT$3&lt;=DO$7),ROUND(DO349*($AP$3+#REF!),-1),""))</f>
        <v/>
      </c>
      <c r="DQ349" s="517"/>
      <c r="DR349" s="503" t="str">
        <f>IF($G349="","",IF(AND($G349&gt;=30,$AT$3&lt;=DQ$7),ROUND(DQ349*($AP$3+#REF!),-1),""))</f>
        <v/>
      </c>
      <c r="DS349" s="517"/>
      <c r="DT349" s="503" t="str">
        <f>IF($G349="","",IF(AND($G349&gt;=30,$AT$3&lt;=DS$7),ROUND(DS349*($AP$3+#REF!),-1),""))</f>
        <v/>
      </c>
      <c r="DU349" s="517"/>
      <c r="DV349" s="503" t="str">
        <f>IF($G349="","",IF(AND($G349&gt;=30,$AT$3&lt;=DU$7),ROUND(DU349*($AP$3+#REF!),-1),""))</f>
        <v/>
      </c>
      <c r="DW349" s="517"/>
      <c r="DX349" s="503" t="str">
        <f>IF($G349="","",IF(AND($G349&gt;=30,$AT$3&lt;=DW$7),ROUND(DW349*($AP$3+#REF!),-1),""))</f>
        <v/>
      </c>
      <c r="DY349" s="517"/>
      <c r="DZ349" s="503" t="str">
        <f>IF($G349="","",IF(AND($G349&gt;=30,$AT$3&lt;=DY$7),ROUND(DY349*($AP$3+#REF!),-1),""))</f>
        <v/>
      </c>
      <c r="EA349" s="517"/>
      <c r="EB349" s="503" t="str">
        <f>IF($G349="","",IF(AND($G349&gt;=30,$AT$3&lt;=EA$7),ROUND(EA349*($AP$3+#REF!),-1),""))</f>
        <v/>
      </c>
      <c r="EC349" s="504" t="s">
        <v>621</v>
      </c>
      <c r="ED349" s="1124"/>
      <c r="EE349" s="325">
        <v>5</v>
      </c>
    </row>
    <row r="350" spans="1:135" ht="9.75" customHeight="1">
      <c r="A350" s="321" t="str">
        <f t="shared" si="82"/>
        <v/>
      </c>
      <c r="B350" s="567">
        <f>(ii!$D$13*12+V350)+1</f>
        <v>244</v>
      </c>
      <c r="C350" s="337">
        <f t="shared" si="86"/>
        <v>52778</v>
      </c>
      <c r="D350" s="484">
        <f t="shared" si="89"/>
        <v>2044</v>
      </c>
      <c r="E350" s="484">
        <f t="shared" si="87"/>
        <v>0.5</v>
      </c>
      <c r="F350" s="484">
        <f t="shared" si="90"/>
        <v>2044.5</v>
      </c>
      <c r="G350" s="485" t="str">
        <f>IF(OR(C350&lt;$I$2,C350&gt;$J$3),"",(ii!$D$13*12+V350+1)/12)</f>
        <v/>
      </c>
      <c r="H350" s="486"/>
      <c r="I350" s="486"/>
      <c r="J350" s="487"/>
      <c r="K350" s="488"/>
      <c r="L350" s="548"/>
      <c r="M350" s="489" t="str">
        <f t="shared" si="91"/>
        <v/>
      </c>
      <c r="N350" s="490" t="s">
        <v>621</v>
      </c>
      <c r="O350" s="490" t="str">
        <f t="shared" si="84"/>
        <v/>
      </c>
      <c r="P350" s="491"/>
      <c r="Q350" s="491"/>
      <c r="R350" s="491" t="str">
        <f t="shared" si="85"/>
        <v/>
      </c>
      <c r="S350" s="528" t="str">
        <f t="shared" si="83"/>
        <v/>
      </c>
      <c r="T350" s="528" t="str">
        <f t="shared" si="81"/>
        <v/>
      </c>
      <c r="U350" s="493" t="str">
        <f>IF(H350="","",#REF!*12+#REF!+#REF!*12+#REF!)</f>
        <v/>
      </c>
      <c r="V350" s="338">
        <f>IF(ii!$J$3&gt;gg!C350,"",IF(AND((YEAR(C350)=YEAR($I$2)),MONTH(C350)=MONTH($I$2)),ii!$B$14*12+ii!$C$14+ii!$B$15*12+ii!$C$15-1,V349+1))</f>
        <v>243</v>
      </c>
      <c r="W350" s="339">
        <f t="shared" si="88"/>
        <v>20.25</v>
      </c>
      <c r="X350" s="494" t="s">
        <v>621</v>
      </c>
      <c r="Y350" s="495" t="s">
        <v>621</v>
      </c>
      <c r="Z350" s="496"/>
      <c r="AA350" s="497"/>
      <c r="AB350" s="498" t="e">
        <f t="shared" ref="AB350:AB413" si="94">IF(F350&lt;$I$3,"",IF(F350&gt;$F$3,"",(P350/Y350)))</f>
        <v>#VALUE!</v>
      </c>
      <c r="AC350" s="484" t="str">
        <f t="shared" si="92"/>
        <v/>
      </c>
      <c r="AD350" s="495" t="str">
        <f t="shared" si="93"/>
        <v/>
      </c>
      <c r="AE350" s="499" t="s">
        <v>621</v>
      </c>
      <c r="AF350" s="500" t="s">
        <v>621</v>
      </c>
      <c r="AG350" s="556" t="s">
        <v>621</v>
      </c>
      <c r="AH350" s="503" t="str">
        <f>IF($G350="","",IF(AND($G350&gt;=30,$AT$3&lt;=AG$7),ROUND(AG350*($AP$3+#REF!),-1),""))</f>
        <v/>
      </c>
      <c r="AI350" s="506" t="s">
        <v>621</v>
      </c>
      <c r="AJ350" s="503" t="str">
        <f>IF($G350="","",IF(AND($G350&gt;=30,$AT$3&lt;=AI$7),ROUND(AI350*($AP$3+#REF!),-1),""))</f>
        <v/>
      </c>
      <c r="AK350" s="506" t="s">
        <v>621</v>
      </c>
      <c r="AL350" s="503" t="str">
        <f>IF($G350="","",IF(AND($G350&gt;=30,$AT$3&lt;=AK$7),ROUND(AK350*($AP$3+#REF!),-1),""))</f>
        <v/>
      </c>
      <c r="AM350" s="506" t="s">
        <v>621</v>
      </c>
      <c r="AN350" s="503" t="str">
        <f>IF($G350="","",IF(AND($G350&gt;=30,$AT$3&lt;=AM$7),ROUND(AM350*($AP$3+#REF!),-1),""))</f>
        <v/>
      </c>
      <c r="AO350" s="503" t="e">
        <v>#REF!</v>
      </c>
      <c r="AP350" s="503" t="str">
        <f>IF($G350="","",IF(AND($G350&gt;=30,$AT$3&lt;=AO$7),ROUND(AO350*($AP$3+#REF!),-1),""))</f>
        <v/>
      </c>
      <c r="AQ350" s="503" t="s">
        <v>621</v>
      </c>
      <c r="AR350" s="503" t="str">
        <f>IF($G350="","",IF(AND($G350&gt;=30,$AT$3&lt;=AQ$7),ROUND(AQ350*($AP$3+#REF!),-1),""))</f>
        <v/>
      </c>
      <c r="AS350" s="503" t="s">
        <v>621</v>
      </c>
      <c r="AT350" s="503" t="str">
        <f>IF($G350="","",IF(AND($G350&gt;=30,$AT$3&lt;=AS$7),ROUND(AS350*($AP$3+#REF!),-1),""))</f>
        <v/>
      </c>
      <c r="AU350" s="503" t="s">
        <v>621</v>
      </c>
      <c r="AV350" s="503" t="str">
        <f>IF($G350="","",IF(AND($G350&gt;=30,$AT$3&lt;=AU$7),ROUND(AU350*($AP$3+#REF!),-1),""))</f>
        <v/>
      </c>
      <c r="AW350" s="503" t="s">
        <v>621</v>
      </c>
      <c r="AX350" s="503" t="str">
        <f>IF($G350="","",IF(AND($G350&gt;=30,$AT$3&lt;=AW$7),ROUND(AW350*($AP$3+#REF!),-1),""))</f>
        <v/>
      </c>
      <c r="AY350" s="503" t="s">
        <v>621</v>
      </c>
      <c r="AZ350" s="503" t="str">
        <f>IF($G350="","",IF(AND($G350&gt;=30,$AT$3&lt;=AY$7),ROUND(AY350*($AP$3+#REF!),-1),""))</f>
        <v/>
      </c>
      <c r="BA350" s="503" t="s">
        <v>621</v>
      </c>
      <c r="BB350" s="503" t="str">
        <f>IF($G350="","",IF(AND($G350&gt;=30,$AT$3&lt;=BA$7),ROUND(BA350*($AP$3+#REF!),-1),""))</f>
        <v/>
      </c>
      <c r="BC350" s="503" t="s">
        <v>621</v>
      </c>
      <c r="BD350" s="503" t="str">
        <f>IF($G350="","",IF(AND($G350&gt;=30,$AT$3&lt;=BC$7),ROUND(BC350*($AP$3+#REF!),-1),""))</f>
        <v/>
      </c>
      <c r="BE350" s="503" t="s">
        <v>621</v>
      </c>
      <c r="BF350" s="503" t="str">
        <f>IF($G350="","",IF(AND($G350&gt;=30,$AT$3&lt;=BE$7),ROUND(BE350*($AP$3+#REF!),-1),""))</f>
        <v/>
      </c>
      <c r="BG350" s="503" t="s">
        <v>621</v>
      </c>
      <c r="BH350" s="503" t="str">
        <f>IF($G350="","",IF(AND($G350&gt;=30,$AT$3&lt;=BG$7),ROUND(BG350*($AP$3+#REF!),-1),""))</f>
        <v/>
      </c>
      <c r="BI350" s="503" t="s">
        <v>621</v>
      </c>
      <c r="BJ350" s="503" t="str">
        <f>IF($G350="","",IF(AND($G350&gt;=30,$AT$3&lt;=BI$7),ROUND(BI350*($AP$3+#REF!),-1),""))</f>
        <v/>
      </c>
      <c r="BK350" s="503" t="s">
        <v>621</v>
      </c>
      <c r="BL350" s="503" t="str">
        <f>IF($G350="","",IF(AND($G350&gt;=30,$AT$3&lt;=BK$7),ROUND(BK350*($AP$3+#REF!),-1),""))</f>
        <v/>
      </c>
      <c r="BM350" s="503" t="s">
        <v>621</v>
      </c>
      <c r="BN350" s="503" t="str">
        <f>IF($G350="","",IF(AND($G350&gt;=30,$AT$3&lt;=BM$7),ROUND(BM350*($AP$3+#REF!),-1),""))</f>
        <v/>
      </c>
      <c r="BO350" s="503" t="s">
        <v>621</v>
      </c>
      <c r="BP350" s="503" t="str">
        <f>IF($G350="","",IF(AND($G350&gt;=30,$AT$3&lt;=BO$7),ROUND(BO350*($AP$3+#REF!),-1),""))</f>
        <v/>
      </c>
      <c r="BQ350" s="503" t="s">
        <v>621</v>
      </c>
      <c r="BR350" s="503" t="str">
        <f>IF($G350="","",IF(AND($G350&gt;=30,$AT$3&lt;=BQ$7),ROUND(BQ350*($AP$3+#REF!),-1),""))</f>
        <v/>
      </c>
      <c r="BS350" s="503" t="s">
        <v>621</v>
      </c>
      <c r="BT350" s="503" t="str">
        <f>IF($G350="","",IF(AND($G350&gt;=30,$AT$3&lt;=BS$7),ROUND(BS350*($AP$3+#REF!),-1),""))</f>
        <v/>
      </c>
      <c r="BU350" s="503" t="s">
        <v>621</v>
      </c>
      <c r="BV350" s="503" t="str">
        <f>IF($G350="","",IF(AND($G350&gt;=30,$AT$3&lt;=BU$7),ROUND(BU350*($AP$3+#REF!),-1),""))</f>
        <v/>
      </c>
      <c r="BW350" s="503" t="s">
        <v>621</v>
      </c>
      <c r="BX350" s="503" t="str">
        <f>IF($G350="","",IF(AND($G350&gt;=30,$AT$3&lt;=BW$7),ROUND(BW350*($AP$3+#REF!),-1),""))</f>
        <v/>
      </c>
      <c r="BY350" s="503" t="s">
        <v>621</v>
      </c>
      <c r="BZ350" s="503" t="str">
        <f>IF($G350="","",IF(AND($G350&gt;=30,$AT$3&lt;=BY$7),ROUND(BY350*($AP$3+#REF!),-1),""))</f>
        <v/>
      </c>
      <c r="CA350" s="503" t="s">
        <v>621</v>
      </c>
      <c r="CB350" s="503" t="str">
        <f>IF($G350="","",IF(AND($G350&gt;=30,$AT$3&lt;=CA$7),ROUND(CA350*($AP$3+#REF!),-1),""))</f>
        <v/>
      </c>
      <c r="CC350" s="503" t="s">
        <v>621</v>
      </c>
      <c r="CD350" s="503" t="str">
        <f>IF($G350="","",IF(AND($G350&gt;=30,$AT$3&lt;=CC$7),ROUND(CC350*($AP$3+#REF!),-1),""))</f>
        <v/>
      </c>
      <c r="CE350" s="503" t="s">
        <v>621</v>
      </c>
      <c r="CF350" s="503" t="str">
        <f>IF($G350="","",IF(AND($G350&gt;=30,$AT$3&lt;=CE$7),ROUND(CE350*($AP$3+#REF!),-1),""))</f>
        <v/>
      </c>
      <c r="CG350" s="503" t="s">
        <v>621</v>
      </c>
      <c r="CH350" s="503" t="str">
        <f>IF($G350="","",IF(AND($G350&gt;=30,$AT$3&lt;=CG$7),ROUND(CG350*($AP$3+#REF!),-1),""))</f>
        <v/>
      </c>
      <c r="CI350" s="503" t="s">
        <v>621</v>
      </c>
      <c r="CJ350" s="503" t="str">
        <f>IF($G350="","",IF(AND($G350&gt;=30,$AT$3&lt;=CI$7),ROUND(CI350*($AP$3+#REF!),-1),""))</f>
        <v/>
      </c>
      <c r="CK350" s="517" t="e">
        <v>#REF!</v>
      </c>
      <c r="CL350" s="503" t="str">
        <f>IF($G350="","",IF(AND($G350&gt;=30,$AT$3&lt;=CK$7),ROUND(CK350*($AP$3+#REF!),-1),""))</f>
        <v/>
      </c>
      <c r="CM350" s="517"/>
      <c r="CN350" s="503" t="str">
        <f>IF($G350="","",IF(AND($G350&gt;=30,$AT$3&lt;=CM$7),ROUND(CM350*($AP$3+#REF!),-1),""))</f>
        <v/>
      </c>
      <c r="CO350" s="517"/>
      <c r="CP350" s="503" t="str">
        <f>IF($G350="","",IF(AND($G350&gt;=30,$AT$3&lt;=CO$7),ROUND(CO350*($AP$3+#REF!),-1),""))</f>
        <v/>
      </c>
      <c r="CQ350" s="517"/>
      <c r="CR350" s="503" t="str">
        <f>IF($G350="","",IF(AND($G350&gt;=30,$AT$3&lt;=CQ$7),ROUND(CQ350*($AP$3+#REF!),-1),""))</f>
        <v/>
      </c>
      <c r="CS350" s="517"/>
      <c r="CT350" s="503" t="str">
        <f>IF($G350="","",IF(AND($G350&gt;=30,$AT$3&lt;=CS$7),ROUND(CS350*($AP$3+#REF!),-1),""))</f>
        <v/>
      </c>
      <c r="CU350" s="517"/>
      <c r="CV350" s="503" t="str">
        <f>IF($G350="","",IF(AND($G350&gt;=30,$AT$3&lt;=CU$7),ROUND(CU350*($AP$3+#REF!),-1),""))</f>
        <v/>
      </c>
      <c r="CW350" s="517"/>
      <c r="CX350" s="503" t="str">
        <f>IF($G350="","",IF(AND($G350&gt;=30,$AT$3&lt;=CW$7),ROUND(CW350*($AP$3+#REF!),-1),""))</f>
        <v/>
      </c>
      <c r="CY350" s="517"/>
      <c r="CZ350" s="503" t="str">
        <f>IF($G350="","",IF(AND($G350&gt;=30,$AT$3&lt;=CY$7),ROUND(CY350*($AP$3+#REF!),-1),""))</f>
        <v/>
      </c>
      <c r="DA350" s="517"/>
      <c r="DB350" s="503" t="str">
        <f>IF($G350="","",IF(AND($G350&gt;=30,$AT$3&lt;=DA$7),ROUND(DA350*($AP$3+#REF!),-1),""))</f>
        <v/>
      </c>
      <c r="DC350" s="517"/>
      <c r="DD350" s="503" t="str">
        <f>IF($G350="","",IF(AND($G350&gt;=30,$AT$3&lt;=DC$7),ROUND(DC350*($AP$3+#REF!),-1),""))</f>
        <v/>
      </c>
      <c r="DE350" s="517"/>
      <c r="DF350" s="503" t="str">
        <f>IF($G350="","",IF(AND($G350&gt;=30,$AT$3&lt;=DE$7),ROUND(DE350*($AP$3+#REF!),-1),""))</f>
        <v/>
      </c>
      <c r="DG350" s="517"/>
      <c r="DH350" s="503" t="str">
        <f>IF($G350="","",IF(AND($G350&gt;=30,$AT$3&lt;=DG$7),ROUND(DG350*($AP$3+#REF!),-1),""))</f>
        <v/>
      </c>
      <c r="DI350" s="517"/>
      <c r="DJ350" s="503" t="str">
        <f>IF($G350="","",IF(AND($G350&gt;=30,$AT$3&lt;=DI$7),ROUND(DI350*($AP$3+#REF!),-1),""))</f>
        <v/>
      </c>
      <c r="DK350" s="517"/>
      <c r="DL350" s="503" t="str">
        <f>IF($G350="","",IF(AND($G350&gt;=30,$AT$3&lt;=DK$7),ROUND(DK350*($AP$3+#REF!),-1),""))</f>
        <v/>
      </c>
      <c r="DM350" s="517"/>
      <c r="DN350" s="503" t="str">
        <f>IF($G350="","",IF(AND($G350&gt;=30,$AT$3&lt;=DM$7),ROUND(DM350*($AP$3+#REF!),-1),""))</f>
        <v/>
      </c>
      <c r="DO350" s="517"/>
      <c r="DP350" s="503" t="str">
        <f>IF($G350="","",IF(AND($G350&gt;=30,$AT$3&lt;=DO$7),ROUND(DO350*($AP$3+#REF!),-1),""))</f>
        <v/>
      </c>
      <c r="DQ350" s="517"/>
      <c r="DR350" s="503" t="str">
        <f>IF($G350="","",IF(AND($G350&gt;=30,$AT$3&lt;=DQ$7),ROUND(DQ350*($AP$3+#REF!),-1),""))</f>
        <v/>
      </c>
      <c r="DS350" s="517"/>
      <c r="DT350" s="503" t="str">
        <f>IF($G350="","",IF(AND($G350&gt;=30,$AT$3&lt;=DS$7),ROUND(DS350*($AP$3+#REF!),-1),""))</f>
        <v/>
      </c>
      <c r="DU350" s="517"/>
      <c r="DV350" s="503" t="str">
        <f>IF($G350="","",IF(AND($G350&gt;=30,$AT$3&lt;=DU$7),ROUND(DU350*($AP$3+#REF!),-1),""))</f>
        <v/>
      </c>
      <c r="DW350" s="517"/>
      <c r="DX350" s="503" t="str">
        <f>IF($G350="","",IF(AND($G350&gt;=30,$AT$3&lt;=DW$7),ROUND(DW350*($AP$3+#REF!),-1),""))</f>
        <v/>
      </c>
      <c r="DY350" s="517"/>
      <c r="DZ350" s="503" t="str">
        <f>IF($G350="","",IF(AND($G350&gt;=30,$AT$3&lt;=DY$7),ROUND(DY350*($AP$3+#REF!),-1),""))</f>
        <v/>
      </c>
      <c r="EA350" s="517"/>
      <c r="EB350" s="503" t="str">
        <f>IF($G350="","",IF(AND($G350&gt;=30,$AT$3&lt;=EA$7),ROUND(EA350*($AP$3+#REF!),-1),""))</f>
        <v/>
      </c>
      <c r="EC350" s="504" t="s">
        <v>621</v>
      </c>
      <c r="ED350" s="1124"/>
      <c r="EE350" s="325">
        <v>6</v>
      </c>
    </row>
    <row r="351" spans="1:135" ht="9.75" customHeight="1">
      <c r="A351" s="321" t="str">
        <f t="shared" si="82"/>
        <v/>
      </c>
      <c r="B351" s="567">
        <f>(ii!$D$13*12+V351)+1</f>
        <v>245</v>
      </c>
      <c r="C351" s="337">
        <f t="shared" si="86"/>
        <v>52809</v>
      </c>
      <c r="D351" s="484">
        <f t="shared" si="89"/>
        <v>2044</v>
      </c>
      <c r="E351" s="484">
        <f t="shared" si="87"/>
        <v>0.58333333333333337</v>
      </c>
      <c r="F351" s="484">
        <f t="shared" si="90"/>
        <v>2044.5833333333333</v>
      </c>
      <c r="G351" s="485" t="str">
        <f>IF(OR(C351&lt;$I$2,C351&gt;$J$3),"",(ii!$D$13*12+V351+1)/12)</f>
        <v/>
      </c>
      <c r="H351" s="486"/>
      <c r="I351" s="486"/>
      <c r="J351" s="487"/>
      <c r="K351" s="488"/>
      <c r="L351" s="548"/>
      <c r="M351" s="489" t="str">
        <f t="shared" si="91"/>
        <v/>
      </c>
      <c r="N351" s="490" t="s">
        <v>621</v>
      </c>
      <c r="O351" s="490" t="str">
        <f t="shared" si="84"/>
        <v/>
      </c>
      <c r="P351" s="491"/>
      <c r="Q351" s="491"/>
      <c r="R351" s="491" t="str">
        <f t="shared" si="85"/>
        <v/>
      </c>
      <c r="S351" s="528" t="str">
        <f t="shared" si="83"/>
        <v/>
      </c>
      <c r="T351" s="528" t="str">
        <f t="shared" si="81"/>
        <v/>
      </c>
      <c r="U351" s="493" t="str">
        <f>IF(H351="","",#REF!*12+#REF!+#REF!*12+#REF!)</f>
        <v/>
      </c>
      <c r="V351" s="338">
        <f>IF(ii!$J$3&gt;gg!C351,"",IF(AND((YEAR(C351)=YEAR($I$2)),MONTH(C351)=MONTH($I$2)),ii!$B$14*12+ii!$C$14+ii!$B$15*12+ii!$C$15-1,V350+1))</f>
        <v>244</v>
      </c>
      <c r="W351" s="339">
        <f t="shared" si="88"/>
        <v>20.333333333333332</v>
      </c>
      <c r="X351" s="494" t="s">
        <v>621</v>
      </c>
      <c r="Y351" s="495" t="s">
        <v>621</v>
      </c>
      <c r="Z351" s="496"/>
      <c r="AA351" s="497"/>
      <c r="AB351" s="498" t="e">
        <f t="shared" si="94"/>
        <v>#VALUE!</v>
      </c>
      <c r="AC351" s="484" t="str">
        <f t="shared" si="92"/>
        <v/>
      </c>
      <c r="AD351" s="495" t="str">
        <f t="shared" si="93"/>
        <v/>
      </c>
      <c r="AE351" s="499" t="s">
        <v>621</v>
      </c>
      <c r="AF351" s="500" t="s">
        <v>621</v>
      </c>
      <c r="AG351" s="556" t="s">
        <v>621</v>
      </c>
      <c r="AH351" s="503" t="str">
        <f>IF($G351="","",IF(AND($G351&gt;=30,$AT$3&lt;=AG$7),ROUND(AG351*($AP$3+#REF!),-1),""))</f>
        <v/>
      </c>
      <c r="AI351" s="506" t="s">
        <v>621</v>
      </c>
      <c r="AJ351" s="503" t="str">
        <f>IF($G351="","",IF(AND($G351&gt;=30,$AT$3&lt;=AI$7),ROUND(AI351*($AP$3+#REF!),-1),""))</f>
        <v/>
      </c>
      <c r="AK351" s="506" t="s">
        <v>621</v>
      </c>
      <c r="AL351" s="503" t="str">
        <f>IF($G351="","",IF(AND($G351&gt;=30,$AT$3&lt;=AK$7),ROUND(AK351*($AP$3+#REF!),-1),""))</f>
        <v/>
      </c>
      <c r="AM351" s="506" t="s">
        <v>621</v>
      </c>
      <c r="AN351" s="503" t="str">
        <f>IF($G351="","",IF(AND($G351&gt;=30,$AT$3&lt;=AM$7),ROUND(AM351*($AP$3+#REF!),-1),""))</f>
        <v/>
      </c>
      <c r="AO351" s="503" t="e">
        <v>#REF!</v>
      </c>
      <c r="AP351" s="503" t="str">
        <f>IF($G351="","",IF(AND($G351&gt;=30,$AT$3&lt;=AO$7),ROUND(AO351*($AP$3+#REF!),-1),""))</f>
        <v/>
      </c>
      <c r="AQ351" s="503" t="s">
        <v>621</v>
      </c>
      <c r="AR351" s="503" t="str">
        <f>IF($G351="","",IF(AND($G351&gt;=30,$AT$3&lt;=AQ$7),ROUND(AQ351*($AP$3+#REF!),-1),""))</f>
        <v/>
      </c>
      <c r="AS351" s="503" t="s">
        <v>621</v>
      </c>
      <c r="AT351" s="503" t="str">
        <f>IF($G351="","",IF(AND($G351&gt;=30,$AT$3&lt;=AS$7),ROUND(AS351*($AP$3+#REF!),-1),""))</f>
        <v/>
      </c>
      <c r="AU351" s="503" t="s">
        <v>621</v>
      </c>
      <c r="AV351" s="503" t="str">
        <f>IF($G351="","",IF(AND($G351&gt;=30,$AT$3&lt;=AU$7),ROUND(AU351*($AP$3+#REF!),-1),""))</f>
        <v/>
      </c>
      <c r="AW351" s="503" t="s">
        <v>621</v>
      </c>
      <c r="AX351" s="503" t="str">
        <f>IF($G351="","",IF(AND($G351&gt;=30,$AT$3&lt;=AW$7),ROUND(AW351*($AP$3+#REF!),-1),""))</f>
        <v/>
      </c>
      <c r="AY351" s="503" t="s">
        <v>621</v>
      </c>
      <c r="AZ351" s="503" t="str">
        <f>IF($G351="","",IF(AND($G351&gt;=30,$AT$3&lt;=AY$7),ROUND(AY351*($AP$3+#REF!),-1),""))</f>
        <v/>
      </c>
      <c r="BA351" s="503" t="s">
        <v>621</v>
      </c>
      <c r="BB351" s="503" t="str">
        <f>IF($G351="","",IF(AND($G351&gt;=30,$AT$3&lt;=BA$7),ROUND(BA351*($AP$3+#REF!),-1),""))</f>
        <v/>
      </c>
      <c r="BC351" s="503" t="s">
        <v>621</v>
      </c>
      <c r="BD351" s="503" t="str">
        <f>IF($G351="","",IF(AND($G351&gt;=30,$AT$3&lt;=BC$7),ROUND(BC351*($AP$3+#REF!),-1),""))</f>
        <v/>
      </c>
      <c r="BE351" s="503" t="s">
        <v>621</v>
      </c>
      <c r="BF351" s="503" t="str">
        <f>IF($G351="","",IF(AND($G351&gt;=30,$AT$3&lt;=BE$7),ROUND(BE351*($AP$3+#REF!),-1),""))</f>
        <v/>
      </c>
      <c r="BG351" s="503" t="s">
        <v>621</v>
      </c>
      <c r="BH351" s="503" t="str">
        <f>IF($G351="","",IF(AND($G351&gt;=30,$AT$3&lt;=BG$7),ROUND(BG351*($AP$3+#REF!),-1),""))</f>
        <v/>
      </c>
      <c r="BI351" s="503" t="s">
        <v>621</v>
      </c>
      <c r="BJ351" s="503" t="str">
        <f>IF($G351="","",IF(AND($G351&gt;=30,$AT$3&lt;=BI$7),ROUND(BI351*($AP$3+#REF!),-1),""))</f>
        <v/>
      </c>
      <c r="BK351" s="503" t="s">
        <v>621</v>
      </c>
      <c r="BL351" s="503" t="str">
        <f>IF($G351="","",IF(AND($G351&gt;=30,$AT$3&lt;=BK$7),ROUND(BK351*($AP$3+#REF!),-1),""))</f>
        <v/>
      </c>
      <c r="BM351" s="503" t="s">
        <v>621</v>
      </c>
      <c r="BN351" s="503" t="str">
        <f>IF($G351="","",IF(AND($G351&gt;=30,$AT$3&lt;=BM$7),ROUND(BM351*($AP$3+#REF!),-1),""))</f>
        <v/>
      </c>
      <c r="BO351" s="503" t="s">
        <v>621</v>
      </c>
      <c r="BP351" s="503" t="str">
        <f>IF($G351="","",IF(AND($G351&gt;=30,$AT$3&lt;=BO$7),ROUND(BO351*($AP$3+#REF!),-1),""))</f>
        <v/>
      </c>
      <c r="BQ351" s="503" t="s">
        <v>621</v>
      </c>
      <c r="BR351" s="503" t="str">
        <f>IF($G351="","",IF(AND($G351&gt;=30,$AT$3&lt;=BQ$7),ROUND(BQ351*($AP$3+#REF!),-1),""))</f>
        <v/>
      </c>
      <c r="BS351" s="503" t="s">
        <v>621</v>
      </c>
      <c r="BT351" s="503" t="str">
        <f>IF($G351="","",IF(AND($G351&gt;=30,$AT$3&lt;=BS$7),ROUND(BS351*($AP$3+#REF!),-1),""))</f>
        <v/>
      </c>
      <c r="BU351" s="503" t="s">
        <v>621</v>
      </c>
      <c r="BV351" s="503" t="str">
        <f>IF($G351="","",IF(AND($G351&gt;=30,$AT$3&lt;=BU$7),ROUND(BU351*($AP$3+#REF!),-1),""))</f>
        <v/>
      </c>
      <c r="BW351" s="503" t="s">
        <v>621</v>
      </c>
      <c r="BX351" s="503" t="str">
        <f>IF($G351="","",IF(AND($G351&gt;=30,$AT$3&lt;=BW$7),ROUND(BW351*($AP$3+#REF!),-1),""))</f>
        <v/>
      </c>
      <c r="BY351" s="503" t="s">
        <v>621</v>
      </c>
      <c r="BZ351" s="503" t="str">
        <f>IF($G351="","",IF(AND($G351&gt;=30,$AT$3&lt;=BY$7),ROUND(BY351*($AP$3+#REF!),-1),""))</f>
        <v/>
      </c>
      <c r="CA351" s="503" t="s">
        <v>621</v>
      </c>
      <c r="CB351" s="503" t="str">
        <f>IF($G351="","",IF(AND($G351&gt;=30,$AT$3&lt;=CA$7),ROUND(CA351*($AP$3+#REF!),-1),""))</f>
        <v/>
      </c>
      <c r="CC351" s="503" t="s">
        <v>621</v>
      </c>
      <c r="CD351" s="503" t="str">
        <f>IF($G351="","",IF(AND($G351&gt;=30,$AT$3&lt;=CC$7),ROUND(CC351*($AP$3+#REF!),-1),""))</f>
        <v/>
      </c>
      <c r="CE351" s="503" t="s">
        <v>621</v>
      </c>
      <c r="CF351" s="503" t="str">
        <f>IF($G351="","",IF(AND($G351&gt;=30,$AT$3&lt;=CE$7),ROUND(CE351*($AP$3+#REF!),-1),""))</f>
        <v/>
      </c>
      <c r="CG351" s="503" t="s">
        <v>621</v>
      </c>
      <c r="CH351" s="503" t="str">
        <f>IF($G351="","",IF(AND($G351&gt;=30,$AT$3&lt;=CG$7),ROUND(CG351*($AP$3+#REF!),-1),""))</f>
        <v/>
      </c>
      <c r="CI351" s="503" t="s">
        <v>621</v>
      </c>
      <c r="CJ351" s="503" t="str">
        <f>IF($G351="","",IF(AND($G351&gt;=30,$AT$3&lt;=CI$7),ROUND(CI351*($AP$3+#REF!),-1),""))</f>
        <v/>
      </c>
      <c r="CK351" s="517" t="e">
        <v>#REF!</v>
      </c>
      <c r="CL351" s="503" t="str">
        <f>IF($G351="","",IF(AND($G351&gt;=30,$AT$3&lt;=CK$7),ROUND(CK351*($AP$3+#REF!),-1),""))</f>
        <v/>
      </c>
      <c r="CM351" s="517"/>
      <c r="CN351" s="503" t="str">
        <f>IF($G351="","",IF(AND($G351&gt;=30,$AT$3&lt;=CM$7),ROUND(CM351*($AP$3+#REF!),-1),""))</f>
        <v/>
      </c>
      <c r="CO351" s="517"/>
      <c r="CP351" s="503" t="str">
        <f>IF($G351="","",IF(AND($G351&gt;=30,$AT$3&lt;=CO$7),ROUND(CO351*($AP$3+#REF!),-1),""))</f>
        <v/>
      </c>
      <c r="CQ351" s="517"/>
      <c r="CR351" s="503" t="str">
        <f>IF($G351="","",IF(AND($G351&gt;=30,$AT$3&lt;=CQ$7),ROUND(CQ351*($AP$3+#REF!),-1),""))</f>
        <v/>
      </c>
      <c r="CS351" s="517"/>
      <c r="CT351" s="503" t="str">
        <f>IF($G351="","",IF(AND($G351&gt;=30,$AT$3&lt;=CS$7),ROUND(CS351*($AP$3+#REF!),-1),""))</f>
        <v/>
      </c>
      <c r="CU351" s="517"/>
      <c r="CV351" s="503" t="str">
        <f>IF($G351="","",IF(AND($G351&gt;=30,$AT$3&lt;=CU$7),ROUND(CU351*($AP$3+#REF!),-1),""))</f>
        <v/>
      </c>
      <c r="CW351" s="517"/>
      <c r="CX351" s="503" t="str">
        <f>IF($G351="","",IF(AND($G351&gt;=30,$AT$3&lt;=CW$7),ROUND(CW351*($AP$3+#REF!),-1),""))</f>
        <v/>
      </c>
      <c r="CY351" s="517"/>
      <c r="CZ351" s="503" t="str">
        <f>IF($G351="","",IF(AND($G351&gt;=30,$AT$3&lt;=CY$7),ROUND(CY351*($AP$3+#REF!),-1),""))</f>
        <v/>
      </c>
      <c r="DA351" s="517"/>
      <c r="DB351" s="503" t="str">
        <f>IF($G351="","",IF(AND($G351&gt;=30,$AT$3&lt;=DA$7),ROUND(DA351*($AP$3+#REF!),-1),""))</f>
        <v/>
      </c>
      <c r="DC351" s="517"/>
      <c r="DD351" s="503" t="str">
        <f>IF($G351="","",IF(AND($G351&gt;=30,$AT$3&lt;=DC$7),ROUND(DC351*($AP$3+#REF!),-1),""))</f>
        <v/>
      </c>
      <c r="DE351" s="517"/>
      <c r="DF351" s="503" t="str">
        <f>IF($G351="","",IF(AND($G351&gt;=30,$AT$3&lt;=DE$7),ROUND(DE351*($AP$3+#REF!),-1),""))</f>
        <v/>
      </c>
      <c r="DG351" s="517"/>
      <c r="DH351" s="503" t="str">
        <f>IF($G351="","",IF(AND($G351&gt;=30,$AT$3&lt;=DG$7),ROUND(DG351*($AP$3+#REF!),-1),""))</f>
        <v/>
      </c>
      <c r="DI351" s="517"/>
      <c r="DJ351" s="503" t="str">
        <f>IF($G351="","",IF(AND($G351&gt;=30,$AT$3&lt;=DI$7),ROUND(DI351*($AP$3+#REF!),-1),""))</f>
        <v/>
      </c>
      <c r="DK351" s="517"/>
      <c r="DL351" s="503" t="str">
        <f>IF($G351="","",IF(AND($G351&gt;=30,$AT$3&lt;=DK$7),ROUND(DK351*($AP$3+#REF!),-1),""))</f>
        <v/>
      </c>
      <c r="DM351" s="517"/>
      <c r="DN351" s="503" t="str">
        <f>IF($G351="","",IF(AND($G351&gt;=30,$AT$3&lt;=DM$7),ROUND(DM351*($AP$3+#REF!),-1),""))</f>
        <v/>
      </c>
      <c r="DO351" s="517"/>
      <c r="DP351" s="503" t="str">
        <f>IF($G351="","",IF(AND($G351&gt;=30,$AT$3&lt;=DO$7),ROUND(DO351*($AP$3+#REF!),-1),""))</f>
        <v/>
      </c>
      <c r="DQ351" s="517"/>
      <c r="DR351" s="503" t="str">
        <f>IF($G351="","",IF(AND($G351&gt;=30,$AT$3&lt;=DQ$7),ROUND(DQ351*($AP$3+#REF!),-1),""))</f>
        <v/>
      </c>
      <c r="DS351" s="517"/>
      <c r="DT351" s="503" t="str">
        <f>IF($G351="","",IF(AND($G351&gt;=30,$AT$3&lt;=DS$7),ROUND(DS351*($AP$3+#REF!),-1),""))</f>
        <v/>
      </c>
      <c r="DU351" s="517"/>
      <c r="DV351" s="503" t="str">
        <f>IF($G351="","",IF(AND($G351&gt;=30,$AT$3&lt;=DU$7),ROUND(DU351*($AP$3+#REF!),-1),""))</f>
        <v/>
      </c>
      <c r="DW351" s="517"/>
      <c r="DX351" s="503" t="str">
        <f>IF($G351="","",IF(AND($G351&gt;=30,$AT$3&lt;=DW$7),ROUND(DW351*($AP$3+#REF!),-1),""))</f>
        <v/>
      </c>
      <c r="DY351" s="517"/>
      <c r="DZ351" s="503" t="str">
        <f>IF($G351="","",IF(AND($G351&gt;=30,$AT$3&lt;=DY$7),ROUND(DY351*($AP$3+#REF!),-1),""))</f>
        <v/>
      </c>
      <c r="EA351" s="517"/>
      <c r="EB351" s="503" t="str">
        <f>IF($G351="","",IF(AND($G351&gt;=30,$AT$3&lt;=EA$7),ROUND(EA351*($AP$3+#REF!),-1),""))</f>
        <v/>
      </c>
      <c r="EC351" s="504" t="s">
        <v>621</v>
      </c>
      <c r="ED351" s="1124"/>
      <c r="EE351" s="325">
        <v>7</v>
      </c>
    </row>
    <row r="352" spans="1:135" ht="9.75" customHeight="1">
      <c r="A352" s="321" t="str">
        <f t="shared" si="82"/>
        <v/>
      </c>
      <c r="B352" s="567">
        <f>(ii!$D$13*12+V352)+1</f>
        <v>246</v>
      </c>
      <c r="C352" s="337">
        <f t="shared" si="86"/>
        <v>52840</v>
      </c>
      <c r="D352" s="484">
        <f t="shared" si="89"/>
        <v>2044</v>
      </c>
      <c r="E352" s="484">
        <f t="shared" si="87"/>
        <v>0.66666666666666663</v>
      </c>
      <c r="F352" s="484">
        <f t="shared" si="90"/>
        <v>2044.6666666666667</v>
      </c>
      <c r="G352" s="485" t="str">
        <f>IF(OR(C352&lt;$I$2,C352&gt;$J$3),"",(ii!$D$13*12+V352+1)/12)</f>
        <v/>
      </c>
      <c r="H352" s="486"/>
      <c r="I352" s="486"/>
      <c r="J352" s="487"/>
      <c r="K352" s="488"/>
      <c r="L352" s="548"/>
      <c r="M352" s="489" t="str">
        <f t="shared" si="91"/>
        <v/>
      </c>
      <c r="N352" s="490" t="s">
        <v>621</v>
      </c>
      <c r="O352" s="490" t="str">
        <f t="shared" si="84"/>
        <v/>
      </c>
      <c r="P352" s="491"/>
      <c r="Q352" s="491"/>
      <c r="R352" s="491" t="str">
        <f t="shared" si="85"/>
        <v/>
      </c>
      <c r="S352" s="528" t="str">
        <f t="shared" si="83"/>
        <v/>
      </c>
      <c r="T352" s="528" t="str">
        <f t="shared" si="81"/>
        <v/>
      </c>
      <c r="U352" s="493" t="str">
        <f>IF(H352="","",#REF!*12+#REF!+#REF!*12+#REF!)</f>
        <v/>
      </c>
      <c r="V352" s="338">
        <f>IF(ii!$J$3&gt;gg!C352,"",IF(AND((YEAR(C352)=YEAR($I$2)),MONTH(C352)=MONTH($I$2)),ii!$B$14*12+ii!$C$14+ii!$B$15*12+ii!$C$15-1,V351+1))</f>
        <v>245</v>
      </c>
      <c r="W352" s="339">
        <f t="shared" si="88"/>
        <v>20.416666666666668</v>
      </c>
      <c r="X352" s="494" t="s">
        <v>621</v>
      </c>
      <c r="Y352" s="495" t="s">
        <v>621</v>
      </c>
      <c r="Z352" s="496"/>
      <c r="AA352" s="497"/>
      <c r="AB352" s="498" t="e">
        <f t="shared" si="94"/>
        <v>#VALUE!</v>
      </c>
      <c r="AC352" s="484" t="str">
        <f t="shared" si="92"/>
        <v/>
      </c>
      <c r="AD352" s="495" t="str">
        <f t="shared" si="93"/>
        <v/>
      </c>
      <c r="AE352" s="499" t="s">
        <v>621</v>
      </c>
      <c r="AF352" s="500" t="s">
        <v>621</v>
      </c>
      <c r="AG352" s="556" t="s">
        <v>621</v>
      </c>
      <c r="AH352" s="503" t="str">
        <f>IF($G352="","",IF(AND($G352&gt;=30,$AT$3&lt;=AG$7),ROUND(AG352*($AP$3+#REF!),-1),""))</f>
        <v/>
      </c>
      <c r="AI352" s="506" t="s">
        <v>621</v>
      </c>
      <c r="AJ352" s="503" t="str">
        <f>IF($G352="","",IF(AND($G352&gt;=30,$AT$3&lt;=AI$7),ROUND(AI352*($AP$3+#REF!),-1),""))</f>
        <v/>
      </c>
      <c r="AK352" s="506" t="s">
        <v>621</v>
      </c>
      <c r="AL352" s="503" t="str">
        <f>IF($G352="","",IF(AND($G352&gt;=30,$AT$3&lt;=AK$7),ROUND(AK352*($AP$3+#REF!),-1),""))</f>
        <v/>
      </c>
      <c r="AM352" s="506" t="s">
        <v>621</v>
      </c>
      <c r="AN352" s="503" t="str">
        <f>IF($G352="","",IF(AND($G352&gt;=30,$AT$3&lt;=AM$7),ROUND(AM352*($AP$3+#REF!),-1),""))</f>
        <v/>
      </c>
      <c r="AO352" s="503" t="e">
        <v>#REF!</v>
      </c>
      <c r="AP352" s="503" t="str">
        <f>IF($G352="","",IF(AND($G352&gt;=30,$AT$3&lt;=AO$7),ROUND(AO352*($AP$3+#REF!),-1),""))</f>
        <v/>
      </c>
      <c r="AQ352" s="503" t="s">
        <v>621</v>
      </c>
      <c r="AR352" s="503" t="str">
        <f>IF($G352="","",IF(AND($G352&gt;=30,$AT$3&lt;=AQ$7),ROUND(AQ352*($AP$3+#REF!),-1),""))</f>
        <v/>
      </c>
      <c r="AS352" s="503" t="s">
        <v>621</v>
      </c>
      <c r="AT352" s="503" t="str">
        <f>IF($G352="","",IF(AND($G352&gt;=30,$AT$3&lt;=AS$7),ROUND(AS352*($AP$3+#REF!),-1),""))</f>
        <v/>
      </c>
      <c r="AU352" s="503" t="s">
        <v>621</v>
      </c>
      <c r="AV352" s="503" t="str">
        <f>IF($G352="","",IF(AND($G352&gt;=30,$AT$3&lt;=AU$7),ROUND(AU352*($AP$3+#REF!),-1),""))</f>
        <v/>
      </c>
      <c r="AW352" s="503" t="s">
        <v>621</v>
      </c>
      <c r="AX352" s="503" t="str">
        <f>IF($G352="","",IF(AND($G352&gt;=30,$AT$3&lt;=AW$7),ROUND(AW352*($AP$3+#REF!),-1),""))</f>
        <v/>
      </c>
      <c r="AY352" s="503" t="s">
        <v>621</v>
      </c>
      <c r="AZ352" s="503" t="str">
        <f>IF($G352="","",IF(AND($G352&gt;=30,$AT$3&lt;=AY$7),ROUND(AY352*($AP$3+#REF!),-1),""))</f>
        <v/>
      </c>
      <c r="BA352" s="503" t="s">
        <v>621</v>
      </c>
      <c r="BB352" s="503" t="str">
        <f>IF($G352="","",IF(AND($G352&gt;=30,$AT$3&lt;=BA$7),ROUND(BA352*($AP$3+#REF!),-1),""))</f>
        <v/>
      </c>
      <c r="BC352" s="503" t="s">
        <v>621</v>
      </c>
      <c r="BD352" s="503" t="str">
        <f>IF($G352="","",IF(AND($G352&gt;=30,$AT$3&lt;=BC$7),ROUND(BC352*($AP$3+#REF!),-1),""))</f>
        <v/>
      </c>
      <c r="BE352" s="503" t="s">
        <v>621</v>
      </c>
      <c r="BF352" s="503" t="str">
        <f>IF($G352="","",IF(AND($G352&gt;=30,$AT$3&lt;=BE$7),ROUND(BE352*($AP$3+#REF!),-1),""))</f>
        <v/>
      </c>
      <c r="BG352" s="503" t="s">
        <v>621</v>
      </c>
      <c r="BH352" s="503" t="str">
        <f>IF($G352="","",IF(AND($G352&gt;=30,$AT$3&lt;=BG$7),ROUND(BG352*($AP$3+#REF!),-1),""))</f>
        <v/>
      </c>
      <c r="BI352" s="503" t="s">
        <v>621</v>
      </c>
      <c r="BJ352" s="503" t="str">
        <f>IF($G352="","",IF(AND($G352&gt;=30,$AT$3&lt;=BI$7),ROUND(BI352*($AP$3+#REF!),-1),""))</f>
        <v/>
      </c>
      <c r="BK352" s="503" t="s">
        <v>621</v>
      </c>
      <c r="BL352" s="503" t="str">
        <f>IF($G352="","",IF(AND($G352&gt;=30,$AT$3&lt;=BK$7),ROUND(BK352*($AP$3+#REF!),-1),""))</f>
        <v/>
      </c>
      <c r="BM352" s="503" t="s">
        <v>621</v>
      </c>
      <c r="BN352" s="503" t="str">
        <f>IF($G352="","",IF(AND($G352&gt;=30,$AT$3&lt;=BM$7),ROUND(BM352*($AP$3+#REF!),-1),""))</f>
        <v/>
      </c>
      <c r="BO352" s="503" t="s">
        <v>621</v>
      </c>
      <c r="BP352" s="503" t="str">
        <f>IF($G352="","",IF(AND($G352&gt;=30,$AT$3&lt;=BO$7),ROUND(BO352*($AP$3+#REF!),-1),""))</f>
        <v/>
      </c>
      <c r="BQ352" s="503" t="s">
        <v>621</v>
      </c>
      <c r="BR352" s="503" t="str">
        <f>IF($G352="","",IF(AND($G352&gt;=30,$AT$3&lt;=BQ$7),ROUND(BQ352*($AP$3+#REF!),-1),""))</f>
        <v/>
      </c>
      <c r="BS352" s="503" t="s">
        <v>621</v>
      </c>
      <c r="BT352" s="503" t="str">
        <f>IF($G352="","",IF(AND($G352&gt;=30,$AT$3&lt;=BS$7),ROUND(BS352*($AP$3+#REF!),-1),""))</f>
        <v/>
      </c>
      <c r="BU352" s="503" t="s">
        <v>621</v>
      </c>
      <c r="BV352" s="503" t="str">
        <f>IF($G352="","",IF(AND($G352&gt;=30,$AT$3&lt;=BU$7),ROUND(BU352*($AP$3+#REF!),-1),""))</f>
        <v/>
      </c>
      <c r="BW352" s="503" t="s">
        <v>621</v>
      </c>
      <c r="BX352" s="503" t="str">
        <f>IF($G352="","",IF(AND($G352&gt;=30,$AT$3&lt;=BW$7),ROUND(BW352*($AP$3+#REF!),-1),""))</f>
        <v/>
      </c>
      <c r="BY352" s="503" t="s">
        <v>621</v>
      </c>
      <c r="BZ352" s="503" t="str">
        <f>IF($G352="","",IF(AND($G352&gt;=30,$AT$3&lt;=BY$7),ROUND(BY352*($AP$3+#REF!),-1),""))</f>
        <v/>
      </c>
      <c r="CA352" s="503" t="s">
        <v>621</v>
      </c>
      <c r="CB352" s="503" t="str">
        <f>IF($G352="","",IF(AND($G352&gt;=30,$AT$3&lt;=CA$7),ROUND(CA352*($AP$3+#REF!),-1),""))</f>
        <v/>
      </c>
      <c r="CC352" s="503" t="s">
        <v>621</v>
      </c>
      <c r="CD352" s="503" t="str">
        <f>IF($G352="","",IF(AND($G352&gt;=30,$AT$3&lt;=CC$7),ROUND(CC352*($AP$3+#REF!),-1),""))</f>
        <v/>
      </c>
      <c r="CE352" s="503" t="s">
        <v>621</v>
      </c>
      <c r="CF352" s="503" t="str">
        <f>IF($G352="","",IF(AND($G352&gt;=30,$AT$3&lt;=CE$7),ROUND(CE352*($AP$3+#REF!),-1),""))</f>
        <v/>
      </c>
      <c r="CG352" s="503" t="s">
        <v>621</v>
      </c>
      <c r="CH352" s="503" t="str">
        <f>IF($G352="","",IF(AND($G352&gt;=30,$AT$3&lt;=CG$7),ROUND(CG352*($AP$3+#REF!),-1),""))</f>
        <v/>
      </c>
      <c r="CI352" s="503" t="s">
        <v>621</v>
      </c>
      <c r="CJ352" s="503" t="str">
        <f>IF($G352="","",IF(AND($G352&gt;=30,$AT$3&lt;=CI$7),ROUND(CI352*($AP$3+#REF!),-1),""))</f>
        <v/>
      </c>
      <c r="CK352" s="517" t="e">
        <v>#REF!</v>
      </c>
      <c r="CL352" s="503" t="str">
        <f>IF($G352="","",IF(AND($G352&gt;=30,$AT$3&lt;=CK$7),ROUND(CK352*($AP$3+#REF!),-1),""))</f>
        <v/>
      </c>
      <c r="CM352" s="517"/>
      <c r="CN352" s="503" t="str">
        <f>IF($G352="","",IF(AND($G352&gt;=30,$AT$3&lt;=CM$7),ROUND(CM352*($AP$3+#REF!),-1),""))</f>
        <v/>
      </c>
      <c r="CO352" s="517"/>
      <c r="CP352" s="503" t="str">
        <f>IF($G352="","",IF(AND($G352&gt;=30,$AT$3&lt;=CO$7),ROUND(CO352*($AP$3+#REF!),-1),""))</f>
        <v/>
      </c>
      <c r="CQ352" s="517"/>
      <c r="CR352" s="503" t="str">
        <f>IF($G352="","",IF(AND($G352&gt;=30,$AT$3&lt;=CQ$7),ROUND(CQ352*($AP$3+#REF!),-1),""))</f>
        <v/>
      </c>
      <c r="CS352" s="517"/>
      <c r="CT352" s="503" t="str">
        <f>IF($G352="","",IF(AND($G352&gt;=30,$AT$3&lt;=CS$7),ROUND(CS352*($AP$3+#REF!),-1),""))</f>
        <v/>
      </c>
      <c r="CU352" s="517"/>
      <c r="CV352" s="503" t="str">
        <f>IF($G352="","",IF(AND($G352&gt;=30,$AT$3&lt;=CU$7),ROUND(CU352*($AP$3+#REF!),-1),""))</f>
        <v/>
      </c>
      <c r="CW352" s="517"/>
      <c r="CX352" s="503" t="str">
        <f>IF($G352="","",IF(AND($G352&gt;=30,$AT$3&lt;=CW$7),ROUND(CW352*($AP$3+#REF!),-1),""))</f>
        <v/>
      </c>
      <c r="CY352" s="517"/>
      <c r="CZ352" s="503" t="str">
        <f>IF($G352="","",IF(AND($G352&gt;=30,$AT$3&lt;=CY$7),ROUND(CY352*($AP$3+#REF!),-1),""))</f>
        <v/>
      </c>
      <c r="DA352" s="517"/>
      <c r="DB352" s="503" t="str">
        <f>IF($G352="","",IF(AND($G352&gt;=30,$AT$3&lt;=DA$7),ROUND(DA352*($AP$3+#REF!),-1),""))</f>
        <v/>
      </c>
      <c r="DC352" s="517"/>
      <c r="DD352" s="503" t="str">
        <f>IF($G352="","",IF(AND($G352&gt;=30,$AT$3&lt;=DC$7),ROUND(DC352*($AP$3+#REF!),-1),""))</f>
        <v/>
      </c>
      <c r="DE352" s="517"/>
      <c r="DF352" s="503" t="str">
        <f>IF($G352="","",IF(AND($G352&gt;=30,$AT$3&lt;=DE$7),ROUND(DE352*($AP$3+#REF!),-1),""))</f>
        <v/>
      </c>
      <c r="DG352" s="517"/>
      <c r="DH352" s="503" t="str">
        <f>IF($G352="","",IF(AND($G352&gt;=30,$AT$3&lt;=DG$7),ROUND(DG352*($AP$3+#REF!),-1),""))</f>
        <v/>
      </c>
      <c r="DI352" s="517"/>
      <c r="DJ352" s="503" t="str">
        <f>IF($G352="","",IF(AND($G352&gt;=30,$AT$3&lt;=DI$7),ROUND(DI352*($AP$3+#REF!),-1),""))</f>
        <v/>
      </c>
      <c r="DK352" s="517"/>
      <c r="DL352" s="503" t="str">
        <f>IF($G352="","",IF(AND($G352&gt;=30,$AT$3&lt;=DK$7),ROUND(DK352*($AP$3+#REF!),-1),""))</f>
        <v/>
      </c>
      <c r="DM352" s="517"/>
      <c r="DN352" s="503" t="str">
        <f>IF($G352="","",IF(AND($G352&gt;=30,$AT$3&lt;=DM$7),ROUND(DM352*($AP$3+#REF!),-1),""))</f>
        <v/>
      </c>
      <c r="DO352" s="517"/>
      <c r="DP352" s="503" t="str">
        <f>IF($G352="","",IF(AND($G352&gt;=30,$AT$3&lt;=DO$7),ROUND(DO352*($AP$3+#REF!),-1),""))</f>
        <v/>
      </c>
      <c r="DQ352" s="517"/>
      <c r="DR352" s="503" t="str">
        <f>IF($G352="","",IF(AND($G352&gt;=30,$AT$3&lt;=DQ$7),ROUND(DQ352*($AP$3+#REF!),-1),""))</f>
        <v/>
      </c>
      <c r="DS352" s="517"/>
      <c r="DT352" s="503" t="str">
        <f>IF($G352="","",IF(AND($G352&gt;=30,$AT$3&lt;=DS$7),ROUND(DS352*($AP$3+#REF!),-1),""))</f>
        <v/>
      </c>
      <c r="DU352" s="517"/>
      <c r="DV352" s="503" t="str">
        <f>IF($G352="","",IF(AND($G352&gt;=30,$AT$3&lt;=DU$7),ROUND(DU352*($AP$3+#REF!),-1),""))</f>
        <v/>
      </c>
      <c r="DW352" s="517"/>
      <c r="DX352" s="503" t="str">
        <f>IF($G352="","",IF(AND($G352&gt;=30,$AT$3&lt;=DW$7),ROUND(DW352*($AP$3+#REF!),-1),""))</f>
        <v/>
      </c>
      <c r="DY352" s="517"/>
      <c r="DZ352" s="503" t="str">
        <f>IF($G352="","",IF(AND($G352&gt;=30,$AT$3&lt;=DY$7),ROUND(DY352*($AP$3+#REF!),-1),""))</f>
        <v/>
      </c>
      <c r="EA352" s="517"/>
      <c r="EB352" s="503" t="str">
        <f>IF($G352="","",IF(AND($G352&gt;=30,$AT$3&lt;=EA$7),ROUND(EA352*($AP$3+#REF!),-1),""))</f>
        <v/>
      </c>
      <c r="EC352" s="504" t="s">
        <v>621</v>
      </c>
      <c r="ED352" s="1124"/>
      <c r="EE352" s="325">
        <v>8</v>
      </c>
    </row>
    <row r="353" spans="1:135" ht="9.75" customHeight="1">
      <c r="A353" s="321" t="str">
        <f t="shared" si="82"/>
        <v/>
      </c>
      <c r="B353" s="567">
        <f>(ii!$D$13*12+V353)+1</f>
        <v>247</v>
      </c>
      <c r="C353" s="337">
        <f t="shared" si="86"/>
        <v>52870</v>
      </c>
      <c r="D353" s="484">
        <f t="shared" si="89"/>
        <v>2044</v>
      </c>
      <c r="E353" s="484">
        <f t="shared" si="87"/>
        <v>0.75</v>
      </c>
      <c r="F353" s="484">
        <f t="shared" si="90"/>
        <v>2044.75</v>
      </c>
      <c r="G353" s="485" t="str">
        <f>IF(OR(C353&lt;$I$2,C353&gt;$J$3),"",(ii!$D$13*12+V353+1)/12)</f>
        <v/>
      </c>
      <c r="H353" s="486"/>
      <c r="I353" s="486"/>
      <c r="J353" s="487"/>
      <c r="K353" s="488"/>
      <c r="L353" s="548"/>
      <c r="M353" s="489" t="str">
        <f t="shared" si="91"/>
        <v/>
      </c>
      <c r="N353" s="490" t="s">
        <v>621</v>
      </c>
      <c r="O353" s="490" t="str">
        <f t="shared" si="84"/>
        <v/>
      </c>
      <c r="P353" s="491"/>
      <c r="Q353" s="491"/>
      <c r="R353" s="491" t="str">
        <f t="shared" si="85"/>
        <v/>
      </c>
      <c r="S353" s="528" t="str">
        <f t="shared" si="83"/>
        <v/>
      </c>
      <c r="T353" s="528" t="str">
        <f t="shared" si="81"/>
        <v/>
      </c>
      <c r="U353" s="493" t="str">
        <f>IF(H353="","",#REF!*12+#REF!+#REF!*12+#REF!)</f>
        <v/>
      </c>
      <c r="V353" s="338">
        <f>IF(ii!$J$3&gt;gg!C353,"",IF(AND((YEAR(C353)=YEAR($I$2)),MONTH(C353)=MONTH($I$2)),ii!$B$14*12+ii!$C$14+ii!$B$15*12+ii!$C$15-1,V352+1))</f>
        <v>246</v>
      </c>
      <c r="W353" s="339">
        <f t="shared" si="88"/>
        <v>20.5</v>
      </c>
      <c r="X353" s="494" t="s">
        <v>621</v>
      </c>
      <c r="Y353" s="495" t="s">
        <v>621</v>
      </c>
      <c r="Z353" s="496"/>
      <c r="AA353" s="497"/>
      <c r="AB353" s="498" t="e">
        <f t="shared" si="94"/>
        <v>#VALUE!</v>
      </c>
      <c r="AC353" s="484" t="str">
        <f t="shared" si="92"/>
        <v/>
      </c>
      <c r="AD353" s="495" t="str">
        <f t="shared" si="93"/>
        <v/>
      </c>
      <c r="AE353" s="499" t="s">
        <v>621</v>
      </c>
      <c r="AF353" s="500" t="s">
        <v>621</v>
      </c>
      <c r="AG353" s="556" t="s">
        <v>621</v>
      </c>
      <c r="AH353" s="503" t="str">
        <f>IF($G353="","",IF(AND($G353&gt;=30,$AT$3&lt;=AG$7),ROUND(AG353*($AP$3+#REF!),-1),""))</f>
        <v/>
      </c>
      <c r="AI353" s="506" t="s">
        <v>621</v>
      </c>
      <c r="AJ353" s="503" t="str">
        <f>IF($G353="","",IF(AND($G353&gt;=30,$AT$3&lt;=AI$7),ROUND(AI353*($AP$3+#REF!),-1),""))</f>
        <v/>
      </c>
      <c r="AK353" s="506" t="s">
        <v>621</v>
      </c>
      <c r="AL353" s="503" t="str">
        <f>IF($G353="","",IF(AND($G353&gt;=30,$AT$3&lt;=AK$7),ROUND(AK353*($AP$3+#REF!),-1),""))</f>
        <v/>
      </c>
      <c r="AM353" s="506" t="s">
        <v>621</v>
      </c>
      <c r="AN353" s="503" t="str">
        <f>IF($G353="","",IF(AND($G353&gt;=30,$AT$3&lt;=AM$7),ROUND(AM353*($AP$3+#REF!),-1),""))</f>
        <v/>
      </c>
      <c r="AO353" s="503" t="e">
        <v>#REF!</v>
      </c>
      <c r="AP353" s="503" t="str">
        <f>IF($G353="","",IF(AND($G353&gt;=30,$AT$3&lt;=AO$7),ROUND(AO353*($AP$3+#REF!),-1),""))</f>
        <v/>
      </c>
      <c r="AQ353" s="503" t="s">
        <v>621</v>
      </c>
      <c r="AR353" s="503" t="str">
        <f>IF($G353="","",IF(AND($G353&gt;=30,$AT$3&lt;=AQ$7),ROUND(AQ353*($AP$3+#REF!),-1),""))</f>
        <v/>
      </c>
      <c r="AS353" s="503" t="s">
        <v>621</v>
      </c>
      <c r="AT353" s="503" t="str">
        <f>IF($G353="","",IF(AND($G353&gt;=30,$AT$3&lt;=AS$7),ROUND(AS353*($AP$3+#REF!),-1),""))</f>
        <v/>
      </c>
      <c r="AU353" s="503" t="s">
        <v>621</v>
      </c>
      <c r="AV353" s="503" t="str">
        <f>IF($G353="","",IF(AND($G353&gt;=30,$AT$3&lt;=AU$7),ROUND(AU353*($AP$3+#REF!),-1),""))</f>
        <v/>
      </c>
      <c r="AW353" s="503" t="s">
        <v>621</v>
      </c>
      <c r="AX353" s="503" t="str">
        <f>IF($G353="","",IF(AND($G353&gt;=30,$AT$3&lt;=AW$7),ROUND(AW353*($AP$3+#REF!),-1),""))</f>
        <v/>
      </c>
      <c r="AY353" s="503" t="s">
        <v>621</v>
      </c>
      <c r="AZ353" s="503" t="str">
        <f>IF($G353="","",IF(AND($G353&gt;=30,$AT$3&lt;=AY$7),ROUND(AY353*($AP$3+#REF!),-1),""))</f>
        <v/>
      </c>
      <c r="BA353" s="503" t="s">
        <v>621</v>
      </c>
      <c r="BB353" s="503" t="str">
        <f>IF($G353="","",IF(AND($G353&gt;=30,$AT$3&lt;=BA$7),ROUND(BA353*($AP$3+#REF!),-1),""))</f>
        <v/>
      </c>
      <c r="BC353" s="503" t="s">
        <v>621</v>
      </c>
      <c r="BD353" s="503" t="str">
        <f>IF($G353="","",IF(AND($G353&gt;=30,$AT$3&lt;=BC$7),ROUND(BC353*($AP$3+#REF!),-1),""))</f>
        <v/>
      </c>
      <c r="BE353" s="503" t="s">
        <v>621</v>
      </c>
      <c r="BF353" s="503" t="str">
        <f>IF($G353="","",IF(AND($G353&gt;=30,$AT$3&lt;=BE$7),ROUND(BE353*($AP$3+#REF!),-1),""))</f>
        <v/>
      </c>
      <c r="BG353" s="503" t="s">
        <v>621</v>
      </c>
      <c r="BH353" s="503" t="str">
        <f>IF($G353="","",IF(AND($G353&gt;=30,$AT$3&lt;=BG$7),ROUND(BG353*($AP$3+#REF!),-1),""))</f>
        <v/>
      </c>
      <c r="BI353" s="503" t="s">
        <v>621</v>
      </c>
      <c r="BJ353" s="503" t="str">
        <f>IF($G353="","",IF(AND($G353&gt;=30,$AT$3&lt;=BI$7),ROUND(BI353*($AP$3+#REF!),-1),""))</f>
        <v/>
      </c>
      <c r="BK353" s="503" t="s">
        <v>621</v>
      </c>
      <c r="BL353" s="503" t="str">
        <f>IF($G353="","",IF(AND($G353&gt;=30,$AT$3&lt;=BK$7),ROUND(BK353*($AP$3+#REF!),-1),""))</f>
        <v/>
      </c>
      <c r="BM353" s="503" t="s">
        <v>621</v>
      </c>
      <c r="BN353" s="503" t="str">
        <f>IF($G353="","",IF(AND($G353&gt;=30,$AT$3&lt;=BM$7),ROUND(BM353*($AP$3+#REF!),-1),""))</f>
        <v/>
      </c>
      <c r="BO353" s="503" t="s">
        <v>621</v>
      </c>
      <c r="BP353" s="503" t="str">
        <f>IF($G353="","",IF(AND($G353&gt;=30,$AT$3&lt;=BO$7),ROUND(BO353*($AP$3+#REF!),-1),""))</f>
        <v/>
      </c>
      <c r="BQ353" s="503" t="s">
        <v>621</v>
      </c>
      <c r="BR353" s="503" t="str">
        <f>IF($G353="","",IF(AND($G353&gt;=30,$AT$3&lt;=BQ$7),ROUND(BQ353*($AP$3+#REF!),-1),""))</f>
        <v/>
      </c>
      <c r="BS353" s="503" t="s">
        <v>621</v>
      </c>
      <c r="BT353" s="503" t="str">
        <f>IF($G353="","",IF(AND($G353&gt;=30,$AT$3&lt;=BS$7),ROUND(BS353*($AP$3+#REF!),-1),""))</f>
        <v/>
      </c>
      <c r="BU353" s="503" t="s">
        <v>621</v>
      </c>
      <c r="BV353" s="503" t="str">
        <f>IF($G353="","",IF(AND($G353&gt;=30,$AT$3&lt;=BU$7),ROUND(BU353*($AP$3+#REF!),-1),""))</f>
        <v/>
      </c>
      <c r="BW353" s="503" t="s">
        <v>621</v>
      </c>
      <c r="BX353" s="503" t="str">
        <f>IF($G353="","",IF(AND($G353&gt;=30,$AT$3&lt;=BW$7),ROUND(BW353*($AP$3+#REF!),-1),""))</f>
        <v/>
      </c>
      <c r="BY353" s="503" t="s">
        <v>621</v>
      </c>
      <c r="BZ353" s="503" t="str">
        <f>IF($G353="","",IF(AND($G353&gt;=30,$AT$3&lt;=BY$7),ROUND(BY353*($AP$3+#REF!),-1),""))</f>
        <v/>
      </c>
      <c r="CA353" s="503" t="s">
        <v>621</v>
      </c>
      <c r="CB353" s="503" t="str">
        <f>IF($G353="","",IF(AND($G353&gt;=30,$AT$3&lt;=CA$7),ROUND(CA353*($AP$3+#REF!),-1),""))</f>
        <v/>
      </c>
      <c r="CC353" s="503" t="s">
        <v>621</v>
      </c>
      <c r="CD353" s="503" t="str">
        <f>IF($G353="","",IF(AND($G353&gt;=30,$AT$3&lt;=CC$7),ROUND(CC353*($AP$3+#REF!),-1),""))</f>
        <v/>
      </c>
      <c r="CE353" s="503" t="s">
        <v>621</v>
      </c>
      <c r="CF353" s="503" t="str">
        <f>IF($G353="","",IF(AND($G353&gt;=30,$AT$3&lt;=CE$7),ROUND(CE353*($AP$3+#REF!),-1),""))</f>
        <v/>
      </c>
      <c r="CG353" s="503" t="s">
        <v>621</v>
      </c>
      <c r="CH353" s="503" t="str">
        <f>IF($G353="","",IF(AND($G353&gt;=30,$AT$3&lt;=CG$7),ROUND(CG353*($AP$3+#REF!),-1),""))</f>
        <v/>
      </c>
      <c r="CI353" s="503" t="s">
        <v>621</v>
      </c>
      <c r="CJ353" s="503" t="str">
        <f>IF($G353="","",IF(AND($G353&gt;=30,$AT$3&lt;=CI$7),ROUND(CI353*($AP$3+#REF!),-1),""))</f>
        <v/>
      </c>
      <c r="CK353" s="517" t="e">
        <v>#REF!</v>
      </c>
      <c r="CL353" s="503" t="str">
        <f>IF($G353="","",IF(AND($G353&gt;=30,$AT$3&lt;=CK$7),ROUND(CK353*($AP$3+#REF!),-1),""))</f>
        <v/>
      </c>
      <c r="CM353" s="517"/>
      <c r="CN353" s="503" t="str">
        <f>IF($G353="","",IF(AND($G353&gt;=30,$AT$3&lt;=CM$7),ROUND(CM353*($AP$3+#REF!),-1),""))</f>
        <v/>
      </c>
      <c r="CO353" s="517"/>
      <c r="CP353" s="503" t="str">
        <f>IF($G353="","",IF(AND($G353&gt;=30,$AT$3&lt;=CO$7),ROUND(CO353*($AP$3+#REF!),-1),""))</f>
        <v/>
      </c>
      <c r="CQ353" s="517"/>
      <c r="CR353" s="503" t="str">
        <f>IF($G353="","",IF(AND($G353&gt;=30,$AT$3&lt;=CQ$7),ROUND(CQ353*($AP$3+#REF!),-1),""))</f>
        <v/>
      </c>
      <c r="CS353" s="517"/>
      <c r="CT353" s="503" t="str">
        <f>IF($G353="","",IF(AND($G353&gt;=30,$AT$3&lt;=CS$7),ROUND(CS353*($AP$3+#REF!),-1),""))</f>
        <v/>
      </c>
      <c r="CU353" s="517"/>
      <c r="CV353" s="503" t="str">
        <f>IF($G353="","",IF(AND($G353&gt;=30,$AT$3&lt;=CU$7),ROUND(CU353*($AP$3+#REF!),-1),""))</f>
        <v/>
      </c>
      <c r="CW353" s="517"/>
      <c r="CX353" s="503" t="str">
        <f>IF($G353="","",IF(AND($G353&gt;=30,$AT$3&lt;=CW$7),ROUND(CW353*($AP$3+#REF!),-1),""))</f>
        <v/>
      </c>
      <c r="CY353" s="517"/>
      <c r="CZ353" s="503" t="str">
        <f>IF($G353="","",IF(AND($G353&gt;=30,$AT$3&lt;=CY$7),ROUND(CY353*($AP$3+#REF!),-1),""))</f>
        <v/>
      </c>
      <c r="DA353" s="517"/>
      <c r="DB353" s="503" t="str">
        <f>IF($G353="","",IF(AND($G353&gt;=30,$AT$3&lt;=DA$7),ROUND(DA353*($AP$3+#REF!),-1),""))</f>
        <v/>
      </c>
      <c r="DC353" s="517"/>
      <c r="DD353" s="503" t="str">
        <f>IF($G353="","",IF(AND($G353&gt;=30,$AT$3&lt;=DC$7),ROUND(DC353*($AP$3+#REF!),-1),""))</f>
        <v/>
      </c>
      <c r="DE353" s="517"/>
      <c r="DF353" s="503" t="str">
        <f>IF($G353="","",IF(AND($G353&gt;=30,$AT$3&lt;=DE$7),ROUND(DE353*($AP$3+#REF!),-1),""))</f>
        <v/>
      </c>
      <c r="DG353" s="517"/>
      <c r="DH353" s="503" t="str">
        <f>IF($G353="","",IF(AND($G353&gt;=30,$AT$3&lt;=DG$7),ROUND(DG353*($AP$3+#REF!),-1),""))</f>
        <v/>
      </c>
      <c r="DI353" s="517"/>
      <c r="DJ353" s="503" t="str">
        <f>IF($G353="","",IF(AND($G353&gt;=30,$AT$3&lt;=DI$7),ROUND(DI353*($AP$3+#REF!),-1),""))</f>
        <v/>
      </c>
      <c r="DK353" s="517"/>
      <c r="DL353" s="503" t="str">
        <f>IF($G353="","",IF(AND($G353&gt;=30,$AT$3&lt;=DK$7),ROUND(DK353*($AP$3+#REF!),-1),""))</f>
        <v/>
      </c>
      <c r="DM353" s="517"/>
      <c r="DN353" s="503" t="str">
        <f>IF($G353="","",IF(AND($G353&gt;=30,$AT$3&lt;=DM$7),ROUND(DM353*($AP$3+#REF!),-1),""))</f>
        <v/>
      </c>
      <c r="DO353" s="517"/>
      <c r="DP353" s="503" t="str">
        <f>IF($G353="","",IF(AND($G353&gt;=30,$AT$3&lt;=DO$7),ROUND(DO353*($AP$3+#REF!),-1),""))</f>
        <v/>
      </c>
      <c r="DQ353" s="517"/>
      <c r="DR353" s="503" t="str">
        <f>IF($G353="","",IF(AND($G353&gt;=30,$AT$3&lt;=DQ$7),ROUND(DQ353*($AP$3+#REF!),-1),""))</f>
        <v/>
      </c>
      <c r="DS353" s="517"/>
      <c r="DT353" s="503" t="str">
        <f>IF($G353="","",IF(AND($G353&gt;=30,$AT$3&lt;=DS$7),ROUND(DS353*($AP$3+#REF!),-1),""))</f>
        <v/>
      </c>
      <c r="DU353" s="517"/>
      <c r="DV353" s="503" t="str">
        <f>IF($G353="","",IF(AND($G353&gt;=30,$AT$3&lt;=DU$7),ROUND(DU353*($AP$3+#REF!),-1),""))</f>
        <v/>
      </c>
      <c r="DW353" s="517"/>
      <c r="DX353" s="503" t="str">
        <f>IF($G353="","",IF(AND($G353&gt;=30,$AT$3&lt;=DW$7),ROUND(DW353*($AP$3+#REF!),-1),""))</f>
        <v/>
      </c>
      <c r="DY353" s="517"/>
      <c r="DZ353" s="503" t="str">
        <f>IF($G353="","",IF(AND($G353&gt;=30,$AT$3&lt;=DY$7),ROUND(DY353*($AP$3+#REF!),-1),""))</f>
        <v/>
      </c>
      <c r="EA353" s="517"/>
      <c r="EB353" s="503" t="str">
        <f>IF($G353="","",IF(AND($G353&gt;=30,$AT$3&lt;=EA$7),ROUND(EA353*($AP$3+#REF!),-1),""))</f>
        <v/>
      </c>
      <c r="EC353" s="504" t="s">
        <v>621</v>
      </c>
      <c r="ED353" s="1124"/>
      <c r="EE353" s="325">
        <v>9</v>
      </c>
    </row>
    <row r="354" spans="1:135" ht="9.75" customHeight="1">
      <c r="A354" s="321" t="str">
        <f t="shared" si="82"/>
        <v/>
      </c>
      <c r="B354" s="567">
        <f>(ii!$D$13*12+V354)+1</f>
        <v>248</v>
      </c>
      <c r="C354" s="337">
        <f t="shared" si="86"/>
        <v>52901</v>
      </c>
      <c r="D354" s="484">
        <f t="shared" si="89"/>
        <v>2044</v>
      </c>
      <c r="E354" s="484">
        <f t="shared" si="87"/>
        <v>0.83333333333333337</v>
      </c>
      <c r="F354" s="484">
        <f t="shared" si="90"/>
        <v>2044.8333333333333</v>
      </c>
      <c r="G354" s="485" t="str">
        <f>IF(OR(C354&lt;$I$2,C354&gt;$J$3),"",(ii!$D$13*12+V354+1)/12)</f>
        <v/>
      </c>
      <c r="H354" s="486"/>
      <c r="I354" s="486"/>
      <c r="J354" s="487"/>
      <c r="K354" s="488"/>
      <c r="L354" s="548"/>
      <c r="M354" s="489" t="str">
        <f t="shared" si="91"/>
        <v/>
      </c>
      <c r="N354" s="490" t="s">
        <v>621</v>
      </c>
      <c r="O354" s="490" t="str">
        <f t="shared" si="84"/>
        <v/>
      </c>
      <c r="P354" s="491"/>
      <c r="Q354" s="491"/>
      <c r="R354" s="491" t="str">
        <f t="shared" si="85"/>
        <v/>
      </c>
      <c r="S354" s="528" t="str">
        <f t="shared" si="83"/>
        <v/>
      </c>
      <c r="T354" s="528" t="str">
        <f t="shared" si="81"/>
        <v/>
      </c>
      <c r="U354" s="493" t="str">
        <f>IF(H354="","",#REF!*12+#REF!+#REF!*12+#REF!)</f>
        <v/>
      </c>
      <c r="V354" s="338">
        <f>IF(ii!$J$3&gt;gg!C354,"",IF(AND((YEAR(C354)=YEAR($I$2)),MONTH(C354)=MONTH($I$2)),ii!$B$14*12+ii!$C$14+ii!$B$15*12+ii!$C$15-1,V353+1))</f>
        <v>247</v>
      </c>
      <c r="W354" s="339">
        <f t="shared" si="88"/>
        <v>20.583333333333332</v>
      </c>
      <c r="X354" s="494" t="s">
        <v>621</v>
      </c>
      <c r="Y354" s="495" t="s">
        <v>621</v>
      </c>
      <c r="Z354" s="496"/>
      <c r="AA354" s="497"/>
      <c r="AB354" s="498" t="e">
        <f t="shared" si="94"/>
        <v>#VALUE!</v>
      </c>
      <c r="AC354" s="484" t="str">
        <f t="shared" si="92"/>
        <v/>
      </c>
      <c r="AD354" s="495" t="str">
        <f t="shared" si="93"/>
        <v/>
      </c>
      <c r="AE354" s="499" t="s">
        <v>621</v>
      </c>
      <c r="AF354" s="500" t="s">
        <v>621</v>
      </c>
      <c r="AG354" s="556" t="s">
        <v>621</v>
      </c>
      <c r="AH354" s="503" t="str">
        <f>IF($G354="","",IF(AND($G354&gt;=30,$AT$3&lt;=AG$7),ROUND(AG354*($AP$3+#REF!),-1),""))</f>
        <v/>
      </c>
      <c r="AI354" s="506" t="s">
        <v>621</v>
      </c>
      <c r="AJ354" s="503" t="str">
        <f>IF($G354="","",IF(AND($G354&gt;=30,$AT$3&lt;=AI$7),ROUND(AI354*($AP$3+#REF!),-1),""))</f>
        <v/>
      </c>
      <c r="AK354" s="506" t="s">
        <v>621</v>
      </c>
      <c r="AL354" s="503" t="str">
        <f>IF($G354="","",IF(AND($G354&gt;=30,$AT$3&lt;=AK$7),ROUND(AK354*($AP$3+#REF!),-1),""))</f>
        <v/>
      </c>
      <c r="AM354" s="506" t="s">
        <v>621</v>
      </c>
      <c r="AN354" s="503" t="str">
        <f>IF($G354="","",IF(AND($G354&gt;=30,$AT$3&lt;=AM$7),ROUND(AM354*($AP$3+#REF!),-1),""))</f>
        <v/>
      </c>
      <c r="AO354" s="503" t="e">
        <v>#REF!</v>
      </c>
      <c r="AP354" s="503" t="str">
        <f>IF($G354="","",IF(AND($G354&gt;=30,$AT$3&lt;=AO$7),ROUND(AO354*($AP$3+#REF!),-1),""))</f>
        <v/>
      </c>
      <c r="AQ354" s="503" t="s">
        <v>621</v>
      </c>
      <c r="AR354" s="503" t="str">
        <f>IF($G354="","",IF(AND($G354&gt;=30,$AT$3&lt;=AQ$7),ROUND(AQ354*($AP$3+#REF!),-1),""))</f>
        <v/>
      </c>
      <c r="AS354" s="503" t="s">
        <v>621</v>
      </c>
      <c r="AT354" s="503" t="str">
        <f>IF($G354="","",IF(AND($G354&gt;=30,$AT$3&lt;=AS$7),ROUND(AS354*($AP$3+#REF!),-1),""))</f>
        <v/>
      </c>
      <c r="AU354" s="503" t="s">
        <v>621</v>
      </c>
      <c r="AV354" s="503" t="str">
        <f>IF($G354="","",IF(AND($G354&gt;=30,$AT$3&lt;=AU$7),ROUND(AU354*($AP$3+#REF!),-1),""))</f>
        <v/>
      </c>
      <c r="AW354" s="503" t="s">
        <v>621</v>
      </c>
      <c r="AX354" s="503" t="str">
        <f>IF($G354="","",IF(AND($G354&gt;=30,$AT$3&lt;=AW$7),ROUND(AW354*($AP$3+#REF!),-1),""))</f>
        <v/>
      </c>
      <c r="AY354" s="503" t="s">
        <v>621</v>
      </c>
      <c r="AZ354" s="503" t="str">
        <f>IF($G354="","",IF(AND($G354&gt;=30,$AT$3&lt;=AY$7),ROUND(AY354*($AP$3+#REF!),-1),""))</f>
        <v/>
      </c>
      <c r="BA354" s="503" t="s">
        <v>621</v>
      </c>
      <c r="BB354" s="503" t="str">
        <f>IF($G354="","",IF(AND($G354&gt;=30,$AT$3&lt;=BA$7),ROUND(BA354*($AP$3+#REF!),-1),""))</f>
        <v/>
      </c>
      <c r="BC354" s="503" t="s">
        <v>621</v>
      </c>
      <c r="BD354" s="503" t="str">
        <f>IF($G354="","",IF(AND($G354&gt;=30,$AT$3&lt;=BC$7),ROUND(BC354*($AP$3+#REF!),-1),""))</f>
        <v/>
      </c>
      <c r="BE354" s="503" t="s">
        <v>621</v>
      </c>
      <c r="BF354" s="503" t="str">
        <f>IF($G354="","",IF(AND($G354&gt;=30,$AT$3&lt;=BE$7),ROUND(BE354*($AP$3+#REF!),-1),""))</f>
        <v/>
      </c>
      <c r="BG354" s="503" t="s">
        <v>621</v>
      </c>
      <c r="BH354" s="503" t="str">
        <f>IF($G354="","",IF(AND($G354&gt;=30,$AT$3&lt;=BG$7),ROUND(BG354*($AP$3+#REF!),-1),""))</f>
        <v/>
      </c>
      <c r="BI354" s="503" t="s">
        <v>621</v>
      </c>
      <c r="BJ354" s="503" t="str">
        <f>IF($G354="","",IF(AND($G354&gt;=30,$AT$3&lt;=BI$7),ROUND(BI354*($AP$3+#REF!),-1),""))</f>
        <v/>
      </c>
      <c r="BK354" s="503" t="s">
        <v>621</v>
      </c>
      <c r="BL354" s="503" t="str">
        <f>IF($G354="","",IF(AND($G354&gt;=30,$AT$3&lt;=BK$7),ROUND(BK354*($AP$3+#REF!),-1),""))</f>
        <v/>
      </c>
      <c r="BM354" s="503" t="s">
        <v>621</v>
      </c>
      <c r="BN354" s="503" t="str">
        <f>IF($G354="","",IF(AND($G354&gt;=30,$AT$3&lt;=BM$7),ROUND(BM354*($AP$3+#REF!),-1),""))</f>
        <v/>
      </c>
      <c r="BO354" s="503" t="s">
        <v>621</v>
      </c>
      <c r="BP354" s="503" t="str">
        <f>IF($G354="","",IF(AND($G354&gt;=30,$AT$3&lt;=BO$7),ROUND(BO354*($AP$3+#REF!),-1),""))</f>
        <v/>
      </c>
      <c r="BQ354" s="503" t="s">
        <v>621</v>
      </c>
      <c r="BR354" s="503" t="str">
        <f>IF($G354="","",IF(AND($G354&gt;=30,$AT$3&lt;=BQ$7),ROUND(BQ354*($AP$3+#REF!),-1),""))</f>
        <v/>
      </c>
      <c r="BS354" s="503" t="s">
        <v>621</v>
      </c>
      <c r="BT354" s="503" t="str">
        <f>IF($G354="","",IF(AND($G354&gt;=30,$AT$3&lt;=BS$7),ROUND(BS354*($AP$3+#REF!),-1),""))</f>
        <v/>
      </c>
      <c r="BU354" s="503" t="s">
        <v>621</v>
      </c>
      <c r="BV354" s="503" t="str">
        <f>IF($G354="","",IF(AND($G354&gt;=30,$AT$3&lt;=BU$7),ROUND(BU354*($AP$3+#REF!),-1),""))</f>
        <v/>
      </c>
      <c r="BW354" s="503" t="s">
        <v>621</v>
      </c>
      <c r="BX354" s="503" t="str">
        <f>IF($G354="","",IF(AND($G354&gt;=30,$AT$3&lt;=BW$7),ROUND(BW354*($AP$3+#REF!),-1),""))</f>
        <v/>
      </c>
      <c r="BY354" s="503" t="s">
        <v>621</v>
      </c>
      <c r="BZ354" s="503" t="str">
        <f>IF($G354="","",IF(AND($G354&gt;=30,$AT$3&lt;=BY$7),ROUND(BY354*($AP$3+#REF!),-1),""))</f>
        <v/>
      </c>
      <c r="CA354" s="503" t="s">
        <v>621</v>
      </c>
      <c r="CB354" s="503" t="str">
        <f>IF($G354="","",IF(AND($G354&gt;=30,$AT$3&lt;=CA$7),ROUND(CA354*($AP$3+#REF!),-1),""))</f>
        <v/>
      </c>
      <c r="CC354" s="503" t="s">
        <v>621</v>
      </c>
      <c r="CD354" s="503" t="str">
        <f>IF($G354="","",IF(AND($G354&gt;=30,$AT$3&lt;=CC$7),ROUND(CC354*($AP$3+#REF!),-1),""))</f>
        <v/>
      </c>
      <c r="CE354" s="503" t="s">
        <v>621</v>
      </c>
      <c r="CF354" s="503" t="str">
        <f>IF($G354="","",IF(AND($G354&gt;=30,$AT$3&lt;=CE$7),ROUND(CE354*($AP$3+#REF!),-1),""))</f>
        <v/>
      </c>
      <c r="CG354" s="503" t="s">
        <v>621</v>
      </c>
      <c r="CH354" s="503" t="str">
        <f>IF($G354="","",IF(AND($G354&gt;=30,$AT$3&lt;=CG$7),ROUND(CG354*($AP$3+#REF!),-1),""))</f>
        <v/>
      </c>
      <c r="CI354" s="503" t="s">
        <v>621</v>
      </c>
      <c r="CJ354" s="503" t="str">
        <f>IF($G354="","",IF(AND($G354&gt;=30,$AT$3&lt;=CI$7),ROUND(CI354*($AP$3+#REF!),-1),""))</f>
        <v/>
      </c>
      <c r="CK354" s="517" t="e">
        <v>#REF!</v>
      </c>
      <c r="CL354" s="503" t="str">
        <f>IF($G354="","",IF(AND($G354&gt;=30,$AT$3&lt;=CK$7),ROUND(CK354*($AP$3+#REF!),-1),""))</f>
        <v/>
      </c>
      <c r="CM354" s="517"/>
      <c r="CN354" s="503" t="str">
        <f>IF($G354="","",IF(AND($G354&gt;=30,$AT$3&lt;=CM$7),ROUND(CM354*($AP$3+#REF!),-1),""))</f>
        <v/>
      </c>
      <c r="CO354" s="517"/>
      <c r="CP354" s="503" t="str">
        <f>IF($G354="","",IF(AND($G354&gt;=30,$AT$3&lt;=CO$7),ROUND(CO354*($AP$3+#REF!),-1),""))</f>
        <v/>
      </c>
      <c r="CQ354" s="517"/>
      <c r="CR354" s="503" t="str">
        <f>IF($G354="","",IF(AND($G354&gt;=30,$AT$3&lt;=CQ$7),ROUND(CQ354*($AP$3+#REF!),-1),""))</f>
        <v/>
      </c>
      <c r="CS354" s="517"/>
      <c r="CT354" s="503" t="str">
        <f>IF($G354="","",IF(AND($G354&gt;=30,$AT$3&lt;=CS$7),ROUND(CS354*($AP$3+#REF!),-1),""))</f>
        <v/>
      </c>
      <c r="CU354" s="517"/>
      <c r="CV354" s="503" t="str">
        <f>IF($G354="","",IF(AND($G354&gt;=30,$AT$3&lt;=CU$7),ROUND(CU354*($AP$3+#REF!),-1),""))</f>
        <v/>
      </c>
      <c r="CW354" s="517"/>
      <c r="CX354" s="503" t="str">
        <f>IF($G354="","",IF(AND($G354&gt;=30,$AT$3&lt;=CW$7),ROUND(CW354*($AP$3+#REF!),-1),""))</f>
        <v/>
      </c>
      <c r="CY354" s="517"/>
      <c r="CZ354" s="503" t="str">
        <f>IF($G354="","",IF(AND($G354&gt;=30,$AT$3&lt;=CY$7),ROUND(CY354*($AP$3+#REF!),-1),""))</f>
        <v/>
      </c>
      <c r="DA354" s="517"/>
      <c r="DB354" s="503" t="str">
        <f>IF($G354="","",IF(AND($G354&gt;=30,$AT$3&lt;=DA$7),ROUND(DA354*($AP$3+#REF!),-1),""))</f>
        <v/>
      </c>
      <c r="DC354" s="517"/>
      <c r="DD354" s="503" t="str">
        <f>IF($G354="","",IF(AND($G354&gt;=30,$AT$3&lt;=DC$7),ROUND(DC354*($AP$3+#REF!),-1),""))</f>
        <v/>
      </c>
      <c r="DE354" s="517"/>
      <c r="DF354" s="503" t="str">
        <f>IF($G354="","",IF(AND($G354&gt;=30,$AT$3&lt;=DE$7),ROUND(DE354*($AP$3+#REF!),-1),""))</f>
        <v/>
      </c>
      <c r="DG354" s="517"/>
      <c r="DH354" s="503" t="str">
        <f>IF($G354="","",IF(AND($G354&gt;=30,$AT$3&lt;=DG$7),ROUND(DG354*($AP$3+#REF!),-1),""))</f>
        <v/>
      </c>
      <c r="DI354" s="517"/>
      <c r="DJ354" s="503" t="str">
        <f>IF($G354="","",IF(AND($G354&gt;=30,$AT$3&lt;=DI$7),ROUND(DI354*($AP$3+#REF!),-1),""))</f>
        <v/>
      </c>
      <c r="DK354" s="517"/>
      <c r="DL354" s="503" t="str">
        <f>IF($G354="","",IF(AND($G354&gt;=30,$AT$3&lt;=DK$7),ROUND(DK354*($AP$3+#REF!),-1),""))</f>
        <v/>
      </c>
      <c r="DM354" s="517"/>
      <c r="DN354" s="503" t="str">
        <f>IF($G354="","",IF(AND($G354&gt;=30,$AT$3&lt;=DM$7),ROUND(DM354*($AP$3+#REF!),-1),""))</f>
        <v/>
      </c>
      <c r="DO354" s="517"/>
      <c r="DP354" s="503" t="str">
        <f>IF($G354="","",IF(AND($G354&gt;=30,$AT$3&lt;=DO$7),ROUND(DO354*($AP$3+#REF!),-1),""))</f>
        <v/>
      </c>
      <c r="DQ354" s="517"/>
      <c r="DR354" s="503" t="str">
        <f>IF($G354="","",IF(AND($G354&gt;=30,$AT$3&lt;=DQ$7),ROUND(DQ354*($AP$3+#REF!),-1),""))</f>
        <v/>
      </c>
      <c r="DS354" s="517"/>
      <c r="DT354" s="503" t="str">
        <f>IF($G354="","",IF(AND($G354&gt;=30,$AT$3&lt;=DS$7),ROUND(DS354*($AP$3+#REF!),-1),""))</f>
        <v/>
      </c>
      <c r="DU354" s="517"/>
      <c r="DV354" s="503" t="str">
        <f>IF($G354="","",IF(AND($G354&gt;=30,$AT$3&lt;=DU$7),ROUND(DU354*($AP$3+#REF!),-1),""))</f>
        <v/>
      </c>
      <c r="DW354" s="517"/>
      <c r="DX354" s="503" t="str">
        <f>IF($G354="","",IF(AND($G354&gt;=30,$AT$3&lt;=DW$7),ROUND(DW354*($AP$3+#REF!),-1),""))</f>
        <v/>
      </c>
      <c r="DY354" s="517"/>
      <c r="DZ354" s="503" t="str">
        <f>IF($G354="","",IF(AND($G354&gt;=30,$AT$3&lt;=DY$7),ROUND(DY354*($AP$3+#REF!),-1),""))</f>
        <v/>
      </c>
      <c r="EA354" s="517"/>
      <c r="EB354" s="503" t="str">
        <f>IF($G354="","",IF(AND($G354&gt;=30,$AT$3&lt;=EA$7),ROUND(EA354*($AP$3+#REF!),-1),""))</f>
        <v/>
      </c>
      <c r="EC354" s="504" t="s">
        <v>621</v>
      </c>
      <c r="ED354" s="1124"/>
      <c r="EE354" s="325">
        <v>10</v>
      </c>
    </row>
    <row r="355" spans="1:135" ht="9.75" customHeight="1">
      <c r="A355" s="321" t="str">
        <f t="shared" si="82"/>
        <v/>
      </c>
      <c r="B355" s="567">
        <f>(ii!$D$13*12+V355)+1</f>
        <v>249</v>
      </c>
      <c r="C355" s="337">
        <f t="shared" si="86"/>
        <v>52931</v>
      </c>
      <c r="D355" s="484">
        <f t="shared" si="89"/>
        <v>2044</v>
      </c>
      <c r="E355" s="484">
        <f t="shared" si="87"/>
        <v>0.91666666666666663</v>
      </c>
      <c r="F355" s="484">
        <f t="shared" si="90"/>
        <v>2044.9166666666667</v>
      </c>
      <c r="G355" s="485" t="str">
        <f>IF(OR(C355&lt;$I$2,C355&gt;$J$3),"",(ii!$D$13*12+V355+1)/12)</f>
        <v/>
      </c>
      <c r="H355" s="486"/>
      <c r="I355" s="486"/>
      <c r="J355" s="487"/>
      <c r="K355" s="488"/>
      <c r="L355" s="548"/>
      <c r="M355" s="489" t="str">
        <f t="shared" si="91"/>
        <v/>
      </c>
      <c r="N355" s="490" t="s">
        <v>621</v>
      </c>
      <c r="O355" s="490" t="str">
        <f t="shared" si="84"/>
        <v/>
      </c>
      <c r="P355" s="491"/>
      <c r="Q355" s="491"/>
      <c r="R355" s="491" t="str">
        <f t="shared" si="85"/>
        <v/>
      </c>
      <c r="S355" s="528" t="str">
        <f t="shared" si="83"/>
        <v/>
      </c>
      <c r="T355" s="528" t="str">
        <f t="shared" si="81"/>
        <v/>
      </c>
      <c r="U355" s="493" t="str">
        <f>IF(H355="","",#REF!*12+#REF!+#REF!*12+#REF!)</f>
        <v/>
      </c>
      <c r="V355" s="338">
        <f>IF(ii!$J$3&gt;gg!C355,"",IF(AND((YEAR(C355)=YEAR($I$2)),MONTH(C355)=MONTH($I$2)),ii!$B$14*12+ii!$C$14+ii!$B$15*12+ii!$C$15-1,V354+1))</f>
        <v>248</v>
      </c>
      <c r="W355" s="339">
        <f t="shared" si="88"/>
        <v>20.666666666666668</v>
      </c>
      <c r="X355" s="494" t="s">
        <v>621</v>
      </c>
      <c r="Y355" s="495" t="s">
        <v>621</v>
      </c>
      <c r="Z355" s="496"/>
      <c r="AA355" s="497"/>
      <c r="AB355" s="498" t="e">
        <f t="shared" si="94"/>
        <v>#VALUE!</v>
      </c>
      <c r="AC355" s="484" t="str">
        <f t="shared" si="92"/>
        <v/>
      </c>
      <c r="AD355" s="495" t="str">
        <f t="shared" si="93"/>
        <v/>
      </c>
      <c r="AE355" s="499" t="s">
        <v>621</v>
      </c>
      <c r="AF355" s="500" t="s">
        <v>621</v>
      </c>
      <c r="AG355" s="556" t="s">
        <v>621</v>
      </c>
      <c r="AH355" s="503" t="str">
        <f>IF($G355="","",IF(AND($G355&gt;=30,$AT$3&lt;=AG$7),ROUND(AG355*($AP$3+#REF!),-1),""))</f>
        <v/>
      </c>
      <c r="AI355" s="506" t="s">
        <v>621</v>
      </c>
      <c r="AJ355" s="503" t="str">
        <f>IF($G355="","",IF(AND($G355&gt;=30,$AT$3&lt;=AI$7),ROUND(AI355*($AP$3+#REF!),-1),""))</f>
        <v/>
      </c>
      <c r="AK355" s="506" t="s">
        <v>621</v>
      </c>
      <c r="AL355" s="503" t="str">
        <f>IF($G355="","",IF(AND($G355&gt;=30,$AT$3&lt;=AK$7),ROUND(AK355*($AP$3+#REF!),-1),""))</f>
        <v/>
      </c>
      <c r="AM355" s="506" t="s">
        <v>621</v>
      </c>
      <c r="AN355" s="503" t="str">
        <f>IF($G355="","",IF(AND($G355&gt;=30,$AT$3&lt;=AM$7),ROUND(AM355*($AP$3+#REF!),-1),""))</f>
        <v/>
      </c>
      <c r="AO355" s="503" t="e">
        <v>#REF!</v>
      </c>
      <c r="AP355" s="503" t="str">
        <f>IF($G355="","",IF(AND($G355&gt;=30,$AT$3&lt;=AO$7),ROUND(AO355*($AP$3+#REF!),-1),""))</f>
        <v/>
      </c>
      <c r="AQ355" s="503" t="s">
        <v>621</v>
      </c>
      <c r="AR355" s="503" t="str">
        <f>IF($G355="","",IF(AND($G355&gt;=30,$AT$3&lt;=AQ$7),ROUND(AQ355*($AP$3+#REF!),-1),""))</f>
        <v/>
      </c>
      <c r="AS355" s="503" t="s">
        <v>621</v>
      </c>
      <c r="AT355" s="503" t="str">
        <f>IF($G355="","",IF(AND($G355&gt;=30,$AT$3&lt;=AS$7),ROUND(AS355*($AP$3+#REF!),-1),""))</f>
        <v/>
      </c>
      <c r="AU355" s="503" t="s">
        <v>621</v>
      </c>
      <c r="AV355" s="503" t="str">
        <f>IF($G355="","",IF(AND($G355&gt;=30,$AT$3&lt;=AU$7),ROUND(AU355*($AP$3+#REF!),-1),""))</f>
        <v/>
      </c>
      <c r="AW355" s="503" t="s">
        <v>621</v>
      </c>
      <c r="AX355" s="503" t="str">
        <f>IF($G355="","",IF(AND($G355&gt;=30,$AT$3&lt;=AW$7),ROUND(AW355*($AP$3+#REF!),-1),""))</f>
        <v/>
      </c>
      <c r="AY355" s="503" t="s">
        <v>621</v>
      </c>
      <c r="AZ355" s="503" t="str">
        <f>IF($G355="","",IF(AND($G355&gt;=30,$AT$3&lt;=AY$7),ROUND(AY355*($AP$3+#REF!),-1),""))</f>
        <v/>
      </c>
      <c r="BA355" s="503" t="s">
        <v>621</v>
      </c>
      <c r="BB355" s="503" t="str">
        <f>IF($G355="","",IF(AND($G355&gt;=30,$AT$3&lt;=BA$7),ROUND(BA355*($AP$3+#REF!),-1),""))</f>
        <v/>
      </c>
      <c r="BC355" s="503" t="s">
        <v>621</v>
      </c>
      <c r="BD355" s="503" t="str">
        <f>IF($G355="","",IF(AND($G355&gt;=30,$AT$3&lt;=BC$7),ROUND(BC355*($AP$3+#REF!),-1),""))</f>
        <v/>
      </c>
      <c r="BE355" s="503" t="s">
        <v>621</v>
      </c>
      <c r="BF355" s="503" t="str">
        <f>IF($G355="","",IF(AND($G355&gt;=30,$AT$3&lt;=BE$7),ROUND(BE355*($AP$3+#REF!),-1),""))</f>
        <v/>
      </c>
      <c r="BG355" s="503" t="s">
        <v>621</v>
      </c>
      <c r="BH355" s="503" t="str">
        <f>IF($G355="","",IF(AND($G355&gt;=30,$AT$3&lt;=BG$7),ROUND(BG355*($AP$3+#REF!),-1),""))</f>
        <v/>
      </c>
      <c r="BI355" s="503" t="s">
        <v>621</v>
      </c>
      <c r="BJ355" s="503" t="str">
        <f>IF($G355="","",IF(AND($G355&gt;=30,$AT$3&lt;=BI$7),ROUND(BI355*($AP$3+#REF!),-1),""))</f>
        <v/>
      </c>
      <c r="BK355" s="503" t="s">
        <v>621</v>
      </c>
      <c r="BL355" s="503" t="str">
        <f>IF($G355="","",IF(AND($G355&gt;=30,$AT$3&lt;=BK$7),ROUND(BK355*($AP$3+#REF!),-1),""))</f>
        <v/>
      </c>
      <c r="BM355" s="503" t="s">
        <v>621</v>
      </c>
      <c r="BN355" s="503" t="str">
        <f>IF($G355="","",IF(AND($G355&gt;=30,$AT$3&lt;=BM$7),ROUND(BM355*($AP$3+#REF!),-1),""))</f>
        <v/>
      </c>
      <c r="BO355" s="503" t="s">
        <v>621</v>
      </c>
      <c r="BP355" s="503" t="str">
        <f>IF($G355="","",IF(AND($G355&gt;=30,$AT$3&lt;=BO$7),ROUND(BO355*($AP$3+#REF!),-1),""))</f>
        <v/>
      </c>
      <c r="BQ355" s="503" t="s">
        <v>621</v>
      </c>
      <c r="BR355" s="503" t="str">
        <f>IF($G355="","",IF(AND($G355&gt;=30,$AT$3&lt;=BQ$7),ROUND(BQ355*($AP$3+#REF!),-1),""))</f>
        <v/>
      </c>
      <c r="BS355" s="503" t="s">
        <v>621</v>
      </c>
      <c r="BT355" s="503" t="str">
        <f>IF($G355="","",IF(AND($G355&gt;=30,$AT$3&lt;=BS$7),ROUND(BS355*($AP$3+#REF!),-1),""))</f>
        <v/>
      </c>
      <c r="BU355" s="503" t="s">
        <v>621</v>
      </c>
      <c r="BV355" s="503" t="str">
        <f>IF($G355="","",IF(AND($G355&gt;=30,$AT$3&lt;=BU$7),ROUND(BU355*($AP$3+#REF!),-1),""))</f>
        <v/>
      </c>
      <c r="BW355" s="503" t="s">
        <v>621</v>
      </c>
      <c r="BX355" s="503" t="str">
        <f>IF($G355="","",IF(AND($G355&gt;=30,$AT$3&lt;=BW$7),ROUND(BW355*($AP$3+#REF!),-1),""))</f>
        <v/>
      </c>
      <c r="BY355" s="503" t="s">
        <v>621</v>
      </c>
      <c r="BZ355" s="503" t="str">
        <f>IF($G355="","",IF(AND($G355&gt;=30,$AT$3&lt;=BY$7),ROUND(BY355*($AP$3+#REF!),-1),""))</f>
        <v/>
      </c>
      <c r="CA355" s="503" t="s">
        <v>621</v>
      </c>
      <c r="CB355" s="503" t="str">
        <f>IF($G355="","",IF(AND($G355&gt;=30,$AT$3&lt;=CA$7),ROUND(CA355*($AP$3+#REF!),-1),""))</f>
        <v/>
      </c>
      <c r="CC355" s="503" t="s">
        <v>621</v>
      </c>
      <c r="CD355" s="503" t="str">
        <f>IF($G355="","",IF(AND($G355&gt;=30,$AT$3&lt;=CC$7),ROUND(CC355*($AP$3+#REF!),-1),""))</f>
        <v/>
      </c>
      <c r="CE355" s="503" t="s">
        <v>621</v>
      </c>
      <c r="CF355" s="503" t="str">
        <f>IF($G355="","",IF(AND($G355&gt;=30,$AT$3&lt;=CE$7),ROUND(CE355*($AP$3+#REF!),-1),""))</f>
        <v/>
      </c>
      <c r="CG355" s="503" t="s">
        <v>621</v>
      </c>
      <c r="CH355" s="503" t="str">
        <f>IF($G355="","",IF(AND($G355&gt;=30,$AT$3&lt;=CG$7),ROUND(CG355*($AP$3+#REF!),-1),""))</f>
        <v/>
      </c>
      <c r="CI355" s="503" t="s">
        <v>621</v>
      </c>
      <c r="CJ355" s="503" t="str">
        <f>IF($G355="","",IF(AND($G355&gt;=30,$AT$3&lt;=CI$7),ROUND(CI355*($AP$3+#REF!),-1),""))</f>
        <v/>
      </c>
      <c r="CK355" s="517" t="e">
        <v>#REF!</v>
      </c>
      <c r="CL355" s="503" t="str">
        <f>IF($G355="","",IF(AND($G355&gt;=30,$AT$3&lt;=CK$7),ROUND(CK355*($AP$3+#REF!),-1),""))</f>
        <v/>
      </c>
      <c r="CM355" s="517"/>
      <c r="CN355" s="503" t="str">
        <f>IF($G355="","",IF(AND($G355&gt;=30,$AT$3&lt;=CM$7),ROUND(CM355*($AP$3+#REF!),-1),""))</f>
        <v/>
      </c>
      <c r="CO355" s="517"/>
      <c r="CP355" s="503" t="str">
        <f>IF($G355="","",IF(AND($G355&gt;=30,$AT$3&lt;=CO$7),ROUND(CO355*($AP$3+#REF!),-1),""))</f>
        <v/>
      </c>
      <c r="CQ355" s="517"/>
      <c r="CR355" s="503" t="str">
        <f>IF($G355="","",IF(AND($G355&gt;=30,$AT$3&lt;=CQ$7),ROUND(CQ355*($AP$3+#REF!),-1),""))</f>
        <v/>
      </c>
      <c r="CS355" s="517"/>
      <c r="CT355" s="503" t="str">
        <f>IF($G355="","",IF(AND($G355&gt;=30,$AT$3&lt;=CS$7),ROUND(CS355*($AP$3+#REF!),-1),""))</f>
        <v/>
      </c>
      <c r="CU355" s="517"/>
      <c r="CV355" s="503" t="str">
        <f>IF($G355="","",IF(AND($G355&gt;=30,$AT$3&lt;=CU$7),ROUND(CU355*($AP$3+#REF!),-1),""))</f>
        <v/>
      </c>
      <c r="CW355" s="517"/>
      <c r="CX355" s="503" t="str">
        <f>IF($G355="","",IF(AND($G355&gt;=30,$AT$3&lt;=CW$7),ROUND(CW355*($AP$3+#REF!),-1),""))</f>
        <v/>
      </c>
      <c r="CY355" s="517"/>
      <c r="CZ355" s="503" t="str">
        <f>IF($G355="","",IF(AND($G355&gt;=30,$AT$3&lt;=CY$7),ROUND(CY355*($AP$3+#REF!),-1),""))</f>
        <v/>
      </c>
      <c r="DA355" s="517"/>
      <c r="DB355" s="503" t="str">
        <f>IF($G355="","",IF(AND($G355&gt;=30,$AT$3&lt;=DA$7),ROUND(DA355*($AP$3+#REF!),-1),""))</f>
        <v/>
      </c>
      <c r="DC355" s="517"/>
      <c r="DD355" s="503" t="str">
        <f>IF($G355="","",IF(AND($G355&gt;=30,$AT$3&lt;=DC$7),ROUND(DC355*($AP$3+#REF!),-1),""))</f>
        <v/>
      </c>
      <c r="DE355" s="517"/>
      <c r="DF355" s="503" t="str">
        <f>IF($G355="","",IF(AND($G355&gt;=30,$AT$3&lt;=DE$7),ROUND(DE355*($AP$3+#REF!),-1),""))</f>
        <v/>
      </c>
      <c r="DG355" s="517"/>
      <c r="DH355" s="503" t="str">
        <f>IF($G355="","",IF(AND($G355&gt;=30,$AT$3&lt;=DG$7),ROUND(DG355*($AP$3+#REF!),-1),""))</f>
        <v/>
      </c>
      <c r="DI355" s="517"/>
      <c r="DJ355" s="503" t="str">
        <f>IF($G355="","",IF(AND($G355&gt;=30,$AT$3&lt;=DI$7),ROUND(DI355*($AP$3+#REF!),-1),""))</f>
        <v/>
      </c>
      <c r="DK355" s="517"/>
      <c r="DL355" s="503" t="str">
        <f>IF($G355="","",IF(AND($G355&gt;=30,$AT$3&lt;=DK$7),ROUND(DK355*($AP$3+#REF!),-1),""))</f>
        <v/>
      </c>
      <c r="DM355" s="517"/>
      <c r="DN355" s="503" t="str">
        <f>IF($G355="","",IF(AND($G355&gt;=30,$AT$3&lt;=DM$7),ROUND(DM355*($AP$3+#REF!),-1),""))</f>
        <v/>
      </c>
      <c r="DO355" s="517"/>
      <c r="DP355" s="503" t="str">
        <f>IF($G355="","",IF(AND($G355&gt;=30,$AT$3&lt;=DO$7),ROUND(DO355*($AP$3+#REF!),-1),""))</f>
        <v/>
      </c>
      <c r="DQ355" s="517"/>
      <c r="DR355" s="503" t="str">
        <f>IF($G355="","",IF(AND($G355&gt;=30,$AT$3&lt;=DQ$7),ROUND(DQ355*($AP$3+#REF!),-1),""))</f>
        <v/>
      </c>
      <c r="DS355" s="517"/>
      <c r="DT355" s="503" t="str">
        <f>IF($G355="","",IF(AND($G355&gt;=30,$AT$3&lt;=DS$7),ROUND(DS355*($AP$3+#REF!),-1),""))</f>
        <v/>
      </c>
      <c r="DU355" s="517"/>
      <c r="DV355" s="503" t="str">
        <f>IF($G355="","",IF(AND($G355&gt;=30,$AT$3&lt;=DU$7),ROUND(DU355*($AP$3+#REF!),-1),""))</f>
        <v/>
      </c>
      <c r="DW355" s="517"/>
      <c r="DX355" s="503" t="str">
        <f>IF($G355="","",IF(AND($G355&gt;=30,$AT$3&lt;=DW$7),ROUND(DW355*($AP$3+#REF!),-1),""))</f>
        <v/>
      </c>
      <c r="DY355" s="517"/>
      <c r="DZ355" s="503" t="str">
        <f>IF($G355="","",IF(AND($G355&gt;=30,$AT$3&lt;=DY$7),ROUND(DY355*($AP$3+#REF!),-1),""))</f>
        <v/>
      </c>
      <c r="EA355" s="517"/>
      <c r="EB355" s="503" t="str">
        <f>IF($G355="","",IF(AND($G355&gt;=30,$AT$3&lt;=EA$7),ROUND(EA355*($AP$3+#REF!),-1),""))</f>
        <v/>
      </c>
      <c r="EC355" s="504" t="s">
        <v>621</v>
      </c>
      <c r="ED355" s="1124"/>
      <c r="EE355" s="325">
        <v>11</v>
      </c>
    </row>
    <row r="356" spans="1:135" ht="9.75" customHeight="1">
      <c r="A356" s="321" t="str">
        <f t="shared" si="82"/>
        <v/>
      </c>
      <c r="B356" s="567">
        <f>(ii!$D$13*12+V356)+1</f>
        <v>250</v>
      </c>
      <c r="C356" s="337">
        <f t="shared" si="86"/>
        <v>52962</v>
      </c>
      <c r="D356" s="484">
        <f t="shared" si="89"/>
        <v>2044</v>
      </c>
      <c r="E356" s="484">
        <f t="shared" si="87"/>
        <v>1</v>
      </c>
      <c r="F356" s="484">
        <f t="shared" si="90"/>
        <v>2045</v>
      </c>
      <c r="G356" s="485" t="str">
        <f>IF(OR(C356&lt;$I$2,C356&gt;$J$3),"",(ii!$D$13*12+V356+1)/12)</f>
        <v/>
      </c>
      <c r="H356" s="486"/>
      <c r="I356" s="486"/>
      <c r="J356" s="487"/>
      <c r="K356" s="488"/>
      <c r="L356" s="548"/>
      <c r="M356" s="489" t="str">
        <f t="shared" si="91"/>
        <v/>
      </c>
      <c r="N356" s="490" t="s">
        <v>621</v>
      </c>
      <c r="O356" s="490" t="str">
        <f t="shared" si="84"/>
        <v/>
      </c>
      <c r="P356" s="491"/>
      <c r="Q356" s="491"/>
      <c r="R356" s="491" t="str">
        <f t="shared" si="85"/>
        <v/>
      </c>
      <c r="S356" s="528" t="str">
        <f t="shared" si="83"/>
        <v/>
      </c>
      <c r="T356" s="528" t="str">
        <f t="shared" si="81"/>
        <v/>
      </c>
      <c r="U356" s="493" t="str">
        <f>IF(H356="","",#REF!*12+#REF!+#REF!*12+#REF!)</f>
        <v/>
      </c>
      <c r="V356" s="338">
        <f>IF(ii!$J$3&gt;gg!C356,"",IF(AND((YEAR(C356)=YEAR($I$2)),MONTH(C356)=MONTH($I$2)),ii!$B$14*12+ii!$C$14+ii!$B$15*12+ii!$C$15-1,V355+1))</f>
        <v>249</v>
      </c>
      <c r="W356" s="339">
        <f t="shared" si="88"/>
        <v>20.75</v>
      </c>
      <c r="X356" s="494" t="s">
        <v>621</v>
      </c>
      <c r="Y356" s="495" t="s">
        <v>621</v>
      </c>
      <c r="Z356" s="496"/>
      <c r="AA356" s="497"/>
      <c r="AB356" s="498" t="e">
        <f t="shared" si="94"/>
        <v>#VALUE!</v>
      </c>
      <c r="AC356" s="484" t="str">
        <f t="shared" si="92"/>
        <v/>
      </c>
      <c r="AD356" s="495" t="str">
        <f t="shared" si="93"/>
        <v/>
      </c>
      <c r="AE356" s="499" t="s">
        <v>621</v>
      </c>
      <c r="AF356" s="500" t="s">
        <v>621</v>
      </c>
      <c r="AG356" s="556" t="s">
        <v>621</v>
      </c>
      <c r="AH356" s="503" t="str">
        <f>IF($G356="","",IF(AND($G356&gt;=30,$AT$3&lt;=AG$7),ROUND(AG356*($AP$3+#REF!),-1),""))</f>
        <v/>
      </c>
      <c r="AI356" s="506" t="s">
        <v>621</v>
      </c>
      <c r="AJ356" s="503" t="str">
        <f>IF($G356="","",IF(AND($G356&gt;=30,$AT$3&lt;=AI$7),ROUND(AI356*($AP$3+#REF!),-1),""))</f>
        <v/>
      </c>
      <c r="AK356" s="506" t="s">
        <v>621</v>
      </c>
      <c r="AL356" s="503" t="str">
        <f>IF($G356="","",IF(AND($G356&gt;=30,$AT$3&lt;=AK$7),ROUND(AK356*($AP$3+#REF!),-1),""))</f>
        <v/>
      </c>
      <c r="AM356" s="506" t="s">
        <v>621</v>
      </c>
      <c r="AN356" s="503" t="str">
        <f>IF($G356="","",IF(AND($G356&gt;=30,$AT$3&lt;=AM$7),ROUND(AM356*($AP$3+#REF!),-1),""))</f>
        <v/>
      </c>
      <c r="AO356" s="503" t="e">
        <v>#REF!</v>
      </c>
      <c r="AP356" s="503" t="str">
        <f>IF($G356="","",IF(AND($G356&gt;=30,$AT$3&lt;=AO$7),ROUND(AO356*($AP$3+#REF!),-1),""))</f>
        <v/>
      </c>
      <c r="AQ356" s="503" t="s">
        <v>621</v>
      </c>
      <c r="AR356" s="503" t="str">
        <f>IF($G356="","",IF(AND($G356&gt;=30,$AT$3&lt;=AQ$7),ROUND(AQ356*($AP$3+#REF!),-1),""))</f>
        <v/>
      </c>
      <c r="AS356" s="503" t="s">
        <v>621</v>
      </c>
      <c r="AT356" s="503" t="str">
        <f>IF($G356="","",IF(AND($G356&gt;=30,$AT$3&lt;=AS$7),ROUND(AS356*($AP$3+#REF!),-1),""))</f>
        <v/>
      </c>
      <c r="AU356" s="503" t="s">
        <v>621</v>
      </c>
      <c r="AV356" s="503" t="str">
        <f>IF($G356="","",IF(AND($G356&gt;=30,$AT$3&lt;=AU$7),ROUND(AU356*($AP$3+#REF!),-1),""))</f>
        <v/>
      </c>
      <c r="AW356" s="503" t="s">
        <v>621</v>
      </c>
      <c r="AX356" s="503" t="str">
        <f>IF($G356="","",IF(AND($G356&gt;=30,$AT$3&lt;=AW$7),ROUND(AW356*($AP$3+#REF!),-1),""))</f>
        <v/>
      </c>
      <c r="AY356" s="503" t="s">
        <v>621</v>
      </c>
      <c r="AZ356" s="503" t="str">
        <f>IF($G356="","",IF(AND($G356&gt;=30,$AT$3&lt;=AY$7),ROUND(AY356*($AP$3+#REF!),-1),""))</f>
        <v/>
      </c>
      <c r="BA356" s="503" t="s">
        <v>621</v>
      </c>
      <c r="BB356" s="503" t="str">
        <f>IF($G356="","",IF(AND($G356&gt;=30,$AT$3&lt;=BA$7),ROUND(BA356*($AP$3+#REF!),-1),""))</f>
        <v/>
      </c>
      <c r="BC356" s="503" t="s">
        <v>621</v>
      </c>
      <c r="BD356" s="503" t="str">
        <f>IF($G356="","",IF(AND($G356&gt;=30,$AT$3&lt;=BC$7),ROUND(BC356*($AP$3+#REF!),-1),""))</f>
        <v/>
      </c>
      <c r="BE356" s="503" t="s">
        <v>621</v>
      </c>
      <c r="BF356" s="503" t="str">
        <f>IF($G356="","",IF(AND($G356&gt;=30,$AT$3&lt;=BE$7),ROUND(BE356*($AP$3+#REF!),-1),""))</f>
        <v/>
      </c>
      <c r="BG356" s="503" t="s">
        <v>621</v>
      </c>
      <c r="BH356" s="503" t="str">
        <f>IF($G356="","",IF(AND($G356&gt;=30,$AT$3&lt;=BG$7),ROUND(BG356*($AP$3+#REF!),-1),""))</f>
        <v/>
      </c>
      <c r="BI356" s="503" t="s">
        <v>621</v>
      </c>
      <c r="BJ356" s="503" t="str">
        <f>IF($G356="","",IF(AND($G356&gt;=30,$AT$3&lt;=BI$7),ROUND(BI356*($AP$3+#REF!),-1),""))</f>
        <v/>
      </c>
      <c r="BK356" s="503" t="s">
        <v>621</v>
      </c>
      <c r="BL356" s="503" t="str">
        <f>IF($G356="","",IF(AND($G356&gt;=30,$AT$3&lt;=BK$7),ROUND(BK356*($AP$3+#REF!),-1),""))</f>
        <v/>
      </c>
      <c r="BM356" s="503" t="s">
        <v>621</v>
      </c>
      <c r="BN356" s="503" t="str">
        <f>IF($G356="","",IF(AND($G356&gt;=30,$AT$3&lt;=BM$7),ROUND(BM356*($AP$3+#REF!),-1),""))</f>
        <v/>
      </c>
      <c r="BO356" s="503" t="s">
        <v>621</v>
      </c>
      <c r="BP356" s="503" t="str">
        <f>IF($G356="","",IF(AND($G356&gt;=30,$AT$3&lt;=BO$7),ROUND(BO356*($AP$3+#REF!),-1),""))</f>
        <v/>
      </c>
      <c r="BQ356" s="503" t="s">
        <v>621</v>
      </c>
      <c r="BR356" s="503" t="str">
        <f>IF($G356="","",IF(AND($G356&gt;=30,$AT$3&lt;=BQ$7),ROUND(BQ356*($AP$3+#REF!),-1),""))</f>
        <v/>
      </c>
      <c r="BS356" s="503" t="s">
        <v>621</v>
      </c>
      <c r="BT356" s="503" t="str">
        <f>IF($G356="","",IF(AND($G356&gt;=30,$AT$3&lt;=BS$7),ROUND(BS356*($AP$3+#REF!),-1),""))</f>
        <v/>
      </c>
      <c r="BU356" s="503" t="s">
        <v>621</v>
      </c>
      <c r="BV356" s="503" t="str">
        <f>IF($G356="","",IF(AND($G356&gt;=30,$AT$3&lt;=BU$7),ROUND(BU356*($AP$3+#REF!),-1),""))</f>
        <v/>
      </c>
      <c r="BW356" s="503" t="s">
        <v>621</v>
      </c>
      <c r="BX356" s="503" t="str">
        <f>IF($G356="","",IF(AND($G356&gt;=30,$AT$3&lt;=BW$7),ROUND(BW356*($AP$3+#REF!),-1),""))</f>
        <v/>
      </c>
      <c r="BY356" s="503" t="s">
        <v>621</v>
      </c>
      <c r="BZ356" s="503" t="str">
        <f>IF($G356="","",IF(AND($G356&gt;=30,$AT$3&lt;=BY$7),ROUND(BY356*($AP$3+#REF!),-1),""))</f>
        <v/>
      </c>
      <c r="CA356" s="503" t="s">
        <v>621</v>
      </c>
      <c r="CB356" s="503" t="str">
        <f>IF($G356="","",IF(AND($G356&gt;=30,$AT$3&lt;=CA$7),ROUND(CA356*($AP$3+#REF!),-1),""))</f>
        <v/>
      </c>
      <c r="CC356" s="503" t="s">
        <v>621</v>
      </c>
      <c r="CD356" s="503" t="str">
        <f>IF($G356="","",IF(AND($G356&gt;=30,$AT$3&lt;=CC$7),ROUND(CC356*($AP$3+#REF!),-1),""))</f>
        <v/>
      </c>
      <c r="CE356" s="503" t="s">
        <v>621</v>
      </c>
      <c r="CF356" s="503" t="str">
        <f>IF($G356="","",IF(AND($G356&gt;=30,$AT$3&lt;=CE$7),ROUND(CE356*($AP$3+#REF!),-1),""))</f>
        <v/>
      </c>
      <c r="CG356" s="503" t="s">
        <v>621</v>
      </c>
      <c r="CH356" s="503" t="str">
        <f>IF($G356="","",IF(AND($G356&gt;=30,$AT$3&lt;=CG$7),ROUND(CG356*($AP$3+#REF!),-1),""))</f>
        <v/>
      </c>
      <c r="CI356" s="503" t="s">
        <v>621</v>
      </c>
      <c r="CJ356" s="503" t="str">
        <f>IF($G356="","",IF(AND($G356&gt;=30,$AT$3&lt;=CI$7),ROUND(CI356*($AP$3+#REF!),-1),""))</f>
        <v/>
      </c>
      <c r="CK356" s="517" t="e">
        <v>#REF!</v>
      </c>
      <c r="CL356" s="503" t="str">
        <f>IF($G356="","",IF(AND($G356&gt;=30,$AT$3&lt;=CK$7),ROUND(CK356*($AP$3+#REF!),-1),""))</f>
        <v/>
      </c>
      <c r="CM356" s="517"/>
      <c r="CN356" s="503" t="str">
        <f>IF($G356="","",IF(AND($G356&gt;=30,$AT$3&lt;=CM$7),ROUND(CM356*($AP$3+#REF!),-1),""))</f>
        <v/>
      </c>
      <c r="CO356" s="517"/>
      <c r="CP356" s="503" t="str">
        <f>IF($G356="","",IF(AND($G356&gt;=30,$AT$3&lt;=CO$7),ROUND(CO356*($AP$3+#REF!),-1),""))</f>
        <v/>
      </c>
      <c r="CQ356" s="517"/>
      <c r="CR356" s="503" t="str">
        <f>IF($G356="","",IF(AND($G356&gt;=30,$AT$3&lt;=CQ$7),ROUND(CQ356*($AP$3+#REF!),-1),""))</f>
        <v/>
      </c>
      <c r="CS356" s="517"/>
      <c r="CT356" s="503" t="str">
        <f>IF($G356="","",IF(AND($G356&gt;=30,$AT$3&lt;=CS$7),ROUND(CS356*($AP$3+#REF!),-1),""))</f>
        <v/>
      </c>
      <c r="CU356" s="517"/>
      <c r="CV356" s="503" t="str">
        <f>IF($G356="","",IF(AND($G356&gt;=30,$AT$3&lt;=CU$7),ROUND(CU356*($AP$3+#REF!),-1),""))</f>
        <v/>
      </c>
      <c r="CW356" s="517"/>
      <c r="CX356" s="503" t="str">
        <f>IF($G356="","",IF(AND($G356&gt;=30,$AT$3&lt;=CW$7),ROUND(CW356*($AP$3+#REF!),-1),""))</f>
        <v/>
      </c>
      <c r="CY356" s="517"/>
      <c r="CZ356" s="503" t="str">
        <f>IF($G356="","",IF(AND($G356&gt;=30,$AT$3&lt;=CY$7),ROUND(CY356*($AP$3+#REF!),-1),""))</f>
        <v/>
      </c>
      <c r="DA356" s="517"/>
      <c r="DB356" s="503" t="str">
        <f>IF($G356="","",IF(AND($G356&gt;=30,$AT$3&lt;=DA$7),ROUND(DA356*($AP$3+#REF!),-1),""))</f>
        <v/>
      </c>
      <c r="DC356" s="517"/>
      <c r="DD356" s="503" t="str">
        <f>IF($G356="","",IF(AND($G356&gt;=30,$AT$3&lt;=DC$7),ROUND(DC356*($AP$3+#REF!),-1),""))</f>
        <v/>
      </c>
      <c r="DE356" s="517"/>
      <c r="DF356" s="503" t="str">
        <f>IF($G356="","",IF(AND($G356&gt;=30,$AT$3&lt;=DE$7),ROUND(DE356*($AP$3+#REF!),-1),""))</f>
        <v/>
      </c>
      <c r="DG356" s="517"/>
      <c r="DH356" s="503" t="str">
        <f>IF($G356="","",IF(AND($G356&gt;=30,$AT$3&lt;=DG$7),ROUND(DG356*($AP$3+#REF!),-1),""))</f>
        <v/>
      </c>
      <c r="DI356" s="517"/>
      <c r="DJ356" s="503" t="str">
        <f>IF($G356="","",IF(AND($G356&gt;=30,$AT$3&lt;=DI$7),ROUND(DI356*($AP$3+#REF!),-1),""))</f>
        <v/>
      </c>
      <c r="DK356" s="517"/>
      <c r="DL356" s="503" t="str">
        <f>IF($G356="","",IF(AND($G356&gt;=30,$AT$3&lt;=DK$7),ROUND(DK356*($AP$3+#REF!),-1),""))</f>
        <v/>
      </c>
      <c r="DM356" s="517"/>
      <c r="DN356" s="503" t="str">
        <f>IF($G356="","",IF(AND($G356&gt;=30,$AT$3&lt;=DM$7),ROUND(DM356*($AP$3+#REF!),-1),""))</f>
        <v/>
      </c>
      <c r="DO356" s="517"/>
      <c r="DP356" s="503" t="str">
        <f>IF($G356="","",IF(AND($G356&gt;=30,$AT$3&lt;=DO$7),ROUND(DO356*($AP$3+#REF!),-1),""))</f>
        <v/>
      </c>
      <c r="DQ356" s="517"/>
      <c r="DR356" s="503" t="str">
        <f>IF($G356="","",IF(AND($G356&gt;=30,$AT$3&lt;=DQ$7),ROUND(DQ356*($AP$3+#REF!),-1),""))</f>
        <v/>
      </c>
      <c r="DS356" s="517"/>
      <c r="DT356" s="503" t="str">
        <f>IF($G356="","",IF(AND($G356&gt;=30,$AT$3&lt;=DS$7),ROUND(DS356*($AP$3+#REF!),-1),""))</f>
        <v/>
      </c>
      <c r="DU356" s="517"/>
      <c r="DV356" s="503" t="str">
        <f>IF($G356="","",IF(AND($G356&gt;=30,$AT$3&lt;=DU$7),ROUND(DU356*($AP$3+#REF!),-1),""))</f>
        <v/>
      </c>
      <c r="DW356" s="517"/>
      <c r="DX356" s="503" t="str">
        <f>IF($G356="","",IF(AND($G356&gt;=30,$AT$3&lt;=DW$7),ROUND(DW356*($AP$3+#REF!),-1),""))</f>
        <v/>
      </c>
      <c r="DY356" s="517"/>
      <c r="DZ356" s="503" t="str">
        <f>IF($G356="","",IF(AND($G356&gt;=30,$AT$3&lt;=DY$7),ROUND(DY356*($AP$3+#REF!),-1),""))</f>
        <v/>
      </c>
      <c r="EA356" s="517"/>
      <c r="EB356" s="503" t="str">
        <f>IF($G356="","",IF(AND($G356&gt;=30,$AT$3&lt;=EA$7),ROUND(EA356*($AP$3+#REF!),-1),""))</f>
        <v/>
      </c>
      <c r="EC356" s="504" t="s">
        <v>621</v>
      </c>
      <c r="ED356" s="1125"/>
      <c r="EE356" s="325">
        <v>12</v>
      </c>
    </row>
    <row r="357" spans="1:135" ht="9.75" customHeight="1">
      <c r="A357" s="321" t="str">
        <f t="shared" si="82"/>
        <v/>
      </c>
      <c r="B357" s="567">
        <f>(ii!$D$13*12+V357)+1</f>
        <v>251</v>
      </c>
      <c r="C357" s="345">
        <f t="shared" si="86"/>
        <v>52993</v>
      </c>
      <c r="D357" s="340">
        <f t="shared" si="89"/>
        <v>2045</v>
      </c>
      <c r="E357" s="340">
        <f t="shared" si="87"/>
        <v>8.3333333333333329E-2</v>
      </c>
      <c r="F357" s="340">
        <f t="shared" si="90"/>
        <v>2045.0833333333333</v>
      </c>
      <c r="G357" s="531" t="str">
        <f>IF(OR(C357&lt;$I$2,C357&gt;$J$3),"",(ii!$D$13*12+V357+1)/12)</f>
        <v/>
      </c>
      <c r="H357" s="532"/>
      <c r="I357" s="532"/>
      <c r="J357" s="533"/>
      <c r="K357" s="553"/>
      <c r="L357" s="534"/>
      <c r="M357" s="489" t="str">
        <f t="shared" si="91"/>
        <v/>
      </c>
      <c r="N357" s="536" t="s">
        <v>621</v>
      </c>
      <c r="O357" s="490" t="str">
        <f t="shared" si="84"/>
        <v/>
      </c>
      <c r="P357" s="537"/>
      <c r="Q357" s="537"/>
      <c r="R357" s="533" t="str">
        <f t="shared" si="85"/>
        <v/>
      </c>
      <c r="S357" s="538" t="str">
        <f t="shared" si="83"/>
        <v/>
      </c>
      <c r="T357" s="538" t="str">
        <f t="shared" si="81"/>
        <v/>
      </c>
      <c r="U357" s="539" t="str">
        <f>IF(H357="","",#REF!*12+#REF!+#REF!*12+#REF!)</f>
        <v/>
      </c>
      <c r="V357" s="338">
        <f>IF(ii!$J$3&gt;gg!C357,"",IF(AND((YEAR(C357)=YEAR($I$2)),MONTH(C357)=MONTH($I$2)),ii!$B$14*12+ii!$C$14+ii!$B$15*12+ii!$C$15-1,V356+1))</f>
        <v>250</v>
      </c>
      <c r="W357" s="339">
        <f t="shared" si="88"/>
        <v>20.833333333333332</v>
      </c>
      <c r="X357" s="540" t="s">
        <v>621</v>
      </c>
      <c r="Y357" s="538" t="s">
        <v>621</v>
      </c>
      <c r="Z357" s="541">
        <f>Z345+$Z$26</f>
        <v>0.8100000000000005</v>
      </c>
      <c r="AA357" s="542" t="str">
        <f>IF(Y357="","",(Y357-Y356)/Y356)</f>
        <v/>
      </c>
      <c r="AB357" s="543" t="e">
        <f t="shared" si="94"/>
        <v>#VALUE!</v>
      </c>
      <c r="AC357" s="544" t="str">
        <f t="shared" si="92"/>
        <v/>
      </c>
      <c r="AD357" s="538" t="str">
        <f t="shared" si="93"/>
        <v/>
      </c>
      <c r="AE357" s="545" t="s">
        <v>621</v>
      </c>
      <c r="AF357" s="546" t="s">
        <v>621</v>
      </c>
      <c r="AG357" s="558" t="s">
        <v>621</v>
      </c>
      <c r="AH357" s="547" t="str">
        <f>IF($G357="","",IF(AND($G357&gt;=30,$AT$3&lt;=AG$7),ROUND(AG357*($AP$3+#REF!),-1),""))</f>
        <v/>
      </c>
      <c r="AI357" s="558" t="s">
        <v>621</v>
      </c>
      <c r="AJ357" s="547" t="str">
        <f>IF($G357="","",IF(AND($G357&gt;=30,$AT$3&lt;=AI$7),ROUND(AI357*($AP$3+#REF!),-1),""))</f>
        <v/>
      </c>
      <c r="AK357" s="560" t="s">
        <v>621</v>
      </c>
      <c r="AL357" s="547" t="str">
        <f>IF($G357="","",IF(AND($G357&gt;=30,$AT$3&lt;=AK$7),ROUND(AK357*($AP$3+#REF!),-1),""))</f>
        <v/>
      </c>
      <c r="AM357" s="560" t="s">
        <v>621</v>
      </c>
      <c r="AN357" s="547" t="str">
        <f>IF($G357="","",IF(AND($G357&gt;=30,$AT$3&lt;=AM$7),ROUND(AM357*($AP$3+#REF!),-1),""))</f>
        <v/>
      </c>
      <c r="AO357" s="547" t="e">
        <v>#REF!</v>
      </c>
      <c r="AP357" s="547" t="str">
        <f>IF($G357="","",IF(AND($G357&gt;=30,$AT$3&lt;=AO$7),ROUND(AO357*($AP$3+#REF!),-1),""))</f>
        <v/>
      </c>
      <c r="AQ357" s="547" t="s">
        <v>621</v>
      </c>
      <c r="AR357" s="547" t="str">
        <f>IF($G357="","",IF(AND($G357&gt;=30,$AT$3&lt;=AQ$7),ROUND(AQ357*($AP$3+#REF!),-1),""))</f>
        <v/>
      </c>
      <c r="AS357" s="547" t="s">
        <v>621</v>
      </c>
      <c r="AT357" s="547" t="str">
        <f>IF($G357="","",IF(AND($G357&gt;=30,$AT$3&lt;=AS$7),ROUND(AS357*($AP$3+#REF!),-1),""))</f>
        <v/>
      </c>
      <c r="AU357" s="547" t="s">
        <v>621</v>
      </c>
      <c r="AV357" s="547" t="str">
        <f>IF($G357="","",IF(AND($G357&gt;=30,$AT$3&lt;=AU$7),ROUND(AU357*($AP$3+#REF!),-1),""))</f>
        <v/>
      </c>
      <c r="AW357" s="547" t="s">
        <v>621</v>
      </c>
      <c r="AX357" s="547" t="str">
        <f>IF($G357="","",IF(AND($G357&gt;=30,$AT$3&lt;=AW$7),ROUND(AW357*($AP$3+#REF!),-1),""))</f>
        <v/>
      </c>
      <c r="AY357" s="547" t="s">
        <v>621</v>
      </c>
      <c r="AZ357" s="547" t="str">
        <f>IF($G357="","",IF(AND($G357&gt;=30,$AT$3&lt;=AY$7),ROUND(AY357*($AP$3+#REF!),-1),""))</f>
        <v/>
      </c>
      <c r="BA357" s="547" t="s">
        <v>621</v>
      </c>
      <c r="BB357" s="547" t="str">
        <f>IF($G357="","",IF(AND($G357&gt;=30,$AT$3&lt;=BA$7),ROUND(BA357*($AP$3+#REF!),-1),""))</f>
        <v/>
      </c>
      <c r="BC357" s="547" t="s">
        <v>621</v>
      </c>
      <c r="BD357" s="547" t="str">
        <f>IF($G357="","",IF(AND($G357&gt;=30,$AT$3&lt;=BC$7),ROUND(BC357*($AP$3+#REF!),-1),""))</f>
        <v/>
      </c>
      <c r="BE357" s="547" t="s">
        <v>621</v>
      </c>
      <c r="BF357" s="547" t="str">
        <f>IF($G357="","",IF(AND($G357&gt;=30,$AT$3&lt;=BE$7),ROUND(BE357*($AP$3+#REF!),-1),""))</f>
        <v/>
      </c>
      <c r="BG357" s="547" t="s">
        <v>621</v>
      </c>
      <c r="BH357" s="547" t="str">
        <f>IF($G357="","",IF(AND($G357&gt;=30,$AT$3&lt;=BG$7),ROUND(BG357*($AP$3+#REF!),-1),""))</f>
        <v/>
      </c>
      <c r="BI357" s="547" t="s">
        <v>621</v>
      </c>
      <c r="BJ357" s="547" t="str">
        <f>IF($G357="","",IF(AND($G357&gt;=30,$AT$3&lt;=BI$7),ROUND(BI357*($AP$3+#REF!),-1),""))</f>
        <v/>
      </c>
      <c r="BK357" s="547" t="s">
        <v>621</v>
      </c>
      <c r="BL357" s="547" t="str">
        <f>IF($G357="","",IF(AND($G357&gt;=30,$AT$3&lt;=BK$7),ROUND(BK357*($AP$3+#REF!),-1),""))</f>
        <v/>
      </c>
      <c r="BM357" s="547" t="s">
        <v>621</v>
      </c>
      <c r="BN357" s="547" t="str">
        <f>IF($G357="","",IF(AND($G357&gt;=30,$AT$3&lt;=BM$7),ROUND(BM357*($AP$3+#REF!),-1),""))</f>
        <v/>
      </c>
      <c r="BO357" s="547" t="s">
        <v>621</v>
      </c>
      <c r="BP357" s="547" t="str">
        <f>IF($G357="","",IF(AND($G357&gt;=30,$AT$3&lt;=BO$7),ROUND(BO357*($AP$3+#REF!),-1),""))</f>
        <v/>
      </c>
      <c r="BQ357" s="547" t="s">
        <v>621</v>
      </c>
      <c r="BR357" s="547" t="str">
        <f>IF($G357="","",IF(AND($G357&gt;=30,$AT$3&lt;=BQ$7),ROUND(BQ357*($AP$3+#REF!),-1),""))</f>
        <v/>
      </c>
      <c r="BS357" s="547" t="s">
        <v>621</v>
      </c>
      <c r="BT357" s="547" t="str">
        <f>IF($G357="","",IF(AND($G357&gt;=30,$AT$3&lt;=BS$7),ROUND(BS357*($AP$3+#REF!),-1),""))</f>
        <v/>
      </c>
      <c r="BU357" s="547" t="s">
        <v>621</v>
      </c>
      <c r="BV357" s="547" t="str">
        <f>IF($G357="","",IF(AND($G357&gt;=30,$AT$3&lt;=BU$7),ROUND(BU357*($AP$3+#REF!),-1),""))</f>
        <v/>
      </c>
      <c r="BW357" s="547" t="s">
        <v>621</v>
      </c>
      <c r="BX357" s="547" t="str">
        <f>IF($G357="","",IF(AND($G357&gt;=30,$AT$3&lt;=BW$7),ROUND(BW357*($AP$3+#REF!),-1),""))</f>
        <v/>
      </c>
      <c r="BY357" s="547" t="s">
        <v>621</v>
      </c>
      <c r="BZ357" s="547" t="str">
        <f>IF($G357="","",IF(AND($G357&gt;=30,$AT$3&lt;=BY$7),ROUND(BY357*($AP$3+#REF!),-1),""))</f>
        <v/>
      </c>
      <c r="CA357" s="547" t="s">
        <v>621</v>
      </c>
      <c r="CB357" s="547" t="str">
        <f>IF($G357="","",IF(AND($G357&gt;=30,$AT$3&lt;=CA$7),ROUND(CA357*($AP$3+#REF!),-1),""))</f>
        <v/>
      </c>
      <c r="CC357" s="547" t="s">
        <v>621</v>
      </c>
      <c r="CD357" s="547" t="str">
        <f>IF($G357="","",IF(AND($G357&gt;=30,$AT$3&lt;=CC$7),ROUND(CC357*($AP$3+#REF!),-1),""))</f>
        <v/>
      </c>
      <c r="CE357" s="547" t="s">
        <v>621</v>
      </c>
      <c r="CF357" s="547" t="str">
        <f>IF($G357="","",IF(AND($G357&gt;=30,$AT$3&lt;=CE$7),ROUND(CE357*($AP$3+#REF!),-1),""))</f>
        <v/>
      </c>
      <c r="CG357" s="547" t="s">
        <v>621</v>
      </c>
      <c r="CH357" s="547" t="str">
        <f>IF($G357="","",IF(AND($G357&gt;=30,$AT$3&lt;=CG$7),ROUND(CG357*($AP$3+#REF!),-1),""))</f>
        <v/>
      </c>
      <c r="CI357" s="547" t="s">
        <v>621</v>
      </c>
      <c r="CJ357" s="547" t="str">
        <f>IF($G357="","",IF(AND($G357&gt;=30,$AT$3&lt;=CI$7),ROUND(CI357*($AP$3+#REF!),-1),""))</f>
        <v/>
      </c>
      <c r="CK357" s="547" t="s">
        <v>621</v>
      </c>
      <c r="CL357" s="547" t="str">
        <f>IF($G357="","",IF(AND($G357&gt;=30,$AT$3&lt;=CK$7),ROUND(CK357*($AP$3+#REF!),-1),""))</f>
        <v/>
      </c>
      <c r="CM357" s="533" t="e">
        <v>#REF!</v>
      </c>
      <c r="CN357" s="547" t="str">
        <f>IF($G357="","",IF(AND($G357&gt;=30,$AT$3&lt;=CM$7),ROUND(CM357*($AP$3+#REF!),-1),""))</f>
        <v/>
      </c>
      <c r="CO357" s="547"/>
      <c r="CP357" s="547" t="str">
        <f>IF($G357="","",IF(AND($G357&gt;=30,$AT$3&lt;=CO$7),ROUND(CO357*($AP$3+#REF!),-1),""))</f>
        <v/>
      </c>
      <c r="CQ357" s="547"/>
      <c r="CR357" s="547" t="str">
        <f>IF($G357="","",IF(AND($G357&gt;=30,$AT$3&lt;=CQ$7),ROUND(CQ357*($AP$3+#REF!),-1),""))</f>
        <v/>
      </c>
      <c r="CS357" s="547"/>
      <c r="CT357" s="547" t="str">
        <f>IF($G357="","",IF(AND($G357&gt;=30,$AT$3&lt;=CS$7),ROUND(CS357*($AP$3+#REF!),-1),""))</f>
        <v/>
      </c>
      <c r="CU357" s="547"/>
      <c r="CV357" s="547" t="str">
        <f>IF($G357="","",IF(AND($G357&gt;=30,$AT$3&lt;=CU$7),ROUND(CU357*($AP$3+#REF!),-1),""))</f>
        <v/>
      </c>
      <c r="CW357" s="547"/>
      <c r="CX357" s="547" t="str">
        <f>IF($G357="","",IF(AND($G357&gt;=30,$AT$3&lt;=CW$7),ROUND(CW357*($AP$3+#REF!),-1),""))</f>
        <v/>
      </c>
      <c r="CY357" s="547"/>
      <c r="CZ357" s="547" t="str">
        <f>IF($G357="","",IF(AND($G357&gt;=30,$AT$3&lt;=CY$7),ROUND(CY357*($AP$3+#REF!),-1),""))</f>
        <v/>
      </c>
      <c r="DA357" s="547"/>
      <c r="DB357" s="547" t="str">
        <f>IF($G357="","",IF(AND($G357&gt;=30,$AT$3&lt;=DA$7),ROUND(DA357*($AP$3+#REF!),-1),""))</f>
        <v/>
      </c>
      <c r="DC357" s="547"/>
      <c r="DD357" s="547" t="str">
        <f>IF($G357="","",IF(AND($G357&gt;=30,$AT$3&lt;=DC$7),ROUND(DC357*($AP$3+#REF!),-1),""))</f>
        <v/>
      </c>
      <c r="DE357" s="547"/>
      <c r="DF357" s="547" t="str">
        <f>IF($G357="","",IF(AND($G357&gt;=30,$AT$3&lt;=DE$7),ROUND(DE357*($AP$3+#REF!),-1),""))</f>
        <v/>
      </c>
      <c r="DG357" s="547"/>
      <c r="DH357" s="547" t="str">
        <f>IF($G357="","",IF(AND($G357&gt;=30,$AT$3&lt;=DG$7),ROUND(DG357*($AP$3+#REF!),-1),""))</f>
        <v/>
      </c>
      <c r="DI357" s="547"/>
      <c r="DJ357" s="547" t="str">
        <f>IF($G357="","",IF(AND($G357&gt;=30,$AT$3&lt;=DI$7),ROUND(DI357*($AP$3+#REF!),-1),""))</f>
        <v/>
      </c>
      <c r="DK357" s="547"/>
      <c r="DL357" s="547" t="str">
        <f>IF($G357="","",IF(AND($G357&gt;=30,$AT$3&lt;=DK$7),ROUND(DK357*($AP$3+#REF!),-1),""))</f>
        <v/>
      </c>
      <c r="DM357" s="547"/>
      <c r="DN357" s="547" t="str">
        <f>IF($G357="","",IF(AND($G357&gt;=30,$AT$3&lt;=DM$7),ROUND(DM357*($AP$3+#REF!),-1),""))</f>
        <v/>
      </c>
      <c r="DO357" s="547"/>
      <c r="DP357" s="547" t="str">
        <f>IF($G357="","",IF(AND($G357&gt;=30,$AT$3&lt;=DO$7),ROUND(DO357*($AP$3+#REF!),-1),""))</f>
        <v/>
      </c>
      <c r="DQ357" s="547"/>
      <c r="DR357" s="547" t="str">
        <f>IF($G357="","",IF(AND($G357&gt;=30,$AT$3&lt;=DQ$7),ROUND(DQ357*($AP$3+#REF!),-1),""))</f>
        <v/>
      </c>
      <c r="DS357" s="547"/>
      <c r="DT357" s="547" t="str">
        <f>IF($G357="","",IF(AND($G357&gt;=30,$AT$3&lt;=DS$7),ROUND(DS357*($AP$3+#REF!),-1),""))</f>
        <v/>
      </c>
      <c r="DU357" s="547"/>
      <c r="DV357" s="547" t="str">
        <f>IF($G357="","",IF(AND($G357&gt;=30,$AT$3&lt;=DU$7),ROUND(DU357*($AP$3+#REF!),-1),""))</f>
        <v/>
      </c>
      <c r="DW357" s="547"/>
      <c r="DX357" s="547" t="str">
        <f>IF($G357="","",IF(AND($G357&gt;=30,$AT$3&lt;=DW$7),ROUND(DW357*($AP$3+#REF!),-1),""))</f>
        <v/>
      </c>
      <c r="DY357" s="547"/>
      <c r="DZ357" s="547" t="str">
        <f>IF($G357="","",IF(AND($G357&gt;=30,$AT$3&lt;=DY$7),ROUND(DY357*($AP$3+#REF!),-1),""))</f>
        <v/>
      </c>
      <c r="EA357" s="547"/>
      <c r="EB357" s="547" t="str">
        <f>IF($G357="","",IF(AND($G357&gt;=30,$AT$3&lt;=EA$7),ROUND(EA357*($AP$3+#REF!),-1),""))</f>
        <v/>
      </c>
      <c r="EC357" s="547" t="s">
        <v>621</v>
      </c>
      <c r="ED357" s="1123">
        <f>SUM(EC357:EC368)</f>
        <v>0</v>
      </c>
      <c r="EE357" s="325">
        <v>1</v>
      </c>
    </row>
    <row r="358" spans="1:135" ht="9.75" customHeight="1">
      <c r="A358" s="321" t="str">
        <f t="shared" si="82"/>
        <v/>
      </c>
      <c r="B358" s="567">
        <f>(ii!$D$13*12+V358)+1</f>
        <v>252</v>
      </c>
      <c r="C358" s="337">
        <f t="shared" si="86"/>
        <v>53021</v>
      </c>
      <c r="D358" s="484">
        <f t="shared" si="89"/>
        <v>2045</v>
      </c>
      <c r="E358" s="484">
        <f t="shared" si="87"/>
        <v>0.16666666666666666</v>
      </c>
      <c r="F358" s="484">
        <f t="shared" si="90"/>
        <v>2045.1666666666667</v>
      </c>
      <c r="G358" s="485" t="str">
        <f>IF(OR(C358&lt;$I$2,C358&gt;$J$3),"",(ii!$D$13*12+V358+1)/12)</f>
        <v/>
      </c>
      <c r="H358" s="486"/>
      <c r="I358" s="486"/>
      <c r="J358" s="487"/>
      <c r="K358" s="488"/>
      <c r="L358" s="548"/>
      <c r="M358" s="489" t="str">
        <f t="shared" si="91"/>
        <v/>
      </c>
      <c r="N358" s="490" t="s">
        <v>621</v>
      </c>
      <c r="O358" s="490" t="str">
        <f t="shared" si="84"/>
        <v/>
      </c>
      <c r="P358" s="491"/>
      <c r="Q358" s="491"/>
      <c r="R358" s="491" t="str">
        <f t="shared" si="85"/>
        <v/>
      </c>
      <c r="S358" s="528" t="str">
        <f t="shared" si="83"/>
        <v/>
      </c>
      <c r="T358" s="528" t="str">
        <f t="shared" si="81"/>
        <v/>
      </c>
      <c r="U358" s="493" t="str">
        <f>IF(H358="","",#REF!*12+#REF!+#REF!*12+#REF!)</f>
        <v/>
      </c>
      <c r="V358" s="338">
        <f>IF(ii!$J$3&gt;gg!C358,"",IF(AND((YEAR(C358)=YEAR($I$2)),MONTH(C358)=MONTH($I$2)),ii!$B$14*12+ii!$C$14+ii!$B$15*12+ii!$C$15-1,V357+1))</f>
        <v>251</v>
      </c>
      <c r="W358" s="339">
        <f t="shared" si="88"/>
        <v>20.916666666666668</v>
      </c>
      <c r="X358" s="494" t="s">
        <v>621</v>
      </c>
      <c r="Y358" s="495" t="s">
        <v>621</v>
      </c>
      <c r="Z358" s="496"/>
      <c r="AA358" s="497"/>
      <c r="AB358" s="498" t="e">
        <f t="shared" si="94"/>
        <v>#VALUE!</v>
      </c>
      <c r="AC358" s="484" t="str">
        <f t="shared" si="92"/>
        <v/>
      </c>
      <c r="AD358" s="495" t="str">
        <f t="shared" si="93"/>
        <v/>
      </c>
      <c r="AE358" s="499" t="s">
        <v>621</v>
      </c>
      <c r="AF358" s="500" t="s">
        <v>621</v>
      </c>
      <c r="AG358" s="556" t="s">
        <v>621</v>
      </c>
      <c r="AH358" s="503" t="str">
        <f>IF($G358="","",IF(AND($G358&gt;=30,$AT$3&lt;=AG$7),ROUND(AG358*($AP$3+#REF!),-1),""))</f>
        <v/>
      </c>
      <c r="AI358" s="506" t="s">
        <v>621</v>
      </c>
      <c r="AJ358" s="503" t="str">
        <f>IF($G358="","",IF(AND($G358&gt;=30,$AT$3&lt;=AI$7),ROUND(AI358*($AP$3+#REF!),-1),""))</f>
        <v/>
      </c>
      <c r="AK358" s="506" t="s">
        <v>621</v>
      </c>
      <c r="AL358" s="503" t="str">
        <f>IF($G358="","",IF(AND($G358&gt;=30,$AT$3&lt;=AK$7),ROUND(AK358*($AP$3+#REF!),-1),""))</f>
        <v/>
      </c>
      <c r="AM358" s="506" t="s">
        <v>621</v>
      </c>
      <c r="AN358" s="503" t="str">
        <f>IF($G358="","",IF(AND($G358&gt;=30,$AT$3&lt;=AM$7),ROUND(AM358*($AP$3+#REF!),-1),""))</f>
        <v/>
      </c>
      <c r="AO358" s="503" t="e">
        <f>IF(AO357="","",AO357*1.001)</f>
        <v>#REF!</v>
      </c>
      <c r="AP358" s="503" t="str">
        <f>IF($G358="","",IF(AND($G358&gt;=30,$AT$3&lt;=AO$7),ROUND(AO358*($AP$3+#REF!),-1),""))</f>
        <v/>
      </c>
      <c r="AQ358" s="503" t="s">
        <v>621</v>
      </c>
      <c r="AR358" s="503" t="str">
        <f>IF($G358="","",IF(AND($G358&gt;=30,$AT$3&lt;=AQ$7),ROUND(AQ358*($AP$3+#REF!),-1),""))</f>
        <v/>
      </c>
      <c r="AS358" s="503" t="s">
        <v>621</v>
      </c>
      <c r="AT358" s="503" t="str">
        <f>IF($G358="","",IF(AND($G358&gt;=30,$AT$3&lt;=AS$7),ROUND(AS358*($AP$3+#REF!),-1),""))</f>
        <v/>
      </c>
      <c r="AU358" s="503" t="s">
        <v>621</v>
      </c>
      <c r="AV358" s="503" t="str">
        <f>IF($G358="","",IF(AND($G358&gt;=30,$AT$3&lt;=AU$7),ROUND(AU358*($AP$3+#REF!),-1),""))</f>
        <v/>
      </c>
      <c r="AW358" s="503" t="s">
        <v>621</v>
      </c>
      <c r="AX358" s="503" t="str">
        <f>IF($G358="","",IF(AND($G358&gt;=30,$AT$3&lt;=AW$7),ROUND(AW358*($AP$3+#REF!),-1),""))</f>
        <v/>
      </c>
      <c r="AY358" s="503" t="s">
        <v>621</v>
      </c>
      <c r="AZ358" s="503" t="str">
        <f>IF($G358="","",IF(AND($G358&gt;=30,$AT$3&lt;=AY$7),ROUND(AY358*($AP$3+#REF!),-1),""))</f>
        <v/>
      </c>
      <c r="BA358" s="503" t="s">
        <v>621</v>
      </c>
      <c r="BB358" s="503" t="str">
        <f>IF($G358="","",IF(AND($G358&gt;=30,$AT$3&lt;=BA$7),ROUND(BA358*($AP$3+#REF!),-1),""))</f>
        <v/>
      </c>
      <c r="BC358" s="503" t="s">
        <v>621</v>
      </c>
      <c r="BD358" s="503" t="str">
        <f>IF($G358="","",IF(AND($G358&gt;=30,$AT$3&lt;=BC$7),ROUND(BC358*($AP$3+#REF!),-1),""))</f>
        <v/>
      </c>
      <c r="BE358" s="503" t="s">
        <v>621</v>
      </c>
      <c r="BF358" s="503" t="str">
        <f>IF($G358="","",IF(AND($G358&gt;=30,$AT$3&lt;=BE$7),ROUND(BE358*($AP$3+#REF!),-1),""))</f>
        <v/>
      </c>
      <c r="BG358" s="503" t="s">
        <v>621</v>
      </c>
      <c r="BH358" s="503" t="str">
        <f>IF($G358="","",IF(AND($G358&gt;=30,$AT$3&lt;=BG$7),ROUND(BG358*($AP$3+#REF!),-1),""))</f>
        <v/>
      </c>
      <c r="BI358" s="503" t="s">
        <v>621</v>
      </c>
      <c r="BJ358" s="503" t="str">
        <f>IF($G358="","",IF(AND($G358&gt;=30,$AT$3&lt;=BI$7),ROUND(BI358*($AP$3+#REF!),-1),""))</f>
        <v/>
      </c>
      <c r="BK358" s="503" t="s">
        <v>621</v>
      </c>
      <c r="BL358" s="503" t="str">
        <f>IF($G358="","",IF(AND($G358&gt;=30,$AT$3&lt;=BK$7),ROUND(BK358*($AP$3+#REF!),-1),""))</f>
        <v/>
      </c>
      <c r="BM358" s="503" t="s">
        <v>621</v>
      </c>
      <c r="BN358" s="503" t="str">
        <f>IF($G358="","",IF(AND($G358&gt;=30,$AT$3&lt;=BM$7),ROUND(BM358*($AP$3+#REF!),-1),""))</f>
        <v/>
      </c>
      <c r="BO358" s="503" t="s">
        <v>621</v>
      </c>
      <c r="BP358" s="503" t="str">
        <f>IF($G358="","",IF(AND($G358&gt;=30,$AT$3&lt;=BO$7),ROUND(BO358*($AP$3+#REF!),-1),""))</f>
        <v/>
      </c>
      <c r="BQ358" s="503" t="s">
        <v>621</v>
      </c>
      <c r="BR358" s="503" t="str">
        <f>IF($G358="","",IF(AND($G358&gt;=30,$AT$3&lt;=BQ$7),ROUND(BQ358*($AP$3+#REF!),-1),""))</f>
        <v/>
      </c>
      <c r="BS358" s="503" t="s">
        <v>621</v>
      </c>
      <c r="BT358" s="503" t="str">
        <f>IF($G358="","",IF(AND($G358&gt;=30,$AT$3&lt;=BS$7),ROUND(BS358*($AP$3+#REF!),-1),""))</f>
        <v/>
      </c>
      <c r="BU358" s="503" t="s">
        <v>621</v>
      </c>
      <c r="BV358" s="503" t="str">
        <f>IF($G358="","",IF(AND($G358&gt;=30,$AT$3&lt;=BU$7),ROUND(BU358*($AP$3+#REF!),-1),""))</f>
        <v/>
      </c>
      <c r="BW358" s="503" t="s">
        <v>621</v>
      </c>
      <c r="BX358" s="503" t="str">
        <f>IF($G358="","",IF(AND($G358&gt;=30,$AT$3&lt;=BW$7),ROUND(BW358*($AP$3+#REF!),-1),""))</f>
        <v/>
      </c>
      <c r="BY358" s="503" t="s">
        <v>621</v>
      </c>
      <c r="BZ358" s="503" t="str">
        <f>IF($G358="","",IF(AND($G358&gt;=30,$AT$3&lt;=BY$7),ROUND(BY358*($AP$3+#REF!),-1),""))</f>
        <v/>
      </c>
      <c r="CA358" s="503" t="s">
        <v>621</v>
      </c>
      <c r="CB358" s="503" t="str">
        <f>IF($G358="","",IF(AND($G358&gt;=30,$AT$3&lt;=CA$7),ROUND(CA358*($AP$3+#REF!),-1),""))</f>
        <v/>
      </c>
      <c r="CC358" s="503" t="s">
        <v>621</v>
      </c>
      <c r="CD358" s="503" t="str">
        <f>IF($G358="","",IF(AND($G358&gt;=30,$AT$3&lt;=CC$7),ROUND(CC358*($AP$3+#REF!),-1),""))</f>
        <v/>
      </c>
      <c r="CE358" s="503" t="s">
        <v>621</v>
      </c>
      <c r="CF358" s="503" t="str">
        <f>IF($G358="","",IF(AND($G358&gt;=30,$AT$3&lt;=CE$7),ROUND(CE358*($AP$3+#REF!),-1),""))</f>
        <v/>
      </c>
      <c r="CG358" s="503" t="s">
        <v>621</v>
      </c>
      <c r="CH358" s="503" t="str">
        <f>IF($G358="","",IF(AND($G358&gt;=30,$AT$3&lt;=CG$7),ROUND(CG358*($AP$3+#REF!),-1),""))</f>
        <v/>
      </c>
      <c r="CI358" s="503" t="s">
        <v>621</v>
      </c>
      <c r="CJ358" s="503" t="str">
        <f>IF($G358="","",IF(AND($G358&gt;=30,$AT$3&lt;=CI$7),ROUND(CI358*($AP$3+#REF!),-1),""))</f>
        <v/>
      </c>
      <c r="CK358" s="503" t="s">
        <v>621</v>
      </c>
      <c r="CL358" s="503" t="str">
        <f>IF($G358="","",IF(AND($G358&gt;=30,$AT$3&lt;=CK$7),ROUND(CK358*($AP$3+#REF!),-1),""))</f>
        <v/>
      </c>
      <c r="CM358" s="517" t="e">
        <v>#REF!</v>
      </c>
      <c r="CN358" s="503" t="str">
        <f>IF($G358="","",IF(AND($G358&gt;=30,$AT$3&lt;=CM$7),ROUND(CM358*($AP$3+#REF!),-1),""))</f>
        <v/>
      </c>
      <c r="CO358" s="517"/>
      <c r="CP358" s="503" t="str">
        <f>IF($G358="","",IF(AND($G358&gt;=30,$AT$3&lt;=CO$7),ROUND(CO358*($AP$3+#REF!),-1),""))</f>
        <v/>
      </c>
      <c r="CQ358" s="517"/>
      <c r="CR358" s="503" t="str">
        <f>IF($G358="","",IF(AND($G358&gt;=30,$AT$3&lt;=CQ$7),ROUND(CQ358*($AP$3+#REF!),-1),""))</f>
        <v/>
      </c>
      <c r="CS358" s="517"/>
      <c r="CT358" s="503" t="str">
        <f>IF($G358="","",IF(AND($G358&gt;=30,$AT$3&lt;=CS$7),ROUND(CS358*($AP$3+#REF!),-1),""))</f>
        <v/>
      </c>
      <c r="CU358" s="517"/>
      <c r="CV358" s="503" t="str">
        <f>IF($G358="","",IF(AND($G358&gt;=30,$AT$3&lt;=CU$7),ROUND(CU358*($AP$3+#REF!),-1),""))</f>
        <v/>
      </c>
      <c r="CW358" s="517"/>
      <c r="CX358" s="503" t="str">
        <f>IF($G358="","",IF(AND($G358&gt;=30,$AT$3&lt;=CW$7),ROUND(CW358*($AP$3+#REF!),-1),""))</f>
        <v/>
      </c>
      <c r="CY358" s="517"/>
      <c r="CZ358" s="503" t="str">
        <f>IF($G358="","",IF(AND($G358&gt;=30,$AT$3&lt;=CY$7),ROUND(CY358*($AP$3+#REF!),-1),""))</f>
        <v/>
      </c>
      <c r="DA358" s="517"/>
      <c r="DB358" s="503" t="str">
        <f>IF($G358="","",IF(AND($G358&gt;=30,$AT$3&lt;=DA$7),ROUND(DA358*($AP$3+#REF!),-1),""))</f>
        <v/>
      </c>
      <c r="DC358" s="517"/>
      <c r="DD358" s="503" t="str">
        <f>IF($G358="","",IF(AND($G358&gt;=30,$AT$3&lt;=DC$7),ROUND(DC358*($AP$3+#REF!),-1),""))</f>
        <v/>
      </c>
      <c r="DE358" s="517"/>
      <c r="DF358" s="503" t="str">
        <f>IF($G358="","",IF(AND($G358&gt;=30,$AT$3&lt;=DE$7),ROUND(DE358*($AP$3+#REF!),-1),""))</f>
        <v/>
      </c>
      <c r="DG358" s="517"/>
      <c r="DH358" s="503" t="str">
        <f>IF($G358="","",IF(AND($G358&gt;=30,$AT$3&lt;=DG$7),ROUND(DG358*($AP$3+#REF!),-1),""))</f>
        <v/>
      </c>
      <c r="DI358" s="517"/>
      <c r="DJ358" s="503" t="str">
        <f>IF($G358="","",IF(AND($G358&gt;=30,$AT$3&lt;=DI$7),ROUND(DI358*($AP$3+#REF!),-1),""))</f>
        <v/>
      </c>
      <c r="DK358" s="517"/>
      <c r="DL358" s="503" t="str">
        <f>IF($G358="","",IF(AND($G358&gt;=30,$AT$3&lt;=DK$7),ROUND(DK358*($AP$3+#REF!),-1),""))</f>
        <v/>
      </c>
      <c r="DM358" s="517"/>
      <c r="DN358" s="503" t="str">
        <f>IF($G358="","",IF(AND($G358&gt;=30,$AT$3&lt;=DM$7),ROUND(DM358*($AP$3+#REF!),-1),""))</f>
        <v/>
      </c>
      <c r="DO358" s="517"/>
      <c r="DP358" s="503" t="str">
        <f>IF($G358="","",IF(AND($G358&gt;=30,$AT$3&lt;=DO$7),ROUND(DO358*($AP$3+#REF!),-1),""))</f>
        <v/>
      </c>
      <c r="DQ358" s="517"/>
      <c r="DR358" s="503" t="str">
        <f>IF($G358="","",IF(AND($G358&gt;=30,$AT$3&lt;=DQ$7),ROUND(DQ358*($AP$3+#REF!),-1),""))</f>
        <v/>
      </c>
      <c r="DS358" s="517"/>
      <c r="DT358" s="503" t="str">
        <f>IF($G358="","",IF(AND($G358&gt;=30,$AT$3&lt;=DS$7),ROUND(DS358*($AP$3+#REF!),-1),""))</f>
        <v/>
      </c>
      <c r="DU358" s="517"/>
      <c r="DV358" s="503" t="str">
        <f>IF($G358="","",IF(AND($G358&gt;=30,$AT$3&lt;=DU$7),ROUND(DU358*($AP$3+#REF!),-1),""))</f>
        <v/>
      </c>
      <c r="DW358" s="517"/>
      <c r="DX358" s="503" t="str">
        <f>IF($G358="","",IF(AND($G358&gt;=30,$AT$3&lt;=DW$7),ROUND(DW358*($AP$3+#REF!),-1),""))</f>
        <v/>
      </c>
      <c r="DY358" s="517"/>
      <c r="DZ358" s="503" t="str">
        <f>IF($G358="","",IF(AND($G358&gt;=30,$AT$3&lt;=DY$7),ROUND(DY358*($AP$3+#REF!),-1),""))</f>
        <v/>
      </c>
      <c r="EA358" s="517"/>
      <c r="EB358" s="503" t="str">
        <f>IF($G358="","",IF(AND($G358&gt;=30,$AT$3&lt;=EA$7),ROUND(EA358*($AP$3+#REF!),-1),""))</f>
        <v/>
      </c>
      <c r="EC358" s="504" t="s">
        <v>621</v>
      </c>
      <c r="ED358" s="1124"/>
      <c r="EE358" s="325">
        <v>2</v>
      </c>
    </row>
    <row r="359" spans="1:135" ht="9.75" customHeight="1">
      <c r="A359" s="321" t="str">
        <f t="shared" si="82"/>
        <v/>
      </c>
      <c r="B359" s="567">
        <f>(ii!$D$13*12+V359)+1</f>
        <v>253</v>
      </c>
      <c r="C359" s="337">
        <f t="shared" si="86"/>
        <v>53052</v>
      </c>
      <c r="D359" s="484">
        <f t="shared" si="89"/>
        <v>2045</v>
      </c>
      <c r="E359" s="484">
        <f t="shared" si="87"/>
        <v>0.25</v>
      </c>
      <c r="F359" s="484">
        <f t="shared" si="90"/>
        <v>2045.25</v>
      </c>
      <c r="G359" s="485" t="str">
        <f>IF(OR(C359&lt;$I$2,C359&gt;$J$3),"",(ii!$D$13*12+V359+1)/12)</f>
        <v/>
      </c>
      <c r="H359" s="486"/>
      <c r="I359" s="486"/>
      <c r="J359" s="487"/>
      <c r="K359" s="488"/>
      <c r="L359" s="548"/>
      <c r="M359" s="489" t="str">
        <f t="shared" si="91"/>
        <v/>
      </c>
      <c r="N359" s="490" t="s">
        <v>621</v>
      </c>
      <c r="O359" s="490" t="str">
        <f t="shared" si="84"/>
        <v/>
      </c>
      <c r="P359" s="491"/>
      <c r="Q359" s="491"/>
      <c r="R359" s="491" t="str">
        <f t="shared" si="85"/>
        <v/>
      </c>
      <c r="S359" s="528" t="str">
        <f t="shared" si="83"/>
        <v/>
      </c>
      <c r="T359" s="528" t="str">
        <f t="shared" si="81"/>
        <v/>
      </c>
      <c r="U359" s="493" t="str">
        <f>IF(H359="","",#REF!*12+#REF!+#REF!*12+#REF!)</f>
        <v/>
      </c>
      <c r="V359" s="338">
        <f>IF(ii!$J$3&gt;gg!C359,"",IF(AND((YEAR(C359)=YEAR($I$2)),MONTH(C359)=MONTH($I$2)),ii!$B$14*12+ii!$C$14+ii!$B$15*12+ii!$C$15-1,V358+1))</f>
        <v>252</v>
      </c>
      <c r="W359" s="339">
        <f t="shared" si="88"/>
        <v>21</v>
      </c>
      <c r="X359" s="494" t="s">
        <v>621</v>
      </c>
      <c r="Y359" s="495" t="s">
        <v>621</v>
      </c>
      <c r="Z359" s="496"/>
      <c r="AA359" s="497"/>
      <c r="AB359" s="498" t="e">
        <f t="shared" si="94"/>
        <v>#VALUE!</v>
      </c>
      <c r="AC359" s="484" t="str">
        <f t="shared" si="92"/>
        <v/>
      </c>
      <c r="AD359" s="495" t="str">
        <f t="shared" si="93"/>
        <v/>
      </c>
      <c r="AE359" s="499" t="s">
        <v>621</v>
      </c>
      <c r="AF359" s="500" t="s">
        <v>621</v>
      </c>
      <c r="AG359" s="556" t="s">
        <v>621</v>
      </c>
      <c r="AH359" s="503" t="str">
        <f>IF($G359="","",IF(AND($G359&gt;=30,$AT$3&lt;=AG$7),ROUND(AG359*($AP$3+#REF!),-1),""))</f>
        <v/>
      </c>
      <c r="AI359" s="506" t="s">
        <v>621</v>
      </c>
      <c r="AJ359" s="503" t="str">
        <f>IF($G359="","",IF(AND($G359&gt;=30,$AT$3&lt;=AI$7),ROUND(AI359*($AP$3+#REF!),-1),""))</f>
        <v/>
      </c>
      <c r="AK359" s="506" t="s">
        <v>621</v>
      </c>
      <c r="AL359" s="503" t="str">
        <f>IF($G359="","",IF(AND($G359&gt;=30,$AT$3&lt;=AK$7),ROUND(AK359*($AP$3+#REF!),-1),""))</f>
        <v/>
      </c>
      <c r="AM359" s="506" t="s">
        <v>621</v>
      </c>
      <c r="AN359" s="503" t="str">
        <f>IF($G359="","",IF(AND($G359&gt;=30,$AT$3&lt;=AM$7),ROUND(AM359*($AP$3+#REF!),-1),""))</f>
        <v/>
      </c>
      <c r="AO359" s="503" t="e">
        <v>#REF!</v>
      </c>
      <c r="AP359" s="503" t="str">
        <f>IF($G359="","",IF(AND($G359&gt;=30,$AT$3&lt;=AO$7),ROUND(AO359*($AP$3+#REF!),-1),""))</f>
        <v/>
      </c>
      <c r="AQ359" s="503" t="s">
        <v>621</v>
      </c>
      <c r="AR359" s="503" t="str">
        <f>IF($G359="","",IF(AND($G359&gt;=30,$AT$3&lt;=AQ$7),ROUND(AQ359*($AP$3+#REF!),-1),""))</f>
        <v/>
      </c>
      <c r="AS359" s="503" t="s">
        <v>621</v>
      </c>
      <c r="AT359" s="503" t="str">
        <f>IF($G359="","",IF(AND($G359&gt;=30,$AT$3&lt;=AS$7),ROUND(AS359*($AP$3+#REF!),-1),""))</f>
        <v/>
      </c>
      <c r="AU359" s="503" t="s">
        <v>621</v>
      </c>
      <c r="AV359" s="503" t="str">
        <f>IF($G359="","",IF(AND($G359&gt;=30,$AT$3&lt;=AU$7),ROUND(AU359*($AP$3+#REF!),-1),""))</f>
        <v/>
      </c>
      <c r="AW359" s="503" t="s">
        <v>621</v>
      </c>
      <c r="AX359" s="503" t="str">
        <f>IF($G359="","",IF(AND($G359&gt;=30,$AT$3&lt;=AW$7),ROUND(AW359*($AP$3+#REF!),-1),""))</f>
        <v/>
      </c>
      <c r="AY359" s="503" t="s">
        <v>621</v>
      </c>
      <c r="AZ359" s="503" t="str">
        <f>IF($G359="","",IF(AND($G359&gt;=30,$AT$3&lt;=AY$7),ROUND(AY359*($AP$3+#REF!),-1),""))</f>
        <v/>
      </c>
      <c r="BA359" s="503" t="s">
        <v>621</v>
      </c>
      <c r="BB359" s="503" t="str">
        <f>IF($G359="","",IF(AND($G359&gt;=30,$AT$3&lt;=BA$7),ROUND(BA359*($AP$3+#REF!),-1),""))</f>
        <v/>
      </c>
      <c r="BC359" s="503" t="s">
        <v>621</v>
      </c>
      <c r="BD359" s="503" t="str">
        <f>IF($G359="","",IF(AND($G359&gt;=30,$AT$3&lt;=BC$7),ROUND(BC359*($AP$3+#REF!),-1),""))</f>
        <v/>
      </c>
      <c r="BE359" s="503" t="s">
        <v>621</v>
      </c>
      <c r="BF359" s="503" t="str">
        <f>IF($G359="","",IF(AND($G359&gt;=30,$AT$3&lt;=BE$7),ROUND(BE359*($AP$3+#REF!),-1),""))</f>
        <v/>
      </c>
      <c r="BG359" s="503" t="s">
        <v>621</v>
      </c>
      <c r="BH359" s="503" t="str">
        <f>IF($G359="","",IF(AND($G359&gt;=30,$AT$3&lt;=BG$7),ROUND(BG359*($AP$3+#REF!),-1),""))</f>
        <v/>
      </c>
      <c r="BI359" s="503" t="s">
        <v>621</v>
      </c>
      <c r="BJ359" s="503" t="str">
        <f>IF($G359="","",IF(AND($G359&gt;=30,$AT$3&lt;=BI$7),ROUND(BI359*($AP$3+#REF!),-1),""))</f>
        <v/>
      </c>
      <c r="BK359" s="503" t="s">
        <v>621</v>
      </c>
      <c r="BL359" s="503" t="str">
        <f>IF($G359="","",IF(AND($G359&gt;=30,$AT$3&lt;=BK$7),ROUND(BK359*($AP$3+#REF!),-1),""))</f>
        <v/>
      </c>
      <c r="BM359" s="503" t="s">
        <v>621</v>
      </c>
      <c r="BN359" s="503" t="str">
        <f>IF($G359="","",IF(AND($G359&gt;=30,$AT$3&lt;=BM$7),ROUND(BM359*($AP$3+#REF!),-1),""))</f>
        <v/>
      </c>
      <c r="BO359" s="503" t="s">
        <v>621</v>
      </c>
      <c r="BP359" s="503" t="str">
        <f>IF($G359="","",IF(AND($G359&gt;=30,$AT$3&lt;=BO$7),ROUND(BO359*($AP$3+#REF!),-1),""))</f>
        <v/>
      </c>
      <c r="BQ359" s="503" t="s">
        <v>621</v>
      </c>
      <c r="BR359" s="503" t="str">
        <f>IF($G359="","",IF(AND($G359&gt;=30,$AT$3&lt;=BQ$7),ROUND(BQ359*($AP$3+#REF!),-1),""))</f>
        <v/>
      </c>
      <c r="BS359" s="503" t="s">
        <v>621</v>
      </c>
      <c r="BT359" s="503" t="str">
        <f>IF($G359="","",IF(AND($G359&gt;=30,$AT$3&lt;=BS$7),ROUND(BS359*($AP$3+#REF!),-1),""))</f>
        <v/>
      </c>
      <c r="BU359" s="503" t="s">
        <v>621</v>
      </c>
      <c r="BV359" s="503" t="str">
        <f>IF($G359="","",IF(AND($G359&gt;=30,$AT$3&lt;=BU$7),ROUND(BU359*($AP$3+#REF!),-1),""))</f>
        <v/>
      </c>
      <c r="BW359" s="503" t="s">
        <v>621</v>
      </c>
      <c r="BX359" s="503" t="str">
        <f>IF($G359="","",IF(AND($G359&gt;=30,$AT$3&lt;=BW$7),ROUND(BW359*($AP$3+#REF!),-1),""))</f>
        <v/>
      </c>
      <c r="BY359" s="503" t="s">
        <v>621</v>
      </c>
      <c r="BZ359" s="503" t="str">
        <f>IF($G359="","",IF(AND($G359&gt;=30,$AT$3&lt;=BY$7),ROUND(BY359*($AP$3+#REF!),-1),""))</f>
        <v/>
      </c>
      <c r="CA359" s="503" t="s">
        <v>621</v>
      </c>
      <c r="CB359" s="503" t="str">
        <f>IF($G359="","",IF(AND($G359&gt;=30,$AT$3&lt;=CA$7),ROUND(CA359*($AP$3+#REF!),-1),""))</f>
        <v/>
      </c>
      <c r="CC359" s="503" t="s">
        <v>621</v>
      </c>
      <c r="CD359" s="503" t="str">
        <f>IF($G359="","",IF(AND($G359&gt;=30,$AT$3&lt;=CC$7),ROUND(CC359*($AP$3+#REF!),-1),""))</f>
        <v/>
      </c>
      <c r="CE359" s="503" t="s">
        <v>621</v>
      </c>
      <c r="CF359" s="503" t="str">
        <f>IF($G359="","",IF(AND($G359&gt;=30,$AT$3&lt;=CE$7),ROUND(CE359*($AP$3+#REF!),-1),""))</f>
        <v/>
      </c>
      <c r="CG359" s="503" t="s">
        <v>621</v>
      </c>
      <c r="CH359" s="503" t="str">
        <f>IF($G359="","",IF(AND($G359&gt;=30,$AT$3&lt;=CG$7),ROUND(CG359*($AP$3+#REF!),-1),""))</f>
        <v/>
      </c>
      <c r="CI359" s="503" t="s">
        <v>621</v>
      </c>
      <c r="CJ359" s="503" t="str">
        <f>IF($G359="","",IF(AND($G359&gt;=30,$AT$3&lt;=CI$7),ROUND(CI359*($AP$3+#REF!),-1),""))</f>
        <v/>
      </c>
      <c r="CK359" s="503" t="s">
        <v>621</v>
      </c>
      <c r="CL359" s="503" t="str">
        <f>IF($G359="","",IF(AND($G359&gt;=30,$AT$3&lt;=CK$7),ROUND(CK359*($AP$3+#REF!),-1),""))</f>
        <v/>
      </c>
      <c r="CM359" s="517" t="e">
        <v>#REF!</v>
      </c>
      <c r="CN359" s="503" t="str">
        <f>IF($G359="","",IF(AND($G359&gt;=30,$AT$3&lt;=CM$7),ROUND(CM359*($AP$3+#REF!),-1),""))</f>
        <v/>
      </c>
      <c r="CO359" s="517"/>
      <c r="CP359" s="503" t="str">
        <f>IF($G359="","",IF(AND($G359&gt;=30,$AT$3&lt;=CO$7),ROUND(CO359*($AP$3+#REF!),-1),""))</f>
        <v/>
      </c>
      <c r="CQ359" s="517"/>
      <c r="CR359" s="503" t="str">
        <f>IF($G359="","",IF(AND($G359&gt;=30,$AT$3&lt;=CQ$7),ROUND(CQ359*($AP$3+#REF!),-1),""))</f>
        <v/>
      </c>
      <c r="CS359" s="517"/>
      <c r="CT359" s="503" t="str">
        <f>IF($G359="","",IF(AND($G359&gt;=30,$AT$3&lt;=CS$7),ROUND(CS359*($AP$3+#REF!),-1),""))</f>
        <v/>
      </c>
      <c r="CU359" s="517"/>
      <c r="CV359" s="503" t="str">
        <f>IF($G359="","",IF(AND($G359&gt;=30,$AT$3&lt;=CU$7),ROUND(CU359*($AP$3+#REF!),-1),""))</f>
        <v/>
      </c>
      <c r="CW359" s="517"/>
      <c r="CX359" s="503" t="str">
        <f>IF($G359="","",IF(AND($G359&gt;=30,$AT$3&lt;=CW$7),ROUND(CW359*($AP$3+#REF!),-1),""))</f>
        <v/>
      </c>
      <c r="CY359" s="517"/>
      <c r="CZ359" s="503" t="str">
        <f>IF($G359="","",IF(AND($G359&gt;=30,$AT$3&lt;=CY$7),ROUND(CY359*($AP$3+#REF!),-1),""))</f>
        <v/>
      </c>
      <c r="DA359" s="517"/>
      <c r="DB359" s="503" t="str">
        <f>IF($G359="","",IF(AND($G359&gt;=30,$AT$3&lt;=DA$7),ROUND(DA359*($AP$3+#REF!),-1),""))</f>
        <v/>
      </c>
      <c r="DC359" s="517"/>
      <c r="DD359" s="503" t="str">
        <f>IF($G359="","",IF(AND($G359&gt;=30,$AT$3&lt;=DC$7),ROUND(DC359*($AP$3+#REF!),-1),""))</f>
        <v/>
      </c>
      <c r="DE359" s="517"/>
      <c r="DF359" s="503" t="str">
        <f>IF($G359="","",IF(AND($G359&gt;=30,$AT$3&lt;=DE$7),ROUND(DE359*($AP$3+#REF!),-1),""))</f>
        <v/>
      </c>
      <c r="DG359" s="517"/>
      <c r="DH359" s="503" t="str">
        <f>IF($G359="","",IF(AND($G359&gt;=30,$AT$3&lt;=DG$7),ROUND(DG359*($AP$3+#REF!),-1),""))</f>
        <v/>
      </c>
      <c r="DI359" s="517"/>
      <c r="DJ359" s="503" t="str">
        <f>IF($G359="","",IF(AND($G359&gt;=30,$AT$3&lt;=DI$7),ROUND(DI359*($AP$3+#REF!),-1),""))</f>
        <v/>
      </c>
      <c r="DK359" s="517"/>
      <c r="DL359" s="503" t="str">
        <f>IF($G359="","",IF(AND($G359&gt;=30,$AT$3&lt;=DK$7),ROUND(DK359*($AP$3+#REF!),-1),""))</f>
        <v/>
      </c>
      <c r="DM359" s="517"/>
      <c r="DN359" s="503" t="str">
        <f>IF($G359="","",IF(AND($G359&gt;=30,$AT$3&lt;=DM$7),ROUND(DM359*($AP$3+#REF!),-1),""))</f>
        <v/>
      </c>
      <c r="DO359" s="517"/>
      <c r="DP359" s="503" t="str">
        <f>IF($G359="","",IF(AND($G359&gt;=30,$AT$3&lt;=DO$7),ROUND(DO359*($AP$3+#REF!),-1),""))</f>
        <v/>
      </c>
      <c r="DQ359" s="517"/>
      <c r="DR359" s="503" t="str">
        <f>IF($G359="","",IF(AND($G359&gt;=30,$AT$3&lt;=DQ$7),ROUND(DQ359*($AP$3+#REF!),-1),""))</f>
        <v/>
      </c>
      <c r="DS359" s="517"/>
      <c r="DT359" s="503" t="str">
        <f>IF($G359="","",IF(AND($G359&gt;=30,$AT$3&lt;=DS$7),ROUND(DS359*($AP$3+#REF!),-1),""))</f>
        <v/>
      </c>
      <c r="DU359" s="517"/>
      <c r="DV359" s="503" t="str">
        <f>IF($G359="","",IF(AND($G359&gt;=30,$AT$3&lt;=DU$7),ROUND(DU359*($AP$3+#REF!),-1),""))</f>
        <v/>
      </c>
      <c r="DW359" s="517"/>
      <c r="DX359" s="503" t="str">
        <f>IF($G359="","",IF(AND($G359&gt;=30,$AT$3&lt;=DW$7),ROUND(DW359*($AP$3+#REF!),-1),""))</f>
        <v/>
      </c>
      <c r="DY359" s="517"/>
      <c r="DZ359" s="503" t="str">
        <f>IF($G359="","",IF(AND($G359&gt;=30,$AT$3&lt;=DY$7),ROUND(DY359*($AP$3+#REF!),-1),""))</f>
        <v/>
      </c>
      <c r="EA359" s="517"/>
      <c r="EB359" s="503" t="str">
        <f>IF($G359="","",IF(AND($G359&gt;=30,$AT$3&lt;=EA$7),ROUND(EA359*($AP$3+#REF!),-1),""))</f>
        <v/>
      </c>
      <c r="EC359" s="504" t="s">
        <v>621</v>
      </c>
      <c r="ED359" s="1124"/>
      <c r="EE359" s="325">
        <v>3</v>
      </c>
    </row>
    <row r="360" spans="1:135" ht="9.75" customHeight="1">
      <c r="A360" s="321" t="str">
        <f t="shared" si="82"/>
        <v/>
      </c>
      <c r="B360" s="567">
        <f>(ii!$D$13*12+V360)+1</f>
        <v>254</v>
      </c>
      <c r="C360" s="337">
        <f t="shared" si="86"/>
        <v>53082</v>
      </c>
      <c r="D360" s="484">
        <f t="shared" si="89"/>
        <v>2045</v>
      </c>
      <c r="E360" s="484">
        <f t="shared" si="87"/>
        <v>0.33333333333333331</v>
      </c>
      <c r="F360" s="484">
        <f t="shared" si="90"/>
        <v>2045.3333333333333</v>
      </c>
      <c r="G360" s="485" t="str">
        <f>IF(OR(C360&lt;$I$2,C360&gt;$J$3),"",(ii!$D$13*12+V360+1)/12)</f>
        <v/>
      </c>
      <c r="H360" s="486"/>
      <c r="I360" s="486"/>
      <c r="J360" s="487"/>
      <c r="K360" s="488"/>
      <c r="L360" s="548"/>
      <c r="M360" s="489" t="str">
        <f t="shared" si="91"/>
        <v/>
      </c>
      <c r="N360" s="490" t="s">
        <v>621</v>
      </c>
      <c r="O360" s="490" t="str">
        <f t="shared" si="84"/>
        <v/>
      </c>
      <c r="P360" s="491"/>
      <c r="Q360" s="491"/>
      <c r="R360" s="491" t="str">
        <f t="shared" si="85"/>
        <v/>
      </c>
      <c r="S360" s="528" t="str">
        <f t="shared" si="83"/>
        <v/>
      </c>
      <c r="T360" s="528" t="str">
        <f t="shared" si="81"/>
        <v/>
      </c>
      <c r="U360" s="493" t="str">
        <f>IF(H360="","",#REF!*12+#REF!+#REF!*12+#REF!)</f>
        <v/>
      </c>
      <c r="V360" s="338">
        <f>IF(ii!$J$3&gt;gg!C360,"",IF(AND((YEAR(C360)=YEAR($I$2)),MONTH(C360)=MONTH($I$2)),ii!$B$14*12+ii!$C$14+ii!$B$15*12+ii!$C$15-1,V359+1))</f>
        <v>253</v>
      </c>
      <c r="W360" s="339">
        <f t="shared" si="88"/>
        <v>21.083333333333332</v>
      </c>
      <c r="X360" s="494" t="s">
        <v>621</v>
      </c>
      <c r="Y360" s="495" t="s">
        <v>621</v>
      </c>
      <c r="Z360" s="496"/>
      <c r="AA360" s="497"/>
      <c r="AB360" s="498" t="e">
        <f t="shared" si="94"/>
        <v>#VALUE!</v>
      </c>
      <c r="AC360" s="484" t="str">
        <f t="shared" si="92"/>
        <v/>
      </c>
      <c r="AD360" s="495" t="str">
        <f t="shared" si="93"/>
        <v/>
      </c>
      <c r="AE360" s="499" t="s">
        <v>621</v>
      </c>
      <c r="AF360" s="500" t="s">
        <v>621</v>
      </c>
      <c r="AG360" s="556" t="s">
        <v>621</v>
      </c>
      <c r="AH360" s="503" t="str">
        <f>IF($G360="","",IF(AND($G360&gt;=30,$AT$3&lt;=AG$7),ROUND(AG360*($AP$3+#REF!),-1),""))</f>
        <v/>
      </c>
      <c r="AI360" s="506" t="s">
        <v>621</v>
      </c>
      <c r="AJ360" s="503" t="str">
        <f>IF($G360="","",IF(AND($G360&gt;=30,$AT$3&lt;=AI$7),ROUND(AI360*($AP$3+#REF!),-1),""))</f>
        <v/>
      </c>
      <c r="AK360" s="506" t="s">
        <v>621</v>
      </c>
      <c r="AL360" s="503" t="str">
        <f>IF($G360="","",IF(AND($G360&gt;=30,$AT$3&lt;=AK$7),ROUND(AK360*($AP$3+#REF!),-1),""))</f>
        <v/>
      </c>
      <c r="AM360" s="506" t="s">
        <v>621</v>
      </c>
      <c r="AN360" s="503" t="str">
        <f>IF($G360="","",IF(AND($G360&gt;=30,$AT$3&lt;=AM$7),ROUND(AM360*($AP$3+#REF!),-1),""))</f>
        <v/>
      </c>
      <c r="AO360" s="503" t="e">
        <v>#REF!</v>
      </c>
      <c r="AP360" s="503" t="str">
        <f>IF($G360="","",IF(AND($G360&gt;=30,$AT$3&lt;=AO$7),ROUND(AO360*($AP$3+#REF!),-1),""))</f>
        <v/>
      </c>
      <c r="AQ360" s="503" t="s">
        <v>621</v>
      </c>
      <c r="AR360" s="503" t="str">
        <f>IF($G360="","",IF(AND($G360&gt;=30,$AT$3&lt;=AQ$7),ROUND(AQ360*($AP$3+#REF!),-1),""))</f>
        <v/>
      </c>
      <c r="AS360" s="503" t="s">
        <v>621</v>
      </c>
      <c r="AT360" s="503" t="str">
        <f>IF($G360="","",IF(AND($G360&gt;=30,$AT$3&lt;=AS$7),ROUND(AS360*($AP$3+#REF!),-1),""))</f>
        <v/>
      </c>
      <c r="AU360" s="503" t="s">
        <v>621</v>
      </c>
      <c r="AV360" s="503" t="str">
        <f>IF($G360="","",IF(AND($G360&gt;=30,$AT$3&lt;=AU$7),ROUND(AU360*($AP$3+#REF!),-1),""))</f>
        <v/>
      </c>
      <c r="AW360" s="503" t="s">
        <v>621</v>
      </c>
      <c r="AX360" s="503" t="str">
        <f>IF($G360="","",IF(AND($G360&gt;=30,$AT$3&lt;=AW$7),ROUND(AW360*($AP$3+#REF!),-1),""))</f>
        <v/>
      </c>
      <c r="AY360" s="503" t="s">
        <v>621</v>
      </c>
      <c r="AZ360" s="503" t="str">
        <f>IF($G360="","",IF(AND($G360&gt;=30,$AT$3&lt;=AY$7),ROUND(AY360*($AP$3+#REF!),-1),""))</f>
        <v/>
      </c>
      <c r="BA360" s="503" t="s">
        <v>621</v>
      </c>
      <c r="BB360" s="503" t="str">
        <f>IF($G360="","",IF(AND($G360&gt;=30,$AT$3&lt;=BA$7),ROUND(BA360*($AP$3+#REF!),-1),""))</f>
        <v/>
      </c>
      <c r="BC360" s="503" t="s">
        <v>621</v>
      </c>
      <c r="BD360" s="503" t="str">
        <f>IF($G360="","",IF(AND($G360&gt;=30,$AT$3&lt;=BC$7),ROUND(BC360*($AP$3+#REF!),-1),""))</f>
        <v/>
      </c>
      <c r="BE360" s="503" t="s">
        <v>621</v>
      </c>
      <c r="BF360" s="503" t="str">
        <f>IF($G360="","",IF(AND($G360&gt;=30,$AT$3&lt;=BE$7),ROUND(BE360*($AP$3+#REF!),-1),""))</f>
        <v/>
      </c>
      <c r="BG360" s="503" t="s">
        <v>621</v>
      </c>
      <c r="BH360" s="503" t="str">
        <f>IF($G360="","",IF(AND($G360&gt;=30,$AT$3&lt;=BG$7),ROUND(BG360*($AP$3+#REF!),-1),""))</f>
        <v/>
      </c>
      <c r="BI360" s="503" t="s">
        <v>621</v>
      </c>
      <c r="BJ360" s="503" t="str">
        <f>IF($G360="","",IF(AND($G360&gt;=30,$AT$3&lt;=BI$7),ROUND(BI360*($AP$3+#REF!),-1),""))</f>
        <v/>
      </c>
      <c r="BK360" s="503" t="s">
        <v>621</v>
      </c>
      <c r="BL360" s="503" t="str">
        <f>IF($G360="","",IF(AND($G360&gt;=30,$AT$3&lt;=BK$7),ROUND(BK360*($AP$3+#REF!),-1),""))</f>
        <v/>
      </c>
      <c r="BM360" s="503" t="s">
        <v>621</v>
      </c>
      <c r="BN360" s="503" t="str">
        <f>IF($G360="","",IF(AND($G360&gt;=30,$AT$3&lt;=BM$7),ROUND(BM360*($AP$3+#REF!),-1),""))</f>
        <v/>
      </c>
      <c r="BO360" s="503" t="s">
        <v>621</v>
      </c>
      <c r="BP360" s="503" t="str">
        <f>IF($G360="","",IF(AND($G360&gt;=30,$AT$3&lt;=BO$7),ROUND(BO360*($AP$3+#REF!),-1),""))</f>
        <v/>
      </c>
      <c r="BQ360" s="503" t="s">
        <v>621</v>
      </c>
      <c r="BR360" s="503" t="str">
        <f>IF($G360="","",IF(AND($G360&gt;=30,$AT$3&lt;=BQ$7),ROUND(BQ360*($AP$3+#REF!),-1),""))</f>
        <v/>
      </c>
      <c r="BS360" s="503" t="s">
        <v>621</v>
      </c>
      <c r="BT360" s="503" t="str">
        <f>IF($G360="","",IF(AND($G360&gt;=30,$AT$3&lt;=BS$7),ROUND(BS360*($AP$3+#REF!),-1),""))</f>
        <v/>
      </c>
      <c r="BU360" s="503" t="s">
        <v>621</v>
      </c>
      <c r="BV360" s="503" t="str">
        <f>IF($G360="","",IF(AND($G360&gt;=30,$AT$3&lt;=BU$7),ROUND(BU360*($AP$3+#REF!),-1),""))</f>
        <v/>
      </c>
      <c r="BW360" s="503" t="s">
        <v>621</v>
      </c>
      <c r="BX360" s="503" t="str">
        <f>IF($G360="","",IF(AND($G360&gt;=30,$AT$3&lt;=BW$7),ROUND(BW360*($AP$3+#REF!),-1),""))</f>
        <v/>
      </c>
      <c r="BY360" s="503" t="s">
        <v>621</v>
      </c>
      <c r="BZ360" s="503" t="str">
        <f>IF($G360="","",IF(AND($G360&gt;=30,$AT$3&lt;=BY$7),ROUND(BY360*($AP$3+#REF!),-1),""))</f>
        <v/>
      </c>
      <c r="CA360" s="503" t="s">
        <v>621</v>
      </c>
      <c r="CB360" s="503" t="str">
        <f>IF($G360="","",IF(AND($G360&gt;=30,$AT$3&lt;=CA$7),ROUND(CA360*($AP$3+#REF!),-1),""))</f>
        <v/>
      </c>
      <c r="CC360" s="503" t="s">
        <v>621</v>
      </c>
      <c r="CD360" s="503" t="str">
        <f>IF($G360="","",IF(AND($G360&gt;=30,$AT$3&lt;=CC$7),ROUND(CC360*($AP$3+#REF!),-1),""))</f>
        <v/>
      </c>
      <c r="CE360" s="503" t="s">
        <v>621</v>
      </c>
      <c r="CF360" s="503" t="str">
        <f>IF($G360="","",IF(AND($G360&gt;=30,$AT$3&lt;=CE$7),ROUND(CE360*($AP$3+#REF!),-1),""))</f>
        <v/>
      </c>
      <c r="CG360" s="503" t="s">
        <v>621</v>
      </c>
      <c r="CH360" s="503" t="str">
        <f>IF($G360="","",IF(AND($G360&gt;=30,$AT$3&lt;=CG$7),ROUND(CG360*($AP$3+#REF!),-1),""))</f>
        <v/>
      </c>
      <c r="CI360" s="503" t="s">
        <v>621</v>
      </c>
      <c r="CJ360" s="503" t="str">
        <f>IF($G360="","",IF(AND($G360&gt;=30,$AT$3&lt;=CI$7),ROUND(CI360*($AP$3+#REF!),-1),""))</f>
        <v/>
      </c>
      <c r="CK360" s="503" t="s">
        <v>621</v>
      </c>
      <c r="CL360" s="503" t="str">
        <f>IF($G360="","",IF(AND($G360&gt;=30,$AT$3&lt;=CK$7),ROUND(CK360*($AP$3+#REF!),-1),""))</f>
        <v/>
      </c>
      <c r="CM360" s="517" t="e">
        <v>#REF!</v>
      </c>
      <c r="CN360" s="503" t="str">
        <f>IF($G360="","",IF(AND($G360&gt;=30,$AT$3&lt;=CM$7),ROUND(CM360*($AP$3+#REF!),-1),""))</f>
        <v/>
      </c>
      <c r="CO360" s="517"/>
      <c r="CP360" s="503" t="str">
        <f>IF($G360="","",IF(AND($G360&gt;=30,$AT$3&lt;=CO$7),ROUND(CO360*($AP$3+#REF!),-1),""))</f>
        <v/>
      </c>
      <c r="CQ360" s="517"/>
      <c r="CR360" s="503" t="str">
        <f>IF($G360="","",IF(AND($G360&gt;=30,$AT$3&lt;=CQ$7),ROUND(CQ360*($AP$3+#REF!),-1),""))</f>
        <v/>
      </c>
      <c r="CS360" s="517"/>
      <c r="CT360" s="503" t="str">
        <f>IF($G360="","",IF(AND($G360&gt;=30,$AT$3&lt;=CS$7),ROUND(CS360*($AP$3+#REF!),-1),""))</f>
        <v/>
      </c>
      <c r="CU360" s="517"/>
      <c r="CV360" s="503" t="str">
        <f>IF($G360="","",IF(AND($G360&gt;=30,$AT$3&lt;=CU$7),ROUND(CU360*($AP$3+#REF!),-1),""))</f>
        <v/>
      </c>
      <c r="CW360" s="517"/>
      <c r="CX360" s="503" t="str">
        <f>IF($G360="","",IF(AND($G360&gt;=30,$AT$3&lt;=CW$7),ROUND(CW360*($AP$3+#REF!),-1),""))</f>
        <v/>
      </c>
      <c r="CY360" s="517"/>
      <c r="CZ360" s="503" t="str">
        <f>IF($G360="","",IF(AND($G360&gt;=30,$AT$3&lt;=CY$7),ROUND(CY360*($AP$3+#REF!),-1),""))</f>
        <v/>
      </c>
      <c r="DA360" s="517"/>
      <c r="DB360" s="503" t="str">
        <f>IF($G360="","",IF(AND($G360&gt;=30,$AT$3&lt;=DA$7),ROUND(DA360*($AP$3+#REF!),-1),""))</f>
        <v/>
      </c>
      <c r="DC360" s="517"/>
      <c r="DD360" s="503" t="str">
        <f>IF($G360="","",IF(AND($G360&gt;=30,$AT$3&lt;=DC$7),ROUND(DC360*($AP$3+#REF!),-1),""))</f>
        <v/>
      </c>
      <c r="DE360" s="517"/>
      <c r="DF360" s="503" t="str">
        <f>IF($G360="","",IF(AND($G360&gt;=30,$AT$3&lt;=DE$7),ROUND(DE360*($AP$3+#REF!),-1),""))</f>
        <v/>
      </c>
      <c r="DG360" s="517"/>
      <c r="DH360" s="503" t="str">
        <f>IF($G360="","",IF(AND($G360&gt;=30,$AT$3&lt;=DG$7),ROUND(DG360*($AP$3+#REF!),-1),""))</f>
        <v/>
      </c>
      <c r="DI360" s="517"/>
      <c r="DJ360" s="503" t="str">
        <f>IF($G360="","",IF(AND($G360&gt;=30,$AT$3&lt;=DI$7),ROUND(DI360*($AP$3+#REF!),-1),""))</f>
        <v/>
      </c>
      <c r="DK360" s="517"/>
      <c r="DL360" s="503" t="str">
        <f>IF($G360="","",IF(AND($G360&gt;=30,$AT$3&lt;=DK$7),ROUND(DK360*($AP$3+#REF!),-1),""))</f>
        <v/>
      </c>
      <c r="DM360" s="517"/>
      <c r="DN360" s="503" t="str">
        <f>IF($G360="","",IF(AND($G360&gt;=30,$AT$3&lt;=DM$7),ROUND(DM360*($AP$3+#REF!),-1),""))</f>
        <v/>
      </c>
      <c r="DO360" s="517"/>
      <c r="DP360" s="503" t="str">
        <f>IF($G360="","",IF(AND($G360&gt;=30,$AT$3&lt;=DO$7),ROUND(DO360*($AP$3+#REF!),-1),""))</f>
        <v/>
      </c>
      <c r="DQ360" s="517"/>
      <c r="DR360" s="503" t="str">
        <f>IF($G360="","",IF(AND($G360&gt;=30,$AT$3&lt;=DQ$7),ROUND(DQ360*($AP$3+#REF!),-1),""))</f>
        <v/>
      </c>
      <c r="DS360" s="517"/>
      <c r="DT360" s="503" t="str">
        <f>IF($G360="","",IF(AND($G360&gt;=30,$AT$3&lt;=DS$7),ROUND(DS360*($AP$3+#REF!),-1),""))</f>
        <v/>
      </c>
      <c r="DU360" s="517"/>
      <c r="DV360" s="503" t="str">
        <f>IF($G360="","",IF(AND($G360&gt;=30,$AT$3&lt;=DU$7),ROUND(DU360*($AP$3+#REF!),-1),""))</f>
        <v/>
      </c>
      <c r="DW360" s="517"/>
      <c r="DX360" s="503" t="str">
        <f>IF($G360="","",IF(AND($G360&gt;=30,$AT$3&lt;=DW$7),ROUND(DW360*($AP$3+#REF!),-1),""))</f>
        <v/>
      </c>
      <c r="DY360" s="517"/>
      <c r="DZ360" s="503" t="str">
        <f>IF($G360="","",IF(AND($G360&gt;=30,$AT$3&lt;=DY$7),ROUND(DY360*($AP$3+#REF!),-1),""))</f>
        <v/>
      </c>
      <c r="EA360" s="517"/>
      <c r="EB360" s="503" t="str">
        <f>IF($G360="","",IF(AND($G360&gt;=30,$AT$3&lt;=EA$7),ROUND(EA360*($AP$3+#REF!),-1),""))</f>
        <v/>
      </c>
      <c r="EC360" s="504" t="s">
        <v>621</v>
      </c>
      <c r="ED360" s="1124"/>
      <c r="EE360" s="325">
        <v>4</v>
      </c>
    </row>
    <row r="361" spans="1:135" ht="9.75" customHeight="1">
      <c r="A361" s="321" t="str">
        <f t="shared" si="82"/>
        <v/>
      </c>
      <c r="B361" s="567">
        <f>(ii!$D$13*12+V361)+1</f>
        <v>255</v>
      </c>
      <c r="C361" s="337">
        <f t="shared" si="86"/>
        <v>53113</v>
      </c>
      <c r="D361" s="484">
        <f t="shared" si="89"/>
        <v>2045</v>
      </c>
      <c r="E361" s="484">
        <f t="shared" si="87"/>
        <v>0.41666666666666669</v>
      </c>
      <c r="F361" s="484">
        <f t="shared" si="90"/>
        <v>2045.4166666666667</v>
      </c>
      <c r="G361" s="485" t="str">
        <f>IF(OR(C361&lt;$I$2,C361&gt;$J$3),"",(ii!$D$13*12+V361+1)/12)</f>
        <v/>
      </c>
      <c r="H361" s="486"/>
      <c r="I361" s="486"/>
      <c r="J361" s="507"/>
      <c r="K361" s="508"/>
      <c r="L361" s="548"/>
      <c r="M361" s="489" t="str">
        <f t="shared" si="91"/>
        <v/>
      </c>
      <c r="N361" s="490" t="s">
        <v>621</v>
      </c>
      <c r="O361" s="490" t="str">
        <f t="shared" si="84"/>
        <v/>
      </c>
      <c r="P361" s="507"/>
      <c r="Q361" s="507"/>
      <c r="R361" s="491" t="str">
        <f t="shared" si="85"/>
        <v/>
      </c>
      <c r="S361" s="528" t="str">
        <f t="shared" si="83"/>
        <v/>
      </c>
      <c r="T361" s="528" t="str">
        <f t="shared" si="81"/>
        <v/>
      </c>
      <c r="U361" s="493" t="str">
        <f>IF(H361="","",#REF!*12+#REF!+#REF!*12+#REF!)</f>
        <v/>
      </c>
      <c r="V361" s="338">
        <f>IF(ii!$J$3&gt;gg!C361,"",IF(AND((YEAR(C361)=YEAR($I$2)),MONTH(C361)=MONTH($I$2)),ii!$B$14*12+ii!$C$14+ii!$B$15*12+ii!$C$15-1,V360+1))</f>
        <v>254</v>
      </c>
      <c r="W361" s="339">
        <f t="shared" si="88"/>
        <v>21.166666666666668</v>
      </c>
      <c r="X361" s="494" t="s">
        <v>621</v>
      </c>
      <c r="Y361" s="495" t="s">
        <v>621</v>
      </c>
      <c r="Z361" s="496"/>
      <c r="AA361" s="497"/>
      <c r="AB361" s="498" t="e">
        <f t="shared" si="94"/>
        <v>#VALUE!</v>
      </c>
      <c r="AC361" s="484" t="str">
        <f t="shared" si="92"/>
        <v/>
      </c>
      <c r="AD361" s="495" t="str">
        <f t="shared" si="93"/>
        <v/>
      </c>
      <c r="AE361" s="499" t="s">
        <v>621</v>
      </c>
      <c r="AF361" s="500" t="s">
        <v>621</v>
      </c>
      <c r="AG361" s="556" t="s">
        <v>621</v>
      </c>
      <c r="AH361" s="503" t="str">
        <f>IF($G361="","",IF(AND($G361&gt;=30,$AT$3&lt;=AG$7),ROUND(AG361*($AP$3+#REF!),-1),""))</f>
        <v/>
      </c>
      <c r="AI361" s="506" t="s">
        <v>621</v>
      </c>
      <c r="AJ361" s="503" t="str">
        <f>IF($G361="","",IF(AND($G361&gt;=30,$AT$3&lt;=AI$7),ROUND(AI361*($AP$3+#REF!),-1),""))</f>
        <v/>
      </c>
      <c r="AK361" s="506" t="s">
        <v>621</v>
      </c>
      <c r="AL361" s="503" t="str">
        <f>IF($G361="","",IF(AND($G361&gt;=30,$AT$3&lt;=AK$7),ROUND(AK361*($AP$3+#REF!),-1),""))</f>
        <v/>
      </c>
      <c r="AM361" s="506" t="s">
        <v>621</v>
      </c>
      <c r="AN361" s="503" t="str">
        <f>IF($G361="","",IF(AND($G361&gt;=30,$AT$3&lt;=AM$7),ROUND(AM361*($AP$3+#REF!),-1),""))</f>
        <v/>
      </c>
      <c r="AO361" s="503" t="e">
        <v>#REF!</v>
      </c>
      <c r="AP361" s="503" t="str">
        <f>IF($G361="","",IF(AND($G361&gt;=30,$AT$3&lt;=AO$7),ROUND(AO361*($AP$3+#REF!),-1),""))</f>
        <v/>
      </c>
      <c r="AQ361" s="503" t="s">
        <v>621</v>
      </c>
      <c r="AR361" s="503" t="str">
        <f>IF($G361="","",IF(AND($G361&gt;=30,$AT$3&lt;=AQ$7),ROUND(AQ361*($AP$3+#REF!),-1),""))</f>
        <v/>
      </c>
      <c r="AS361" s="503" t="s">
        <v>621</v>
      </c>
      <c r="AT361" s="503" t="str">
        <f>IF($G361="","",IF(AND($G361&gt;=30,$AT$3&lt;=AS$7),ROUND(AS361*($AP$3+#REF!),-1),""))</f>
        <v/>
      </c>
      <c r="AU361" s="503" t="s">
        <v>621</v>
      </c>
      <c r="AV361" s="503" t="str">
        <f>IF($G361="","",IF(AND($G361&gt;=30,$AT$3&lt;=AU$7),ROUND(AU361*($AP$3+#REF!),-1),""))</f>
        <v/>
      </c>
      <c r="AW361" s="503" t="s">
        <v>621</v>
      </c>
      <c r="AX361" s="503" t="str">
        <f>IF($G361="","",IF(AND($G361&gt;=30,$AT$3&lt;=AW$7),ROUND(AW361*($AP$3+#REF!),-1),""))</f>
        <v/>
      </c>
      <c r="AY361" s="503" t="s">
        <v>621</v>
      </c>
      <c r="AZ361" s="503" t="str">
        <f>IF($G361="","",IF(AND($G361&gt;=30,$AT$3&lt;=AY$7),ROUND(AY361*($AP$3+#REF!),-1),""))</f>
        <v/>
      </c>
      <c r="BA361" s="503" t="s">
        <v>621</v>
      </c>
      <c r="BB361" s="503" t="str">
        <f>IF($G361="","",IF(AND($G361&gt;=30,$AT$3&lt;=BA$7),ROUND(BA361*($AP$3+#REF!),-1),""))</f>
        <v/>
      </c>
      <c r="BC361" s="503" t="s">
        <v>621</v>
      </c>
      <c r="BD361" s="503" t="str">
        <f>IF($G361="","",IF(AND($G361&gt;=30,$AT$3&lt;=BC$7),ROUND(BC361*($AP$3+#REF!),-1),""))</f>
        <v/>
      </c>
      <c r="BE361" s="503" t="s">
        <v>621</v>
      </c>
      <c r="BF361" s="503" t="str">
        <f>IF($G361="","",IF(AND($G361&gt;=30,$AT$3&lt;=BE$7),ROUND(BE361*($AP$3+#REF!),-1),""))</f>
        <v/>
      </c>
      <c r="BG361" s="503" t="s">
        <v>621</v>
      </c>
      <c r="BH361" s="503" t="str">
        <f>IF($G361="","",IF(AND($G361&gt;=30,$AT$3&lt;=BG$7),ROUND(BG361*($AP$3+#REF!),-1),""))</f>
        <v/>
      </c>
      <c r="BI361" s="503" t="s">
        <v>621</v>
      </c>
      <c r="BJ361" s="503" t="str">
        <f>IF($G361="","",IF(AND($G361&gt;=30,$AT$3&lt;=BI$7),ROUND(BI361*($AP$3+#REF!),-1),""))</f>
        <v/>
      </c>
      <c r="BK361" s="503" t="s">
        <v>621</v>
      </c>
      <c r="BL361" s="503" t="str">
        <f>IF($G361="","",IF(AND($G361&gt;=30,$AT$3&lt;=BK$7),ROUND(BK361*($AP$3+#REF!),-1),""))</f>
        <v/>
      </c>
      <c r="BM361" s="503" t="s">
        <v>621</v>
      </c>
      <c r="BN361" s="503" t="str">
        <f>IF($G361="","",IF(AND($G361&gt;=30,$AT$3&lt;=BM$7),ROUND(BM361*($AP$3+#REF!),-1),""))</f>
        <v/>
      </c>
      <c r="BO361" s="503" t="s">
        <v>621</v>
      </c>
      <c r="BP361" s="503" t="str">
        <f>IF($G361="","",IF(AND($G361&gt;=30,$AT$3&lt;=BO$7),ROUND(BO361*($AP$3+#REF!),-1),""))</f>
        <v/>
      </c>
      <c r="BQ361" s="503" t="s">
        <v>621</v>
      </c>
      <c r="BR361" s="503" t="str">
        <f>IF($G361="","",IF(AND($G361&gt;=30,$AT$3&lt;=BQ$7),ROUND(BQ361*($AP$3+#REF!),-1),""))</f>
        <v/>
      </c>
      <c r="BS361" s="503" t="s">
        <v>621</v>
      </c>
      <c r="BT361" s="503" t="str">
        <f>IF($G361="","",IF(AND($G361&gt;=30,$AT$3&lt;=BS$7),ROUND(BS361*($AP$3+#REF!),-1),""))</f>
        <v/>
      </c>
      <c r="BU361" s="503" t="s">
        <v>621</v>
      </c>
      <c r="BV361" s="503" t="str">
        <f>IF($G361="","",IF(AND($G361&gt;=30,$AT$3&lt;=BU$7),ROUND(BU361*($AP$3+#REF!),-1),""))</f>
        <v/>
      </c>
      <c r="BW361" s="503" t="s">
        <v>621</v>
      </c>
      <c r="BX361" s="503" t="str">
        <f>IF($G361="","",IF(AND($G361&gt;=30,$AT$3&lt;=BW$7),ROUND(BW361*($AP$3+#REF!),-1),""))</f>
        <v/>
      </c>
      <c r="BY361" s="503" t="s">
        <v>621</v>
      </c>
      <c r="BZ361" s="503" t="str">
        <f>IF($G361="","",IF(AND($G361&gt;=30,$AT$3&lt;=BY$7),ROUND(BY361*($AP$3+#REF!),-1),""))</f>
        <v/>
      </c>
      <c r="CA361" s="503" t="s">
        <v>621</v>
      </c>
      <c r="CB361" s="503" t="str">
        <f>IF($G361="","",IF(AND($G361&gt;=30,$AT$3&lt;=CA$7),ROUND(CA361*($AP$3+#REF!),-1),""))</f>
        <v/>
      </c>
      <c r="CC361" s="503" t="s">
        <v>621</v>
      </c>
      <c r="CD361" s="503" t="str">
        <f>IF($G361="","",IF(AND($G361&gt;=30,$AT$3&lt;=CC$7),ROUND(CC361*($AP$3+#REF!),-1),""))</f>
        <v/>
      </c>
      <c r="CE361" s="503" t="s">
        <v>621</v>
      </c>
      <c r="CF361" s="503" t="str">
        <f>IF($G361="","",IF(AND($G361&gt;=30,$AT$3&lt;=CE$7),ROUND(CE361*($AP$3+#REF!),-1),""))</f>
        <v/>
      </c>
      <c r="CG361" s="503" t="s">
        <v>621</v>
      </c>
      <c r="CH361" s="503" t="str">
        <f>IF($G361="","",IF(AND($G361&gt;=30,$AT$3&lt;=CG$7),ROUND(CG361*($AP$3+#REF!),-1),""))</f>
        <v/>
      </c>
      <c r="CI361" s="503" t="s">
        <v>621</v>
      </c>
      <c r="CJ361" s="503" t="str">
        <f>IF($G361="","",IF(AND($G361&gt;=30,$AT$3&lt;=CI$7),ROUND(CI361*($AP$3+#REF!),-1),""))</f>
        <v/>
      </c>
      <c r="CK361" s="503" t="s">
        <v>621</v>
      </c>
      <c r="CL361" s="503" t="str">
        <f>IF($G361="","",IF(AND($G361&gt;=30,$AT$3&lt;=CK$7),ROUND(CK361*($AP$3+#REF!),-1),""))</f>
        <v/>
      </c>
      <c r="CM361" s="517" t="e">
        <v>#REF!</v>
      </c>
      <c r="CN361" s="503" t="str">
        <f>IF($G361="","",IF(AND($G361&gt;=30,$AT$3&lt;=CM$7),ROUND(CM361*($AP$3+#REF!),-1),""))</f>
        <v/>
      </c>
      <c r="CO361" s="517"/>
      <c r="CP361" s="503" t="str">
        <f>IF($G361="","",IF(AND($G361&gt;=30,$AT$3&lt;=CO$7),ROUND(CO361*($AP$3+#REF!),-1),""))</f>
        <v/>
      </c>
      <c r="CQ361" s="517"/>
      <c r="CR361" s="503" t="str">
        <f>IF($G361="","",IF(AND($G361&gt;=30,$AT$3&lt;=CQ$7),ROUND(CQ361*($AP$3+#REF!),-1),""))</f>
        <v/>
      </c>
      <c r="CS361" s="517"/>
      <c r="CT361" s="503" t="str">
        <f>IF($G361="","",IF(AND($G361&gt;=30,$AT$3&lt;=CS$7),ROUND(CS361*($AP$3+#REF!),-1),""))</f>
        <v/>
      </c>
      <c r="CU361" s="517"/>
      <c r="CV361" s="503" t="str">
        <f>IF($G361="","",IF(AND($G361&gt;=30,$AT$3&lt;=CU$7),ROUND(CU361*($AP$3+#REF!),-1),""))</f>
        <v/>
      </c>
      <c r="CW361" s="517"/>
      <c r="CX361" s="503" t="str">
        <f>IF($G361="","",IF(AND($G361&gt;=30,$AT$3&lt;=CW$7),ROUND(CW361*($AP$3+#REF!),-1),""))</f>
        <v/>
      </c>
      <c r="CY361" s="517"/>
      <c r="CZ361" s="503" t="str">
        <f>IF($G361="","",IF(AND($G361&gt;=30,$AT$3&lt;=CY$7),ROUND(CY361*($AP$3+#REF!),-1),""))</f>
        <v/>
      </c>
      <c r="DA361" s="517"/>
      <c r="DB361" s="503" t="str">
        <f>IF($G361="","",IF(AND($G361&gt;=30,$AT$3&lt;=DA$7),ROUND(DA361*($AP$3+#REF!),-1),""))</f>
        <v/>
      </c>
      <c r="DC361" s="517"/>
      <c r="DD361" s="503" t="str">
        <f>IF($G361="","",IF(AND($G361&gt;=30,$AT$3&lt;=DC$7),ROUND(DC361*($AP$3+#REF!),-1),""))</f>
        <v/>
      </c>
      <c r="DE361" s="517"/>
      <c r="DF361" s="503" t="str">
        <f>IF($G361="","",IF(AND($G361&gt;=30,$AT$3&lt;=DE$7),ROUND(DE361*($AP$3+#REF!),-1),""))</f>
        <v/>
      </c>
      <c r="DG361" s="517"/>
      <c r="DH361" s="503" t="str">
        <f>IF($G361="","",IF(AND($G361&gt;=30,$AT$3&lt;=DG$7),ROUND(DG361*($AP$3+#REF!),-1),""))</f>
        <v/>
      </c>
      <c r="DI361" s="517"/>
      <c r="DJ361" s="503" t="str">
        <f>IF($G361="","",IF(AND($G361&gt;=30,$AT$3&lt;=DI$7),ROUND(DI361*($AP$3+#REF!),-1),""))</f>
        <v/>
      </c>
      <c r="DK361" s="517"/>
      <c r="DL361" s="503" t="str">
        <f>IF($G361="","",IF(AND($G361&gt;=30,$AT$3&lt;=DK$7),ROUND(DK361*($AP$3+#REF!),-1),""))</f>
        <v/>
      </c>
      <c r="DM361" s="517"/>
      <c r="DN361" s="503" t="str">
        <f>IF($G361="","",IF(AND($G361&gt;=30,$AT$3&lt;=DM$7),ROUND(DM361*($AP$3+#REF!),-1),""))</f>
        <v/>
      </c>
      <c r="DO361" s="517"/>
      <c r="DP361" s="503" t="str">
        <f>IF($G361="","",IF(AND($G361&gt;=30,$AT$3&lt;=DO$7),ROUND(DO361*($AP$3+#REF!),-1),""))</f>
        <v/>
      </c>
      <c r="DQ361" s="517"/>
      <c r="DR361" s="503" t="str">
        <f>IF($G361="","",IF(AND($G361&gt;=30,$AT$3&lt;=DQ$7),ROUND(DQ361*($AP$3+#REF!),-1),""))</f>
        <v/>
      </c>
      <c r="DS361" s="517"/>
      <c r="DT361" s="503" t="str">
        <f>IF($G361="","",IF(AND($G361&gt;=30,$AT$3&lt;=DS$7),ROUND(DS361*($AP$3+#REF!),-1),""))</f>
        <v/>
      </c>
      <c r="DU361" s="517"/>
      <c r="DV361" s="503" t="str">
        <f>IF($G361="","",IF(AND($G361&gt;=30,$AT$3&lt;=DU$7),ROUND(DU361*($AP$3+#REF!),-1),""))</f>
        <v/>
      </c>
      <c r="DW361" s="517"/>
      <c r="DX361" s="503" t="str">
        <f>IF($G361="","",IF(AND($G361&gt;=30,$AT$3&lt;=DW$7),ROUND(DW361*($AP$3+#REF!),-1),""))</f>
        <v/>
      </c>
      <c r="DY361" s="517"/>
      <c r="DZ361" s="503" t="str">
        <f>IF($G361="","",IF(AND($G361&gt;=30,$AT$3&lt;=DY$7),ROUND(DY361*($AP$3+#REF!),-1),""))</f>
        <v/>
      </c>
      <c r="EA361" s="517"/>
      <c r="EB361" s="503" t="str">
        <f>IF($G361="","",IF(AND($G361&gt;=30,$AT$3&lt;=EA$7),ROUND(EA361*($AP$3+#REF!),-1),""))</f>
        <v/>
      </c>
      <c r="EC361" s="504" t="s">
        <v>621</v>
      </c>
      <c r="ED361" s="1124"/>
      <c r="EE361" s="325">
        <v>5</v>
      </c>
    </row>
    <row r="362" spans="1:135" ht="9.75" customHeight="1">
      <c r="A362" s="321" t="str">
        <f t="shared" si="82"/>
        <v/>
      </c>
      <c r="B362" s="567">
        <f>(ii!$D$13*12+V362)+1</f>
        <v>256</v>
      </c>
      <c r="C362" s="337">
        <f t="shared" si="86"/>
        <v>53143</v>
      </c>
      <c r="D362" s="484">
        <f t="shared" si="89"/>
        <v>2045</v>
      </c>
      <c r="E362" s="484">
        <f t="shared" si="87"/>
        <v>0.5</v>
      </c>
      <c r="F362" s="484">
        <f t="shared" si="90"/>
        <v>2045.5</v>
      </c>
      <c r="G362" s="485" t="str">
        <f>IF(OR(C362&lt;$I$2,C362&gt;$J$3),"",(ii!$D$13*12+V362+1)/12)</f>
        <v/>
      </c>
      <c r="H362" s="486"/>
      <c r="I362" s="486"/>
      <c r="J362" s="487"/>
      <c r="K362" s="488"/>
      <c r="L362" s="548"/>
      <c r="M362" s="489" t="str">
        <f t="shared" si="91"/>
        <v/>
      </c>
      <c r="N362" s="490" t="s">
        <v>621</v>
      </c>
      <c r="O362" s="490" t="str">
        <f t="shared" si="84"/>
        <v/>
      </c>
      <c r="P362" s="491"/>
      <c r="Q362" s="491"/>
      <c r="R362" s="491" t="str">
        <f t="shared" si="85"/>
        <v/>
      </c>
      <c r="S362" s="528" t="str">
        <f t="shared" si="83"/>
        <v/>
      </c>
      <c r="T362" s="528" t="str">
        <f t="shared" si="81"/>
        <v/>
      </c>
      <c r="U362" s="493" t="str">
        <f>IF(H362="","",#REF!*12+#REF!+#REF!*12+#REF!)</f>
        <v/>
      </c>
      <c r="V362" s="338">
        <f>IF(ii!$J$3&gt;gg!C362,"",IF(AND((YEAR(C362)=YEAR($I$2)),MONTH(C362)=MONTH($I$2)),ii!$B$14*12+ii!$C$14+ii!$B$15*12+ii!$C$15-1,V361+1))</f>
        <v>255</v>
      </c>
      <c r="W362" s="339">
        <f t="shared" si="88"/>
        <v>21.25</v>
      </c>
      <c r="X362" s="494" t="s">
        <v>621</v>
      </c>
      <c r="Y362" s="495" t="s">
        <v>621</v>
      </c>
      <c r="Z362" s="496"/>
      <c r="AA362" s="497"/>
      <c r="AB362" s="498" t="e">
        <f t="shared" si="94"/>
        <v>#VALUE!</v>
      </c>
      <c r="AC362" s="484" t="str">
        <f t="shared" si="92"/>
        <v/>
      </c>
      <c r="AD362" s="495" t="str">
        <f t="shared" si="93"/>
        <v/>
      </c>
      <c r="AE362" s="499" t="s">
        <v>621</v>
      </c>
      <c r="AF362" s="500" t="s">
        <v>621</v>
      </c>
      <c r="AG362" s="556" t="s">
        <v>621</v>
      </c>
      <c r="AH362" s="503" t="str">
        <f>IF($G362="","",IF(AND($G362&gt;=30,$AT$3&lt;=AG$7),ROUND(AG362*($AP$3+#REF!),-1),""))</f>
        <v/>
      </c>
      <c r="AI362" s="506" t="s">
        <v>621</v>
      </c>
      <c r="AJ362" s="503" t="str">
        <f>IF($G362="","",IF(AND($G362&gt;=30,$AT$3&lt;=AI$7),ROUND(AI362*($AP$3+#REF!),-1),""))</f>
        <v/>
      </c>
      <c r="AK362" s="506" t="s">
        <v>621</v>
      </c>
      <c r="AL362" s="503" t="str">
        <f>IF($G362="","",IF(AND($G362&gt;=30,$AT$3&lt;=AK$7),ROUND(AK362*($AP$3+#REF!),-1),""))</f>
        <v/>
      </c>
      <c r="AM362" s="506" t="s">
        <v>621</v>
      </c>
      <c r="AN362" s="503" t="str">
        <f>IF($G362="","",IF(AND($G362&gt;=30,$AT$3&lt;=AM$7),ROUND(AM362*($AP$3+#REF!),-1),""))</f>
        <v/>
      </c>
      <c r="AO362" s="503" t="e">
        <v>#REF!</v>
      </c>
      <c r="AP362" s="503" t="str">
        <f>IF($G362="","",IF(AND($G362&gt;=30,$AT$3&lt;=AO$7),ROUND(AO362*($AP$3+#REF!),-1),""))</f>
        <v/>
      </c>
      <c r="AQ362" s="503" t="s">
        <v>621</v>
      </c>
      <c r="AR362" s="503" t="str">
        <f>IF($G362="","",IF(AND($G362&gt;=30,$AT$3&lt;=AQ$7),ROUND(AQ362*($AP$3+#REF!),-1),""))</f>
        <v/>
      </c>
      <c r="AS362" s="503" t="s">
        <v>621</v>
      </c>
      <c r="AT362" s="503" t="str">
        <f>IF($G362="","",IF(AND($G362&gt;=30,$AT$3&lt;=AS$7),ROUND(AS362*($AP$3+#REF!),-1),""))</f>
        <v/>
      </c>
      <c r="AU362" s="503" t="s">
        <v>621</v>
      </c>
      <c r="AV362" s="503" t="str">
        <f>IF($G362="","",IF(AND($G362&gt;=30,$AT$3&lt;=AU$7),ROUND(AU362*($AP$3+#REF!),-1),""))</f>
        <v/>
      </c>
      <c r="AW362" s="503" t="s">
        <v>621</v>
      </c>
      <c r="AX362" s="503" t="str">
        <f>IF($G362="","",IF(AND($G362&gt;=30,$AT$3&lt;=AW$7),ROUND(AW362*($AP$3+#REF!),-1),""))</f>
        <v/>
      </c>
      <c r="AY362" s="503" t="s">
        <v>621</v>
      </c>
      <c r="AZ362" s="503" t="str">
        <f>IF($G362="","",IF(AND($G362&gt;=30,$AT$3&lt;=AY$7),ROUND(AY362*($AP$3+#REF!),-1),""))</f>
        <v/>
      </c>
      <c r="BA362" s="503" t="s">
        <v>621</v>
      </c>
      <c r="BB362" s="503" t="str">
        <f>IF($G362="","",IF(AND($G362&gt;=30,$AT$3&lt;=BA$7),ROUND(BA362*($AP$3+#REF!),-1),""))</f>
        <v/>
      </c>
      <c r="BC362" s="503" t="s">
        <v>621</v>
      </c>
      <c r="BD362" s="503" t="str">
        <f>IF($G362="","",IF(AND($G362&gt;=30,$AT$3&lt;=BC$7),ROUND(BC362*($AP$3+#REF!),-1),""))</f>
        <v/>
      </c>
      <c r="BE362" s="503" t="s">
        <v>621</v>
      </c>
      <c r="BF362" s="503" t="str">
        <f>IF($G362="","",IF(AND($G362&gt;=30,$AT$3&lt;=BE$7),ROUND(BE362*($AP$3+#REF!),-1),""))</f>
        <v/>
      </c>
      <c r="BG362" s="503" t="s">
        <v>621</v>
      </c>
      <c r="BH362" s="503" t="str">
        <f>IF($G362="","",IF(AND($G362&gt;=30,$AT$3&lt;=BG$7),ROUND(BG362*($AP$3+#REF!),-1),""))</f>
        <v/>
      </c>
      <c r="BI362" s="503" t="s">
        <v>621</v>
      </c>
      <c r="BJ362" s="503" t="str">
        <f>IF($G362="","",IF(AND($G362&gt;=30,$AT$3&lt;=BI$7),ROUND(BI362*($AP$3+#REF!),-1),""))</f>
        <v/>
      </c>
      <c r="BK362" s="503" t="s">
        <v>621</v>
      </c>
      <c r="BL362" s="503" t="str">
        <f>IF($G362="","",IF(AND($G362&gt;=30,$AT$3&lt;=BK$7),ROUND(BK362*($AP$3+#REF!),-1),""))</f>
        <v/>
      </c>
      <c r="BM362" s="503" t="s">
        <v>621</v>
      </c>
      <c r="BN362" s="503" t="str">
        <f>IF($G362="","",IF(AND($G362&gt;=30,$AT$3&lt;=BM$7),ROUND(BM362*($AP$3+#REF!),-1),""))</f>
        <v/>
      </c>
      <c r="BO362" s="503" t="s">
        <v>621</v>
      </c>
      <c r="BP362" s="503" t="str">
        <f>IF($G362="","",IF(AND($G362&gt;=30,$AT$3&lt;=BO$7),ROUND(BO362*($AP$3+#REF!),-1),""))</f>
        <v/>
      </c>
      <c r="BQ362" s="503" t="s">
        <v>621</v>
      </c>
      <c r="BR362" s="503" t="str">
        <f>IF($G362="","",IF(AND($G362&gt;=30,$AT$3&lt;=BQ$7),ROUND(BQ362*($AP$3+#REF!),-1),""))</f>
        <v/>
      </c>
      <c r="BS362" s="503" t="s">
        <v>621</v>
      </c>
      <c r="BT362" s="503" t="str">
        <f>IF($G362="","",IF(AND($G362&gt;=30,$AT$3&lt;=BS$7),ROUND(BS362*($AP$3+#REF!),-1),""))</f>
        <v/>
      </c>
      <c r="BU362" s="503" t="s">
        <v>621</v>
      </c>
      <c r="BV362" s="503" t="str">
        <f>IF($G362="","",IF(AND($G362&gt;=30,$AT$3&lt;=BU$7),ROUND(BU362*($AP$3+#REF!),-1),""))</f>
        <v/>
      </c>
      <c r="BW362" s="503" t="s">
        <v>621</v>
      </c>
      <c r="BX362" s="503" t="str">
        <f>IF($G362="","",IF(AND($G362&gt;=30,$AT$3&lt;=BW$7),ROUND(BW362*($AP$3+#REF!),-1),""))</f>
        <v/>
      </c>
      <c r="BY362" s="503" t="s">
        <v>621</v>
      </c>
      <c r="BZ362" s="503" t="str">
        <f>IF($G362="","",IF(AND($G362&gt;=30,$AT$3&lt;=BY$7),ROUND(BY362*($AP$3+#REF!),-1),""))</f>
        <v/>
      </c>
      <c r="CA362" s="503" t="s">
        <v>621</v>
      </c>
      <c r="CB362" s="503" t="str">
        <f>IF($G362="","",IF(AND($G362&gt;=30,$AT$3&lt;=CA$7),ROUND(CA362*($AP$3+#REF!),-1),""))</f>
        <v/>
      </c>
      <c r="CC362" s="503" t="s">
        <v>621</v>
      </c>
      <c r="CD362" s="503" t="str">
        <f>IF($G362="","",IF(AND($G362&gt;=30,$AT$3&lt;=CC$7),ROUND(CC362*($AP$3+#REF!),-1),""))</f>
        <v/>
      </c>
      <c r="CE362" s="503" t="s">
        <v>621</v>
      </c>
      <c r="CF362" s="503" t="str">
        <f>IF($G362="","",IF(AND($G362&gt;=30,$AT$3&lt;=CE$7),ROUND(CE362*($AP$3+#REF!),-1),""))</f>
        <v/>
      </c>
      <c r="CG362" s="503" t="s">
        <v>621</v>
      </c>
      <c r="CH362" s="503" t="str">
        <f>IF($G362="","",IF(AND($G362&gt;=30,$AT$3&lt;=CG$7),ROUND(CG362*($AP$3+#REF!),-1),""))</f>
        <v/>
      </c>
      <c r="CI362" s="503" t="s">
        <v>621</v>
      </c>
      <c r="CJ362" s="503" t="str">
        <f>IF($G362="","",IF(AND($G362&gt;=30,$AT$3&lt;=CI$7),ROUND(CI362*($AP$3+#REF!),-1),""))</f>
        <v/>
      </c>
      <c r="CK362" s="503" t="s">
        <v>621</v>
      </c>
      <c r="CL362" s="503" t="str">
        <f>IF($G362="","",IF(AND($G362&gt;=30,$AT$3&lt;=CK$7),ROUND(CK362*($AP$3+#REF!),-1),""))</f>
        <v/>
      </c>
      <c r="CM362" s="517" t="e">
        <v>#REF!</v>
      </c>
      <c r="CN362" s="503" t="str">
        <f>IF($G362="","",IF(AND($G362&gt;=30,$AT$3&lt;=CM$7),ROUND(CM362*($AP$3+#REF!),-1),""))</f>
        <v/>
      </c>
      <c r="CO362" s="517"/>
      <c r="CP362" s="503" t="str">
        <f>IF($G362="","",IF(AND($G362&gt;=30,$AT$3&lt;=CO$7),ROUND(CO362*($AP$3+#REF!),-1),""))</f>
        <v/>
      </c>
      <c r="CQ362" s="517"/>
      <c r="CR362" s="503" t="str">
        <f>IF($G362="","",IF(AND($G362&gt;=30,$AT$3&lt;=CQ$7),ROUND(CQ362*($AP$3+#REF!),-1),""))</f>
        <v/>
      </c>
      <c r="CS362" s="517"/>
      <c r="CT362" s="503" t="str">
        <f>IF($G362="","",IF(AND($G362&gt;=30,$AT$3&lt;=CS$7),ROUND(CS362*($AP$3+#REF!),-1),""))</f>
        <v/>
      </c>
      <c r="CU362" s="517"/>
      <c r="CV362" s="503" t="str">
        <f>IF($G362="","",IF(AND($G362&gt;=30,$AT$3&lt;=CU$7),ROUND(CU362*($AP$3+#REF!),-1),""))</f>
        <v/>
      </c>
      <c r="CW362" s="517"/>
      <c r="CX362" s="503" t="str">
        <f>IF($G362="","",IF(AND($G362&gt;=30,$AT$3&lt;=CW$7),ROUND(CW362*($AP$3+#REF!),-1),""))</f>
        <v/>
      </c>
      <c r="CY362" s="517"/>
      <c r="CZ362" s="503" t="str">
        <f>IF($G362="","",IF(AND($G362&gt;=30,$AT$3&lt;=CY$7),ROUND(CY362*($AP$3+#REF!),-1),""))</f>
        <v/>
      </c>
      <c r="DA362" s="517"/>
      <c r="DB362" s="503" t="str">
        <f>IF($G362="","",IF(AND($G362&gt;=30,$AT$3&lt;=DA$7),ROUND(DA362*($AP$3+#REF!),-1),""))</f>
        <v/>
      </c>
      <c r="DC362" s="517"/>
      <c r="DD362" s="503" t="str">
        <f>IF($G362="","",IF(AND($G362&gt;=30,$AT$3&lt;=DC$7),ROUND(DC362*($AP$3+#REF!),-1),""))</f>
        <v/>
      </c>
      <c r="DE362" s="517"/>
      <c r="DF362" s="503" t="str">
        <f>IF($G362="","",IF(AND($G362&gt;=30,$AT$3&lt;=DE$7),ROUND(DE362*($AP$3+#REF!),-1),""))</f>
        <v/>
      </c>
      <c r="DG362" s="517"/>
      <c r="DH362" s="503" t="str">
        <f>IF($G362="","",IF(AND($G362&gt;=30,$AT$3&lt;=DG$7),ROUND(DG362*($AP$3+#REF!),-1),""))</f>
        <v/>
      </c>
      <c r="DI362" s="517"/>
      <c r="DJ362" s="503" t="str">
        <f>IF($G362="","",IF(AND($G362&gt;=30,$AT$3&lt;=DI$7),ROUND(DI362*($AP$3+#REF!),-1),""))</f>
        <v/>
      </c>
      <c r="DK362" s="517"/>
      <c r="DL362" s="503" t="str">
        <f>IF($G362="","",IF(AND($G362&gt;=30,$AT$3&lt;=DK$7),ROUND(DK362*($AP$3+#REF!),-1),""))</f>
        <v/>
      </c>
      <c r="DM362" s="517"/>
      <c r="DN362" s="503" t="str">
        <f>IF($G362="","",IF(AND($G362&gt;=30,$AT$3&lt;=DM$7),ROUND(DM362*($AP$3+#REF!),-1),""))</f>
        <v/>
      </c>
      <c r="DO362" s="517"/>
      <c r="DP362" s="503" t="str">
        <f>IF($G362="","",IF(AND($G362&gt;=30,$AT$3&lt;=DO$7),ROUND(DO362*($AP$3+#REF!),-1),""))</f>
        <v/>
      </c>
      <c r="DQ362" s="517"/>
      <c r="DR362" s="503" t="str">
        <f>IF($G362="","",IF(AND($G362&gt;=30,$AT$3&lt;=DQ$7),ROUND(DQ362*($AP$3+#REF!),-1),""))</f>
        <v/>
      </c>
      <c r="DS362" s="517"/>
      <c r="DT362" s="503" t="str">
        <f>IF($G362="","",IF(AND($G362&gt;=30,$AT$3&lt;=DS$7),ROUND(DS362*($AP$3+#REF!),-1),""))</f>
        <v/>
      </c>
      <c r="DU362" s="517"/>
      <c r="DV362" s="503" t="str">
        <f>IF($G362="","",IF(AND($G362&gt;=30,$AT$3&lt;=DU$7),ROUND(DU362*($AP$3+#REF!),-1),""))</f>
        <v/>
      </c>
      <c r="DW362" s="517"/>
      <c r="DX362" s="503" t="str">
        <f>IF($G362="","",IF(AND($G362&gt;=30,$AT$3&lt;=DW$7),ROUND(DW362*($AP$3+#REF!),-1),""))</f>
        <v/>
      </c>
      <c r="DY362" s="517"/>
      <c r="DZ362" s="503" t="str">
        <f>IF($G362="","",IF(AND($G362&gt;=30,$AT$3&lt;=DY$7),ROUND(DY362*($AP$3+#REF!),-1),""))</f>
        <v/>
      </c>
      <c r="EA362" s="517"/>
      <c r="EB362" s="503" t="str">
        <f>IF($G362="","",IF(AND($G362&gt;=30,$AT$3&lt;=EA$7),ROUND(EA362*($AP$3+#REF!),-1),""))</f>
        <v/>
      </c>
      <c r="EC362" s="504" t="s">
        <v>621</v>
      </c>
      <c r="ED362" s="1124"/>
      <c r="EE362" s="325">
        <v>6</v>
      </c>
    </row>
    <row r="363" spans="1:135" ht="9.75" customHeight="1">
      <c r="A363" s="321" t="str">
        <f t="shared" si="82"/>
        <v/>
      </c>
      <c r="B363" s="567">
        <f>(ii!$D$13*12+V363)+1</f>
        <v>257</v>
      </c>
      <c r="C363" s="337">
        <f t="shared" si="86"/>
        <v>53174</v>
      </c>
      <c r="D363" s="484">
        <f t="shared" si="89"/>
        <v>2045</v>
      </c>
      <c r="E363" s="484">
        <f t="shared" si="87"/>
        <v>0.58333333333333337</v>
      </c>
      <c r="F363" s="484">
        <f t="shared" si="90"/>
        <v>2045.5833333333333</v>
      </c>
      <c r="G363" s="485" t="str">
        <f>IF(OR(C363&lt;$I$2,C363&gt;$J$3),"",(ii!$D$13*12+V363+1)/12)</f>
        <v/>
      </c>
      <c r="H363" s="486"/>
      <c r="I363" s="486"/>
      <c r="J363" s="487"/>
      <c r="K363" s="488"/>
      <c r="L363" s="548"/>
      <c r="M363" s="489" t="str">
        <f t="shared" si="91"/>
        <v/>
      </c>
      <c r="N363" s="490" t="s">
        <v>621</v>
      </c>
      <c r="O363" s="490" t="str">
        <f t="shared" si="84"/>
        <v/>
      </c>
      <c r="P363" s="491"/>
      <c r="Q363" s="491"/>
      <c r="R363" s="491" t="str">
        <f t="shared" si="85"/>
        <v/>
      </c>
      <c r="S363" s="528" t="str">
        <f t="shared" si="83"/>
        <v/>
      </c>
      <c r="T363" s="528" t="str">
        <f t="shared" si="81"/>
        <v/>
      </c>
      <c r="U363" s="493" t="str">
        <f>IF(H363="","",#REF!*12+#REF!+#REF!*12+#REF!)</f>
        <v/>
      </c>
      <c r="V363" s="338">
        <f>IF(ii!$J$3&gt;gg!C363,"",IF(AND((YEAR(C363)=YEAR($I$2)),MONTH(C363)=MONTH($I$2)),ii!$B$14*12+ii!$C$14+ii!$B$15*12+ii!$C$15-1,V362+1))</f>
        <v>256</v>
      </c>
      <c r="W363" s="339">
        <f t="shared" si="88"/>
        <v>21.333333333333332</v>
      </c>
      <c r="X363" s="494" t="s">
        <v>621</v>
      </c>
      <c r="Y363" s="495" t="s">
        <v>621</v>
      </c>
      <c r="Z363" s="496"/>
      <c r="AA363" s="497"/>
      <c r="AB363" s="498" t="e">
        <f t="shared" si="94"/>
        <v>#VALUE!</v>
      </c>
      <c r="AC363" s="484" t="str">
        <f t="shared" si="92"/>
        <v/>
      </c>
      <c r="AD363" s="495" t="str">
        <f t="shared" si="93"/>
        <v/>
      </c>
      <c r="AE363" s="499" t="s">
        <v>621</v>
      </c>
      <c r="AF363" s="500" t="s">
        <v>621</v>
      </c>
      <c r="AG363" s="556" t="s">
        <v>621</v>
      </c>
      <c r="AH363" s="503" t="str">
        <f>IF($G363="","",IF(AND($G363&gt;=30,$AT$3&lt;=AG$7),ROUND(AG363*($AP$3+#REF!),-1),""))</f>
        <v/>
      </c>
      <c r="AI363" s="506" t="s">
        <v>621</v>
      </c>
      <c r="AJ363" s="503" t="str">
        <f>IF($G363="","",IF(AND($G363&gt;=30,$AT$3&lt;=AI$7),ROUND(AI363*($AP$3+#REF!),-1),""))</f>
        <v/>
      </c>
      <c r="AK363" s="506" t="s">
        <v>621</v>
      </c>
      <c r="AL363" s="503" t="str">
        <f>IF($G363="","",IF(AND($G363&gt;=30,$AT$3&lt;=AK$7),ROUND(AK363*($AP$3+#REF!),-1),""))</f>
        <v/>
      </c>
      <c r="AM363" s="506" t="s">
        <v>621</v>
      </c>
      <c r="AN363" s="503" t="str">
        <f>IF($G363="","",IF(AND($G363&gt;=30,$AT$3&lt;=AM$7),ROUND(AM363*($AP$3+#REF!),-1),""))</f>
        <v/>
      </c>
      <c r="AO363" s="503" t="e">
        <v>#REF!</v>
      </c>
      <c r="AP363" s="503" t="str">
        <f>IF($G363="","",IF(AND($G363&gt;=30,$AT$3&lt;=AO$7),ROUND(AO363*($AP$3+#REF!),-1),""))</f>
        <v/>
      </c>
      <c r="AQ363" s="503" t="s">
        <v>621</v>
      </c>
      <c r="AR363" s="503" t="str">
        <f>IF($G363="","",IF(AND($G363&gt;=30,$AT$3&lt;=AQ$7),ROUND(AQ363*($AP$3+#REF!),-1),""))</f>
        <v/>
      </c>
      <c r="AS363" s="503" t="s">
        <v>621</v>
      </c>
      <c r="AT363" s="503" t="str">
        <f>IF($G363="","",IF(AND($G363&gt;=30,$AT$3&lt;=AS$7),ROUND(AS363*($AP$3+#REF!),-1),""))</f>
        <v/>
      </c>
      <c r="AU363" s="503" t="s">
        <v>621</v>
      </c>
      <c r="AV363" s="503" t="str">
        <f>IF($G363="","",IF(AND($G363&gt;=30,$AT$3&lt;=AU$7),ROUND(AU363*($AP$3+#REF!),-1),""))</f>
        <v/>
      </c>
      <c r="AW363" s="503" t="s">
        <v>621</v>
      </c>
      <c r="AX363" s="503" t="str">
        <f>IF($G363="","",IF(AND($G363&gt;=30,$AT$3&lt;=AW$7),ROUND(AW363*($AP$3+#REF!),-1),""))</f>
        <v/>
      </c>
      <c r="AY363" s="503" t="s">
        <v>621</v>
      </c>
      <c r="AZ363" s="503" t="str">
        <f>IF($G363="","",IF(AND($G363&gt;=30,$AT$3&lt;=AY$7),ROUND(AY363*($AP$3+#REF!),-1),""))</f>
        <v/>
      </c>
      <c r="BA363" s="503" t="s">
        <v>621</v>
      </c>
      <c r="BB363" s="503" t="str">
        <f>IF($G363="","",IF(AND($G363&gt;=30,$AT$3&lt;=BA$7),ROUND(BA363*($AP$3+#REF!),-1),""))</f>
        <v/>
      </c>
      <c r="BC363" s="503" t="s">
        <v>621</v>
      </c>
      <c r="BD363" s="503" t="str">
        <f>IF($G363="","",IF(AND($G363&gt;=30,$AT$3&lt;=BC$7),ROUND(BC363*($AP$3+#REF!),-1),""))</f>
        <v/>
      </c>
      <c r="BE363" s="503" t="s">
        <v>621</v>
      </c>
      <c r="BF363" s="503" t="str">
        <f>IF($G363="","",IF(AND($G363&gt;=30,$AT$3&lt;=BE$7),ROUND(BE363*($AP$3+#REF!),-1),""))</f>
        <v/>
      </c>
      <c r="BG363" s="503" t="s">
        <v>621</v>
      </c>
      <c r="BH363" s="503" t="str">
        <f>IF($G363="","",IF(AND($G363&gt;=30,$AT$3&lt;=BG$7),ROUND(BG363*($AP$3+#REF!),-1),""))</f>
        <v/>
      </c>
      <c r="BI363" s="503" t="s">
        <v>621</v>
      </c>
      <c r="BJ363" s="503" t="str">
        <f>IF($G363="","",IF(AND($G363&gt;=30,$AT$3&lt;=BI$7),ROUND(BI363*($AP$3+#REF!),-1),""))</f>
        <v/>
      </c>
      <c r="BK363" s="503" t="s">
        <v>621</v>
      </c>
      <c r="BL363" s="503" t="str">
        <f>IF($G363="","",IF(AND($G363&gt;=30,$AT$3&lt;=BK$7),ROUND(BK363*($AP$3+#REF!),-1),""))</f>
        <v/>
      </c>
      <c r="BM363" s="503" t="s">
        <v>621</v>
      </c>
      <c r="BN363" s="503" t="str">
        <f>IF($G363="","",IF(AND($G363&gt;=30,$AT$3&lt;=BM$7),ROUND(BM363*($AP$3+#REF!),-1),""))</f>
        <v/>
      </c>
      <c r="BO363" s="503" t="s">
        <v>621</v>
      </c>
      <c r="BP363" s="503" t="str">
        <f>IF($G363="","",IF(AND($G363&gt;=30,$AT$3&lt;=BO$7),ROUND(BO363*($AP$3+#REF!),-1),""))</f>
        <v/>
      </c>
      <c r="BQ363" s="503" t="s">
        <v>621</v>
      </c>
      <c r="BR363" s="503" t="str">
        <f>IF($G363="","",IF(AND($G363&gt;=30,$AT$3&lt;=BQ$7),ROUND(BQ363*($AP$3+#REF!),-1),""))</f>
        <v/>
      </c>
      <c r="BS363" s="503" t="s">
        <v>621</v>
      </c>
      <c r="BT363" s="503" t="str">
        <f>IF($G363="","",IF(AND($G363&gt;=30,$AT$3&lt;=BS$7),ROUND(BS363*($AP$3+#REF!),-1),""))</f>
        <v/>
      </c>
      <c r="BU363" s="503" t="s">
        <v>621</v>
      </c>
      <c r="BV363" s="503" t="str">
        <f>IF($G363="","",IF(AND($G363&gt;=30,$AT$3&lt;=BU$7),ROUND(BU363*($AP$3+#REF!),-1),""))</f>
        <v/>
      </c>
      <c r="BW363" s="503" t="s">
        <v>621</v>
      </c>
      <c r="BX363" s="503" t="str">
        <f>IF($G363="","",IF(AND($G363&gt;=30,$AT$3&lt;=BW$7),ROUND(BW363*($AP$3+#REF!),-1),""))</f>
        <v/>
      </c>
      <c r="BY363" s="503" t="s">
        <v>621</v>
      </c>
      <c r="BZ363" s="503" t="str">
        <f>IF($G363="","",IF(AND($G363&gt;=30,$AT$3&lt;=BY$7),ROUND(BY363*($AP$3+#REF!),-1),""))</f>
        <v/>
      </c>
      <c r="CA363" s="503" t="s">
        <v>621</v>
      </c>
      <c r="CB363" s="503" t="str">
        <f>IF($G363="","",IF(AND($G363&gt;=30,$AT$3&lt;=CA$7),ROUND(CA363*($AP$3+#REF!),-1),""))</f>
        <v/>
      </c>
      <c r="CC363" s="503" t="s">
        <v>621</v>
      </c>
      <c r="CD363" s="503" t="str">
        <f>IF($G363="","",IF(AND($G363&gt;=30,$AT$3&lt;=CC$7),ROUND(CC363*($AP$3+#REF!),-1),""))</f>
        <v/>
      </c>
      <c r="CE363" s="503" t="s">
        <v>621</v>
      </c>
      <c r="CF363" s="503" t="str">
        <f>IF($G363="","",IF(AND($G363&gt;=30,$AT$3&lt;=CE$7),ROUND(CE363*($AP$3+#REF!),-1),""))</f>
        <v/>
      </c>
      <c r="CG363" s="503" t="s">
        <v>621</v>
      </c>
      <c r="CH363" s="503" t="str">
        <f>IF($G363="","",IF(AND($G363&gt;=30,$AT$3&lt;=CG$7),ROUND(CG363*($AP$3+#REF!),-1),""))</f>
        <v/>
      </c>
      <c r="CI363" s="503" t="s">
        <v>621</v>
      </c>
      <c r="CJ363" s="503" t="str">
        <f>IF($G363="","",IF(AND($G363&gt;=30,$AT$3&lt;=CI$7),ROUND(CI363*($AP$3+#REF!),-1),""))</f>
        <v/>
      </c>
      <c r="CK363" s="503" t="s">
        <v>621</v>
      </c>
      <c r="CL363" s="503" t="str">
        <f>IF($G363="","",IF(AND($G363&gt;=30,$AT$3&lt;=CK$7),ROUND(CK363*($AP$3+#REF!),-1),""))</f>
        <v/>
      </c>
      <c r="CM363" s="517" t="e">
        <v>#REF!</v>
      </c>
      <c r="CN363" s="503" t="str">
        <f>IF($G363="","",IF(AND($G363&gt;=30,$AT$3&lt;=CM$7),ROUND(CM363*($AP$3+#REF!),-1),""))</f>
        <v/>
      </c>
      <c r="CO363" s="517"/>
      <c r="CP363" s="503" t="str">
        <f>IF($G363="","",IF(AND($G363&gt;=30,$AT$3&lt;=CO$7),ROUND(CO363*($AP$3+#REF!),-1),""))</f>
        <v/>
      </c>
      <c r="CQ363" s="517"/>
      <c r="CR363" s="503" t="str">
        <f>IF($G363="","",IF(AND($G363&gt;=30,$AT$3&lt;=CQ$7),ROUND(CQ363*($AP$3+#REF!),-1),""))</f>
        <v/>
      </c>
      <c r="CS363" s="517"/>
      <c r="CT363" s="503" t="str">
        <f>IF($G363="","",IF(AND($G363&gt;=30,$AT$3&lt;=CS$7),ROUND(CS363*($AP$3+#REF!),-1),""))</f>
        <v/>
      </c>
      <c r="CU363" s="517"/>
      <c r="CV363" s="503" t="str">
        <f>IF($G363="","",IF(AND($G363&gt;=30,$AT$3&lt;=CU$7),ROUND(CU363*($AP$3+#REF!),-1),""))</f>
        <v/>
      </c>
      <c r="CW363" s="517"/>
      <c r="CX363" s="503" t="str">
        <f>IF($G363="","",IF(AND($G363&gt;=30,$AT$3&lt;=CW$7),ROUND(CW363*($AP$3+#REF!),-1),""))</f>
        <v/>
      </c>
      <c r="CY363" s="517"/>
      <c r="CZ363" s="503" t="str">
        <f>IF($G363="","",IF(AND($G363&gt;=30,$AT$3&lt;=CY$7),ROUND(CY363*($AP$3+#REF!),-1),""))</f>
        <v/>
      </c>
      <c r="DA363" s="517"/>
      <c r="DB363" s="503" t="str">
        <f>IF($G363="","",IF(AND($G363&gt;=30,$AT$3&lt;=DA$7),ROUND(DA363*($AP$3+#REF!),-1),""))</f>
        <v/>
      </c>
      <c r="DC363" s="517"/>
      <c r="DD363" s="503" t="str">
        <f>IF($G363="","",IF(AND($G363&gt;=30,$AT$3&lt;=DC$7),ROUND(DC363*($AP$3+#REF!),-1),""))</f>
        <v/>
      </c>
      <c r="DE363" s="517"/>
      <c r="DF363" s="503" t="str">
        <f>IF($G363="","",IF(AND($G363&gt;=30,$AT$3&lt;=DE$7),ROUND(DE363*($AP$3+#REF!),-1),""))</f>
        <v/>
      </c>
      <c r="DG363" s="517"/>
      <c r="DH363" s="503" t="str">
        <f>IF($G363="","",IF(AND($G363&gt;=30,$AT$3&lt;=DG$7),ROUND(DG363*($AP$3+#REF!),-1),""))</f>
        <v/>
      </c>
      <c r="DI363" s="517"/>
      <c r="DJ363" s="503" t="str">
        <f>IF($G363="","",IF(AND($G363&gt;=30,$AT$3&lt;=DI$7),ROUND(DI363*($AP$3+#REF!),-1),""))</f>
        <v/>
      </c>
      <c r="DK363" s="517"/>
      <c r="DL363" s="503" t="str">
        <f>IF($G363="","",IF(AND($G363&gt;=30,$AT$3&lt;=DK$7),ROUND(DK363*($AP$3+#REF!),-1),""))</f>
        <v/>
      </c>
      <c r="DM363" s="517"/>
      <c r="DN363" s="503" t="str">
        <f>IF($G363="","",IF(AND($G363&gt;=30,$AT$3&lt;=DM$7),ROUND(DM363*($AP$3+#REF!),-1),""))</f>
        <v/>
      </c>
      <c r="DO363" s="517"/>
      <c r="DP363" s="503" t="str">
        <f>IF($G363="","",IF(AND($G363&gt;=30,$AT$3&lt;=DO$7),ROUND(DO363*($AP$3+#REF!),-1),""))</f>
        <v/>
      </c>
      <c r="DQ363" s="517"/>
      <c r="DR363" s="503" t="str">
        <f>IF($G363="","",IF(AND($G363&gt;=30,$AT$3&lt;=DQ$7),ROUND(DQ363*($AP$3+#REF!),-1),""))</f>
        <v/>
      </c>
      <c r="DS363" s="517"/>
      <c r="DT363" s="503" t="str">
        <f>IF($G363="","",IF(AND($G363&gt;=30,$AT$3&lt;=DS$7),ROUND(DS363*($AP$3+#REF!),-1),""))</f>
        <v/>
      </c>
      <c r="DU363" s="517"/>
      <c r="DV363" s="503" t="str">
        <f>IF($G363="","",IF(AND($G363&gt;=30,$AT$3&lt;=DU$7),ROUND(DU363*($AP$3+#REF!),-1),""))</f>
        <v/>
      </c>
      <c r="DW363" s="517"/>
      <c r="DX363" s="503" t="str">
        <f>IF($G363="","",IF(AND($G363&gt;=30,$AT$3&lt;=DW$7),ROUND(DW363*($AP$3+#REF!),-1),""))</f>
        <v/>
      </c>
      <c r="DY363" s="517"/>
      <c r="DZ363" s="503" t="str">
        <f>IF($G363="","",IF(AND($G363&gt;=30,$AT$3&lt;=DY$7),ROUND(DY363*($AP$3+#REF!),-1),""))</f>
        <v/>
      </c>
      <c r="EA363" s="517"/>
      <c r="EB363" s="503" t="str">
        <f>IF($G363="","",IF(AND($G363&gt;=30,$AT$3&lt;=EA$7),ROUND(EA363*($AP$3+#REF!),-1),""))</f>
        <v/>
      </c>
      <c r="EC363" s="504" t="s">
        <v>621</v>
      </c>
      <c r="ED363" s="1124"/>
      <c r="EE363" s="325">
        <v>7</v>
      </c>
    </row>
    <row r="364" spans="1:135" ht="9.75" customHeight="1">
      <c r="A364" s="321" t="str">
        <f t="shared" si="82"/>
        <v/>
      </c>
      <c r="B364" s="567">
        <f>(ii!$D$13*12+V364)+1</f>
        <v>258</v>
      </c>
      <c r="C364" s="337">
        <f t="shared" si="86"/>
        <v>53205</v>
      </c>
      <c r="D364" s="484">
        <f t="shared" si="89"/>
        <v>2045</v>
      </c>
      <c r="E364" s="484">
        <f t="shared" si="87"/>
        <v>0.66666666666666663</v>
      </c>
      <c r="F364" s="484">
        <f t="shared" si="90"/>
        <v>2045.6666666666667</v>
      </c>
      <c r="G364" s="485" t="str">
        <f>IF(OR(C364&lt;$I$2,C364&gt;$J$3),"",(ii!$D$13*12+V364+1)/12)</f>
        <v/>
      </c>
      <c r="H364" s="486"/>
      <c r="I364" s="486"/>
      <c r="J364" s="487"/>
      <c r="K364" s="488"/>
      <c r="L364" s="548"/>
      <c r="M364" s="489" t="str">
        <f t="shared" si="91"/>
        <v/>
      </c>
      <c r="N364" s="490" t="s">
        <v>621</v>
      </c>
      <c r="O364" s="490" t="str">
        <f t="shared" si="84"/>
        <v/>
      </c>
      <c r="P364" s="491"/>
      <c r="Q364" s="491"/>
      <c r="R364" s="491" t="str">
        <f t="shared" si="85"/>
        <v/>
      </c>
      <c r="S364" s="528" t="str">
        <f t="shared" si="83"/>
        <v/>
      </c>
      <c r="T364" s="528" t="str">
        <f t="shared" si="81"/>
        <v/>
      </c>
      <c r="U364" s="493" t="str">
        <f>IF(H364="","",#REF!*12+#REF!+#REF!*12+#REF!)</f>
        <v/>
      </c>
      <c r="V364" s="338">
        <f>IF(ii!$J$3&gt;gg!C364,"",IF(AND((YEAR(C364)=YEAR($I$2)),MONTH(C364)=MONTH($I$2)),ii!$B$14*12+ii!$C$14+ii!$B$15*12+ii!$C$15-1,V363+1))</f>
        <v>257</v>
      </c>
      <c r="W364" s="339">
        <f t="shared" si="88"/>
        <v>21.416666666666668</v>
      </c>
      <c r="X364" s="494" t="s">
        <v>621</v>
      </c>
      <c r="Y364" s="495" t="s">
        <v>621</v>
      </c>
      <c r="Z364" s="496"/>
      <c r="AA364" s="497"/>
      <c r="AB364" s="498" t="e">
        <f t="shared" si="94"/>
        <v>#VALUE!</v>
      </c>
      <c r="AC364" s="484" t="str">
        <f t="shared" si="92"/>
        <v/>
      </c>
      <c r="AD364" s="495" t="str">
        <f t="shared" si="93"/>
        <v/>
      </c>
      <c r="AE364" s="499" t="s">
        <v>621</v>
      </c>
      <c r="AF364" s="500" t="s">
        <v>621</v>
      </c>
      <c r="AG364" s="556" t="s">
        <v>621</v>
      </c>
      <c r="AH364" s="503" t="str">
        <f>IF($G364="","",IF(AND($G364&gt;=30,$AT$3&lt;=AG$7),ROUND(AG364*($AP$3+#REF!),-1),""))</f>
        <v/>
      </c>
      <c r="AI364" s="506" t="s">
        <v>621</v>
      </c>
      <c r="AJ364" s="503" t="str">
        <f>IF($G364="","",IF(AND($G364&gt;=30,$AT$3&lt;=AI$7),ROUND(AI364*($AP$3+#REF!),-1),""))</f>
        <v/>
      </c>
      <c r="AK364" s="506" t="s">
        <v>621</v>
      </c>
      <c r="AL364" s="503" t="str">
        <f>IF($G364="","",IF(AND($G364&gt;=30,$AT$3&lt;=AK$7),ROUND(AK364*($AP$3+#REF!),-1),""))</f>
        <v/>
      </c>
      <c r="AM364" s="506" t="s">
        <v>621</v>
      </c>
      <c r="AN364" s="503" t="str">
        <f>IF($G364="","",IF(AND($G364&gt;=30,$AT$3&lt;=AM$7),ROUND(AM364*($AP$3+#REF!),-1),""))</f>
        <v/>
      </c>
      <c r="AO364" s="503" t="e">
        <v>#REF!</v>
      </c>
      <c r="AP364" s="503" t="str">
        <f>IF($G364="","",IF(AND($G364&gt;=30,$AT$3&lt;=AO$7),ROUND(AO364*($AP$3+#REF!),-1),""))</f>
        <v/>
      </c>
      <c r="AQ364" s="503" t="s">
        <v>621</v>
      </c>
      <c r="AR364" s="503" t="str">
        <f>IF($G364="","",IF(AND($G364&gt;=30,$AT$3&lt;=AQ$7),ROUND(AQ364*($AP$3+#REF!),-1),""))</f>
        <v/>
      </c>
      <c r="AS364" s="503" t="s">
        <v>621</v>
      </c>
      <c r="AT364" s="503" t="str">
        <f>IF($G364="","",IF(AND($G364&gt;=30,$AT$3&lt;=AS$7),ROUND(AS364*($AP$3+#REF!),-1),""))</f>
        <v/>
      </c>
      <c r="AU364" s="503" t="s">
        <v>621</v>
      </c>
      <c r="AV364" s="503" t="str">
        <f>IF($G364="","",IF(AND($G364&gt;=30,$AT$3&lt;=AU$7),ROUND(AU364*($AP$3+#REF!),-1),""))</f>
        <v/>
      </c>
      <c r="AW364" s="503" t="s">
        <v>621</v>
      </c>
      <c r="AX364" s="503" t="str">
        <f>IF($G364="","",IF(AND($G364&gt;=30,$AT$3&lt;=AW$7),ROUND(AW364*($AP$3+#REF!),-1),""))</f>
        <v/>
      </c>
      <c r="AY364" s="503" t="s">
        <v>621</v>
      </c>
      <c r="AZ364" s="503" t="str">
        <f>IF($G364="","",IF(AND($G364&gt;=30,$AT$3&lt;=AY$7),ROUND(AY364*($AP$3+#REF!),-1),""))</f>
        <v/>
      </c>
      <c r="BA364" s="503" t="s">
        <v>621</v>
      </c>
      <c r="BB364" s="503" t="str">
        <f>IF($G364="","",IF(AND($G364&gt;=30,$AT$3&lt;=BA$7),ROUND(BA364*($AP$3+#REF!),-1),""))</f>
        <v/>
      </c>
      <c r="BC364" s="503" t="s">
        <v>621</v>
      </c>
      <c r="BD364" s="503" t="str">
        <f>IF($G364="","",IF(AND($G364&gt;=30,$AT$3&lt;=BC$7),ROUND(BC364*($AP$3+#REF!),-1),""))</f>
        <v/>
      </c>
      <c r="BE364" s="503" t="s">
        <v>621</v>
      </c>
      <c r="BF364" s="503" t="str">
        <f>IF($G364="","",IF(AND($G364&gt;=30,$AT$3&lt;=BE$7),ROUND(BE364*($AP$3+#REF!),-1),""))</f>
        <v/>
      </c>
      <c r="BG364" s="503" t="s">
        <v>621</v>
      </c>
      <c r="BH364" s="503" t="str">
        <f>IF($G364="","",IF(AND($G364&gt;=30,$AT$3&lt;=BG$7),ROUND(BG364*($AP$3+#REF!),-1),""))</f>
        <v/>
      </c>
      <c r="BI364" s="503" t="s">
        <v>621</v>
      </c>
      <c r="BJ364" s="503" t="str">
        <f>IF($G364="","",IF(AND($G364&gt;=30,$AT$3&lt;=BI$7),ROUND(BI364*($AP$3+#REF!),-1),""))</f>
        <v/>
      </c>
      <c r="BK364" s="503" t="s">
        <v>621</v>
      </c>
      <c r="BL364" s="503" t="str">
        <f>IF($G364="","",IF(AND($G364&gt;=30,$AT$3&lt;=BK$7),ROUND(BK364*($AP$3+#REF!),-1),""))</f>
        <v/>
      </c>
      <c r="BM364" s="503" t="s">
        <v>621</v>
      </c>
      <c r="BN364" s="503" t="str">
        <f>IF($G364="","",IF(AND($G364&gt;=30,$AT$3&lt;=BM$7),ROUND(BM364*($AP$3+#REF!),-1),""))</f>
        <v/>
      </c>
      <c r="BO364" s="503" t="s">
        <v>621</v>
      </c>
      <c r="BP364" s="503" t="str">
        <f>IF($G364="","",IF(AND($G364&gt;=30,$AT$3&lt;=BO$7),ROUND(BO364*($AP$3+#REF!),-1),""))</f>
        <v/>
      </c>
      <c r="BQ364" s="503" t="s">
        <v>621</v>
      </c>
      <c r="BR364" s="503" t="str">
        <f>IF($G364="","",IF(AND($G364&gt;=30,$AT$3&lt;=BQ$7),ROUND(BQ364*($AP$3+#REF!),-1),""))</f>
        <v/>
      </c>
      <c r="BS364" s="503" t="s">
        <v>621</v>
      </c>
      <c r="BT364" s="503" t="str">
        <f>IF($G364="","",IF(AND($G364&gt;=30,$AT$3&lt;=BS$7),ROUND(BS364*($AP$3+#REF!),-1),""))</f>
        <v/>
      </c>
      <c r="BU364" s="503" t="s">
        <v>621</v>
      </c>
      <c r="BV364" s="503" t="str">
        <f>IF($G364="","",IF(AND($G364&gt;=30,$AT$3&lt;=BU$7),ROUND(BU364*($AP$3+#REF!),-1),""))</f>
        <v/>
      </c>
      <c r="BW364" s="503" t="s">
        <v>621</v>
      </c>
      <c r="BX364" s="503" t="str">
        <f>IF($G364="","",IF(AND($G364&gt;=30,$AT$3&lt;=BW$7),ROUND(BW364*($AP$3+#REF!),-1),""))</f>
        <v/>
      </c>
      <c r="BY364" s="503" t="s">
        <v>621</v>
      </c>
      <c r="BZ364" s="503" t="str">
        <f>IF($G364="","",IF(AND($G364&gt;=30,$AT$3&lt;=BY$7),ROUND(BY364*($AP$3+#REF!),-1),""))</f>
        <v/>
      </c>
      <c r="CA364" s="503" t="s">
        <v>621</v>
      </c>
      <c r="CB364" s="503" t="str">
        <f>IF($G364="","",IF(AND($G364&gt;=30,$AT$3&lt;=CA$7),ROUND(CA364*($AP$3+#REF!),-1),""))</f>
        <v/>
      </c>
      <c r="CC364" s="503" t="s">
        <v>621</v>
      </c>
      <c r="CD364" s="503" t="str">
        <f>IF($G364="","",IF(AND($G364&gt;=30,$AT$3&lt;=CC$7),ROUND(CC364*($AP$3+#REF!),-1),""))</f>
        <v/>
      </c>
      <c r="CE364" s="503" t="s">
        <v>621</v>
      </c>
      <c r="CF364" s="503" t="str">
        <f>IF($G364="","",IF(AND($G364&gt;=30,$AT$3&lt;=CE$7),ROUND(CE364*($AP$3+#REF!),-1),""))</f>
        <v/>
      </c>
      <c r="CG364" s="503" t="s">
        <v>621</v>
      </c>
      <c r="CH364" s="503" t="str">
        <f>IF($G364="","",IF(AND($G364&gt;=30,$AT$3&lt;=CG$7),ROUND(CG364*($AP$3+#REF!),-1),""))</f>
        <v/>
      </c>
      <c r="CI364" s="503" t="s">
        <v>621</v>
      </c>
      <c r="CJ364" s="503" t="str">
        <f>IF($G364="","",IF(AND($G364&gt;=30,$AT$3&lt;=CI$7),ROUND(CI364*($AP$3+#REF!),-1),""))</f>
        <v/>
      </c>
      <c r="CK364" s="503" t="s">
        <v>621</v>
      </c>
      <c r="CL364" s="503" t="str">
        <f>IF($G364="","",IF(AND($G364&gt;=30,$AT$3&lt;=CK$7),ROUND(CK364*($AP$3+#REF!),-1),""))</f>
        <v/>
      </c>
      <c r="CM364" s="517" t="e">
        <v>#REF!</v>
      </c>
      <c r="CN364" s="503" t="str">
        <f>IF($G364="","",IF(AND($G364&gt;=30,$AT$3&lt;=CM$7),ROUND(CM364*($AP$3+#REF!),-1),""))</f>
        <v/>
      </c>
      <c r="CO364" s="517"/>
      <c r="CP364" s="503" t="str">
        <f>IF($G364="","",IF(AND($G364&gt;=30,$AT$3&lt;=CO$7),ROUND(CO364*($AP$3+#REF!),-1),""))</f>
        <v/>
      </c>
      <c r="CQ364" s="517"/>
      <c r="CR364" s="503" t="str">
        <f>IF($G364="","",IF(AND($G364&gt;=30,$AT$3&lt;=CQ$7),ROUND(CQ364*($AP$3+#REF!),-1),""))</f>
        <v/>
      </c>
      <c r="CS364" s="517"/>
      <c r="CT364" s="503" t="str">
        <f>IF($G364="","",IF(AND($G364&gt;=30,$AT$3&lt;=CS$7),ROUND(CS364*($AP$3+#REF!),-1),""))</f>
        <v/>
      </c>
      <c r="CU364" s="517"/>
      <c r="CV364" s="503" t="str">
        <f>IF($G364="","",IF(AND($G364&gt;=30,$AT$3&lt;=CU$7),ROUND(CU364*($AP$3+#REF!),-1),""))</f>
        <v/>
      </c>
      <c r="CW364" s="517"/>
      <c r="CX364" s="503" t="str">
        <f>IF($G364="","",IF(AND($G364&gt;=30,$AT$3&lt;=CW$7),ROUND(CW364*($AP$3+#REF!),-1),""))</f>
        <v/>
      </c>
      <c r="CY364" s="517"/>
      <c r="CZ364" s="503" t="str">
        <f>IF($G364="","",IF(AND($G364&gt;=30,$AT$3&lt;=CY$7),ROUND(CY364*($AP$3+#REF!),-1),""))</f>
        <v/>
      </c>
      <c r="DA364" s="517"/>
      <c r="DB364" s="503" t="str">
        <f>IF($G364="","",IF(AND($G364&gt;=30,$AT$3&lt;=DA$7),ROUND(DA364*($AP$3+#REF!),-1),""))</f>
        <v/>
      </c>
      <c r="DC364" s="517"/>
      <c r="DD364" s="503" t="str">
        <f>IF($G364="","",IF(AND($G364&gt;=30,$AT$3&lt;=DC$7),ROUND(DC364*($AP$3+#REF!),-1),""))</f>
        <v/>
      </c>
      <c r="DE364" s="517"/>
      <c r="DF364" s="503" t="str">
        <f>IF($G364="","",IF(AND($G364&gt;=30,$AT$3&lt;=DE$7),ROUND(DE364*($AP$3+#REF!),-1),""))</f>
        <v/>
      </c>
      <c r="DG364" s="517"/>
      <c r="DH364" s="503" t="str">
        <f>IF($G364="","",IF(AND($G364&gt;=30,$AT$3&lt;=DG$7),ROUND(DG364*($AP$3+#REF!),-1),""))</f>
        <v/>
      </c>
      <c r="DI364" s="517"/>
      <c r="DJ364" s="503" t="str">
        <f>IF($G364="","",IF(AND($G364&gt;=30,$AT$3&lt;=DI$7),ROUND(DI364*($AP$3+#REF!),-1),""))</f>
        <v/>
      </c>
      <c r="DK364" s="517"/>
      <c r="DL364" s="503" t="str">
        <f>IF($G364="","",IF(AND($G364&gt;=30,$AT$3&lt;=DK$7),ROUND(DK364*($AP$3+#REF!),-1),""))</f>
        <v/>
      </c>
      <c r="DM364" s="517"/>
      <c r="DN364" s="503" t="str">
        <f>IF($G364="","",IF(AND($G364&gt;=30,$AT$3&lt;=DM$7),ROUND(DM364*($AP$3+#REF!),-1),""))</f>
        <v/>
      </c>
      <c r="DO364" s="517"/>
      <c r="DP364" s="503" t="str">
        <f>IF($G364="","",IF(AND($G364&gt;=30,$AT$3&lt;=DO$7),ROUND(DO364*($AP$3+#REF!),-1),""))</f>
        <v/>
      </c>
      <c r="DQ364" s="517"/>
      <c r="DR364" s="503" t="str">
        <f>IF($G364="","",IF(AND($G364&gt;=30,$AT$3&lt;=DQ$7),ROUND(DQ364*($AP$3+#REF!),-1),""))</f>
        <v/>
      </c>
      <c r="DS364" s="517"/>
      <c r="DT364" s="503" t="str">
        <f>IF($G364="","",IF(AND($G364&gt;=30,$AT$3&lt;=DS$7),ROUND(DS364*($AP$3+#REF!),-1),""))</f>
        <v/>
      </c>
      <c r="DU364" s="517"/>
      <c r="DV364" s="503" t="str">
        <f>IF($G364="","",IF(AND($G364&gt;=30,$AT$3&lt;=DU$7),ROUND(DU364*($AP$3+#REF!),-1),""))</f>
        <v/>
      </c>
      <c r="DW364" s="517"/>
      <c r="DX364" s="503" t="str">
        <f>IF($G364="","",IF(AND($G364&gt;=30,$AT$3&lt;=DW$7),ROUND(DW364*($AP$3+#REF!),-1),""))</f>
        <v/>
      </c>
      <c r="DY364" s="517"/>
      <c r="DZ364" s="503" t="str">
        <f>IF($G364="","",IF(AND($G364&gt;=30,$AT$3&lt;=DY$7),ROUND(DY364*($AP$3+#REF!),-1),""))</f>
        <v/>
      </c>
      <c r="EA364" s="517"/>
      <c r="EB364" s="503" t="str">
        <f>IF($G364="","",IF(AND($G364&gt;=30,$AT$3&lt;=EA$7),ROUND(EA364*($AP$3+#REF!),-1),""))</f>
        <v/>
      </c>
      <c r="EC364" s="504" t="s">
        <v>621</v>
      </c>
      <c r="ED364" s="1124"/>
      <c r="EE364" s="325">
        <v>8</v>
      </c>
    </row>
    <row r="365" spans="1:135" ht="9.75" customHeight="1">
      <c r="A365" s="321" t="str">
        <f t="shared" si="82"/>
        <v/>
      </c>
      <c r="B365" s="567">
        <f>(ii!$D$13*12+V365)+1</f>
        <v>259</v>
      </c>
      <c r="C365" s="337">
        <f t="shared" si="86"/>
        <v>53235</v>
      </c>
      <c r="D365" s="484">
        <f t="shared" si="89"/>
        <v>2045</v>
      </c>
      <c r="E365" s="484">
        <f t="shared" si="87"/>
        <v>0.75</v>
      </c>
      <c r="F365" s="484">
        <f t="shared" si="90"/>
        <v>2045.75</v>
      </c>
      <c r="G365" s="485" t="str">
        <f>IF(OR(C365&lt;$I$2,C365&gt;$J$3),"",(ii!$D$13*12+V365+1)/12)</f>
        <v/>
      </c>
      <c r="H365" s="486"/>
      <c r="I365" s="486"/>
      <c r="J365" s="487"/>
      <c r="K365" s="488"/>
      <c r="L365" s="548"/>
      <c r="M365" s="489" t="str">
        <f t="shared" si="91"/>
        <v/>
      </c>
      <c r="N365" s="490" t="s">
        <v>621</v>
      </c>
      <c r="O365" s="490" t="str">
        <f t="shared" si="84"/>
        <v/>
      </c>
      <c r="P365" s="491"/>
      <c r="Q365" s="491"/>
      <c r="R365" s="491" t="str">
        <f t="shared" si="85"/>
        <v/>
      </c>
      <c r="S365" s="528" t="str">
        <f t="shared" si="83"/>
        <v/>
      </c>
      <c r="T365" s="528" t="str">
        <f t="shared" si="81"/>
        <v/>
      </c>
      <c r="U365" s="493" t="str">
        <f>IF(H365="","",#REF!*12+#REF!+#REF!*12+#REF!)</f>
        <v/>
      </c>
      <c r="V365" s="338">
        <f>IF(ii!$J$3&gt;gg!C365,"",IF(AND((YEAR(C365)=YEAR($I$2)),MONTH(C365)=MONTH($I$2)),ii!$B$14*12+ii!$C$14+ii!$B$15*12+ii!$C$15-1,V364+1))</f>
        <v>258</v>
      </c>
      <c r="W365" s="339">
        <f t="shared" si="88"/>
        <v>21.5</v>
      </c>
      <c r="X365" s="494" t="s">
        <v>621</v>
      </c>
      <c r="Y365" s="495" t="s">
        <v>621</v>
      </c>
      <c r="Z365" s="496"/>
      <c r="AA365" s="497"/>
      <c r="AB365" s="498" t="e">
        <f t="shared" si="94"/>
        <v>#VALUE!</v>
      </c>
      <c r="AC365" s="484" t="str">
        <f t="shared" si="92"/>
        <v/>
      </c>
      <c r="AD365" s="495" t="str">
        <f t="shared" si="93"/>
        <v/>
      </c>
      <c r="AE365" s="499" t="s">
        <v>621</v>
      </c>
      <c r="AF365" s="500" t="s">
        <v>621</v>
      </c>
      <c r="AG365" s="556" t="s">
        <v>621</v>
      </c>
      <c r="AH365" s="503" t="str">
        <f>IF($G365="","",IF(AND($G365&gt;=30,$AT$3&lt;=AG$7),ROUND(AG365*($AP$3+#REF!),-1),""))</f>
        <v/>
      </c>
      <c r="AI365" s="506" t="s">
        <v>621</v>
      </c>
      <c r="AJ365" s="503" t="str">
        <f>IF($G365="","",IF(AND($G365&gt;=30,$AT$3&lt;=AI$7),ROUND(AI365*($AP$3+#REF!),-1),""))</f>
        <v/>
      </c>
      <c r="AK365" s="506" t="s">
        <v>621</v>
      </c>
      <c r="AL365" s="503" t="str">
        <f>IF($G365="","",IF(AND($G365&gt;=30,$AT$3&lt;=AK$7),ROUND(AK365*($AP$3+#REF!),-1),""))</f>
        <v/>
      </c>
      <c r="AM365" s="506" t="s">
        <v>621</v>
      </c>
      <c r="AN365" s="503" t="str">
        <f>IF($G365="","",IF(AND($G365&gt;=30,$AT$3&lt;=AM$7),ROUND(AM365*($AP$3+#REF!),-1),""))</f>
        <v/>
      </c>
      <c r="AO365" s="503" t="e">
        <v>#REF!</v>
      </c>
      <c r="AP365" s="503" t="str">
        <f>IF($G365="","",IF(AND($G365&gt;=30,$AT$3&lt;=AO$7),ROUND(AO365*($AP$3+#REF!),-1),""))</f>
        <v/>
      </c>
      <c r="AQ365" s="503" t="s">
        <v>621</v>
      </c>
      <c r="AR365" s="503" t="str">
        <f>IF($G365="","",IF(AND($G365&gt;=30,$AT$3&lt;=AQ$7),ROUND(AQ365*($AP$3+#REF!),-1),""))</f>
        <v/>
      </c>
      <c r="AS365" s="503" t="s">
        <v>621</v>
      </c>
      <c r="AT365" s="503" t="str">
        <f>IF($G365="","",IF(AND($G365&gt;=30,$AT$3&lt;=AS$7),ROUND(AS365*($AP$3+#REF!),-1),""))</f>
        <v/>
      </c>
      <c r="AU365" s="503" t="s">
        <v>621</v>
      </c>
      <c r="AV365" s="503" t="str">
        <f>IF($G365="","",IF(AND($G365&gt;=30,$AT$3&lt;=AU$7),ROUND(AU365*($AP$3+#REF!),-1),""))</f>
        <v/>
      </c>
      <c r="AW365" s="503" t="s">
        <v>621</v>
      </c>
      <c r="AX365" s="503" t="str">
        <f>IF($G365="","",IF(AND($G365&gt;=30,$AT$3&lt;=AW$7),ROUND(AW365*($AP$3+#REF!),-1),""))</f>
        <v/>
      </c>
      <c r="AY365" s="503" t="s">
        <v>621</v>
      </c>
      <c r="AZ365" s="503" t="str">
        <f>IF($G365="","",IF(AND($G365&gt;=30,$AT$3&lt;=AY$7),ROUND(AY365*($AP$3+#REF!),-1),""))</f>
        <v/>
      </c>
      <c r="BA365" s="503" t="s">
        <v>621</v>
      </c>
      <c r="BB365" s="503" t="str">
        <f>IF($G365="","",IF(AND($G365&gt;=30,$AT$3&lt;=BA$7),ROUND(BA365*($AP$3+#REF!),-1),""))</f>
        <v/>
      </c>
      <c r="BC365" s="503" t="s">
        <v>621</v>
      </c>
      <c r="BD365" s="503" t="str">
        <f>IF($G365="","",IF(AND($G365&gt;=30,$AT$3&lt;=BC$7),ROUND(BC365*($AP$3+#REF!),-1),""))</f>
        <v/>
      </c>
      <c r="BE365" s="503" t="s">
        <v>621</v>
      </c>
      <c r="BF365" s="503" t="str">
        <f>IF($G365="","",IF(AND($G365&gt;=30,$AT$3&lt;=BE$7),ROUND(BE365*($AP$3+#REF!),-1),""))</f>
        <v/>
      </c>
      <c r="BG365" s="503" t="s">
        <v>621</v>
      </c>
      <c r="BH365" s="503" t="str">
        <f>IF($G365="","",IF(AND($G365&gt;=30,$AT$3&lt;=BG$7),ROUND(BG365*($AP$3+#REF!),-1),""))</f>
        <v/>
      </c>
      <c r="BI365" s="503" t="s">
        <v>621</v>
      </c>
      <c r="BJ365" s="503" t="str">
        <f>IF($G365="","",IF(AND($G365&gt;=30,$AT$3&lt;=BI$7),ROUND(BI365*($AP$3+#REF!),-1),""))</f>
        <v/>
      </c>
      <c r="BK365" s="503" t="s">
        <v>621</v>
      </c>
      <c r="BL365" s="503" t="str">
        <f>IF($G365="","",IF(AND($G365&gt;=30,$AT$3&lt;=BK$7),ROUND(BK365*($AP$3+#REF!),-1),""))</f>
        <v/>
      </c>
      <c r="BM365" s="503" t="s">
        <v>621</v>
      </c>
      <c r="BN365" s="503" t="str">
        <f>IF($G365="","",IF(AND($G365&gt;=30,$AT$3&lt;=BM$7),ROUND(BM365*($AP$3+#REF!),-1),""))</f>
        <v/>
      </c>
      <c r="BO365" s="503" t="s">
        <v>621</v>
      </c>
      <c r="BP365" s="503" t="str">
        <f>IF($G365="","",IF(AND($G365&gt;=30,$AT$3&lt;=BO$7),ROUND(BO365*($AP$3+#REF!),-1),""))</f>
        <v/>
      </c>
      <c r="BQ365" s="503" t="s">
        <v>621</v>
      </c>
      <c r="BR365" s="503" t="str">
        <f>IF($G365="","",IF(AND($G365&gt;=30,$AT$3&lt;=BQ$7),ROUND(BQ365*($AP$3+#REF!),-1),""))</f>
        <v/>
      </c>
      <c r="BS365" s="503" t="s">
        <v>621</v>
      </c>
      <c r="BT365" s="503" t="str">
        <f>IF($G365="","",IF(AND($G365&gt;=30,$AT$3&lt;=BS$7),ROUND(BS365*($AP$3+#REF!),-1),""))</f>
        <v/>
      </c>
      <c r="BU365" s="503" t="s">
        <v>621</v>
      </c>
      <c r="BV365" s="503" t="str">
        <f>IF($G365="","",IF(AND($G365&gt;=30,$AT$3&lt;=BU$7),ROUND(BU365*($AP$3+#REF!),-1),""))</f>
        <v/>
      </c>
      <c r="BW365" s="503" t="s">
        <v>621</v>
      </c>
      <c r="BX365" s="503" t="str">
        <f>IF($G365="","",IF(AND($G365&gt;=30,$AT$3&lt;=BW$7),ROUND(BW365*($AP$3+#REF!),-1),""))</f>
        <v/>
      </c>
      <c r="BY365" s="503" t="s">
        <v>621</v>
      </c>
      <c r="BZ365" s="503" t="str">
        <f>IF($G365="","",IF(AND($G365&gt;=30,$AT$3&lt;=BY$7),ROUND(BY365*($AP$3+#REF!),-1),""))</f>
        <v/>
      </c>
      <c r="CA365" s="503" t="s">
        <v>621</v>
      </c>
      <c r="CB365" s="503" t="str">
        <f>IF($G365="","",IF(AND($G365&gt;=30,$AT$3&lt;=CA$7),ROUND(CA365*($AP$3+#REF!),-1),""))</f>
        <v/>
      </c>
      <c r="CC365" s="503" t="s">
        <v>621</v>
      </c>
      <c r="CD365" s="503" t="str">
        <f>IF($G365="","",IF(AND($G365&gt;=30,$AT$3&lt;=CC$7),ROUND(CC365*($AP$3+#REF!),-1),""))</f>
        <v/>
      </c>
      <c r="CE365" s="503" t="s">
        <v>621</v>
      </c>
      <c r="CF365" s="503" t="str">
        <f>IF($G365="","",IF(AND($G365&gt;=30,$AT$3&lt;=CE$7),ROUND(CE365*($AP$3+#REF!),-1),""))</f>
        <v/>
      </c>
      <c r="CG365" s="503" t="s">
        <v>621</v>
      </c>
      <c r="CH365" s="503" t="str">
        <f>IF($G365="","",IF(AND($G365&gt;=30,$AT$3&lt;=CG$7),ROUND(CG365*($AP$3+#REF!),-1),""))</f>
        <v/>
      </c>
      <c r="CI365" s="503" t="s">
        <v>621</v>
      </c>
      <c r="CJ365" s="503" t="str">
        <f>IF($G365="","",IF(AND($G365&gt;=30,$AT$3&lt;=CI$7),ROUND(CI365*($AP$3+#REF!),-1),""))</f>
        <v/>
      </c>
      <c r="CK365" s="503" t="s">
        <v>621</v>
      </c>
      <c r="CL365" s="503" t="str">
        <f>IF($G365="","",IF(AND($G365&gt;=30,$AT$3&lt;=CK$7),ROUND(CK365*($AP$3+#REF!),-1),""))</f>
        <v/>
      </c>
      <c r="CM365" s="517" t="e">
        <v>#REF!</v>
      </c>
      <c r="CN365" s="503" t="str">
        <f>IF($G365="","",IF(AND($G365&gt;=30,$AT$3&lt;=CM$7),ROUND(CM365*($AP$3+#REF!),-1),""))</f>
        <v/>
      </c>
      <c r="CO365" s="517"/>
      <c r="CP365" s="503" t="str">
        <f>IF($G365="","",IF(AND($G365&gt;=30,$AT$3&lt;=CO$7),ROUND(CO365*($AP$3+#REF!),-1),""))</f>
        <v/>
      </c>
      <c r="CQ365" s="517"/>
      <c r="CR365" s="503" t="str">
        <f>IF($G365="","",IF(AND($G365&gt;=30,$AT$3&lt;=CQ$7),ROUND(CQ365*($AP$3+#REF!),-1),""))</f>
        <v/>
      </c>
      <c r="CS365" s="517"/>
      <c r="CT365" s="503" t="str">
        <f>IF($G365="","",IF(AND($G365&gt;=30,$AT$3&lt;=CS$7),ROUND(CS365*($AP$3+#REF!),-1),""))</f>
        <v/>
      </c>
      <c r="CU365" s="517"/>
      <c r="CV365" s="503" t="str">
        <f>IF($G365="","",IF(AND($G365&gt;=30,$AT$3&lt;=CU$7),ROUND(CU365*($AP$3+#REF!),-1),""))</f>
        <v/>
      </c>
      <c r="CW365" s="517"/>
      <c r="CX365" s="503" t="str">
        <f>IF($G365="","",IF(AND($G365&gt;=30,$AT$3&lt;=CW$7),ROUND(CW365*($AP$3+#REF!),-1),""))</f>
        <v/>
      </c>
      <c r="CY365" s="517"/>
      <c r="CZ365" s="503" t="str">
        <f>IF($G365="","",IF(AND($G365&gt;=30,$AT$3&lt;=CY$7),ROUND(CY365*($AP$3+#REF!),-1),""))</f>
        <v/>
      </c>
      <c r="DA365" s="517"/>
      <c r="DB365" s="503" t="str">
        <f>IF($G365="","",IF(AND($G365&gt;=30,$AT$3&lt;=DA$7),ROUND(DA365*($AP$3+#REF!),-1),""))</f>
        <v/>
      </c>
      <c r="DC365" s="517"/>
      <c r="DD365" s="503" t="str">
        <f>IF($G365="","",IF(AND($G365&gt;=30,$AT$3&lt;=DC$7),ROUND(DC365*($AP$3+#REF!),-1),""))</f>
        <v/>
      </c>
      <c r="DE365" s="517"/>
      <c r="DF365" s="503" t="str">
        <f>IF($G365="","",IF(AND($G365&gt;=30,$AT$3&lt;=DE$7),ROUND(DE365*($AP$3+#REF!),-1),""))</f>
        <v/>
      </c>
      <c r="DG365" s="517"/>
      <c r="DH365" s="503" t="str">
        <f>IF($G365="","",IF(AND($G365&gt;=30,$AT$3&lt;=DG$7),ROUND(DG365*($AP$3+#REF!),-1),""))</f>
        <v/>
      </c>
      <c r="DI365" s="517"/>
      <c r="DJ365" s="503" t="str">
        <f>IF($G365="","",IF(AND($G365&gt;=30,$AT$3&lt;=DI$7),ROUND(DI365*($AP$3+#REF!),-1),""))</f>
        <v/>
      </c>
      <c r="DK365" s="517"/>
      <c r="DL365" s="503" t="str">
        <f>IF($G365="","",IF(AND($G365&gt;=30,$AT$3&lt;=DK$7),ROUND(DK365*($AP$3+#REF!),-1),""))</f>
        <v/>
      </c>
      <c r="DM365" s="517"/>
      <c r="DN365" s="503" t="str">
        <f>IF($G365="","",IF(AND($G365&gt;=30,$AT$3&lt;=DM$7),ROUND(DM365*($AP$3+#REF!),-1),""))</f>
        <v/>
      </c>
      <c r="DO365" s="517"/>
      <c r="DP365" s="503" t="str">
        <f>IF($G365="","",IF(AND($G365&gt;=30,$AT$3&lt;=DO$7),ROUND(DO365*($AP$3+#REF!),-1),""))</f>
        <v/>
      </c>
      <c r="DQ365" s="517"/>
      <c r="DR365" s="503" t="str">
        <f>IF($G365="","",IF(AND($G365&gt;=30,$AT$3&lt;=DQ$7),ROUND(DQ365*($AP$3+#REF!),-1),""))</f>
        <v/>
      </c>
      <c r="DS365" s="517"/>
      <c r="DT365" s="503" t="str">
        <f>IF($G365="","",IF(AND($G365&gt;=30,$AT$3&lt;=DS$7),ROUND(DS365*($AP$3+#REF!),-1),""))</f>
        <v/>
      </c>
      <c r="DU365" s="517"/>
      <c r="DV365" s="503" t="str">
        <f>IF($G365="","",IF(AND($G365&gt;=30,$AT$3&lt;=DU$7),ROUND(DU365*($AP$3+#REF!),-1),""))</f>
        <v/>
      </c>
      <c r="DW365" s="517"/>
      <c r="DX365" s="503" t="str">
        <f>IF($G365="","",IF(AND($G365&gt;=30,$AT$3&lt;=DW$7),ROUND(DW365*($AP$3+#REF!),-1),""))</f>
        <v/>
      </c>
      <c r="DY365" s="517"/>
      <c r="DZ365" s="503" t="str">
        <f>IF($G365="","",IF(AND($G365&gt;=30,$AT$3&lt;=DY$7),ROUND(DY365*($AP$3+#REF!),-1),""))</f>
        <v/>
      </c>
      <c r="EA365" s="517"/>
      <c r="EB365" s="503" t="str">
        <f>IF($G365="","",IF(AND($G365&gt;=30,$AT$3&lt;=EA$7),ROUND(EA365*($AP$3+#REF!),-1),""))</f>
        <v/>
      </c>
      <c r="EC365" s="504" t="s">
        <v>621</v>
      </c>
      <c r="ED365" s="1124"/>
      <c r="EE365" s="325">
        <v>9</v>
      </c>
    </row>
    <row r="366" spans="1:135" ht="9.75" customHeight="1">
      <c r="A366" s="321" t="str">
        <f t="shared" si="82"/>
        <v/>
      </c>
      <c r="B366" s="567">
        <f>(ii!$D$13*12+V366)+1</f>
        <v>260</v>
      </c>
      <c r="C366" s="337">
        <f t="shared" si="86"/>
        <v>53266</v>
      </c>
      <c r="D366" s="484">
        <f t="shared" si="89"/>
        <v>2045</v>
      </c>
      <c r="E366" s="484">
        <f t="shared" si="87"/>
        <v>0.83333333333333337</v>
      </c>
      <c r="F366" s="484">
        <f t="shared" si="90"/>
        <v>2045.8333333333333</v>
      </c>
      <c r="G366" s="485" t="str">
        <f>IF(OR(C366&lt;$I$2,C366&gt;$J$3),"",(ii!$D$13*12+V366+1)/12)</f>
        <v/>
      </c>
      <c r="H366" s="486"/>
      <c r="I366" s="486"/>
      <c r="J366" s="487"/>
      <c r="K366" s="488"/>
      <c r="L366" s="548"/>
      <c r="M366" s="489" t="str">
        <f t="shared" si="91"/>
        <v/>
      </c>
      <c r="N366" s="490" t="s">
        <v>621</v>
      </c>
      <c r="O366" s="490" t="str">
        <f t="shared" si="84"/>
        <v/>
      </c>
      <c r="P366" s="491"/>
      <c r="Q366" s="491"/>
      <c r="R366" s="491" t="str">
        <f t="shared" si="85"/>
        <v/>
      </c>
      <c r="S366" s="528" t="str">
        <f t="shared" si="83"/>
        <v/>
      </c>
      <c r="T366" s="528" t="str">
        <f t="shared" si="81"/>
        <v/>
      </c>
      <c r="U366" s="493" t="str">
        <f>IF(H366="","",#REF!*12+#REF!+#REF!*12+#REF!)</f>
        <v/>
      </c>
      <c r="V366" s="338">
        <f>IF(ii!$J$3&gt;gg!C366,"",IF(AND((YEAR(C366)=YEAR($I$2)),MONTH(C366)=MONTH($I$2)),ii!$B$14*12+ii!$C$14+ii!$B$15*12+ii!$C$15-1,V365+1))</f>
        <v>259</v>
      </c>
      <c r="W366" s="339">
        <f t="shared" si="88"/>
        <v>21.583333333333332</v>
      </c>
      <c r="X366" s="494" t="s">
        <v>621</v>
      </c>
      <c r="Y366" s="495" t="s">
        <v>621</v>
      </c>
      <c r="Z366" s="496"/>
      <c r="AA366" s="497"/>
      <c r="AB366" s="498" t="e">
        <f t="shared" si="94"/>
        <v>#VALUE!</v>
      </c>
      <c r="AC366" s="484" t="str">
        <f t="shared" si="92"/>
        <v/>
      </c>
      <c r="AD366" s="495" t="str">
        <f t="shared" si="93"/>
        <v/>
      </c>
      <c r="AE366" s="499" t="s">
        <v>621</v>
      </c>
      <c r="AF366" s="500" t="s">
        <v>621</v>
      </c>
      <c r="AG366" s="556" t="s">
        <v>621</v>
      </c>
      <c r="AH366" s="503" t="str">
        <f>IF($G366="","",IF(AND($G366&gt;=30,$AT$3&lt;=AG$7),ROUND(AG366*($AP$3+#REF!),-1),""))</f>
        <v/>
      </c>
      <c r="AI366" s="506" t="s">
        <v>621</v>
      </c>
      <c r="AJ366" s="503" t="str">
        <f>IF($G366="","",IF(AND($G366&gt;=30,$AT$3&lt;=AI$7),ROUND(AI366*($AP$3+#REF!),-1),""))</f>
        <v/>
      </c>
      <c r="AK366" s="506" t="s">
        <v>621</v>
      </c>
      <c r="AL366" s="503" t="str">
        <f>IF($G366="","",IF(AND($G366&gt;=30,$AT$3&lt;=AK$7),ROUND(AK366*($AP$3+#REF!),-1),""))</f>
        <v/>
      </c>
      <c r="AM366" s="506" t="s">
        <v>621</v>
      </c>
      <c r="AN366" s="503" t="str">
        <f>IF($G366="","",IF(AND($G366&gt;=30,$AT$3&lt;=AM$7),ROUND(AM366*($AP$3+#REF!),-1),""))</f>
        <v/>
      </c>
      <c r="AO366" s="503" t="e">
        <v>#REF!</v>
      </c>
      <c r="AP366" s="503" t="str">
        <f>IF($G366="","",IF(AND($G366&gt;=30,$AT$3&lt;=AO$7),ROUND(AO366*($AP$3+#REF!),-1),""))</f>
        <v/>
      </c>
      <c r="AQ366" s="503" t="s">
        <v>621</v>
      </c>
      <c r="AR366" s="503" t="str">
        <f>IF($G366="","",IF(AND($G366&gt;=30,$AT$3&lt;=AQ$7),ROUND(AQ366*($AP$3+#REF!),-1),""))</f>
        <v/>
      </c>
      <c r="AS366" s="503" t="s">
        <v>621</v>
      </c>
      <c r="AT366" s="503" t="str">
        <f>IF($G366="","",IF(AND($G366&gt;=30,$AT$3&lt;=AS$7),ROUND(AS366*($AP$3+#REF!),-1),""))</f>
        <v/>
      </c>
      <c r="AU366" s="503" t="s">
        <v>621</v>
      </c>
      <c r="AV366" s="503" t="str">
        <f>IF($G366="","",IF(AND($G366&gt;=30,$AT$3&lt;=AU$7),ROUND(AU366*($AP$3+#REF!),-1),""))</f>
        <v/>
      </c>
      <c r="AW366" s="503" t="s">
        <v>621</v>
      </c>
      <c r="AX366" s="503" t="str">
        <f>IF($G366="","",IF(AND($G366&gt;=30,$AT$3&lt;=AW$7),ROUND(AW366*($AP$3+#REF!),-1),""))</f>
        <v/>
      </c>
      <c r="AY366" s="503" t="s">
        <v>621</v>
      </c>
      <c r="AZ366" s="503" t="str">
        <f>IF($G366="","",IF(AND($G366&gt;=30,$AT$3&lt;=AY$7),ROUND(AY366*($AP$3+#REF!),-1),""))</f>
        <v/>
      </c>
      <c r="BA366" s="503" t="s">
        <v>621</v>
      </c>
      <c r="BB366" s="503" t="str">
        <f>IF($G366="","",IF(AND($G366&gt;=30,$AT$3&lt;=BA$7),ROUND(BA366*($AP$3+#REF!),-1),""))</f>
        <v/>
      </c>
      <c r="BC366" s="503" t="s">
        <v>621</v>
      </c>
      <c r="BD366" s="503" t="str">
        <f>IF($G366="","",IF(AND($G366&gt;=30,$AT$3&lt;=BC$7),ROUND(BC366*($AP$3+#REF!),-1),""))</f>
        <v/>
      </c>
      <c r="BE366" s="503" t="s">
        <v>621</v>
      </c>
      <c r="BF366" s="503" t="str">
        <f>IF($G366="","",IF(AND($G366&gt;=30,$AT$3&lt;=BE$7),ROUND(BE366*($AP$3+#REF!),-1),""))</f>
        <v/>
      </c>
      <c r="BG366" s="503" t="s">
        <v>621</v>
      </c>
      <c r="BH366" s="503" t="str">
        <f>IF($G366="","",IF(AND($G366&gt;=30,$AT$3&lt;=BG$7),ROUND(BG366*($AP$3+#REF!),-1),""))</f>
        <v/>
      </c>
      <c r="BI366" s="503" t="s">
        <v>621</v>
      </c>
      <c r="BJ366" s="503" t="str">
        <f>IF($G366="","",IF(AND($G366&gt;=30,$AT$3&lt;=BI$7),ROUND(BI366*($AP$3+#REF!),-1),""))</f>
        <v/>
      </c>
      <c r="BK366" s="503" t="s">
        <v>621</v>
      </c>
      <c r="BL366" s="503" t="str">
        <f>IF($G366="","",IF(AND($G366&gt;=30,$AT$3&lt;=BK$7),ROUND(BK366*($AP$3+#REF!),-1),""))</f>
        <v/>
      </c>
      <c r="BM366" s="503" t="s">
        <v>621</v>
      </c>
      <c r="BN366" s="503" t="str">
        <f>IF($G366="","",IF(AND($G366&gt;=30,$AT$3&lt;=BM$7),ROUND(BM366*($AP$3+#REF!),-1),""))</f>
        <v/>
      </c>
      <c r="BO366" s="503" t="s">
        <v>621</v>
      </c>
      <c r="BP366" s="503" t="str">
        <f>IF($G366="","",IF(AND($G366&gt;=30,$AT$3&lt;=BO$7),ROUND(BO366*($AP$3+#REF!),-1),""))</f>
        <v/>
      </c>
      <c r="BQ366" s="503" t="s">
        <v>621</v>
      </c>
      <c r="BR366" s="503" t="str">
        <f>IF($G366="","",IF(AND($G366&gt;=30,$AT$3&lt;=BQ$7),ROUND(BQ366*($AP$3+#REF!),-1),""))</f>
        <v/>
      </c>
      <c r="BS366" s="503" t="s">
        <v>621</v>
      </c>
      <c r="BT366" s="503" t="str">
        <f>IF($G366="","",IF(AND($G366&gt;=30,$AT$3&lt;=BS$7),ROUND(BS366*($AP$3+#REF!),-1),""))</f>
        <v/>
      </c>
      <c r="BU366" s="503" t="s">
        <v>621</v>
      </c>
      <c r="BV366" s="503" t="str">
        <f>IF($G366="","",IF(AND($G366&gt;=30,$AT$3&lt;=BU$7),ROUND(BU366*($AP$3+#REF!),-1),""))</f>
        <v/>
      </c>
      <c r="BW366" s="503" t="s">
        <v>621</v>
      </c>
      <c r="BX366" s="503" t="str">
        <f>IF($G366="","",IF(AND($G366&gt;=30,$AT$3&lt;=BW$7),ROUND(BW366*($AP$3+#REF!),-1),""))</f>
        <v/>
      </c>
      <c r="BY366" s="503" t="s">
        <v>621</v>
      </c>
      <c r="BZ366" s="503" t="str">
        <f>IF($G366="","",IF(AND($G366&gt;=30,$AT$3&lt;=BY$7),ROUND(BY366*($AP$3+#REF!),-1),""))</f>
        <v/>
      </c>
      <c r="CA366" s="503" t="s">
        <v>621</v>
      </c>
      <c r="CB366" s="503" t="str">
        <f>IF($G366="","",IF(AND($G366&gt;=30,$AT$3&lt;=CA$7),ROUND(CA366*($AP$3+#REF!),-1),""))</f>
        <v/>
      </c>
      <c r="CC366" s="503" t="s">
        <v>621</v>
      </c>
      <c r="CD366" s="503" t="str">
        <f>IF($G366="","",IF(AND($G366&gt;=30,$AT$3&lt;=CC$7),ROUND(CC366*($AP$3+#REF!),-1),""))</f>
        <v/>
      </c>
      <c r="CE366" s="503" t="s">
        <v>621</v>
      </c>
      <c r="CF366" s="503" t="str">
        <f>IF($G366="","",IF(AND($G366&gt;=30,$AT$3&lt;=CE$7),ROUND(CE366*($AP$3+#REF!),-1),""))</f>
        <v/>
      </c>
      <c r="CG366" s="503" t="s">
        <v>621</v>
      </c>
      <c r="CH366" s="503" t="str">
        <f>IF($G366="","",IF(AND($G366&gt;=30,$AT$3&lt;=CG$7),ROUND(CG366*($AP$3+#REF!),-1),""))</f>
        <v/>
      </c>
      <c r="CI366" s="503" t="s">
        <v>621</v>
      </c>
      <c r="CJ366" s="503" t="str">
        <f>IF($G366="","",IF(AND($G366&gt;=30,$AT$3&lt;=CI$7),ROUND(CI366*($AP$3+#REF!),-1),""))</f>
        <v/>
      </c>
      <c r="CK366" s="503" t="s">
        <v>621</v>
      </c>
      <c r="CL366" s="503" t="str">
        <f>IF($G366="","",IF(AND($G366&gt;=30,$AT$3&lt;=CK$7),ROUND(CK366*($AP$3+#REF!),-1),""))</f>
        <v/>
      </c>
      <c r="CM366" s="517" t="e">
        <v>#REF!</v>
      </c>
      <c r="CN366" s="503" t="str">
        <f>IF($G366="","",IF(AND($G366&gt;=30,$AT$3&lt;=CM$7),ROUND(CM366*($AP$3+#REF!),-1),""))</f>
        <v/>
      </c>
      <c r="CO366" s="517"/>
      <c r="CP366" s="503" t="str">
        <f>IF($G366="","",IF(AND($G366&gt;=30,$AT$3&lt;=CO$7),ROUND(CO366*($AP$3+#REF!),-1),""))</f>
        <v/>
      </c>
      <c r="CQ366" s="517"/>
      <c r="CR366" s="503" t="str">
        <f>IF($G366="","",IF(AND($G366&gt;=30,$AT$3&lt;=CQ$7),ROUND(CQ366*($AP$3+#REF!),-1),""))</f>
        <v/>
      </c>
      <c r="CS366" s="517"/>
      <c r="CT366" s="503" t="str">
        <f>IF($G366="","",IF(AND($G366&gt;=30,$AT$3&lt;=CS$7),ROUND(CS366*($AP$3+#REF!),-1),""))</f>
        <v/>
      </c>
      <c r="CU366" s="517"/>
      <c r="CV366" s="503" t="str">
        <f>IF($G366="","",IF(AND($G366&gt;=30,$AT$3&lt;=CU$7),ROUND(CU366*($AP$3+#REF!),-1),""))</f>
        <v/>
      </c>
      <c r="CW366" s="517"/>
      <c r="CX366" s="503" t="str">
        <f>IF($G366="","",IF(AND($G366&gt;=30,$AT$3&lt;=CW$7),ROUND(CW366*($AP$3+#REF!),-1),""))</f>
        <v/>
      </c>
      <c r="CY366" s="517"/>
      <c r="CZ366" s="503" t="str">
        <f>IF($G366="","",IF(AND($G366&gt;=30,$AT$3&lt;=CY$7),ROUND(CY366*($AP$3+#REF!),-1),""))</f>
        <v/>
      </c>
      <c r="DA366" s="517"/>
      <c r="DB366" s="503" t="str">
        <f>IF($G366="","",IF(AND($G366&gt;=30,$AT$3&lt;=DA$7),ROUND(DA366*($AP$3+#REF!),-1),""))</f>
        <v/>
      </c>
      <c r="DC366" s="517"/>
      <c r="DD366" s="503" t="str">
        <f>IF($G366="","",IF(AND($G366&gt;=30,$AT$3&lt;=DC$7),ROUND(DC366*($AP$3+#REF!),-1),""))</f>
        <v/>
      </c>
      <c r="DE366" s="517"/>
      <c r="DF366" s="503" t="str">
        <f>IF($G366="","",IF(AND($G366&gt;=30,$AT$3&lt;=DE$7),ROUND(DE366*($AP$3+#REF!),-1),""))</f>
        <v/>
      </c>
      <c r="DG366" s="517"/>
      <c r="DH366" s="503" t="str">
        <f>IF($G366="","",IF(AND($G366&gt;=30,$AT$3&lt;=DG$7),ROUND(DG366*($AP$3+#REF!),-1),""))</f>
        <v/>
      </c>
      <c r="DI366" s="517"/>
      <c r="DJ366" s="503" t="str">
        <f>IF($G366="","",IF(AND($G366&gt;=30,$AT$3&lt;=DI$7),ROUND(DI366*($AP$3+#REF!),-1),""))</f>
        <v/>
      </c>
      <c r="DK366" s="517"/>
      <c r="DL366" s="503" t="str">
        <f>IF($G366="","",IF(AND($G366&gt;=30,$AT$3&lt;=DK$7),ROUND(DK366*($AP$3+#REF!),-1),""))</f>
        <v/>
      </c>
      <c r="DM366" s="517"/>
      <c r="DN366" s="503" t="str">
        <f>IF($G366="","",IF(AND($G366&gt;=30,$AT$3&lt;=DM$7),ROUND(DM366*($AP$3+#REF!),-1),""))</f>
        <v/>
      </c>
      <c r="DO366" s="517"/>
      <c r="DP366" s="503" t="str">
        <f>IF($G366="","",IF(AND($G366&gt;=30,$AT$3&lt;=DO$7),ROUND(DO366*($AP$3+#REF!),-1),""))</f>
        <v/>
      </c>
      <c r="DQ366" s="517"/>
      <c r="DR366" s="503" t="str">
        <f>IF($G366="","",IF(AND($G366&gt;=30,$AT$3&lt;=DQ$7),ROUND(DQ366*($AP$3+#REF!),-1),""))</f>
        <v/>
      </c>
      <c r="DS366" s="517"/>
      <c r="DT366" s="503" t="str">
        <f>IF($G366="","",IF(AND($G366&gt;=30,$AT$3&lt;=DS$7),ROUND(DS366*($AP$3+#REF!),-1),""))</f>
        <v/>
      </c>
      <c r="DU366" s="517"/>
      <c r="DV366" s="503" t="str">
        <f>IF($G366="","",IF(AND($G366&gt;=30,$AT$3&lt;=DU$7),ROUND(DU366*($AP$3+#REF!),-1),""))</f>
        <v/>
      </c>
      <c r="DW366" s="517"/>
      <c r="DX366" s="503" t="str">
        <f>IF($G366="","",IF(AND($G366&gt;=30,$AT$3&lt;=DW$7),ROUND(DW366*($AP$3+#REF!),-1),""))</f>
        <v/>
      </c>
      <c r="DY366" s="517"/>
      <c r="DZ366" s="503" t="str">
        <f>IF($G366="","",IF(AND($G366&gt;=30,$AT$3&lt;=DY$7),ROUND(DY366*($AP$3+#REF!),-1),""))</f>
        <v/>
      </c>
      <c r="EA366" s="517"/>
      <c r="EB366" s="503" t="str">
        <f>IF($G366="","",IF(AND($G366&gt;=30,$AT$3&lt;=EA$7),ROUND(EA366*($AP$3+#REF!),-1),""))</f>
        <v/>
      </c>
      <c r="EC366" s="504" t="s">
        <v>621</v>
      </c>
      <c r="ED366" s="1124"/>
      <c r="EE366" s="325">
        <v>10</v>
      </c>
    </row>
    <row r="367" spans="1:135" ht="9.75" customHeight="1">
      <c r="A367" s="321" t="str">
        <f t="shared" si="82"/>
        <v/>
      </c>
      <c r="B367" s="567">
        <f>(ii!$D$13*12+V367)+1</f>
        <v>261</v>
      </c>
      <c r="C367" s="337">
        <f t="shared" si="86"/>
        <v>53296</v>
      </c>
      <c r="D367" s="484">
        <f t="shared" si="89"/>
        <v>2045</v>
      </c>
      <c r="E367" s="484">
        <f t="shared" si="87"/>
        <v>0.91666666666666663</v>
      </c>
      <c r="F367" s="484">
        <f t="shared" si="90"/>
        <v>2045.9166666666667</v>
      </c>
      <c r="G367" s="485" t="str">
        <f>IF(OR(C367&lt;$I$2,C367&gt;$J$3),"",(ii!$D$13*12+V367+1)/12)</f>
        <v/>
      </c>
      <c r="H367" s="486"/>
      <c r="I367" s="486"/>
      <c r="J367" s="487"/>
      <c r="K367" s="488"/>
      <c r="L367" s="548"/>
      <c r="M367" s="489" t="str">
        <f t="shared" si="91"/>
        <v/>
      </c>
      <c r="N367" s="490" t="s">
        <v>621</v>
      </c>
      <c r="O367" s="490" t="str">
        <f t="shared" si="84"/>
        <v/>
      </c>
      <c r="P367" s="491"/>
      <c r="Q367" s="491"/>
      <c r="R367" s="491" t="str">
        <f t="shared" si="85"/>
        <v/>
      </c>
      <c r="S367" s="528" t="str">
        <f t="shared" si="83"/>
        <v/>
      </c>
      <c r="T367" s="528" t="str">
        <f t="shared" si="81"/>
        <v/>
      </c>
      <c r="U367" s="493" t="str">
        <f>IF(H367="","",#REF!*12+#REF!+#REF!*12+#REF!)</f>
        <v/>
      </c>
      <c r="V367" s="338">
        <f>IF(ii!$J$3&gt;gg!C367,"",IF(AND((YEAR(C367)=YEAR($I$2)),MONTH(C367)=MONTH($I$2)),ii!$B$14*12+ii!$C$14+ii!$B$15*12+ii!$C$15-1,V366+1))</f>
        <v>260</v>
      </c>
      <c r="W367" s="339">
        <f t="shared" si="88"/>
        <v>21.666666666666668</v>
      </c>
      <c r="X367" s="494" t="s">
        <v>621</v>
      </c>
      <c r="Y367" s="495" t="s">
        <v>621</v>
      </c>
      <c r="Z367" s="496"/>
      <c r="AA367" s="497"/>
      <c r="AB367" s="498" t="e">
        <f t="shared" si="94"/>
        <v>#VALUE!</v>
      </c>
      <c r="AC367" s="484" t="str">
        <f t="shared" si="92"/>
        <v/>
      </c>
      <c r="AD367" s="495" t="str">
        <f t="shared" si="93"/>
        <v/>
      </c>
      <c r="AE367" s="499" t="s">
        <v>621</v>
      </c>
      <c r="AF367" s="500" t="s">
        <v>621</v>
      </c>
      <c r="AG367" s="556" t="s">
        <v>621</v>
      </c>
      <c r="AH367" s="503" t="str">
        <f>IF($G367="","",IF(AND($G367&gt;=30,$AT$3&lt;=AG$7),ROUND(AG367*($AP$3+#REF!),-1),""))</f>
        <v/>
      </c>
      <c r="AI367" s="506" t="s">
        <v>621</v>
      </c>
      <c r="AJ367" s="503" t="str">
        <f>IF($G367="","",IF(AND($G367&gt;=30,$AT$3&lt;=AI$7),ROUND(AI367*($AP$3+#REF!),-1),""))</f>
        <v/>
      </c>
      <c r="AK367" s="506" t="s">
        <v>621</v>
      </c>
      <c r="AL367" s="503" t="str">
        <f>IF($G367="","",IF(AND($G367&gt;=30,$AT$3&lt;=AK$7),ROUND(AK367*($AP$3+#REF!),-1),""))</f>
        <v/>
      </c>
      <c r="AM367" s="506" t="s">
        <v>621</v>
      </c>
      <c r="AN367" s="503" t="str">
        <f>IF($G367="","",IF(AND($G367&gt;=30,$AT$3&lt;=AM$7),ROUND(AM367*($AP$3+#REF!),-1),""))</f>
        <v/>
      </c>
      <c r="AO367" s="503" t="e">
        <v>#REF!</v>
      </c>
      <c r="AP367" s="503" t="str">
        <f>IF($G367="","",IF(AND($G367&gt;=30,$AT$3&lt;=AO$7),ROUND(AO367*($AP$3+#REF!),-1),""))</f>
        <v/>
      </c>
      <c r="AQ367" s="503" t="s">
        <v>621</v>
      </c>
      <c r="AR367" s="503" t="str">
        <f>IF($G367="","",IF(AND($G367&gt;=30,$AT$3&lt;=AQ$7),ROUND(AQ367*($AP$3+#REF!),-1),""))</f>
        <v/>
      </c>
      <c r="AS367" s="503" t="s">
        <v>621</v>
      </c>
      <c r="AT367" s="503" t="str">
        <f>IF($G367="","",IF(AND($G367&gt;=30,$AT$3&lt;=AS$7),ROUND(AS367*($AP$3+#REF!),-1),""))</f>
        <v/>
      </c>
      <c r="AU367" s="503" t="s">
        <v>621</v>
      </c>
      <c r="AV367" s="503" t="str">
        <f>IF($G367="","",IF(AND($G367&gt;=30,$AT$3&lt;=AU$7),ROUND(AU367*($AP$3+#REF!),-1),""))</f>
        <v/>
      </c>
      <c r="AW367" s="503" t="s">
        <v>621</v>
      </c>
      <c r="AX367" s="503" t="str">
        <f>IF($G367="","",IF(AND($G367&gt;=30,$AT$3&lt;=AW$7),ROUND(AW367*($AP$3+#REF!),-1),""))</f>
        <v/>
      </c>
      <c r="AY367" s="503" t="s">
        <v>621</v>
      </c>
      <c r="AZ367" s="503" t="str">
        <f>IF($G367="","",IF(AND($G367&gt;=30,$AT$3&lt;=AY$7),ROUND(AY367*($AP$3+#REF!),-1),""))</f>
        <v/>
      </c>
      <c r="BA367" s="503" t="s">
        <v>621</v>
      </c>
      <c r="BB367" s="503" t="str">
        <f>IF($G367="","",IF(AND($G367&gt;=30,$AT$3&lt;=BA$7),ROUND(BA367*($AP$3+#REF!),-1),""))</f>
        <v/>
      </c>
      <c r="BC367" s="503" t="s">
        <v>621</v>
      </c>
      <c r="BD367" s="503" t="str">
        <f>IF($G367="","",IF(AND($G367&gt;=30,$AT$3&lt;=BC$7),ROUND(BC367*($AP$3+#REF!),-1),""))</f>
        <v/>
      </c>
      <c r="BE367" s="503" t="s">
        <v>621</v>
      </c>
      <c r="BF367" s="503" t="str">
        <f>IF($G367="","",IF(AND($G367&gt;=30,$AT$3&lt;=BE$7),ROUND(BE367*($AP$3+#REF!),-1),""))</f>
        <v/>
      </c>
      <c r="BG367" s="503" t="s">
        <v>621</v>
      </c>
      <c r="BH367" s="503" t="str">
        <f>IF($G367="","",IF(AND($G367&gt;=30,$AT$3&lt;=BG$7),ROUND(BG367*($AP$3+#REF!),-1),""))</f>
        <v/>
      </c>
      <c r="BI367" s="503" t="s">
        <v>621</v>
      </c>
      <c r="BJ367" s="503" t="str">
        <f>IF($G367="","",IF(AND($G367&gt;=30,$AT$3&lt;=BI$7),ROUND(BI367*($AP$3+#REF!),-1),""))</f>
        <v/>
      </c>
      <c r="BK367" s="503" t="s">
        <v>621</v>
      </c>
      <c r="BL367" s="503" t="str">
        <f>IF($G367="","",IF(AND($G367&gt;=30,$AT$3&lt;=BK$7),ROUND(BK367*($AP$3+#REF!),-1),""))</f>
        <v/>
      </c>
      <c r="BM367" s="503" t="s">
        <v>621</v>
      </c>
      <c r="BN367" s="503" t="str">
        <f>IF($G367="","",IF(AND($G367&gt;=30,$AT$3&lt;=BM$7),ROUND(BM367*($AP$3+#REF!),-1),""))</f>
        <v/>
      </c>
      <c r="BO367" s="503" t="s">
        <v>621</v>
      </c>
      <c r="BP367" s="503" t="str">
        <f>IF($G367="","",IF(AND($G367&gt;=30,$AT$3&lt;=BO$7),ROUND(BO367*($AP$3+#REF!),-1),""))</f>
        <v/>
      </c>
      <c r="BQ367" s="503" t="s">
        <v>621</v>
      </c>
      <c r="BR367" s="503" t="str">
        <f>IF($G367="","",IF(AND($G367&gt;=30,$AT$3&lt;=BQ$7),ROUND(BQ367*($AP$3+#REF!),-1),""))</f>
        <v/>
      </c>
      <c r="BS367" s="503" t="s">
        <v>621</v>
      </c>
      <c r="BT367" s="503" t="str">
        <f>IF($G367="","",IF(AND($G367&gt;=30,$AT$3&lt;=BS$7),ROUND(BS367*($AP$3+#REF!),-1),""))</f>
        <v/>
      </c>
      <c r="BU367" s="503" t="s">
        <v>621</v>
      </c>
      <c r="BV367" s="503" t="str">
        <f>IF($G367="","",IF(AND($G367&gt;=30,$AT$3&lt;=BU$7),ROUND(BU367*($AP$3+#REF!),-1),""))</f>
        <v/>
      </c>
      <c r="BW367" s="503" t="s">
        <v>621</v>
      </c>
      <c r="BX367" s="503" t="str">
        <f>IF($G367="","",IF(AND($G367&gt;=30,$AT$3&lt;=BW$7),ROUND(BW367*($AP$3+#REF!),-1),""))</f>
        <v/>
      </c>
      <c r="BY367" s="503" t="s">
        <v>621</v>
      </c>
      <c r="BZ367" s="503" t="str">
        <f>IF($G367="","",IF(AND($G367&gt;=30,$AT$3&lt;=BY$7),ROUND(BY367*($AP$3+#REF!),-1),""))</f>
        <v/>
      </c>
      <c r="CA367" s="503" t="s">
        <v>621</v>
      </c>
      <c r="CB367" s="503" t="str">
        <f>IF($G367="","",IF(AND($G367&gt;=30,$AT$3&lt;=CA$7),ROUND(CA367*($AP$3+#REF!),-1),""))</f>
        <v/>
      </c>
      <c r="CC367" s="503" t="s">
        <v>621</v>
      </c>
      <c r="CD367" s="503" t="str">
        <f>IF($G367="","",IF(AND($G367&gt;=30,$AT$3&lt;=CC$7),ROUND(CC367*($AP$3+#REF!),-1),""))</f>
        <v/>
      </c>
      <c r="CE367" s="503" t="s">
        <v>621</v>
      </c>
      <c r="CF367" s="503" t="str">
        <f>IF($G367="","",IF(AND($G367&gt;=30,$AT$3&lt;=CE$7),ROUND(CE367*($AP$3+#REF!),-1),""))</f>
        <v/>
      </c>
      <c r="CG367" s="503" t="s">
        <v>621</v>
      </c>
      <c r="CH367" s="503" t="str">
        <f>IF($G367="","",IF(AND($G367&gt;=30,$AT$3&lt;=CG$7),ROUND(CG367*($AP$3+#REF!),-1),""))</f>
        <v/>
      </c>
      <c r="CI367" s="503" t="s">
        <v>621</v>
      </c>
      <c r="CJ367" s="503" t="str">
        <f>IF($G367="","",IF(AND($G367&gt;=30,$AT$3&lt;=CI$7),ROUND(CI367*($AP$3+#REF!),-1),""))</f>
        <v/>
      </c>
      <c r="CK367" s="503" t="s">
        <v>621</v>
      </c>
      <c r="CL367" s="503" t="str">
        <f>IF($G367="","",IF(AND($G367&gt;=30,$AT$3&lt;=CK$7),ROUND(CK367*($AP$3+#REF!),-1),""))</f>
        <v/>
      </c>
      <c r="CM367" s="517" t="e">
        <v>#REF!</v>
      </c>
      <c r="CN367" s="503" t="str">
        <f>IF($G367="","",IF(AND($G367&gt;=30,$AT$3&lt;=CM$7),ROUND(CM367*($AP$3+#REF!),-1),""))</f>
        <v/>
      </c>
      <c r="CO367" s="517"/>
      <c r="CP367" s="503" t="str">
        <f>IF($G367="","",IF(AND($G367&gt;=30,$AT$3&lt;=CO$7),ROUND(CO367*($AP$3+#REF!),-1),""))</f>
        <v/>
      </c>
      <c r="CQ367" s="517"/>
      <c r="CR367" s="503" t="str">
        <f>IF($G367="","",IF(AND($G367&gt;=30,$AT$3&lt;=CQ$7),ROUND(CQ367*($AP$3+#REF!),-1),""))</f>
        <v/>
      </c>
      <c r="CS367" s="517"/>
      <c r="CT367" s="503" t="str">
        <f>IF($G367="","",IF(AND($G367&gt;=30,$AT$3&lt;=CS$7),ROUND(CS367*($AP$3+#REF!),-1),""))</f>
        <v/>
      </c>
      <c r="CU367" s="517"/>
      <c r="CV367" s="503" t="str">
        <f>IF($G367="","",IF(AND($G367&gt;=30,$AT$3&lt;=CU$7),ROUND(CU367*($AP$3+#REF!),-1),""))</f>
        <v/>
      </c>
      <c r="CW367" s="517"/>
      <c r="CX367" s="503" t="str">
        <f>IF($G367="","",IF(AND($G367&gt;=30,$AT$3&lt;=CW$7),ROUND(CW367*($AP$3+#REF!),-1),""))</f>
        <v/>
      </c>
      <c r="CY367" s="517"/>
      <c r="CZ367" s="503" t="str">
        <f>IF($G367="","",IF(AND($G367&gt;=30,$AT$3&lt;=CY$7),ROUND(CY367*($AP$3+#REF!),-1),""))</f>
        <v/>
      </c>
      <c r="DA367" s="517"/>
      <c r="DB367" s="503" t="str">
        <f>IF($G367="","",IF(AND($G367&gt;=30,$AT$3&lt;=DA$7),ROUND(DA367*($AP$3+#REF!),-1),""))</f>
        <v/>
      </c>
      <c r="DC367" s="517"/>
      <c r="DD367" s="503" t="str">
        <f>IF($G367="","",IF(AND($G367&gt;=30,$AT$3&lt;=DC$7),ROUND(DC367*($AP$3+#REF!),-1),""))</f>
        <v/>
      </c>
      <c r="DE367" s="517"/>
      <c r="DF367" s="503" t="str">
        <f>IF($G367="","",IF(AND($G367&gt;=30,$AT$3&lt;=DE$7),ROUND(DE367*($AP$3+#REF!),-1),""))</f>
        <v/>
      </c>
      <c r="DG367" s="517"/>
      <c r="DH367" s="503" t="str">
        <f>IF($G367="","",IF(AND($G367&gt;=30,$AT$3&lt;=DG$7),ROUND(DG367*($AP$3+#REF!),-1),""))</f>
        <v/>
      </c>
      <c r="DI367" s="517"/>
      <c r="DJ367" s="503" t="str">
        <f>IF($G367="","",IF(AND($G367&gt;=30,$AT$3&lt;=DI$7),ROUND(DI367*($AP$3+#REF!),-1),""))</f>
        <v/>
      </c>
      <c r="DK367" s="517"/>
      <c r="DL367" s="503" t="str">
        <f>IF($G367="","",IF(AND($G367&gt;=30,$AT$3&lt;=DK$7),ROUND(DK367*($AP$3+#REF!),-1),""))</f>
        <v/>
      </c>
      <c r="DM367" s="517"/>
      <c r="DN367" s="503" t="str">
        <f>IF($G367="","",IF(AND($G367&gt;=30,$AT$3&lt;=DM$7),ROUND(DM367*($AP$3+#REF!),-1),""))</f>
        <v/>
      </c>
      <c r="DO367" s="517"/>
      <c r="DP367" s="503" t="str">
        <f>IF($G367="","",IF(AND($G367&gt;=30,$AT$3&lt;=DO$7),ROUND(DO367*($AP$3+#REF!),-1),""))</f>
        <v/>
      </c>
      <c r="DQ367" s="517"/>
      <c r="DR367" s="503" t="str">
        <f>IF($G367="","",IF(AND($G367&gt;=30,$AT$3&lt;=DQ$7),ROUND(DQ367*($AP$3+#REF!),-1),""))</f>
        <v/>
      </c>
      <c r="DS367" s="517"/>
      <c r="DT367" s="503" t="str">
        <f>IF($G367="","",IF(AND($G367&gt;=30,$AT$3&lt;=DS$7),ROUND(DS367*($AP$3+#REF!),-1),""))</f>
        <v/>
      </c>
      <c r="DU367" s="517"/>
      <c r="DV367" s="503" t="str">
        <f>IF($G367="","",IF(AND($G367&gt;=30,$AT$3&lt;=DU$7),ROUND(DU367*($AP$3+#REF!),-1),""))</f>
        <v/>
      </c>
      <c r="DW367" s="517"/>
      <c r="DX367" s="503" t="str">
        <f>IF($G367="","",IF(AND($G367&gt;=30,$AT$3&lt;=DW$7),ROUND(DW367*($AP$3+#REF!),-1),""))</f>
        <v/>
      </c>
      <c r="DY367" s="517"/>
      <c r="DZ367" s="503" t="str">
        <f>IF($G367="","",IF(AND($G367&gt;=30,$AT$3&lt;=DY$7),ROUND(DY367*($AP$3+#REF!),-1),""))</f>
        <v/>
      </c>
      <c r="EA367" s="517"/>
      <c r="EB367" s="503" t="str">
        <f>IF($G367="","",IF(AND($G367&gt;=30,$AT$3&lt;=EA$7),ROUND(EA367*($AP$3+#REF!),-1),""))</f>
        <v/>
      </c>
      <c r="EC367" s="504" t="s">
        <v>621</v>
      </c>
      <c r="ED367" s="1124"/>
      <c r="EE367" s="325">
        <v>11</v>
      </c>
    </row>
    <row r="368" spans="1:135" ht="9.75" customHeight="1">
      <c r="A368" s="321" t="str">
        <f t="shared" si="82"/>
        <v/>
      </c>
      <c r="B368" s="567">
        <f>(ii!$D$13*12+V368)+1</f>
        <v>262</v>
      </c>
      <c r="C368" s="337">
        <f t="shared" si="86"/>
        <v>53327</v>
      </c>
      <c r="D368" s="484">
        <f t="shared" si="89"/>
        <v>2045</v>
      </c>
      <c r="E368" s="484">
        <f t="shared" si="87"/>
        <v>1</v>
      </c>
      <c r="F368" s="484">
        <f t="shared" si="90"/>
        <v>2046</v>
      </c>
      <c r="G368" s="485" t="str">
        <f>IF(OR(C368&lt;$I$2,C368&gt;$J$3),"",(ii!$D$13*12+V368+1)/12)</f>
        <v/>
      </c>
      <c r="H368" s="486"/>
      <c r="I368" s="486"/>
      <c r="J368" s="487"/>
      <c r="K368" s="488"/>
      <c r="L368" s="548"/>
      <c r="M368" s="489" t="str">
        <f t="shared" si="91"/>
        <v/>
      </c>
      <c r="N368" s="490" t="s">
        <v>621</v>
      </c>
      <c r="O368" s="490" t="str">
        <f t="shared" si="84"/>
        <v/>
      </c>
      <c r="P368" s="491"/>
      <c r="Q368" s="491"/>
      <c r="R368" s="491" t="str">
        <f t="shared" si="85"/>
        <v/>
      </c>
      <c r="S368" s="528" t="str">
        <f t="shared" si="83"/>
        <v/>
      </c>
      <c r="T368" s="528" t="str">
        <f t="shared" si="81"/>
        <v/>
      </c>
      <c r="U368" s="493" t="str">
        <f>IF(H368="","",#REF!*12+#REF!+#REF!*12+#REF!)</f>
        <v/>
      </c>
      <c r="V368" s="338">
        <f>IF(ii!$J$3&gt;gg!C368,"",IF(AND((YEAR(C368)=YEAR($I$2)),MONTH(C368)=MONTH($I$2)),ii!$B$14*12+ii!$C$14+ii!$B$15*12+ii!$C$15-1,V367+1))</f>
        <v>261</v>
      </c>
      <c r="W368" s="339">
        <f t="shared" si="88"/>
        <v>21.75</v>
      </c>
      <c r="X368" s="494" t="s">
        <v>621</v>
      </c>
      <c r="Y368" s="495" t="s">
        <v>621</v>
      </c>
      <c r="Z368" s="496"/>
      <c r="AA368" s="497"/>
      <c r="AB368" s="498" t="e">
        <f t="shared" si="94"/>
        <v>#VALUE!</v>
      </c>
      <c r="AC368" s="484" t="str">
        <f t="shared" si="92"/>
        <v/>
      </c>
      <c r="AD368" s="495" t="str">
        <f t="shared" si="93"/>
        <v/>
      </c>
      <c r="AE368" s="499" t="s">
        <v>621</v>
      </c>
      <c r="AF368" s="500" t="s">
        <v>621</v>
      </c>
      <c r="AG368" s="556" t="s">
        <v>621</v>
      </c>
      <c r="AH368" s="503" t="str">
        <f>IF($G368="","",IF(AND($G368&gt;=30,$AT$3&lt;=AG$7),ROUND(AG368*($AP$3+#REF!),-1),""))</f>
        <v/>
      </c>
      <c r="AI368" s="506" t="s">
        <v>621</v>
      </c>
      <c r="AJ368" s="503" t="str">
        <f>IF($G368="","",IF(AND($G368&gt;=30,$AT$3&lt;=AI$7),ROUND(AI368*($AP$3+#REF!),-1),""))</f>
        <v/>
      </c>
      <c r="AK368" s="506" t="s">
        <v>621</v>
      </c>
      <c r="AL368" s="503" t="str">
        <f>IF($G368="","",IF(AND($G368&gt;=30,$AT$3&lt;=AK$7),ROUND(AK368*($AP$3+#REF!),-1),""))</f>
        <v/>
      </c>
      <c r="AM368" s="506" t="s">
        <v>621</v>
      </c>
      <c r="AN368" s="503" t="str">
        <f>IF($G368="","",IF(AND($G368&gt;=30,$AT$3&lt;=AM$7),ROUND(AM368*($AP$3+#REF!),-1),""))</f>
        <v/>
      </c>
      <c r="AO368" s="503" t="e">
        <v>#REF!</v>
      </c>
      <c r="AP368" s="503" t="str">
        <f>IF($G368="","",IF(AND($G368&gt;=30,$AT$3&lt;=AO$7),ROUND(AO368*($AP$3+#REF!),-1),""))</f>
        <v/>
      </c>
      <c r="AQ368" s="503" t="s">
        <v>621</v>
      </c>
      <c r="AR368" s="503" t="str">
        <f>IF($G368="","",IF(AND($G368&gt;=30,$AT$3&lt;=AQ$7),ROUND(AQ368*($AP$3+#REF!),-1),""))</f>
        <v/>
      </c>
      <c r="AS368" s="503" t="s">
        <v>621</v>
      </c>
      <c r="AT368" s="503" t="str">
        <f>IF($G368="","",IF(AND($G368&gt;=30,$AT$3&lt;=AS$7),ROUND(AS368*($AP$3+#REF!),-1),""))</f>
        <v/>
      </c>
      <c r="AU368" s="503" t="s">
        <v>621</v>
      </c>
      <c r="AV368" s="503" t="str">
        <f>IF($G368="","",IF(AND($G368&gt;=30,$AT$3&lt;=AU$7),ROUND(AU368*($AP$3+#REF!),-1),""))</f>
        <v/>
      </c>
      <c r="AW368" s="503" t="s">
        <v>621</v>
      </c>
      <c r="AX368" s="503" t="str">
        <f>IF($G368="","",IF(AND($G368&gt;=30,$AT$3&lt;=AW$7),ROUND(AW368*($AP$3+#REF!),-1),""))</f>
        <v/>
      </c>
      <c r="AY368" s="503" t="s">
        <v>621</v>
      </c>
      <c r="AZ368" s="503" t="str">
        <f>IF($G368="","",IF(AND($G368&gt;=30,$AT$3&lt;=AY$7),ROUND(AY368*($AP$3+#REF!),-1),""))</f>
        <v/>
      </c>
      <c r="BA368" s="503" t="s">
        <v>621</v>
      </c>
      <c r="BB368" s="503" t="str">
        <f>IF($G368="","",IF(AND($G368&gt;=30,$AT$3&lt;=BA$7),ROUND(BA368*($AP$3+#REF!),-1),""))</f>
        <v/>
      </c>
      <c r="BC368" s="503" t="s">
        <v>621</v>
      </c>
      <c r="BD368" s="503" t="str">
        <f>IF($G368="","",IF(AND($G368&gt;=30,$AT$3&lt;=BC$7),ROUND(BC368*($AP$3+#REF!),-1),""))</f>
        <v/>
      </c>
      <c r="BE368" s="503" t="s">
        <v>621</v>
      </c>
      <c r="BF368" s="503" t="str">
        <f>IF($G368="","",IF(AND($G368&gt;=30,$AT$3&lt;=BE$7),ROUND(BE368*($AP$3+#REF!),-1),""))</f>
        <v/>
      </c>
      <c r="BG368" s="503" t="s">
        <v>621</v>
      </c>
      <c r="BH368" s="503" t="str">
        <f>IF($G368="","",IF(AND($G368&gt;=30,$AT$3&lt;=BG$7),ROUND(BG368*($AP$3+#REF!),-1),""))</f>
        <v/>
      </c>
      <c r="BI368" s="503" t="s">
        <v>621</v>
      </c>
      <c r="BJ368" s="503" t="str">
        <f>IF($G368="","",IF(AND($G368&gt;=30,$AT$3&lt;=BI$7),ROUND(BI368*($AP$3+#REF!),-1),""))</f>
        <v/>
      </c>
      <c r="BK368" s="503" t="s">
        <v>621</v>
      </c>
      <c r="BL368" s="503" t="str">
        <f>IF($G368="","",IF(AND($G368&gt;=30,$AT$3&lt;=BK$7),ROUND(BK368*($AP$3+#REF!),-1),""))</f>
        <v/>
      </c>
      <c r="BM368" s="503" t="s">
        <v>621</v>
      </c>
      <c r="BN368" s="503" t="str">
        <f>IF($G368="","",IF(AND($G368&gt;=30,$AT$3&lt;=BM$7),ROUND(BM368*($AP$3+#REF!),-1),""))</f>
        <v/>
      </c>
      <c r="BO368" s="503" t="s">
        <v>621</v>
      </c>
      <c r="BP368" s="503" t="str">
        <f>IF($G368="","",IF(AND($G368&gt;=30,$AT$3&lt;=BO$7),ROUND(BO368*($AP$3+#REF!),-1),""))</f>
        <v/>
      </c>
      <c r="BQ368" s="503" t="s">
        <v>621</v>
      </c>
      <c r="BR368" s="503" t="str">
        <f>IF($G368="","",IF(AND($G368&gt;=30,$AT$3&lt;=BQ$7),ROUND(BQ368*($AP$3+#REF!),-1),""))</f>
        <v/>
      </c>
      <c r="BS368" s="503" t="s">
        <v>621</v>
      </c>
      <c r="BT368" s="503" t="str">
        <f>IF($G368="","",IF(AND($G368&gt;=30,$AT$3&lt;=BS$7),ROUND(BS368*($AP$3+#REF!),-1),""))</f>
        <v/>
      </c>
      <c r="BU368" s="503" t="s">
        <v>621</v>
      </c>
      <c r="BV368" s="503" t="str">
        <f>IF($G368="","",IF(AND($G368&gt;=30,$AT$3&lt;=BU$7),ROUND(BU368*($AP$3+#REF!),-1),""))</f>
        <v/>
      </c>
      <c r="BW368" s="503" t="s">
        <v>621</v>
      </c>
      <c r="BX368" s="503" t="str">
        <f>IF($G368="","",IF(AND($G368&gt;=30,$AT$3&lt;=BW$7),ROUND(BW368*($AP$3+#REF!),-1),""))</f>
        <v/>
      </c>
      <c r="BY368" s="503" t="s">
        <v>621</v>
      </c>
      <c r="BZ368" s="503" t="str">
        <f>IF($G368="","",IF(AND($G368&gt;=30,$AT$3&lt;=BY$7),ROUND(BY368*($AP$3+#REF!),-1),""))</f>
        <v/>
      </c>
      <c r="CA368" s="503" t="s">
        <v>621</v>
      </c>
      <c r="CB368" s="503" t="str">
        <f>IF($G368="","",IF(AND($G368&gt;=30,$AT$3&lt;=CA$7),ROUND(CA368*($AP$3+#REF!),-1),""))</f>
        <v/>
      </c>
      <c r="CC368" s="503" t="s">
        <v>621</v>
      </c>
      <c r="CD368" s="503" t="str">
        <f>IF($G368="","",IF(AND($G368&gt;=30,$AT$3&lt;=CC$7),ROUND(CC368*($AP$3+#REF!),-1),""))</f>
        <v/>
      </c>
      <c r="CE368" s="503" t="s">
        <v>621</v>
      </c>
      <c r="CF368" s="503" t="str">
        <f>IF($G368="","",IF(AND($G368&gt;=30,$AT$3&lt;=CE$7),ROUND(CE368*($AP$3+#REF!),-1),""))</f>
        <v/>
      </c>
      <c r="CG368" s="503" t="s">
        <v>621</v>
      </c>
      <c r="CH368" s="503" t="str">
        <f>IF($G368="","",IF(AND($G368&gt;=30,$AT$3&lt;=CG$7),ROUND(CG368*($AP$3+#REF!),-1),""))</f>
        <v/>
      </c>
      <c r="CI368" s="503" t="s">
        <v>621</v>
      </c>
      <c r="CJ368" s="503" t="str">
        <f>IF($G368="","",IF(AND($G368&gt;=30,$AT$3&lt;=CI$7),ROUND(CI368*($AP$3+#REF!),-1),""))</f>
        <v/>
      </c>
      <c r="CK368" s="503" t="s">
        <v>621</v>
      </c>
      <c r="CL368" s="503" t="str">
        <f>IF($G368="","",IF(AND($G368&gt;=30,$AT$3&lt;=CK$7),ROUND(CK368*($AP$3+#REF!),-1),""))</f>
        <v/>
      </c>
      <c r="CM368" s="517" t="e">
        <v>#REF!</v>
      </c>
      <c r="CN368" s="503" t="str">
        <f>IF($G368="","",IF(AND($G368&gt;=30,$AT$3&lt;=CM$7),ROUND(CM368*($AP$3+#REF!),-1),""))</f>
        <v/>
      </c>
      <c r="CO368" s="517"/>
      <c r="CP368" s="503" t="str">
        <f>IF($G368="","",IF(AND($G368&gt;=30,$AT$3&lt;=CO$7),ROUND(CO368*($AP$3+#REF!),-1),""))</f>
        <v/>
      </c>
      <c r="CQ368" s="517"/>
      <c r="CR368" s="503" t="str">
        <f>IF($G368="","",IF(AND($G368&gt;=30,$AT$3&lt;=CQ$7),ROUND(CQ368*($AP$3+#REF!),-1),""))</f>
        <v/>
      </c>
      <c r="CS368" s="517"/>
      <c r="CT368" s="503" t="str">
        <f>IF($G368="","",IF(AND($G368&gt;=30,$AT$3&lt;=CS$7),ROUND(CS368*($AP$3+#REF!),-1),""))</f>
        <v/>
      </c>
      <c r="CU368" s="517"/>
      <c r="CV368" s="503" t="str">
        <f>IF($G368="","",IF(AND($G368&gt;=30,$AT$3&lt;=CU$7),ROUND(CU368*($AP$3+#REF!),-1),""))</f>
        <v/>
      </c>
      <c r="CW368" s="517"/>
      <c r="CX368" s="503" t="str">
        <f>IF($G368="","",IF(AND($G368&gt;=30,$AT$3&lt;=CW$7),ROUND(CW368*($AP$3+#REF!),-1),""))</f>
        <v/>
      </c>
      <c r="CY368" s="517"/>
      <c r="CZ368" s="503" t="str">
        <f>IF($G368="","",IF(AND($G368&gt;=30,$AT$3&lt;=CY$7),ROUND(CY368*($AP$3+#REF!),-1),""))</f>
        <v/>
      </c>
      <c r="DA368" s="517"/>
      <c r="DB368" s="503" t="str">
        <f>IF($G368="","",IF(AND($G368&gt;=30,$AT$3&lt;=DA$7),ROUND(DA368*($AP$3+#REF!),-1),""))</f>
        <v/>
      </c>
      <c r="DC368" s="517"/>
      <c r="DD368" s="503" t="str">
        <f>IF($G368="","",IF(AND($G368&gt;=30,$AT$3&lt;=DC$7),ROUND(DC368*($AP$3+#REF!),-1),""))</f>
        <v/>
      </c>
      <c r="DE368" s="517"/>
      <c r="DF368" s="503" t="str">
        <f>IF($G368="","",IF(AND($G368&gt;=30,$AT$3&lt;=DE$7),ROUND(DE368*($AP$3+#REF!),-1),""))</f>
        <v/>
      </c>
      <c r="DG368" s="517"/>
      <c r="DH368" s="503" t="str">
        <f>IF($G368="","",IF(AND($G368&gt;=30,$AT$3&lt;=DG$7),ROUND(DG368*($AP$3+#REF!),-1),""))</f>
        <v/>
      </c>
      <c r="DI368" s="517"/>
      <c r="DJ368" s="503" t="str">
        <f>IF($G368="","",IF(AND($G368&gt;=30,$AT$3&lt;=DI$7),ROUND(DI368*($AP$3+#REF!),-1),""))</f>
        <v/>
      </c>
      <c r="DK368" s="517"/>
      <c r="DL368" s="503" t="str">
        <f>IF($G368="","",IF(AND($G368&gt;=30,$AT$3&lt;=DK$7),ROUND(DK368*($AP$3+#REF!),-1),""))</f>
        <v/>
      </c>
      <c r="DM368" s="517"/>
      <c r="DN368" s="503" t="str">
        <f>IF($G368="","",IF(AND($G368&gt;=30,$AT$3&lt;=DM$7),ROUND(DM368*($AP$3+#REF!),-1),""))</f>
        <v/>
      </c>
      <c r="DO368" s="517"/>
      <c r="DP368" s="503" t="str">
        <f>IF($G368="","",IF(AND($G368&gt;=30,$AT$3&lt;=DO$7),ROUND(DO368*($AP$3+#REF!),-1),""))</f>
        <v/>
      </c>
      <c r="DQ368" s="517"/>
      <c r="DR368" s="503" t="str">
        <f>IF($G368="","",IF(AND($G368&gt;=30,$AT$3&lt;=DQ$7),ROUND(DQ368*($AP$3+#REF!),-1),""))</f>
        <v/>
      </c>
      <c r="DS368" s="517"/>
      <c r="DT368" s="503" t="str">
        <f>IF($G368="","",IF(AND($G368&gt;=30,$AT$3&lt;=DS$7),ROUND(DS368*($AP$3+#REF!),-1),""))</f>
        <v/>
      </c>
      <c r="DU368" s="517"/>
      <c r="DV368" s="503" t="str">
        <f>IF($G368="","",IF(AND($G368&gt;=30,$AT$3&lt;=DU$7),ROUND(DU368*($AP$3+#REF!),-1),""))</f>
        <v/>
      </c>
      <c r="DW368" s="517"/>
      <c r="DX368" s="503" t="str">
        <f>IF($G368="","",IF(AND($G368&gt;=30,$AT$3&lt;=DW$7),ROUND(DW368*($AP$3+#REF!),-1),""))</f>
        <v/>
      </c>
      <c r="DY368" s="517"/>
      <c r="DZ368" s="503" t="str">
        <f>IF($G368="","",IF(AND($G368&gt;=30,$AT$3&lt;=DY$7),ROUND(DY368*($AP$3+#REF!),-1),""))</f>
        <v/>
      </c>
      <c r="EA368" s="517"/>
      <c r="EB368" s="503" t="str">
        <f>IF($G368="","",IF(AND($G368&gt;=30,$AT$3&lt;=EA$7),ROUND(EA368*($AP$3+#REF!),-1),""))</f>
        <v/>
      </c>
      <c r="EC368" s="504" t="s">
        <v>621</v>
      </c>
      <c r="ED368" s="1125"/>
      <c r="EE368" s="325">
        <v>12</v>
      </c>
    </row>
    <row r="369" spans="1:135" ht="9.75" customHeight="1">
      <c r="A369" s="321" t="str">
        <f t="shared" si="82"/>
        <v/>
      </c>
      <c r="B369" s="567">
        <f>(ii!$D$13*12+V369)+1</f>
        <v>263</v>
      </c>
      <c r="C369" s="345">
        <f t="shared" si="86"/>
        <v>53358</v>
      </c>
      <c r="D369" s="340">
        <f t="shared" si="89"/>
        <v>2046</v>
      </c>
      <c r="E369" s="340">
        <f t="shared" si="87"/>
        <v>8.3333333333333329E-2</v>
      </c>
      <c r="F369" s="340">
        <f t="shared" si="90"/>
        <v>2046.0833333333333</v>
      </c>
      <c r="G369" s="531" t="str">
        <f>IF(OR(C369&lt;$I$2,C369&gt;$J$3),"",(ii!$D$13*12+V369+1)/12)</f>
        <v/>
      </c>
      <c r="H369" s="532"/>
      <c r="I369" s="532"/>
      <c r="J369" s="533"/>
      <c r="K369" s="553"/>
      <c r="L369" s="534"/>
      <c r="M369" s="489" t="str">
        <f t="shared" si="91"/>
        <v/>
      </c>
      <c r="N369" s="536" t="s">
        <v>621</v>
      </c>
      <c r="O369" s="490" t="str">
        <f t="shared" si="84"/>
        <v/>
      </c>
      <c r="P369" s="537"/>
      <c r="Q369" s="537"/>
      <c r="R369" s="533" t="str">
        <f t="shared" si="85"/>
        <v/>
      </c>
      <c r="S369" s="538" t="str">
        <f t="shared" si="83"/>
        <v/>
      </c>
      <c r="T369" s="538" t="str">
        <f t="shared" si="81"/>
        <v/>
      </c>
      <c r="U369" s="539" t="str">
        <f>IF(H369="","",#REF!*12+#REF!+#REF!*12+#REF!)</f>
        <v/>
      </c>
      <c r="V369" s="338">
        <f>IF(ii!$J$3&gt;gg!C369,"",IF(AND((YEAR(C369)=YEAR($I$2)),MONTH(C369)=MONTH($I$2)),ii!$B$14*12+ii!$C$14+ii!$B$15*12+ii!$C$15-1,V368+1))</f>
        <v>262</v>
      </c>
      <c r="W369" s="339">
        <f t="shared" si="88"/>
        <v>21.833333333333332</v>
      </c>
      <c r="X369" s="540" t="s">
        <v>621</v>
      </c>
      <c r="Y369" s="538" t="s">
        <v>621</v>
      </c>
      <c r="Z369" s="541">
        <f>Z357+$Z$26</f>
        <v>0.84000000000000052</v>
      </c>
      <c r="AA369" s="542" t="str">
        <f>IF(Y369="","",(Y369-Y368)/Y368)</f>
        <v/>
      </c>
      <c r="AB369" s="543" t="e">
        <f t="shared" si="94"/>
        <v>#VALUE!</v>
      </c>
      <c r="AC369" s="544" t="str">
        <f t="shared" si="92"/>
        <v/>
      </c>
      <c r="AD369" s="538" t="str">
        <f t="shared" si="93"/>
        <v/>
      </c>
      <c r="AE369" s="545" t="s">
        <v>621</v>
      </c>
      <c r="AF369" s="546" t="s">
        <v>621</v>
      </c>
      <c r="AG369" s="558" t="s">
        <v>621</v>
      </c>
      <c r="AH369" s="547" t="str">
        <f>IF($G369="","",IF(AND($G369&gt;=30,$AT$3&lt;=AG$7),ROUND(AG369*($AP$3+#REF!),-1),""))</f>
        <v/>
      </c>
      <c r="AI369" s="558" t="s">
        <v>621</v>
      </c>
      <c r="AJ369" s="547" t="str">
        <f>IF($G369="","",IF(AND($G369&gt;=30,$AT$3&lt;=AI$7),ROUND(AI369*($AP$3+#REF!),-1),""))</f>
        <v/>
      </c>
      <c r="AK369" s="560" t="s">
        <v>621</v>
      </c>
      <c r="AL369" s="547" t="str">
        <f>IF($G369="","",IF(AND($G369&gt;=30,$AT$3&lt;=AK$7),ROUND(AK369*($AP$3+#REF!),-1),""))</f>
        <v/>
      </c>
      <c r="AM369" s="560" t="s">
        <v>621</v>
      </c>
      <c r="AN369" s="547" t="str">
        <f>IF($G369="","",IF(AND($G369&gt;=30,$AT$3&lt;=AM$7),ROUND(AM369*($AP$3+#REF!),-1),""))</f>
        <v/>
      </c>
      <c r="AO369" s="547" t="e">
        <v>#REF!</v>
      </c>
      <c r="AP369" s="547" t="str">
        <f>IF($G369="","",IF(AND($G369&gt;=30,$AT$3&lt;=AO$7),ROUND(AO369*($AP$3+#REF!),-1),""))</f>
        <v/>
      </c>
      <c r="AQ369" s="547" t="s">
        <v>621</v>
      </c>
      <c r="AR369" s="547" t="str">
        <f>IF($G369="","",IF(AND($G369&gt;=30,$AT$3&lt;=AQ$7),ROUND(AQ369*($AP$3+#REF!),-1),""))</f>
        <v/>
      </c>
      <c r="AS369" s="547" t="s">
        <v>621</v>
      </c>
      <c r="AT369" s="547" t="str">
        <f>IF($G369="","",IF(AND($G369&gt;=30,$AT$3&lt;=AS$7),ROUND(AS369*($AP$3+#REF!),-1),""))</f>
        <v/>
      </c>
      <c r="AU369" s="547" t="s">
        <v>621</v>
      </c>
      <c r="AV369" s="547" t="str">
        <f>IF($G369="","",IF(AND($G369&gt;=30,$AT$3&lt;=AU$7),ROUND(AU369*($AP$3+#REF!),-1),""))</f>
        <v/>
      </c>
      <c r="AW369" s="547" t="s">
        <v>621</v>
      </c>
      <c r="AX369" s="547" t="str">
        <f>IF($G369="","",IF(AND($G369&gt;=30,$AT$3&lt;=AW$7),ROUND(AW369*($AP$3+#REF!),-1),""))</f>
        <v/>
      </c>
      <c r="AY369" s="547" t="s">
        <v>621</v>
      </c>
      <c r="AZ369" s="547" t="str">
        <f>IF($G369="","",IF(AND($G369&gt;=30,$AT$3&lt;=AY$7),ROUND(AY369*($AP$3+#REF!),-1),""))</f>
        <v/>
      </c>
      <c r="BA369" s="547" t="s">
        <v>621</v>
      </c>
      <c r="BB369" s="547" t="str">
        <f>IF($G369="","",IF(AND($G369&gt;=30,$AT$3&lt;=BA$7),ROUND(BA369*($AP$3+#REF!),-1),""))</f>
        <v/>
      </c>
      <c r="BC369" s="547" t="s">
        <v>621</v>
      </c>
      <c r="BD369" s="547" t="str">
        <f>IF($G369="","",IF(AND($G369&gt;=30,$AT$3&lt;=BC$7),ROUND(BC369*($AP$3+#REF!),-1),""))</f>
        <v/>
      </c>
      <c r="BE369" s="547" t="s">
        <v>621</v>
      </c>
      <c r="BF369" s="547" t="str">
        <f>IF($G369="","",IF(AND($G369&gt;=30,$AT$3&lt;=BE$7),ROUND(BE369*($AP$3+#REF!),-1),""))</f>
        <v/>
      </c>
      <c r="BG369" s="547" t="s">
        <v>621</v>
      </c>
      <c r="BH369" s="547" t="str">
        <f>IF($G369="","",IF(AND($G369&gt;=30,$AT$3&lt;=BG$7),ROUND(BG369*($AP$3+#REF!),-1),""))</f>
        <v/>
      </c>
      <c r="BI369" s="547" t="s">
        <v>621</v>
      </c>
      <c r="BJ369" s="547" t="str">
        <f>IF($G369="","",IF(AND($G369&gt;=30,$AT$3&lt;=BI$7),ROUND(BI369*($AP$3+#REF!),-1),""))</f>
        <v/>
      </c>
      <c r="BK369" s="547" t="s">
        <v>621</v>
      </c>
      <c r="BL369" s="547" t="str">
        <f>IF($G369="","",IF(AND($G369&gt;=30,$AT$3&lt;=BK$7),ROUND(BK369*($AP$3+#REF!),-1),""))</f>
        <v/>
      </c>
      <c r="BM369" s="547" t="s">
        <v>621</v>
      </c>
      <c r="BN369" s="547" t="str">
        <f>IF($G369="","",IF(AND($G369&gt;=30,$AT$3&lt;=BM$7),ROUND(BM369*($AP$3+#REF!),-1),""))</f>
        <v/>
      </c>
      <c r="BO369" s="547" t="s">
        <v>621</v>
      </c>
      <c r="BP369" s="547" t="str">
        <f>IF($G369="","",IF(AND($G369&gt;=30,$AT$3&lt;=BO$7),ROUND(BO369*($AP$3+#REF!),-1),""))</f>
        <v/>
      </c>
      <c r="BQ369" s="547" t="s">
        <v>621</v>
      </c>
      <c r="BR369" s="547" t="str">
        <f>IF($G369="","",IF(AND($G369&gt;=30,$AT$3&lt;=BQ$7),ROUND(BQ369*($AP$3+#REF!),-1),""))</f>
        <v/>
      </c>
      <c r="BS369" s="547" t="s">
        <v>621</v>
      </c>
      <c r="BT369" s="547" t="str">
        <f>IF($G369="","",IF(AND($G369&gt;=30,$AT$3&lt;=BS$7),ROUND(BS369*($AP$3+#REF!),-1),""))</f>
        <v/>
      </c>
      <c r="BU369" s="547" t="s">
        <v>621</v>
      </c>
      <c r="BV369" s="547" t="str">
        <f>IF($G369="","",IF(AND($G369&gt;=30,$AT$3&lt;=BU$7),ROUND(BU369*($AP$3+#REF!),-1),""))</f>
        <v/>
      </c>
      <c r="BW369" s="547" t="s">
        <v>621</v>
      </c>
      <c r="BX369" s="547" t="str">
        <f>IF($G369="","",IF(AND($G369&gt;=30,$AT$3&lt;=BW$7),ROUND(BW369*($AP$3+#REF!),-1),""))</f>
        <v/>
      </c>
      <c r="BY369" s="547" t="s">
        <v>621</v>
      </c>
      <c r="BZ369" s="547" t="str">
        <f>IF($G369="","",IF(AND($G369&gt;=30,$AT$3&lt;=BY$7),ROUND(BY369*($AP$3+#REF!),-1),""))</f>
        <v/>
      </c>
      <c r="CA369" s="547" t="s">
        <v>621</v>
      </c>
      <c r="CB369" s="547" t="str">
        <f>IF($G369="","",IF(AND($G369&gt;=30,$AT$3&lt;=CA$7),ROUND(CA369*($AP$3+#REF!),-1),""))</f>
        <v/>
      </c>
      <c r="CC369" s="547" t="s">
        <v>621</v>
      </c>
      <c r="CD369" s="547" t="str">
        <f>IF($G369="","",IF(AND($G369&gt;=30,$AT$3&lt;=CC$7),ROUND(CC369*($AP$3+#REF!),-1),""))</f>
        <v/>
      </c>
      <c r="CE369" s="547" t="s">
        <v>621</v>
      </c>
      <c r="CF369" s="547" t="str">
        <f>IF($G369="","",IF(AND($G369&gt;=30,$AT$3&lt;=CE$7),ROUND(CE369*($AP$3+#REF!),-1),""))</f>
        <v/>
      </c>
      <c r="CG369" s="547" t="s">
        <v>621</v>
      </c>
      <c r="CH369" s="547" t="str">
        <f>IF($G369="","",IF(AND($G369&gt;=30,$AT$3&lt;=CG$7),ROUND(CG369*($AP$3+#REF!),-1),""))</f>
        <v/>
      </c>
      <c r="CI369" s="547" t="s">
        <v>621</v>
      </c>
      <c r="CJ369" s="547" t="str">
        <f>IF($G369="","",IF(AND($G369&gt;=30,$AT$3&lt;=CI$7),ROUND(CI369*($AP$3+#REF!),-1),""))</f>
        <v/>
      </c>
      <c r="CK369" s="547" t="s">
        <v>621</v>
      </c>
      <c r="CL369" s="547" t="str">
        <f>IF($G369="","",IF(AND($G369&gt;=30,$AT$3&lt;=CK$7),ROUND(CK369*($AP$3+#REF!),-1),""))</f>
        <v/>
      </c>
      <c r="CM369" s="547" t="s">
        <v>621</v>
      </c>
      <c r="CN369" s="547" t="str">
        <f>IF($G369="","",IF(AND($G369&gt;=30,$AT$3&lt;=CM$7),ROUND(CM369*($AP$3+#REF!),-1),""))</f>
        <v/>
      </c>
      <c r="CO369" s="533" t="e">
        <v>#REF!</v>
      </c>
      <c r="CP369" s="547" t="str">
        <f>IF($G369="","",IF(AND($G369&gt;=30,$AT$3&lt;=CO$7),ROUND(CO369*($AP$3+#REF!),-1),""))</f>
        <v/>
      </c>
      <c r="CQ369" s="547"/>
      <c r="CR369" s="547" t="str">
        <f>IF($G369="","",IF(AND($G369&gt;=30,$AT$3&lt;=CQ$7),ROUND(CQ369*($AP$3+#REF!),-1),""))</f>
        <v/>
      </c>
      <c r="CS369" s="547"/>
      <c r="CT369" s="547" t="str">
        <f>IF($G369="","",IF(AND($G369&gt;=30,$AT$3&lt;=CS$7),ROUND(CS369*($AP$3+#REF!),-1),""))</f>
        <v/>
      </c>
      <c r="CU369" s="547"/>
      <c r="CV369" s="547" t="str">
        <f>IF($G369="","",IF(AND($G369&gt;=30,$AT$3&lt;=CU$7),ROUND(CU369*($AP$3+#REF!),-1),""))</f>
        <v/>
      </c>
      <c r="CW369" s="547"/>
      <c r="CX369" s="547" t="str">
        <f>IF($G369="","",IF(AND($G369&gt;=30,$AT$3&lt;=CW$7),ROUND(CW369*($AP$3+#REF!),-1),""))</f>
        <v/>
      </c>
      <c r="CY369" s="547"/>
      <c r="CZ369" s="547" t="str">
        <f>IF($G369="","",IF(AND($G369&gt;=30,$AT$3&lt;=CY$7),ROUND(CY369*($AP$3+#REF!),-1),""))</f>
        <v/>
      </c>
      <c r="DA369" s="547"/>
      <c r="DB369" s="547" t="str">
        <f>IF($G369="","",IF(AND($G369&gt;=30,$AT$3&lt;=DA$7),ROUND(DA369*($AP$3+#REF!),-1),""))</f>
        <v/>
      </c>
      <c r="DC369" s="547"/>
      <c r="DD369" s="547" t="str">
        <f>IF($G369="","",IF(AND($G369&gt;=30,$AT$3&lt;=DC$7),ROUND(DC369*($AP$3+#REF!),-1),""))</f>
        <v/>
      </c>
      <c r="DE369" s="547"/>
      <c r="DF369" s="547" t="str">
        <f>IF($G369="","",IF(AND($G369&gt;=30,$AT$3&lt;=DE$7),ROUND(DE369*($AP$3+#REF!),-1),""))</f>
        <v/>
      </c>
      <c r="DG369" s="547"/>
      <c r="DH369" s="547" t="str">
        <f>IF($G369="","",IF(AND($G369&gt;=30,$AT$3&lt;=DG$7),ROUND(DG369*($AP$3+#REF!),-1),""))</f>
        <v/>
      </c>
      <c r="DI369" s="547"/>
      <c r="DJ369" s="547" t="str">
        <f>IF($G369="","",IF(AND($G369&gt;=30,$AT$3&lt;=DI$7),ROUND(DI369*($AP$3+#REF!),-1),""))</f>
        <v/>
      </c>
      <c r="DK369" s="547"/>
      <c r="DL369" s="547" t="str">
        <f>IF($G369="","",IF(AND($G369&gt;=30,$AT$3&lt;=DK$7),ROUND(DK369*($AP$3+#REF!),-1),""))</f>
        <v/>
      </c>
      <c r="DM369" s="547"/>
      <c r="DN369" s="547" t="str">
        <f>IF($G369="","",IF(AND($G369&gt;=30,$AT$3&lt;=DM$7),ROUND(DM369*($AP$3+#REF!),-1),""))</f>
        <v/>
      </c>
      <c r="DO369" s="547"/>
      <c r="DP369" s="547" t="str">
        <f>IF($G369="","",IF(AND($G369&gt;=30,$AT$3&lt;=DO$7),ROUND(DO369*($AP$3+#REF!),-1),""))</f>
        <v/>
      </c>
      <c r="DQ369" s="547"/>
      <c r="DR369" s="547" t="str">
        <f>IF($G369="","",IF(AND($G369&gt;=30,$AT$3&lt;=DQ$7),ROUND(DQ369*($AP$3+#REF!),-1),""))</f>
        <v/>
      </c>
      <c r="DS369" s="547"/>
      <c r="DT369" s="547" t="str">
        <f>IF($G369="","",IF(AND($G369&gt;=30,$AT$3&lt;=DS$7),ROUND(DS369*($AP$3+#REF!),-1),""))</f>
        <v/>
      </c>
      <c r="DU369" s="547"/>
      <c r="DV369" s="547" t="str">
        <f>IF($G369="","",IF(AND($G369&gt;=30,$AT$3&lt;=DU$7),ROUND(DU369*($AP$3+#REF!),-1),""))</f>
        <v/>
      </c>
      <c r="DW369" s="547"/>
      <c r="DX369" s="547" t="str">
        <f>IF($G369="","",IF(AND($G369&gt;=30,$AT$3&lt;=DW$7),ROUND(DW369*($AP$3+#REF!),-1),""))</f>
        <v/>
      </c>
      <c r="DY369" s="547"/>
      <c r="DZ369" s="547" t="str">
        <f>IF($G369="","",IF(AND($G369&gt;=30,$AT$3&lt;=DY$7),ROUND(DY369*($AP$3+#REF!),-1),""))</f>
        <v/>
      </c>
      <c r="EA369" s="547"/>
      <c r="EB369" s="547" t="str">
        <f>IF($G369="","",IF(AND($G369&gt;=30,$AT$3&lt;=EA$7),ROUND(EA369*($AP$3+#REF!),-1),""))</f>
        <v/>
      </c>
      <c r="EC369" s="547" t="s">
        <v>621</v>
      </c>
      <c r="ED369" s="1123">
        <f>SUM(EC369:EC380)</f>
        <v>0</v>
      </c>
      <c r="EE369" s="325">
        <v>1</v>
      </c>
    </row>
    <row r="370" spans="1:135" ht="9.75" customHeight="1">
      <c r="A370" s="321" t="str">
        <f t="shared" si="82"/>
        <v/>
      </c>
      <c r="B370" s="567">
        <f>(ii!$D$13*12+V370)+1</f>
        <v>264</v>
      </c>
      <c r="C370" s="337">
        <f t="shared" si="86"/>
        <v>53386</v>
      </c>
      <c r="D370" s="484">
        <f t="shared" si="89"/>
        <v>2046</v>
      </c>
      <c r="E370" s="484">
        <f t="shared" si="87"/>
        <v>0.16666666666666666</v>
      </c>
      <c r="F370" s="484">
        <f t="shared" si="90"/>
        <v>2046.1666666666667</v>
      </c>
      <c r="G370" s="485" t="str">
        <f>IF(OR(C370&lt;$I$2,C370&gt;$J$3),"",(ii!$D$13*12+V370+1)/12)</f>
        <v/>
      </c>
      <c r="H370" s="486"/>
      <c r="I370" s="486"/>
      <c r="J370" s="487"/>
      <c r="K370" s="488"/>
      <c r="L370" s="548"/>
      <c r="M370" s="489" t="str">
        <f t="shared" si="91"/>
        <v/>
      </c>
      <c r="N370" s="490" t="s">
        <v>621</v>
      </c>
      <c r="O370" s="490" t="str">
        <f t="shared" si="84"/>
        <v/>
      </c>
      <c r="P370" s="491"/>
      <c r="Q370" s="491"/>
      <c r="R370" s="491" t="str">
        <f t="shared" si="85"/>
        <v/>
      </c>
      <c r="S370" s="528" t="str">
        <f t="shared" si="83"/>
        <v/>
      </c>
      <c r="T370" s="528" t="str">
        <f t="shared" si="81"/>
        <v/>
      </c>
      <c r="U370" s="493" t="str">
        <f>IF(H370="","",#REF!*12+#REF!+#REF!*12+#REF!)</f>
        <v/>
      </c>
      <c r="V370" s="338">
        <f>IF(ii!$J$3&gt;gg!C370,"",IF(AND((YEAR(C370)=YEAR($I$2)),MONTH(C370)=MONTH($I$2)),ii!$B$14*12+ii!$C$14+ii!$B$15*12+ii!$C$15-1,V369+1))</f>
        <v>263</v>
      </c>
      <c r="W370" s="339">
        <f t="shared" si="88"/>
        <v>21.916666666666668</v>
      </c>
      <c r="X370" s="494" t="s">
        <v>621</v>
      </c>
      <c r="Y370" s="495" t="s">
        <v>621</v>
      </c>
      <c r="Z370" s="496"/>
      <c r="AA370" s="497"/>
      <c r="AB370" s="498" t="e">
        <f t="shared" si="94"/>
        <v>#VALUE!</v>
      </c>
      <c r="AC370" s="484" t="str">
        <f t="shared" si="92"/>
        <v/>
      </c>
      <c r="AD370" s="495" t="str">
        <f t="shared" si="93"/>
        <v/>
      </c>
      <c r="AE370" s="499" t="s">
        <v>621</v>
      </c>
      <c r="AF370" s="500" t="s">
        <v>621</v>
      </c>
      <c r="AG370" s="556" t="s">
        <v>621</v>
      </c>
      <c r="AH370" s="503" t="str">
        <f>IF($G370="","",IF(AND($G370&gt;=30,$AT$3&lt;=AG$7),ROUND(AG370*($AP$3+#REF!),-1),""))</f>
        <v/>
      </c>
      <c r="AI370" s="506" t="s">
        <v>621</v>
      </c>
      <c r="AJ370" s="503" t="str">
        <f>IF($G370="","",IF(AND($G370&gt;=30,$AT$3&lt;=AI$7),ROUND(AI370*($AP$3+#REF!),-1),""))</f>
        <v/>
      </c>
      <c r="AK370" s="506" t="s">
        <v>621</v>
      </c>
      <c r="AL370" s="503" t="str">
        <f>IF($G370="","",IF(AND($G370&gt;=30,$AT$3&lt;=AK$7),ROUND(AK370*($AP$3+#REF!),-1),""))</f>
        <v/>
      </c>
      <c r="AM370" s="506" t="s">
        <v>621</v>
      </c>
      <c r="AN370" s="503" t="str">
        <f>IF($G370="","",IF(AND($G370&gt;=30,$AT$3&lt;=AM$7),ROUND(AM370*($AP$3+#REF!),-1),""))</f>
        <v/>
      </c>
      <c r="AO370" s="503" t="e">
        <f>IF(AO369="","",AO369*1.001)</f>
        <v>#REF!</v>
      </c>
      <c r="AP370" s="503" t="str">
        <f>IF($G370="","",IF(AND($G370&gt;=30,$AT$3&lt;=AO$7),ROUND(AO370*($AP$3+#REF!),-1),""))</f>
        <v/>
      </c>
      <c r="AQ370" s="503" t="s">
        <v>621</v>
      </c>
      <c r="AR370" s="503" t="str">
        <f>IF($G370="","",IF(AND($G370&gt;=30,$AT$3&lt;=AQ$7),ROUND(AQ370*($AP$3+#REF!),-1),""))</f>
        <v/>
      </c>
      <c r="AS370" s="503" t="s">
        <v>621</v>
      </c>
      <c r="AT370" s="503" t="str">
        <f>IF($G370="","",IF(AND($G370&gt;=30,$AT$3&lt;=AS$7),ROUND(AS370*($AP$3+#REF!),-1),""))</f>
        <v/>
      </c>
      <c r="AU370" s="503" t="s">
        <v>621</v>
      </c>
      <c r="AV370" s="503" t="str">
        <f>IF($G370="","",IF(AND($G370&gt;=30,$AT$3&lt;=AU$7),ROUND(AU370*($AP$3+#REF!),-1),""))</f>
        <v/>
      </c>
      <c r="AW370" s="503" t="s">
        <v>621</v>
      </c>
      <c r="AX370" s="503" t="str">
        <f>IF($G370="","",IF(AND($G370&gt;=30,$AT$3&lt;=AW$7),ROUND(AW370*($AP$3+#REF!),-1),""))</f>
        <v/>
      </c>
      <c r="AY370" s="503" t="s">
        <v>621</v>
      </c>
      <c r="AZ370" s="503" t="str">
        <f>IF($G370="","",IF(AND($G370&gt;=30,$AT$3&lt;=AY$7),ROUND(AY370*($AP$3+#REF!),-1),""))</f>
        <v/>
      </c>
      <c r="BA370" s="503" t="s">
        <v>621</v>
      </c>
      <c r="BB370" s="503" t="str">
        <f>IF($G370="","",IF(AND($G370&gt;=30,$AT$3&lt;=BA$7),ROUND(BA370*($AP$3+#REF!),-1),""))</f>
        <v/>
      </c>
      <c r="BC370" s="503" t="s">
        <v>621</v>
      </c>
      <c r="BD370" s="503" t="str">
        <f>IF($G370="","",IF(AND($G370&gt;=30,$AT$3&lt;=BC$7),ROUND(BC370*($AP$3+#REF!),-1),""))</f>
        <v/>
      </c>
      <c r="BE370" s="503" t="s">
        <v>621</v>
      </c>
      <c r="BF370" s="503" t="str">
        <f>IF($G370="","",IF(AND($G370&gt;=30,$AT$3&lt;=BE$7),ROUND(BE370*($AP$3+#REF!),-1),""))</f>
        <v/>
      </c>
      <c r="BG370" s="503" t="s">
        <v>621</v>
      </c>
      <c r="BH370" s="503" t="str">
        <f>IF($G370="","",IF(AND($G370&gt;=30,$AT$3&lt;=BG$7),ROUND(BG370*($AP$3+#REF!),-1),""))</f>
        <v/>
      </c>
      <c r="BI370" s="503" t="s">
        <v>621</v>
      </c>
      <c r="BJ370" s="503" t="str">
        <f>IF($G370="","",IF(AND($G370&gt;=30,$AT$3&lt;=BI$7),ROUND(BI370*($AP$3+#REF!),-1),""))</f>
        <v/>
      </c>
      <c r="BK370" s="503" t="s">
        <v>621</v>
      </c>
      <c r="BL370" s="503" t="str">
        <f>IF($G370="","",IF(AND($G370&gt;=30,$AT$3&lt;=BK$7),ROUND(BK370*($AP$3+#REF!),-1),""))</f>
        <v/>
      </c>
      <c r="BM370" s="503" t="s">
        <v>621</v>
      </c>
      <c r="BN370" s="503" t="str">
        <f>IF($G370="","",IF(AND($G370&gt;=30,$AT$3&lt;=BM$7),ROUND(BM370*($AP$3+#REF!),-1),""))</f>
        <v/>
      </c>
      <c r="BO370" s="503" t="s">
        <v>621</v>
      </c>
      <c r="BP370" s="503" t="str">
        <f>IF($G370="","",IF(AND($G370&gt;=30,$AT$3&lt;=BO$7),ROUND(BO370*($AP$3+#REF!),-1),""))</f>
        <v/>
      </c>
      <c r="BQ370" s="503" t="s">
        <v>621</v>
      </c>
      <c r="BR370" s="503" t="str">
        <f>IF($G370="","",IF(AND($G370&gt;=30,$AT$3&lt;=BQ$7),ROUND(BQ370*($AP$3+#REF!),-1),""))</f>
        <v/>
      </c>
      <c r="BS370" s="503" t="s">
        <v>621</v>
      </c>
      <c r="BT370" s="503" t="str">
        <f>IF($G370="","",IF(AND($G370&gt;=30,$AT$3&lt;=BS$7),ROUND(BS370*($AP$3+#REF!),-1),""))</f>
        <v/>
      </c>
      <c r="BU370" s="503" t="s">
        <v>621</v>
      </c>
      <c r="BV370" s="503" t="str">
        <f>IF($G370="","",IF(AND($G370&gt;=30,$AT$3&lt;=BU$7),ROUND(BU370*($AP$3+#REF!),-1),""))</f>
        <v/>
      </c>
      <c r="BW370" s="503" t="s">
        <v>621</v>
      </c>
      <c r="BX370" s="503" t="str">
        <f>IF($G370="","",IF(AND($G370&gt;=30,$AT$3&lt;=BW$7),ROUND(BW370*($AP$3+#REF!),-1),""))</f>
        <v/>
      </c>
      <c r="BY370" s="503" t="s">
        <v>621</v>
      </c>
      <c r="BZ370" s="503" t="str">
        <f>IF($G370="","",IF(AND($G370&gt;=30,$AT$3&lt;=BY$7),ROUND(BY370*($AP$3+#REF!),-1),""))</f>
        <v/>
      </c>
      <c r="CA370" s="503" t="s">
        <v>621</v>
      </c>
      <c r="CB370" s="503" t="str">
        <f>IF($G370="","",IF(AND($G370&gt;=30,$AT$3&lt;=CA$7),ROUND(CA370*($AP$3+#REF!),-1),""))</f>
        <v/>
      </c>
      <c r="CC370" s="503" t="s">
        <v>621</v>
      </c>
      <c r="CD370" s="503" t="str">
        <f>IF($G370="","",IF(AND($G370&gt;=30,$AT$3&lt;=CC$7),ROUND(CC370*($AP$3+#REF!),-1),""))</f>
        <v/>
      </c>
      <c r="CE370" s="503" t="s">
        <v>621</v>
      </c>
      <c r="CF370" s="503" t="str">
        <f>IF($G370="","",IF(AND($G370&gt;=30,$AT$3&lt;=CE$7),ROUND(CE370*($AP$3+#REF!),-1),""))</f>
        <v/>
      </c>
      <c r="CG370" s="503" t="s">
        <v>621</v>
      </c>
      <c r="CH370" s="503" t="str">
        <f>IF($G370="","",IF(AND($G370&gt;=30,$AT$3&lt;=CG$7),ROUND(CG370*($AP$3+#REF!),-1),""))</f>
        <v/>
      </c>
      <c r="CI370" s="503" t="s">
        <v>621</v>
      </c>
      <c r="CJ370" s="503" t="str">
        <f>IF($G370="","",IF(AND($G370&gt;=30,$AT$3&lt;=CI$7),ROUND(CI370*($AP$3+#REF!),-1),""))</f>
        <v/>
      </c>
      <c r="CK370" s="503" t="s">
        <v>621</v>
      </c>
      <c r="CL370" s="503" t="str">
        <f>IF($G370="","",IF(AND($G370&gt;=30,$AT$3&lt;=CK$7),ROUND(CK370*($AP$3+#REF!),-1),""))</f>
        <v/>
      </c>
      <c r="CM370" s="503" t="s">
        <v>621</v>
      </c>
      <c r="CN370" s="503" t="str">
        <f>IF($G370="","",IF(AND($G370&gt;=30,$AT$3&lt;=CM$7),ROUND(CM370*($AP$3+#REF!),-1),""))</f>
        <v/>
      </c>
      <c r="CO370" s="517" t="e">
        <v>#REF!</v>
      </c>
      <c r="CP370" s="503" t="str">
        <f>IF($G370="","",IF(AND($G370&gt;=30,$AT$3&lt;=CO$7),ROUND(CO370*($AP$3+#REF!),-1),""))</f>
        <v/>
      </c>
      <c r="CQ370" s="517"/>
      <c r="CR370" s="503" t="str">
        <f>IF($G370="","",IF(AND($G370&gt;=30,$AT$3&lt;=CQ$7),ROUND(CQ370*($AP$3+#REF!),-1),""))</f>
        <v/>
      </c>
      <c r="CS370" s="517"/>
      <c r="CT370" s="503" t="str">
        <f>IF($G370="","",IF(AND($G370&gt;=30,$AT$3&lt;=CS$7),ROUND(CS370*($AP$3+#REF!),-1),""))</f>
        <v/>
      </c>
      <c r="CU370" s="517"/>
      <c r="CV370" s="503" t="str">
        <f>IF($G370="","",IF(AND($G370&gt;=30,$AT$3&lt;=CU$7),ROUND(CU370*($AP$3+#REF!),-1),""))</f>
        <v/>
      </c>
      <c r="CW370" s="517"/>
      <c r="CX370" s="503" t="str">
        <f>IF($G370="","",IF(AND($G370&gt;=30,$AT$3&lt;=CW$7),ROUND(CW370*($AP$3+#REF!),-1),""))</f>
        <v/>
      </c>
      <c r="CY370" s="517"/>
      <c r="CZ370" s="503" t="str">
        <f>IF($G370="","",IF(AND($G370&gt;=30,$AT$3&lt;=CY$7),ROUND(CY370*($AP$3+#REF!),-1),""))</f>
        <v/>
      </c>
      <c r="DA370" s="517"/>
      <c r="DB370" s="503" t="str">
        <f>IF($G370="","",IF(AND($G370&gt;=30,$AT$3&lt;=DA$7),ROUND(DA370*($AP$3+#REF!),-1),""))</f>
        <v/>
      </c>
      <c r="DC370" s="517"/>
      <c r="DD370" s="503" t="str">
        <f>IF($G370="","",IF(AND($G370&gt;=30,$AT$3&lt;=DC$7),ROUND(DC370*($AP$3+#REF!),-1),""))</f>
        <v/>
      </c>
      <c r="DE370" s="517"/>
      <c r="DF370" s="503" t="str">
        <f>IF($G370="","",IF(AND($G370&gt;=30,$AT$3&lt;=DE$7),ROUND(DE370*($AP$3+#REF!),-1),""))</f>
        <v/>
      </c>
      <c r="DG370" s="517"/>
      <c r="DH370" s="503" t="str">
        <f>IF($G370="","",IF(AND($G370&gt;=30,$AT$3&lt;=DG$7),ROUND(DG370*($AP$3+#REF!),-1),""))</f>
        <v/>
      </c>
      <c r="DI370" s="517"/>
      <c r="DJ370" s="503" t="str">
        <f>IF($G370="","",IF(AND($G370&gt;=30,$AT$3&lt;=DI$7),ROUND(DI370*($AP$3+#REF!),-1),""))</f>
        <v/>
      </c>
      <c r="DK370" s="517"/>
      <c r="DL370" s="503" t="str">
        <f>IF($G370="","",IF(AND($G370&gt;=30,$AT$3&lt;=DK$7),ROUND(DK370*($AP$3+#REF!),-1),""))</f>
        <v/>
      </c>
      <c r="DM370" s="517"/>
      <c r="DN370" s="503" t="str">
        <f>IF($G370="","",IF(AND($G370&gt;=30,$AT$3&lt;=DM$7),ROUND(DM370*($AP$3+#REF!),-1),""))</f>
        <v/>
      </c>
      <c r="DO370" s="517"/>
      <c r="DP370" s="503" t="str">
        <f>IF($G370="","",IF(AND($G370&gt;=30,$AT$3&lt;=DO$7),ROUND(DO370*($AP$3+#REF!),-1),""))</f>
        <v/>
      </c>
      <c r="DQ370" s="517"/>
      <c r="DR370" s="503" t="str">
        <f>IF($G370="","",IF(AND($G370&gt;=30,$AT$3&lt;=DQ$7),ROUND(DQ370*($AP$3+#REF!),-1),""))</f>
        <v/>
      </c>
      <c r="DS370" s="517"/>
      <c r="DT370" s="503" t="str">
        <f>IF($G370="","",IF(AND($G370&gt;=30,$AT$3&lt;=DS$7),ROUND(DS370*($AP$3+#REF!),-1),""))</f>
        <v/>
      </c>
      <c r="DU370" s="517"/>
      <c r="DV370" s="503" t="str">
        <f>IF($G370="","",IF(AND($G370&gt;=30,$AT$3&lt;=DU$7),ROUND(DU370*($AP$3+#REF!),-1),""))</f>
        <v/>
      </c>
      <c r="DW370" s="517"/>
      <c r="DX370" s="503" t="str">
        <f>IF($G370="","",IF(AND($G370&gt;=30,$AT$3&lt;=DW$7),ROUND(DW370*($AP$3+#REF!),-1),""))</f>
        <v/>
      </c>
      <c r="DY370" s="517"/>
      <c r="DZ370" s="503" t="str">
        <f>IF($G370="","",IF(AND($G370&gt;=30,$AT$3&lt;=DY$7),ROUND(DY370*($AP$3+#REF!),-1),""))</f>
        <v/>
      </c>
      <c r="EA370" s="517"/>
      <c r="EB370" s="503" t="str">
        <f>IF($G370="","",IF(AND($G370&gt;=30,$AT$3&lt;=EA$7),ROUND(EA370*($AP$3+#REF!),-1),""))</f>
        <v/>
      </c>
      <c r="EC370" s="504" t="s">
        <v>621</v>
      </c>
      <c r="ED370" s="1124"/>
      <c r="EE370" s="325">
        <v>2</v>
      </c>
    </row>
    <row r="371" spans="1:135" ht="9.75" customHeight="1">
      <c r="A371" s="321" t="str">
        <f t="shared" si="82"/>
        <v/>
      </c>
      <c r="B371" s="567">
        <f>(ii!$D$13*12+V371)+1</f>
        <v>265</v>
      </c>
      <c r="C371" s="337">
        <f t="shared" si="86"/>
        <v>53417</v>
      </c>
      <c r="D371" s="484">
        <f t="shared" si="89"/>
        <v>2046</v>
      </c>
      <c r="E371" s="484">
        <f t="shared" si="87"/>
        <v>0.25</v>
      </c>
      <c r="F371" s="484">
        <f t="shared" si="90"/>
        <v>2046.25</v>
      </c>
      <c r="G371" s="485" t="str">
        <f>IF(OR(C371&lt;$I$2,C371&gt;$J$3),"",(ii!$D$13*12+V371+1)/12)</f>
        <v/>
      </c>
      <c r="H371" s="486"/>
      <c r="I371" s="486"/>
      <c r="J371" s="487"/>
      <c r="K371" s="488"/>
      <c r="L371" s="548"/>
      <c r="M371" s="489" t="str">
        <f t="shared" si="91"/>
        <v/>
      </c>
      <c r="N371" s="490" t="s">
        <v>621</v>
      </c>
      <c r="O371" s="490" t="str">
        <f t="shared" si="84"/>
        <v/>
      </c>
      <c r="P371" s="491"/>
      <c r="Q371" s="491"/>
      <c r="R371" s="491" t="str">
        <f t="shared" si="85"/>
        <v/>
      </c>
      <c r="S371" s="528" t="str">
        <f t="shared" si="83"/>
        <v/>
      </c>
      <c r="T371" s="528" t="str">
        <f t="shared" si="81"/>
        <v/>
      </c>
      <c r="U371" s="493" t="str">
        <f>IF(H371="","",#REF!*12+#REF!+#REF!*12+#REF!)</f>
        <v/>
      </c>
      <c r="V371" s="338">
        <f>IF(ii!$J$3&gt;gg!C371,"",IF(AND((YEAR(C371)=YEAR($I$2)),MONTH(C371)=MONTH($I$2)),ii!$B$14*12+ii!$C$14+ii!$B$15*12+ii!$C$15-1,V370+1))</f>
        <v>264</v>
      </c>
      <c r="W371" s="339">
        <f t="shared" si="88"/>
        <v>22</v>
      </c>
      <c r="X371" s="494" t="s">
        <v>621</v>
      </c>
      <c r="Y371" s="495" t="s">
        <v>621</v>
      </c>
      <c r="Z371" s="496"/>
      <c r="AA371" s="497"/>
      <c r="AB371" s="498" t="e">
        <f t="shared" si="94"/>
        <v>#VALUE!</v>
      </c>
      <c r="AC371" s="484" t="str">
        <f t="shared" si="92"/>
        <v/>
      </c>
      <c r="AD371" s="495" t="str">
        <f t="shared" si="93"/>
        <v/>
      </c>
      <c r="AE371" s="499" t="s">
        <v>621</v>
      </c>
      <c r="AF371" s="500" t="s">
        <v>621</v>
      </c>
      <c r="AG371" s="556" t="s">
        <v>621</v>
      </c>
      <c r="AH371" s="503" t="str">
        <f>IF($G371="","",IF(AND($G371&gt;=30,$AT$3&lt;=AG$7),ROUND(AG371*($AP$3+#REF!),-1),""))</f>
        <v/>
      </c>
      <c r="AI371" s="506" t="s">
        <v>621</v>
      </c>
      <c r="AJ371" s="503" t="str">
        <f>IF($G371="","",IF(AND($G371&gt;=30,$AT$3&lt;=AI$7),ROUND(AI371*($AP$3+#REF!),-1),""))</f>
        <v/>
      </c>
      <c r="AK371" s="506" t="s">
        <v>621</v>
      </c>
      <c r="AL371" s="503" t="str">
        <f>IF($G371="","",IF(AND($G371&gt;=30,$AT$3&lt;=AK$7),ROUND(AK371*($AP$3+#REF!),-1),""))</f>
        <v/>
      </c>
      <c r="AM371" s="506" t="s">
        <v>621</v>
      </c>
      <c r="AN371" s="503" t="str">
        <f>IF($G371="","",IF(AND($G371&gt;=30,$AT$3&lt;=AM$7),ROUND(AM371*($AP$3+#REF!),-1),""))</f>
        <v/>
      </c>
      <c r="AO371" s="503" t="e">
        <v>#REF!</v>
      </c>
      <c r="AP371" s="503" t="str">
        <f>IF($G371="","",IF(AND($G371&gt;=30,$AT$3&lt;=AO$7),ROUND(AO371*($AP$3+#REF!),-1),""))</f>
        <v/>
      </c>
      <c r="AQ371" s="503" t="s">
        <v>621</v>
      </c>
      <c r="AR371" s="503" t="str">
        <f>IF($G371="","",IF(AND($G371&gt;=30,$AT$3&lt;=AQ$7),ROUND(AQ371*($AP$3+#REF!),-1),""))</f>
        <v/>
      </c>
      <c r="AS371" s="503" t="s">
        <v>621</v>
      </c>
      <c r="AT371" s="503" t="str">
        <f>IF($G371="","",IF(AND($G371&gt;=30,$AT$3&lt;=AS$7),ROUND(AS371*($AP$3+#REF!),-1),""))</f>
        <v/>
      </c>
      <c r="AU371" s="503" t="s">
        <v>621</v>
      </c>
      <c r="AV371" s="503" t="str">
        <f>IF($G371="","",IF(AND($G371&gt;=30,$AT$3&lt;=AU$7),ROUND(AU371*($AP$3+#REF!),-1),""))</f>
        <v/>
      </c>
      <c r="AW371" s="503" t="s">
        <v>621</v>
      </c>
      <c r="AX371" s="503" t="str">
        <f>IF($G371="","",IF(AND($G371&gt;=30,$AT$3&lt;=AW$7),ROUND(AW371*($AP$3+#REF!),-1),""))</f>
        <v/>
      </c>
      <c r="AY371" s="503" t="s">
        <v>621</v>
      </c>
      <c r="AZ371" s="503" t="str">
        <f>IF($G371="","",IF(AND($G371&gt;=30,$AT$3&lt;=AY$7),ROUND(AY371*($AP$3+#REF!),-1),""))</f>
        <v/>
      </c>
      <c r="BA371" s="503" t="s">
        <v>621</v>
      </c>
      <c r="BB371" s="503" t="str">
        <f>IF($G371="","",IF(AND($G371&gt;=30,$AT$3&lt;=BA$7),ROUND(BA371*($AP$3+#REF!),-1),""))</f>
        <v/>
      </c>
      <c r="BC371" s="503" t="s">
        <v>621</v>
      </c>
      <c r="BD371" s="503" t="str">
        <f>IF($G371="","",IF(AND($G371&gt;=30,$AT$3&lt;=BC$7),ROUND(BC371*($AP$3+#REF!),-1),""))</f>
        <v/>
      </c>
      <c r="BE371" s="503" t="s">
        <v>621</v>
      </c>
      <c r="BF371" s="503" t="str">
        <f>IF($G371="","",IF(AND($G371&gt;=30,$AT$3&lt;=BE$7),ROUND(BE371*($AP$3+#REF!),-1),""))</f>
        <v/>
      </c>
      <c r="BG371" s="503" t="s">
        <v>621</v>
      </c>
      <c r="BH371" s="503" t="str">
        <f>IF($G371="","",IF(AND($G371&gt;=30,$AT$3&lt;=BG$7),ROUND(BG371*($AP$3+#REF!),-1),""))</f>
        <v/>
      </c>
      <c r="BI371" s="503" t="s">
        <v>621</v>
      </c>
      <c r="BJ371" s="503" t="str">
        <f>IF($G371="","",IF(AND($G371&gt;=30,$AT$3&lt;=BI$7),ROUND(BI371*($AP$3+#REF!),-1),""))</f>
        <v/>
      </c>
      <c r="BK371" s="503" t="s">
        <v>621</v>
      </c>
      <c r="BL371" s="503" t="str">
        <f>IF($G371="","",IF(AND($G371&gt;=30,$AT$3&lt;=BK$7),ROUND(BK371*($AP$3+#REF!),-1),""))</f>
        <v/>
      </c>
      <c r="BM371" s="503" t="s">
        <v>621</v>
      </c>
      <c r="BN371" s="503" t="str">
        <f>IF($G371="","",IF(AND($G371&gt;=30,$AT$3&lt;=BM$7),ROUND(BM371*($AP$3+#REF!),-1),""))</f>
        <v/>
      </c>
      <c r="BO371" s="503" t="s">
        <v>621</v>
      </c>
      <c r="BP371" s="503" t="str">
        <f>IF($G371="","",IF(AND($G371&gt;=30,$AT$3&lt;=BO$7),ROUND(BO371*($AP$3+#REF!),-1),""))</f>
        <v/>
      </c>
      <c r="BQ371" s="503" t="s">
        <v>621</v>
      </c>
      <c r="BR371" s="503" t="str">
        <f>IF($G371="","",IF(AND($G371&gt;=30,$AT$3&lt;=BQ$7),ROUND(BQ371*($AP$3+#REF!),-1),""))</f>
        <v/>
      </c>
      <c r="BS371" s="503" t="s">
        <v>621</v>
      </c>
      <c r="BT371" s="503" t="str">
        <f>IF($G371="","",IF(AND($G371&gt;=30,$AT$3&lt;=BS$7),ROUND(BS371*($AP$3+#REF!),-1),""))</f>
        <v/>
      </c>
      <c r="BU371" s="503" t="s">
        <v>621</v>
      </c>
      <c r="BV371" s="503" t="str">
        <f>IF($G371="","",IF(AND($G371&gt;=30,$AT$3&lt;=BU$7),ROUND(BU371*($AP$3+#REF!),-1),""))</f>
        <v/>
      </c>
      <c r="BW371" s="503" t="s">
        <v>621</v>
      </c>
      <c r="BX371" s="503" t="str">
        <f>IF($G371="","",IF(AND($G371&gt;=30,$AT$3&lt;=BW$7),ROUND(BW371*($AP$3+#REF!),-1),""))</f>
        <v/>
      </c>
      <c r="BY371" s="503" t="s">
        <v>621</v>
      </c>
      <c r="BZ371" s="503" t="str">
        <f>IF($G371="","",IF(AND($G371&gt;=30,$AT$3&lt;=BY$7),ROUND(BY371*($AP$3+#REF!),-1),""))</f>
        <v/>
      </c>
      <c r="CA371" s="503" t="s">
        <v>621</v>
      </c>
      <c r="CB371" s="503" t="str">
        <f>IF($G371="","",IF(AND($G371&gt;=30,$AT$3&lt;=CA$7),ROUND(CA371*($AP$3+#REF!),-1),""))</f>
        <v/>
      </c>
      <c r="CC371" s="503" t="s">
        <v>621</v>
      </c>
      <c r="CD371" s="503" t="str">
        <f>IF($G371="","",IF(AND($G371&gt;=30,$AT$3&lt;=CC$7),ROUND(CC371*($AP$3+#REF!),-1),""))</f>
        <v/>
      </c>
      <c r="CE371" s="503" t="s">
        <v>621</v>
      </c>
      <c r="CF371" s="503" t="str">
        <f>IF($G371="","",IF(AND($G371&gt;=30,$AT$3&lt;=CE$7),ROUND(CE371*($AP$3+#REF!),-1),""))</f>
        <v/>
      </c>
      <c r="CG371" s="503" t="s">
        <v>621</v>
      </c>
      <c r="CH371" s="503" t="str">
        <f>IF($G371="","",IF(AND($G371&gt;=30,$AT$3&lt;=CG$7),ROUND(CG371*($AP$3+#REF!),-1),""))</f>
        <v/>
      </c>
      <c r="CI371" s="503" t="s">
        <v>621</v>
      </c>
      <c r="CJ371" s="503" t="str">
        <f>IF($G371="","",IF(AND($G371&gt;=30,$AT$3&lt;=CI$7),ROUND(CI371*($AP$3+#REF!),-1),""))</f>
        <v/>
      </c>
      <c r="CK371" s="503" t="s">
        <v>621</v>
      </c>
      <c r="CL371" s="503" t="str">
        <f>IF($G371="","",IF(AND($G371&gt;=30,$AT$3&lt;=CK$7),ROUND(CK371*($AP$3+#REF!),-1),""))</f>
        <v/>
      </c>
      <c r="CM371" s="503" t="s">
        <v>621</v>
      </c>
      <c r="CN371" s="503" t="str">
        <f>IF($G371="","",IF(AND($G371&gt;=30,$AT$3&lt;=CM$7),ROUND(CM371*($AP$3+#REF!),-1),""))</f>
        <v/>
      </c>
      <c r="CO371" s="517" t="e">
        <v>#REF!</v>
      </c>
      <c r="CP371" s="503" t="str">
        <f>IF($G371="","",IF(AND($G371&gt;=30,$AT$3&lt;=CO$7),ROUND(CO371*($AP$3+#REF!),-1),""))</f>
        <v/>
      </c>
      <c r="CQ371" s="517"/>
      <c r="CR371" s="503" t="str">
        <f>IF($G371="","",IF(AND($G371&gt;=30,$AT$3&lt;=CQ$7),ROUND(CQ371*($AP$3+#REF!),-1),""))</f>
        <v/>
      </c>
      <c r="CS371" s="517"/>
      <c r="CT371" s="503" t="str">
        <f>IF($G371="","",IF(AND($G371&gt;=30,$AT$3&lt;=CS$7),ROUND(CS371*($AP$3+#REF!),-1),""))</f>
        <v/>
      </c>
      <c r="CU371" s="517"/>
      <c r="CV371" s="503" t="str">
        <f>IF($G371="","",IF(AND($G371&gt;=30,$AT$3&lt;=CU$7),ROUND(CU371*($AP$3+#REF!),-1),""))</f>
        <v/>
      </c>
      <c r="CW371" s="517"/>
      <c r="CX371" s="503" t="str">
        <f>IF($G371="","",IF(AND($G371&gt;=30,$AT$3&lt;=CW$7),ROUND(CW371*($AP$3+#REF!),-1),""))</f>
        <v/>
      </c>
      <c r="CY371" s="517"/>
      <c r="CZ371" s="503" t="str">
        <f>IF($G371="","",IF(AND($G371&gt;=30,$AT$3&lt;=CY$7),ROUND(CY371*($AP$3+#REF!),-1),""))</f>
        <v/>
      </c>
      <c r="DA371" s="517"/>
      <c r="DB371" s="503" t="str">
        <f>IF($G371="","",IF(AND($G371&gt;=30,$AT$3&lt;=DA$7),ROUND(DA371*($AP$3+#REF!),-1),""))</f>
        <v/>
      </c>
      <c r="DC371" s="517"/>
      <c r="DD371" s="503" t="str">
        <f>IF($G371="","",IF(AND($G371&gt;=30,$AT$3&lt;=DC$7),ROUND(DC371*($AP$3+#REF!),-1),""))</f>
        <v/>
      </c>
      <c r="DE371" s="517"/>
      <c r="DF371" s="503" t="str">
        <f>IF($G371="","",IF(AND($G371&gt;=30,$AT$3&lt;=DE$7),ROUND(DE371*($AP$3+#REF!),-1),""))</f>
        <v/>
      </c>
      <c r="DG371" s="517"/>
      <c r="DH371" s="503" t="str">
        <f>IF($G371="","",IF(AND($G371&gt;=30,$AT$3&lt;=DG$7),ROUND(DG371*($AP$3+#REF!),-1),""))</f>
        <v/>
      </c>
      <c r="DI371" s="517"/>
      <c r="DJ371" s="503" t="str">
        <f>IF($G371="","",IF(AND($G371&gt;=30,$AT$3&lt;=DI$7),ROUND(DI371*($AP$3+#REF!),-1),""))</f>
        <v/>
      </c>
      <c r="DK371" s="517"/>
      <c r="DL371" s="503" t="str">
        <f>IF($G371="","",IF(AND($G371&gt;=30,$AT$3&lt;=DK$7),ROUND(DK371*($AP$3+#REF!),-1),""))</f>
        <v/>
      </c>
      <c r="DM371" s="517"/>
      <c r="DN371" s="503" t="str">
        <f>IF($G371="","",IF(AND($G371&gt;=30,$AT$3&lt;=DM$7),ROUND(DM371*($AP$3+#REF!),-1),""))</f>
        <v/>
      </c>
      <c r="DO371" s="517"/>
      <c r="DP371" s="503" t="str">
        <f>IF($G371="","",IF(AND($G371&gt;=30,$AT$3&lt;=DO$7),ROUND(DO371*($AP$3+#REF!),-1),""))</f>
        <v/>
      </c>
      <c r="DQ371" s="517"/>
      <c r="DR371" s="503" t="str">
        <f>IF($G371="","",IF(AND($G371&gt;=30,$AT$3&lt;=DQ$7),ROUND(DQ371*($AP$3+#REF!),-1),""))</f>
        <v/>
      </c>
      <c r="DS371" s="517"/>
      <c r="DT371" s="503" t="str">
        <f>IF($G371="","",IF(AND($G371&gt;=30,$AT$3&lt;=DS$7),ROUND(DS371*($AP$3+#REF!),-1),""))</f>
        <v/>
      </c>
      <c r="DU371" s="517"/>
      <c r="DV371" s="503" t="str">
        <f>IF($G371="","",IF(AND($G371&gt;=30,$AT$3&lt;=DU$7),ROUND(DU371*($AP$3+#REF!),-1),""))</f>
        <v/>
      </c>
      <c r="DW371" s="517"/>
      <c r="DX371" s="503" t="str">
        <f>IF($G371="","",IF(AND($G371&gt;=30,$AT$3&lt;=DW$7),ROUND(DW371*($AP$3+#REF!),-1),""))</f>
        <v/>
      </c>
      <c r="DY371" s="517"/>
      <c r="DZ371" s="503" t="str">
        <f>IF($G371="","",IF(AND($G371&gt;=30,$AT$3&lt;=DY$7),ROUND(DY371*($AP$3+#REF!),-1),""))</f>
        <v/>
      </c>
      <c r="EA371" s="517"/>
      <c r="EB371" s="503" t="str">
        <f>IF($G371="","",IF(AND($G371&gt;=30,$AT$3&lt;=EA$7),ROUND(EA371*($AP$3+#REF!),-1),""))</f>
        <v/>
      </c>
      <c r="EC371" s="504" t="s">
        <v>621</v>
      </c>
      <c r="ED371" s="1124"/>
      <c r="EE371" s="325">
        <v>3</v>
      </c>
    </row>
    <row r="372" spans="1:135" ht="9.75" customHeight="1">
      <c r="A372" s="321" t="str">
        <f t="shared" si="82"/>
        <v/>
      </c>
      <c r="B372" s="567">
        <f>(ii!$D$13*12+V372)+1</f>
        <v>266</v>
      </c>
      <c r="C372" s="337">
        <f t="shared" si="86"/>
        <v>53447</v>
      </c>
      <c r="D372" s="484">
        <f t="shared" si="89"/>
        <v>2046</v>
      </c>
      <c r="E372" s="484">
        <f t="shared" si="87"/>
        <v>0.33333333333333331</v>
      </c>
      <c r="F372" s="484">
        <f t="shared" si="90"/>
        <v>2046.3333333333333</v>
      </c>
      <c r="G372" s="485" t="str">
        <f>IF(OR(C372&lt;$I$2,C372&gt;$J$3),"",(ii!$D$13*12+V372+1)/12)</f>
        <v/>
      </c>
      <c r="H372" s="486"/>
      <c r="I372" s="486"/>
      <c r="J372" s="487"/>
      <c r="K372" s="488"/>
      <c r="L372" s="548"/>
      <c r="M372" s="489" t="str">
        <f t="shared" si="91"/>
        <v/>
      </c>
      <c r="N372" s="490" t="s">
        <v>621</v>
      </c>
      <c r="O372" s="490" t="str">
        <f t="shared" si="84"/>
        <v/>
      </c>
      <c r="P372" s="491"/>
      <c r="Q372" s="491"/>
      <c r="R372" s="491" t="str">
        <f t="shared" si="85"/>
        <v/>
      </c>
      <c r="S372" s="528" t="str">
        <f t="shared" si="83"/>
        <v/>
      </c>
      <c r="T372" s="528" t="str">
        <f t="shared" si="81"/>
        <v/>
      </c>
      <c r="U372" s="493" t="str">
        <f>IF(H372="","",#REF!*12+#REF!+#REF!*12+#REF!)</f>
        <v/>
      </c>
      <c r="V372" s="338">
        <f>IF(ii!$J$3&gt;gg!C372,"",IF(AND((YEAR(C372)=YEAR($I$2)),MONTH(C372)=MONTH($I$2)),ii!$B$14*12+ii!$C$14+ii!$B$15*12+ii!$C$15-1,V371+1))</f>
        <v>265</v>
      </c>
      <c r="W372" s="339">
        <f t="shared" si="88"/>
        <v>22.083333333333332</v>
      </c>
      <c r="X372" s="494" t="s">
        <v>621</v>
      </c>
      <c r="Y372" s="495" t="s">
        <v>621</v>
      </c>
      <c r="Z372" s="496"/>
      <c r="AA372" s="497"/>
      <c r="AB372" s="498" t="e">
        <f t="shared" si="94"/>
        <v>#VALUE!</v>
      </c>
      <c r="AC372" s="484" t="str">
        <f t="shared" si="92"/>
        <v/>
      </c>
      <c r="AD372" s="495" t="str">
        <f t="shared" si="93"/>
        <v/>
      </c>
      <c r="AE372" s="499" t="s">
        <v>621</v>
      </c>
      <c r="AF372" s="500" t="s">
        <v>621</v>
      </c>
      <c r="AG372" s="556" t="s">
        <v>621</v>
      </c>
      <c r="AH372" s="503" t="str">
        <f>IF($G372="","",IF(AND($G372&gt;=30,$AT$3&lt;=AG$7),ROUND(AG372*($AP$3+#REF!),-1),""))</f>
        <v/>
      </c>
      <c r="AI372" s="506" t="s">
        <v>621</v>
      </c>
      <c r="AJ372" s="503" t="str">
        <f>IF($G372="","",IF(AND($G372&gt;=30,$AT$3&lt;=AI$7),ROUND(AI372*($AP$3+#REF!),-1),""))</f>
        <v/>
      </c>
      <c r="AK372" s="506" t="s">
        <v>621</v>
      </c>
      <c r="AL372" s="503" t="str">
        <f>IF($G372="","",IF(AND($G372&gt;=30,$AT$3&lt;=AK$7),ROUND(AK372*($AP$3+#REF!),-1),""))</f>
        <v/>
      </c>
      <c r="AM372" s="506" t="s">
        <v>621</v>
      </c>
      <c r="AN372" s="503" t="str">
        <f>IF($G372="","",IF(AND($G372&gt;=30,$AT$3&lt;=AM$7),ROUND(AM372*($AP$3+#REF!),-1),""))</f>
        <v/>
      </c>
      <c r="AO372" s="503" t="e">
        <v>#REF!</v>
      </c>
      <c r="AP372" s="503" t="str">
        <f>IF($G372="","",IF(AND($G372&gt;=30,$AT$3&lt;=AO$7),ROUND(AO372*($AP$3+#REF!),-1),""))</f>
        <v/>
      </c>
      <c r="AQ372" s="503" t="s">
        <v>621</v>
      </c>
      <c r="AR372" s="503" t="str">
        <f>IF($G372="","",IF(AND($G372&gt;=30,$AT$3&lt;=AQ$7),ROUND(AQ372*($AP$3+#REF!),-1),""))</f>
        <v/>
      </c>
      <c r="AS372" s="503" t="s">
        <v>621</v>
      </c>
      <c r="AT372" s="503" t="str">
        <f>IF($G372="","",IF(AND($G372&gt;=30,$AT$3&lt;=AS$7),ROUND(AS372*($AP$3+#REF!),-1),""))</f>
        <v/>
      </c>
      <c r="AU372" s="503" t="s">
        <v>621</v>
      </c>
      <c r="AV372" s="503" t="str">
        <f>IF($G372="","",IF(AND($G372&gt;=30,$AT$3&lt;=AU$7),ROUND(AU372*($AP$3+#REF!),-1),""))</f>
        <v/>
      </c>
      <c r="AW372" s="503" t="s">
        <v>621</v>
      </c>
      <c r="AX372" s="503" t="str">
        <f>IF($G372="","",IF(AND($G372&gt;=30,$AT$3&lt;=AW$7),ROUND(AW372*($AP$3+#REF!),-1),""))</f>
        <v/>
      </c>
      <c r="AY372" s="503" t="s">
        <v>621</v>
      </c>
      <c r="AZ372" s="503" t="str">
        <f>IF($G372="","",IF(AND($G372&gt;=30,$AT$3&lt;=AY$7),ROUND(AY372*($AP$3+#REF!),-1),""))</f>
        <v/>
      </c>
      <c r="BA372" s="503" t="s">
        <v>621</v>
      </c>
      <c r="BB372" s="503" t="str">
        <f>IF($G372="","",IF(AND($G372&gt;=30,$AT$3&lt;=BA$7),ROUND(BA372*($AP$3+#REF!),-1),""))</f>
        <v/>
      </c>
      <c r="BC372" s="503" t="s">
        <v>621</v>
      </c>
      <c r="BD372" s="503" t="str">
        <f>IF($G372="","",IF(AND($G372&gt;=30,$AT$3&lt;=BC$7),ROUND(BC372*($AP$3+#REF!),-1),""))</f>
        <v/>
      </c>
      <c r="BE372" s="503" t="s">
        <v>621</v>
      </c>
      <c r="BF372" s="503" t="str">
        <f>IF($G372="","",IF(AND($G372&gt;=30,$AT$3&lt;=BE$7),ROUND(BE372*($AP$3+#REF!),-1),""))</f>
        <v/>
      </c>
      <c r="BG372" s="503" t="s">
        <v>621</v>
      </c>
      <c r="BH372" s="503" t="str">
        <f>IF($G372="","",IF(AND($G372&gt;=30,$AT$3&lt;=BG$7),ROUND(BG372*($AP$3+#REF!),-1),""))</f>
        <v/>
      </c>
      <c r="BI372" s="503" t="s">
        <v>621</v>
      </c>
      <c r="BJ372" s="503" t="str">
        <f>IF($G372="","",IF(AND($G372&gt;=30,$AT$3&lt;=BI$7),ROUND(BI372*($AP$3+#REF!),-1),""))</f>
        <v/>
      </c>
      <c r="BK372" s="503" t="s">
        <v>621</v>
      </c>
      <c r="BL372" s="503" t="str">
        <f>IF($G372="","",IF(AND($G372&gt;=30,$AT$3&lt;=BK$7),ROUND(BK372*($AP$3+#REF!),-1),""))</f>
        <v/>
      </c>
      <c r="BM372" s="503" t="s">
        <v>621</v>
      </c>
      <c r="BN372" s="503" t="str">
        <f>IF($G372="","",IF(AND($G372&gt;=30,$AT$3&lt;=BM$7),ROUND(BM372*($AP$3+#REF!),-1),""))</f>
        <v/>
      </c>
      <c r="BO372" s="503" t="s">
        <v>621</v>
      </c>
      <c r="BP372" s="503" t="str">
        <f>IF($G372="","",IF(AND($G372&gt;=30,$AT$3&lt;=BO$7),ROUND(BO372*($AP$3+#REF!),-1),""))</f>
        <v/>
      </c>
      <c r="BQ372" s="503" t="s">
        <v>621</v>
      </c>
      <c r="BR372" s="503" t="str">
        <f>IF($G372="","",IF(AND($G372&gt;=30,$AT$3&lt;=BQ$7),ROUND(BQ372*($AP$3+#REF!),-1),""))</f>
        <v/>
      </c>
      <c r="BS372" s="503" t="s">
        <v>621</v>
      </c>
      <c r="BT372" s="503" t="str">
        <f>IF($G372="","",IF(AND($G372&gt;=30,$AT$3&lt;=BS$7),ROUND(BS372*($AP$3+#REF!),-1),""))</f>
        <v/>
      </c>
      <c r="BU372" s="503" t="s">
        <v>621</v>
      </c>
      <c r="BV372" s="503" t="str">
        <f>IF($G372="","",IF(AND($G372&gt;=30,$AT$3&lt;=BU$7),ROUND(BU372*($AP$3+#REF!),-1),""))</f>
        <v/>
      </c>
      <c r="BW372" s="503" t="s">
        <v>621</v>
      </c>
      <c r="BX372" s="503" t="str">
        <f>IF($G372="","",IF(AND($G372&gt;=30,$AT$3&lt;=BW$7),ROUND(BW372*($AP$3+#REF!),-1),""))</f>
        <v/>
      </c>
      <c r="BY372" s="503" t="s">
        <v>621</v>
      </c>
      <c r="BZ372" s="503" t="str">
        <f>IF($G372="","",IF(AND($G372&gt;=30,$AT$3&lt;=BY$7),ROUND(BY372*($AP$3+#REF!),-1),""))</f>
        <v/>
      </c>
      <c r="CA372" s="503" t="s">
        <v>621</v>
      </c>
      <c r="CB372" s="503" t="str">
        <f>IF($G372="","",IF(AND($G372&gt;=30,$AT$3&lt;=CA$7),ROUND(CA372*($AP$3+#REF!),-1),""))</f>
        <v/>
      </c>
      <c r="CC372" s="503" t="s">
        <v>621</v>
      </c>
      <c r="CD372" s="503" t="str">
        <f>IF($G372="","",IF(AND($G372&gt;=30,$AT$3&lt;=CC$7),ROUND(CC372*($AP$3+#REF!),-1),""))</f>
        <v/>
      </c>
      <c r="CE372" s="503" t="s">
        <v>621</v>
      </c>
      <c r="CF372" s="503" t="str">
        <f>IF($G372="","",IF(AND($G372&gt;=30,$AT$3&lt;=CE$7),ROUND(CE372*($AP$3+#REF!),-1),""))</f>
        <v/>
      </c>
      <c r="CG372" s="503" t="s">
        <v>621</v>
      </c>
      <c r="CH372" s="503" t="str">
        <f>IF($G372="","",IF(AND($G372&gt;=30,$AT$3&lt;=CG$7),ROUND(CG372*($AP$3+#REF!),-1),""))</f>
        <v/>
      </c>
      <c r="CI372" s="503" t="s">
        <v>621</v>
      </c>
      <c r="CJ372" s="503" t="str">
        <f>IF($G372="","",IF(AND($G372&gt;=30,$AT$3&lt;=CI$7),ROUND(CI372*($AP$3+#REF!),-1),""))</f>
        <v/>
      </c>
      <c r="CK372" s="503" t="s">
        <v>621</v>
      </c>
      <c r="CL372" s="503" t="str">
        <f>IF($G372="","",IF(AND($G372&gt;=30,$AT$3&lt;=CK$7),ROUND(CK372*($AP$3+#REF!),-1),""))</f>
        <v/>
      </c>
      <c r="CM372" s="503" t="s">
        <v>621</v>
      </c>
      <c r="CN372" s="503" t="str">
        <f>IF($G372="","",IF(AND($G372&gt;=30,$AT$3&lt;=CM$7),ROUND(CM372*($AP$3+#REF!),-1),""))</f>
        <v/>
      </c>
      <c r="CO372" s="517" t="e">
        <v>#REF!</v>
      </c>
      <c r="CP372" s="503" t="str">
        <f>IF($G372="","",IF(AND($G372&gt;=30,$AT$3&lt;=CO$7),ROUND(CO372*($AP$3+#REF!),-1),""))</f>
        <v/>
      </c>
      <c r="CQ372" s="517"/>
      <c r="CR372" s="503" t="str">
        <f>IF($G372="","",IF(AND($G372&gt;=30,$AT$3&lt;=CQ$7),ROUND(CQ372*($AP$3+#REF!),-1),""))</f>
        <v/>
      </c>
      <c r="CS372" s="517"/>
      <c r="CT372" s="503" t="str">
        <f>IF($G372="","",IF(AND($G372&gt;=30,$AT$3&lt;=CS$7),ROUND(CS372*($AP$3+#REF!),-1),""))</f>
        <v/>
      </c>
      <c r="CU372" s="517"/>
      <c r="CV372" s="503" t="str">
        <f>IF($G372="","",IF(AND($G372&gt;=30,$AT$3&lt;=CU$7),ROUND(CU372*($AP$3+#REF!),-1),""))</f>
        <v/>
      </c>
      <c r="CW372" s="517"/>
      <c r="CX372" s="503" t="str">
        <f>IF($G372="","",IF(AND($G372&gt;=30,$AT$3&lt;=CW$7),ROUND(CW372*($AP$3+#REF!),-1),""))</f>
        <v/>
      </c>
      <c r="CY372" s="517"/>
      <c r="CZ372" s="503" t="str">
        <f>IF($G372="","",IF(AND($G372&gt;=30,$AT$3&lt;=CY$7),ROUND(CY372*($AP$3+#REF!),-1),""))</f>
        <v/>
      </c>
      <c r="DA372" s="517"/>
      <c r="DB372" s="503" t="str">
        <f>IF($G372="","",IF(AND($G372&gt;=30,$AT$3&lt;=DA$7),ROUND(DA372*($AP$3+#REF!),-1),""))</f>
        <v/>
      </c>
      <c r="DC372" s="517"/>
      <c r="DD372" s="503" t="str">
        <f>IF($G372="","",IF(AND($G372&gt;=30,$AT$3&lt;=DC$7),ROUND(DC372*($AP$3+#REF!),-1),""))</f>
        <v/>
      </c>
      <c r="DE372" s="517"/>
      <c r="DF372" s="503" t="str">
        <f>IF($G372="","",IF(AND($G372&gt;=30,$AT$3&lt;=DE$7),ROUND(DE372*($AP$3+#REF!),-1),""))</f>
        <v/>
      </c>
      <c r="DG372" s="517"/>
      <c r="DH372" s="503" t="str">
        <f>IF($G372="","",IF(AND($G372&gt;=30,$AT$3&lt;=DG$7),ROUND(DG372*($AP$3+#REF!),-1),""))</f>
        <v/>
      </c>
      <c r="DI372" s="517"/>
      <c r="DJ372" s="503" t="str">
        <f>IF($G372="","",IF(AND($G372&gt;=30,$AT$3&lt;=DI$7),ROUND(DI372*($AP$3+#REF!),-1),""))</f>
        <v/>
      </c>
      <c r="DK372" s="517"/>
      <c r="DL372" s="503" t="str">
        <f>IF($G372="","",IF(AND($G372&gt;=30,$AT$3&lt;=DK$7),ROUND(DK372*($AP$3+#REF!),-1),""))</f>
        <v/>
      </c>
      <c r="DM372" s="517"/>
      <c r="DN372" s="503" t="str">
        <f>IF($G372="","",IF(AND($G372&gt;=30,$AT$3&lt;=DM$7),ROUND(DM372*($AP$3+#REF!),-1),""))</f>
        <v/>
      </c>
      <c r="DO372" s="517"/>
      <c r="DP372" s="503" t="str">
        <f>IF($G372="","",IF(AND($G372&gt;=30,$AT$3&lt;=DO$7),ROUND(DO372*($AP$3+#REF!),-1),""))</f>
        <v/>
      </c>
      <c r="DQ372" s="517"/>
      <c r="DR372" s="503" t="str">
        <f>IF($G372="","",IF(AND($G372&gt;=30,$AT$3&lt;=DQ$7),ROUND(DQ372*($AP$3+#REF!),-1),""))</f>
        <v/>
      </c>
      <c r="DS372" s="517"/>
      <c r="DT372" s="503" t="str">
        <f>IF($G372="","",IF(AND($G372&gt;=30,$AT$3&lt;=DS$7),ROUND(DS372*($AP$3+#REF!),-1),""))</f>
        <v/>
      </c>
      <c r="DU372" s="517"/>
      <c r="DV372" s="503" t="str">
        <f>IF($G372="","",IF(AND($G372&gt;=30,$AT$3&lt;=DU$7),ROUND(DU372*($AP$3+#REF!),-1),""))</f>
        <v/>
      </c>
      <c r="DW372" s="517"/>
      <c r="DX372" s="503" t="str">
        <f>IF($G372="","",IF(AND($G372&gt;=30,$AT$3&lt;=DW$7),ROUND(DW372*($AP$3+#REF!),-1),""))</f>
        <v/>
      </c>
      <c r="DY372" s="517"/>
      <c r="DZ372" s="503" t="str">
        <f>IF($G372="","",IF(AND($G372&gt;=30,$AT$3&lt;=DY$7),ROUND(DY372*($AP$3+#REF!),-1),""))</f>
        <v/>
      </c>
      <c r="EA372" s="517"/>
      <c r="EB372" s="503" t="str">
        <f>IF($G372="","",IF(AND($G372&gt;=30,$AT$3&lt;=EA$7),ROUND(EA372*($AP$3+#REF!),-1),""))</f>
        <v/>
      </c>
      <c r="EC372" s="504" t="s">
        <v>621</v>
      </c>
      <c r="ED372" s="1124"/>
      <c r="EE372" s="325">
        <v>4</v>
      </c>
    </row>
    <row r="373" spans="1:135" ht="9.75" customHeight="1">
      <c r="A373" s="321" t="str">
        <f t="shared" si="82"/>
        <v/>
      </c>
      <c r="B373" s="567">
        <f>(ii!$D$13*12+V373)+1</f>
        <v>267</v>
      </c>
      <c r="C373" s="337">
        <f t="shared" si="86"/>
        <v>53478</v>
      </c>
      <c r="D373" s="484">
        <f t="shared" si="89"/>
        <v>2046</v>
      </c>
      <c r="E373" s="484">
        <f t="shared" si="87"/>
        <v>0.41666666666666669</v>
      </c>
      <c r="F373" s="484">
        <f t="shared" si="90"/>
        <v>2046.4166666666667</v>
      </c>
      <c r="G373" s="485" t="str">
        <f>IF(OR(C373&lt;$I$2,C373&gt;$J$3),"",(ii!$D$13*12+V373+1)/12)</f>
        <v/>
      </c>
      <c r="H373" s="486"/>
      <c r="I373" s="486"/>
      <c r="J373" s="507"/>
      <c r="K373" s="508"/>
      <c r="L373" s="548"/>
      <c r="M373" s="489" t="str">
        <f t="shared" si="91"/>
        <v/>
      </c>
      <c r="N373" s="490" t="s">
        <v>621</v>
      </c>
      <c r="O373" s="490" t="str">
        <f t="shared" si="84"/>
        <v/>
      </c>
      <c r="P373" s="507"/>
      <c r="Q373" s="507"/>
      <c r="R373" s="491" t="str">
        <f t="shared" si="85"/>
        <v/>
      </c>
      <c r="S373" s="528" t="str">
        <f t="shared" si="83"/>
        <v/>
      </c>
      <c r="T373" s="528" t="str">
        <f t="shared" si="81"/>
        <v/>
      </c>
      <c r="U373" s="493" t="str">
        <f>IF(H373="","",#REF!*12+#REF!+#REF!*12+#REF!)</f>
        <v/>
      </c>
      <c r="V373" s="338">
        <f>IF(ii!$J$3&gt;gg!C373,"",IF(AND((YEAR(C373)=YEAR($I$2)),MONTH(C373)=MONTH($I$2)),ii!$B$14*12+ii!$C$14+ii!$B$15*12+ii!$C$15-1,V372+1))</f>
        <v>266</v>
      </c>
      <c r="W373" s="339">
        <f t="shared" si="88"/>
        <v>22.166666666666668</v>
      </c>
      <c r="X373" s="494" t="s">
        <v>621</v>
      </c>
      <c r="Y373" s="495" t="s">
        <v>621</v>
      </c>
      <c r="Z373" s="496"/>
      <c r="AA373" s="497"/>
      <c r="AB373" s="498" t="e">
        <f t="shared" si="94"/>
        <v>#VALUE!</v>
      </c>
      <c r="AC373" s="484" t="str">
        <f t="shared" si="92"/>
        <v/>
      </c>
      <c r="AD373" s="495" t="str">
        <f t="shared" si="93"/>
        <v/>
      </c>
      <c r="AE373" s="499" t="s">
        <v>621</v>
      </c>
      <c r="AF373" s="500" t="s">
        <v>621</v>
      </c>
      <c r="AG373" s="556" t="s">
        <v>621</v>
      </c>
      <c r="AH373" s="503" t="str">
        <f>IF($G373="","",IF(AND($G373&gt;=30,$AT$3&lt;=AG$7),ROUND(AG373*($AP$3+#REF!),-1),""))</f>
        <v/>
      </c>
      <c r="AI373" s="506" t="s">
        <v>621</v>
      </c>
      <c r="AJ373" s="503" t="str">
        <f>IF($G373="","",IF(AND($G373&gt;=30,$AT$3&lt;=AI$7),ROUND(AI373*($AP$3+#REF!),-1),""))</f>
        <v/>
      </c>
      <c r="AK373" s="506" t="s">
        <v>621</v>
      </c>
      <c r="AL373" s="503" t="str">
        <f>IF($G373="","",IF(AND($G373&gt;=30,$AT$3&lt;=AK$7),ROUND(AK373*($AP$3+#REF!),-1),""))</f>
        <v/>
      </c>
      <c r="AM373" s="506" t="s">
        <v>621</v>
      </c>
      <c r="AN373" s="503" t="str">
        <f>IF($G373="","",IF(AND($G373&gt;=30,$AT$3&lt;=AM$7),ROUND(AM373*($AP$3+#REF!),-1),""))</f>
        <v/>
      </c>
      <c r="AO373" s="503" t="e">
        <v>#REF!</v>
      </c>
      <c r="AP373" s="503" t="str">
        <f>IF($G373="","",IF(AND($G373&gt;=30,$AT$3&lt;=AO$7),ROUND(AO373*($AP$3+#REF!),-1),""))</f>
        <v/>
      </c>
      <c r="AQ373" s="503" t="s">
        <v>621</v>
      </c>
      <c r="AR373" s="503" t="str">
        <f>IF($G373="","",IF(AND($G373&gt;=30,$AT$3&lt;=AQ$7),ROUND(AQ373*($AP$3+#REF!),-1),""))</f>
        <v/>
      </c>
      <c r="AS373" s="503" t="s">
        <v>621</v>
      </c>
      <c r="AT373" s="503" t="str">
        <f>IF($G373="","",IF(AND($G373&gt;=30,$AT$3&lt;=AS$7),ROUND(AS373*($AP$3+#REF!),-1),""))</f>
        <v/>
      </c>
      <c r="AU373" s="503" t="s">
        <v>621</v>
      </c>
      <c r="AV373" s="503" t="str">
        <f>IF($G373="","",IF(AND($G373&gt;=30,$AT$3&lt;=AU$7),ROUND(AU373*($AP$3+#REF!),-1),""))</f>
        <v/>
      </c>
      <c r="AW373" s="503" t="s">
        <v>621</v>
      </c>
      <c r="AX373" s="503" t="str">
        <f>IF($G373="","",IF(AND($G373&gt;=30,$AT$3&lt;=AW$7),ROUND(AW373*($AP$3+#REF!),-1),""))</f>
        <v/>
      </c>
      <c r="AY373" s="503" t="s">
        <v>621</v>
      </c>
      <c r="AZ373" s="503" t="str">
        <f>IF($G373="","",IF(AND($G373&gt;=30,$AT$3&lt;=AY$7),ROUND(AY373*($AP$3+#REF!),-1),""))</f>
        <v/>
      </c>
      <c r="BA373" s="503" t="s">
        <v>621</v>
      </c>
      <c r="BB373" s="503" t="str">
        <f>IF($G373="","",IF(AND($G373&gt;=30,$AT$3&lt;=BA$7),ROUND(BA373*($AP$3+#REF!),-1),""))</f>
        <v/>
      </c>
      <c r="BC373" s="503" t="s">
        <v>621</v>
      </c>
      <c r="BD373" s="503" t="str">
        <f>IF($G373="","",IF(AND($G373&gt;=30,$AT$3&lt;=BC$7),ROUND(BC373*($AP$3+#REF!),-1),""))</f>
        <v/>
      </c>
      <c r="BE373" s="503" t="s">
        <v>621</v>
      </c>
      <c r="BF373" s="503" t="str">
        <f>IF($G373="","",IF(AND($G373&gt;=30,$AT$3&lt;=BE$7),ROUND(BE373*($AP$3+#REF!),-1),""))</f>
        <v/>
      </c>
      <c r="BG373" s="503" t="s">
        <v>621</v>
      </c>
      <c r="BH373" s="503" t="str">
        <f>IF($G373="","",IF(AND($G373&gt;=30,$AT$3&lt;=BG$7),ROUND(BG373*($AP$3+#REF!),-1),""))</f>
        <v/>
      </c>
      <c r="BI373" s="503" t="s">
        <v>621</v>
      </c>
      <c r="BJ373" s="503" t="str">
        <f>IF($G373="","",IF(AND($G373&gt;=30,$AT$3&lt;=BI$7),ROUND(BI373*($AP$3+#REF!),-1),""))</f>
        <v/>
      </c>
      <c r="BK373" s="503" t="s">
        <v>621</v>
      </c>
      <c r="BL373" s="503" t="str">
        <f>IF($G373="","",IF(AND($G373&gt;=30,$AT$3&lt;=BK$7),ROUND(BK373*($AP$3+#REF!),-1),""))</f>
        <v/>
      </c>
      <c r="BM373" s="503" t="s">
        <v>621</v>
      </c>
      <c r="BN373" s="503" t="str">
        <f>IF($G373="","",IF(AND($G373&gt;=30,$AT$3&lt;=BM$7),ROUND(BM373*($AP$3+#REF!),-1),""))</f>
        <v/>
      </c>
      <c r="BO373" s="503" t="s">
        <v>621</v>
      </c>
      <c r="BP373" s="503" t="str">
        <f>IF($G373="","",IF(AND($G373&gt;=30,$AT$3&lt;=BO$7),ROUND(BO373*($AP$3+#REF!),-1),""))</f>
        <v/>
      </c>
      <c r="BQ373" s="503" t="s">
        <v>621</v>
      </c>
      <c r="BR373" s="503" t="str">
        <f>IF($G373="","",IF(AND($G373&gt;=30,$AT$3&lt;=BQ$7),ROUND(BQ373*($AP$3+#REF!),-1),""))</f>
        <v/>
      </c>
      <c r="BS373" s="503" t="s">
        <v>621</v>
      </c>
      <c r="BT373" s="503" t="str">
        <f>IF($G373="","",IF(AND($G373&gt;=30,$AT$3&lt;=BS$7),ROUND(BS373*($AP$3+#REF!),-1),""))</f>
        <v/>
      </c>
      <c r="BU373" s="503" t="s">
        <v>621</v>
      </c>
      <c r="BV373" s="503" t="str">
        <f>IF($G373="","",IF(AND($G373&gt;=30,$AT$3&lt;=BU$7),ROUND(BU373*($AP$3+#REF!),-1),""))</f>
        <v/>
      </c>
      <c r="BW373" s="503" t="s">
        <v>621</v>
      </c>
      <c r="BX373" s="503" t="str">
        <f>IF($G373="","",IF(AND($G373&gt;=30,$AT$3&lt;=BW$7),ROUND(BW373*($AP$3+#REF!),-1),""))</f>
        <v/>
      </c>
      <c r="BY373" s="503" t="s">
        <v>621</v>
      </c>
      <c r="BZ373" s="503" t="str">
        <f>IF($G373="","",IF(AND($G373&gt;=30,$AT$3&lt;=BY$7),ROUND(BY373*($AP$3+#REF!),-1),""))</f>
        <v/>
      </c>
      <c r="CA373" s="503" t="s">
        <v>621</v>
      </c>
      <c r="CB373" s="503" t="str">
        <f>IF($G373="","",IF(AND($G373&gt;=30,$AT$3&lt;=CA$7),ROUND(CA373*($AP$3+#REF!),-1),""))</f>
        <v/>
      </c>
      <c r="CC373" s="503" t="s">
        <v>621</v>
      </c>
      <c r="CD373" s="503" t="str">
        <f>IF($G373="","",IF(AND($G373&gt;=30,$AT$3&lt;=CC$7),ROUND(CC373*($AP$3+#REF!),-1),""))</f>
        <v/>
      </c>
      <c r="CE373" s="503" t="s">
        <v>621</v>
      </c>
      <c r="CF373" s="503" t="str">
        <f>IF($G373="","",IF(AND($G373&gt;=30,$AT$3&lt;=CE$7),ROUND(CE373*($AP$3+#REF!),-1),""))</f>
        <v/>
      </c>
      <c r="CG373" s="503" t="s">
        <v>621</v>
      </c>
      <c r="CH373" s="503" t="str">
        <f>IF($G373="","",IF(AND($G373&gt;=30,$AT$3&lt;=CG$7),ROUND(CG373*($AP$3+#REF!),-1),""))</f>
        <v/>
      </c>
      <c r="CI373" s="503" t="s">
        <v>621</v>
      </c>
      <c r="CJ373" s="503" t="str">
        <f>IF($G373="","",IF(AND($G373&gt;=30,$AT$3&lt;=CI$7),ROUND(CI373*($AP$3+#REF!),-1),""))</f>
        <v/>
      </c>
      <c r="CK373" s="503" t="s">
        <v>621</v>
      </c>
      <c r="CL373" s="503" t="str">
        <f>IF($G373="","",IF(AND($G373&gt;=30,$AT$3&lt;=CK$7),ROUND(CK373*($AP$3+#REF!),-1),""))</f>
        <v/>
      </c>
      <c r="CM373" s="503" t="s">
        <v>621</v>
      </c>
      <c r="CN373" s="503" t="str">
        <f>IF($G373="","",IF(AND($G373&gt;=30,$AT$3&lt;=CM$7),ROUND(CM373*($AP$3+#REF!),-1),""))</f>
        <v/>
      </c>
      <c r="CO373" s="517" t="e">
        <v>#REF!</v>
      </c>
      <c r="CP373" s="503" t="str">
        <f>IF($G373="","",IF(AND($G373&gt;=30,$AT$3&lt;=CO$7),ROUND(CO373*($AP$3+#REF!),-1),""))</f>
        <v/>
      </c>
      <c r="CQ373" s="517"/>
      <c r="CR373" s="503" t="str">
        <f>IF($G373="","",IF(AND($G373&gt;=30,$AT$3&lt;=CQ$7),ROUND(CQ373*($AP$3+#REF!),-1),""))</f>
        <v/>
      </c>
      <c r="CS373" s="517"/>
      <c r="CT373" s="503" t="str">
        <f>IF($G373="","",IF(AND($G373&gt;=30,$AT$3&lt;=CS$7),ROUND(CS373*($AP$3+#REF!),-1),""))</f>
        <v/>
      </c>
      <c r="CU373" s="517"/>
      <c r="CV373" s="503" t="str">
        <f>IF($G373="","",IF(AND($G373&gt;=30,$AT$3&lt;=CU$7),ROUND(CU373*($AP$3+#REF!),-1),""))</f>
        <v/>
      </c>
      <c r="CW373" s="517"/>
      <c r="CX373" s="503" t="str">
        <f>IF($G373="","",IF(AND($G373&gt;=30,$AT$3&lt;=CW$7),ROUND(CW373*($AP$3+#REF!),-1),""))</f>
        <v/>
      </c>
      <c r="CY373" s="517"/>
      <c r="CZ373" s="503" t="str">
        <f>IF($G373="","",IF(AND($G373&gt;=30,$AT$3&lt;=CY$7),ROUND(CY373*($AP$3+#REF!),-1),""))</f>
        <v/>
      </c>
      <c r="DA373" s="517"/>
      <c r="DB373" s="503" t="str">
        <f>IF($G373="","",IF(AND($G373&gt;=30,$AT$3&lt;=DA$7),ROUND(DA373*($AP$3+#REF!),-1),""))</f>
        <v/>
      </c>
      <c r="DC373" s="517"/>
      <c r="DD373" s="503" t="str">
        <f>IF($G373="","",IF(AND($G373&gt;=30,$AT$3&lt;=DC$7),ROUND(DC373*($AP$3+#REF!),-1),""))</f>
        <v/>
      </c>
      <c r="DE373" s="517"/>
      <c r="DF373" s="503" t="str">
        <f>IF($G373="","",IF(AND($G373&gt;=30,$AT$3&lt;=DE$7),ROUND(DE373*($AP$3+#REF!),-1),""))</f>
        <v/>
      </c>
      <c r="DG373" s="517"/>
      <c r="DH373" s="503" t="str">
        <f>IF($G373="","",IF(AND($G373&gt;=30,$AT$3&lt;=DG$7),ROUND(DG373*($AP$3+#REF!),-1),""))</f>
        <v/>
      </c>
      <c r="DI373" s="517"/>
      <c r="DJ373" s="503" t="str">
        <f>IF($G373="","",IF(AND($G373&gt;=30,$AT$3&lt;=DI$7),ROUND(DI373*($AP$3+#REF!),-1),""))</f>
        <v/>
      </c>
      <c r="DK373" s="517"/>
      <c r="DL373" s="503" t="str">
        <f>IF($G373="","",IF(AND($G373&gt;=30,$AT$3&lt;=DK$7),ROUND(DK373*($AP$3+#REF!),-1),""))</f>
        <v/>
      </c>
      <c r="DM373" s="517"/>
      <c r="DN373" s="503" t="str">
        <f>IF($G373="","",IF(AND($G373&gt;=30,$AT$3&lt;=DM$7),ROUND(DM373*($AP$3+#REF!),-1),""))</f>
        <v/>
      </c>
      <c r="DO373" s="517"/>
      <c r="DP373" s="503" t="str">
        <f>IF($G373="","",IF(AND($G373&gt;=30,$AT$3&lt;=DO$7),ROUND(DO373*($AP$3+#REF!),-1),""))</f>
        <v/>
      </c>
      <c r="DQ373" s="517"/>
      <c r="DR373" s="503" t="str">
        <f>IF($G373="","",IF(AND($G373&gt;=30,$AT$3&lt;=DQ$7),ROUND(DQ373*($AP$3+#REF!),-1),""))</f>
        <v/>
      </c>
      <c r="DS373" s="517"/>
      <c r="DT373" s="503" t="str">
        <f>IF($G373="","",IF(AND($G373&gt;=30,$AT$3&lt;=DS$7),ROUND(DS373*($AP$3+#REF!),-1),""))</f>
        <v/>
      </c>
      <c r="DU373" s="517"/>
      <c r="DV373" s="503" t="str">
        <f>IF($G373="","",IF(AND($G373&gt;=30,$AT$3&lt;=DU$7),ROUND(DU373*($AP$3+#REF!),-1),""))</f>
        <v/>
      </c>
      <c r="DW373" s="517"/>
      <c r="DX373" s="503" t="str">
        <f>IF($G373="","",IF(AND($G373&gt;=30,$AT$3&lt;=DW$7),ROUND(DW373*($AP$3+#REF!),-1),""))</f>
        <v/>
      </c>
      <c r="DY373" s="517"/>
      <c r="DZ373" s="503" t="str">
        <f>IF($G373="","",IF(AND($G373&gt;=30,$AT$3&lt;=DY$7),ROUND(DY373*($AP$3+#REF!),-1),""))</f>
        <v/>
      </c>
      <c r="EA373" s="517"/>
      <c r="EB373" s="503" t="str">
        <f>IF($G373="","",IF(AND($G373&gt;=30,$AT$3&lt;=EA$7),ROUND(EA373*($AP$3+#REF!),-1),""))</f>
        <v/>
      </c>
      <c r="EC373" s="504" t="s">
        <v>621</v>
      </c>
      <c r="ED373" s="1124"/>
      <c r="EE373" s="325">
        <v>5</v>
      </c>
    </row>
    <row r="374" spans="1:135" ht="9.75" customHeight="1">
      <c r="A374" s="321" t="str">
        <f t="shared" si="82"/>
        <v/>
      </c>
      <c r="B374" s="567">
        <f>(ii!$D$13*12+V374)+1</f>
        <v>268</v>
      </c>
      <c r="C374" s="337">
        <f t="shared" si="86"/>
        <v>53508</v>
      </c>
      <c r="D374" s="484">
        <f t="shared" si="89"/>
        <v>2046</v>
      </c>
      <c r="E374" s="484">
        <f t="shared" si="87"/>
        <v>0.5</v>
      </c>
      <c r="F374" s="484">
        <f t="shared" si="90"/>
        <v>2046.5</v>
      </c>
      <c r="G374" s="485" t="str">
        <f>IF(OR(C374&lt;$I$2,C374&gt;$J$3),"",(ii!$D$13*12+V374+1)/12)</f>
        <v/>
      </c>
      <c r="H374" s="486"/>
      <c r="I374" s="486"/>
      <c r="J374" s="487"/>
      <c r="K374" s="488"/>
      <c r="L374" s="548"/>
      <c r="M374" s="489" t="str">
        <f t="shared" si="91"/>
        <v/>
      </c>
      <c r="N374" s="490" t="s">
        <v>621</v>
      </c>
      <c r="O374" s="490" t="str">
        <f t="shared" si="84"/>
        <v/>
      </c>
      <c r="P374" s="491"/>
      <c r="Q374" s="491"/>
      <c r="R374" s="491" t="str">
        <f t="shared" si="85"/>
        <v/>
      </c>
      <c r="S374" s="528" t="str">
        <f t="shared" si="83"/>
        <v/>
      </c>
      <c r="T374" s="528" t="str">
        <f t="shared" si="81"/>
        <v/>
      </c>
      <c r="U374" s="493" t="str">
        <f>IF(H374="","",#REF!*12+#REF!+#REF!*12+#REF!)</f>
        <v/>
      </c>
      <c r="V374" s="338">
        <f>IF(ii!$J$3&gt;gg!C374,"",IF(AND((YEAR(C374)=YEAR($I$2)),MONTH(C374)=MONTH($I$2)),ii!$B$14*12+ii!$C$14+ii!$B$15*12+ii!$C$15-1,V373+1))</f>
        <v>267</v>
      </c>
      <c r="W374" s="339">
        <f t="shared" si="88"/>
        <v>22.25</v>
      </c>
      <c r="X374" s="494" t="s">
        <v>621</v>
      </c>
      <c r="Y374" s="495" t="s">
        <v>621</v>
      </c>
      <c r="Z374" s="496"/>
      <c r="AA374" s="497"/>
      <c r="AB374" s="498" t="e">
        <f t="shared" si="94"/>
        <v>#VALUE!</v>
      </c>
      <c r="AC374" s="484" t="str">
        <f t="shared" si="92"/>
        <v/>
      </c>
      <c r="AD374" s="495" t="str">
        <f t="shared" si="93"/>
        <v/>
      </c>
      <c r="AE374" s="499" t="s">
        <v>621</v>
      </c>
      <c r="AF374" s="500" t="s">
        <v>621</v>
      </c>
      <c r="AG374" s="556" t="s">
        <v>621</v>
      </c>
      <c r="AH374" s="503" t="str">
        <f>IF($G374="","",IF(AND($G374&gt;=30,$AT$3&lt;=AG$7),ROUND(AG374*($AP$3+#REF!),-1),""))</f>
        <v/>
      </c>
      <c r="AI374" s="506" t="s">
        <v>621</v>
      </c>
      <c r="AJ374" s="503" t="str">
        <f>IF($G374="","",IF(AND($G374&gt;=30,$AT$3&lt;=AI$7),ROUND(AI374*($AP$3+#REF!),-1),""))</f>
        <v/>
      </c>
      <c r="AK374" s="506" t="s">
        <v>621</v>
      </c>
      <c r="AL374" s="503" t="str">
        <f>IF($G374="","",IF(AND($G374&gt;=30,$AT$3&lt;=AK$7),ROUND(AK374*($AP$3+#REF!),-1),""))</f>
        <v/>
      </c>
      <c r="AM374" s="506" t="s">
        <v>621</v>
      </c>
      <c r="AN374" s="503" t="str">
        <f>IF($G374="","",IF(AND($G374&gt;=30,$AT$3&lt;=AM$7),ROUND(AM374*($AP$3+#REF!),-1),""))</f>
        <v/>
      </c>
      <c r="AO374" s="503" t="e">
        <v>#REF!</v>
      </c>
      <c r="AP374" s="503" t="str">
        <f>IF($G374="","",IF(AND($G374&gt;=30,$AT$3&lt;=AO$7),ROUND(AO374*($AP$3+#REF!),-1),""))</f>
        <v/>
      </c>
      <c r="AQ374" s="503" t="s">
        <v>621</v>
      </c>
      <c r="AR374" s="503" t="str">
        <f>IF($G374="","",IF(AND($G374&gt;=30,$AT$3&lt;=AQ$7),ROUND(AQ374*($AP$3+#REF!),-1),""))</f>
        <v/>
      </c>
      <c r="AS374" s="503" t="s">
        <v>621</v>
      </c>
      <c r="AT374" s="503" t="str">
        <f>IF($G374="","",IF(AND($G374&gt;=30,$AT$3&lt;=AS$7),ROUND(AS374*($AP$3+#REF!),-1),""))</f>
        <v/>
      </c>
      <c r="AU374" s="503" t="s">
        <v>621</v>
      </c>
      <c r="AV374" s="503" t="str">
        <f>IF($G374="","",IF(AND($G374&gt;=30,$AT$3&lt;=AU$7),ROUND(AU374*($AP$3+#REF!),-1),""))</f>
        <v/>
      </c>
      <c r="AW374" s="503" t="s">
        <v>621</v>
      </c>
      <c r="AX374" s="503" t="str">
        <f>IF($G374="","",IF(AND($G374&gt;=30,$AT$3&lt;=AW$7),ROUND(AW374*($AP$3+#REF!),-1),""))</f>
        <v/>
      </c>
      <c r="AY374" s="503" t="s">
        <v>621</v>
      </c>
      <c r="AZ374" s="503" t="str">
        <f>IF($G374="","",IF(AND($G374&gt;=30,$AT$3&lt;=AY$7),ROUND(AY374*($AP$3+#REF!),-1),""))</f>
        <v/>
      </c>
      <c r="BA374" s="503" t="s">
        <v>621</v>
      </c>
      <c r="BB374" s="503" t="str">
        <f>IF($G374="","",IF(AND($G374&gt;=30,$AT$3&lt;=BA$7),ROUND(BA374*($AP$3+#REF!),-1),""))</f>
        <v/>
      </c>
      <c r="BC374" s="503" t="s">
        <v>621</v>
      </c>
      <c r="BD374" s="503" t="str">
        <f>IF($G374="","",IF(AND($G374&gt;=30,$AT$3&lt;=BC$7),ROUND(BC374*($AP$3+#REF!),-1),""))</f>
        <v/>
      </c>
      <c r="BE374" s="503" t="s">
        <v>621</v>
      </c>
      <c r="BF374" s="503" t="str">
        <f>IF($G374="","",IF(AND($G374&gt;=30,$AT$3&lt;=BE$7),ROUND(BE374*($AP$3+#REF!),-1),""))</f>
        <v/>
      </c>
      <c r="BG374" s="503" t="s">
        <v>621</v>
      </c>
      <c r="BH374" s="503" t="str">
        <f>IF($G374="","",IF(AND($G374&gt;=30,$AT$3&lt;=BG$7),ROUND(BG374*($AP$3+#REF!),-1),""))</f>
        <v/>
      </c>
      <c r="BI374" s="503" t="s">
        <v>621</v>
      </c>
      <c r="BJ374" s="503" t="str">
        <f>IF($G374="","",IF(AND($G374&gt;=30,$AT$3&lt;=BI$7),ROUND(BI374*($AP$3+#REF!),-1),""))</f>
        <v/>
      </c>
      <c r="BK374" s="503" t="s">
        <v>621</v>
      </c>
      <c r="BL374" s="503" t="str">
        <f>IF($G374="","",IF(AND($G374&gt;=30,$AT$3&lt;=BK$7),ROUND(BK374*($AP$3+#REF!),-1),""))</f>
        <v/>
      </c>
      <c r="BM374" s="503" t="s">
        <v>621</v>
      </c>
      <c r="BN374" s="503" t="str">
        <f>IF($G374="","",IF(AND($G374&gt;=30,$AT$3&lt;=BM$7),ROUND(BM374*($AP$3+#REF!),-1),""))</f>
        <v/>
      </c>
      <c r="BO374" s="503" t="s">
        <v>621</v>
      </c>
      <c r="BP374" s="503" t="str">
        <f>IF($G374="","",IF(AND($G374&gt;=30,$AT$3&lt;=BO$7),ROUND(BO374*($AP$3+#REF!),-1),""))</f>
        <v/>
      </c>
      <c r="BQ374" s="503" t="s">
        <v>621</v>
      </c>
      <c r="BR374" s="503" t="str">
        <f>IF($G374="","",IF(AND($G374&gt;=30,$AT$3&lt;=BQ$7),ROUND(BQ374*($AP$3+#REF!),-1),""))</f>
        <v/>
      </c>
      <c r="BS374" s="503" t="s">
        <v>621</v>
      </c>
      <c r="BT374" s="503" t="str">
        <f>IF($G374="","",IF(AND($G374&gt;=30,$AT$3&lt;=BS$7),ROUND(BS374*($AP$3+#REF!),-1),""))</f>
        <v/>
      </c>
      <c r="BU374" s="503" t="s">
        <v>621</v>
      </c>
      <c r="BV374" s="503" t="str">
        <f>IF($G374="","",IF(AND($G374&gt;=30,$AT$3&lt;=BU$7),ROUND(BU374*($AP$3+#REF!),-1),""))</f>
        <v/>
      </c>
      <c r="BW374" s="503" t="s">
        <v>621</v>
      </c>
      <c r="BX374" s="503" t="str">
        <f>IF($G374="","",IF(AND($G374&gt;=30,$AT$3&lt;=BW$7),ROUND(BW374*($AP$3+#REF!),-1),""))</f>
        <v/>
      </c>
      <c r="BY374" s="503" t="s">
        <v>621</v>
      </c>
      <c r="BZ374" s="503" t="str">
        <f>IF($G374="","",IF(AND($G374&gt;=30,$AT$3&lt;=BY$7),ROUND(BY374*($AP$3+#REF!),-1),""))</f>
        <v/>
      </c>
      <c r="CA374" s="503" t="s">
        <v>621</v>
      </c>
      <c r="CB374" s="503" t="str">
        <f>IF($G374="","",IF(AND($G374&gt;=30,$AT$3&lt;=CA$7),ROUND(CA374*($AP$3+#REF!),-1),""))</f>
        <v/>
      </c>
      <c r="CC374" s="503" t="s">
        <v>621</v>
      </c>
      <c r="CD374" s="503" t="str">
        <f>IF($G374="","",IF(AND($G374&gt;=30,$AT$3&lt;=CC$7),ROUND(CC374*($AP$3+#REF!),-1),""))</f>
        <v/>
      </c>
      <c r="CE374" s="503" t="s">
        <v>621</v>
      </c>
      <c r="CF374" s="503" t="str">
        <f>IF($G374="","",IF(AND($G374&gt;=30,$AT$3&lt;=CE$7),ROUND(CE374*($AP$3+#REF!),-1),""))</f>
        <v/>
      </c>
      <c r="CG374" s="503" t="s">
        <v>621</v>
      </c>
      <c r="CH374" s="503" t="str">
        <f>IF($G374="","",IF(AND($G374&gt;=30,$AT$3&lt;=CG$7),ROUND(CG374*($AP$3+#REF!),-1),""))</f>
        <v/>
      </c>
      <c r="CI374" s="503" t="s">
        <v>621</v>
      </c>
      <c r="CJ374" s="503" t="str">
        <f>IF($G374="","",IF(AND($G374&gt;=30,$AT$3&lt;=CI$7),ROUND(CI374*($AP$3+#REF!),-1),""))</f>
        <v/>
      </c>
      <c r="CK374" s="503" t="s">
        <v>621</v>
      </c>
      <c r="CL374" s="503" t="str">
        <f>IF($G374="","",IF(AND($G374&gt;=30,$AT$3&lt;=CK$7),ROUND(CK374*($AP$3+#REF!),-1),""))</f>
        <v/>
      </c>
      <c r="CM374" s="503" t="s">
        <v>621</v>
      </c>
      <c r="CN374" s="503" t="str">
        <f>IF($G374="","",IF(AND($G374&gt;=30,$AT$3&lt;=CM$7),ROUND(CM374*($AP$3+#REF!),-1),""))</f>
        <v/>
      </c>
      <c r="CO374" s="517" t="e">
        <v>#REF!</v>
      </c>
      <c r="CP374" s="503" t="str">
        <f>IF($G374="","",IF(AND($G374&gt;=30,$AT$3&lt;=CO$7),ROUND(CO374*($AP$3+#REF!),-1),""))</f>
        <v/>
      </c>
      <c r="CQ374" s="517"/>
      <c r="CR374" s="503" t="str">
        <f>IF($G374="","",IF(AND($G374&gt;=30,$AT$3&lt;=CQ$7),ROUND(CQ374*($AP$3+#REF!),-1),""))</f>
        <v/>
      </c>
      <c r="CS374" s="517"/>
      <c r="CT374" s="503" t="str">
        <f>IF($G374="","",IF(AND($G374&gt;=30,$AT$3&lt;=CS$7),ROUND(CS374*($AP$3+#REF!),-1),""))</f>
        <v/>
      </c>
      <c r="CU374" s="517"/>
      <c r="CV374" s="503" t="str">
        <f>IF($G374="","",IF(AND($G374&gt;=30,$AT$3&lt;=CU$7),ROUND(CU374*($AP$3+#REF!),-1),""))</f>
        <v/>
      </c>
      <c r="CW374" s="517"/>
      <c r="CX374" s="503" t="str">
        <f>IF($G374="","",IF(AND($G374&gt;=30,$AT$3&lt;=CW$7),ROUND(CW374*($AP$3+#REF!),-1),""))</f>
        <v/>
      </c>
      <c r="CY374" s="517"/>
      <c r="CZ374" s="503" t="str">
        <f>IF($G374="","",IF(AND($G374&gt;=30,$AT$3&lt;=CY$7),ROUND(CY374*($AP$3+#REF!),-1),""))</f>
        <v/>
      </c>
      <c r="DA374" s="517"/>
      <c r="DB374" s="503" t="str">
        <f>IF($G374="","",IF(AND($G374&gt;=30,$AT$3&lt;=DA$7),ROUND(DA374*($AP$3+#REF!),-1),""))</f>
        <v/>
      </c>
      <c r="DC374" s="517"/>
      <c r="DD374" s="503" t="str">
        <f>IF($G374="","",IF(AND($G374&gt;=30,$AT$3&lt;=DC$7),ROUND(DC374*($AP$3+#REF!),-1),""))</f>
        <v/>
      </c>
      <c r="DE374" s="517"/>
      <c r="DF374" s="503" t="str">
        <f>IF($G374="","",IF(AND($G374&gt;=30,$AT$3&lt;=DE$7),ROUND(DE374*($AP$3+#REF!),-1),""))</f>
        <v/>
      </c>
      <c r="DG374" s="517"/>
      <c r="DH374" s="503" t="str">
        <f>IF($G374="","",IF(AND($G374&gt;=30,$AT$3&lt;=DG$7),ROUND(DG374*($AP$3+#REF!),-1),""))</f>
        <v/>
      </c>
      <c r="DI374" s="517"/>
      <c r="DJ374" s="503" t="str">
        <f>IF($G374="","",IF(AND($G374&gt;=30,$AT$3&lt;=DI$7),ROUND(DI374*($AP$3+#REF!),-1),""))</f>
        <v/>
      </c>
      <c r="DK374" s="517"/>
      <c r="DL374" s="503" t="str">
        <f>IF($G374="","",IF(AND($G374&gt;=30,$AT$3&lt;=DK$7),ROUND(DK374*($AP$3+#REF!),-1),""))</f>
        <v/>
      </c>
      <c r="DM374" s="517"/>
      <c r="DN374" s="503" t="str">
        <f>IF($G374="","",IF(AND($G374&gt;=30,$AT$3&lt;=DM$7),ROUND(DM374*($AP$3+#REF!),-1),""))</f>
        <v/>
      </c>
      <c r="DO374" s="517"/>
      <c r="DP374" s="503" t="str">
        <f>IF($G374="","",IF(AND($G374&gt;=30,$AT$3&lt;=DO$7),ROUND(DO374*($AP$3+#REF!),-1),""))</f>
        <v/>
      </c>
      <c r="DQ374" s="517"/>
      <c r="DR374" s="503" t="str">
        <f>IF($G374="","",IF(AND($G374&gt;=30,$AT$3&lt;=DQ$7),ROUND(DQ374*($AP$3+#REF!),-1),""))</f>
        <v/>
      </c>
      <c r="DS374" s="517"/>
      <c r="DT374" s="503" t="str">
        <f>IF($G374="","",IF(AND($G374&gt;=30,$AT$3&lt;=DS$7),ROUND(DS374*($AP$3+#REF!),-1),""))</f>
        <v/>
      </c>
      <c r="DU374" s="517"/>
      <c r="DV374" s="503" t="str">
        <f>IF($G374="","",IF(AND($G374&gt;=30,$AT$3&lt;=DU$7),ROUND(DU374*($AP$3+#REF!),-1),""))</f>
        <v/>
      </c>
      <c r="DW374" s="517"/>
      <c r="DX374" s="503" t="str">
        <f>IF($G374="","",IF(AND($G374&gt;=30,$AT$3&lt;=DW$7),ROUND(DW374*($AP$3+#REF!),-1),""))</f>
        <v/>
      </c>
      <c r="DY374" s="517"/>
      <c r="DZ374" s="503" t="str">
        <f>IF($G374="","",IF(AND($G374&gt;=30,$AT$3&lt;=DY$7),ROUND(DY374*($AP$3+#REF!),-1),""))</f>
        <v/>
      </c>
      <c r="EA374" s="517"/>
      <c r="EB374" s="503" t="str">
        <f>IF($G374="","",IF(AND($G374&gt;=30,$AT$3&lt;=EA$7),ROUND(EA374*($AP$3+#REF!),-1),""))</f>
        <v/>
      </c>
      <c r="EC374" s="504" t="s">
        <v>621</v>
      </c>
      <c r="ED374" s="1124"/>
      <c r="EE374" s="325">
        <v>6</v>
      </c>
    </row>
    <row r="375" spans="1:135" ht="9.75" customHeight="1">
      <c r="A375" s="321" t="str">
        <f t="shared" si="82"/>
        <v/>
      </c>
      <c r="B375" s="567">
        <f>(ii!$D$13*12+V375)+1</f>
        <v>269</v>
      </c>
      <c r="C375" s="337">
        <f t="shared" si="86"/>
        <v>53539</v>
      </c>
      <c r="D375" s="484">
        <f t="shared" si="89"/>
        <v>2046</v>
      </c>
      <c r="E375" s="484">
        <f t="shared" si="87"/>
        <v>0.58333333333333337</v>
      </c>
      <c r="F375" s="484">
        <f t="shared" si="90"/>
        <v>2046.5833333333333</v>
      </c>
      <c r="G375" s="485" t="str">
        <f>IF(OR(C375&lt;$I$2,C375&gt;$J$3),"",(ii!$D$13*12+V375+1)/12)</f>
        <v/>
      </c>
      <c r="H375" s="486"/>
      <c r="I375" s="486"/>
      <c r="J375" s="487"/>
      <c r="K375" s="488"/>
      <c r="L375" s="548"/>
      <c r="M375" s="489" t="str">
        <f t="shared" si="91"/>
        <v/>
      </c>
      <c r="N375" s="490" t="s">
        <v>621</v>
      </c>
      <c r="O375" s="490" t="str">
        <f t="shared" si="84"/>
        <v/>
      </c>
      <c r="P375" s="491"/>
      <c r="Q375" s="491"/>
      <c r="R375" s="491" t="str">
        <f t="shared" si="85"/>
        <v/>
      </c>
      <c r="S375" s="528" t="str">
        <f t="shared" si="83"/>
        <v/>
      </c>
      <c r="T375" s="528" t="str">
        <f t="shared" si="81"/>
        <v/>
      </c>
      <c r="U375" s="493" t="str">
        <f>IF(H375="","",#REF!*12+#REF!+#REF!*12+#REF!)</f>
        <v/>
      </c>
      <c r="V375" s="338">
        <f>IF(ii!$J$3&gt;gg!C375,"",IF(AND((YEAR(C375)=YEAR($I$2)),MONTH(C375)=MONTH($I$2)),ii!$B$14*12+ii!$C$14+ii!$B$15*12+ii!$C$15-1,V374+1))</f>
        <v>268</v>
      </c>
      <c r="W375" s="339">
        <f t="shared" si="88"/>
        <v>22.333333333333332</v>
      </c>
      <c r="X375" s="494" t="s">
        <v>621</v>
      </c>
      <c r="Y375" s="495" t="s">
        <v>621</v>
      </c>
      <c r="Z375" s="496"/>
      <c r="AA375" s="497"/>
      <c r="AB375" s="498" t="e">
        <f t="shared" si="94"/>
        <v>#VALUE!</v>
      </c>
      <c r="AC375" s="484" t="str">
        <f t="shared" si="92"/>
        <v/>
      </c>
      <c r="AD375" s="495" t="str">
        <f t="shared" si="93"/>
        <v/>
      </c>
      <c r="AE375" s="499" t="s">
        <v>621</v>
      </c>
      <c r="AF375" s="500" t="s">
        <v>621</v>
      </c>
      <c r="AG375" s="556" t="s">
        <v>621</v>
      </c>
      <c r="AH375" s="503" t="str">
        <f>IF($G375="","",IF(AND($G375&gt;=30,$AT$3&lt;=AG$7),ROUND(AG375*($AP$3+#REF!),-1),""))</f>
        <v/>
      </c>
      <c r="AI375" s="506" t="s">
        <v>621</v>
      </c>
      <c r="AJ375" s="503" t="str">
        <f>IF($G375="","",IF(AND($G375&gt;=30,$AT$3&lt;=AI$7),ROUND(AI375*($AP$3+#REF!),-1),""))</f>
        <v/>
      </c>
      <c r="AK375" s="506" t="s">
        <v>621</v>
      </c>
      <c r="AL375" s="503" t="str">
        <f>IF($G375="","",IF(AND($G375&gt;=30,$AT$3&lt;=AK$7),ROUND(AK375*($AP$3+#REF!),-1),""))</f>
        <v/>
      </c>
      <c r="AM375" s="506" t="s">
        <v>621</v>
      </c>
      <c r="AN375" s="503" t="str">
        <f>IF($G375="","",IF(AND($G375&gt;=30,$AT$3&lt;=AM$7),ROUND(AM375*($AP$3+#REF!),-1),""))</f>
        <v/>
      </c>
      <c r="AO375" s="503" t="e">
        <v>#REF!</v>
      </c>
      <c r="AP375" s="503" t="str">
        <f>IF($G375="","",IF(AND($G375&gt;=30,$AT$3&lt;=AO$7),ROUND(AO375*($AP$3+#REF!),-1),""))</f>
        <v/>
      </c>
      <c r="AQ375" s="503" t="s">
        <v>621</v>
      </c>
      <c r="AR375" s="503" t="str">
        <f>IF($G375="","",IF(AND($G375&gt;=30,$AT$3&lt;=AQ$7),ROUND(AQ375*($AP$3+#REF!),-1),""))</f>
        <v/>
      </c>
      <c r="AS375" s="503" t="s">
        <v>621</v>
      </c>
      <c r="AT375" s="503" t="str">
        <f>IF($G375="","",IF(AND($G375&gt;=30,$AT$3&lt;=AS$7),ROUND(AS375*($AP$3+#REF!),-1),""))</f>
        <v/>
      </c>
      <c r="AU375" s="503" t="s">
        <v>621</v>
      </c>
      <c r="AV375" s="503" t="str">
        <f>IF($G375="","",IF(AND($G375&gt;=30,$AT$3&lt;=AU$7),ROUND(AU375*($AP$3+#REF!),-1),""))</f>
        <v/>
      </c>
      <c r="AW375" s="503" t="s">
        <v>621</v>
      </c>
      <c r="AX375" s="503" t="str">
        <f>IF($G375="","",IF(AND($G375&gt;=30,$AT$3&lt;=AW$7),ROUND(AW375*($AP$3+#REF!),-1),""))</f>
        <v/>
      </c>
      <c r="AY375" s="503" t="s">
        <v>621</v>
      </c>
      <c r="AZ375" s="503" t="str">
        <f>IF($G375="","",IF(AND($G375&gt;=30,$AT$3&lt;=AY$7),ROUND(AY375*($AP$3+#REF!),-1),""))</f>
        <v/>
      </c>
      <c r="BA375" s="503" t="s">
        <v>621</v>
      </c>
      <c r="BB375" s="503" t="str">
        <f>IF($G375="","",IF(AND($G375&gt;=30,$AT$3&lt;=BA$7),ROUND(BA375*($AP$3+#REF!),-1),""))</f>
        <v/>
      </c>
      <c r="BC375" s="503" t="s">
        <v>621</v>
      </c>
      <c r="BD375" s="503" t="str">
        <f>IF($G375="","",IF(AND($G375&gt;=30,$AT$3&lt;=BC$7),ROUND(BC375*($AP$3+#REF!),-1),""))</f>
        <v/>
      </c>
      <c r="BE375" s="503" t="s">
        <v>621</v>
      </c>
      <c r="BF375" s="503" t="str">
        <f>IF($G375="","",IF(AND($G375&gt;=30,$AT$3&lt;=BE$7),ROUND(BE375*($AP$3+#REF!),-1),""))</f>
        <v/>
      </c>
      <c r="BG375" s="503" t="s">
        <v>621</v>
      </c>
      <c r="BH375" s="503" t="str">
        <f>IF($G375="","",IF(AND($G375&gt;=30,$AT$3&lt;=BG$7),ROUND(BG375*($AP$3+#REF!),-1),""))</f>
        <v/>
      </c>
      <c r="BI375" s="503" t="s">
        <v>621</v>
      </c>
      <c r="BJ375" s="503" t="str">
        <f>IF($G375="","",IF(AND($G375&gt;=30,$AT$3&lt;=BI$7),ROUND(BI375*($AP$3+#REF!),-1),""))</f>
        <v/>
      </c>
      <c r="BK375" s="503" t="s">
        <v>621</v>
      </c>
      <c r="BL375" s="503" t="str">
        <f>IF($G375="","",IF(AND($G375&gt;=30,$AT$3&lt;=BK$7),ROUND(BK375*($AP$3+#REF!),-1),""))</f>
        <v/>
      </c>
      <c r="BM375" s="503" t="s">
        <v>621</v>
      </c>
      <c r="BN375" s="503" t="str">
        <f>IF($G375="","",IF(AND($G375&gt;=30,$AT$3&lt;=BM$7),ROUND(BM375*($AP$3+#REF!),-1),""))</f>
        <v/>
      </c>
      <c r="BO375" s="503" t="s">
        <v>621</v>
      </c>
      <c r="BP375" s="503" t="str">
        <f>IF($G375="","",IF(AND($G375&gt;=30,$AT$3&lt;=BO$7),ROUND(BO375*($AP$3+#REF!),-1),""))</f>
        <v/>
      </c>
      <c r="BQ375" s="503" t="s">
        <v>621</v>
      </c>
      <c r="BR375" s="503" t="str">
        <f>IF($G375="","",IF(AND($G375&gt;=30,$AT$3&lt;=BQ$7),ROUND(BQ375*($AP$3+#REF!),-1),""))</f>
        <v/>
      </c>
      <c r="BS375" s="503" t="s">
        <v>621</v>
      </c>
      <c r="BT375" s="503" t="str">
        <f>IF($G375="","",IF(AND($G375&gt;=30,$AT$3&lt;=BS$7),ROUND(BS375*($AP$3+#REF!),-1),""))</f>
        <v/>
      </c>
      <c r="BU375" s="503" t="s">
        <v>621</v>
      </c>
      <c r="BV375" s="503" t="str">
        <f>IF($G375="","",IF(AND($G375&gt;=30,$AT$3&lt;=BU$7),ROUND(BU375*($AP$3+#REF!),-1),""))</f>
        <v/>
      </c>
      <c r="BW375" s="503" t="s">
        <v>621</v>
      </c>
      <c r="BX375" s="503" t="str">
        <f>IF($G375="","",IF(AND($G375&gt;=30,$AT$3&lt;=BW$7),ROUND(BW375*($AP$3+#REF!),-1),""))</f>
        <v/>
      </c>
      <c r="BY375" s="503" t="s">
        <v>621</v>
      </c>
      <c r="BZ375" s="503" t="str">
        <f>IF($G375="","",IF(AND($G375&gt;=30,$AT$3&lt;=BY$7),ROUND(BY375*($AP$3+#REF!),-1),""))</f>
        <v/>
      </c>
      <c r="CA375" s="503" t="s">
        <v>621</v>
      </c>
      <c r="CB375" s="503" t="str">
        <f>IF($G375="","",IF(AND($G375&gt;=30,$AT$3&lt;=CA$7),ROUND(CA375*($AP$3+#REF!),-1),""))</f>
        <v/>
      </c>
      <c r="CC375" s="503" t="s">
        <v>621</v>
      </c>
      <c r="CD375" s="503" t="str">
        <f>IF($G375="","",IF(AND($G375&gt;=30,$AT$3&lt;=CC$7),ROUND(CC375*($AP$3+#REF!),-1),""))</f>
        <v/>
      </c>
      <c r="CE375" s="503" t="s">
        <v>621</v>
      </c>
      <c r="CF375" s="503" t="str">
        <f>IF($G375="","",IF(AND($G375&gt;=30,$AT$3&lt;=CE$7),ROUND(CE375*($AP$3+#REF!),-1),""))</f>
        <v/>
      </c>
      <c r="CG375" s="503" t="s">
        <v>621</v>
      </c>
      <c r="CH375" s="503" t="str">
        <f>IF($G375="","",IF(AND($G375&gt;=30,$AT$3&lt;=CG$7),ROUND(CG375*($AP$3+#REF!),-1),""))</f>
        <v/>
      </c>
      <c r="CI375" s="503" t="s">
        <v>621</v>
      </c>
      <c r="CJ375" s="503" t="str">
        <f>IF($G375="","",IF(AND($G375&gt;=30,$AT$3&lt;=CI$7),ROUND(CI375*($AP$3+#REF!),-1),""))</f>
        <v/>
      </c>
      <c r="CK375" s="503" t="s">
        <v>621</v>
      </c>
      <c r="CL375" s="503" t="str">
        <f>IF($G375="","",IF(AND($G375&gt;=30,$AT$3&lt;=CK$7),ROUND(CK375*($AP$3+#REF!),-1),""))</f>
        <v/>
      </c>
      <c r="CM375" s="503" t="s">
        <v>621</v>
      </c>
      <c r="CN375" s="503" t="str">
        <f>IF($G375="","",IF(AND($G375&gt;=30,$AT$3&lt;=CM$7),ROUND(CM375*($AP$3+#REF!),-1),""))</f>
        <v/>
      </c>
      <c r="CO375" s="517" t="e">
        <v>#REF!</v>
      </c>
      <c r="CP375" s="503" t="str">
        <f>IF($G375="","",IF(AND($G375&gt;=30,$AT$3&lt;=CO$7),ROUND(CO375*($AP$3+#REF!),-1),""))</f>
        <v/>
      </c>
      <c r="CQ375" s="517"/>
      <c r="CR375" s="503" t="str">
        <f>IF($G375="","",IF(AND($G375&gt;=30,$AT$3&lt;=CQ$7),ROUND(CQ375*($AP$3+#REF!),-1),""))</f>
        <v/>
      </c>
      <c r="CS375" s="517"/>
      <c r="CT375" s="503" t="str">
        <f>IF($G375="","",IF(AND($G375&gt;=30,$AT$3&lt;=CS$7),ROUND(CS375*($AP$3+#REF!),-1),""))</f>
        <v/>
      </c>
      <c r="CU375" s="517"/>
      <c r="CV375" s="503" t="str">
        <f>IF($G375="","",IF(AND($G375&gt;=30,$AT$3&lt;=CU$7),ROUND(CU375*($AP$3+#REF!),-1),""))</f>
        <v/>
      </c>
      <c r="CW375" s="517"/>
      <c r="CX375" s="503" t="str">
        <f>IF($G375="","",IF(AND($G375&gt;=30,$AT$3&lt;=CW$7),ROUND(CW375*($AP$3+#REF!),-1),""))</f>
        <v/>
      </c>
      <c r="CY375" s="517"/>
      <c r="CZ375" s="503" t="str">
        <f>IF($G375="","",IF(AND($G375&gt;=30,$AT$3&lt;=CY$7),ROUND(CY375*($AP$3+#REF!),-1),""))</f>
        <v/>
      </c>
      <c r="DA375" s="517"/>
      <c r="DB375" s="503" t="str">
        <f>IF($G375="","",IF(AND($G375&gt;=30,$AT$3&lt;=DA$7),ROUND(DA375*($AP$3+#REF!),-1),""))</f>
        <v/>
      </c>
      <c r="DC375" s="517"/>
      <c r="DD375" s="503" t="str">
        <f>IF($G375="","",IF(AND($G375&gt;=30,$AT$3&lt;=DC$7),ROUND(DC375*($AP$3+#REF!),-1),""))</f>
        <v/>
      </c>
      <c r="DE375" s="517"/>
      <c r="DF375" s="503" t="str">
        <f>IF($G375="","",IF(AND($G375&gt;=30,$AT$3&lt;=DE$7),ROUND(DE375*($AP$3+#REF!),-1),""))</f>
        <v/>
      </c>
      <c r="DG375" s="517"/>
      <c r="DH375" s="503" t="str">
        <f>IF($G375="","",IF(AND($G375&gt;=30,$AT$3&lt;=DG$7),ROUND(DG375*($AP$3+#REF!),-1),""))</f>
        <v/>
      </c>
      <c r="DI375" s="517"/>
      <c r="DJ375" s="503" t="str">
        <f>IF($G375="","",IF(AND($G375&gt;=30,$AT$3&lt;=DI$7),ROUND(DI375*($AP$3+#REF!),-1),""))</f>
        <v/>
      </c>
      <c r="DK375" s="517"/>
      <c r="DL375" s="503" t="str">
        <f>IF($G375="","",IF(AND($G375&gt;=30,$AT$3&lt;=DK$7),ROUND(DK375*($AP$3+#REF!),-1),""))</f>
        <v/>
      </c>
      <c r="DM375" s="517"/>
      <c r="DN375" s="503" t="str">
        <f>IF($G375="","",IF(AND($G375&gt;=30,$AT$3&lt;=DM$7),ROUND(DM375*($AP$3+#REF!),-1),""))</f>
        <v/>
      </c>
      <c r="DO375" s="517"/>
      <c r="DP375" s="503" t="str">
        <f>IF($G375="","",IF(AND($G375&gt;=30,$AT$3&lt;=DO$7),ROUND(DO375*($AP$3+#REF!),-1),""))</f>
        <v/>
      </c>
      <c r="DQ375" s="517"/>
      <c r="DR375" s="503" t="str">
        <f>IF($G375="","",IF(AND($G375&gt;=30,$AT$3&lt;=DQ$7),ROUND(DQ375*($AP$3+#REF!),-1),""))</f>
        <v/>
      </c>
      <c r="DS375" s="517"/>
      <c r="DT375" s="503" t="str">
        <f>IF($G375="","",IF(AND($G375&gt;=30,$AT$3&lt;=DS$7),ROUND(DS375*($AP$3+#REF!),-1),""))</f>
        <v/>
      </c>
      <c r="DU375" s="517"/>
      <c r="DV375" s="503" t="str">
        <f>IF($G375="","",IF(AND($G375&gt;=30,$AT$3&lt;=DU$7),ROUND(DU375*($AP$3+#REF!),-1),""))</f>
        <v/>
      </c>
      <c r="DW375" s="517"/>
      <c r="DX375" s="503" t="str">
        <f>IF($G375="","",IF(AND($G375&gt;=30,$AT$3&lt;=DW$7),ROUND(DW375*($AP$3+#REF!),-1),""))</f>
        <v/>
      </c>
      <c r="DY375" s="517"/>
      <c r="DZ375" s="503" t="str">
        <f>IF($G375="","",IF(AND($G375&gt;=30,$AT$3&lt;=DY$7),ROUND(DY375*($AP$3+#REF!),-1),""))</f>
        <v/>
      </c>
      <c r="EA375" s="517"/>
      <c r="EB375" s="503" t="str">
        <f>IF($G375="","",IF(AND($G375&gt;=30,$AT$3&lt;=EA$7),ROUND(EA375*($AP$3+#REF!),-1),""))</f>
        <v/>
      </c>
      <c r="EC375" s="504" t="s">
        <v>621</v>
      </c>
      <c r="ED375" s="1124"/>
      <c r="EE375" s="325">
        <v>7</v>
      </c>
    </row>
    <row r="376" spans="1:135" ht="9.75" customHeight="1">
      <c r="A376" s="321" t="str">
        <f t="shared" si="82"/>
        <v/>
      </c>
      <c r="B376" s="567">
        <f>(ii!$D$13*12+V376)+1</f>
        <v>270</v>
      </c>
      <c r="C376" s="337">
        <f t="shared" si="86"/>
        <v>53570</v>
      </c>
      <c r="D376" s="484">
        <f t="shared" si="89"/>
        <v>2046</v>
      </c>
      <c r="E376" s="484">
        <f t="shared" si="87"/>
        <v>0.66666666666666663</v>
      </c>
      <c r="F376" s="484">
        <f t="shared" si="90"/>
        <v>2046.6666666666667</v>
      </c>
      <c r="G376" s="485" t="str">
        <f>IF(OR(C376&lt;$I$2,C376&gt;$J$3),"",(ii!$D$13*12+V376+1)/12)</f>
        <v/>
      </c>
      <c r="H376" s="486"/>
      <c r="I376" s="486"/>
      <c r="J376" s="487"/>
      <c r="K376" s="488"/>
      <c r="L376" s="548"/>
      <c r="M376" s="489" t="str">
        <f t="shared" si="91"/>
        <v/>
      </c>
      <c r="N376" s="490" t="s">
        <v>621</v>
      </c>
      <c r="O376" s="490" t="str">
        <f t="shared" si="84"/>
        <v/>
      </c>
      <c r="P376" s="491"/>
      <c r="Q376" s="491"/>
      <c r="R376" s="491" t="str">
        <f t="shared" si="85"/>
        <v/>
      </c>
      <c r="S376" s="528" t="str">
        <f t="shared" si="83"/>
        <v/>
      </c>
      <c r="T376" s="528" t="str">
        <f t="shared" si="81"/>
        <v/>
      </c>
      <c r="U376" s="493" t="str">
        <f>IF(H376="","",#REF!*12+#REF!+#REF!*12+#REF!)</f>
        <v/>
      </c>
      <c r="V376" s="338">
        <f>IF(ii!$J$3&gt;gg!C376,"",IF(AND((YEAR(C376)=YEAR($I$2)),MONTH(C376)=MONTH($I$2)),ii!$B$14*12+ii!$C$14+ii!$B$15*12+ii!$C$15-1,V375+1))</f>
        <v>269</v>
      </c>
      <c r="W376" s="339">
        <f t="shared" si="88"/>
        <v>22.416666666666668</v>
      </c>
      <c r="X376" s="494" t="s">
        <v>621</v>
      </c>
      <c r="Y376" s="495" t="s">
        <v>621</v>
      </c>
      <c r="Z376" s="496"/>
      <c r="AA376" s="497"/>
      <c r="AB376" s="498" t="e">
        <f t="shared" si="94"/>
        <v>#VALUE!</v>
      </c>
      <c r="AC376" s="484" t="str">
        <f t="shared" si="92"/>
        <v/>
      </c>
      <c r="AD376" s="495" t="str">
        <f t="shared" si="93"/>
        <v/>
      </c>
      <c r="AE376" s="499" t="s">
        <v>621</v>
      </c>
      <c r="AF376" s="500" t="s">
        <v>621</v>
      </c>
      <c r="AG376" s="556" t="s">
        <v>621</v>
      </c>
      <c r="AH376" s="503" t="str">
        <f>IF($G376="","",IF(AND($G376&gt;=30,$AT$3&lt;=AG$7),ROUND(AG376*($AP$3+#REF!),-1),""))</f>
        <v/>
      </c>
      <c r="AI376" s="506" t="s">
        <v>621</v>
      </c>
      <c r="AJ376" s="503" t="str">
        <f>IF($G376="","",IF(AND($G376&gt;=30,$AT$3&lt;=AI$7),ROUND(AI376*($AP$3+#REF!),-1),""))</f>
        <v/>
      </c>
      <c r="AK376" s="506" t="s">
        <v>621</v>
      </c>
      <c r="AL376" s="503" t="str">
        <f>IF($G376="","",IF(AND($G376&gt;=30,$AT$3&lt;=AK$7),ROUND(AK376*($AP$3+#REF!),-1),""))</f>
        <v/>
      </c>
      <c r="AM376" s="506" t="s">
        <v>621</v>
      </c>
      <c r="AN376" s="503" t="str">
        <f>IF($G376="","",IF(AND($G376&gt;=30,$AT$3&lt;=AM$7),ROUND(AM376*($AP$3+#REF!),-1),""))</f>
        <v/>
      </c>
      <c r="AO376" s="503" t="e">
        <v>#REF!</v>
      </c>
      <c r="AP376" s="503" t="str">
        <f>IF($G376="","",IF(AND($G376&gt;=30,$AT$3&lt;=AO$7),ROUND(AO376*($AP$3+#REF!),-1),""))</f>
        <v/>
      </c>
      <c r="AQ376" s="503" t="s">
        <v>621</v>
      </c>
      <c r="AR376" s="503" t="str">
        <f>IF($G376="","",IF(AND($G376&gt;=30,$AT$3&lt;=AQ$7),ROUND(AQ376*($AP$3+#REF!),-1),""))</f>
        <v/>
      </c>
      <c r="AS376" s="503" t="s">
        <v>621</v>
      </c>
      <c r="AT376" s="503" t="str">
        <f>IF($G376="","",IF(AND($G376&gt;=30,$AT$3&lt;=AS$7),ROUND(AS376*($AP$3+#REF!),-1),""))</f>
        <v/>
      </c>
      <c r="AU376" s="503" t="s">
        <v>621</v>
      </c>
      <c r="AV376" s="503" t="str">
        <f>IF($G376="","",IF(AND($G376&gt;=30,$AT$3&lt;=AU$7),ROUND(AU376*($AP$3+#REF!),-1),""))</f>
        <v/>
      </c>
      <c r="AW376" s="503" t="s">
        <v>621</v>
      </c>
      <c r="AX376" s="503" t="str">
        <f>IF($G376="","",IF(AND($G376&gt;=30,$AT$3&lt;=AW$7),ROUND(AW376*($AP$3+#REF!),-1),""))</f>
        <v/>
      </c>
      <c r="AY376" s="503" t="s">
        <v>621</v>
      </c>
      <c r="AZ376" s="503" t="str">
        <f>IF($G376="","",IF(AND($G376&gt;=30,$AT$3&lt;=AY$7),ROUND(AY376*($AP$3+#REF!),-1),""))</f>
        <v/>
      </c>
      <c r="BA376" s="503" t="s">
        <v>621</v>
      </c>
      <c r="BB376" s="503" t="str">
        <f>IF($G376="","",IF(AND($G376&gt;=30,$AT$3&lt;=BA$7),ROUND(BA376*($AP$3+#REF!),-1),""))</f>
        <v/>
      </c>
      <c r="BC376" s="503" t="s">
        <v>621</v>
      </c>
      <c r="BD376" s="503" t="str">
        <f>IF($G376="","",IF(AND($G376&gt;=30,$AT$3&lt;=BC$7),ROUND(BC376*($AP$3+#REF!),-1),""))</f>
        <v/>
      </c>
      <c r="BE376" s="503" t="s">
        <v>621</v>
      </c>
      <c r="BF376" s="503" t="str">
        <f>IF($G376="","",IF(AND($G376&gt;=30,$AT$3&lt;=BE$7),ROUND(BE376*($AP$3+#REF!),-1),""))</f>
        <v/>
      </c>
      <c r="BG376" s="503" t="s">
        <v>621</v>
      </c>
      <c r="BH376" s="503" t="str">
        <f>IF($G376="","",IF(AND($G376&gt;=30,$AT$3&lt;=BG$7),ROUND(BG376*($AP$3+#REF!),-1),""))</f>
        <v/>
      </c>
      <c r="BI376" s="503" t="s">
        <v>621</v>
      </c>
      <c r="BJ376" s="503" t="str">
        <f>IF($G376="","",IF(AND($G376&gt;=30,$AT$3&lt;=BI$7),ROUND(BI376*($AP$3+#REF!),-1),""))</f>
        <v/>
      </c>
      <c r="BK376" s="503" t="s">
        <v>621</v>
      </c>
      <c r="BL376" s="503" t="str">
        <f>IF($G376="","",IF(AND($G376&gt;=30,$AT$3&lt;=BK$7),ROUND(BK376*($AP$3+#REF!),-1),""))</f>
        <v/>
      </c>
      <c r="BM376" s="503" t="s">
        <v>621</v>
      </c>
      <c r="BN376" s="503" t="str">
        <f>IF($G376="","",IF(AND($G376&gt;=30,$AT$3&lt;=BM$7),ROUND(BM376*($AP$3+#REF!),-1),""))</f>
        <v/>
      </c>
      <c r="BO376" s="503" t="s">
        <v>621</v>
      </c>
      <c r="BP376" s="503" t="str">
        <f>IF($G376="","",IF(AND($G376&gt;=30,$AT$3&lt;=BO$7),ROUND(BO376*($AP$3+#REF!),-1),""))</f>
        <v/>
      </c>
      <c r="BQ376" s="503" t="s">
        <v>621</v>
      </c>
      <c r="BR376" s="503" t="str">
        <f>IF($G376="","",IF(AND($G376&gt;=30,$AT$3&lt;=BQ$7),ROUND(BQ376*($AP$3+#REF!),-1),""))</f>
        <v/>
      </c>
      <c r="BS376" s="503" t="s">
        <v>621</v>
      </c>
      <c r="BT376" s="503" t="str">
        <f>IF($G376="","",IF(AND($G376&gt;=30,$AT$3&lt;=BS$7),ROUND(BS376*($AP$3+#REF!),-1),""))</f>
        <v/>
      </c>
      <c r="BU376" s="503" t="s">
        <v>621</v>
      </c>
      <c r="BV376" s="503" t="str">
        <f>IF($G376="","",IF(AND($G376&gt;=30,$AT$3&lt;=BU$7),ROUND(BU376*($AP$3+#REF!),-1),""))</f>
        <v/>
      </c>
      <c r="BW376" s="503" t="s">
        <v>621</v>
      </c>
      <c r="BX376" s="503" t="str">
        <f>IF($G376="","",IF(AND($G376&gt;=30,$AT$3&lt;=BW$7),ROUND(BW376*($AP$3+#REF!),-1),""))</f>
        <v/>
      </c>
      <c r="BY376" s="503" t="s">
        <v>621</v>
      </c>
      <c r="BZ376" s="503" t="str">
        <f>IF($G376="","",IF(AND($G376&gt;=30,$AT$3&lt;=BY$7),ROUND(BY376*($AP$3+#REF!),-1),""))</f>
        <v/>
      </c>
      <c r="CA376" s="503" t="s">
        <v>621</v>
      </c>
      <c r="CB376" s="503" t="str">
        <f>IF($G376="","",IF(AND($G376&gt;=30,$AT$3&lt;=CA$7),ROUND(CA376*($AP$3+#REF!),-1),""))</f>
        <v/>
      </c>
      <c r="CC376" s="503" t="s">
        <v>621</v>
      </c>
      <c r="CD376" s="503" t="str">
        <f>IF($G376="","",IF(AND($G376&gt;=30,$AT$3&lt;=CC$7),ROUND(CC376*($AP$3+#REF!),-1),""))</f>
        <v/>
      </c>
      <c r="CE376" s="503" t="s">
        <v>621</v>
      </c>
      <c r="CF376" s="503" t="str">
        <f>IF($G376="","",IF(AND($G376&gt;=30,$AT$3&lt;=CE$7),ROUND(CE376*($AP$3+#REF!),-1),""))</f>
        <v/>
      </c>
      <c r="CG376" s="503" t="s">
        <v>621</v>
      </c>
      <c r="CH376" s="503" t="str">
        <f>IF($G376="","",IF(AND($G376&gt;=30,$AT$3&lt;=CG$7),ROUND(CG376*($AP$3+#REF!),-1),""))</f>
        <v/>
      </c>
      <c r="CI376" s="503" t="s">
        <v>621</v>
      </c>
      <c r="CJ376" s="503" t="str">
        <f>IF($G376="","",IF(AND($G376&gt;=30,$AT$3&lt;=CI$7),ROUND(CI376*($AP$3+#REF!),-1),""))</f>
        <v/>
      </c>
      <c r="CK376" s="503" t="s">
        <v>621</v>
      </c>
      <c r="CL376" s="503" t="str">
        <f>IF($G376="","",IF(AND($G376&gt;=30,$AT$3&lt;=CK$7),ROUND(CK376*($AP$3+#REF!),-1),""))</f>
        <v/>
      </c>
      <c r="CM376" s="503" t="s">
        <v>621</v>
      </c>
      <c r="CN376" s="503" t="str">
        <f>IF($G376="","",IF(AND($G376&gt;=30,$AT$3&lt;=CM$7),ROUND(CM376*($AP$3+#REF!),-1),""))</f>
        <v/>
      </c>
      <c r="CO376" s="517" t="e">
        <v>#REF!</v>
      </c>
      <c r="CP376" s="503" t="str">
        <f>IF($G376="","",IF(AND($G376&gt;=30,$AT$3&lt;=CO$7),ROUND(CO376*($AP$3+#REF!),-1),""))</f>
        <v/>
      </c>
      <c r="CQ376" s="517"/>
      <c r="CR376" s="503" t="str">
        <f>IF($G376="","",IF(AND($G376&gt;=30,$AT$3&lt;=CQ$7),ROUND(CQ376*($AP$3+#REF!),-1),""))</f>
        <v/>
      </c>
      <c r="CS376" s="517"/>
      <c r="CT376" s="503" t="str">
        <f>IF($G376="","",IF(AND($G376&gt;=30,$AT$3&lt;=CS$7),ROUND(CS376*($AP$3+#REF!),-1),""))</f>
        <v/>
      </c>
      <c r="CU376" s="517"/>
      <c r="CV376" s="503" t="str">
        <f>IF($G376="","",IF(AND($G376&gt;=30,$AT$3&lt;=CU$7),ROUND(CU376*($AP$3+#REF!),-1),""))</f>
        <v/>
      </c>
      <c r="CW376" s="517"/>
      <c r="CX376" s="503" t="str">
        <f>IF($G376="","",IF(AND($G376&gt;=30,$AT$3&lt;=CW$7),ROUND(CW376*($AP$3+#REF!),-1),""))</f>
        <v/>
      </c>
      <c r="CY376" s="517"/>
      <c r="CZ376" s="503" t="str">
        <f>IF($G376="","",IF(AND($G376&gt;=30,$AT$3&lt;=CY$7),ROUND(CY376*($AP$3+#REF!),-1),""))</f>
        <v/>
      </c>
      <c r="DA376" s="517"/>
      <c r="DB376" s="503" t="str">
        <f>IF($G376="","",IF(AND($G376&gt;=30,$AT$3&lt;=DA$7),ROUND(DA376*($AP$3+#REF!),-1),""))</f>
        <v/>
      </c>
      <c r="DC376" s="517"/>
      <c r="DD376" s="503" t="str">
        <f>IF($G376="","",IF(AND($G376&gt;=30,$AT$3&lt;=DC$7),ROUND(DC376*($AP$3+#REF!),-1),""))</f>
        <v/>
      </c>
      <c r="DE376" s="517"/>
      <c r="DF376" s="503" t="str">
        <f>IF($G376="","",IF(AND($G376&gt;=30,$AT$3&lt;=DE$7),ROUND(DE376*($AP$3+#REF!),-1),""))</f>
        <v/>
      </c>
      <c r="DG376" s="517"/>
      <c r="DH376" s="503" t="str">
        <f>IF($G376="","",IF(AND($G376&gt;=30,$AT$3&lt;=DG$7),ROUND(DG376*($AP$3+#REF!),-1),""))</f>
        <v/>
      </c>
      <c r="DI376" s="517"/>
      <c r="DJ376" s="503" t="str">
        <f>IF($G376="","",IF(AND($G376&gt;=30,$AT$3&lt;=DI$7),ROUND(DI376*($AP$3+#REF!),-1),""))</f>
        <v/>
      </c>
      <c r="DK376" s="517"/>
      <c r="DL376" s="503" t="str">
        <f>IF($G376="","",IF(AND($G376&gt;=30,$AT$3&lt;=DK$7),ROUND(DK376*($AP$3+#REF!),-1),""))</f>
        <v/>
      </c>
      <c r="DM376" s="517"/>
      <c r="DN376" s="503" t="str">
        <f>IF($G376="","",IF(AND($G376&gt;=30,$AT$3&lt;=DM$7),ROUND(DM376*($AP$3+#REF!),-1),""))</f>
        <v/>
      </c>
      <c r="DO376" s="517"/>
      <c r="DP376" s="503" t="str">
        <f>IF($G376="","",IF(AND($G376&gt;=30,$AT$3&lt;=DO$7),ROUND(DO376*($AP$3+#REF!),-1),""))</f>
        <v/>
      </c>
      <c r="DQ376" s="517"/>
      <c r="DR376" s="503" t="str">
        <f>IF($G376="","",IF(AND($G376&gt;=30,$AT$3&lt;=DQ$7),ROUND(DQ376*($AP$3+#REF!),-1),""))</f>
        <v/>
      </c>
      <c r="DS376" s="517"/>
      <c r="DT376" s="503" t="str">
        <f>IF($G376="","",IF(AND($G376&gt;=30,$AT$3&lt;=DS$7),ROUND(DS376*($AP$3+#REF!),-1),""))</f>
        <v/>
      </c>
      <c r="DU376" s="517"/>
      <c r="DV376" s="503" t="str">
        <f>IF($G376="","",IF(AND($G376&gt;=30,$AT$3&lt;=DU$7),ROUND(DU376*($AP$3+#REF!),-1),""))</f>
        <v/>
      </c>
      <c r="DW376" s="517"/>
      <c r="DX376" s="503" t="str">
        <f>IF($G376="","",IF(AND($G376&gt;=30,$AT$3&lt;=DW$7),ROUND(DW376*($AP$3+#REF!),-1),""))</f>
        <v/>
      </c>
      <c r="DY376" s="517"/>
      <c r="DZ376" s="503" t="str">
        <f>IF($G376="","",IF(AND($G376&gt;=30,$AT$3&lt;=DY$7),ROUND(DY376*($AP$3+#REF!),-1),""))</f>
        <v/>
      </c>
      <c r="EA376" s="517"/>
      <c r="EB376" s="503" t="str">
        <f>IF($G376="","",IF(AND($G376&gt;=30,$AT$3&lt;=EA$7),ROUND(EA376*($AP$3+#REF!),-1),""))</f>
        <v/>
      </c>
      <c r="EC376" s="504" t="s">
        <v>621</v>
      </c>
      <c r="ED376" s="1124"/>
      <c r="EE376" s="325">
        <v>8</v>
      </c>
    </row>
    <row r="377" spans="1:135" ht="9.75" customHeight="1">
      <c r="A377" s="321" t="str">
        <f t="shared" si="82"/>
        <v/>
      </c>
      <c r="B377" s="567">
        <f>(ii!$D$13*12+V377)+1</f>
        <v>271</v>
      </c>
      <c r="C377" s="337">
        <f t="shared" si="86"/>
        <v>53600</v>
      </c>
      <c r="D377" s="484">
        <f t="shared" si="89"/>
        <v>2046</v>
      </c>
      <c r="E377" s="484">
        <f t="shared" si="87"/>
        <v>0.75</v>
      </c>
      <c r="F377" s="484">
        <f t="shared" si="90"/>
        <v>2046.75</v>
      </c>
      <c r="G377" s="485" t="str">
        <f>IF(OR(C377&lt;$I$2,C377&gt;$J$3),"",(ii!$D$13*12+V377+1)/12)</f>
        <v/>
      </c>
      <c r="H377" s="486"/>
      <c r="I377" s="486"/>
      <c r="J377" s="487"/>
      <c r="K377" s="488"/>
      <c r="L377" s="548"/>
      <c r="M377" s="489" t="str">
        <f t="shared" si="91"/>
        <v/>
      </c>
      <c r="N377" s="490" t="s">
        <v>621</v>
      </c>
      <c r="O377" s="490" t="str">
        <f t="shared" si="84"/>
        <v/>
      </c>
      <c r="P377" s="491"/>
      <c r="Q377" s="491"/>
      <c r="R377" s="491" t="str">
        <f t="shared" si="85"/>
        <v/>
      </c>
      <c r="S377" s="528" t="str">
        <f t="shared" si="83"/>
        <v/>
      </c>
      <c r="T377" s="528" t="str">
        <f t="shared" ref="T377:T440" si="95">IF(OR(S377="",S376=""),"",S377-S376)</f>
        <v/>
      </c>
      <c r="U377" s="493" t="str">
        <f>IF(H377="","",#REF!*12+#REF!+#REF!*12+#REF!)</f>
        <v/>
      </c>
      <c r="V377" s="338">
        <f>IF(ii!$J$3&gt;gg!C377,"",IF(AND((YEAR(C377)=YEAR($I$2)),MONTH(C377)=MONTH($I$2)),ii!$B$14*12+ii!$C$14+ii!$B$15*12+ii!$C$15-1,V376+1))</f>
        <v>270</v>
      </c>
      <c r="W377" s="339">
        <f t="shared" si="88"/>
        <v>22.5</v>
      </c>
      <c r="X377" s="494" t="s">
        <v>621</v>
      </c>
      <c r="Y377" s="495" t="s">
        <v>621</v>
      </c>
      <c r="Z377" s="496"/>
      <c r="AA377" s="497"/>
      <c r="AB377" s="498" t="e">
        <f t="shared" si="94"/>
        <v>#VALUE!</v>
      </c>
      <c r="AC377" s="484" t="str">
        <f t="shared" si="92"/>
        <v/>
      </c>
      <c r="AD377" s="495" t="str">
        <f t="shared" si="93"/>
        <v/>
      </c>
      <c r="AE377" s="499" t="s">
        <v>621</v>
      </c>
      <c r="AF377" s="500" t="s">
        <v>621</v>
      </c>
      <c r="AG377" s="556" t="s">
        <v>621</v>
      </c>
      <c r="AH377" s="503" t="str">
        <f>IF($G377="","",IF(AND($G377&gt;=30,$AT$3&lt;=AG$7),ROUND(AG377*($AP$3+#REF!),-1),""))</f>
        <v/>
      </c>
      <c r="AI377" s="506" t="s">
        <v>621</v>
      </c>
      <c r="AJ377" s="503" t="str">
        <f>IF($G377="","",IF(AND($G377&gt;=30,$AT$3&lt;=AI$7),ROUND(AI377*($AP$3+#REF!),-1),""))</f>
        <v/>
      </c>
      <c r="AK377" s="506" t="s">
        <v>621</v>
      </c>
      <c r="AL377" s="503" t="str">
        <f>IF($G377="","",IF(AND($G377&gt;=30,$AT$3&lt;=AK$7),ROUND(AK377*($AP$3+#REF!),-1),""))</f>
        <v/>
      </c>
      <c r="AM377" s="506" t="s">
        <v>621</v>
      </c>
      <c r="AN377" s="503" t="str">
        <f>IF($G377="","",IF(AND($G377&gt;=30,$AT$3&lt;=AM$7),ROUND(AM377*($AP$3+#REF!),-1),""))</f>
        <v/>
      </c>
      <c r="AO377" s="503" t="e">
        <v>#REF!</v>
      </c>
      <c r="AP377" s="503" t="str">
        <f>IF($G377="","",IF(AND($G377&gt;=30,$AT$3&lt;=AO$7),ROUND(AO377*($AP$3+#REF!),-1),""))</f>
        <v/>
      </c>
      <c r="AQ377" s="503" t="s">
        <v>621</v>
      </c>
      <c r="AR377" s="503" t="str">
        <f>IF($G377="","",IF(AND($G377&gt;=30,$AT$3&lt;=AQ$7),ROUND(AQ377*($AP$3+#REF!),-1),""))</f>
        <v/>
      </c>
      <c r="AS377" s="503" t="s">
        <v>621</v>
      </c>
      <c r="AT377" s="503" t="str">
        <f>IF($G377="","",IF(AND($G377&gt;=30,$AT$3&lt;=AS$7),ROUND(AS377*($AP$3+#REF!),-1),""))</f>
        <v/>
      </c>
      <c r="AU377" s="503" t="s">
        <v>621</v>
      </c>
      <c r="AV377" s="503" t="str">
        <f>IF($G377="","",IF(AND($G377&gt;=30,$AT$3&lt;=AU$7),ROUND(AU377*($AP$3+#REF!),-1),""))</f>
        <v/>
      </c>
      <c r="AW377" s="503" t="s">
        <v>621</v>
      </c>
      <c r="AX377" s="503" t="str">
        <f>IF($G377="","",IF(AND($G377&gt;=30,$AT$3&lt;=AW$7),ROUND(AW377*($AP$3+#REF!),-1),""))</f>
        <v/>
      </c>
      <c r="AY377" s="503" t="s">
        <v>621</v>
      </c>
      <c r="AZ377" s="503" t="str">
        <f>IF($G377="","",IF(AND($G377&gt;=30,$AT$3&lt;=AY$7),ROUND(AY377*($AP$3+#REF!),-1),""))</f>
        <v/>
      </c>
      <c r="BA377" s="503" t="s">
        <v>621</v>
      </c>
      <c r="BB377" s="503" t="str">
        <f>IF($G377="","",IF(AND($G377&gt;=30,$AT$3&lt;=BA$7),ROUND(BA377*($AP$3+#REF!),-1),""))</f>
        <v/>
      </c>
      <c r="BC377" s="503" t="s">
        <v>621</v>
      </c>
      <c r="BD377" s="503" t="str">
        <f>IF($G377="","",IF(AND($G377&gt;=30,$AT$3&lt;=BC$7),ROUND(BC377*($AP$3+#REF!),-1),""))</f>
        <v/>
      </c>
      <c r="BE377" s="503" t="s">
        <v>621</v>
      </c>
      <c r="BF377" s="503" t="str">
        <f>IF($G377="","",IF(AND($G377&gt;=30,$AT$3&lt;=BE$7),ROUND(BE377*($AP$3+#REF!),-1),""))</f>
        <v/>
      </c>
      <c r="BG377" s="503" t="s">
        <v>621</v>
      </c>
      <c r="BH377" s="503" t="str">
        <f>IF($G377="","",IF(AND($G377&gt;=30,$AT$3&lt;=BG$7),ROUND(BG377*($AP$3+#REF!),-1),""))</f>
        <v/>
      </c>
      <c r="BI377" s="503" t="s">
        <v>621</v>
      </c>
      <c r="BJ377" s="503" t="str">
        <f>IF($G377="","",IF(AND($G377&gt;=30,$AT$3&lt;=BI$7),ROUND(BI377*($AP$3+#REF!),-1),""))</f>
        <v/>
      </c>
      <c r="BK377" s="503" t="s">
        <v>621</v>
      </c>
      <c r="BL377" s="503" t="str">
        <f>IF($G377="","",IF(AND($G377&gt;=30,$AT$3&lt;=BK$7),ROUND(BK377*($AP$3+#REF!),-1),""))</f>
        <v/>
      </c>
      <c r="BM377" s="503" t="s">
        <v>621</v>
      </c>
      <c r="BN377" s="503" t="str">
        <f>IF($G377="","",IF(AND($G377&gt;=30,$AT$3&lt;=BM$7),ROUND(BM377*($AP$3+#REF!),-1),""))</f>
        <v/>
      </c>
      <c r="BO377" s="503" t="s">
        <v>621</v>
      </c>
      <c r="BP377" s="503" t="str">
        <f>IF($G377="","",IF(AND($G377&gt;=30,$AT$3&lt;=BO$7),ROUND(BO377*($AP$3+#REF!),-1),""))</f>
        <v/>
      </c>
      <c r="BQ377" s="503" t="s">
        <v>621</v>
      </c>
      <c r="BR377" s="503" t="str">
        <f>IF($G377="","",IF(AND($G377&gt;=30,$AT$3&lt;=BQ$7),ROUND(BQ377*($AP$3+#REF!),-1),""))</f>
        <v/>
      </c>
      <c r="BS377" s="503" t="s">
        <v>621</v>
      </c>
      <c r="BT377" s="503" t="str">
        <f>IF($G377="","",IF(AND($G377&gt;=30,$AT$3&lt;=BS$7),ROUND(BS377*($AP$3+#REF!),-1),""))</f>
        <v/>
      </c>
      <c r="BU377" s="503" t="s">
        <v>621</v>
      </c>
      <c r="BV377" s="503" t="str">
        <f>IF($G377="","",IF(AND($G377&gt;=30,$AT$3&lt;=BU$7),ROUND(BU377*($AP$3+#REF!),-1),""))</f>
        <v/>
      </c>
      <c r="BW377" s="503" t="s">
        <v>621</v>
      </c>
      <c r="BX377" s="503" t="str">
        <f>IF($G377="","",IF(AND($G377&gt;=30,$AT$3&lt;=BW$7),ROUND(BW377*($AP$3+#REF!),-1),""))</f>
        <v/>
      </c>
      <c r="BY377" s="503" t="s">
        <v>621</v>
      </c>
      <c r="BZ377" s="503" t="str">
        <f>IF($G377="","",IF(AND($G377&gt;=30,$AT$3&lt;=BY$7),ROUND(BY377*($AP$3+#REF!),-1),""))</f>
        <v/>
      </c>
      <c r="CA377" s="503" t="s">
        <v>621</v>
      </c>
      <c r="CB377" s="503" t="str">
        <f>IF($G377="","",IF(AND($G377&gt;=30,$AT$3&lt;=CA$7),ROUND(CA377*($AP$3+#REF!),-1),""))</f>
        <v/>
      </c>
      <c r="CC377" s="503" t="s">
        <v>621</v>
      </c>
      <c r="CD377" s="503" t="str">
        <f>IF($G377="","",IF(AND($G377&gt;=30,$AT$3&lt;=CC$7),ROUND(CC377*($AP$3+#REF!),-1),""))</f>
        <v/>
      </c>
      <c r="CE377" s="503" t="s">
        <v>621</v>
      </c>
      <c r="CF377" s="503" t="str">
        <f>IF($G377="","",IF(AND($G377&gt;=30,$AT$3&lt;=CE$7),ROUND(CE377*($AP$3+#REF!),-1),""))</f>
        <v/>
      </c>
      <c r="CG377" s="503" t="s">
        <v>621</v>
      </c>
      <c r="CH377" s="503" t="str">
        <f>IF($G377="","",IF(AND($G377&gt;=30,$AT$3&lt;=CG$7),ROUND(CG377*($AP$3+#REF!),-1),""))</f>
        <v/>
      </c>
      <c r="CI377" s="503" t="s">
        <v>621</v>
      </c>
      <c r="CJ377" s="503" t="str">
        <f>IF($G377="","",IF(AND($G377&gt;=30,$AT$3&lt;=CI$7),ROUND(CI377*($AP$3+#REF!),-1),""))</f>
        <v/>
      </c>
      <c r="CK377" s="503" t="s">
        <v>621</v>
      </c>
      <c r="CL377" s="503" t="str">
        <f>IF($G377="","",IF(AND($G377&gt;=30,$AT$3&lt;=CK$7),ROUND(CK377*($AP$3+#REF!),-1),""))</f>
        <v/>
      </c>
      <c r="CM377" s="503" t="s">
        <v>621</v>
      </c>
      <c r="CN377" s="503" t="str">
        <f>IF($G377="","",IF(AND($G377&gt;=30,$AT$3&lt;=CM$7),ROUND(CM377*($AP$3+#REF!),-1),""))</f>
        <v/>
      </c>
      <c r="CO377" s="517" t="e">
        <v>#REF!</v>
      </c>
      <c r="CP377" s="503" t="str">
        <f>IF($G377="","",IF(AND($G377&gt;=30,$AT$3&lt;=CO$7),ROUND(CO377*($AP$3+#REF!),-1),""))</f>
        <v/>
      </c>
      <c r="CQ377" s="517"/>
      <c r="CR377" s="503" t="str">
        <f>IF($G377="","",IF(AND($G377&gt;=30,$AT$3&lt;=CQ$7),ROUND(CQ377*($AP$3+#REF!),-1),""))</f>
        <v/>
      </c>
      <c r="CS377" s="517"/>
      <c r="CT377" s="503" t="str">
        <f>IF($G377="","",IF(AND($G377&gt;=30,$AT$3&lt;=CS$7),ROUND(CS377*($AP$3+#REF!),-1),""))</f>
        <v/>
      </c>
      <c r="CU377" s="517"/>
      <c r="CV377" s="503" t="str">
        <f>IF($G377="","",IF(AND($G377&gt;=30,$AT$3&lt;=CU$7),ROUND(CU377*($AP$3+#REF!),-1),""))</f>
        <v/>
      </c>
      <c r="CW377" s="517"/>
      <c r="CX377" s="503" t="str">
        <f>IF($G377="","",IF(AND($G377&gt;=30,$AT$3&lt;=CW$7),ROUND(CW377*($AP$3+#REF!),-1),""))</f>
        <v/>
      </c>
      <c r="CY377" s="517"/>
      <c r="CZ377" s="503" t="str">
        <f>IF($G377="","",IF(AND($G377&gt;=30,$AT$3&lt;=CY$7),ROUND(CY377*($AP$3+#REF!),-1),""))</f>
        <v/>
      </c>
      <c r="DA377" s="517"/>
      <c r="DB377" s="503" t="str">
        <f>IF($G377="","",IF(AND($G377&gt;=30,$AT$3&lt;=DA$7),ROUND(DA377*($AP$3+#REF!),-1),""))</f>
        <v/>
      </c>
      <c r="DC377" s="517"/>
      <c r="DD377" s="503" t="str">
        <f>IF($G377="","",IF(AND($G377&gt;=30,$AT$3&lt;=DC$7),ROUND(DC377*($AP$3+#REF!),-1),""))</f>
        <v/>
      </c>
      <c r="DE377" s="517"/>
      <c r="DF377" s="503" t="str">
        <f>IF($G377="","",IF(AND($G377&gt;=30,$AT$3&lt;=DE$7),ROUND(DE377*($AP$3+#REF!),-1),""))</f>
        <v/>
      </c>
      <c r="DG377" s="517"/>
      <c r="DH377" s="503" t="str">
        <f>IF($G377="","",IF(AND($G377&gt;=30,$AT$3&lt;=DG$7),ROUND(DG377*($AP$3+#REF!),-1),""))</f>
        <v/>
      </c>
      <c r="DI377" s="517"/>
      <c r="DJ377" s="503" t="str">
        <f>IF($G377="","",IF(AND($G377&gt;=30,$AT$3&lt;=DI$7),ROUND(DI377*($AP$3+#REF!),-1),""))</f>
        <v/>
      </c>
      <c r="DK377" s="517"/>
      <c r="DL377" s="503" t="str">
        <f>IF($G377="","",IF(AND($G377&gt;=30,$AT$3&lt;=DK$7),ROUND(DK377*($AP$3+#REF!),-1),""))</f>
        <v/>
      </c>
      <c r="DM377" s="517"/>
      <c r="DN377" s="503" t="str">
        <f>IF($G377="","",IF(AND($G377&gt;=30,$AT$3&lt;=DM$7),ROUND(DM377*($AP$3+#REF!),-1),""))</f>
        <v/>
      </c>
      <c r="DO377" s="517"/>
      <c r="DP377" s="503" t="str">
        <f>IF($G377="","",IF(AND($G377&gt;=30,$AT$3&lt;=DO$7),ROUND(DO377*($AP$3+#REF!),-1),""))</f>
        <v/>
      </c>
      <c r="DQ377" s="517"/>
      <c r="DR377" s="503" t="str">
        <f>IF($G377="","",IF(AND($G377&gt;=30,$AT$3&lt;=DQ$7),ROUND(DQ377*($AP$3+#REF!),-1),""))</f>
        <v/>
      </c>
      <c r="DS377" s="517"/>
      <c r="DT377" s="503" t="str">
        <f>IF($G377="","",IF(AND($G377&gt;=30,$AT$3&lt;=DS$7),ROUND(DS377*($AP$3+#REF!),-1),""))</f>
        <v/>
      </c>
      <c r="DU377" s="517"/>
      <c r="DV377" s="503" t="str">
        <f>IF($G377="","",IF(AND($G377&gt;=30,$AT$3&lt;=DU$7),ROUND(DU377*($AP$3+#REF!),-1),""))</f>
        <v/>
      </c>
      <c r="DW377" s="517"/>
      <c r="DX377" s="503" t="str">
        <f>IF($G377="","",IF(AND($G377&gt;=30,$AT$3&lt;=DW$7),ROUND(DW377*($AP$3+#REF!),-1),""))</f>
        <v/>
      </c>
      <c r="DY377" s="517"/>
      <c r="DZ377" s="503" t="str">
        <f>IF($G377="","",IF(AND($G377&gt;=30,$AT$3&lt;=DY$7),ROUND(DY377*($AP$3+#REF!),-1),""))</f>
        <v/>
      </c>
      <c r="EA377" s="517"/>
      <c r="EB377" s="503" t="str">
        <f>IF($G377="","",IF(AND($G377&gt;=30,$AT$3&lt;=EA$7),ROUND(EA377*($AP$3+#REF!),-1),""))</f>
        <v/>
      </c>
      <c r="EC377" s="504" t="s">
        <v>621</v>
      </c>
      <c r="ED377" s="1124"/>
      <c r="EE377" s="325">
        <v>9</v>
      </c>
    </row>
    <row r="378" spans="1:135" ht="9.75" customHeight="1">
      <c r="A378" s="321" t="str">
        <f t="shared" ref="A378:A441" si="96">G378</f>
        <v/>
      </c>
      <c r="B378" s="567">
        <f>(ii!$D$13*12+V378)+1</f>
        <v>272</v>
      </c>
      <c r="C378" s="337">
        <f t="shared" si="86"/>
        <v>53631</v>
      </c>
      <c r="D378" s="484">
        <f t="shared" si="89"/>
        <v>2046</v>
      </c>
      <c r="E378" s="484">
        <f t="shared" si="87"/>
        <v>0.83333333333333337</v>
      </c>
      <c r="F378" s="484">
        <f t="shared" si="90"/>
        <v>2046.8333333333333</v>
      </c>
      <c r="G378" s="485" t="str">
        <f>IF(OR(C378&lt;$I$2,C378&gt;$J$3),"",(ii!$D$13*12+V378+1)/12)</f>
        <v/>
      </c>
      <c r="H378" s="486"/>
      <c r="I378" s="486"/>
      <c r="J378" s="487"/>
      <c r="K378" s="488"/>
      <c r="L378" s="548"/>
      <c r="M378" s="489" t="str">
        <f t="shared" si="91"/>
        <v/>
      </c>
      <c r="N378" s="490" t="s">
        <v>621</v>
      </c>
      <c r="O378" s="490" t="str">
        <f t="shared" si="84"/>
        <v/>
      </c>
      <c r="P378" s="491"/>
      <c r="Q378" s="491"/>
      <c r="R378" s="491" t="str">
        <f t="shared" si="85"/>
        <v/>
      </c>
      <c r="S378" s="528" t="str">
        <f t="shared" si="83"/>
        <v/>
      </c>
      <c r="T378" s="528" t="str">
        <f t="shared" si="95"/>
        <v/>
      </c>
      <c r="U378" s="493" t="str">
        <f>IF(H378="","",#REF!*12+#REF!+#REF!*12+#REF!)</f>
        <v/>
      </c>
      <c r="V378" s="338">
        <f>IF(ii!$J$3&gt;gg!C378,"",IF(AND((YEAR(C378)=YEAR($I$2)),MONTH(C378)=MONTH($I$2)),ii!$B$14*12+ii!$C$14+ii!$B$15*12+ii!$C$15-1,V377+1))</f>
        <v>271</v>
      </c>
      <c r="W378" s="339">
        <f t="shared" si="88"/>
        <v>22.583333333333332</v>
      </c>
      <c r="X378" s="494" t="s">
        <v>621</v>
      </c>
      <c r="Y378" s="495" t="s">
        <v>621</v>
      </c>
      <c r="Z378" s="496"/>
      <c r="AA378" s="497"/>
      <c r="AB378" s="498" t="e">
        <f t="shared" si="94"/>
        <v>#VALUE!</v>
      </c>
      <c r="AC378" s="484" t="str">
        <f t="shared" si="92"/>
        <v/>
      </c>
      <c r="AD378" s="495" t="str">
        <f t="shared" si="93"/>
        <v/>
      </c>
      <c r="AE378" s="499" t="s">
        <v>621</v>
      </c>
      <c r="AF378" s="500" t="s">
        <v>621</v>
      </c>
      <c r="AG378" s="556" t="s">
        <v>621</v>
      </c>
      <c r="AH378" s="503" t="str">
        <f>IF($G378="","",IF(AND($G378&gt;=30,$AT$3&lt;=AG$7),ROUND(AG378*($AP$3+#REF!),-1),""))</f>
        <v/>
      </c>
      <c r="AI378" s="506" t="s">
        <v>621</v>
      </c>
      <c r="AJ378" s="503" t="str">
        <f>IF($G378="","",IF(AND($G378&gt;=30,$AT$3&lt;=AI$7),ROUND(AI378*($AP$3+#REF!),-1),""))</f>
        <v/>
      </c>
      <c r="AK378" s="506" t="s">
        <v>621</v>
      </c>
      <c r="AL378" s="503" t="str">
        <f>IF($G378="","",IF(AND($G378&gt;=30,$AT$3&lt;=AK$7),ROUND(AK378*($AP$3+#REF!),-1),""))</f>
        <v/>
      </c>
      <c r="AM378" s="506" t="s">
        <v>621</v>
      </c>
      <c r="AN378" s="503" t="str">
        <f>IF($G378="","",IF(AND($G378&gt;=30,$AT$3&lt;=AM$7),ROUND(AM378*($AP$3+#REF!),-1),""))</f>
        <v/>
      </c>
      <c r="AO378" s="503" t="e">
        <v>#REF!</v>
      </c>
      <c r="AP378" s="503" t="str">
        <f>IF($G378="","",IF(AND($G378&gt;=30,$AT$3&lt;=AO$7),ROUND(AO378*($AP$3+#REF!),-1),""))</f>
        <v/>
      </c>
      <c r="AQ378" s="503" t="s">
        <v>621</v>
      </c>
      <c r="AR378" s="503" t="str">
        <f>IF($G378="","",IF(AND($G378&gt;=30,$AT$3&lt;=AQ$7),ROUND(AQ378*($AP$3+#REF!),-1),""))</f>
        <v/>
      </c>
      <c r="AS378" s="503" t="s">
        <v>621</v>
      </c>
      <c r="AT378" s="503" t="str">
        <f>IF($G378="","",IF(AND($G378&gt;=30,$AT$3&lt;=AS$7),ROUND(AS378*($AP$3+#REF!),-1),""))</f>
        <v/>
      </c>
      <c r="AU378" s="503" t="s">
        <v>621</v>
      </c>
      <c r="AV378" s="503" t="str">
        <f>IF($G378="","",IF(AND($G378&gt;=30,$AT$3&lt;=AU$7),ROUND(AU378*($AP$3+#REF!),-1),""))</f>
        <v/>
      </c>
      <c r="AW378" s="503" t="s">
        <v>621</v>
      </c>
      <c r="AX378" s="503" t="str">
        <f>IF($G378="","",IF(AND($G378&gt;=30,$AT$3&lt;=AW$7),ROUND(AW378*($AP$3+#REF!),-1),""))</f>
        <v/>
      </c>
      <c r="AY378" s="503" t="s">
        <v>621</v>
      </c>
      <c r="AZ378" s="503" t="str">
        <f>IF($G378="","",IF(AND($G378&gt;=30,$AT$3&lt;=AY$7),ROUND(AY378*($AP$3+#REF!),-1),""))</f>
        <v/>
      </c>
      <c r="BA378" s="503" t="s">
        <v>621</v>
      </c>
      <c r="BB378" s="503" t="str">
        <f>IF($G378="","",IF(AND($G378&gt;=30,$AT$3&lt;=BA$7),ROUND(BA378*($AP$3+#REF!),-1),""))</f>
        <v/>
      </c>
      <c r="BC378" s="503" t="s">
        <v>621</v>
      </c>
      <c r="BD378" s="503" t="str">
        <f>IF($G378="","",IF(AND($G378&gt;=30,$AT$3&lt;=BC$7),ROUND(BC378*($AP$3+#REF!),-1),""))</f>
        <v/>
      </c>
      <c r="BE378" s="503" t="s">
        <v>621</v>
      </c>
      <c r="BF378" s="503" t="str">
        <f>IF($G378="","",IF(AND($G378&gt;=30,$AT$3&lt;=BE$7),ROUND(BE378*($AP$3+#REF!),-1),""))</f>
        <v/>
      </c>
      <c r="BG378" s="503" t="s">
        <v>621</v>
      </c>
      <c r="BH378" s="503" t="str">
        <f>IF($G378="","",IF(AND($G378&gt;=30,$AT$3&lt;=BG$7),ROUND(BG378*($AP$3+#REF!),-1),""))</f>
        <v/>
      </c>
      <c r="BI378" s="503" t="s">
        <v>621</v>
      </c>
      <c r="BJ378" s="503" t="str">
        <f>IF($G378="","",IF(AND($G378&gt;=30,$AT$3&lt;=BI$7),ROUND(BI378*($AP$3+#REF!),-1),""))</f>
        <v/>
      </c>
      <c r="BK378" s="503" t="s">
        <v>621</v>
      </c>
      <c r="BL378" s="503" t="str">
        <f>IF($G378="","",IF(AND($G378&gt;=30,$AT$3&lt;=BK$7),ROUND(BK378*($AP$3+#REF!),-1),""))</f>
        <v/>
      </c>
      <c r="BM378" s="503" t="s">
        <v>621</v>
      </c>
      <c r="BN378" s="503" t="str">
        <f>IF($G378="","",IF(AND($G378&gt;=30,$AT$3&lt;=BM$7),ROUND(BM378*($AP$3+#REF!),-1),""))</f>
        <v/>
      </c>
      <c r="BO378" s="503" t="s">
        <v>621</v>
      </c>
      <c r="BP378" s="503" t="str">
        <f>IF($G378="","",IF(AND($G378&gt;=30,$AT$3&lt;=BO$7),ROUND(BO378*($AP$3+#REF!),-1),""))</f>
        <v/>
      </c>
      <c r="BQ378" s="503" t="s">
        <v>621</v>
      </c>
      <c r="BR378" s="503" t="str">
        <f>IF($G378="","",IF(AND($G378&gt;=30,$AT$3&lt;=BQ$7),ROUND(BQ378*($AP$3+#REF!),-1),""))</f>
        <v/>
      </c>
      <c r="BS378" s="503" t="s">
        <v>621</v>
      </c>
      <c r="BT378" s="503" t="str">
        <f>IF($G378="","",IF(AND($G378&gt;=30,$AT$3&lt;=BS$7),ROUND(BS378*($AP$3+#REF!),-1),""))</f>
        <v/>
      </c>
      <c r="BU378" s="503" t="s">
        <v>621</v>
      </c>
      <c r="BV378" s="503" t="str">
        <f>IF($G378="","",IF(AND($G378&gt;=30,$AT$3&lt;=BU$7),ROUND(BU378*($AP$3+#REF!),-1),""))</f>
        <v/>
      </c>
      <c r="BW378" s="503" t="s">
        <v>621</v>
      </c>
      <c r="BX378" s="503" t="str">
        <f>IF($G378="","",IF(AND($G378&gt;=30,$AT$3&lt;=BW$7),ROUND(BW378*($AP$3+#REF!),-1),""))</f>
        <v/>
      </c>
      <c r="BY378" s="503" t="s">
        <v>621</v>
      </c>
      <c r="BZ378" s="503" t="str">
        <f>IF($G378="","",IF(AND($G378&gt;=30,$AT$3&lt;=BY$7),ROUND(BY378*($AP$3+#REF!),-1),""))</f>
        <v/>
      </c>
      <c r="CA378" s="503" t="s">
        <v>621</v>
      </c>
      <c r="CB378" s="503" t="str">
        <f>IF($G378="","",IF(AND($G378&gt;=30,$AT$3&lt;=CA$7),ROUND(CA378*($AP$3+#REF!),-1),""))</f>
        <v/>
      </c>
      <c r="CC378" s="503" t="s">
        <v>621</v>
      </c>
      <c r="CD378" s="503" t="str">
        <f>IF($G378="","",IF(AND($G378&gt;=30,$AT$3&lt;=CC$7),ROUND(CC378*($AP$3+#REF!),-1),""))</f>
        <v/>
      </c>
      <c r="CE378" s="503" t="s">
        <v>621</v>
      </c>
      <c r="CF378" s="503" t="str">
        <f>IF($G378="","",IF(AND($G378&gt;=30,$AT$3&lt;=CE$7),ROUND(CE378*($AP$3+#REF!),-1),""))</f>
        <v/>
      </c>
      <c r="CG378" s="503" t="s">
        <v>621</v>
      </c>
      <c r="CH378" s="503" t="str">
        <f>IF($G378="","",IF(AND($G378&gt;=30,$AT$3&lt;=CG$7),ROUND(CG378*($AP$3+#REF!),-1),""))</f>
        <v/>
      </c>
      <c r="CI378" s="503" t="s">
        <v>621</v>
      </c>
      <c r="CJ378" s="503" t="str">
        <f>IF($G378="","",IF(AND($G378&gt;=30,$AT$3&lt;=CI$7),ROUND(CI378*($AP$3+#REF!),-1),""))</f>
        <v/>
      </c>
      <c r="CK378" s="503" t="s">
        <v>621</v>
      </c>
      <c r="CL378" s="503" t="str">
        <f>IF($G378="","",IF(AND($G378&gt;=30,$AT$3&lt;=CK$7),ROUND(CK378*($AP$3+#REF!),-1),""))</f>
        <v/>
      </c>
      <c r="CM378" s="503" t="s">
        <v>621</v>
      </c>
      <c r="CN378" s="503" t="str">
        <f>IF($G378="","",IF(AND($G378&gt;=30,$AT$3&lt;=CM$7),ROUND(CM378*($AP$3+#REF!),-1),""))</f>
        <v/>
      </c>
      <c r="CO378" s="517" t="e">
        <v>#REF!</v>
      </c>
      <c r="CP378" s="503" t="str">
        <f>IF($G378="","",IF(AND($G378&gt;=30,$AT$3&lt;=CO$7),ROUND(CO378*($AP$3+#REF!),-1),""))</f>
        <v/>
      </c>
      <c r="CQ378" s="517"/>
      <c r="CR378" s="503" t="str">
        <f>IF($G378="","",IF(AND($G378&gt;=30,$AT$3&lt;=CQ$7),ROUND(CQ378*($AP$3+#REF!),-1),""))</f>
        <v/>
      </c>
      <c r="CS378" s="517"/>
      <c r="CT378" s="503" t="str">
        <f>IF($G378="","",IF(AND($G378&gt;=30,$AT$3&lt;=CS$7),ROUND(CS378*($AP$3+#REF!),-1),""))</f>
        <v/>
      </c>
      <c r="CU378" s="517"/>
      <c r="CV378" s="503" t="str">
        <f>IF($G378="","",IF(AND($G378&gt;=30,$AT$3&lt;=CU$7),ROUND(CU378*($AP$3+#REF!),-1),""))</f>
        <v/>
      </c>
      <c r="CW378" s="517"/>
      <c r="CX378" s="503" t="str">
        <f>IF($G378="","",IF(AND($G378&gt;=30,$AT$3&lt;=CW$7),ROUND(CW378*($AP$3+#REF!),-1),""))</f>
        <v/>
      </c>
      <c r="CY378" s="517"/>
      <c r="CZ378" s="503" t="str">
        <f>IF($G378="","",IF(AND($G378&gt;=30,$AT$3&lt;=CY$7),ROUND(CY378*($AP$3+#REF!),-1),""))</f>
        <v/>
      </c>
      <c r="DA378" s="517"/>
      <c r="DB378" s="503" t="str">
        <f>IF($G378="","",IF(AND($G378&gt;=30,$AT$3&lt;=DA$7),ROUND(DA378*($AP$3+#REF!),-1),""))</f>
        <v/>
      </c>
      <c r="DC378" s="517"/>
      <c r="DD378" s="503" t="str">
        <f>IF($G378="","",IF(AND($G378&gt;=30,$AT$3&lt;=DC$7),ROUND(DC378*($AP$3+#REF!),-1),""))</f>
        <v/>
      </c>
      <c r="DE378" s="517"/>
      <c r="DF378" s="503" t="str">
        <f>IF($G378="","",IF(AND($G378&gt;=30,$AT$3&lt;=DE$7),ROUND(DE378*($AP$3+#REF!),-1),""))</f>
        <v/>
      </c>
      <c r="DG378" s="517"/>
      <c r="DH378" s="503" t="str">
        <f>IF($G378="","",IF(AND($G378&gt;=30,$AT$3&lt;=DG$7),ROUND(DG378*($AP$3+#REF!),-1),""))</f>
        <v/>
      </c>
      <c r="DI378" s="517"/>
      <c r="DJ378" s="503" t="str">
        <f>IF($G378="","",IF(AND($G378&gt;=30,$AT$3&lt;=DI$7),ROUND(DI378*($AP$3+#REF!),-1),""))</f>
        <v/>
      </c>
      <c r="DK378" s="517"/>
      <c r="DL378" s="503" t="str">
        <f>IF($G378="","",IF(AND($G378&gt;=30,$AT$3&lt;=DK$7),ROUND(DK378*($AP$3+#REF!),-1),""))</f>
        <v/>
      </c>
      <c r="DM378" s="517"/>
      <c r="DN378" s="503" t="str">
        <f>IF($G378="","",IF(AND($G378&gt;=30,$AT$3&lt;=DM$7),ROUND(DM378*($AP$3+#REF!),-1),""))</f>
        <v/>
      </c>
      <c r="DO378" s="517"/>
      <c r="DP378" s="503" t="str">
        <f>IF($G378="","",IF(AND($G378&gt;=30,$AT$3&lt;=DO$7),ROUND(DO378*($AP$3+#REF!),-1),""))</f>
        <v/>
      </c>
      <c r="DQ378" s="517"/>
      <c r="DR378" s="503" t="str">
        <f>IF($G378="","",IF(AND($G378&gt;=30,$AT$3&lt;=DQ$7),ROUND(DQ378*($AP$3+#REF!),-1),""))</f>
        <v/>
      </c>
      <c r="DS378" s="517"/>
      <c r="DT378" s="503" t="str">
        <f>IF($G378="","",IF(AND($G378&gt;=30,$AT$3&lt;=DS$7),ROUND(DS378*($AP$3+#REF!),-1),""))</f>
        <v/>
      </c>
      <c r="DU378" s="517"/>
      <c r="DV378" s="503" t="str">
        <f>IF($G378="","",IF(AND($G378&gt;=30,$AT$3&lt;=DU$7),ROUND(DU378*($AP$3+#REF!),-1),""))</f>
        <v/>
      </c>
      <c r="DW378" s="517"/>
      <c r="DX378" s="503" t="str">
        <f>IF($G378="","",IF(AND($G378&gt;=30,$AT$3&lt;=DW$7),ROUND(DW378*($AP$3+#REF!),-1),""))</f>
        <v/>
      </c>
      <c r="DY378" s="517"/>
      <c r="DZ378" s="503" t="str">
        <f>IF($G378="","",IF(AND($G378&gt;=30,$AT$3&lt;=DY$7),ROUND(DY378*($AP$3+#REF!),-1),""))</f>
        <v/>
      </c>
      <c r="EA378" s="517"/>
      <c r="EB378" s="503" t="str">
        <f>IF($G378="","",IF(AND($G378&gt;=30,$AT$3&lt;=EA$7),ROUND(EA378*($AP$3+#REF!),-1),""))</f>
        <v/>
      </c>
      <c r="EC378" s="504" t="s">
        <v>621</v>
      </c>
      <c r="ED378" s="1124"/>
      <c r="EE378" s="325">
        <v>10</v>
      </c>
    </row>
    <row r="379" spans="1:135" ht="9.75" customHeight="1">
      <c r="A379" s="321" t="str">
        <f t="shared" si="96"/>
        <v/>
      </c>
      <c r="B379" s="567">
        <f>(ii!$D$13*12+V379)+1</f>
        <v>273</v>
      </c>
      <c r="C379" s="337">
        <f t="shared" si="86"/>
        <v>53661</v>
      </c>
      <c r="D379" s="484">
        <f t="shared" si="89"/>
        <v>2046</v>
      </c>
      <c r="E379" s="484">
        <f t="shared" si="87"/>
        <v>0.91666666666666663</v>
      </c>
      <c r="F379" s="484">
        <f t="shared" si="90"/>
        <v>2046.9166666666667</v>
      </c>
      <c r="G379" s="485" t="str">
        <f>IF(OR(C379&lt;$I$2,C379&gt;$J$3),"",(ii!$D$13*12+V379+1)/12)</f>
        <v/>
      </c>
      <c r="H379" s="486"/>
      <c r="I379" s="486"/>
      <c r="J379" s="487"/>
      <c r="K379" s="488"/>
      <c r="L379" s="548"/>
      <c r="M379" s="489" t="str">
        <f t="shared" si="91"/>
        <v/>
      </c>
      <c r="N379" s="490" t="s">
        <v>621</v>
      </c>
      <c r="O379" s="490" t="str">
        <f t="shared" si="84"/>
        <v/>
      </c>
      <c r="P379" s="491"/>
      <c r="Q379" s="491"/>
      <c r="R379" s="491" t="str">
        <f t="shared" si="85"/>
        <v/>
      </c>
      <c r="S379" s="528" t="str">
        <f t="shared" si="83"/>
        <v/>
      </c>
      <c r="T379" s="528" t="str">
        <f t="shared" si="95"/>
        <v/>
      </c>
      <c r="U379" s="493" t="str">
        <f>IF(H379="","",#REF!*12+#REF!+#REF!*12+#REF!)</f>
        <v/>
      </c>
      <c r="V379" s="338">
        <f>IF(ii!$J$3&gt;gg!C379,"",IF(AND((YEAR(C379)=YEAR($I$2)),MONTH(C379)=MONTH($I$2)),ii!$B$14*12+ii!$C$14+ii!$B$15*12+ii!$C$15-1,V378+1))</f>
        <v>272</v>
      </c>
      <c r="W379" s="339">
        <f t="shared" si="88"/>
        <v>22.666666666666668</v>
      </c>
      <c r="X379" s="494" t="s">
        <v>621</v>
      </c>
      <c r="Y379" s="495" t="s">
        <v>621</v>
      </c>
      <c r="Z379" s="496"/>
      <c r="AA379" s="497"/>
      <c r="AB379" s="498" t="e">
        <f t="shared" si="94"/>
        <v>#VALUE!</v>
      </c>
      <c r="AC379" s="484" t="str">
        <f t="shared" si="92"/>
        <v/>
      </c>
      <c r="AD379" s="495" t="str">
        <f t="shared" si="93"/>
        <v/>
      </c>
      <c r="AE379" s="499" t="s">
        <v>621</v>
      </c>
      <c r="AF379" s="500" t="s">
        <v>621</v>
      </c>
      <c r="AG379" s="556" t="s">
        <v>621</v>
      </c>
      <c r="AH379" s="503" t="str">
        <f>IF($G379="","",IF(AND($G379&gt;=30,$AT$3&lt;=AG$7),ROUND(AG379*($AP$3+#REF!),-1),""))</f>
        <v/>
      </c>
      <c r="AI379" s="506" t="s">
        <v>621</v>
      </c>
      <c r="AJ379" s="503" t="str">
        <f>IF($G379="","",IF(AND($G379&gt;=30,$AT$3&lt;=AI$7),ROUND(AI379*($AP$3+#REF!),-1),""))</f>
        <v/>
      </c>
      <c r="AK379" s="506" t="s">
        <v>621</v>
      </c>
      <c r="AL379" s="503" t="str">
        <f>IF($G379="","",IF(AND($G379&gt;=30,$AT$3&lt;=AK$7),ROUND(AK379*($AP$3+#REF!),-1),""))</f>
        <v/>
      </c>
      <c r="AM379" s="506" t="s">
        <v>621</v>
      </c>
      <c r="AN379" s="503" t="str">
        <f>IF($G379="","",IF(AND($G379&gt;=30,$AT$3&lt;=AM$7),ROUND(AM379*($AP$3+#REF!),-1),""))</f>
        <v/>
      </c>
      <c r="AO379" s="503" t="e">
        <v>#REF!</v>
      </c>
      <c r="AP379" s="503" t="str">
        <f>IF($G379="","",IF(AND($G379&gt;=30,$AT$3&lt;=AO$7),ROUND(AO379*($AP$3+#REF!),-1),""))</f>
        <v/>
      </c>
      <c r="AQ379" s="503" t="s">
        <v>621</v>
      </c>
      <c r="AR379" s="503" t="str">
        <f>IF($G379="","",IF(AND($G379&gt;=30,$AT$3&lt;=AQ$7),ROUND(AQ379*($AP$3+#REF!),-1),""))</f>
        <v/>
      </c>
      <c r="AS379" s="503" t="s">
        <v>621</v>
      </c>
      <c r="AT379" s="503" t="str">
        <f>IF($G379="","",IF(AND($G379&gt;=30,$AT$3&lt;=AS$7),ROUND(AS379*($AP$3+#REF!),-1),""))</f>
        <v/>
      </c>
      <c r="AU379" s="503" t="s">
        <v>621</v>
      </c>
      <c r="AV379" s="503" t="str">
        <f>IF($G379="","",IF(AND($G379&gt;=30,$AT$3&lt;=AU$7),ROUND(AU379*($AP$3+#REF!),-1),""))</f>
        <v/>
      </c>
      <c r="AW379" s="503" t="s">
        <v>621</v>
      </c>
      <c r="AX379" s="503" t="str">
        <f>IF($G379="","",IF(AND($G379&gt;=30,$AT$3&lt;=AW$7),ROUND(AW379*($AP$3+#REF!),-1),""))</f>
        <v/>
      </c>
      <c r="AY379" s="503" t="s">
        <v>621</v>
      </c>
      <c r="AZ379" s="503" t="str">
        <f>IF($G379="","",IF(AND($G379&gt;=30,$AT$3&lt;=AY$7),ROUND(AY379*($AP$3+#REF!),-1),""))</f>
        <v/>
      </c>
      <c r="BA379" s="503" t="s">
        <v>621</v>
      </c>
      <c r="BB379" s="503" t="str">
        <f>IF($G379="","",IF(AND($G379&gt;=30,$AT$3&lt;=BA$7),ROUND(BA379*($AP$3+#REF!),-1),""))</f>
        <v/>
      </c>
      <c r="BC379" s="503" t="s">
        <v>621</v>
      </c>
      <c r="BD379" s="503" t="str">
        <f>IF($G379="","",IF(AND($G379&gt;=30,$AT$3&lt;=BC$7),ROUND(BC379*($AP$3+#REF!),-1),""))</f>
        <v/>
      </c>
      <c r="BE379" s="503" t="s">
        <v>621</v>
      </c>
      <c r="BF379" s="503" t="str">
        <f>IF($G379="","",IF(AND($G379&gt;=30,$AT$3&lt;=BE$7),ROUND(BE379*($AP$3+#REF!),-1),""))</f>
        <v/>
      </c>
      <c r="BG379" s="503" t="s">
        <v>621</v>
      </c>
      <c r="BH379" s="503" t="str">
        <f>IF($G379="","",IF(AND($G379&gt;=30,$AT$3&lt;=BG$7),ROUND(BG379*($AP$3+#REF!),-1),""))</f>
        <v/>
      </c>
      <c r="BI379" s="503" t="s">
        <v>621</v>
      </c>
      <c r="BJ379" s="503" t="str">
        <f>IF($G379="","",IF(AND($G379&gt;=30,$AT$3&lt;=BI$7),ROUND(BI379*($AP$3+#REF!),-1),""))</f>
        <v/>
      </c>
      <c r="BK379" s="503" t="s">
        <v>621</v>
      </c>
      <c r="BL379" s="503" t="str">
        <f>IF($G379="","",IF(AND($G379&gt;=30,$AT$3&lt;=BK$7),ROUND(BK379*($AP$3+#REF!),-1),""))</f>
        <v/>
      </c>
      <c r="BM379" s="503" t="s">
        <v>621</v>
      </c>
      <c r="BN379" s="503" t="str">
        <f>IF($G379="","",IF(AND($G379&gt;=30,$AT$3&lt;=BM$7),ROUND(BM379*($AP$3+#REF!),-1),""))</f>
        <v/>
      </c>
      <c r="BO379" s="503" t="s">
        <v>621</v>
      </c>
      <c r="BP379" s="503" t="str">
        <f>IF($G379="","",IF(AND($G379&gt;=30,$AT$3&lt;=BO$7),ROUND(BO379*($AP$3+#REF!),-1),""))</f>
        <v/>
      </c>
      <c r="BQ379" s="503" t="s">
        <v>621</v>
      </c>
      <c r="BR379" s="503" t="str">
        <f>IF($G379="","",IF(AND($G379&gt;=30,$AT$3&lt;=BQ$7),ROUND(BQ379*($AP$3+#REF!),-1),""))</f>
        <v/>
      </c>
      <c r="BS379" s="503" t="s">
        <v>621</v>
      </c>
      <c r="BT379" s="503" t="str">
        <f>IF($G379="","",IF(AND($G379&gt;=30,$AT$3&lt;=BS$7),ROUND(BS379*($AP$3+#REF!),-1),""))</f>
        <v/>
      </c>
      <c r="BU379" s="503" t="s">
        <v>621</v>
      </c>
      <c r="BV379" s="503" t="str">
        <f>IF($G379="","",IF(AND($G379&gt;=30,$AT$3&lt;=BU$7),ROUND(BU379*($AP$3+#REF!),-1),""))</f>
        <v/>
      </c>
      <c r="BW379" s="503" t="s">
        <v>621</v>
      </c>
      <c r="BX379" s="503" t="str">
        <f>IF($G379="","",IF(AND($G379&gt;=30,$AT$3&lt;=BW$7),ROUND(BW379*($AP$3+#REF!),-1),""))</f>
        <v/>
      </c>
      <c r="BY379" s="503" t="s">
        <v>621</v>
      </c>
      <c r="BZ379" s="503" t="str">
        <f>IF($G379="","",IF(AND($G379&gt;=30,$AT$3&lt;=BY$7),ROUND(BY379*($AP$3+#REF!),-1),""))</f>
        <v/>
      </c>
      <c r="CA379" s="503" t="s">
        <v>621</v>
      </c>
      <c r="CB379" s="503" t="str">
        <f>IF($G379="","",IF(AND($G379&gt;=30,$AT$3&lt;=CA$7),ROUND(CA379*($AP$3+#REF!),-1),""))</f>
        <v/>
      </c>
      <c r="CC379" s="503" t="s">
        <v>621</v>
      </c>
      <c r="CD379" s="503" t="str">
        <f>IF($G379="","",IF(AND($G379&gt;=30,$AT$3&lt;=CC$7),ROUND(CC379*($AP$3+#REF!),-1),""))</f>
        <v/>
      </c>
      <c r="CE379" s="503" t="s">
        <v>621</v>
      </c>
      <c r="CF379" s="503" t="str">
        <f>IF($G379="","",IF(AND($G379&gt;=30,$AT$3&lt;=CE$7),ROUND(CE379*($AP$3+#REF!),-1),""))</f>
        <v/>
      </c>
      <c r="CG379" s="503" t="s">
        <v>621</v>
      </c>
      <c r="CH379" s="503" t="str">
        <f>IF($G379="","",IF(AND($G379&gt;=30,$AT$3&lt;=CG$7),ROUND(CG379*($AP$3+#REF!),-1),""))</f>
        <v/>
      </c>
      <c r="CI379" s="503" t="s">
        <v>621</v>
      </c>
      <c r="CJ379" s="503" t="str">
        <f>IF($G379="","",IF(AND($G379&gt;=30,$AT$3&lt;=CI$7),ROUND(CI379*($AP$3+#REF!),-1),""))</f>
        <v/>
      </c>
      <c r="CK379" s="503" t="s">
        <v>621</v>
      </c>
      <c r="CL379" s="503" t="str">
        <f>IF($G379="","",IF(AND($G379&gt;=30,$AT$3&lt;=CK$7),ROUND(CK379*($AP$3+#REF!),-1),""))</f>
        <v/>
      </c>
      <c r="CM379" s="503" t="s">
        <v>621</v>
      </c>
      <c r="CN379" s="503" t="str">
        <f>IF($G379="","",IF(AND($G379&gt;=30,$AT$3&lt;=CM$7),ROUND(CM379*($AP$3+#REF!),-1),""))</f>
        <v/>
      </c>
      <c r="CO379" s="517" t="e">
        <v>#REF!</v>
      </c>
      <c r="CP379" s="503" t="str">
        <f>IF($G379="","",IF(AND($G379&gt;=30,$AT$3&lt;=CO$7),ROUND(CO379*($AP$3+#REF!),-1),""))</f>
        <v/>
      </c>
      <c r="CQ379" s="517"/>
      <c r="CR379" s="503" t="str">
        <f>IF($G379="","",IF(AND($G379&gt;=30,$AT$3&lt;=CQ$7),ROUND(CQ379*($AP$3+#REF!),-1),""))</f>
        <v/>
      </c>
      <c r="CS379" s="517"/>
      <c r="CT379" s="503" t="str">
        <f>IF($G379="","",IF(AND($G379&gt;=30,$AT$3&lt;=CS$7),ROUND(CS379*($AP$3+#REF!),-1),""))</f>
        <v/>
      </c>
      <c r="CU379" s="517"/>
      <c r="CV379" s="503" t="str">
        <f>IF($G379="","",IF(AND($G379&gt;=30,$AT$3&lt;=CU$7),ROUND(CU379*($AP$3+#REF!),-1),""))</f>
        <v/>
      </c>
      <c r="CW379" s="517"/>
      <c r="CX379" s="503" t="str">
        <f>IF($G379="","",IF(AND($G379&gt;=30,$AT$3&lt;=CW$7),ROUND(CW379*($AP$3+#REF!),-1),""))</f>
        <v/>
      </c>
      <c r="CY379" s="517"/>
      <c r="CZ379" s="503" t="str">
        <f>IF($G379="","",IF(AND($G379&gt;=30,$AT$3&lt;=CY$7),ROUND(CY379*($AP$3+#REF!),-1),""))</f>
        <v/>
      </c>
      <c r="DA379" s="517"/>
      <c r="DB379" s="503" t="str">
        <f>IF($G379="","",IF(AND($G379&gt;=30,$AT$3&lt;=DA$7),ROUND(DA379*($AP$3+#REF!),-1),""))</f>
        <v/>
      </c>
      <c r="DC379" s="517"/>
      <c r="DD379" s="503" t="str">
        <f>IF($G379="","",IF(AND($G379&gt;=30,$AT$3&lt;=DC$7),ROUND(DC379*($AP$3+#REF!),-1),""))</f>
        <v/>
      </c>
      <c r="DE379" s="517"/>
      <c r="DF379" s="503" t="str">
        <f>IF($G379="","",IF(AND($G379&gt;=30,$AT$3&lt;=DE$7),ROUND(DE379*($AP$3+#REF!),-1),""))</f>
        <v/>
      </c>
      <c r="DG379" s="517"/>
      <c r="DH379" s="503" t="str">
        <f>IF($G379="","",IF(AND($G379&gt;=30,$AT$3&lt;=DG$7),ROUND(DG379*($AP$3+#REF!),-1),""))</f>
        <v/>
      </c>
      <c r="DI379" s="517"/>
      <c r="DJ379" s="503" t="str">
        <f>IF($G379="","",IF(AND($G379&gt;=30,$AT$3&lt;=DI$7),ROUND(DI379*($AP$3+#REF!),-1),""))</f>
        <v/>
      </c>
      <c r="DK379" s="517"/>
      <c r="DL379" s="503" t="str">
        <f>IF($G379="","",IF(AND($G379&gt;=30,$AT$3&lt;=DK$7),ROUND(DK379*($AP$3+#REF!),-1),""))</f>
        <v/>
      </c>
      <c r="DM379" s="517"/>
      <c r="DN379" s="503" t="str">
        <f>IF($G379="","",IF(AND($G379&gt;=30,$AT$3&lt;=DM$7),ROUND(DM379*($AP$3+#REF!),-1),""))</f>
        <v/>
      </c>
      <c r="DO379" s="517"/>
      <c r="DP379" s="503" t="str">
        <f>IF($G379="","",IF(AND($G379&gt;=30,$AT$3&lt;=DO$7),ROUND(DO379*($AP$3+#REF!),-1),""))</f>
        <v/>
      </c>
      <c r="DQ379" s="517"/>
      <c r="DR379" s="503" t="str">
        <f>IF($G379="","",IF(AND($G379&gt;=30,$AT$3&lt;=DQ$7),ROUND(DQ379*($AP$3+#REF!),-1),""))</f>
        <v/>
      </c>
      <c r="DS379" s="517"/>
      <c r="DT379" s="503" t="str">
        <f>IF($G379="","",IF(AND($G379&gt;=30,$AT$3&lt;=DS$7),ROUND(DS379*($AP$3+#REF!),-1),""))</f>
        <v/>
      </c>
      <c r="DU379" s="517"/>
      <c r="DV379" s="503" t="str">
        <f>IF($G379="","",IF(AND($G379&gt;=30,$AT$3&lt;=DU$7),ROUND(DU379*($AP$3+#REF!),-1),""))</f>
        <v/>
      </c>
      <c r="DW379" s="517"/>
      <c r="DX379" s="503" t="str">
        <f>IF($G379="","",IF(AND($G379&gt;=30,$AT$3&lt;=DW$7),ROUND(DW379*($AP$3+#REF!),-1),""))</f>
        <v/>
      </c>
      <c r="DY379" s="517"/>
      <c r="DZ379" s="503" t="str">
        <f>IF($G379="","",IF(AND($G379&gt;=30,$AT$3&lt;=DY$7),ROUND(DY379*($AP$3+#REF!),-1),""))</f>
        <v/>
      </c>
      <c r="EA379" s="517"/>
      <c r="EB379" s="503" t="str">
        <f>IF($G379="","",IF(AND($G379&gt;=30,$AT$3&lt;=EA$7),ROUND(EA379*($AP$3+#REF!),-1),""))</f>
        <v/>
      </c>
      <c r="EC379" s="504" t="s">
        <v>621</v>
      </c>
      <c r="ED379" s="1124"/>
      <c r="EE379" s="325">
        <v>11</v>
      </c>
    </row>
    <row r="380" spans="1:135" ht="9.75" customHeight="1">
      <c r="A380" s="321" t="str">
        <f t="shared" si="96"/>
        <v/>
      </c>
      <c r="B380" s="567">
        <f>(ii!$D$13*12+V380)+1</f>
        <v>274</v>
      </c>
      <c r="C380" s="337">
        <f t="shared" si="86"/>
        <v>53692</v>
      </c>
      <c r="D380" s="484">
        <f t="shared" si="89"/>
        <v>2046</v>
      </c>
      <c r="E380" s="484">
        <f t="shared" si="87"/>
        <v>1</v>
      </c>
      <c r="F380" s="484">
        <f t="shared" si="90"/>
        <v>2047</v>
      </c>
      <c r="G380" s="485" t="str">
        <f>IF(OR(C380&lt;$I$2,C380&gt;$J$3),"",(ii!$D$13*12+V380+1)/12)</f>
        <v/>
      </c>
      <c r="H380" s="486"/>
      <c r="I380" s="486"/>
      <c r="J380" s="487"/>
      <c r="K380" s="488"/>
      <c r="L380" s="548"/>
      <c r="M380" s="489" t="str">
        <f t="shared" si="91"/>
        <v/>
      </c>
      <c r="N380" s="490" t="s">
        <v>621</v>
      </c>
      <c r="O380" s="490" t="str">
        <f t="shared" si="84"/>
        <v/>
      </c>
      <c r="P380" s="491"/>
      <c r="Q380" s="491"/>
      <c r="R380" s="491" t="str">
        <f t="shared" si="85"/>
        <v/>
      </c>
      <c r="S380" s="528" t="str">
        <f t="shared" si="83"/>
        <v/>
      </c>
      <c r="T380" s="528" t="str">
        <f t="shared" si="95"/>
        <v/>
      </c>
      <c r="U380" s="493" t="str">
        <f>IF(H380="","",#REF!*12+#REF!+#REF!*12+#REF!)</f>
        <v/>
      </c>
      <c r="V380" s="338">
        <f>IF(ii!$J$3&gt;gg!C380,"",IF(AND((YEAR(C380)=YEAR($I$2)),MONTH(C380)=MONTH($I$2)),ii!$B$14*12+ii!$C$14+ii!$B$15*12+ii!$C$15-1,V379+1))</f>
        <v>273</v>
      </c>
      <c r="W380" s="339">
        <f t="shared" si="88"/>
        <v>22.75</v>
      </c>
      <c r="X380" s="494" t="s">
        <v>621</v>
      </c>
      <c r="Y380" s="495" t="s">
        <v>621</v>
      </c>
      <c r="Z380" s="496"/>
      <c r="AA380" s="497"/>
      <c r="AB380" s="498" t="e">
        <f t="shared" si="94"/>
        <v>#VALUE!</v>
      </c>
      <c r="AC380" s="484" t="str">
        <f t="shared" si="92"/>
        <v/>
      </c>
      <c r="AD380" s="495" t="str">
        <f t="shared" si="93"/>
        <v/>
      </c>
      <c r="AE380" s="499" t="s">
        <v>621</v>
      </c>
      <c r="AF380" s="500" t="s">
        <v>621</v>
      </c>
      <c r="AG380" s="556" t="s">
        <v>621</v>
      </c>
      <c r="AH380" s="503" t="str">
        <f>IF($G380="","",IF(AND($G380&gt;=30,$AT$3&lt;=AG$7),ROUND(AG380*($AP$3+#REF!),-1),""))</f>
        <v/>
      </c>
      <c r="AI380" s="506" t="s">
        <v>621</v>
      </c>
      <c r="AJ380" s="503" t="str">
        <f>IF($G380="","",IF(AND($G380&gt;=30,$AT$3&lt;=AI$7),ROUND(AI380*($AP$3+#REF!),-1),""))</f>
        <v/>
      </c>
      <c r="AK380" s="506" t="s">
        <v>621</v>
      </c>
      <c r="AL380" s="503" t="str">
        <f>IF($G380="","",IF(AND($G380&gt;=30,$AT$3&lt;=AK$7),ROUND(AK380*($AP$3+#REF!),-1),""))</f>
        <v/>
      </c>
      <c r="AM380" s="506" t="s">
        <v>621</v>
      </c>
      <c r="AN380" s="503" t="str">
        <f>IF($G380="","",IF(AND($G380&gt;=30,$AT$3&lt;=AM$7),ROUND(AM380*($AP$3+#REF!),-1),""))</f>
        <v/>
      </c>
      <c r="AO380" s="503" t="e">
        <v>#REF!</v>
      </c>
      <c r="AP380" s="503" t="str">
        <f>IF($G380="","",IF(AND($G380&gt;=30,$AT$3&lt;=AO$7),ROUND(AO380*($AP$3+#REF!),-1),""))</f>
        <v/>
      </c>
      <c r="AQ380" s="503" t="s">
        <v>621</v>
      </c>
      <c r="AR380" s="503" t="str">
        <f>IF($G380="","",IF(AND($G380&gt;=30,$AT$3&lt;=AQ$7),ROUND(AQ380*($AP$3+#REF!),-1),""))</f>
        <v/>
      </c>
      <c r="AS380" s="503" t="s">
        <v>621</v>
      </c>
      <c r="AT380" s="503" t="str">
        <f>IF($G380="","",IF(AND($G380&gt;=30,$AT$3&lt;=AS$7),ROUND(AS380*($AP$3+#REF!),-1),""))</f>
        <v/>
      </c>
      <c r="AU380" s="503" t="s">
        <v>621</v>
      </c>
      <c r="AV380" s="503" t="str">
        <f>IF($G380="","",IF(AND($G380&gt;=30,$AT$3&lt;=AU$7),ROUND(AU380*($AP$3+#REF!),-1),""))</f>
        <v/>
      </c>
      <c r="AW380" s="503" t="s">
        <v>621</v>
      </c>
      <c r="AX380" s="503" t="str">
        <f>IF($G380="","",IF(AND($G380&gt;=30,$AT$3&lt;=AW$7),ROUND(AW380*($AP$3+#REF!),-1),""))</f>
        <v/>
      </c>
      <c r="AY380" s="503" t="s">
        <v>621</v>
      </c>
      <c r="AZ380" s="503" t="str">
        <f>IF($G380="","",IF(AND($G380&gt;=30,$AT$3&lt;=AY$7),ROUND(AY380*($AP$3+#REF!),-1),""))</f>
        <v/>
      </c>
      <c r="BA380" s="503" t="s">
        <v>621</v>
      </c>
      <c r="BB380" s="503" t="str">
        <f>IF($G380="","",IF(AND($G380&gt;=30,$AT$3&lt;=BA$7),ROUND(BA380*($AP$3+#REF!),-1),""))</f>
        <v/>
      </c>
      <c r="BC380" s="503" t="s">
        <v>621</v>
      </c>
      <c r="BD380" s="503" t="str">
        <f>IF($G380="","",IF(AND($G380&gt;=30,$AT$3&lt;=BC$7),ROUND(BC380*($AP$3+#REF!),-1),""))</f>
        <v/>
      </c>
      <c r="BE380" s="503" t="s">
        <v>621</v>
      </c>
      <c r="BF380" s="503" t="str">
        <f>IF($G380="","",IF(AND($G380&gt;=30,$AT$3&lt;=BE$7),ROUND(BE380*($AP$3+#REF!),-1),""))</f>
        <v/>
      </c>
      <c r="BG380" s="503" t="s">
        <v>621</v>
      </c>
      <c r="BH380" s="503" t="str">
        <f>IF($G380="","",IF(AND($G380&gt;=30,$AT$3&lt;=BG$7),ROUND(BG380*($AP$3+#REF!),-1),""))</f>
        <v/>
      </c>
      <c r="BI380" s="503" t="s">
        <v>621</v>
      </c>
      <c r="BJ380" s="503" t="str">
        <f>IF($G380="","",IF(AND($G380&gt;=30,$AT$3&lt;=BI$7),ROUND(BI380*($AP$3+#REF!),-1),""))</f>
        <v/>
      </c>
      <c r="BK380" s="503" t="s">
        <v>621</v>
      </c>
      <c r="BL380" s="503" t="str">
        <f>IF($G380="","",IF(AND($G380&gt;=30,$AT$3&lt;=BK$7),ROUND(BK380*($AP$3+#REF!),-1),""))</f>
        <v/>
      </c>
      <c r="BM380" s="503" t="s">
        <v>621</v>
      </c>
      <c r="BN380" s="503" t="str">
        <f>IF($G380="","",IF(AND($G380&gt;=30,$AT$3&lt;=BM$7),ROUND(BM380*($AP$3+#REF!),-1),""))</f>
        <v/>
      </c>
      <c r="BO380" s="503" t="s">
        <v>621</v>
      </c>
      <c r="BP380" s="503" t="str">
        <f>IF($G380="","",IF(AND($G380&gt;=30,$AT$3&lt;=BO$7),ROUND(BO380*($AP$3+#REF!),-1),""))</f>
        <v/>
      </c>
      <c r="BQ380" s="503" t="s">
        <v>621</v>
      </c>
      <c r="BR380" s="503" t="str">
        <f>IF($G380="","",IF(AND($G380&gt;=30,$AT$3&lt;=BQ$7),ROUND(BQ380*($AP$3+#REF!),-1),""))</f>
        <v/>
      </c>
      <c r="BS380" s="503" t="s">
        <v>621</v>
      </c>
      <c r="BT380" s="503" t="str">
        <f>IF($G380="","",IF(AND($G380&gt;=30,$AT$3&lt;=BS$7),ROUND(BS380*($AP$3+#REF!),-1),""))</f>
        <v/>
      </c>
      <c r="BU380" s="503" t="s">
        <v>621</v>
      </c>
      <c r="BV380" s="503" t="str">
        <f>IF($G380="","",IF(AND($G380&gt;=30,$AT$3&lt;=BU$7),ROUND(BU380*($AP$3+#REF!),-1),""))</f>
        <v/>
      </c>
      <c r="BW380" s="503" t="s">
        <v>621</v>
      </c>
      <c r="BX380" s="503" t="str">
        <f>IF($G380="","",IF(AND($G380&gt;=30,$AT$3&lt;=BW$7),ROUND(BW380*($AP$3+#REF!),-1),""))</f>
        <v/>
      </c>
      <c r="BY380" s="503" t="s">
        <v>621</v>
      </c>
      <c r="BZ380" s="503" t="str">
        <f>IF($G380="","",IF(AND($G380&gt;=30,$AT$3&lt;=BY$7),ROUND(BY380*($AP$3+#REF!),-1),""))</f>
        <v/>
      </c>
      <c r="CA380" s="503" t="s">
        <v>621</v>
      </c>
      <c r="CB380" s="503" t="str">
        <f>IF($G380="","",IF(AND($G380&gt;=30,$AT$3&lt;=CA$7),ROUND(CA380*($AP$3+#REF!),-1),""))</f>
        <v/>
      </c>
      <c r="CC380" s="503" t="s">
        <v>621</v>
      </c>
      <c r="CD380" s="503" t="str">
        <f>IF($G380="","",IF(AND($G380&gt;=30,$AT$3&lt;=CC$7),ROUND(CC380*($AP$3+#REF!),-1),""))</f>
        <v/>
      </c>
      <c r="CE380" s="503" t="s">
        <v>621</v>
      </c>
      <c r="CF380" s="503" t="str">
        <f>IF($G380="","",IF(AND($G380&gt;=30,$AT$3&lt;=CE$7),ROUND(CE380*($AP$3+#REF!),-1),""))</f>
        <v/>
      </c>
      <c r="CG380" s="503" t="s">
        <v>621</v>
      </c>
      <c r="CH380" s="503" t="str">
        <f>IF($G380="","",IF(AND($G380&gt;=30,$AT$3&lt;=CG$7),ROUND(CG380*($AP$3+#REF!),-1),""))</f>
        <v/>
      </c>
      <c r="CI380" s="503" t="s">
        <v>621</v>
      </c>
      <c r="CJ380" s="503" t="str">
        <f>IF($G380="","",IF(AND($G380&gt;=30,$AT$3&lt;=CI$7),ROUND(CI380*($AP$3+#REF!),-1),""))</f>
        <v/>
      </c>
      <c r="CK380" s="503" t="s">
        <v>621</v>
      </c>
      <c r="CL380" s="503" t="str">
        <f>IF($G380="","",IF(AND($G380&gt;=30,$AT$3&lt;=CK$7),ROUND(CK380*($AP$3+#REF!),-1),""))</f>
        <v/>
      </c>
      <c r="CM380" s="503" t="s">
        <v>621</v>
      </c>
      <c r="CN380" s="503" t="str">
        <f>IF($G380="","",IF(AND($G380&gt;=30,$AT$3&lt;=CM$7),ROUND(CM380*($AP$3+#REF!),-1),""))</f>
        <v/>
      </c>
      <c r="CO380" s="517" t="e">
        <v>#REF!</v>
      </c>
      <c r="CP380" s="503" t="str">
        <f>IF($G380="","",IF(AND($G380&gt;=30,$AT$3&lt;=CO$7),ROUND(CO380*($AP$3+#REF!),-1),""))</f>
        <v/>
      </c>
      <c r="CQ380" s="517"/>
      <c r="CR380" s="503" t="str">
        <f>IF($G380="","",IF(AND($G380&gt;=30,$AT$3&lt;=CQ$7),ROUND(CQ380*($AP$3+#REF!),-1),""))</f>
        <v/>
      </c>
      <c r="CS380" s="517"/>
      <c r="CT380" s="503" t="str">
        <f>IF($G380="","",IF(AND($G380&gt;=30,$AT$3&lt;=CS$7),ROUND(CS380*($AP$3+#REF!),-1),""))</f>
        <v/>
      </c>
      <c r="CU380" s="517"/>
      <c r="CV380" s="503" t="str">
        <f>IF($G380="","",IF(AND($G380&gt;=30,$AT$3&lt;=CU$7),ROUND(CU380*($AP$3+#REF!),-1),""))</f>
        <v/>
      </c>
      <c r="CW380" s="517"/>
      <c r="CX380" s="503" t="str">
        <f>IF($G380="","",IF(AND($G380&gt;=30,$AT$3&lt;=CW$7),ROUND(CW380*($AP$3+#REF!),-1),""))</f>
        <v/>
      </c>
      <c r="CY380" s="517"/>
      <c r="CZ380" s="503" t="str">
        <f>IF($G380="","",IF(AND($G380&gt;=30,$AT$3&lt;=CY$7),ROUND(CY380*($AP$3+#REF!),-1),""))</f>
        <v/>
      </c>
      <c r="DA380" s="517"/>
      <c r="DB380" s="503" t="str">
        <f>IF($G380="","",IF(AND($G380&gt;=30,$AT$3&lt;=DA$7),ROUND(DA380*($AP$3+#REF!),-1),""))</f>
        <v/>
      </c>
      <c r="DC380" s="517"/>
      <c r="DD380" s="503" t="str">
        <f>IF($G380="","",IF(AND($G380&gt;=30,$AT$3&lt;=DC$7),ROUND(DC380*($AP$3+#REF!),-1),""))</f>
        <v/>
      </c>
      <c r="DE380" s="517"/>
      <c r="DF380" s="503" t="str">
        <f>IF($G380="","",IF(AND($G380&gt;=30,$AT$3&lt;=DE$7),ROUND(DE380*($AP$3+#REF!),-1),""))</f>
        <v/>
      </c>
      <c r="DG380" s="517"/>
      <c r="DH380" s="503" t="str">
        <f>IF($G380="","",IF(AND($G380&gt;=30,$AT$3&lt;=DG$7),ROUND(DG380*($AP$3+#REF!),-1),""))</f>
        <v/>
      </c>
      <c r="DI380" s="517"/>
      <c r="DJ380" s="503" t="str">
        <f>IF($G380="","",IF(AND($G380&gt;=30,$AT$3&lt;=DI$7),ROUND(DI380*($AP$3+#REF!),-1),""))</f>
        <v/>
      </c>
      <c r="DK380" s="517"/>
      <c r="DL380" s="503" t="str">
        <f>IF($G380="","",IF(AND($G380&gt;=30,$AT$3&lt;=DK$7),ROUND(DK380*($AP$3+#REF!),-1),""))</f>
        <v/>
      </c>
      <c r="DM380" s="517"/>
      <c r="DN380" s="503" t="str">
        <f>IF($G380="","",IF(AND($G380&gt;=30,$AT$3&lt;=DM$7),ROUND(DM380*($AP$3+#REF!),-1),""))</f>
        <v/>
      </c>
      <c r="DO380" s="517"/>
      <c r="DP380" s="503" t="str">
        <f>IF($G380="","",IF(AND($G380&gt;=30,$AT$3&lt;=DO$7),ROUND(DO380*($AP$3+#REF!),-1),""))</f>
        <v/>
      </c>
      <c r="DQ380" s="517"/>
      <c r="DR380" s="503" t="str">
        <f>IF($G380="","",IF(AND($G380&gt;=30,$AT$3&lt;=DQ$7),ROUND(DQ380*($AP$3+#REF!),-1),""))</f>
        <v/>
      </c>
      <c r="DS380" s="517"/>
      <c r="DT380" s="503" t="str">
        <f>IF($G380="","",IF(AND($G380&gt;=30,$AT$3&lt;=DS$7),ROUND(DS380*($AP$3+#REF!),-1),""))</f>
        <v/>
      </c>
      <c r="DU380" s="517"/>
      <c r="DV380" s="503" t="str">
        <f>IF($G380="","",IF(AND($G380&gt;=30,$AT$3&lt;=DU$7),ROUND(DU380*($AP$3+#REF!),-1),""))</f>
        <v/>
      </c>
      <c r="DW380" s="517"/>
      <c r="DX380" s="503" t="str">
        <f>IF($G380="","",IF(AND($G380&gt;=30,$AT$3&lt;=DW$7),ROUND(DW380*($AP$3+#REF!),-1),""))</f>
        <v/>
      </c>
      <c r="DY380" s="517"/>
      <c r="DZ380" s="503" t="str">
        <f>IF($G380="","",IF(AND($G380&gt;=30,$AT$3&lt;=DY$7),ROUND(DY380*($AP$3+#REF!),-1),""))</f>
        <v/>
      </c>
      <c r="EA380" s="517"/>
      <c r="EB380" s="503" t="str">
        <f>IF($G380="","",IF(AND($G380&gt;=30,$AT$3&lt;=EA$7),ROUND(EA380*($AP$3+#REF!),-1),""))</f>
        <v/>
      </c>
      <c r="EC380" s="504" t="s">
        <v>621</v>
      </c>
      <c r="ED380" s="1125"/>
      <c r="EE380" s="325">
        <v>12</v>
      </c>
    </row>
    <row r="381" spans="1:135" ht="9.75" customHeight="1">
      <c r="A381" s="321" t="str">
        <f t="shared" si="96"/>
        <v/>
      </c>
      <c r="B381" s="567">
        <f>(ii!$D$13*12+V381)+1</f>
        <v>275</v>
      </c>
      <c r="C381" s="345">
        <f t="shared" si="86"/>
        <v>53723</v>
      </c>
      <c r="D381" s="340">
        <f t="shared" si="89"/>
        <v>2047</v>
      </c>
      <c r="E381" s="340">
        <f t="shared" si="87"/>
        <v>8.3333333333333329E-2</v>
      </c>
      <c r="F381" s="340">
        <f t="shared" si="90"/>
        <v>2047.0833333333333</v>
      </c>
      <c r="G381" s="531" t="str">
        <f>IF(OR(C381&lt;$I$2,C381&gt;$J$3),"",(ii!$D$13*12+V381+1)/12)</f>
        <v/>
      </c>
      <c r="H381" s="532"/>
      <c r="I381" s="532"/>
      <c r="J381" s="533"/>
      <c r="K381" s="553"/>
      <c r="L381" s="534"/>
      <c r="M381" s="489" t="str">
        <f t="shared" si="91"/>
        <v/>
      </c>
      <c r="N381" s="536" t="s">
        <v>621</v>
      </c>
      <c r="O381" s="490" t="str">
        <f t="shared" si="84"/>
        <v/>
      </c>
      <c r="P381" s="537"/>
      <c r="Q381" s="537"/>
      <c r="R381" s="533" t="str">
        <f t="shared" si="85"/>
        <v/>
      </c>
      <c r="S381" s="538" t="str">
        <f t="shared" si="83"/>
        <v/>
      </c>
      <c r="T381" s="538" t="str">
        <f t="shared" si="95"/>
        <v/>
      </c>
      <c r="U381" s="539" t="str">
        <f>IF(H381="","",#REF!*12+#REF!+#REF!*12+#REF!)</f>
        <v/>
      </c>
      <c r="V381" s="338">
        <f>IF(ii!$J$3&gt;gg!C381,"",IF(AND((YEAR(C381)=YEAR($I$2)),MONTH(C381)=MONTH($I$2)),ii!$B$14*12+ii!$C$14+ii!$B$15*12+ii!$C$15-1,V380+1))</f>
        <v>274</v>
      </c>
      <c r="W381" s="339">
        <f t="shared" si="88"/>
        <v>22.833333333333332</v>
      </c>
      <c r="X381" s="540" t="s">
        <v>621</v>
      </c>
      <c r="Y381" s="538" t="s">
        <v>621</v>
      </c>
      <c r="Z381" s="541">
        <f>Z369+$Z$26</f>
        <v>0.87000000000000055</v>
      </c>
      <c r="AA381" s="542" t="str">
        <f>IF(Y381="","",(Y381-Y380)/Y380)</f>
        <v/>
      </c>
      <c r="AB381" s="543" t="e">
        <f t="shared" si="94"/>
        <v>#VALUE!</v>
      </c>
      <c r="AC381" s="544" t="str">
        <f t="shared" si="92"/>
        <v/>
      </c>
      <c r="AD381" s="538" t="str">
        <f t="shared" si="93"/>
        <v/>
      </c>
      <c r="AE381" s="545" t="s">
        <v>621</v>
      </c>
      <c r="AF381" s="546" t="s">
        <v>621</v>
      </c>
      <c r="AG381" s="558" t="s">
        <v>621</v>
      </c>
      <c r="AH381" s="547" t="str">
        <f>IF($G381="","",IF(AND($G381&gt;=30,$AT$3&lt;=AG$7),ROUND(AG381*($AP$3+#REF!),-1),""))</f>
        <v/>
      </c>
      <c r="AI381" s="558" t="s">
        <v>621</v>
      </c>
      <c r="AJ381" s="547" t="str">
        <f>IF($G381="","",IF(AND($G381&gt;=30,$AT$3&lt;=AI$7),ROUND(AI381*($AP$3+#REF!),-1),""))</f>
        <v/>
      </c>
      <c r="AK381" s="560" t="s">
        <v>621</v>
      </c>
      <c r="AL381" s="547" t="str">
        <f>IF($G381="","",IF(AND($G381&gt;=30,$AT$3&lt;=AK$7),ROUND(AK381*($AP$3+#REF!),-1),""))</f>
        <v/>
      </c>
      <c r="AM381" s="560" t="s">
        <v>621</v>
      </c>
      <c r="AN381" s="547" t="str">
        <f>IF($G381="","",IF(AND($G381&gt;=30,$AT$3&lt;=AM$7),ROUND(AM381*($AP$3+#REF!),-1),""))</f>
        <v/>
      </c>
      <c r="AO381" s="547" t="e">
        <v>#REF!</v>
      </c>
      <c r="AP381" s="547" t="str">
        <f>IF($G381="","",IF(AND($G381&gt;=30,$AT$3&lt;=AO$7),ROUND(AO381*($AP$3+#REF!),-1),""))</f>
        <v/>
      </c>
      <c r="AQ381" s="547" t="s">
        <v>621</v>
      </c>
      <c r="AR381" s="547" t="str">
        <f>IF($G381="","",IF(AND($G381&gt;=30,$AT$3&lt;=AQ$7),ROUND(AQ381*($AP$3+#REF!),-1),""))</f>
        <v/>
      </c>
      <c r="AS381" s="547" t="s">
        <v>621</v>
      </c>
      <c r="AT381" s="547" t="str">
        <f>IF($G381="","",IF(AND($G381&gt;=30,$AT$3&lt;=AS$7),ROUND(AS381*($AP$3+#REF!),-1),""))</f>
        <v/>
      </c>
      <c r="AU381" s="547" t="s">
        <v>621</v>
      </c>
      <c r="AV381" s="547" t="str">
        <f>IF($G381="","",IF(AND($G381&gt;=30,$AT$3&lt;=AU$7),ROUND(AU381*($AP$3+#REF!),-1),""))</f>
        <v/>
      </c>
      <c r="AW381" s="547" t="s">
        <v>621</v>
      </c>
      <c r="AX381" s="547" t="str">
        <f>IF($G381="","",IF(AND($G381&gt;=30,$AT$3&lt;=AW$7),ROUND(AW381*($AP$3+#REF!),-1),""))</f>
        <v/>
      </c>
      <c r="AY381" s="547" t="s">
        <v>621</v>
      </c>
      <c r="AZ381" s="547" t="str">
        <f>IF($G381="","",IF(AND($G381&gt;=30,$AT$3&lt;=AY$7),ROUND(AY381*($AP$3+#REF!),-1),""))</f>
        <v/>
      </c>
      <c r="BA381" s="547" t="s">
        <v>621</v>
      </c>
      <c r="BB381" s="547" t="str">
        <f>IF($G381="","",IF(AND($G381&gt;=30,$AT$3&lt;=BA$7),ROUND(BA381*($AP$3+#REF!),-1),""))</f>
        <v/>
      </c>
      <c r="BC381" s="547" t="s">
        <v>621</v>
      </c>
      <c r="BD381" s="547" t="str">
        <f>IF($G381="","",IF(AND($G381&gt;=30,$AT$3&lt;=BC$7),ROUND(BC381*($AP$3+#REF!),-1),""))</f>
        <v/>
      </c>
      <c r="BE381" s="547" t="s">
        <v>621</v>
      </c>
      <c r="BF381" s="547" t="str">
        <f>IF($G381="","",IF(AND($G381&gt;=30,$AT$3&lt;=BE$7),ROUND(BE381*($AP$3+#REF!),-1),""))</f>
        <v/>
      </c>
      <c r="BG381" s="547" t="s">
        <v>621</v>
      </c>
      <c r="BH381" s="547" t="str">
        <f>IF($G381="","",IF(AND($G381&gt;=30,$AT$3&lt;=BG$7),ROUND(BG381*($AP$3+#REF!),-1),""))</f>
        <v/>
      </c>
      <c r="BI381" s="547" t="s">
        <v>621</v>
      </c>
      <c r="BJ381" s="547" t="str">
        <f>IF($G381="","",IF(AND($G381&gt;=30,$AT$3&lt;=BI$7),ROUND(BI381*($AP$3+#REF!),-1),""))</f>
        <v/>
      </c>
      <c r="BK381" s="547" t="s">
        <v>621</v>
      </c>
      <c r="BL381" s="547" t="str">
        <f>IF($G381="","",IF(AND($G381&gt;=30,$AT$3&lt;=BK$7),ROUND(BK381*($AP$3+#REF!),-1),""))</f>
        <v/>
      </c>
      <c r="BM381" s="547" t="s">
        <v>621</v>
      </c>
      <c r="BN381" s="547" t="str">
        <f>IF($G381="","",IF(AND($G381&gt;=30,$AT$3&lt;=BM$7),ROUND(BM381*($AP$3+#REF!),-1),""))</f>
        <v/>
      </c>
      <c r="BO381" s="547" t="s">
        <v>621</v>
      </c>
      <c r="BP381" s="547" t="str">
        <f>IF($G381="","",IF(AND($G381&gt;=30,$AT$3&lt;=BO$7),ROUND(BO381*($AP$3+#REF!),-1),""))</f>
        <v/>
      </c>
      <c r="BQ381" s="547" t="s">
        <v>621</v>
      </c>
      <c r="BR381" s="547" t="str">
        <f>IF($G381="","",IF(AND($G381&gt;=30,$AT$3&lt;=BQ$7),ROUND(BQ381*($AP$3+#REF!),-1),""))</f>
        <v/>
      </c>
      <c r="BS381" s="547" t="s">
        <v>621</v>
      </c>
      <c r="BT381" s="547" t="str">
        <f>IF($G381="","",IF(AND($G381&gt;=30,$AT$3&lt;=BS$7),ROUND(BS381*($AP$3+#REF!),-1),""))</f>
        <v/>
      </c>
      <c r="BU381" s="547" t="s">
        <v>621</v>
      </c>
      <c r="BV381" s="547" t="str">
        <f>IF($G381="","",IF(AND($G381&gt;=30,$AT$3&lt;=BU$7),ROUND(BU381*($AP$3+#REF!),-1),""))</f>
        <v/>
      </c>
      <c r="BW381" s="547" t="s">
        <v>621</v>
      </c>
      <c r="BX381" s="547" t="str">
        <f>IF($G381="","",IF(AND($G381&gt;=30,$AT$3&lt;=BW$7),ROUND(BW381*($AP$3+#REF!),-1),""))</f>
        <v/>
      </c>
      <c r="BY381" s="547" t="s">
        <v>621</v>
      </c>
      <c r="BZ381" s="547" t="str">
        <f>IF($G381="","",IF(AND($G381&gt;=30,$AT$3&lt;=BY$7),ROUND(BY381*($AP$3+#REF!),-1),""))</f>
        <v/>
      </c>
      <c r="CA381" s="547" t="s">
        <v>621</v>
      </c>
      <c r="CB381" s="547" t="str">
        <f>IF($G381="","",IF(AND($G381&gt;=30,$AT$3&lt;=CA$7),ROUND(CA381*($AP$3+#REF!),-1),""))</f>
        <v/>
      </c>
      <c r="CC381" s="547" t="s">
        <v>621</v>
      </c>
      <c r="CD381" s="547" t="str">
        <f>IF($G381="","",IF(AND($G381&gt;=30,$AT$3&lt;=CC$7),ROUND(CC381*($AP$3+#REF!),-1),""))</f>
        <v/>
      </c>
      <c r="CE381" s="547" t="s">
        <v>621</v>
      </c>
      <c r="CF381" s="547" t="str">
        <f>IF($G381="","",IF(AND($G381&gt;=30,$AT$3&lt;=CE$7),ROUND(CE381*($AP$3+#REF!),-1),""))</f>
        <v/>
      </c>
      <c r="CG381" s="547" t="s">
        <v>621</v>
      </c>
      <c r="CH381" s="547" t="str">
        <f>IF($G381="","",IF(AND($G381&gt;=30,$AT$3&lt;=CG$7),ROUND(CG381*($AP$3+#REF!),-1),""))</f>
        <v/>
      </c>
      <c r="CI381" s="547" t="s">
        <v>621</v>
      </c>
      <c r="CJ381" s="547" t="str">
        <f>IF($G381="","",IF(AND($G381&gt;=30,$AT$3&lt;=CI$7),ROUND(CI381*($AP$3+#REF!),-1),""))</f>
        <v/>
      </c>
      <c r="CK381" s="547" t="s">
        <v>621</v>
      </c>
      <c r="CL381" s="547" t="str">
        <f>IF($G381="","",IF(AND($G381&gt;=30,$AT$3&lt;=CK$7),ROUND(CK381*($AP$3+#REF!),-1),""))</f>
        <v/>
      </c>
      <c r="CM381" s="547" t="s">
        <v>621</v>
      </c>
      <c r="CN381" s="547" t="str">
        <f>IF($G381="","",IF(AND($G381&gt;=30,$AT$3&lt;=CM$7),ROUND(CM381*($AP$3+#REF!),-1),""))</f>
        <v/>
      </c>
      <c r="CO381" s="547" t="s">
        <v>621</v>
      </c>
      <c r="CP381" s="547" t="str">
        <f>IF($G381="","",IF(AND($G381&gt;=30,$AT$3&lt;=CO$7),ROUND(CO381*($AP$3+#REF!),-1),""))</f>
        <v/>
      </c>
      <c r="CQ381" s="533" t="e">
        <v>#REF!</v>
      </c>
      <c r="CR381" s="547" t="str">
        <f>IF($G381="","",IF(AND($G381&gt;=30,$AT$3&lt;=CQ$7),ROUND(CQ381*($AP$3+#REF!),-1),""))</f>
        <v/>
      </c>
      <c r="CS381" s="547"/>
      <c r="CT381" s="547" t="str">
        <f>IF($G381="","",IF(AND($G381&gt;=30,$AT$3&lt;=CS$7),ROUND(CS381*($AP$3+#REF!),-1),""))</f>
        <v/>
      </c>
      <c r="CU381" s="547"/>
      <c r="CV381" s="547" t="str">
        <f>IF($G381="","",IF(AND($G381&gt;=30,$AT$3&lt;=CU$7),ROUND(CU381*($AP$3+#REF!),-1),""))</f>
        <v/>
      </c>
      <c r="CW381" s="547"/>
      <c r="CX381" s="547" t="str">
        <f>IF($G381="","",IF(AND($G381&gt;=30,$AT$3&lt;=CW$7),ROUND(CW381*($AP$3+#REF!),-1),""))</f>
        <v/>
      </c>
      <c r="CY381" s="547"/>
      <c r="CZ381" s="547" t="str">
        <f>IF($G381="","",IF(AND($G381&gt;=30,$AT$3&lt;=CY$7),ROUND(CY381*($AP$3+#REF!),-1),""))</f>
        <v/>
      </c>
      <c r="DA381" s="547"/>
      <c r="DB381" s="547" t="str">
        <f>IF($G381="","",IF(AND($G381&gt;=30,$AT$3&lt;=DA$7),ROUND(DA381*($AP$3+#REF!),-1),""))</f>
        <v/>
      </c>
      <c r="DC381" s="547"/>
      <c r="DD381" s="547" t="str">
        <f>IF($G381="","",IF(AND($G381&gt;=30,$AT$3&lt;=DC$7),ROUND(DC381*($AP$3+#REF!),-1),""))</f>
        <v/>
      </c>
      <c r="DE381" s="547"/>
      <c r="DF381" s="547" t="str">
        <f>IF($G381="","",IF(AND($G381&gt;=30,$AT$3&lt;=DE$7),ROUND(DE381*($AP$3+#REF!),-1),""))</f>
        <v/>
      </c>
      <c r="DG381" s="547"/>
      <c r="DH381" s="547" t="str">
        <f>IF($G381="","",IF(AND($G381&gt;=30,$AT$3&lt;=DG$7),ROUND(DG381*($AP$3+#REF!),-1),""))</f>
        <v/>
      </c>
      <c r="DI381" s="547"/>
      <c r="DJ381" s="547" t="str">
        <f>IF($G381="","",IF(AND($G381&gt;=30,$AT$3&lt;=DI$7),ROUND(DI381*($AP$3+#REF!),-1),""))</f>
        <v/>
      </c>
      <c r="DK381" s="547"/>
      <c r="DL381" s="547" t="str">
        <f>IF($G381="","",IF(AND($G381&gt;=30,$AT$3&lt;=DK$7),ROUND(DK381*($AP$3+#REF!),-1),""))</f>
        <v/>
      </c>
      <c r="DM381" s="547"/>
      <c r="DN381" s="547" t="str">
        <f>IF($G381="","",IF(AND($G381&gt;=30,$AT$3&lt;=DM$7),ROUND(DM381*($AP$3+#REF!),-1),""))</f>
        <v/>
      </c>
      <c r="DO381" s="547"/>
      <c r="DP381" s="547" t="str">
        <f>IF($G381="","",IF(AND($G381&gt;=30,$AT$3&lt;=DO$7),ROUND(DO381*($AP$3+#REF!),-1),""))</f>
        <v/>
      </c>
      <c r="DQ381" s="547"/>
      <c r="DR381" s="547" t="str">
        <f>IF($G381="","",IF(AND($G381&gt;=30,$AT$3&lt;=DQ$7),ROUND(DQ381*($AP$3+#REF!),-1),""))</f>
        <v/>
      </c>
      <c r="DS381" s="547"/>
      <c r="DT381" s="547" t="str">
        <f>IF($G381="","",IF(AND($G381&gt;=30,$AT$3&lt;=DS$7),ROUND(DS381*($AP$3+#REF!),-1),""))</f>
        <v/>
      </c>
      <c r="DU381" s="547"/>
      <c r="DV381" s="547" t="str">
        <f>IF($G381="","",IF(AND($G381&gt;=30,$AT$3&lt;=DU$7),ROUND(DU381*($AP$3+#REF!),-1),""))</f>
        <v/>
      </c>
      <c r="DW381" s="547"/>
      <c r="DX381" s="547" t="str">
        <f>IF($G381="","",IF(AND($G381&gt;=30,$AT$3&lt;=DW$7),ROUND(DW381*($AP$3+#REF!),-1),""))</f>
        <v/>
      </c>
      <c r="DY381" s="547"/>
      <c r="DZ381" s="547" t="str">
        <f>IF($G381="","",IF(AND($G381&gt;=30,$AT$3&lt;=DY$7),ROUND(DY381*($AP$3+#REF!),-1),""))</f>
        <v/>
      </c>
      <c r="EA381" s="547"/>
      <c r="EB381" s="547" t="str">
        <f>IF($G381="","",IF(AND($G381&gt;=30,$AT$3&lt;=EA$7),ROUND(EA381*($AP$3+#REF!),-1),""))</f>
        <v/>
      </c>
      <c r="EC381" s="547" t="s">
        <v>621</v>
      </c>
      <c r="ED381" s="1123">
        <f>SUM(EC381:EC392)</f>
        <v>0</v>
      </c>
      <c r="EE381" s="325">
        <v>1</v>
      </c>
    </row>
    <row r="382" spans="1:135" ht="9.75" customHeight="1">
      <c r="A382" s="321" t="str">
        <f t="shared" si="96"/>
        <v/>
      </c>
      <c r="B382" s="567">
        <f>(ii!$D$13*12+V382)+1</f>
        <v>276</v>
      </c>
      <c r="C382" s="337">
        <f t="shared" si="86"/>
        <v>53751</v>
      </c>
      <c r="D382" s="484">
        <f t="shared" si="89"/>
        <v>2047</v>
      </c>
      <c r="E382" s="484">
        <f t="shared" si="87"/>
        <v>0.16666666666666666</v>
      </c>
      <c r="F382" s="484">
        <f t="shared" si="90"/>
        <v>2047.1666666666667</v>
      </c>
      <c r="G382" s="485" t="str">
        <f>IF(OR(C382&lt;$I$2,C382&gt;$J$3),"",(ii!$D$13*12+V382+1)/12)</f>
        <v/>
      </c>
      <c r="H382" s="486"/>
      <c r="I382" s="486"/>
      <c r="J382" s="487"/>
      <c r="K382" s="488"/>
      <c r="L382" s="548"/>
      <c r="M382" s="489" t="str">
        <f t="shared" si="91"/>
        <v/>
      </c>
      <c r="N382" s="490" t="s">
        <v>621</v>
      </c>
      <c r="O382" s="490" t="str">
        <f t="shared" si="84"/>
        <v/>
      </c>
      <c r="P382" s="491"/>
      <c r="Q382" s="491"/>
      <c r="R382" s="491" t="str">
        <f t="shared" si="85"/>
        <v/>
      </c>
      <c r="S382" s="528" t="str">
        <f t="shared" si="83"/>
        <v/>
      </c>
      <c r="T382" s="528" t="str">
        <f t="shared" si="95"/>
        <v/>
      </c>
      <c r="U382" s="493" t="str">
        <f>IF(H382="","",#REF!*12+#REF!+#REF!*12+#REF!)</f>
        <v/>
      </c>
      <c r="V382" s="338">
        <f>IF(ii!$J$3&gt;gg!C382,"",IF(AND((YEAR(C382)=YEAR($I$2)),MONTH(C382)=MONTH($I$2)),ii!$B$14*12+ii!$C$14+ii!$B$15*12+ii!$C$15-1,V381+1))</f>
        <v>275</v>
      </c>
      <c r="W382" s="339">
        <f t="shared" si="88"/>
        <v>22.916666666666668</v>
      </c>
      <c r="X382" s="494" t="s">
        <v>621</v>
      </c>
      <c r="Y382" s="495" t="s">
        <v>621</v>
      </c>
      <c r="Z382" s="496"/>
      <c r="AA382" s="497"/>
      <c r="AB382" s="498" t="e">
        <f t="shared" si="94"/>
        <v>#VALUE!</v>
      </c>
      <c r="AC382" s="484" t="str">
        <f t="shared" si="92"/>
        <v/>
      </c>
      <c r="AD382" s="495" t="str">
        <f t="shared" si="93"/>
        <v/>
      </c>
      <c r="AE382" s="499" t="s">
        <v>621</v>
      </c>
      <c r="AF382" s="500" t="s">
        <v>621</v>
      </c>
      <c r="AG382" s="556" t="s">
        <v>621</v>
      </c>
      <c r="AH382" s="503" t="str">
        <f>IF($G382="","",IF(AND($G382&gt;=30,$AT$3&lt;=AG$7),ROUND(AG382*($AP$3+#REF!),-1),""))</f>
        <v/>
      </c>
      <c r="AI382" s="506" t="s">
        <v>621</v>
      </c>
      <c r="AJ382" s="503" t="str">
        <f>IF($G382="","",IF(AND($G382&gt;=30,$AT$3&lt;=AI$7),ROUND(AI382*($AP$3+#REF!),-1),""))</f>
        <v/>
      </c>
      <c r="AK382" s="506" t="s">
        <v>621</v>
      </c>
      <c r="AL382" s="503" t="str">
        <f>IF($G382="","",IF(AND($G382&gt;=30,$AT$3&lt;=AK$7),ROUND(AK382*($AP$3+#REF!),-1),""))</f>
        <v/>
      </c>
      <c r="AM382" s="506" t="s">
        <v>621</v>
      </c>
      <c r="AN382" s="503" t="str">
        <f>IF($G382="","",IF(AND($G382&gt;=30,$AT$3&lt;=AM$7),ROUND(AM382*($AP$3+#REF!),-1),""))</f>
        <v/>
      </c>
      <c r="AO382" s="503" t="e">
        <f>IF(AO381="","",AO381*1.001)</f>
        <v>#REF!</v>
      </c>
      <c r="AP382" s="503" t="str">
        <f>IF($G382="","",IF(AND($G382&gt;=30,$AT$3&lt;=AO$7),ROUND(AO382*($AP$3+#REF!),-1),""))</f>
        <v/>
      </c>
      <c r="AQ382" s="503" t="s">
        <v>621</v>
      </c>
      <c r="AR382" s="503" t="str">
        <f>IF($G382="","",IF(AND($G382&gt;=30,$AT$3&lt;=AQ$7),ROUND(AQ382*($AP$3+#REF!),-1),""))</f>
        <v/>
      </c>
      <c r="AS382" s="503" t="s">
        <v>621</v>
      </c>
      <c r="AT382" s="503" t="str">
        <f>IF($G382="","",IF(AND($G382&gt;=30,$AT$3&lt;=AS$7),ROUND(AS382*($AP$3+#REF!),-1),""))</f>
        <v/>
      </c>
      <c r="AU382" s="503" t="s">
        <v>621</v>
      </c>
      <c r="AV382" s="503" t="str">
        <f>IF($G382="","",IF(AND($G382&gt;=30,$AT$3&lt;=AU$7),ROUND(AU382*($AP$3+#REF!),-1),""))</f>
        <v/>
      </c>
      <c r="AW382" s="503" t="s">
        <v>621</v>
      </c>
      <c r="AX382" s="503" t="str">
        <f>IF($G382="","",IF(AND($G382&gt;=30,$AT$3&lt;=AW$7),ROUND(AW382*($AP$3+#REF!),-1),""))</f>
        <v/>
      </c>
      <c r="AY382" s="503" t="s">
        <v>621</v>
      </c>
      <c r="AZ382" s="503" t="str">
        <f>IF($G382="","",IF(AND($G382&gt;=30,$AT$3&lt;=AY$7),ROUND(AY382*($AP$3+#REF!),-1),""))</f>
        <v/>
      </c>
      <c r="BA382" s="503" t="s">
        <v>621</v>
      </c>
      <c r="BB382" s="503" t="str">
        <f>IF($G382="","",IF(AND($G382&gt;=30,$AT$3&lt;=BA$7),ROUND(BA382*($AP$3+#REF!),-1),""))</f>
        <v/>
      </c>
      <c r="BC382" s="503" t="s">
        <v>621</v>
      </c>
      <c r="BD382" s="503" t="str">
        <f>IF($G382="","",IF(AND($G382&gt;=30,$AT$3&lt;=BC$7),ROUND(BC382*($AP$3+#REF!),-1),""))</f>
        <v/>
      </c>
      <c r="BE382" s="503" t="s">
        <v>621</v>
      </c>
      <c r="BF382" s="503" t="str">
        <f>IF($G382="","",IF(AND($G382&gt;=30,$AT$3&lt;=BE$7),ROUND(BE382*($AP$3+#REF!),-1),""))</f>
        <v/>
      </c>
      <c r="BG382" s="503" t="s">
        <v>621</v>
      </c>
      <c r="BH382" s="503" t="str">
        <f>IF($G382="","",IF(AND($G382&gt;=30,$AT$3&lt;=BG$7),ROUND(BG382*($AP$3+#REF!),-1),""))</f>
        <v/>
      </c>
      <c r="BI382" s="503" t="s">
        <v>621</v>
      </c>
      <c r="BJ382" s="503" t="str">
        <f>IF($G382="","",IF(AND($G382&gt;=30,$AT$3&lt;=BI$7),ROUND(BI382*($AP$3+#REF!),-1),""))</f>
        <v/>
      </c>
      <c r="BK382" s="503" t="s">
        <v>621</v>
      </c>
      <c r="BL382" s="503" t="str">
        <f>IF($G382="","",IF(AND($G382&gt;=30,$AT$3&lt;=BK$7),ROUND(BK382*($AP$3+#REF!),-1),""))</f>
        <v/>
      </c>
      <c r="BM382" s="503" t="s">
        <v>621</v>
      </c>
      <c r="BN382" s="503" t="str">
        <f>IF($G382="","",IF(AND($G382&gt;=30,$AT$3&lt;=BM$7),ROUND(BM382*($AP$3+#REF!),-1),""))</f>
        <v/>
      </c>
      <c r="BO382" s="503" t="s">
        <v>621</v>
      </c>
      <c r="BP382" s="503" t="str">
        <f>IF($G382="","",IF(AND($G382&gt;=30,$AT$3&lt;=BO$7),ROUND(BO382*($AP$3+#REF!),-1),""))</f>
        <v/>
      </c>
      <c r="BQ382" s="503" t="s">
        <v>621</v>
      </c>
      <c r="BR382" s="503" t="str">
        <f>IF($G382="","",IF(AND($G382&gt;=30,$AT$3&lt;=BQ$7),ROUND(BQ382*($AP$3+#REF!),-1),""))</f>
        <v/>
      </c>
      <c r="BS382" s="503" t="s">
        <v>621</v>
      </c>
      <c r="BT382" s="503" t="str">
        <f>IF($G382="","",IF(AND($G382&gt;=30,$AT$3&lt;=BS$7),ROUND(BS382*($AP$3+#REF!),-1),""))</f>
        <v/>
      </c>
      <c r="BU382" s="503" t="s">
        <v>621</v>
      </c>
      <c r="BV382" s="503" t="str">
        <f>IF($G382="","",IF(AND($G382&gt;=30,$AT$3&lt;=BU$7),ROUND(BU382*($AP$3+#REF!),-1),""))</f>
        <v/>
      </c>
      <c r="BW382" s="503" t="s">
        <v>621</v>
      </c>
      <c r="BX382" s="503" t="str">
        <f>IF($G382="","",IF(AND($G382&gt;=30,$AT$3&lt;=BW$7),ROUND(BW382*($AP$3+#REF!),-1),""))</f>
        <v/>
      </c>
      <c r="BY382" s="503" t="s">
        <v>621</v>
      </c>
      <c r="BZ382" s="503" t="str">
        <f>IF($G382="","",IF(AND($G382&gt;=30,$AT$3&lt;=BY$7),ROUND(BY382*($AP$3+#REF!),-1),""))</f>
        <v/>
      </c>
      <c r="CA382" s="503" t="s">
        <v>621</v>
      </c>
      <c r="CB382" s="503" t="str">
        <f>IF($G382="","",IF(AND($G382&gt;=30,$AT$3&lt;=CA$7),ROUND(CA382*($AP$3+#REF!),-1),""))</f>
        <v/>
      </c>
      <c r="CC382" s="503" t="s">
        <v>621</v>
      </c>
      <c r="CD382" s="503" t="str">
        <f>IF($G382="","",IF(AND($G382&gt;=30,$AT$3&lt;=CC$7),ROUND(CC382*($AP$3+#REF!),-1),""))</f>
        <v/>
      </c>
      <c r="CE382" s="503" t="s">
        <v>621</v>
      </c>
      <c r="CF382" s="503" t="str">
        <f>IF($G382="","",IF(AND($G382&gt;=30,$AT$3&lt;=CE$7),ROUND(CE382*($AP$3+#REF!),-1),""))</f>
        <v/>
      </c>
      <c r="CG382" s="503" t="s">
        <v>621</v>
      </c>
      <c r="CH382" s="503" t="str">
        <f>IF($G382="","",IF(AND($G382&gt;=30,$AT$3&lt;=CG$7),ROUND(CG382*($AP$3+#REF!),-1),""))</f>
        <v/>
      </c>
      <c r="CI382" s="503" t="s">
        <v>621</v>
      </c>
      <c r="CJ382" s="503" t="str">
        <f>IF($G382="","",IF(AND($G382&gt;=30,$AT$3&lt;=CI$7),ROUND(CI382*($AP$3+#REF!),-1),""))</f>
        <v/>
      </c>
      <c r="CK382" s="503" t="s">
        <v>621</v>
      </c>
      <c r="CL382" s="503" t="str">
        <f>IF($G382="","",IF(AND($G382&gt;=30,$AT$3&lt;=CK$7),ROUND(CK382*($AP$3+#REF!),-1),""))</f>
        <v/>
      </c>
      <c r="CM382" s="503" t="s">
        <v>621</v>
      </c>
      <c r="CN382" s="503" t="str">
        <f>IF($G382="","",IF(AND($G382&gt;=30,$AT$3&lt;=CM$7),ROUND(CM382*($AP$3+#REF!),-1),""))</f>
        <v/>
      </c>
      <c r="CO382" s="503" t="s">
        <v>621</v>
      </c>
      <c r="CP382" s="503" t="str">
        <f>IF($G382="","",IF(AND($G382&gt;=30,$AT$3&lt;=CO$7),ROUND(CO382*($AP$3+#REF!),-1),""))</f>
        <v/>
      </c>
      <c r="CQ382" s="517" t="e">
        <v>#REF!</v>
      </c>
      <c r="CR382" s="503" t="str">
        <f>IF($G382="","",IF(AND($G382&gt;=30,$AT$3&lt;=CQ$7),ROUND(CQ382*($AP$3+#REF!),-1),""))</f>
        <v/>
      </c>
      <c r="CS382" s="517"/>
      <c r="CT382" s="503" t="str">
        <f>IF($G382="","",IF(AND($G382&gt;=30,$AT$3&lt;=CS$7),ROUND(CS382*($AP$3+#REF!),-1),""))</f>
        <v/>
      </c>
      <c r="CU382" s="517"/>
      <c r="CV382" s="503" t="str">
        <f>IF($G382="","",IF(AND($G382&gt;=30,$AT$3&lt;=CU$7),ROUND(CU382*($AP$3+#REF!),-1),""))</f>
        <v/>
      </c>
      <c r="CW382" s="517"/>
      <c r="CX382" s="503" t="str">
        <f>IF($G382="","",IF(AND($G382&gt;=30,$AT$3&lt;=CW$7),ROUND(CW382*($AP$3+#REF!),-1),""))</f>
        <v/>
      </c>
      <c r="CY382" s="517"/>
      <c r="CZ382" s="503" t="str">
        <f>IF($G382="","",IF(AND($G382&gt;=30,$AT$3&lt;=CY$7),ROUND(CY382*($AP$3+#REF!),-1),""))</f>
        <v/>
      </c>
      <c r="DA382" s="517"/>
      <c r="DB382" s="503" t="str">
        <f>IF($G382="","",IF(AND($G382&gt;=30,$AT$3&lt;=DA$7),ROUND(DA382*($AP$3+#REF!),-1),""))</f>
        <v/>
      </c>
      <c r="DC382" s="517"/>
      <c r="DD382" s="503" t="str">
        <f>IF($G382="","",IF(AND($G382&gt;=30,$AT$3&lt;=DC$7),ROUND(DC382*($AP$3+#REF!),-1),""))</f>
        <v/>
      </c>
      <c r="DE382" s="517"/>
      <c r="DF382" s="503" t="str">
        <f>IF($G382="","",IF(AND($G382&gt;=30,$AT$3&lt;=DE$7),ROUND(DE382*($AP$3+#REF!),-1),""))</f>
        <v/>
      </c>
      <c r="DG382" s="517"/>
      <c r="DH382" s="503" t="str">
        <f>IF($G382="","",IF(AND($G382&gt;=30,$AT$3&lt;=DG$7),ROUND(DG382*($AP$3+#REF!),-1),""))</f>
        <v/>
      </c>
      <c r="DI382" s="517"/>
      <c r="DJ382" s="503" t="str">
        <f>IF($G382="","",IF(AND($G382&gt;=30,$AT$3&lt;=DI$7),ROUND(DI382*($AP$3+#REF!),-1),""))</f>
        <v/>
      </c>
      <c r="DK382" s="517"/>
      <c r="DL382" s="503" t="str">
        <f>IF($G382="","",IF(AND($G382&gt;=30,$AT$3&lt;=DK$7),ROUND(DK382*($AP$3+#REF!),-1),""))</f>
        <v/>
      </c>
      <c r="DM382" s="517"/>
      <c r="DN382" s="503" t="str">
        <f>IF($G382="","",IF(AND($G382&gt;=30,$AT$3&lt;=DM$7),ROUND(DM382*($AP$3+#REF!),-1),""))</f>
        <v/>
      </c>
      <c r="DO382" s="517"/>
      <c r="DP382" s="503" t="str">
        <f>IF($G382="","",IF(AND($G382&gt;=30,$AT$3&lt;=DO$7),ROUND(DO382*($AP$3+#REF!),-1),""))</f>
        <v/>
      </c>
      <c r="DQ382" s="517"/>
      <c r="DR382" s="503" t="str">
        <f>IF($G382="","",IF(AND($G382&gt;=30,$AT$3&lt;=DQ$7),ROUND(DQ382*($AP$3+#REF!),-1),""))</f>
        <v/>
      </c>
      <c r="DS382" s="517"/>
      <c r="DT382" s="503" t="str">
        <f>IF($G382="","",IF(AND($G382&gt;=30,$AT$3&lt;=DS$7),ROUND(DS382*($AP$3+#REF!),-1),""))</f>
        <v/>
      </c>
      <c r="DU382" s="517"/>
      <c r="DV382" s="503" t="str">
        <f>IF($G382="","",IF(AND($G382&gt;=30,$AT$3&lt;=DU$7),ROUND(DU382*($AP$3+#REF!),-1),""))</f>
        <v/>
      </c>
      <c r="DW382" s="517"/>
      <c r="DX382" s="503" t="str">
        <f>IF($G382="","",IF(AND($G382&gt;=30,$AT$3&lt;=DW$7),ROUND(DW382*($AP$3+#REF!),-1),""))</f>
        <v/>
      </c>
      <c r="DY382" s="517"/>
      <c r="DZ382" s="503" t="str">
        <f>IF($G382="","",IF(AND($G382&gt;=30,$AT$3&lt;=DY$7),ROUND(DY382*($AP$3+#REF!),-1),""))</f>
        <v/>
      </c>
      <c r="EA382" s="517"/>
      <c r="EB382" s="503" t="str">
        <f>IF($G382="","",IF(AND($G382&gt;=30,$AT$3&lt;=EA$7),ROUND(EA382*($AP$3+#REF!),-1),""))</f>
        <v/>
      </c>
      <c r="EC382" s="504" t="s">
        <v>621</v>
      </c>
      <c r="ED382" s="1124"/>
      <c r="EE382" s="325">
        <v>2</v>
      </c>
    </row>
    <row r="383" spans="1:135" ht="9.75" customHeight="1">
      <c r="A383" s="321" t="str">
        <f t="shared" si="96"/>
        <v/>
      </c>
      <c r="B383" s="567">
        <f>(ii!$D$13*12+V383)+1</f>
        <v>277</v>
      </c>
      <c r="C383" s="337">
        <f t="shared" si="86"/>
        <v>53782</v>
      </c>
      <c r="D383" s="484">
        <f t="shared" si="89"/>
        <v>2047</v>
      </c>
      <c r="E383" s="484">
        <f t="shared" si="87"/>
        <v>0.25</v>
      </c>
      <c r="F383" s="484">
        <f t="shared" si="90"/>
        <v>2047.25</v>
      </c>
      <c r="G383" s="485" t="str">
        <f>IF(OR(C383&lt;$I$2,C383&gt;$J$3),"",(ii!$D$13*12+V383+1)/12)</f>
        <v/>
      </c>
      <c r="H383" s="486"/>
      <c r="I383" s="486"/>
      <c r="J383" s="487"/>
      <c r="K383" s="488"/>
      <c r="L383" s="548"/>
      <c r="M383" s="489" t="str">
        <f t="shared" si="91"/>
        <v/>
      </c>
      <c r="N383" s="490" t="s">
        <v>621</v>
      </c>
      <c r="O383" s="490" t="str">
        <f t="shared" si="84"/>
        <v/>
      </c>
      <c r="P383" s="491"/>
      <c r="Q383" s="491"/>
      <c r="R383" s="491" t="str">
        <f t="shared" si="85"/>
        <v/>
      </c>
      <c r="S383" s="528" t="str">
        <f t="shared" si="83"/>
        <v/>
      </c>
      <c r="T383" s="528" t="str">
        <f t="shared" si="95"/>
        <v/>
      </c>
      <c r="U383" s="493" t="str">
        <f>IF(H383="","",#REF!*12+#REF!+#REF!*12+#REF!)</f>
        <v/>
      </c>
      <c r="V383" s="338">
        <f>IF(ii!$J$3&gt;gg!C383,"",IF(AND((YEAR(C383)=YEAR($I$2)),MONTH(C383)=MONTH($I$2)),ii!$B$14*12+ii!$C$14+ii!$B$15*12+ii!$C$15-1,V382+1))</f>
        <v>276</v>
      </c>
      <c r="W383" s="339">
        <f t="shared" si="88"/>
        <v>23</v>
      </c>
      <c r="X383" s="494" t="s">
        <v>621</v>
      </c>
      <c r="Y383" s="495" t="s">
        <v>621</v>
      </c>
      <c r="Z383" s="496"/>
      <c r="AA383" s="497"/>
      <c r="AB383" s="498" t="e">
        <f t="shared" si="94"/>
        <v>#VALUE!</v>
      </c>
      <c r="AC383" s="484" t="str">
        <f t="shared" si="92"/>
        <v/>
      </c>
      <c r="AD383" s="495" t="str">
        <f t="shared" si="93"/>
        <v/>
      </c>
      <c r="AE383" s="499" t="s">
        <v>621</v>
      </c>
      <c r="AF383" s="500" t="s">
        <v>621</v>
      </c>
      <c r="AG383" s="556" t="s">
        <v>621</v>
      </c>
      <c r="AH383" s="503" t="str">
        <f>IF($G383="","",IF(AND($G383&gt;=30,$AT$3&lt;=AG$7),ROUND(AG383*($AP$3+#REF!),-1),""))</f>
        <v/>
      </c>
      <c r="AI383" s="506" t="s">
        <v>621</v>
      </c>
      <c r="AJ383" s="503" t="str">
        <f>IF($G383="","",IF(AND($G383&gt;=30,$AT$3&lt;=AI$7),ROUND(AI383*($AP$3+#REF!),-1),""))</f>
        <v/>
      </c>
      <c r="AK383" s="506" t="s">
        <v>621</v>
      </c>
      <c r="AL383" s="503" t="str">
        <f>IF($G383="","",IF(AND($G383&gt;=30,$AT$3&lt;=AK$7),ROUND(AK383*($AP$3+#REF!),-1),""))</f>
        <v/>
      </c>
      <c r="AM383" s="506" t="s">
        <v>621</v>
      </c>
      <c r="AN383" s="503" t="str">
        <f>IF($G383="","",IF(AND($G383&gt;=30,$AT$3&lt;=AM$7),ROUND(AM383*($AP$3+#REF!),-1),""))</f>
        <v/>
      </c>
      <c r="AO383" s="503" t="e">
        <v>#REF!</v>
      </c>
      <c r="AP383" s="503" t="str">
        <f>IF($G383="","",IF(AND($G383&gt;=30,$AT$3&lt;=AO$7),ROUND(AO383*($AP$3+#REF!),-1),""))</f>
        <v/>
      </c>
      <c r="AQ383" s="503" t="s">
        <v>621</v>
      </c>
      <c r="AR383" s="503" t="str">
        <f>IF($G383="","",IF(AND($G383&gt;=30,$AT$3&lt;=AQ$7),ROUND(AQ383*($AP$3+#REF!),-1),""))</f>
        <v/>
      </c>
      <c r="AS383" s="503" t="s">
        <v>621</v>
      </c>
      <c r="AT383" s="503" t="str">
        <f>IF($G383="","",IF(AND($G383&gt;=30,$AT$3&lt;=AS$7),ROUND(AS383*($AP$3+#REF!),-1),""))</f>
        <v/>
      </c>
      <c r="AU383" s="503" t="s">
        <v>621</v>
      </c>
      <c r="AV383" s="503" t="str">
        <f>IF($G383="","",IF(AND($G383&gt;=30,$AT$3&lt;=AU$7),ROUND(AU383*($AP$3+#REF!),-1),""))</f>
        <v/>
      </c>
      <c r="AW383" s="503" t="s">
        <v>621</v>
      </c>
      <c r="AX383" s="503" t="str">
        <f>IF($G383="","",IF(AND($G383&gt;=30,$AT$3&lt;=AW$7),ROUND(AW383*($AP$3+#REF!),-1),""))</f>
        <v/>
      </c>
      <c r="AY383" s="503" t="s">
        <v>621</v>
      </c>
      <c r="AZ383" s="503" t="str">
        <f>IF($G383="","",IF(AND($G383&gt;=30,$AT$3&lt;=AY$7),ROUND(AY383*($AP$3+#REF!),-1),""))</f>
        <v/>
      </c>
      <c r="BA383" s="503" t="s">
        <v>621</v>
      </c>
      <c r="BB383" s="503" t="str">
        <f>IF($G383="","",IF(AND($G383&gt;=30,$AT$3&lt;=BA$7),ROUND(BA383*($AP$3+#REF!),-1),""))</f>
        <v/>
      </c>
      <c r="BC383" s="503" t="s">
        <v>621</v>
      </c>
      <c r="BD383" s="503" t="str">
        <f>IF($G383="","",IF(AND($G383&gt;=30,$AT$3&lt;=BC$7),ROUND(BC383*($AP$3+#REF!),-1),""))</f>
        <v/>
      </c>
      <c r="BE383" s="503" t="s">
        <v>621</v>
      </c>
      <c r="BF383" s="503" t="str">
        <f>IF($G383="","",IF(AND($G383&gt;=30,$AT$3&lt;=BE$7),ROUND(BE383*($AP$3+#REF!),-1),""))</f>
        <v/>
      </c>
      <c r="BG383" s="503" t="s">
        <v>621</v>
      </c>
      <c r="BH383" s="503" t="str">
        <f>IF($G383="","",IF(AND($G383&gt;=30,$AT$3&lt;=BG$7),ROUND(BG383*($AP$3+#REF!),-1),""))</f>
        <v/>
      </c>
      <c r="BI383" s="503" t="s">
        <v>621</v>
      </c>
      <c r="BJ383" s="503" t="str">
        <f>IF($G383="","",IF(AND($G383&gt;=30,$AT$3&lt;=BI$7),ROUND(BI383*($AP$3+#REF!),-1),""))</f>
        <v/>
      </c>
      <c r="BK383" s="503" t="s">
        <v>621</v>
      </c>
      <c r="BL383" s="503" t="str">
        <f>IF($G383="","",IF(AND($G383&gt;=30,$AT$3&lt;=BK$7),ROUND(BK383*($AP$3+#REF!),-1),""))</f>
        <v/>
      </c>
      <c r="BM383" s="503" t="s">
        <v>621</v>
      </c>
      <c r="BN383" s="503" t="str">
        <f>IF($G383="","",IF(AND($G383&gt;=30,$AT$3&lt;=BM$7),ROUND(BM383*($AP$3+#REF!),-1),""))</f>
        <v/>
      </c>
      <c r="BO383" s="503" t="s">
        <v>621</v>
      </c>
      <c r="BP383" s="503" t="str">
        <f>IF($G383="","",IF(AND($G383&gt;=30,$AT$3&lt;=BO$7),ROUND(BO383*($AP$3+#REF!),-1),""))</f>
        <v/>
      </c>
      <c r="BQ383" s="503" t="s">
        <v>621</v>
      </c>
      <c r="BR383" s="503" t="str">
        <f>IF($G383="","",IF(AND($G383&gt;=30,$AT$3&lt;=BQ$7),ROUND(BQ383*($AP$3+#REF!),-1),""))</f>
        <v/>
      </c>
      <c r="BS383" s="503" t="s">
        <v>621</v>
      </c>
      <c r="BT383" s="503" t="str">
        <f>IF($G383="","",IF(AND($G383&gt;=30,$AT$3&lt;=BS$7),ROUND(BS383*($AP$3+#REF!),-1),""))</f>
        <v/>
      </c>
      <c r="BU383" s="503" t="s">
        <v>621</v>
      </c>
      <c r="BV383" s="503" t="str">
        <f>IF($G383="","",IF(AND($G383&gt;=30,$AT$3&lt;=BU$7),ROUND(BU383*($AP$3+#REF!),-1),""))</f>
        <v/>
      </c>
      <c r="BW383" s="503" t="s">
        <v>621</v>
      </c>
      <c r="BX383" s="503" t="str">
        <f>IF($G383="","",IF(AND($G383&gt;=30,$AT$3&lt;=BW$7),ROUND(BW383*($AP$3+#REF!),-1),""))</f>
        <v/>
      </c>
      <c r="BY383" s="503" t="s">
        <v>621</v>
      </c>
      <c r="BZ383" s="503" t="str">
        <f>IF($G383="","",IF(AND($G383&gt;=30,$AT$3&lt;=BY$7),ROUND(BY383*($AP$3+#REF!),-1),""))</f>
        <v/>
      </c>
      <c r="CA383" s="503" t="s">
        <v>621</v>
      </c>
      <c r="CB383" s="503" t="str">
        <f>IF($G383="","",IF(AND($G383&gt;=30,$AT$3&lt;=CA$7),ROUND(CA383*($AP$3+#REF!),-1),""))</f>
        <v/>
      </c>
      <c r="CC383" s="503" t="s">
        <v>621</v>
      </c>
      <c r="CD383" s="503" t="str">
        <f>IF($G383="","",IF(AND($G383&gt;=30,$AT$3&lt;=CC$7),ROUND(CC383*($AP$3+#REF!),-1),""))</f>
        <v/>
      </c>
      <c r="CE383" s="503" t="s">
        <v>621</v>
      </c>
      <c r="CF383" s="503" t="str">
        <f>IF($G383="","",IF(AND($G383&gt;=30,$AT$3&lt;=CE$7),ROUND(CE383*($AP$3+#REF!),-1),""))</f>
        <v/>
      </c>
      <c r="CG383" s="503" t="s">
        <v>621</v>
      </c>
      <c r="CH383" s="503" t="str">
        <f>IF($G383="","",IF(AND($G383&gt;=30,$AT$3&lt;=CG$7),ROUND(CG383*($AP$3+#REF!),-1),""))</f>
        <v/>
      </c>
      <c r="CI383" s="503" t="s">
        <v>621</v>
      </c>
      <c r="CJ383" s="503" t="str">
        <f>IF($G383="","",IF(AND($G383&gt;=30,$AT$3&lt;=CI$7),ROUND(CI383*($AP$3+#REF!),-1),""))</f>
        <v/>
      </c>
      <c r="CK383" s="503" t="s">
        <v>621</v>
      </c>
      <c r="CL383" s="503" t="str">
        <f>IF($G383="","",IF(AND($G383&gt;=30,$AT$3&lt;=CK$7),ROUND(CK383*($AP$3+#REF!),-1),""))</f>
        <v/>
      </c>
      <c r="CM383" s="503" t="s">
        <v>621</v>
      </c>
      <c r="CN383" s="503" t="str">
        <f>IF($G383="","",IF(AND($G383&gt;=30,$AT$3&lt;=CM$7),ROUND(CM383*($AP$3+#REF!),-1),""))</f>
        <v/>
      </c>
      <c r="CO383" s="503" t="s">
        <v>621</v>
      </c>
      <c r="CP383" s="503" t="str">
        <f>IF($G383="","",IF(AND($G383&gt;=30,$AT$3&lt;=CO$7),ROUND(CO383*($AP$3+#REF!),-1),""))</f>
        <v/>
      </c>
      <c r="CQ383" s="517" t="e">
        <v>#REF!</v>
      </c>
      <c r="CR383" s="503" t="str">
        <f>IF($G383="","",IF(AND($G383&gt;=30,$AT$3&lt;=CQ$7),ROUND(CQ383*($AP$3+#REF!),-1),""))</f>
        <v/>
      </c>
      <c r="CS383" s="517"/>
      <c r="CT383" s="503" t="str">
        <f>IF($G383="","",IF(AND($G383&gt;=30,$AT$3&lt;=CS$7),ROUND(CS383*($AP$3+#REF!),-1),""))</f>
        <v/>
      </c>
      <c r="CU383" s="517"/>
      <c r="CV383" s="503" t="str">
        <f>IF($G383="","",IF(AND($G383&gt;=30,$AT$3&lt;=CU$7),ROUND(CU383*($AP$3+#REF!),-1),""))</f>
        <v/>
      </c>
      <c r="CW383" s="517"/>
      <c r="CX383" s="503" t="str">
        <f>IF($G383="","",IF(AND($G383&gt;=30,$AT$3&lt;=CW$7),ROUND(CW383*($AP$3+#REF!),-1),""))</f>
        <v/>
      </c>
      <c r="CY383" s="517"/>
      <c r="CZ383" s="503" t="str">
        <f>IF($G383="","",IF(AND($G383&gt;=30,$AT$3&lt;=CY$7),ROUND(CY383*($AP$3+#REF!),-1),""))</f>
        <v/>
      </c>
      <c r="DA383" s="517"/>
      <c r="DB383" s="503" t="str">
        <f>IF($G383="","",IF(AND($G383&gt;=30,$AT$3&lt;=DA$7),ROUND(DA383*($AP$3+#REF!),-1),""))</f>
        <v/>
      </c>
      <c r="DC383" s="517"/>
      <c r="DD383" s="503" t="str">
        <f>IF($G383="","",IF(AND($G383&gt;=30,$AT$3&lt;=DC$7),ROUND(DC383*($AP$3+#REF!),-1),""))</f>
        <v/>
      </c>
      <c r="DE383" s="517"/>
      <c r="DF383" s="503" t="str">
        <f>IF($G383="","",IF(AND($G383&gt;=30,$AT$3&lt;=DE$7),ROUND(DE383*($AP$3+#REF!),-1),""))</f>
        <v/>
      </c>
      <c r="DG383" s="517"/>
      <c r="DH383" s="503" t="str">
        <f>IF($G383="","",IF(AND($G383&gt;=30,$AT$3&lt;=DG$7),ROUND(DG383*($AP$3+#REF!),-1),""))</f>
        <v/>
      </c>
      <c r="DI383" s="517"/>
      <c r="DJ383" s="503" t="str">
        <f>IF($G383="","",IF(AND($G383&gt;=30,$AT$3&lt;=DI$7),ROUND(DI383*($AP$3+#REF!),-1),""))</f>
        <v/>
      </c>
      <c r="DK383" s="517"/>
      <c r="DL383" s="503" t="str">
        <f>IF($G383="","",IF(AND($G383&gt;=30,$AT$3&lt;=DK$7),ROUND(DK383*($AP$3+#REF!),-1),""))</f>
        <v/>
      </c>
      <c r="DM383" s="517"/>
      <c r="DN383" s="503" t="str">
        <f>IF($G383="","",IF(AND($G383&gt;=30,$AT$3&lt;=DM$7),ROUND(DM383*($AP$3+#REF!),-1),""))</f>
        <v/>
      </c>
      <c r="DO383" s="517"/>
      <c r="DP383" s="503" t="str">
        <f>IF($G383="","",IF(AND($G383&gt;=30,$AT$3&lt;=DO$7),ROUND(DO383*($AP$3+#REF!),-1),""))</f>
        <v/>
      </c>
      <c r="DQ383" s="517"/>
      <c r="DR383" s="503" t="str">
        <f>IF($G383="","",IF(AND($G383&gt;=30,$AT$3&lt;=DQ$7),ROUND(DQ383*($AP$3+#REF!),-1),""))</f>
        <v/>
      </c>
      <c r="DS383" s="517"/>
      <c r="DT383" s="503" t="str">
        <f>IF($G383="","",IF(AND($G383&gt;=30,$AT$3&lt;=DS$7),ROUND(DS383*($AP$3+#REF!),-1),""))</f>
        <v/>
      </c>
      <c r="DU383" s="517"/>
      <c r="DV383" s="503" t="str">
        <f>IF($G383="","",IF(AND($G383&gt;=30,$AT$3&lt;=DU$7),ROUND(DU383*($AP$3+#REF!),-1),""))</f>
        <v/>
      </c>
      <c r="DW383" s="517"/>
      <c r="DX383" s="503" t="str">
        <f>IF($G383="","",IF(AND($G383&gt;=30,$AT$3&lt;=DW$7),ROUND(DW383*($AP$3+#REF!),-1),""))</f>
        <v/>
      </c>
      <c r="DY383" s="517"/>
      <c r="DZ383" s="503" t="str">
        <f>IF($G383="","",IF(AND($G383&gt;=30,$AT$3&lt;=DY$7),ROUND(DY383*($AP$3+#REF!),-1),""))</f>
        <v/>
      </c>
      <c r="EA383" s="517"/>
      <c r="EB383" s="503" t="str">
        <f>IF($G383="","",IF(AND($G383&gt;=30,$AT$3&lt;=EA$7),ROUND(EA383*($AP$3+#REF!),-1),""))</f>
        <v/>
      </c>
      <c r="EC383" s="504" t="s">
        <v>621</v>
      </c>
      <c r="ED383" s="1124"/>
      <c r="EE383" s="325">
        <v>3</v>
      </c>
    </row>
    <row r="384" spans="1:135" ht="9.75" customHeight="1">
      <c r="A384" s="321" t="str">
        <f t="shared" si="96"/>
        <v/>
      </c>
      <c r="B384" s="567">
        <f>(ii!$D$13*12+V384)+1</f>
        <v>278</v>
      </c>
      <c r="C384" s="337">
        <f t="shared" si="86"/>
        <v>53812</v>
      </c>
      <c r="D384" s="484">
        <f t="shared" si="89"/>
        <v>2047</v>
      </c>
      <c r="E384" s="484">
        <f t="shared" si="87"/>
        <v>0.33333333333333331</v>
      </c>
      <c r="F384" s="484">
        <f t="shared" si="90"/>
        <v>2047.3333333333333</v>
      </c>
      <c r="G384" s="485" t="str">
        <f>IF(OR(C384&lt;$I$2,C384&gt;$J$3),"",(ii!$D$13*12+V384+1)/12)</f>
        <v/>
      </c>
      <c r="H384" s="486"/>
      <c r="I384" s="486"/>
      <c r="J384" s="487"/>
      <c r="K384" s="488"/>
      <c r="L384" s="548"/>
      <c r="M384" s="489" t="str">
        <f t="shared" si="91"/>
        <v/>
      </c>
      <c r="N384" s="490" t="s">
        <v>621</v>
      </c>
      <c r="O384" s="490" t="str">
        <f t="shared" si="84"/>
        <v/>
      </c>
      <c r="P384" s="491"/>
      <c r="Q384" s="491"/>
      <c r="R384" s="491" t="str">
        <f t="shared" si="85"/>
        <v/>
      </c>
      <c r="S384" s="528" t="str">
        <f t="shared" ref="S384:S447" si="97">IF(G384="","",SUM(AF384:EB384))</f>
        <v/>
      </c>
      <c r="T384" s="528" t="str">
        <f t="shared" si="95"/>
        <v/>
      </c>
      <c r="U384" s="493" t="str">
        <f>IF(H384="","",#REF!*12+#REF!+#REF!*12+#REF!)</f>
        <v/>
      </c>
      <c r="V384" s="338">
        <f>IF(ii!$J$3&gt;gg!C384,"",IF(AND((YEAR(C384)=YEAR($I$2)),MONTH(C384)=MONTH($I$2)),ii!$B$14*12+ii!$C$14+ii!$B$15*12+ii!$C$15-1,V383+1))</f>
        <v>277</v>
      </c>
      <c r="W384" s="339">
        <f t="shared" si="88"/>
        <v>23.083333333333332</v>
      </c>
      <c r="X384" s="494" t="s">
        <v>621</v>
      </c>
      <c r="Y384" s="495" t="s">
        <v>621</v>
      </c>
      <c r="Z384" s="496"/>
      <c r="AA384" s="497"/>
      <c r="AB384" s="498" t="e">
        <f t="shared" si="94"/>
        <v>#VALUE!</v>
      </c>
      <c r="AC384" s="484" t="str">
        <f t="shared" si="92"/>
        <v/>
      </c>
      <c r="AD384" s="495" t="str">
        <f t="shared" si="93"/>
        <v/>
      </c>
      <c r="AE384" s="499" t="s">
        <v>621</v>
      </c>
      <c r="AF384" s="500" t="s">
        <v>621</v>
      </c>
      <c r="AG384" s="556" t="s">
        <v>621</v>
      </c>
      <c r="AH384" s="503" t="str">
        <f>IF($G384="","",IF(AND($G384&gt;=30,$AT$3&lt;=AG$7),ROUND(AG384*($AP$3+#REF!),-1),""))</f>
        <v/>
      </c>
      <c r="AI384" s="506" t="s">
        <v>621</v>
      </c>
      <c r="AJ384" s="503" t="str">
        <f>IF($G384="","",IF(AND($G384&gt;=30,$AT$3&lt;=AI$7),ROUND(AI384*($AP$3+#REF!),-1),""))</f>
        <v/>
      </c>
      <c r="AK384" s="506" t="s">
        <v>621</v>
      </c>
      <c r="AL384" s="503" t="str">
        <f>IF($G384="","",IF(AND($G384&gt;=30,$AT$3&lt;=AK$7),ROUND(AK384*($AP$3+#REF!),-1),""))</f>
        <v/>
      </c>
      <c r="AM384" s="506" t="s">
        <v>621</v>
      </c>
      <c r="AN384" s="503" t="str">
        <f>IF($G384="","",IF(AND($G384&gt;=30,$AT$3&lt;=AM$7),ROUND(AM384*($AP$3+#REF!),-1),""))</f>
        <v/>
      </c>
      <c r="AO384" s="503" t="e">
        <v>#REF!</v>
      </c>
      <c r="AP384" s="503" t="str">
        <f>IF($G384="","",IF(AND($G384&gt;=30,$AT$3&lt;=AO$7),ROUND(AO384*($AP$3+#REF!),-1),""))</f>
        <v/>
      </c>
      <c r="AQ384" s="503" t="s">
        <v>621</v>
      </c>
      <c r="AR384" s="503" t="str">
        <f>IF($G384="","",IF(AND($G384&gt;=30,$AT$3&lt;=AQ$7),ROUND(AQ384*($AP$3+#REF!),-1),""))</f>
        <v/>
      </c>
      <c r="AS384" s="503" t="s">
        <v>621</v>
      </c>
      <c r="AT384" s="503" t="str">
        <f>IF($G384="","",IF(AND($G384&gt;=30,$AT$3&lt;=AS$7),ROUND(AS384*($AP$3+#REF!),-1),""))</f>
        <v/>
      </c>
      <c r="AU384" s="503" t="s">
        <v>621</v>
      </c>
      <c r="AV384" s="503" t="str">
        <f>IF($G384="","",IF(AND($G384&gt;=30,$AT$3&lt;=AU$7),ROUND(AU384*($AP$3+#REF!),-1),""))</f>
        <v/>
      </c>
      <c r="AW384" s="503" t="s">
        <v>621</v>
      </c>
      <c r="AX384" s="503" t="str">
        <f>IF($G384="","",IF(AND($G384&gt;=30,$AT$3&lt;=AW$7),ROUND(AW384*($AP$3+#REF!),-1),""))</f>
        <v/>
      </c>
      <c r="AY384" s="503" t="s">
        <v>621</v>
      </c>
      <c r="AZ384" s="503" t="str">
        <f>IF($G384="","",IF(AND($G384&gt;=30,$AT$3&lt;=AY$7),ROUND(AY384*($AP$3+#REF!),-1),""))</f>
        <v/>
      </c>
      <c r="BA384" s="503" t="s">
        <v>621</v>
      </c>
      <c r="BB384" s="503" t="str">
        <f>IF($G384="","",IF(AND($G384&gt;=30,$AT$3&lt;=BA$7),ROUND(BA384*($AP$3+#REF!),-1),""))</f>
        <v/>
      </c>
      <c r="BC384" s="503" t="s">
        <v>621</v>
      </c>
      <c r="BD384" s="503" t="str">
        <f>IF($G384="","",IF(AND($G384&gt;=30,$AT$3&lt;=BC$7),ROUND(BC384*($AP$3+#REF!),-1),""))</f>
        <v/>
      </c>
      <c r="BE384" s="503" t="s">
        <v>621</v>
      </c>
      <c r="BF384" s="503" t="str">
        <f>IF($G384="","",IF(AND($G384&gt;=30,$AT$3&lt;=BE$7),ROUND(BE384*($AP$3+#REF!),-1),""))</f>
        <v/>
      </c>
      <c r="BG384" s="503" t="s">
        <v>621</v>
      </c>
      <c r="BH384" s="503" t="str">
        <f>IF($G384="","",IF(AND($G384&gt;=30,$AT$3&lt;=BG$7),ROUND(BG384*($AP$3+#REF!),-1),""))</f>
        <v/>
      </c>
      <c r="BI384" s="503" t="s">
        <v>621</v>
      </c>
      <c r="BJ384" s="503" t="str">
        <f>IF($G384="","",IF(AND($G384&gt;=30,$AT$3&lt;=BI$7),ROUND(BI384*($AP$3+#REF!),-1),""))</f>
        <v/>
      </c>
      <c r="BK384" s="503" t="s">
        <v>621</v>
      </c>
      <c r="BL384" s="503" t="str">
        <f>IF($G384="","",IF(AND($G384&gt;=30,$AT$3&lt;=BK$7),ROUND(BK384*($AP$3+#REF!),-1),""))</f>
        <v/>
      </c>
      <c r="BM384" s="503" t="s">
        <v>621</v>
      </c>
      <c r="BN384" s="503" t="str">
        <f>IF($G384="","",IF(AND($G384&gt;=30,$AT$3&lt;=BM$7),ROUND(BM384*($AP$3+#REF!),-1),""))</f>
        <v/>
      </c>
      <c r="BO384" s="503" t="s">
        <v>621</v>
      </c>
      <c r="BP384" s="503" t="str">
        <f>IF($G384="","",IF(AND($G384&gt;=30,$AT$3&lt;=BO$7),ROUND(BO384*($AP$3+#REF!),-1),""))</f>
        <v/>
      </c>
      <c r="BQ384" s="503" t="s">
        <v>621</v>
      </c>
      <c r="BR384" s="503" t="str">
        <f>IF($G384="","",IF(AND($G384&gt;=30,$AT$3&lt;=BQ$7),ROUND(BQ384*($AP$3+#REF!),-1),""))</f>
        <v/>
      </c>
      <c r="BS384" s="503" t="s">
        <v>621</v>
      </c>
      <c r="BT384" s="503" t="str">
        <f>IF($G384="","",IF(AND($G384&gt;=30,$AT$3&lt;=BS$7),ROUND(BS384*($AP$3+#REF!),-1),""))</f>
        <v/>
      </c>
      <c r="BU384" s="503" t="s">
        <v>621</v>
      </c>
      <c r="BV384" s="503" t="str">
        <f>IF($G384="","",IF(AND($G384&gt;=30,$AT$3&lt;=BU$7),ROUND(BU384*($AP$3+#REF!),-1),""))</f>
        <v/>
      </c>
      <c r="BW384" s="503" t="s">
        <v>621</v>
      </c>
      <c r="BX384" s="503" t="str">
        <f>IF($G384="","",IF(AND($G384&gt;=30,$AT$3&lt;=BW$7),ROUND(BW384*($AP$3+#REF!),-1),""))</f>
        <v/>
      </c>
      <c r="BY384" s="503" t="s">
        <v>621</v>
      </c>
      <c r="BZ384" s="503" t="str">
        <f>IF($G384="","",IF(AND($G384&gt;=30,$AT$3&lt;=BY$7),ROUND(BY384*($AP$3+#REF!),-1),""))</f>
        <v/>
      </c>
      <c r="CA384" s="503" t="s">
        <v>621</v>
      </c>
      <c r="CB384" s="503" t="str">
        <f>IF($G384="","",IF(AND($G384&gt;=30,$AT$3&lt;=CA$7),ROUND(CA384*($AP$3+#REF!),-1),""))</f>
        <v/>
      </c>
      <c r="CC384" s="503" t="s">
        <v>621</v>
      </c>
      <c r="CD384" s="503" t="str">
        <f>IF($G384="","",IF(AND($G384&gt;=30,$AT$3&lt;=CC$7),ROUND(CC384*($AP$3+#REF!),-1),""))</f>
        <v/>
      </c>
      <c r="CE384" s="503" t="s">
        <v>621</v>
      </c>
      <c r="CF384" s="503" t="str">
        <f>IF($G384="","",IF(AND($G384&gt;=30,$AT$3&lt;=CE$7),ROUND(CE384*($AP$3+#REF!),-1),""))</f>
        <v/>
      </c>
      <c r="CG384" s="503" t="s">
        <v>621</v>
      </c>
      <c r="CH384" s="503" t="str">
        <f>IF($G384="","",IF(AND($G384&gt;=30,$AT$3&lt;=CG$7),ROUND(CG384*($AP$3+#REF!),-1),""))</f>
        <v/>
      </c>
      <c r="CI384" s="503" t="s">
        <v>621</v>
      </c>
      <c r="CJ384" s="503" t="str">
        <f>IF($G384="","",IF(AND($G384&gt;=30,$AT$3&lt;=CI$7),ROUND(CI384*($AP$3+#REF!),-1),""))</f>
        <v/>
      </c>
      <c r="CK384" s="503" t="s">
        <v>621</v>
      </c>
      <c r="CL384" s="503" t="str">
        <f>IF($G384="","",IF(AND($G384&gt;=30,$AT$3&lt;=CK$7),ROUND(CK384*($AP$3+#REF!),-1),""))</f>
        <v/>
      </c>
      <c r="CM384" s="503" t="s">
        <v>621</v>
      </c>
      <c r="CN384" s="503" t="str">
        <f>IF($G384="","",IF(AND($G384&gt;=30,$AT$3&lt;=CM$7),ROUND(CM384*($AP$3+#REF!),-1),""))</f>
        <v/>
      </c>
      <c r="CO384" s="503" t="s">
        <v>621</v>
      </c>
      <c r="CP384" s="503" t="str">
        <f>IF($G384="","",IF(AND($G384&gt;=30,$AT$3&lt;=CO$7),ROUND(CO384*($AP$3+#REF!),-1),""))</f>
        <v/>
      </c>
      <c r="CQ384" s="517" t="e">
        <v>#REF!</v>
      </c>
      <c r="CR384" s="503" t="str">
        <f>IF($G384="","",IF(AND($G384&gt;=30,$AT$3&lt;=CQ$7),ROUND(CQ384*($AP$3+#REF!),-1),""))</f>
        <v/>
      </c>
      <c r="CS384" s="517"/>
      <c r="CT384" s="503" t="str">
        <f>IF($G384="","",IF(AND($G384&gt;=30,$AT$3&lt;=CS$7),ROUND(CS384*($AP$3+#REF!),-1),""))</f>
        <v/>
      </c>
      <c r="CU384" s="517"/>
      <c r="CV384" s="503" t="str">
        <f>IF($G384="","",IF(AND($G384&gt;=30,$AT$3&lt;=CU$7),ROUND(CU384*($AP$3+#REF!),-1),""))</f>
        <v/>
      </c>
      <c r="CW384" s="517"/>
      <c r="CX384" s="503" t="str">
        <f>IF($G384="","",IF(AND($G384&gt;=30,$AT$3&lt;=CW$7),ROUND(CW384*($AP$3+#REF!),-1),""))</f>
        <v/>
      </c>
      <c r="CY384" s="517"/>
      <c r="CZ384" s="503" t="str">
        <f>IF($G384="","",IF(AND($G384&gt;=30,$AT$3&lt;=CY$7),ROUND(CY384*($AP$3+#REF!),-1),""))</f>
        <v/>
      </c>
      <c r="DA384" s="517"/>
      <c r="DB384" s="503" t="str">
        <f>IF($G384="","",IF(AND($G384&gt;=30,$AT$3&lt;=DA$7),ROUND(DA384*($AP$3+#REF!),-1),""))</f>
        <v/>
      </c>
      <c r="DC384" s="517"/>
      <c r="DD384" s="503" t="str">
        <f>IF($G384="","",IF(AND($G384&gt;=30,$AT$3&lt;=DC$7),ROUND(DC384*($AP$3+#REF!),-1),""))</f>
        <v/>
      </c>
      <c r="DE384" s="517"/>
      <c r="DF384" s="503" t="str">
        <f>IF($G384="","",IF(AND($G384&gt;=30,$AT$3&lt;=DE$7),ROUND(DE384*($AP$3+#REF!),-1),""))</f>
        <v/>
      </c>
      <c r="DG384" s="517"/>
      <c r="DH384" s="503" t="str">
        <f>IF($G384="","",IF(AND($G384&gt;=30,$AT$3&lt;=DG$7),ROUND(DG384*($AP$3+#REF!),-1),""))</f>
        <v/>
      </c>
      <c r="DI384" s="517"/>
      <c r="DJ384" s="503" t="str">
        <f>IF($G384="","",IF(AND($G384&gt;=30,$AT$3&lt;=DI$7),ROUND(DI384*($AP$3+#REF!),-1),""))</f>
        <v/>
      </c>
      <c r="DK384" s="517"/>
      <c r="DL384" s="503" t="str">
        <f>IF($G384="","",IF(AND($G384&gt;=30,$AT$3&lt;=DK$7),ROUND(DK384*($AP$3+#REF!),-1),""))</f>
        <v/>
      </c>
      <c r="DM384" s="517"/>
      <c r="DN384" s="503" t="str">
        <f>IF($G384="","",IF(AND($G384&gt;=30,$AT$3&lt;=DM$7),ROUND(DM384*($AP$3+#REF!),-1),""))</f>
        <v/>
      </c>
      <c r="DO384" s="517"/>
      <c r="DP384" s="503" t="str">
        <f>IF($G384="","",IF(AND($G384&gt;=30,$AT$3&lt;=DO$7),ROUND(DO384*($AP$3+#REF!),-1),""))</f>
        <v/>
      </c>
      <c r="DQ384" s="517"/>
      <c r="DR384" s="503" t="str">
        <f>IF($G384="","",IF(AND($G384&gt;=30,$AT$3&lt;=DQ$7),ROUND(DQ384*($AP$3+#REF!),-1),""))</f>
        <v/>
      </c>
      <c r="DS384" s="517"/>
      <c r="DT384" s="503" t="str">
        <f>IF($G384="","",IF(AND($G384&gt;=30,$AT$3&lt;=DS$7),ROUND(DS384*($AP$3+#REF!),-1),""))</f>
        <v/>
      </c>
      <c r="DU384" s="517"/>
      <c r="DV384" s="503" t="str">
        <f>IF($G384="","",IF(AND($G384&gt;=30,$AT$3&lt;=DU$7),ROUND(DU384*($AP$3+#REF!),-1),""))</f>
        <v/>
      </c>
      <c r="DW384" s="517"/>
      <c r="DX384" s="503" t="str">
        <f>IF($G384="","",IF(AND($G384&gt;=30,$AT$3&lt;=DW$7),ROUND(DW384*($AP$3+#REF!),-1),""))</f>
        <v/>
      </c>
      <c r="DY384" s="517"/>
      <c r="DZ384" s="503" t="str">
        <f>IF($G384="","",IF(AND($G384&gt;=30,$AT$3&lt;=DY$7),ROUND(DY384*($AP$3+#REF!),-1),""))</f>
        <v/>
      </c>
      <c r="EA384" s="517"/>
      <c r="EB384" s="503" t="str">
        <f>IF($G384="","",IF(AND($G384&gt;=30,$AT$3&lt;=EA$7),ROUND(EA384*($AP$3+#REF!),-1),""))</f>
        <v/>
      </c>
      <c r="EC384" s="504" t="s">
        <v>621</v>
      </c>
      <c r="ED384" s="1124"/>
      <c r="EE384" s="325">
        <v>4</v>
      </c>
    </row>
    <row r="385" spans="1:135" ht="9.75" customHeight="1">
      <c r="A385" s="321" t="str">
        <f t="shared" si="96"/>
        <v/>
      </c>
      <c r="B385" s="567">
        <f>(ii!$D$13*12+V385)+1</f>
        <v>279</v>
      </c>
      <c r="C385" s="337">
        <f t="shared" si="86"/>
        <v>53843</v>
      </c>
      <c r="D385" s="484">
        <f t="shared" si="89"/>
        <v>2047</v>
      </c>
      <c r="E385" s="484">
        <f t="shared" si="87"/>
        <v>0.41666666666666669</v>
      </c>
      <c r="F385" s="484">
        <f t="shared" si="90"/>
        <v>2047.4166666666667</v>
      </c>
      <c r="G385" s="485" t="str">
        <f>IF(OR(C385&lt;$I$2,C385&gt;$J$3),"",(ii!$D$13*12+V385+1)/12)</f>
        <v/>
      </c>
      <c r="H385" s="486"/>
      <c r="I385" s="486"/>
      <c r="J385" s="507"/>
      <c r="K385" s="508"/>
      <c r="L385" s="548"/>
      <c r="M385" s="489" t="str">
        <f t="shared" si="91"/>
        <v/>
      </c>
      <c r="N385" s="490" t="s">
        <v>621</v>
      </c>
      <c r="O385" s="490" t="str">
        <f t="shared" si="84"/>
        <v/>
      </c>
      <c r="P385" s="507"/>
      <c r="Q385" s="507"/>
      <c r="R385" s="491" t="str">
        <f t="shared" si="85"/>
        <v/>
      </c>
      <c r="S385" s="528" t="str">
        <f t="shared" si="97"/>
        <v/>
      </c>
      <c r="T385" s="528" t="str">
        <f t="shared" si="95"/>
        <v/>
      </c>
      <c r="U385" s="493" t="str">
        <f>IF(H385="","",#REF!*12+#REF!+#REF!*12+#REF!)</f>
        <v/>
      </c>
      <c r="V385" s="338">
        <f>IF(ii!$J$3&gt;gg!C385,"",IF(AND((YEAR(C385)=YEAR($I$2)),MONTH(C385)=MONTH($I$2)),ii!$B$14*12+ii!$C$14+ii!$B$15*12+ii!$C$15-1,V384+1))</f>
        <v>278</v>
      </c>
      <c r="W385" s="339">
        <f t="shared" si="88"/>
        <v>23.166666666666668</v>
      </c>
      <c r="X385" s="494" t="s">
        <v>621</v>
      </c>
      <c r="Y385" s="495" t="s">
        <v>621</v>
      </c>
      <c r="Z385" s="496"/>
      <c r="AA385" s="497"/>
      <c r="AB385" s="498" t="e">
        <f t="shared" si="94"/>
        <v>#VALUE!</v>
      </c>
      <c r="AC385" s="484" t="str">
        <f t="shared" si="92"/>
        <v/>
      </c>
      <c r="AD385" s="495" t="str">
        <f t="shared" si="93"/>
        <v/>
      </c>
      <c r="AE385" s="499" t="s">
        <v>621</v>
      </c>
      <c r="AF385" s="500" t="s">
        <v>621</v>
      </c>
      <c r="AG385" s="556" t="s">
        <v>621</v>
      </c>
      <c r="AH385" s="503" t="str">
        <f>IF($G385="","",IF(AND($G385&gt;=30,$AT$3&lt;=AG$7),ROUND(AG385*($AP$3+#REF!),-1),""))</f>
        <v/>
      </c>
      <c r="AI385" s="506" t="s">
        <v>621</v>
      </c>
      <c r="AJ385" s="503" t="str">
        <f>IF($G385="","",IF(AND($G385&gt;=30,$AT$3&lt;=AI$7),ROUND(AI385*($AP$3+#REF!),-1),""))</f>
        <v/>
      </c>
      <c r="AK385" s="506" t="s">
        <v>621</v>
      </c>
      <c r="AL385" s="503" t="str">
        <f>IF($G385="","",IF(AND($G385&gt;=30,$AT$3&lt;=AK$7),ROUND(AK385*($AP$3+#REF!),-1),""))</f>
        <v/>
      </c>
      <c r="AM385" s="506" t="s">
        <v>621</v>
      </c>
      <c r="AN385" s="503" t="str">
        <f>IF($G385="","",IF(AND($G385&gt;=30,$AT$3&lt;=AM$7),ROUND(AM385*($AP$3+#REF!),-1),""))</f>
        <v/>
      </c>
      <c r="AO385" s="503" t="e">
        <v>#REF!</v>
      </c>
      <c r="AP385" s="503" t="str">
        <f>IF($G385="","",IF(AND($G385&gt;=30,$AT$3&lt;=AO$7),ROUND(AO385*($AP$3+#REF!),-1),""))</f>
        <v/>
      </c>
      <c r="AQ385" s="503" t="s">
        <v>621</v>
      </c>
      <c r="AR385" s="503" t="str">
        <f>IF($G385="","",IF(AND($G385&gt;=30,$AT$3&lt;=AQ$7),ROUND(AQ385*($AP$3+#REF!),-1),""))</f>
        <v/>
      </c>
      <c r="AS385" s="503" t="s">
        <v>621</v>
      </c>
      <c r="AT385" s="503" t="str">
        <f>IF($G385="","",IF(AND($G385&gt;=30,$AT$3&lt;=AS$7),ROUND(AS385*($AP$3+#REF!),-1),""))</f>
        <v/>
      </c>
      <c r="AU385" s="503" t="s">
        <v>621</v>
      </c>
      <c r="AV385" s="503" t="str">
        <f>IF($G385="","",IF(AND($G385&gt;=30,$AT$3&lt;=AU$7),ROUND(AU385*($AP$3+#REF!),-1),""))</f>
        <v/>
      </c>
      <c r="AW385" s="503" t="s">
        <v>621</v>
      </c>
      <c r="AX385" s="503" t="str">
        <f>IF($G385="","",IF(AND($G385&gt;=30,$AT$3&lt;=AW$7),ROUND(AW385*($AP$3+#REF!),-1),""))</f>
        <v/>
      </c>
      <c r="AY385" s="503" t="s">
        <v>621</v>
      </c>
      <c r="AZ385" s="503" t="str">
        <f>IF($G385="","",IF(AND($G385&gt;=30,$AT$3&lt;=AY$7),ROUND(AY385*($AP$3+#REF!),-1),""))</f>
        <v/>
      </c>
      <c r="BA385" s="503" t="s">
        <v>621</v>
      </c>
      <c r="BB385" s="503" t="str">
        <f>IF($G385="","",IF(AND($G385&gt;=30,$AT$3&lt;=BA$7),ROUND(BA385*($AP$3+#REF!),-1),""))</f>
        <v/>
      </c>
      <c r="BC385" s="503" t="s">
        <v>621</v>
      </c>
      <c r="BD385" s="503" t="str">
        <f>IF($G385="","",IF(AND($G385&gt;=30,$AT$3&lt;=BC$7),ROUND(BC385*($AP$3+#REF!),-1),""))</f>
        <v/>
      </c>
      <c r="BE385" s="503" t="s">
        <v>621</v>
      </c>
      <c r="BF385" s="503" t="str">
        <f>IF($G385="","",IF(AND($G385&gt;=30,$AT$3&lt;=BE$7),ROUND(BE385*($AP$3+#REF!),-1),""))</f>
        <v/>
      </c>
      <c r="BG385" s="503" t="s">
        <v>621</v>
      </c>
      <c r="BH385" s="503" t="str">
        <f>IF($G385="","",IF(AND($G385&gt;=30,$AT$3&lt;=BG$7),ROUND(BG385*($AP$3+#REF!),-1),""))</f>
        <v/>
      </c>
      <c r="BI385" s="503" t="s">
        <v>621</v>
      </c>
      <c r="BJ385" s="503" t="str">
        <f>IF($G385="","",IF(AND($G385&gt;=30,$AT$3&lt;=BI$7),ROUND(BI385*($AP$3+#REF!),-1),""))</f>
        <v/>
      </c>
      <c r="BK385" s="503" t="s">
        <v>621</v>
      </c>
      <c r="BL385" s="503" t="str">
        <f>IF($G385="","",IF(AND($G385&gt;=30,$AT$3&lt;=BK$7),ROUND(BK385*($AP$3+#REF!),-1),""))</f>
        <v/>
      </c>
      <c r="BM385" s="503" t="s">
        <v>621</v>
      </c>
      <c r="BN385" s="503" t="str">
        <f>IF($G385="","",IF(AND($G385&gt;=30,$AT$3&lt;=BM$7),ROUND(BM385*($AP$3+#REF!),-1),""))</f>
        <v/>
      </c>
      <c r="BO385" s="503" t="s">
        <v>621</v>
      </c>
      <c r="BP385" s="503" t="str">
        <f>IF($G385="","",IF(AND($G385&gt;=30,$AT$3&lt;=BO$7),ROUND(BO385*($AP$3+#REF!),-1),""))</f>
        <v/>
      </c>
      <c r="BQ385" s="503" t="s">
        <v>621</v>
      </c>
      <c r="BR385" s="503" t="str">
        <f>IF($G385="","",IF(AND($G385&gt;=30,$AT$3&lt;=BQ$7),ROUND(BQ385*($AP$3+#REF!),-1),""))</f>
        <v/>
      </c>
      <c r="BS385" s="503" t="s">
        <v>621</v>
      </c>
      <c r="BT385" s="503" t="str">
        <f>IF($G385="","",IF(AND($G385&gt;=30,$AT$3&lt;=BS$7),ROUND(BS385*($AP$3+#REF!),-1),""))</f>
        <v/>
      </c>
      <c r="BU385" s="503" t="s">
        <v>621</v>
      </c>
      <c r="BV385" s="503" t="str">
        <f>IF($G385="","",IF(AND($G385&gt;=30,$AT$3&lt;=BU$7),ROUND(BU385*($AP$3+#REF!),-1),""))</f>
        <v/>
      </c>
      <c r="BW385" s="503" t="s">
        <v>621</v>
      </c>
      <c r="BX385" s="503" t="str">
        <f>IF($G385="","",IF(AND($G385&gt;=30,$AT$3&lt;=BW$7),ROUND(BW385*($AP$3+#REF!),-1),""))</f>
        <v/>
      </c>
      <c r="BY385" s="503" t="s">
        <v>621</v>
      </c>
      <c r="BZ385" s="503" t="str">
        <f>IF($G385="","",IF(AND($G385&gt;=30,$AT$3&lt;=BY$7),ROUND(BY385*($AP$3+#REF!),-1),""))</f>
        <v/>
      </c>
      <c r="CA385" s="503" t="s">
        <v>621</v>
      </c>
      <c r="CB385" s="503" t="str">
        <f>IF($G385="","",IF(AND($G385&gt;=30,$AT$3&lt;=CA$7),ROUND(CA385*($AP$3+#REF!),-1),""))</f>
        <v/>
      </c>
      <c r="CC385" s="503" t="s">
        <v>621</v>
      </c>
      <c r="CD385" s="503" t="str">
        <f>IF($G385="","",IF(AND($G385&gt;=30,$AT$3&lt;=CC$7),ROUND(CC385*($AP$3+#REF!),-1),""))</f>
        <v/>
      </c>
      <c r="CE385" s="503" t="s">
        <v>621</v>
      </c>
      <c r="CF385" s="503" t="str">
        <f>IF($G385="","",IF(AND($G385&gt;=30,$AT$3&lt;=CE$7),ROUND(CE385*($AP$3+#REF!),-1),""))</f>
        <v/>
      </c>
      <c r="CG385" s="503" t="s">
        <v>621</v>
      </c>
      <c r="CH385" s="503" t="str">
        <f>IF($G385="","",IF(AND($G385&gt;=30,$AT$3&lt;=CG$7),ROUND(CG385*($AP$3+#REF!),-1),""))</f>
        <v/>
      </c>
      <c r="CI385" s="503" t="s">
        <v>621</v>
      </c>
      <c r="CJ385" s="503" t="str">
        <f>IF($G385="","",IF(AND($G385&gt;=30,$AT$3&lt;=CI$7),ROUND(CI385*($AP$3+#REF!),-1),""))</f>
        <v/>
      </c>
      <c r="CK385" s="503" t="s">
        <v>621</v>
      </c>
      <c r="CL385" s="503" t="str">
        <f>IF($G385="","",IF(AND($G385&gt;=30,$AT$3&lt;=CK$7),ROUND(CK385*($AP$3+#REF!),-1),""))</f>
        <v/>
      </c>
      <c r="CM385" s="503" t="s">
        <v>621</v>
      </c>
      <c r="CN385" s="503" t="str">
        <f>IF($G385="","",IF(AND($G385&gt;=30,$AT$3&lt;=CM$7),ROUND(CM385*($AP$3+#REF!),-1),""))</f>
        <v/>
      </c>
      <c r="CO385" s="503" t="s">
        <v>621</v>
      </c>
      <c r="CP385" s="503" t="str">
        <f>IF($G385="","",IF(AND($G385&gt;=30,$AT$3&lt;=CO$7),ROUND(CO385*($AP$3+#REF!),-1),""))</f>
        <v/>
      </c>
      <c r="CQ385" s="517" t="e">
        <v>#REF!</v>
      </c>
      <c r="CR385" s="503" t="str">
        <f>IF($G385="","",IF(AND($G385&gt;=30,$AT$3&lt;=CQ$7),ROUND(CQ385*($AP$3+#REF!),-1),""))</f>
        <v/>
      </c>
      <c r="CS385" s="517"/>
      <c r="CT385" s="503" t="str">
        <f>IF($G385="","",IF(AND($G385&gt;=30,$AT$3&lt;=CS$7),ROUND(CS385*($AP$3+#REF!),-1),""))</f>
        <v/>
      </c>
      <c r="CU385" s="517"/>
      <c r="CV385" s="503" t="str">
        <f>IF($G385="","",IF(AND($G385&gt;=30,$AT$3&lt;=CU$7),ROUND(CU385*($AP$3+#REF!),-1),""))</f>
        <v/>
      </c>
      <c r="CW385" s="517"/>
      <c r="CX385" s="503" t="str">
        <f>IF($G385="","",IF(AND($G385&gt;=30,$AT$3&lt;=CW$7),ROUND(CW385*($AP$3+#REF!),-1),""))</f>
        <v/>
      </c>
      <c r="CY385" s="517"/>
      <c r="CZ385" s="503" t="str">
        <f>IF($G385="","",IF(AND($G385&gt;=30,$AT$3&lt;=CY$7),ROUND(CY385*($AP$3+#REF!),-1),""))</f>
        <v/>
      </c>
      <c r="DA385" s="517"/>
      <c r="DB385" s="503" t="str">
        <f>IF($G385="","",IF(AND($G385&gt;=30,$AT$3&lt;=DA$7),ROUND(DA385*($AP$3+#REF!),-1),""))</f>
        <v/>
      </c>
      <c r="DC385" s="517"/>
      <c r="DD385" s="503" t="str">
        <f>IF($G385="","",IF(AND($G385&gt;=30,$AT$3&lt;=DC$7),ROUND(DC385*($AP$3+#REF!),-1),""))</f>
        <v/>
      </c>
      <c r="DE385" s="517"/>
      <c r="DF385" s="503" t="str">
        <f>IF($G385="","",IF(AND($G385&gt;=30,$AT$3&lt;=DE$7),ROUND(DE385*($AP$3+#REF!),-1),""))</f>
        <v/>
      </c>
      <c r="DG385" s="517"/>
      <c r="DH385" s="503" t="str">
        <f>IF($G385="","",IF(AND($G385&gt;=30,$AT$3&lt;=DG$7),ROUND(DG385*($AP$3+#REF!),-1),""))</f>
        <v/>
      </c>
      <c r="DI385" s="517"/>
      <c r="DJ385" s="503" t="str">
        <f>IF($G385="","",IF(AND($G385&gt;=30,$AT$3&lt;=DI$7),ROUND(DI385*($AP$3+#REF!),-1),""))</f>
        <v/>
      </c>
      <c r="DK385" s="517"/>
      <c r="DL385" s="503" t="str">
        <f>IF($G385="","",IF(AND($G385&gt;=30,$AT$3&lt;=DK$7),ROUND(DK385*($AP$3+#REF!),-1),""))</f>
        <v/>
      </c>
      <c r="DM385" s="517"/>
      <c r="DN385" s="503" t="str">
        <f>IF($G385="","",IF(AND($G385&gt;=30,$AT$3&lt;=DM$7),ROUND(DM385*($AP$3+#REF!),-1),""))</f>
        <v/>
      </c>
      <c r="DO385" s="517"/>
      <c r="DP385" s="503" t="str">
        <f>IF($G385="","",IF(AND($G385&gt;=30,$AT$3&lt;=DO$7),ROUND(DO385*($AP$3+#REF!),-1),""))</f>
        <v/>
      </c>
      <c r="DQ385" s="517"/>
      <c r="DR385" s="503" t="str">
        <f>IF($G385="","",IF(AND($G385&gt;=30,$AT$3&lt;=DQ$7),ROUND(DQ385*($AP$3+#REF!),-1),""))</f>
        <v/>
      </c>
      <c r="DS385" s="517"/>
      <c r="DT385" s="503" t="str">
        <f>IF($G385="","",IF(AND($G385&gt;=30,$AT$3&lt;=DS$7),ROUND(DS385*($AP$3+#REF!),-1),""))</f>
        <v/>
      </c>
      <c r="DU385" s="517"/>
      <c r="DV385" s="503" t="str">
        <f>IF($G385="","",IF(AND($G385&gt;=30,$AT$3&lt;=DU$7),ROUND(DU385*($AP$3+#REF!),-1),""))</f>
        <v/>
      </c>
      <c r="DW385" s="517"/>
      <c r="DX385" s="503" t="str">
        <f>IF($G385="","",IF(AND($G385&gt;=30,$AT$3&lt;=DW$7),ROUND(DW385*($AP$3+#REF!),-1),""))</f>
        <v/>
      </c>
      <c r="DY385" s="517"/>
      <c r="DZ385" s="503" t="str">
        <f>IF($G385="","",IF(AND($G385&gt;=30,$AT$3&lt;=DY$7),ROUND(DY385*($AP$3+#REF!),-1),""))</f>
        <v/>
      </c>
      <c r="EA385" s="517"/>
      <c r="EB385" s="503" t="str">
        <f>IF($G385="","",IF(AND($G385&gt;=30,$AT$3&lt;=EA$7),ROUND(EA385*($AP$3+#REF!),-1),""))</f>
        <v/>
      </c>
      <c r="EC385" s="504" t="s">
        <v>621</v>
      </c>
      <c r="ED385" s="1124"/>
      <c r="EE385" s="325">
        <v>5</v>
      </c>
    </row>
    <row r="386" spans="1:135" ht="9.75" customHeight="1">
      <c r="A386" s="321" t="str">
        <f t="shared" si="96"/>
        <v/>
      </c>
      <c r="B386" s="567">
        <f>(ii!$D$13*12+V386)+1</f>
        <v>280</v>
      </c>
      <c r="C386" s="337">
        <f t="shared" si="86"/>
        <v>53873</v>
      </c>
      <c r="D386" s="484">
        <f t="shared" si="89"/>
        <v>2047</v>
      </c>
      <c r="E386" s="484">
        <f t="shared" si="87"/>
        <v>0.5</v>
      </c>
      <c r="F386" s="484">
        <f t="shared" si="90"/>
        <v>2047.5</v>
      </c>
      <c r="G386" s="485" t="str">
        <f>IF(OR(C386&lt;$I$2,C386&gt;$J$3),"",(ii!$D$13*12+V386+1)/12)</f>
        <v/>
      </c>
      <c r="H386" s="486"/>
      <c r="I386" s="486"/>
      <c r="J386" s="487"/>
      <c r="K386" s="488"/>
      <c r="L386" s="548"/>
      <c r="M386" s="489" t="str">
        <f t="shared" si="91"/>
        <v/>
      </c>
      <c r="N386" s="490" t="s">
        <v>621</v>
      </c>
      <c r="O386" s="490" t="str">
        <f t="shared" si="84"/>
        <v/>
      </c>
      <c r="P386" s="491"/>
      <c r="Q386" s="491"/>
      <c r="R386" s="491" t="str">
        <f t="shared" si="85"/>
        <v/>
      </c>
      <c r="S386" s="528" t="str">
        <f t="shared" si="97"/>
        <v/>
      </c>
      <c r="T386" s="528" t="str">
        <f t="shared" si="95"/>
        <v/>
      </c>
      <c r="U386" s="493" t="str">
        <f>IF(H386="","",#REF!*12+#REF!+#REF!*12+#REF!)</f>
        <v/>
      </c>
      <c r="V386" s="338">
        <f>IF(ii!$J$3&gt;gg!C386,"",IF(AND((YEAR(C386)=YEAR($I$2)),MONTH(C386)=MONTH($I$2)),ii!$B$14*12+ii!$C$14+ii!$B$15*12+ii!$C$15-1,V385+1))</f>
        <v>279</v>
      </c>
      <c r="W386" s="339">
        <f t="shared" si="88"/>
        <v>23.25</v>
      </c>
      <c r="X386" s="494" t="s">
        <v>621</v>
      </c>
      <c r="Y386" s="495" t="s">
        <v>621</v>
      </c>
      <c r="Z386" s="496"/>
      <c r="AA386" s="497"/>
      <c r="AB386" s="498" t="e">
        <f t="shared" si="94"/>
        <v>#VALUE!</v>
      </c>
      <c r="AC386" s="484" t="str">
        <f t="shared" si="92"/>
        <v/>
      </c>
      <c r="AD386" s="495" t="str">
        <f t="shared" si="93"/>
        <v/>
      </c>
      <c r="AE386" s="499" t="s">
        <v>621</v>
      </c>
      <c r="AF386" s="500" t="s">
        <v>621</v>
      </c>
      <c r="AG386" s="556" t="s">
        <v>621</v>
      </c>
      <c r="AH386" s="503" t="str">
        <f>IF($G386="","",IF(AND($G386&gt;=30,$AT$3&lt;=AG$7),ROUND(AG386*($AP$3+#REF!),-1),""))</f>
        <v/>
      </c>
      <c r="AI386" s="506" t="s">
        <v>621</v>
      </c>
      <c r="AJ386" s="503" t="str">
        <f>IF($G386="","",IF(AND($G386&gt;=30,$AT$3&lt;=AI$7),ROUND(AI386*($AP$3+#REF!),-1),""))</f>
        <v/>
      </c>
      <c r="AK386" s="506" t="s">
        <v>621</v>
      </c>
      <c r="AL386" s="503" t="str">
        <f>IF($G386="","",IF(AND($G386&gt;=30,$AT$3&lt;=AK$7),ROUND(AK386*($AP$3+#REF!),-1),""))</f>
        <v/>
      </c>
      <c r="AM386" s="506" t="s">
        <v>621</v>
      </c>
      <c r="AN386" s="503" t="str">
        <f>IF($G386="","",IF(AND($G386&gt;=30,$AT$3&lt;=AM$7),ROUND(AM386*($AP$3+#REF!),-1),""))</f>
        <v/>
      </c>
      <c r="AO386" s="503" t="e">
        <v>#REF!</v>
      </c>
      <c r="AP386" s="503" t="str">
        <f>IF($G386="","",IF(AND($G386&gt;=30,$AT$3&lt;=AO$7),ROUND(AO386*($AP$3+#REF!),-1),""))</f>
        <v/>
      </c>
      <c r="AQ386" s="503" t="s">
        <v>621</v>
      </c>
      <c r="AR386" s="503" t="str">
        <f>IF($G386="","",IF(AND($G386&gt;=30,$AT$3&lt;=AQ$7),ROUND(AQ386*($AP$3+#REF!),-1),""))</f>
        <v/>
      </c>
      <c r="AS386" s="503" t="s">
        <v>621</v>
      </c>
      <c r="AT386" s="503" t="str">
        <f>IF($G386="","",IF(AND($G386&gt;=30,$AT$3&lt;=AS$7),ROUND(AS386*($AP$3+#REF!),-1),""))</f>
        <v/>
      </c>
      <c r="AU386" s="503" t="s">
        <v>621</v>
      </c>
      <c r="AV386" s="503" t="str">
        <f>IF($G386="","",IF(AND($G386&gt;=30,$AT$3&lt;=AU$7),ROUND(AU386*($AP$3+#REF!),-1),""))</f>
        <v/>
      </c>
      <c r="AW386" s="503" t="s">
        <v>621</v>
      </c>
      <c r="AX386" s="503" t="str">
        <f>IF($G386="","",IF(AND($G386&gt;=30,$AT$3&lt;=AW$7),ROUND(AW386*($AP$3+#REF!),-1),""))</f>
        <v/>
      </c>
      <c r="AY386" s="503" t="s">
        <v>621</v>
      </c>
      <c r="AZ386" s="503" t="str">
        <f>IF($G386="","",IF(AND($G386&gt;=30,$AT$3&lt;=AY$7),ROUND(AY386*($AP$3+#REF!),-1),""))</f>
        <v/>
      </c>
      <c r="BA386" s="503" t="s">
        <v>621</v>
      </c>
      <c r="BB386" s="503" t="str">
        <f>IF($G386="","",IF(AND($G386&gt;=30,$AT$3&lt;=BA$7),ROUND(BA386*($AP$3+#REF!),-1),""))</f>
        <v/>
      </c>
      <c r="BC386" s="503" t="s">
        <v>621</v>
      </c>
      <c r="BD386" s="503" t="str">
        <f>IF($G386="","",IF(AND($G386&gt;=30,$AT$3&lt;=BC$7),ROUND(BC386*($AP$3+#REF!),-1),""))</f>
        <v/>
      </c>
      <c r="BE386" s="503" t="s">
        <v>621</v>
      </c>
      <c r="BF386" s="503" t="str">
        <f>IF($G386="","",IF(AND($G386&gt;=30,$AT$3&lt;=BE$7),ROUND(BE386*($AP$3+#REF!),-1),""))</f>
        <v/>
      </c>
      <c r="BG386" s="503" t="s">
        <v>621</v>
      </c>
      <c r="BH386" s="503" t="str">
        <f>IF($G386="","",IF(AND($G386&gt;=30,$AT$3&lt;=BG$7),ROUND(BG386*($AP$3+#REF!),-1),""))</f>
        <v/>
      </c>
      <c r="BI386" s="503" t="s">
        <v>621</v>
      </c>
      <c r="BJ386" s="503" t="str">
        <f>IF($G386="","",IF(AND($G386&gt;=30,$AT$3&lt;=BI$7),ROUND(BI386*($AP$3+#REF!),-1),""))</f>
        <v/>
      </c>
      <c r="BK386" s="503" t="s">
        <v>621</v>
      </c>
      <c r="BL386" s="503" t="str">
        <f>IF($G386="","",IF(AND($G386&gt;=30,$AT$3&lt;=BK$7),ROUND(BK386*($AP$3+#REF!),-1),""))</f>
        <v/>
      </c>
      <c r="BM386" s="503" t="s">
        <v>621</v>
      </c>
      <c r="BN386" s="503" t="str">
        <f>IF($G386="","",IF(AND($G386&gt;=30,$AT$3&lt;=BM$7),ROUND(BM386*($AP$3+#REF!),-1),""))</f>
        <v/>
      </c>
      <c r="BO386" s="503" t="s">
        <v>621</v>
      </c>
      <c r="BP386" s="503" t="str">
        <f>IF($G386="","",IF(AND($G386&gt;=30,$AT$3&lt;=BO$7),ROUND(BO386*($AP$3+#REF!),-1),""))</f>
        <v/>
      </c>
      <c r="BQ386" s="503" t="s">
        <v>621</v>
      </c>
      <c r="BR386" s="503" t="str">
        <f>IF($G386="","",IF(AND($G386&gt;=30,$AT$3&lt;=BQ$7),ROUND(BQ386*($AP$3+#REF!),-1),""))</f>
        <v/>
      </c>
      <c r="BS386" s="503" t="s">
        <v>621</v>
      </c>
      <c r="BT386" s="503" t="str">
        <f>IF($G386="","",IF(AND($G386&gt;=30,$AT$3&lt;=BS$7),ROUND(BS386*($AP$3+#REF!),-1),""))</f>
        <v/>
      </c>
      <c r="BU386" s="503" t="s">
        <v>621</v>
      </c>
      <c r="BV386" s="503" t="str">
        <f>IF($G386="","",IF(AND($G386&gt;=30,$AT$3&lt;=BU$7),ROUND(BU386*($AP$3+#REF!),-1),""))</f>
        <v/>
      </c>
      <c r="BW386" s="503" t="s">
        <v>621</v>
      </c>
      <c r="BX386" s="503" t="str">
        <f>IF($G386="","",IF(AND($G386&gt;=30,$AT$3&lt;=BW$7),ROUND(BW386*($AP$3+#REF!),-1),""))</f>
        <v/>
      </c>
      <c r="BY386" s="503" t="s">
        <v>621</v>
      </c>
      <c r="BZ386" s="503" t="str">
        <f>IF($G386="","",IF(AND($G386&gt;=30,$AT$3&lt;=BY$7),ROUND(BY386*($AP$3+#REF!),-1),""))</f>
        <v/>
      </c>
      <c r="CA386" s="503" t="s">
        <v>621</v>
      </c>
      <c r="CB386" s="503" t="str">
        <f>IF($G386="","",IF(AND($G386&gt;=30,$AT$3&lt;=CA$7),ROUND(CA386*($AP$3+#REF!),-1),""))</f>
        <v/>
      </c>
      <c r="CC386" s="503" t="s">
        <v>621</v>
      </c>
      <c r="CD386" s="503" t="str">
        <f>IF($G386="","",IF(AND($G386&gt;=30,$AT$3&lt;=CC$7),ROUND(CC386*($AP$3+#REF!),-1),""))</f>
        <v/>
      </c>
      <c r="CE386" s="503" t="s">
        <v>621</v>
      </c>
      <c r="CF386" s="503" t="str">
        <f>IF($G386="","",IF(AND($G386&gt;=30,$AT$3&lt;=CE$7),ROUND(CE386*($AP$3+#REF!),-1),""))</f>
        <v/>
      </c>
      <c r="CG386" s="503" t="s">
        <v>621</v>
      </c>
      <c r="CH386" s="503" t="str">
        <f>IF($G386="","",IF(AND($G386&gt;=30,$AT$3&lt;=CG$7),ROUND(CG386*($AP$3+#REF!),-1),""))</f>
        <v/>
      </c>
      <c r="CI386" s="503" t="s">
        <v>621</v>
      </c>
      <c r="CJ386" s="503" t="str">
        <f>IF($G386="","",IF(AND($G386&gt;=30,$AT$3&lt;=CI$7),ROUND(CI386*($AP$3+#REF!),-1),""))</f>
        <v/>
      </c>
      <c r="CK386" s="503" t="s">
        <v>621</v>
      </c>
      <c r="CL386" s="503" t="str">
        <f>IF($G386="","",IF(AND($G386&gt;=30,$AT$3&lt;=CK$7),ROUND(CK386*($AP$3+#REF!),-1),""))</f>
        <v/>
      </c>
      <c r="CM386" s="503" t="s">
        <v>621</v>
      </c>
      <c r="CN386" s="503" t="str">
        <f>IF($G386="","",IF(AND($G386&gt;=30,$AT$3&lt;=CM$7),ROUND(CM386*($AP$3+#REF!),-1),""))</f>
        <v/>
      </c>
      <c r="CO386" s="503" t="s">
        <v>621</v>
      </c>
      <c r="CP386" s="503" t="str">
        <f>IF($G386="","",IF(AND($G386&gt;=30,$AT$3&lt;=CO$7),ROUND(CO386*($AP$3+#REF!),-1),""))</f>
        <v/>
      </c>
      <c r="CQ386" s="517" t="e">
        <v>#REF!</v>
      </c>
      <c r="CR386" s="503" t="str">
        <f>IF($G386="","",IF(AND($G386&gt;=30,$AT$3&lt;=CQ$7),ROUND(CQ386*($AP$3+#REF!),-1),""))</f>
        <v/>
      </c>
      <c r="CS386" s="517"/>
      <c r="CT386" s="503" t="str">
        <f>IF($G386="","",IF(AND($G386&gt;=30,$AT$3&lt;=CS$7),ROUND(CS386*($AP$3+#REF!),-1),""))</f>
        <v/>
      </c>
      <c r="CU386" s="517"/>
      <c r="CV386" s="503" t="str">
        <f>IF($G386="","",IF(AND($G386&gt;=30,$AT$3&lt;=CU$7),ROUND(CU386*($AP$3+#REF!),-1),""))</f>
        <v/>
      </c>
      <c r="CW386" s="517"/>
      <c r="CX386" s="503" t="str">
        <f>IF($G386="","",IF(AND($G386&gt;=30,$AT$3&lt;=CW$7),ROUND(CW386*($AP$3+#REF!),-1),""))</f>
        <v/>
      </c>
      <c r="CY386" s="517"/>
      <c r="CZ386" s="503" t="str">
        <f>IF($G386="","",IF(AND($G386&gt;=30,$AT$3&lt;=CY$7),ROUND(CY386*($AP$3+#REF!),-1),""))</f>
        <v/>
      </c>
      <c r="DA386" s="517"/>
      <c r="DB386" s="503" t="str">
        <f>IF($G386="","",IF(AND($G386&gt;=30,$AT$3&lt;=DA$7),ROUND(DA386*($AP$3+#REF!),-1),""))</f>
        <v/>
      </c>
      <c r="DC386" s="517"/>
      <c r="DD386" s="503" t="str">
        <f>IF($G386="","",IF(AND($G386&gt;=30,$AT$3&lt;=DC$7),ROUND(DC386*($AP$3+#REF!),-1),""))</f>
        <v/>
      </c>
      <c r="DE386" s="517"/>
      <c r="DF386" s="503" t="str">
        <f>IF($G386="","",IF(AND($G386&gt;=30,$AT$3&lt;=DE$7),ROUND(DE386*($AP$3+#REF!),-1),""))</f>
        <v/>
      </c>
      <c r="DG386" s="517"/>
      <c r="DH386" s="503" t="str">
        <f>IF($G386="","",IF(AND($G386&gt;=30,$AT$3&lt;=DG$7),ROUND(DG386*($AP$3+#REF!),-1),""))</f>
        <v/>
      </c>
      <c r="DI386" s="517"/>
      <c r="DJ386" s="503" t="str">
        <f>IF($G386="","",IF(AND($G386&gt;=30,$AT$3&lt;=DI$7),ROUND(DI386*($AP$3+#REF!),-1),""))</f>
        <v/>
      </c>
      <c r="DK386" s="517"/>
      <c r="DL386" s="503" t="str">
        <f>IF($G386="","",IF(AND($G386&gt;=30,$AT$3&lt;=DK$7),ROUND(DK386*($AP$3+#REF!),-1),""))</f>
        <v/>
      </c>
      <c r="DM386" s="517"/>
      <c r="DN386" s="503" t="str">
        <f>IF($G386="","",IF(AND($G386&gt;=30,$AT$3&lt;=DM$7),ROUND(DM386*($AP$3+#REF!),-1),""))</f>
        <v/>
      </c>
      <c r="DO386" s="517"/>
      <c r="DP386" s="503" t="str">
        <f>IF($G386="","",IF(AND($G386&gt;=30,$AT$3&lt;=DO$7),ROUND(DO386*($AP$3+#REF!),-1),""))</f>
        <v/>
      </c>
      <c r="DQ386" s="517"/>
      <c r="DR386" s="503" t="str">
        <f>IF($G386="","",IF(AND($G386&gt;=30,$AT$3&lt;=DQ$7),ROUND(DQ386*($AP$3+#REF!),-1),""))</f>
        <v/>
      </c>
      <c r="DS386" s="517"/>
      <c r="DT386" s="503" t="str">
        <f>IF($G386="","",IF(AND($G386&gt;=30,$AT$3&lt;=DS$7),ROUND(DS386*($AP$3+#REF!),-1),""))</f>
        <v/>
      </c>
      <c r="DU386" s="517"/>
      <c r="DV386" s="503" t="str">
        <f>IF($G386="","",IF(AND($G386&gt;=30,$AT$3&lt;=DU$7),ROUND(DU386*($AP$3+#REF!),-1),""))</f>
        <v/>
      </c>
      <c r="DW386" s="517"/>
      <c r="DX386" s="503" t="str">
        <f>IF($G386="","",IF(AND($G386&gt;=30,$AT$3&lt;=DW$7),ROUND(DW386*($AP$3+#REF!),-1),""))</f>
        <v/>
      </c>
      <c r="DY386" s="517"/>
      <c r="DZ386" s="503" t="str">
        <f>IF($G386="","",IF(AND($G386&gt;=30,$AT$3&lt;=DY$7),ROUND(DY386*($AP$3+#REF!),-1),""))</f>
        <v/>
      </c>
      <c r="EA386" s="517"/>
      <c r="EB386" s="503" t="str">
        <f>IF($G386="","",IF(AND($G386&gt;=30,$AT$3&lt;=EA$7),ROUND(EA386*($AP$3+#REF!),-1),""))</f>
        <v/>
      </c>
      <c r="EC386" s="504" t="s">
        <v>621</v>
      </c>
      <c r="ED386" s="1124"/>
      <c r="EE386" s="325">
        <v>6</v>
      </c>
    </row>
    <row r="387" spans="1:135" ht="9.75" customHeight="1">
      <c r="A387" s="321" t="str">
        <f t="shared" si="96"/>
        <v/>
      </c>
      <c r="B387" s="567">
        <f>(ii!$D$13*12+V387)+1</f>
        <v>281</v>
      </c>
      <c r="C387" s="337">
        <f t="shared" si="86"/>
        <v>53904</v>
      </c>
      <c r="D387" s="484">
        <f t="shared" si="89"/>
        <v>2047</v>
      </c>
      <c r="E387" s="484">
        <f t="shared" si="87"/>
        <v>0.58333333333333337</v>
      </c>
      <c r="F387" s="484">
        <f t="shared" si="90"/>
        <v>2047.5833333333333</v>
      </c>
      <c r="G387" s="485" t="str">
        <f>IF(OR(C387&lt;$I$2,C387&gt;$J$3),"",(ii!$D$13*12+V387+1)/12)</f>
        <v/>
      </c>
      <c r="H387" s="486"/>
      <c r="I387" s="486"/>
      <c r="J387" s="487"/>
      <c r="K387" s="488"/>
      <c r="L387" s="548"/>
      <c r="M387" s="489" t="str">
        <f t="shared" si="91"/>
        <v/>
      </c>
      <c r="N387" s="490" t="s">
        <v>621</v>
      </c>
      <c r="O387" s="490" t="str">
        <f t="shared" si="84"/>
        <v/>
      </c>
      <c r="P387" s="491"/>
      <c r="Q387" s="491"/>
      <c r="R387" s="491" t="str">
        <f t="shared" si="85"/>
        <v/>
      </c>
      <c r="S387" s="528" t="str">
        <f t="shared" si="97"/>
        <v/>
      </c>
      <c r="T387" s="528" t="str">
        <f t="shared" si="95"/>
        <v/>
      </c>
      <c r="U387" s="493" t="str">
        <f>IF(H387="","",#REF!*12+#REF!+#REF!*12+#REF!)</f>
        <v/>
      </c>
      <c r="V387" s="338">
        <f>IF(ii!$J$3&gt;gg!C387,"",IF(AND((YEAR(C387)=YEAR($I$2)),MONTH(C387)=MONTH($I$2)),ii!$B$14*12+ii!$C$14+ii!$B$15*12+ii!$C$15-1,V386+1))</f>
        <v>280</v>
      </c>
      <c r="W387" s="339">
        <f t="shared" si="88"/>
        <v>23.333333333333332</v>
      </c>
      <c r="X387" s="494" t="s">
        <v>621</v>
      </c>
      <c r="Y387" s="495" t="s">
        <v>621</v>
      </c>
      <c r="Z387" s="496"/>
      <c r="AA387" s="497"/>
      <c r="AB387" s="498" t="e">
        <f t="shared" si="94"/>
        <v>#VALUE!</v>
      </c>
      <c r="AC387" s="484" t="str">
        <f t="shared" si="92"/>
        <v/>
      </c>
      <c r="AD387" s="495" t="str">
        <f t="shared" si="93"/>
        <v/>
      </c>
      <c r="AE387" s="499" t="s">
        <v>621</v>
      </c>
      <c r="AF387" s="500" t="s">
        <v>621</v>
      </c>
      <c r="AG387" s="556" t="s">
        <v>621</v>
      </c>
      <c r="AH387" s="503" t="str">
        <f>IF($G387="","",IF(AND($G387&gt;=30,$AT$3&lt;=AG$7),ROUND(AG387*($AP$3+#REF!),-1),""))</f>
        <v/>
      </c>
      <c r="AI387" s="506" t="s">
        <v>621</v>
      </c>
      <c r="AJ387" s="503" t="str">
        <f>IF($G387="","",IF(AND($G387&gt;=30,$AT$3&lt;=AI$7),ROUND(AI387*($AP$3+#REF!),-1),""))</f>
        <v/>
      </c>
      <c r="AK387" s="506" t="s">
        <v>621</v>
      </c>
      <c r="AL387" s="503" t="str">
        <f>IF($G387="","",IF(AND($G387&gt;=30,$AT$3&lt;=AK$7),ROUND(AK387*($AP$3+#REF!),-1),""))</f>
        <v/>
      </c>
      <c r="AM387" s="506" t="s">
        <v>621</v>
      </c>
      <c r="AN387" s="503" t="str">
        <f>IF($G387="","",IF(AND($G387&gt;=30,$AT$3&lt;=AM$7),ROUND(AM387*($AP$3+#REF!),-1),""))</f>
        <v/>
      </c>
      <c r="AO387" s="503" t="e">
        <v>#REF!</v>
      </c>
      <c r="AP387" s="503" t="str">
        <f>IF($G387="","",IF(AND($G387&gt;=30,$AT$3&lt;=AO$7),ROUND(AO387*($AP$3+#REF!),-1),""))</f>
        <v/>
      </c>
      <c r="AQ387" s="503" t="s">
        <v>621</v>
      </c>
      <c r="AR387" s="503" t="str">
        <f>IF($G387="","",IF(AND($G387&gt;=30,$AT$3&lt;=AQ$7),ROUND(AQ387*($AP$3+#REF!),-1),""))</f>
        <v/>
      </c>
      <c r="AS387" s="503" t="s">
        <v>621</v>
      </c>
      <c r="AT387" s="503" t="str">
        <f>IF($G387="","",IF(AND($G387&gt;=30,$AT$3&lt;=AS$7),ROUND(AS387*($AP$3+#REF!),-1),""))</f>
        <v/>
      </c>
      <c r="AU387" s="503" t="s">
        <v>621</v>
      </c>
      <c r="AV387" s="503" t="str">
        <f>IF($G387="","",IF(AND($G387&gt;=30,$AT$3&lt;=AU$7),ROUND(AU387*($AP$3+#REF!),-1),""))</f>
        <v/>
      </c>
      <c r="AW387" s="503" t="s">
        <v>621</v>
      </c>
      <c r="AX387" s="503" t="str">
        <f>IF($G387="","",IF(AND($G387&gt;=30,$AT$3&lt;=AW$7),ROUND(AW387*($AP$3+#REF!),-1),""))</f>
        <v/>
      </c>
      <c r="AY387" s="503" t="s">
        <v>621</v>
      </c>
      <c r="AZ387" s="503" t="str">
        <f>IF($G387="","",IF(AND($G387&gt;=30,$AT$3&lt;=AY$7),ROUND(AY387*($AP$3+#REF!),-1),""))</f>
        <v/>
      </c>
      <c r="BA387" s="503" t="s">
        <v>621</v>
      </c>
      <c r="BB387" s="503" t="str">
        <f>IF($G387="","",IF(AND($G387&gt;=30,$AT$3&lt;=BA$7),ROUND(BA387*($AP$3+#REF!),-1),""))</f>
        <v/>
      </c>
      <c r="BC387" s="503" t="s">
        <v>621</v>
      </c>
      <c r="BD387" s="503" t="str">
        <f>IF($G387="","",IF(AND($G387&gt;=30,$AT$3&lt;=BC$7),ROUND(BC387*($AP$3+#REF!),-1),""))</f>
        <v/>
      </c>
      <c r="BE387" s="503" t="s">
        <v>621</v>
      </c>
      <c r="BF387" s="503" t="str">
        <f>IF($G387="","",IF(AND($G387&gt;=30,$AT$3&lt;=BE$7),ROUND(BE387*($AP$3+#REF!),-1),""))</f>
        <v/>
      </c>
      <c r="BG387" s="503" t="s">
        <v>621</v>
      </c>
      <c r="BH387" s="503" t="str">
        <f>IF($G387="","",IF(AND($G387&gt;=30,$AT$3&lt;=BG$7),ROUND(BG387*($AP$3+#REF!),-1),""))</f>
        <v/>
      </c>
      <c r="BI387" s="503" t="s">
        <v>621</v>
      </c>
      <c r="BJ387" s="503" t="str">
        <f>IF($G387="","",IF(AND($G387&gt;=30,$AT$3&lt;=BI$7),ROUND(BI387*($AP$3+#REF!),-1),""))</f>
        <v/>
      </c>
      <c r="BK387" s="503" t="s">
        <v>621</v>
      </c>
      <c r="BL387" s="503" t="str">
        <f>IF($G387="","",IF(AND($G387&gt;=30,$AT$3&lt;=BK$7),ROUND(BK387*($AP$3+#REF!),-1),""))</f>
        <v/>
      </c>
      <c r="BM387" s="503" t="s">
        <v>621</v>
      </c>
      <c r="BN387" s="503" t="str">
        <f>IF($G387="","",IF(AND($G387&gt;=30,$AT$3&lt;=BM$7),ROUND(BM387*($AP$3+#REF!),-1),""))</f>
        <v/>
      </c>
      <c r="BO387" s="503" t="s">
        <v>621</v>
      </c>
      <c r="BP387" s="503" t="str">
        <f>IF($G387="","",IF(AND($G387&gt;=30,$AT$3&lt;=BO$7),ROUND(BO387*($AP$3+#REF!),-1),""))</f>
        <v/>
      </c>
      <c r="BQ387" s="503" t="s">
        <v>621</v>
      </c>
      <c r="BR387" s="503" t="str">
        <f>IF($G387="","",IF(AND($G387&gt;=30,$AT$3&lt;=BQ$7),ROUND(BQ387*($AP$3+#REF!),-1),""))</f>
        <v/>
      </c>
      <c r="BS387" s="503" t="s">
        <v>621</v>
      </c>
      <c r="BT387" s="503" t="str">
        <f>IF($G387="","",IF(AND($G387&gt;=30,$AT$3&lt;=BS$7),ROUND(BS387*($AP$3+#REF!),-1),""))</f>
        <v/>
      </c>
      <c r="BU387" s="503" t="s">
        <v>621</v>
      </c>
      <c r="BV387" s="503" t="str">
        <f>IF($G387="","",IF(AND($G387&gt;=30,$AT$3&lt;=BU$7),ROUND(BU387*($AP$3+#REF!),-1),""))</f>
        <v/>
      </c>
      <c r="BW387" s="503" t="s">
        <v>621</v>
      </c>
      <c r="BX387" s="503" t="str">
        <f>IF($G387="","",IF(AND($G387&gt;=30,$AT$3&lt;=BW$7),ROUND(BW387*($AP$3+#REF!),-1),""))</f>
        <v/>
      </c>
      <c r="BY387" s="503" t="s">
        <v>621</v>
      </c>
      <c r="BZ387" s="503" t="str">
        <f>IF($G387="","",IF(AND($G387&gt;=30,$AT$3&lt;=BY$7),ROUND(BY387*($AP$3+#REF!),-1),""))</f>
        <v/>
      </c>
      <c r="CA387" s="503" t="s">
        <v>621</v>
      </c>
      <c r="CB387" s="503" t="str">
        <f>IF($G387="","",IF(AND($G387&gt;=30,$AT$3&lt;=CA$7),ROUND(CA387*($AP$3+#REF!),-1),""))</f>
        <v/>
      </c>
      <c r="CC387" s="503" t="s">
        <v>621</v>
      </c>
      <c r="CD387" s="503" t="str">
        <f>IF($G387="","",IF(AND($G387&gt;=30,$AT$3&lt;=CC$7),ROUND(CC387*($AP$3+#REF!),-1),""))</f>
        <v/>
      </c>
      <c r="CE387" s="503" t="s">
        <v>621</v>
      </c>
      <c r="CF387" s="503" t="str">
        <f>IF($G387="","",IF(AND($G387&gt;=30,$AT$3&lt;=CE$7),ROUND(CE387*($AP$3+#REF!),-1),""))</f>
        <v/>
      </c>
      <c r="CG387" s="503" t="s">
        <v>621</v>
      </c>
      <c r="CH387" s="503" t="str">
        <f>IF($G387="","",IF(AND($G387&gt;=30,$AT$3&lt;=CG$7),ROUND(CG387*($AP$3+#REF!),-1),""))</f>
        <v/>
      </c>
      <c r="CI387" s="503" t="s">
        <v>621</v>
      </c>
      <c r="CJ387" s="503" t="str">
        <f>IF($G387="","",IF(AND($G387&gt;=30,$AT$3&lt;=CI$7),ROUND(CI387*($AP$3+#REF!),-1),""))</f>
        <v/>
      </c>
      <c r="CK387" s="503" t="s">
        <v>621</v>
      </c>
      <c r="CL387" s="503" t="str">
        <f>IF($G387="","",IF(AND($G387&gt;=30,$AT$3&lt;=CK$7),ROUND(CK387*($AP$3+#REF!),-1),""))</f>
        <v/>
      </c>
      <c r="CM387" s="503" t="s">
        <v>621</v>
      </c>
      <c r="CN387" s="503" t="str">
        <f>IF($G387="","",IF(AND($G387&gt;=30,$AT$3&lt;=CM$7),ROUND(CM387*($AP$3+#REF!),-1),""))</f>
        <v/>
      </c>
      <c r="CO387" s="503" t="s">
        <v>621</v>
      </c>
      <c r="CP387" s="503" t="str">
        <f>IF($G387="","",IF(AND($G387&gt;=30,$AT$3&lt;=CO$7),ROUND(CO387*($AP$3+#REF!),-1),""))</f>
        <v/>
      </c>
      <c r="CQ387" s="517" t="e">
        <v>#REF!</v>
      </c>
      <c r="CR387" s="503" t="str">
        <f>IF($G387="","",IF(AND($G387&gt;=30,$AT$3&lt;=CQ$7),ROUND(CQ387*($AP$3+#REF!),-1),""))</f>
        <v/>
      </c>
      <c r="CS387" s="517"/>
      <c r="CT387" s="503" t="str">
        <f>IF($G387="","",IF(AND($G387&gt;=30,$AT$3&lt;=CS$7),ROUND(CS387*($AP$3+#REF!),-1),""))</f>
        <v/>
      </c>
      <c r="CU387" s="517"/>
      <c r="CV387" s="503" t="str">
        <f>IF($G387="","",IF(AND($G387&gt;=30,$AT$3&lt;=CU$7),ROUND(CU387*($AP$3+#REF!),-1),""))</f>
        <v/>
      </c>
      <c r="CW387" s="517"/>
      <c r="CX387" s="503" t="str">
        <f>IF($G387="","",IF(AND($G387&gt;=30,$AT$3&lt;=CW$7),ROUND(CW387*($AP$3+#REF!),-1),""))</f>
        <v/>
      </c>
      <c r="CY387" s="517"/>
      <c r="CZ387" s="503" t="str">
        <f>IF($G387="","",IF(AND($G387&gt;=30,$AT$3&lt;=CY$7),ROUND(CY387*($AP$3+#REF!),-1),""))</f>
        <v/>
      </c>
      <c r="DA387" s="517"/>
      <c r="DB387" s="503" t="str">
        <f>IF($G387="","",IF(AND($G387&gt;=30,$AT$3&lt;=DA$7),ROUND(DA387*($AP$3+#REF!),-1),""))</f>
        <v/>
      </c>
      <c r="DC387" s="517"/>
      <c r="DD387" s="503" t="str">
        <f>IF($G387="","",IF(AND($G387&gt;=30,$AT$3&lt;=DC$7),ROUND(DC387*($AP$3+#REF!),-1),""))</f>
        <v/>
      </c>
      <c r="DE387" s="517"/>
      <c r="DF387" s="503" t="str">
        <f>IF($G387="","",IF(AND($G387&gt;=30,$AT$3&lt;=DE$7),ROUND(DE387*($AP$3+#REF!),-1),""))</f>
        <v/>
      </c>
      <c r="DG387" s="517"/>
      <c r="DH387" s="503" t="str">
        <f>IF($G387="","",IF(AND($G387&gt;=30,$AT$3&lt;=DG$7),ROUND(DG387*($AP$3+#REF!),-1),""))</f>
        <v/>
      </c>
      <c r="DI387" s="517"/>
      <c r="DJ387" s="503" t="str">
        <f>IF($G387="","",IF(AND($G387&gt;=30,$AT$3&lt;=DI$7),ROUND(DI387*($AP$3+#REF!),-1),""))</f>
        <v/>
      </c>
      <c r="DK387" s="517"/>
      <c r="DL387" s="503" t="str">
        <f>IF($G387="","",IF(AND($G387&gt;=30,$AT$3&lt;=DK$7),ROUND(DK387*($AP$3+#REF!),-1),""))</f>
        <v/>
      </c>
      <c r="DM387" s="517"/>
      <c r="DN387" s="503" t="str">
        <f>IF($G387="","",IF(AND($G387&gt;=30,$AT$3&lt;=DM$7),ROUND(DM387*($AP$3+#REF!),-1),""))</f>
        <v/>
      </c>
      <c r="DO387" s="517"/>
      <c r="DP387" s="503" t="str">
        <f>IF($G387="","",IF(AND($G387&gt;=30,$AT$3&lt;=DO$7),ROUND(DO387*($AP$3+#REF!),-1),""))</f>
        <v/>
      </c>
      <c r="DQ387" s="517"/>
      <c r="DR387" s="503" t="str">
        <f>IF($G387="","",IF(AND($G387&gt;=30,$AT$3&lt;=DQ$7),ROUND(DQ387*($AP$3+#REF!),-1),""))</f>
        <v/>
      </c>
      <c r="DS387" s="517"/>
      <c r="DT387" s="503" t="str">
        <f>IF($G387="","",IF(AND($G387&gt;=30,$AT$3&lt;=DS$7),ROUND(DS387*($AP$3+#REF!),-1),""))</f>
        <v/>
      </c>
      <c r="DU387" s="517"/>
      <c r="DV387" s="503" t="str">
        <f>IF($G387="","",IF(AND($G387&gt;=30,$AT$3&lt;=DU$7),ROUND(DU387*($AP$3+#REF!),-1),""))</f>
        <v/>
      </c>
      <c r="DW387" s="517"/>
      <c r="DX387" s="503" t="str">
        <f>IF($G387="","",IF(AND($G387&gt;=30,$AT$3&lt;=DW$7),ROUND(DW387*($AP$3+#REF!),-1),""))</f>
        <v/>
      </c>
      <c r="DY387" s="517"/>
      <c r="DZ387" s="503" t="str">
        <f>IF($G387="","",IF(AND($G387&gt;=30,$AT$3&lt;=DY$7),ROUND(DY387*($AP$3+#REF!),-1),""))</f>
        <v/>
      </c>
      <c r="EA387" s="517"/>
      <c r="EB387" s="503" t="str">
        <f>IF($G387="","",IF(AND($G387&gt;=30,$AT$3&lt;=EA$7),ROUND(EA387*($AP$3+#REF!),-1),""))</f>
        <v/>
      </c>
      <c r="EC387" s="504" t="s">
        <v>621</v>
      </c>
      <c r="ED387" s="1124"/>
      <c r="EE387" s="325">
        <v>7</v>
      </c>
    </row>
    <row r="388" spans="1:135" ht="9.75" customHeight="1">
      <c r="A388" s="321" t="str">
        <f t="shared" si="96"/>
        <v/>
      </c>
      <c r="B388" s="567">
        <f>(ii!$D$13*12+V388)+1</f>
        <v>282</v>
      </c>
      <c r="C388" s="337">
        <f t="shared" si="86"/>
        <v>53935</v>
      </c>
      <c r="D388" s="484">
        <f t="shared" si="89"/>
        <v>2047</v>
      </c>
      <c r="E388" s="484">
        <f t="shared" si="87"/>
        <v>0.66666666666666663</v>
      </c>
      <c r="F388" s="484">
        <f t="shared" si="90"/>
        <v>2047.6666666666667</v>
      </c>
      <c r="G388" s="485" t="str">
        <f>IF(OR(C388&lt;$I$2,C388&gt;$J$3),"",(ii!$D$13*12+V388+1)/12)</f>
        <v/>
      </c>
      <c r="H388" s="486"/>
      <c r="I388" s="486"/>
      <c r="J388" s="487"/>
      <c r="K388" s="488"/>
      <c r="L388" s="548"/>
      <c r="M388" s="489" t="str">
        <f t="shared" si="91"/>
        <v/>
      </c>
      <c r="N388" s="490" t="s">
        <v>621</v>
      </c>
      <c r="O388" s="490" t="str">
        <f t="shared" si="84"/>
        <v/>
      </c>
      <c r="P388" s="491"/>
      <c r="Q388" s="491"/>
      <c r="R388" s="491" t="str">
        <f t="shared" si="85"/>
        <v/>
      </c>
      <c r="S388" s="528" t="str">
        <f t="shared" si="97"/>
        <v/>
      </c>
      <c r="T388" s="528" t="str">
        <f t="shared" si="95"/>
        <v/>
      </c>
      <c r="U388" s="493" t="str">
        <f>IF(H388="","",#REF!*12+#REF!+#REF!*12+#REF!)</f>
        <v/>
      </c>
      <c r="V388" s="338">
        <f>IF(ii!$J$3&gt;gg!C388,"",IF(AND((YEAR(C388)=YEAR($I$2)),MONTH(C388)=MONTH($I$2)),ii!$B$14*12+ii!$C$14+ii!$B$15*12+ii!$C$15-1,V387+1))</f>
        <v>281</v>
      </c>
      <c r="W388" s="339">
        <f t="shared" si="88"/>
        <v>23.416666666666668</v>
      </c>
      <c r="X388" s="494" t="s">
        <v>621</v>
      </c>
      <c r="Y388" s="495" t="s">
        <v>621</v>
      </c>
      <c r="Z388" s="496"/>
      <c r="AA388" s="497"/>
      <c r="AB388" s="498" t="e">
        <f t="shared" si="94"/>
        <v>#VALUE!</v>
      </c>
      <c r="AC388" s="484" t="str">
        <f t="shared" si="92"/>
        <v/>
      </c>
      <c r="AD388" s="495" t="str">
        <f t="shared" si="93"/>
        <v/>
      </c>
      <c r="AE388" s="499" t="s">
        <v>621</v>
      </c>
      <c r="AF388" s="500" t="s">
        <v>621</v>
      </c>
      <c r="AG388" s="556" t="s">
        <v>621</v>
      </c>
      <c r="AH388" s="503" t="str">
        <f>IF($G388="","",IF(AND($G388&gt;=30,$AT$3&lt;=AG$7),ROUND(AG388*($AP$3+#REF!),-1),""))</f>
        <v/>
      </c>
      <c r="AI388" s="506" t="s">
        <v>621</v>
      </c>
      <c r="AJ388" s="503" t="str">
        <f>IF($G388="","",IF(AND($G388&gt;=30,$AT$3&lt;=AI$7),ROUND(AI388*($AP$3+#REF!),-1),""))</f>
        <v/>
      </c>
      <c r="AK388" s="506" t="s">
        <v>621</v>
      </c>
      <c r="AL388" s="503" t="str">
        <f>IF($G388="","",IF(AND($G388&gt;=30,$AT$3&lt;=AK$7),ROUND(AK388*($AP$3+#REF!),-1),""))</f>
        <v/>
      </c>
      <c r="AM388" s="506" t="s">
        <v>621</v>
      </c>
      <c r="AN388" s="503" t="str">
        <f>IF($G388="","",IF(AND($G388&gt;=30,$AT$3&lt;=AM$7),ROUND(AM388*($AP$3+#REF!),-1),""))</f>
        <v/>
      </c>
      <c r="AO388" s="503" t="e">
        <v>#REF!</v>
      </c>
      <c r="AP388" s="503" t="str">
        <f>IF($G388="","",IF(AND($G388&gt;=30,$AT$3&lt;=AO$7),ROUND(AO388*($AP$3+#REF!),-1),""))</f>
        <v/>
      </c>
      <c r="AQ388" s="503" t="s">
        <v>621</v>
      </c>
      <c r="AR388" s="503" t="str">
        <f>IF($G388="","",IF(AND($G388&gt;=30,$AT$3&lt;=AQ$7),ROUND(AQ388*($AP$3+#REF!),-1),""))</f>
        <v/>
      </c>
      <c r="AS388" s="503" t="s">
        <v>621</v>
      </c>
      <c r="AT388" s="503" t="str">
        <f>IF($G388="","",IF(AND($G388&gt;=30,$AT$3&lt;=AS$7),ROUND(AS388*($AP$3+#REF!),-1),""))</f>
        <v/>
      </c>
      <c r="AU388" s="503" t="s">
        <v>621</v>
      </c>
      <c r="AV388" s="503" t="str">
        <f>IF($G388="","",IF(AND($G388&gt;=30,$AT$3&lt;=AU$7),ROUND(AU388*($AP$3+#REF!),-1),""))</f>
        <v/>
      </c>
      <c r="AW388" s="503" t="s">
        <v>621</v>
      </c>
      <c r="AX388" s="503" t="str">
        <f>IF($G388="","",IF(AND($G388&gt;=30,$AT$3&lt;=AW$7),ROUND(AW388*($AP$3+#REF!),-1),""))</f>
        <v/>
      </c>
      <c r="AY388" s="503" t="s">
        <v>621</v>
      </c>
      <c r="AZ388" s="503" t="str">
        <f>IF($G388="","",IF(AND($G388&gt;=30,$AT$3&lt;=AY$7),ROUND(AY388*($AP$3+#REF!),-1),""))</f>
        <v/>
      </c>
      <c r="BA388" s="503" t="s">
        <v>621</v>
      </c>
      <c r="BB388" s="503" t="str">
        <f>IF($G388="","",IF(AND($G388&gt;=30,$AT$3&lt;=BA$7),ROUND(BA388*($AP$3+#REF!),-1),""))</f>
        <v/>
      </c>
      <c r="BC388" s="503" t="s">
        <v>621</v>
      </c>
      <c r="BD388" s="503" t="str">
        <f>IF($G388="","",IF(AND($G388&gt;=30,$AT$3&lt;=BC$7),ROUND(BC388*($AP$3+#REF!),-1),""))</f>
        <v/>
      </c>
      <c r="BE388" s="503" t="s">
        <v>621</v>
      </c>
      <c r="BF388" s="503" t="str">
        <f>IF($G388="","",IF(AND($G388&gt;=30,$AT$3&lt;=BE$7),ROUND(BE388*($AP$3+#REF!),-1),""))</f>
        <v/>
      </c>
      <c r="BG388" s="503" t="s">
        <v>621</v>
      </c>
      <c r="BH388" s="503" t="str">
        <f>IF($G388="","",IF(AND($G388&gt;=30,$AT$3&lt;=BG$7),ROUND(BG388*($AP$3+#REF!),-1),""))</f>
        <v/>
      </c>
      <c r="BI388" s="503" t="s">
        <v>621</v>
      </c>
      <c r="BJ388" s="503" t="str">
        <f>IF($G388="","",IF(AND($G388&gt;=30,$AT$3&lt;=BI$7),ROUND(BI388*($AP$3+#REF!),-1),""))</f>
        <v/>
      </c>
      <c r="BK388" s="503" t="s">
        <v>621</v>
      </c>
      <c r="BL388" s="503" t="str">
        <f>IF($G388="","",IF(AND($G388&gt;=30,$AT$3&lt;=BK$7),ROUND(BK388*($AP$3+#REF!),-1),""))</f>
        <v/>
      </c>
      <c r="BM388" s="503" t="s">
        <v>621</v>
      </c>
      <c r="BN388" s="503" t="str">
        <f>IF($G388="","",IF(AND($G388&gt;=30,$AT$3&lt;=BM$7),ROUND(BM388*($AP$3+#REF!),-1),""))</f>
        <v/>
      </c>
      <c r="BO388" s="503" t="s">
        <v>621</v>
      </c>
      <c r="BP388" s="503" t="str">
        <f>IF($G388="","",IF(AND($G388&gt;=30,$AT$3&lt;=BO$7),ROUND(BO388*($AP$3+#REF!),-1),""))</f>
        <v/>
      </c>
      <c r="BQ388" s="503" t="s">
        <v>621</v>
      </c>
      <c r="BR388" s="503" t="str">
        <f>IF($G388="","",IF(AND($G388&gt;=30,$AT$3&lt;=BQ$7),ROUND(BQ388*($AP$3+#REF!),-1),""))</f>
        <v/>
      </c>
      <c r="BS388" s="503" t="s">
        <v>621</v>
      </c>
      <c r="BT388" s="503" t="str">
        <f>IF($G388="","",IF(AND($G388&gt;=30,$AT$3&lt;=BS$7),ROUND(BS388*($AP$3+#REF!),-1),""))</f>
        <v/>
      </c>
      <c r="BU388" s="503" t="s">
        <v>621</v>
      </c>
      <c r="BV388" s="503" t="str">
        <f>IF($G388="","",IF(AND($G388&gt;=30,$AT$3&lt;=BU$7),ROUND(BU388*($AP$3+#REF!),-1),""))</f>
        <v/>
      </c>
      <c r="BW388" s="503" t="s">
        <v>621</v>
      </c>
      <c r="BX388" s="503" t="str">
        <f>IF($G388="","",IF(AND($G388&gt;=30,$AT$3&lt;=BW$7),ROUND(BW388*($AP$3+#REF!),-1),""))</f>
        <v/>
      </c>
      <c r="BY388" s="503" t="s">
        <v>621</v>
      </c>
      <c r="BZ388" s="503" t="str">
        <f>IF($G388="","",IF(AND($G388&gt;=30,$AT$3&lt;=BY$7),ROUND(BY388*($AP$3+#REF!),-1),""))</f>
        <v/>
      </c>
      <c r="CA388" s="503" t="s">
        <v>621</v>
      </c>
      <c r="CB388" s="503" t="str">
        <f>IF($G388="","",IF(AND($G388&gt;=30,$AT$3&lt;=CA$7),ROUND(CA388*($AP$3+#REF!),-1),""))</f>
        <v/>
      </c>
      <c r="CC388" s="503" t="s">
        <v>621</v>
      </c>
      <c r="CD388" s="503" t="str">
        <f>IF($G388="","",IF(AND($G388&gt;=30,$AT$3&lt;=CC$7),ROUND(CC388*($AP$3+#REF!),-1),""))</f>
        <v/>
      </c>
      <c r="CE388" s="503" t="s">
        <v>621</v>
      </c>
      <c r="CF388" s="503" t="str">
        <f>IF($G388="","",IF(AND($G388&gt;=30,$AT$3&lt;=CE$7),ROUND(CE388*($AP$3+#REF!),-1),""))</f>
        <v/>
      </c>
      <c r="CG388" s="503" t="s">
        <v>621</v>
      </c>
      <c r="CH388" s="503" t="str">
        <f>IF($G388="","",IF(AND($G388&gt;=30,$AT$3&lt;=CG$7),ROUND(CG388*($AP$3+#REF!),-1),""))</f>
        <v/>
      </c>
      <c r="CI388" s="503" t="s">
        <v>621</v>
      </c>
      <c r="CJ388" s="503" t="str">
        <f>IF($G388="","",IF(AND($G388&gt;=30,$AT$3&lt;=CI$7),ROUND(CI388*($AP$3+#REF!),-1),""))</f>
        <v/>
      </c>
      <c r="CK388" s="503" t="s">
        <v>621</v>
      </c>
      <c r="CL388" s="503" t="str">
        <f>IF($G388="","",IF(AND($G388&gt;=30,$AT$3&lt;=CK$7),ROUND(CK388*($AP$3+#REF!),-1),""))</f>
        <v/>
      </c>
      <c r="CM388" s="503" t="s">
        <v>621</v>
      </c>
      <c r="CN388" s="503" t="str">
        <f>IF($G388="","",IF(AND($G388&gt;=30,$AT$3&lt;=CM$7),ROUND(CM388*($AP$3+#REF!),-1),""))</f>
        <v/>
      </c>
      <c r="CO388" s="503" t="s">
        <v>621</v>
      </c>
      <c r="CP388" s="503" t="str">
        <f>IF($G388="","",IF(AND($G388&gt;=30,$AT$3&lt;=CO$7),ROUND(CO388*($AP$3+#REF!),-1),""))</f>
        <v/>
      </c>
      <c r="CQ388" s="517" t="e">
        <v>#REF!</v>
      </c>
      <c r="CR388" s="503" t="str">
        <f>IF($G388="","",IF(AND($G388&gt;=30,$AT$3&lt;=CQ$7),ROUND(CQ388*($AP$3+#REF!),-1),""))</f>
        <v/>
      </c>
      <c r="CS388" s="517"/>
      <c r="CT388" s="503" t="str">
        <f>IF($G388="","",IF(AND($G388&gt;=30,$AT$3&lt;=CS$7),ROUND(CS388*($AP$3+#REF!),-1),""))</f>
        <v/>
      </c>
      <c r="CU388" s="517"/>
      <c r="CV388" s="503" t="str">
        <f>IF($G388="","",IF(AND($G388&gt;=30,$AT$3&lt;=CU$7),ROUND(CU388*($AP$3+#REF!),-1),""))</f>
        <v/>
      </c>
      <c r="CW388" s="517"/>
      <c r="CX388" s="503" t="str">
        <f>IF($G388="","",IF(AND($G388&gt;=30,$AT$3&lt;=CW$7),ROUND(CW388*($AP$3+#REF!),-1),""))</f>
        <v/>
      </c>
      <c r="CY388" s="517"/>
      <c r="CZ388" s="503" t="str">
        <f>IF($G388="","",IF(AND($G388&gt;=30,$AT$3&lt;=CY$7),ROUND(CY388*($AP$3+#REF!),-1),""))</f>
        <v/>
      </c>
      <c r="DA388" s="517"/>
      <c r="DB388" s="503" t="str">
        <f>IF($G388="","",IF(AND($G388&gt;=30,$AT$3&lt;=DA$7),ROUND(DA388*($AP$3+#REF!),-1),""))</f>
        <v/>
      </c>
      <c r="DC388" s="517"/>
      <c r="DD388" s="503" t="str">
        <f>IF($G388="","",IF(AND($G388&gt;=30,$AT$3&lt;=DC$7),ROUND(DC388*($AP$3+#REF!),-1),""))</f>
        <v/>
      </c>
      <c r="DE388" s="517"/>
      <c r="DF388" s="503" t="str">
        <f>IF($G388="","",IF(AND($G388&gt;=30,$AT$3&lt;=DE$7),ROUND(DE388*($AP$3+#REF!),-1),""))</f>
        <v/>
      </c>
      <c r="DG388" s="517"/>
      <c r="DH388" s="503" t="str">
        <f>IF($G388="","",IF(AND($G388&gt;=30,$AT$3&lt;=DG$7),ROUND(DG388*($AP$3+#REF!),-1),""))</f>
        <v/>
      </c>
      <c r="DI388" s="517"/>
      <c r="DJ388" s="503" t="str">
        <f>IF($G388="","",IF(AND($G388&gt;=30,$AT$3&lt;=DI$7),ROUND(DI388*($AP$3+#REF!),-1),""))</f>
        <v/>
      </c>
      <c r="DK388" s="517"/>
      <c r="DL388" s="503" t="str">
        <f>IF($G388="","",IF(AND($G388&gt;=30,$AT$3&lt;=DK$7),ROUND(DK388*($AP$3+#REF!),-1),""))</f>
        <v/>
      </c>
      <c r="DM388" s="517"/>
      <c r="DN388" s="503" t="str">
        <f>IF($G388="","",IF(AND($G388&gt;=30,$AT$3&lt;=DM$7),ROUND(DM388*($AP$3+#REF!),-1),""))</f>
        <v/>
      </c>
      <c r="DO388" s="517"/>
      <c r="DP388" s="503" t="str">
        <f>IF($G388="","",IF(AND($G388&gt;=30,$AT$3&lt;=DO$7),ROUND(DO388*($AP$3+#REF!),-1),""))</f>
        <v/>
      </c>
      <c r="DQ388" s="517"/>
      <c r="DR388" s="503" t="str">
        <f>IF($G388="","",IF(AND($G388&gt;=30,$AT$3&lt;=DQ$7),ROUND(DQ388*($AP$3+#REF!),-1),""))</f>
        <v/>
      </c>
      <c r="DS388" s="517"/>
      <c r="DT388" s="503" t="str">
        <f>IF($G388="","",IF(AND($G388&gt;=30,$AT$3&lt;=DS$7),ROUND(DS388*($AP$3+#REF!),-1),""))</f>
        <v/>
      </c>
      <c r="DU388" s="517"/>
      <c r="DV388" s="503" t="str">
        <f>IF($G388="","",IF(AND($G388&gt;=30,$AT$3&lt;=DU$7),ROUND(DU388*($AP$3+#REF!),-1),""))</f>
        <v/>
      </c>
      <c r="DW388" s="517"/>
      <c r="DX388" s="503" t="str">
        <f>IF($G388="","",IF(AND($G388&gt;=30,$AT$3&lt;=DW$7),ROUND(DW388*($AP$3+#REF!),-1),""))</f>
        <v/>
      </c>
      <c r="DY388" s="517"/>
      <c r="DZ388" s="503" t="str">
        <f>IF($G388="","",IF(AND($G388&gt;=30,$AT$3&lt;=DY$7),ROUND(DY388*($AP$3+#REF!),-1),""))</f>
        <v/>
      </c>
      <c r="EA388" s="517"/>
      <c r="EB388" s="503" t="str">
        <f>IF($G388="","",IF(AND($G388&gt;=30,$AT$3&lt;=EA$7),ROUND(EA388*($AP$3+#REF!),-1),""))</f>
        <v/>
      </c>
      <c r="EC388" s="504" t="s">
        <v>621</v>
      </c>
      <c r="ED388" s="1124"/>
      <c r="EE388" s="325">
        <v>8</v>
      </c>
    </row>
    <row r="389" spans="1:135" ht="9.75" customHeight="1">
      <c r="A389" s="321" t="str">
        <f t="shared" si="96"/>
        <v/>
      </c>
      <c r="B389" s="567">
        <f>(ii!$D$13*12+V389)+1</f>
        <v>283</v>
      </c>
      <c r="C389" s="337">
        <f t="shared" si="86"/>
        <v>53965</v>
      </c>
      <c r="D389" s="484">
        <f t="shared" si="89"/>
        <v>2047</v>
      </c>
      <c r="E389" s="484">
        <f t="shared" si="87"/>
        <v>0.75</v>
      </c>
      <c r="F389" s="484">
        <f t="shared" si="90"/>
        <v>2047.75</v>
      </c>
      <c r="G389" s="485" t="str">
        <f>IF(OR(C389&lt;$I$2,C389&gt;$J$3),"",(ii!$D$13*12+V389+1)/12)</f>
        <v/>
      </c>
      <c r="H389" s="486"/>
      <c r="I389" s="486"/>
      <c r="J389" s="487"/>
      <c r="K389" s="488"/>
      <c r="L389" s="548"/>
      <c r="M389" s="489" t="str">
        <f t="shared" si="91"/>
        <v/>
      </c>
      <c r="N389" s="490" t="s">
        <v>621</v>
      </c>
      <c r="O389" s="490" t="str">
        <f t="shared" si="84"/>
        <v/>
      </c>
      <c r="P389" s="491"/>
      <c r="Q389" s="491"/>
      <c r="R389" s="491" t="str">
        <f t="shared" si="85"/>
        <v/>
      </c>
      <c r="S389" s="528" t="str">
        <f t="shared" si="97"/>
        <v/>
      </c>
      <c r="T389" s="528" t="str">
        <f t="shared" si="95"/>
        <v/>
      </c>
      <c r="U389" s="493" t="str">
        <f>IF(H389="","",#REF!*12+#REF!+#REF!*12+#REF!)</f>
        <v/>
      </c>
      <c r="V389" s="338">
        <f>IF(ii!$J$3&gt;gg!C389,"",IF(AND((YEAR(C389)=YEAR($I$2)),MONTH(C389)=MONTH($I$2)),ii!$B$14*12+ii!$C$14+ii!$B$15*12+ii!$C$15-1,V388+1))</f>
        <v>282</v>
      </c>
      <c r="W389" s="339">
        <f t="shared" si="88"/>
        <v>23.5</v>
      </c>
      <c r="X389" s="494" t="s">
        <v>621</v>
      </c>
      <c r="Y389" s="495" t="s">
        <v>621</v>
      </c>
      <c r="Z389" s="496"/>
      <c r="AA389" s="497"/>
      <c r="AB389" s="498" t="e">
        <f t="shared" si="94"/>
        <v>#VALUE!</v>
      </c>
      <c r="AC389" s="484" t="str">
        <f t="shared" si="92"/>
        <v/>
      </c>
      <c r="AD389" s="495" t="str">
        <f t="shared" si="93"/>
        <v/>
      </c>
      <c r="AE389" s="499" t="s">
        <v>621</v>
      </c>
      <c r="AF389" s="500" t="s">
        <v>621</v>
      </c>
      <c r="AG389" s="556" t="s">
        <v>621</v>
      </c>
      <c r="AH389" s="503" t="str">
        <f>IF($G389="","",IF(AND($G389&gt;=30,$AT$3&lt;=AG$7),ROUND(AG389*($AP$3+#REF!),-1),""))</f>
        <v/>
      </c>
      <c r="AI389" s="506" t="s">
        <v>621</v>
      </c>
      <c r="AJ389" s="503" t="str">
        <f>IF($G389="","",IF(AND($G389&gt;=30,$AT$3&lt;=AI$7),ROUND(AI389*($AP$3+#REF!),-1),""))</f>
        <v/>
      </c>
      <c r="AK389" s="506" t="s">
        <v>621</v>
      </c>
      <c r="AL389" s="503" t="str">
        <f>IF($G389="","",IF(AND($G389&gt;=30,$AT$3&lt;=AK$7),ROUND(AK389*($AP$3+#REF!),-1),""))</f>
        <v/>
      </c>
      <c r="AM389" s="506" t="s">
        <v>621</v>
      </c>
      <c r="AN389" s="503" t="str">
        <f>IF($G389="","",IF(AND($G389&gt;=30,$AT$3&lt;=AM$7),ROUND(AM389*($AP$3+#REF!),-1),""))</f>
        <v/>
      </c>
      <c r="AO389" s="503" t="e">
        <v>#REF!</v>
      </c>
      <c r="AP389" s="503" t="str">
        <f>IF($G389="","",IF(AND($G389&gt;=30,$AT$3&lt;=AO$7),ROUND(AO389*($AP$3+#REF!),-1),""))</f>
        <v/>
      </c>
      <c r="AQ389" s="503" t="s">
        <v>621</v>
      </c>
      <c r="AR389" s="503" t="str">
        <f>IF($G389="","",IF(AND($G389&gt;=30,$AT$3&lt;=AQ$7),ROUND(AQ389*($AP$3+#REF!),-1),""))</f>
        <v/>
      </c>
      <c r="AS389" s="503" t="s">
        <v>621</v>
      </c>
      <c r="AT389" s="503" t="str">
        <f>IF($G389="","",IF(AND($G389&gt;=30,$AT$3&lt;=AS$7),ROUND(AS389*($AP$3+#REF!),-1),""))</f>
        <v/>
      </c>
      <c r="AU389" s="503" t="s">
        <v>621</v>
      </c>
      <c r="AV389" s="503" t="str">
        <f>IF($G389="","",IF(AND($G389&gt;=30,$AT$3&lt;=AU$7),ROUND(AU389*($AP$3+#REF!),-1),""))</f>
        <v/>
      </c>
      <c r="AW389" s="503" t="s">
        <v>621</v>
      </c>
      <c r="AX389" s="503" t="str">
        <f>IF($G389="","",IF(AND($G389&gt;=30,$AT$3&lt;=AW$7),ROUND(AW389*($AP$3+#REF!),-1),""))</f>
        <v/>
      </c>
      <c r="AY389" s="503" t="s">
        <v>621</v>
      </c>
      <c r="AZ389" s="503" t="str">
        <f>IF($G389="","",IF(AND($G389&gt;=30,$AT$3&lt;=AY$7),ROUND(AY389*($AP$3+#REF!),-1),""))</f>
        <v/>
      </c>
      <c r="BA389" s="503" t="s">
        <v>621</v>
      </c>
      <c r="BB389" s="503" t="str">
        <f>IF($G389="","",IF(AND($G389&gt;=30,$AT$3&lt;=BA$7),ROUND(BA389*($AP$3+#REF!),-1),""))</f>
        <v/>
      </c>
      <c r="BC389" s="503" t="s">
        <v>621</v>
      </c>
      <c r="BD389" s="503" t="str">
        <f>IF($G389="","",IF(AND($G389&gt;=30,$AT$3&lt;=BC$7),ROUND(BC389*($AP$3+#REF!),-1),""))</f>
        <v/>
      </c>
      <c r="BE389" s="503" t="s">
        <v>621</v>
      </c>
      <c r="BF389" s="503" t="str">
        <f>IF($G389="","",IF(AND($G389&gt;=30,$AT$3&lt;=BE$7),ROUND(BE389*($AP$3+#REF!),-1),""))</f>
        <v/>
      </c>
      <c r="BG389" s="503" t="s">
        <v>621</v>
      </c>
      <c r="BH389" s="503" t="str">
        <f>IF($G389="","",IF(AND($G389&gt;=30,$AT$3&lt;=BG$7),ROUND(BG389*($AP$3+#REF!),-1),""))</f>
        <v/>
      </c>
      <c r="BI389" s="503" t="s">
        <v>621</v>
      </c>
      <c r="BJ389" s="503" t="str">
        <f>IF($G389="","",IF(AND($G389&gt;=30,$AT$3&lt;=BI$7),ROUND(BI389*($AP$3+#REF!),-1),""))</f>
        <v/>
      </c>
      <c r="BK389" s="503" t="s">
        <v>621</v>
      </c>
      <c r="BL389" s="503" t="str">
        <f>IF($G389="","",IF(AND($G389&gt;=30,$AT$3&lt;=BK$7),ROUND(BK389*($AP$3+#REF!),-1),""))</f>
        <v/>
      </c>
      <c r="BM389" s="503" t="s">
        <v>621</v>
      </c>
      <c r="BN389" s="503" t="str">
        <f>IF($G389="","",IF(AND($G389&gt;=30,$AT$3&lt;=BM$7),ROUND(BM389*($AP$3+#REF!),-1),""))</f>
        <v/>
      </c>
      <c r="BO389" s="503" t="s">
        <v>621</v>
      </c>
      <c r="BP389" s="503" t="str">
        <f>IF($G389="","",IF(AND($G389&gt;=30,$AT$3&lt;=BO$7),ROUND(BO389*($AP$3+#REF!),-1),""))</f>
        <v/>
      </c>
      <c r="BQ389" s="503" t="s">
        <v>621</v>
      </c>
      <c r="BR389" s="503" t="str">
        <f>IF($G389="","",IF(AND($G389&gt;=30,$AT$3&lt;=BQ$7),ROUND(BQ389*($AP$3+#REF!),-1),""))</f>
        <v/>
      </c>
      <c r="BS389" s="503" t="s">
        <v>621</v>
      </c>
      <c r="BT389" s="503" t="str">
        <f>IF($G389="","",IF(AND($G389&gt;=30,$AT$3&lt;=BS$7),ROUND(BS389*($AP$3+#REF!),-1),""))</f>
        <v/>
      </c>
      <c r="BU389" s="503" t="s">
        <v>621</v>
      </c>
      <c r="BV389" s="503" t="str">
        <f>IF($G389="","",IF(AND($G389&gt;=30,$AT$3&lt;=BU$7),ROUND(BU389*($AP$3+#REF!),-1),""))</f>
        <v/>
      </c>
      <c r="BW389" s="503" t="s">
        <v>621</v>
      </c>
      <c r="BX389" s="503" t="str">
        <f>IF($G389="","",IF(AND($G389&gt;=30,$AT$3&lt;=BW$7),ROUND(BW389*($AP$3+#REF!),-1),""))</f>
        <v/>
      </c>
      <c r="BY389" s="503" t="s">
        <v>621</v>
      </c>
      <c r="BZ389" s="503" t="str">
        <f>IF($G389="","",IF(AND($G389&gt;=30,$AT$3&lt;=BY$7),ROUND(BY389*($AP$3+#REF!),-1),""))</f>
        <v/>
      </c>
      <c r="CA389" s="503" t="s">
        <v>621</v>
      </c>
      <c r="CB389" s="503" t="str">
        <f>IF($G389="","",IF(AND($G389&gt;=30,$AT$3&lt;=CA$7),ROUND(CA389*($AP$3+#REF!),-1),""))</f>
        <v/>
      </c>
      <c r="CC389" s="503" t="s">
        <v>621</v>
      </c>
      <c r="CD389" s="503" t="str">
        <f>IF($G389="","",IF(AND($G389&gt;=30,$AT$3&lt;=CC$7),ROUND(CC389*($AP$3+#REF!),-1),""))</f>
        <v/>
      </c>
      <c r="CE389" s="503" t="s">
        <v>621</v>
      </c>
      <c r="CF389" s="503" t="str">
        <f>IF($G389="","",IF(AND($G389&gt;=30,$AT$3&lt;=CE$7),ROUND(CE389*($AP$3+#REF!),-1),""))</f>
        <v/>
      </c>
      <c r="CG389" s="503" t="s">
        <v>621</v>
      </c>
      <c r="CH389" s="503" t="str">
        <f>IF($G389="","",IF(AND($G389&gt;=30,$AT$3&lt;=CG$7),ROUND(CG389*($AP$3+#REF!),-1),""))</f>
        <v/>
      </c>
      <c r="CI389" s="503" t="s">
        <v>621</v>
      </c>
      <c r="CJ389" s="503" t="str">
        <f>IF($G389="","",IF(AND($G389&gt;=30,$AT$3&lt;=CI$7),ROUND(CI389*($AP$3+#REF!),-1),""))</f>
        <v/>
      </c>
      <c r="CK389" s="503" t="s">
        <v>621</v>
      </c>
      <c r="CL389" s="503" t="str">
        <f>IF($G389="","",IF(AND($G389&gt;=30,$AT$3&lt;=CK$7),ROUND(CK389*($AP$3+#REF!),-1),""))</f>
        <v/>
      </c>
      <c r="CM389" s="503" t="s">
        <v>621</v>
      </c>
      <c r="CN389" s="503" t="str">
        <f>IF($G389="","",IF(AND($G389&gt;=30,$AT$3&lt;=CM$7),ROUND(CM389*($AP$3+#REF!),-1),""))</f>
        <v/>
      </c>
      <c r="CO389" s="503" t="s">
        <v>621</v>
      </c>
      <c r="CP389" s="503" t="str">
        <f>IF($G389="","",IF(AND($G389&gt;=30,$AT$3&lt;=CO$7),ROUND(CO389*($AP$3+#REF!),-1),""))</f>
        <v/>
      </c>
      <c r="CQ389" s="517" t="e">
        <v>#REF!</v>
      </c>
      <c r="CR389" s="503" t="str">
        <f>IF($G389="","",IF(AND($G389&gt;=30,$AT$3&lt;=CQ$7),ROUND(CQ389*($AP$3+#REF!),-1),""))</f>
        <v/>
      </c>
      <c r="CS389" s="517"/>
      <c r="CT389" s="503" t="str">
        <f>IF($G389="","",IF(AND($G389&gt;=30,$AT$3&lt;=CS$7),ROUND(CS389*($AP$3+#REF!),-1),""))</f>
        <v/>
      </c>
      <c r="CU389" s="517"/>
      <c r="CV389" s="503" t="str">
        <f>IF($G389="","",IF(AND($G389&gt;=30,$AT$3&lt;=CU$7),ROUND(CU389*($AP$3+#REF!),-1),""))</f>
        <v/>
      </c>
      <c r="CW389" s="517"/>
      <c r="CX389" s="503" t="str">
        <f>IF($G389="","",IF(AND($G389&gt;=30,$AT$3&lt;=CW$7),ROUND(CW389*($AP$3+#REF!),-1),""))</f>
        <v/>
      </c>
      <c r="CY389" s="517"/>
      <c r="CZ389" s="503" t="str">
        <f>IF($G389="","",IF(AND($G389&gt;=30,$AT$3&lt;=CY$7),ROUND(CY389*($AP$3+#REF!),-1),""))</f>
        <v/>
      </c>
      <c r="DA389" s="517"/>
      <c r="DB389" s="503" t="str">
        <f>IF($G389="","",IF(AND($G389&gt;=30,$AT$3&lt;=DA$7),ROUND(DA389*($AP$3+#REF!),-1),""))</f>
        <v/>
      </c>
      <c r="DC389" s="517"/>
      <c r="DD389" s="503" t="str">
        <f>IF($G389="","",IF(AND($G389&gt;=30,$AT$3&lt;=DC$7),ROUND(DC389*($AP$3+#REF!),-1),""))</f>
        <v/>
      </c>
      <c r="DE389" s="517"/>
      <c r="DF389" s="503" t="str">
        <f>IF($G389="","",IF(AND($G389&gt;=30,$AT$3&lt;=DE$7),ROUND(DE389*($AP$3+#REF!),-1),""))</f>
        <v/>
      </c>
      <c r="DG389" s="517"/>
      <c r="DH389" s="503" t="str">
        <f>IF($G389="","",IF(AND($G389&gt;=30,$AT$3&lt;=DG$7),ROUND(DG389*($AP$3+#REF!),-1),""))</f>
        <v/>
      </c>
      <c r="DI389" s="517"/>
      <c r="DJ389" s="503" t="str">
        <f>IF($G389="","",IF(AND($G389&gt;=30,$AT$3&lt;=DI$7),ROUND(DI389*($AP$3+#REF!),-1),""))</f>
        <v/>
      </c>
      <c r="DK389" s="517"/>
      <c r="DL389" s="503" t="str">
        <f>IF($G389="","",IF(AND($G389&gt;=30,$AT$3&lt;=DK$7),ROUND(DK389*($AP$3+#REF!),-1),""))</f>
        <v/>
      </c>
      <c r="DM389" s="517"/>
      <c r="DN389" s="503" t="str">
        <f>IF($G389="","",IF(AND($G389&gt;=30,$AT$3&lt;=DM$7),ROUND(DM389*($AP$3+#REF!),-1),""))</f>
        <v/>
      </c>
      <c r="DO389" s="517"/>
      <c r="DP389" s="503" t="str">
        <f>IF($G389="","",IF(AND($G389&gt;=30,$AT$3&lt;=DO$7),ROUND(DO389*($AP$3+#REF!),-1),""))</f>
        <v/>
      </c>
      <c r="DQ389" s="517"/>
      <c r="DR389" s="503" t="str">
        <f>IF($G389="","",IF(AND($G389&gt;=30,$AT$3&lt;=DQ$7),ROUND(DQ389*($AP$3+#REF!),-1),""))</f>
        <v/>
      </c>
      <c r="DS389" s="517"/>
      <c r="DT389" s="503" t="str">
        <f>IF($G389="","",IF(AND($G389&gt;=30,$AT$3&lt;=DS$7),ROUND(DS389*($AP$3+#REF!),-1),""))</f>
        <v/>
      </c>
      <c r="DU389" s="517"/>
      <c r="DV389" s="503" t="str">
        <f>IF($G389="","",IF(AND($G389&gt;=30,$AT$3&lt;=DU$7),ROUND(DU389*($AP$3+#REF!),-1),""))</f>
        <v/>
      </c>
      <c r="DW389" s="517"/>
      <c r="DX389" s="503" t="str">
        <f>IF($G389="","",IF(AND($G389&gt;=30,$AT$3&lt;=DW$7),ROUND(DW389*($AP$3+#REF!),-1),""))</f>
        <v/>
      </c>
      <c r="DY389" s="517"/>
      <c r="DZ389" s="503" t="str">
        <f>IF($G389="","",IF(AND($G389&gt;=30,$AT$3&lt;=DY$7),ROUND(DY389*($AP$3+#REF!),-1),""))</f>
        <v/>
      </c>
      <c r="EA389" s="517"/>
      <c r="EB389" s="503" t="str">
        <f>IF($G389="","",IF(AND($G389&gt;=30,$AT$3&lt;=EA$7),ROUND(EA389*($AP$3+#REF!),-1),""))</f>
        <v/>
      </c>
      <c r="EC389" s="504" t="s">
        <v>621</v>
      </c>
      <c r="ED389" s="1124"/>
      <c r="EE389" s="325">
        <v>9</v>
      </c>
    </row>
    <row r="390" spans="1:135" ht="9.75" customHeight="1">
      <c r="A390" s="321" t="str">
        <f t="shared" si="96"/>
        <v/>
      </c>
      <c r="B390" s="567">
        <f>(ii!$D$13*12+V390)+1</f>
        <v>284</v>
      </c>
      <c r="C390" s="337">
        <f t="shared" si="86"/>
        <v>53996</v>
      </c>
      <c r="D390" s="484">
        <f t="shared" si="89"/>
        <v>2047</v>
      </c>
      <c r="E390" s="484">
        <f t="shared" si="87"/>
        <v>0.83333333333333337</v>
      </c>
      <c r="F390" s="484">
        <f t="shared" si="90"/>
        <v>2047.8333333333333</v>
      </c>
      <c r="G390" s="485" t="str">
        <f>IF(OR(C390&lt;$I$2,C390&gt;$J$3),"",(ii!$D$13*12+V390+1)/12)</f>
        <v/>
      </c>
      <c r="H390" s="486"/>
      <c r="I390" s="486"/>
      <c r="J390" s="487"/>
      <c r="K390" s="488"/>
      <c r="L390" s="548"/>
      <c r="M390" s="489" t="str">
        <f t="shared" si="91"/>
        <v/>
      </c>
      <c r="N390" s="490" t="s">
        <v>621</v>
      </c>
      <c r="O390" s="490" t="str">
        <f t="shared" si="84"/>
        <v/>
      </c>
      <c r="P390" s="491"/>
      <c r="Q390" s="491"/>
      <c r="R390" s="491" t="str">
        <f t="shared" si="85"/>
        <v/>
      </c>
      <c r="S390" s="528" t="str">
        <f t="shared" si="97"/>
        <v/>
      </c>
      <c r="T390" s="528" t="str">
        <f t="shared" si="95"/>
        <v/>
      </c>
      <c r="U390" s="493" t="str">
        <f>IF(H390="","",#REF!*12+#REF!+#REF!*12+#REF!)</f>
        <v/>
      </c>
      <c r="V390" s="338">
        <f>IF(ii!$J$3&gt;gg!C390,"",IF(AND((YEAR(C390)=YEAR($I$2)),MONTH(C390)=MONTH($I$2)),ii!$B$14*12+ii!$C$14+ii!$B$15*12+ii!$C$15-1,V389+1))</f>
        <v>283</v>
      </c>
      <c r="W390" s="339">
        <f t="shared" si="88"/>
        <v>23.583333333333332</v>
      </c>
      <c r="X390" s="494" t="s">
        <v>621</v>
      </c>
      <c r="Y390" s="495" t="s">
        <v>621</v>
      </c>
      <c r="Z390" s="496"/>
      <c r="AA390" s="497"/>
      <c r="AB390" s="498" t="e">
        <f t="shared" si="94"/>
        <v>#VALUE!</v>
      </c>
      <c r="AC390" s="484" t="str">
        <f t="shared" si="92"/>
        <v/>
      </c>
      <c r="AD390" s="495" t="str">
        <f t="shared" si="93"/>
        <v/>
      </c>
      <c r="AE390" s="499" t="s">
        <v>621</v>
      </c>
      <c r="AF390" s="500" t="s">
        <v>621</v>
      </c>
      <c r="AG390" s="556" t="s">
        <v>621</v>
      </c>
      <c r="AH390" s="503" t="str">
        <f>IF($G390="","",IF(AND($G390&gt;=30,$AT$3&lt;=AG$7),ROUND(AG390*($AP$3+#REF!),-1),""))</f>
        <v/>
      </c>
      <c r="AI390" s="506" t="s">
        <v>621</v>
      </c>
      <c r="AJ390" s="503" t="str">
        <f>IF($G390="","",IF(AND($G390&gt;=30,$AT$3&lt;=AI$7),ROUND(AI390*($AP$3+#REF!),-1),""))</f>
        <v/>
      </c>
      <c r="AK390" s="506" t="s">
        <v>621</v>
      </c>
      <c r="AL390" s="503" t="str">
        <f>IF($G390="","",IF(AND($G390&gt;=30,$AT$3&lt;=AK$7),ROUND(AK390*($AP$3+#REF!),-1),""))</f>
        <v/>
      </c>
      <c r="AM390" s="506" t="s">
        <v>621</v>
      </c>
      <c r="AN390" s="503" t="str">
        <f>IF($G390="","",IF(AND($G390&gt;=30,$AT$3&lt;=AM$7),ROUND(AM390*($AP$3+#REF!),-1),""))</f>
        <v/>
      </c>
      <c r="AO390" s="503" t="e">
        <v>#REF!</v>
      </c>
      <c r="AP390" s="503" t="str">
        <f>IF($G390="","",IF(AND($G390&gt;=30,$AT$3&lt;=AO$7),ROUND(AO390*($AP$3+#REF!),-1),""))</f>
        <v/>
      </c>
      <c r="AQ390" s="503" t="s">
        <v>621</v>
      </c>
      <c r="AR390" s="503" t="str">
        <f>IF($G390="","",IF(AND($G390&gt;=30,$AT$3&lt;=AQ$7),ROUND(AQ390*($AP$3+#REF!),-1),""))</f>
        <v/>
      </c>
      <c r="AS390" s="503" t="s">
        <v>621</v>
      </c>
      <c r="AT390" s="503" t="str">
        <f>IF($G390="","",IF(AND($G390&gt;=30,$AT$3&lt;=AS$7),ROUND(AS390*($AP$3+#REF!),-1),""))</f>
        <v/>
      </c>
      <c r="AU390" s="503" t="s">
        <v>621</v>
      </c>
      <c r="AV390" s="503" t="str">
        <f>IF($G390="","",IF(AND($G390&gt;=30,$AT$3&lt;=AU$7),ROUND(AU390*($AP$3+#REF!),-1),""))</f>
        <v/>
      </c>
      <c r="AW390" s="503" t="s">
        <v>621</v>
      </c>
      <c r="AX390" s="503" t="str">
        <f>IF($G390="","",IF(AND($G390&gt;=30,$AT$3&lt;=AW$7),ROUND(AW390*($AP$3+#REF!),-1),""))</f>
        <v/>
      </c>
      <c r="AY390" s="503" t="s">
        <v>621</v>
      </c>
      <c r="AZ390" s="503" t="str">
        <f>IF($G390="","",IF(AND($G390&gt;=30,$AT$3&lt;=AY$7),ROUND(AY390*($AP$3+#REF!),-1),""))</f>
        <v/>
      </c>
      <c r="BA390" s="503" t="s">
        <v>621</v>
      </c>
      <c r="BB390" s="503" t="str">
        <f>IF($G390="","",IF(AND($G390&gt;=30,$AT$3&lt;=BA$7),ROUND(BA390*($AP$3+#REF!),-1),""))</f>
        <v/>
      </c>
      <c r="BC390" s="503" t="s">
        <v>621</v>
      </c>
      <c r="BD390" s="503" t="str">
        <f>IF($G390="","",IF(AND($G390&gt;=30,$AT$3&lt;=BC$7),ROUND(BC390*($AP$3+#REF!),-1),""))</f>
        <v/>
      </c>
      <c r="BE390" s="503" t="s">
        <v>621</v>
      </c>
      <c r="BF390" s="503" t="str">
        <f>IF($G390="","",IF(AND($G390&gt;=30,$AT$3&lt;=BE$7),ROUND(BE390*($AP$3+#REF!),-1),""))</f>
        <v/>
      </c>
      <c r="BG390" s="503" t="s">
        <v>621</v>
      </c>
      <c r="BH390" s="503" t="str">
        <f>IF($G390="","",IF(AND($G390&gt;=30,$AT$3&lt;=BG$7),ROUND(BG390*($AP$3+#REF!),-1),""))</f>
        <v/>
      </c>
      <c r="BI390" s="503" t="s">
        <v>621</v>
      </c>
      <c r="BJ390" s="503" t="str">
        <f>IF($G390="","",IF(AND($G390&gt;=30,$AT$3&lt;=BI$7),ROUND(BI390*($AP$3+#REF!),-1),""))</f>
        <v/>
      </c>
      <c r="BK390" s="503" t="s">
        <v>621</v>
      </c>
      <c r="BL390" s="503" t="str">
        <f>IF($G390="","",IF(AND($G390&gt;=30,$AT$3&lt;=BK$7),ROUND(BK390*($AP$3+#REF!),-1),""))</f>
        <v/>
      </c>
      <c r="BM390" s="503" t="s">
        <v>621</v>
      </c>
      <c r="BN390" s="503" t="str">
        <f>IF($G390="","",IF(AND($G390&gt;=30,$AT$3&lt;=BM$7),ROUND(BM390*($AP$3+#REF!),-1),""))</f>
        <v/>
      </c>
      <c r="BO390" s="503" t="s">
        <v>621</v>
      </c>
      <c r="BP390" s="503" t="str">
        <f>IF($G390="","",IF(AND($G390&gt;=30,$AT$3&lt;=BO$7),ROUND(BO390*($AP$3+#REF!),-1),""))</f>
        <v/>
      </c>
      <c r="BQ390" s="503" t="s">
        <v>621</v>
      </c>
      <c r="BR390" s="503" t="str">
        <f>IF($G390="","",IF(AND($G390&gt;=30,$AT$3&lt;=BQ$7),ROUND(BQ390*($AP$3+#REF!),-1),""))</f>
        <v/>
      </c>
      <c r="BS390" s="503" t="s">
        <v>621</v>
      </c>
      <c r="BT390" s="503" t="str">
        <f>IF($G390="","",IF(AND($G390&gt;=30,$AT$3&lt;=BS$7),ROUND(BS390*($AP$3+#REF!),-1),""))</f>
        <v/>
      </c>
      <c r="BU390" s="503" t="s">
        <v>621</v>
      </c>
      <c r="BV390" s="503" t="str">
        <f>IF($G390="","",IF(AND($G390&gt;=30,$AT$3&lt;=BU$7),ROUND(BU390*($AP$3+#REF!),-1),""))</f>
        <v/>
      </c>
      <c r="BW390" s="503" t="s">
        <v>621</v>
      </c>
      <c r="BX390" s="503" t="str">
        <f>IF($G390="","",IF(AND($G390&gt;=30,$AT$3&lt;=BW$7),ROUND(BW390*($AP$3+#REF!),-1),""))</f>
        <v/>
      </c>
      <c r="BY390" s="503" t="s">
        <v>621</v>
      </c>
      <c r="BZ390" s="503" t="str">
        <f>IF($G390="","",IF(AND($G390&gt;=30,$AT$3&lt;=BY$7),ROUND(BY390*($AP$3+#REF!),-1),""))</f>
        <v/>
      </c>
      <c r="CA390" s="503" t="s">
        <v>621</v>
      </c>
      <c r="CB390" s="503" t="str">
        <f>IF($G390="","",IF(AND($G390&gt;=30,$AT$3&lt;=CA$7),ROUND(CA390*($AP$3+#REF!),-1),""))</f>
        <v/>
      </c>
      <c r="CC390" s="503" t="s">
        <v>621</v>
      </c>
      <c r="CD390" s="503" t="str">
        <f>IF($G390="","",IF(AND($G390&gt;=30,$AT$3&lt;=CC$7),ROUND(CC390*($AP$3+#REF!),-1),""))</f>
        <v/>
      </c>
      <c r="CE390" s="503" t="s">
        <v>621</v>
      </c>
      <c r="CF390" s="503" t="str">
        <f>IF($G390="","",IF(AND($G390&gt;=30,$AT$3&lt;=CE$7),ROUND(CE390*($AP$3+#REF!),-1),""))</f>
        <v/>
      </c>
      <c r="CG390" s="503" t="s">
        <v>621</v>
      </c>
      <c r="CH390" s="503" t="str">
        <f>IF($G390="","",IF(AND($G390&gt;=30,$AT$3&lt;=CG$7),ROUND(CG390*($AP$3+#REF!),-1),""))</f>
        <v/>
      </c>
      <c r="CI390" s="503" t="s">
        <v>621</v>
      </c>
      <c r="CJ390" s="503" t="str">
        <f>IF($G390="","",IF(AND($G390&gt;=30,$AT$3&lt;=CI$7),ROUND(CI390*($AP$3+#REF!),-1),""))</f>
        <v/>
      </c>
      <c r="CK390" s="503" t="s">
        <v>621</v>
      </c>
      <c r="CL390" s="503" t="str">
        <f>IF($G390="","",IF(AND($G390&gt;=30,$AT$3&lt;=CK$7),ROUND(CK390*($AP$3+#REF!),-1),""))</f>
        <v/>
      </c>
      <c r="CM390" s="503" t="s">
        <v>621</v>
      </c>
      <c r="CN390" s="503" t="str">
        <f>IF($G390="","",IF(AND($G390&gt;=30,$AT$3&lt;=CM$7),ROUND(CM390*($AP$3+#REF!),-1),""))</f>
        <v/>
      </c>
      <c r="CO390" s="503" t="s">
        <v>621</v>
      </c>
      <c r="CP390" s="503" t="str">
        <f>IF($G390="","",IF(AND($G390&gt;=30,$AT$3&lt;=CO$7),ROUND(CO390*($AP$3+#REF!),-1),""))</f>
        <v/>
      </c>
      <c r="CQ390" s="517" t="e">
        <v>#REF!</v>
      </c>
      <c r="CR390" s="503" t="str">
        <f>IF($G390="","",IF(AND($G390&gt;=30,$AT$3&lt;=CQ$7),ROUND(CQ390*($AP$3+#REF!),-1),""))</f>
        <v/>
      </c>
      <c r="CS390" s="517"/>
      <c r="CT390" s="503" t="str">
        <f>IF($G390="","",IF(AND($G390&gt;=30,$AT$3&lt;=CS$7),ROUND(CS390*($AP$3+#REF!),-1),""))</f>
        <v/>
      </c>
      <c r="CU390" s="517"/>
      <c r="CV390" s="503" t="str">
        <f>IF($G390="","",IF(AND($G390&gt;=30,$AT$3&lt;=CU$7),ROUND(CU390*($AP$3+#REF!),-1),""))</f>
        <v/>
      </c>
      <c r="CW390" s="517"/>
      <c r="CX390" s="503" t="str">
        <f>IF($G390="","",IF(AND($G390&gt;=30,$AT$3&lt;=CW$7),ROUND(CW390*($AP$3+#REF!),-1),""))</f>
        <v/>
      </c>
      <c r="CY390" s="517"/>
      <c r="CZ390" s="503" t="str">
        <f>IF($G390="","",IF(AND($G390&gt;=30,$AT$3&lt;=CY$7),ROUND(CY390*($AP$3+#REF!),-1),""))</f>
        <v/>
      </c>
      <c r="DA390" s="517"/>
      <c r="DB390" s="503" t="str">
        <f>IF($G390="","",IF(AND($G390&gt;=30,$AT$3&lt;=DA$7),ROUND(DA390*($AP$3+#REF!),-1),""))</f>
        <v/>
      </c>
      <c r="DC390" s="517"/>
      <c r="DD390" s="503" t="str">
        <f>IF($G390="","",IF(AND($G390&gt;=30,$AT$3&lt;=DC$7),ROUND(DC390*($AP$3+#REF!),-1),""))</f>
        <v/>
      </c>
      <c r="DE390" s="517"/>
      <c r="DF390" s="503" t="str">
        <f>IF($G390="","",IF(AND($G390&gt;=30,$AT$3&lt;=DE$7),ROUND(DE390*($AP$3+#REF!),-1),""))</f>
        <v/>
      </c>
      <c r="DG390" s="517"/>
      <c r="DH390" s="503" t="str">
        <f>IF($G390="","",IF(AND($G390&gt;=30,$AT$3&lt;=DG$7),ROUND(DG390*($AP$3+#REF!),-1),""))</f>
        <v/>
      </c>
      <c r="DI390" s="517"/>
      <c r="DJ390" s="503" t="str">
        <f>IF($G390="","",IF(AND($G390&gt;=30,$AT$3&lt;=DI$7),ROUND(DI390*($AP$3+#REF!),-1),""))</f>
        <v/>
      </c>
      <c r="DK390" s="517"/>
      <c r="DL390" s="503" t="str">
        <f>IF($G390="","",IF(AND($G390&gt;=30,$AT$3&lt;=DK$7),ROUND(DK390*($AP$3+#REF!),-1),""))</f>
        <v/>
      </c>
      <c r="DM390" s="517"/>
      <c r="DN390" s="503" t="str">
        <f>IF($G390="","",IF(AND($G390&gt;=30,$AT$3&lt;=DM$7),ROUND(DM390*($AP$3+#REF!),-1),""))</f>
        <v/>
      </c>
      <c r="DO390" s="517"/>
      <c r="DP390" s="503" t="str">
        <f>IF($G390="","",IF(AND($G390&gt;=30,$AT$3&lt;=DO$7),ROUND(DO390*($AP$3+#REF!),-1),""))</f>
        <v/>
      </c>
      <c r="DQ390" s="517"/>
      <c r="DR390" s="503" t="str">
        <f>IF($G390="","",IF(AND($G390&gt;=30,$AT$3&lt;=DQ$7),ROUND(DQ390*($AP$3+#REF!),-1),""))</f>
        <v/>
      </c>
      <c r="DS390" s="517"/>
      <c r="DT390" s="503" t="str">
        <f>IF($G390="","",IF(AND($G390&gt;=30,$AT$3&lt;=DS$7),ROUND(DS390*($AP$3+#REF!),-1),""))</f>
        <v/>
      </c>
      <c r="DU390" s="517"/>
      <c r="DV390" s="503" t="str">
        <f>IF($G390="","",IF(AND($G390&gt;=30,$AT$3&lt;=DU$7),ROUND(DU390*($AP$3+#REF!),-1),""))</f>
        <v/>
      </c>
      <c r="DW390" s="517"/>
      <c r="DX390" s="503" t="str">
        <f>IF($G390="","",IF(AND($G390&gt;=30,$AT$3&lt;=DW$7),ROUND(DW390*($AP$3+#REF!),-1),""))</f>
        <v/>
      </c>
      <c r="DY390" s="517"/>
      <c r="DZ390" s="503" t="str">
        <f>IF($G390="","",IF(AND($G390&gt;=30,$AT$3&lt;=DY$7),ROUND(DY390*($AP$3+#REF!),-1),""))</f>
        <v/>
      </c>
      <c r="EA390" s="517"/>
      <c r="EB390" s="503" t="str">
        <f>IF($G390="","",IF(AND($G390&gt;=30,$AT$3&lt;=EA$7),ROUND(EA390*($AP$3+#REF!),-1),""))</f>
        <v/>
      </c>
      <c r="EC390" s="504" t="s">
        <v>621</v>
      </c>
      <c r="ED390" s="1124"/>
      <c r="EE390" s="325">
        <v>10</v>
      </c>
    </row>
    <row r="391" spans="1:135" ht="9.75" customHeight="1">
      <c r="A391" s="321" t="str">
        <f t="shared" si="96"/>
        <v/>
      </c>
      <c r="B391" s="567">
        <f>(ii!$D$13*12+V391)+1</f>
        <v>285</v>
      </c>
      <c r="C391" s="337">
        <f t="shared" si="86"/>
        <v>54026</v>
      </c>
      <c r="D391" s="484">
        <f t="shared" si="89"/>
        <v>2047</v>
      </c>
      <c r="E391" s="484">
        <f t="shared" si="87"/>
        <v>0.91666666666666663</v>
      </c>
      <c r="F391" s="484">
        <f t="shared" si="90"/>
        <v>2047.9166666666667</v>
      </c>
      <c r="G391" s="485" t="str">
        <f>IF(OR(C391&lt;$I$2,C391&gt;$J$3),"",(ii!$D$13*12+V391+1)/12)</f>
        <v/>
      </c>
      <c r="H391" s="486"/>
      <c r="I391" s="486"/>
      <c r="J391" s="487"/>
      <c r="K391" s="488"/>
      <c r="L391" s="548"/>
      <c r="M391" s="489" t="str">
        <f t="shared" si="91"/>
        <v/>
      </c>
      <c r="N391" s="490" t="s">
        <v>621</v>
      </c>
      <c r="O391" s="490" t="str">
        <f t="shared" si="84"/>
        <v/>
      </c>
      <c r="P391" s="491"/>
      <c r="Q391" s="491"/>
      <c r="R391" s="491" t="str">
        <f t="shared" si="85"/>
        <v/>
      </c>
      <c r="S391" s="528" t="str">
        <f t="shared" si="97"/>
        <v/>
      </c>
      <c r="T391" s="528" t="str">
        <f t="shared" si="95"/>
        <v/>
      </c>
      <c r="U391" s="493" t="str">
        <f>IF(H391="","",#REF!*12+#REF!+#REF!*12+#REF!)</f>
        <v/>
      </c>
      <c r="V391" s="338">
        <f>IF(ii!$J$3&gt;gg!C391,"",IF(AND((YEAR(C391)=YEAR($I$2)),MONTH(C391)=MONTH($I$2)),ii!$B$14*12+ii!$C$14+ii!$B$15*12+ii!$C$15-1,V390+1))</f>
        <v>284</v>
      </c>
      <c r="W391" s="339">
        <f t="shared" si="88"/>
        <v>23.666666666666668</v>
      </c>
      <c r="X391" s="494" t="s">
        <v>621</v>
      </c>
      <c r="Y391" s="495" t="s">
        <v>621</v>
      </c>
      <c r="Z391" s="496"/>
      <c r="AA391" s="497"/>
      <c r="AB391" s="498" t="e">
        <f t="shared" si="94"/>
        <v>#VALUE!</v>
      </c>
      <c r="AC391" s="484" t="str">
        <f t="shared" si="92"/>
        <v/>
      </c>
      <c r="AD391" s="495" t="str">
        <f t="shared" si="93"/>
        <v/>
      </c>
      <c r="AE391" s="499" t="s">
        <v>621</v>
      </c>
      <c r="AF391" s="500" t="s">
        <v>621</v>
      </c>
      <c r="AG391" s="556" t="s">
        <v>621</v>
      </c>
      <c r="AH391" s="503" t="str">
        <f>IF($G391="","",IF(AND($G391&gt;=30,$AT$3&lt;=AG$7),ROUND(AG391*($AP$3+#REF!),-1),""))</f>
        <v/>
      </c>
      <c r="AI391" s="506" t="s">
        <v>621</v>
      </c>
      <c r="AJ391" s="503" t="str">
        <f>IF($G391="","",IF(AND($G391&gt;=30,$AT$3&lt;=AI$7),ROUND(AI391*($AP$3+#REF!),-1),""))</f>
        <v/>
      </c>
      <c r="AK391" s="506" t="s">
        <v>621</v>
      </c>
      <c r="AL391" s="503" t="str">
        <f>IF($G391="","",IF(AND($G391&gt;=30,$AT$3&lt;=AK$7),ROUND(AK391*($AP$3+#REF!),-1),""))</f>
        <v/>
      </c>
      <c r="AM391" s="506" t="s">
        <v>621</v>
      </c>
      <c r="AN391" s="503" t="str">
        <f>IF($G391="","",IF(AND($G391&gt;=30,$AT$3&lt;=AM$7),ROUND(AM391*($AP$3+#REF!),-1),""))</f>
        <v/>
      </c>
      <c r="AO391" s="503" t="e">
        <v>#REF!</v>
      </c>
      <c r="AP391" s="503" t="str">
        <f>IF($G391="","",IF(AND($G391&gt;=30,$AT$3&lt;=AO$7),ROUND(AO391*($AP$3+#REF!),-1),""))</f>
        <v/>
      </c>
      <c r="AQ391" s="503" t="s">
        <v>621</v>
      </c>
      <c r="AR391" s="503" t="str">
        <f>IF($G391="","",IF(AND($G391&gt;=30,$AT$3&lt;=AQ$7),ROUND(AQ391*($AP$3+#REF!),-1),""))</f>
        <v/>
      </c>
      <c r="AS391" s="503" t="s">
        <v>621</v>
      </c>
      <c r="AT391" s="503" t="str">
        <f>IF($G391="","",IF(AND($G391&gt;=30,$AT$3&lt;=AS$7),ROUND(AS391*($AP$3+#REF!),-1),""))</f>
        <v/>
      </c>
      <c r="AU391" s="503" t="s">
        <v>621</v>
      </c>
      <c r="AV391" s="503" t="str">
        <f>IF($G391="","",IF(AND($G391&gt;=30,$AT$3&lt;=AU$7),ROUND(AU391*($AP$3+#REF!),-1),""))</f>
        <v/>
      </c>
      <c r="AW391" s="503" t="s">
        <v>621</v>
      </c>
      <c r="AX391" s="503" t="str">
        <f>IF($G391="","",IF(AND($G391&gt;=30,$AT$3&lt;=AW$7),ROUND(AW391*($AP$3+#REF!),-1),""))</f>
        <v/>
      </c>
      <c r="AY391" s="503" t="s">
        <v>621</v>
      </c>
      <c r="AZ391" s="503" t="str">
        <f>IF($G391="","",IF(AND($G391&gt;=30,$AT$3&lt;=AY$7),ROUND(AY391*($AP$3+#REF!),-1),""))</f>
        <v/>
      </c>
      <c r="BA391" s="503" t="s">
        <v>621</v>
      </c>
      <c r="BB391" s="503" t="str">
        <f>IF($G391="","",IF(AND($G391&gt;=30,$AT$3&lt;=BA$7),ROUND(BA391*($AP$3+#REF!),-1),""))</f>
        <v/>
      </c>
      <c r="BC391" s="503" t="s">
        <v>621</v>
      </c>
      <c r="BD391" s="503" t="str">
        <f>IF($G391="","",IF(AND($G391&gt;=30,$AT$3&lt;=BC$7),ROUND(BC391*($AP$3+#REF!),-1),""))</f>
        <v/>
      </c>
      <c r="BE391" s="503" t="s">
        <v>621</v>
      </c>
      <c r="BF391" s="503" t="str">
        <f>IF($G391="","",IF(AND($G391&gt;=30,$AT$3&lt;=BE$7),ROUND(BE391*($AP$3+#REF!),-1),""))</f>
        <v/>
      </c>
      <c r="BG391" s="503" t="s">
        <v>621</v>
      </c>
      <c r="BH391" s="503" t="str">
        <f>IF($G391="","",IF(AND($G391&gt;=30,$AT$3&lt;=BG$7),ROUND(BG391*($AP$3+#REF!),-1),""))</f>
        <v/>
      </c>
      <c r="BI391" s="503" t="s">
        <v>621</v>
      </c>
      <c r="BJ391" s="503" t="str">
        <f>IF($G391="","",IF(AND($G391&gt;=30,$AT$3&lt;=BI$7),ROUND(BI391*($AP$3+#REF!),-1),""))</f>
        <v/>
      </c>
      <c r="BK391" s="503" t="s">
        <v>621</v>
      </c>
      <c r="BL391" s="503" t="str">
        <f>IF($G391="","",IF(AND($G391&gt;=30,$AT$3&lt;=BK$7),ROUND(BK391*($AP$3+#REF!),-1),""))</f>
        <v/>
      </c>
      <c r="BM391" s="503" t="s">
        <v>621</v>
      </c>
      <c r="BN391" s="503" t="str">
        <f>IF($G391="","",IF(AND($G391&gt;=30,$AT$3&lt;=BM$7),ROUND(BM391*($AP$3+#REF!),-1),""))</f>
        <v/>
      </c>
      <c r="BO391" s="503" t="s">
        <v>621</v>
      </c>
      <c r="BP391" s="503" t="str">
        <f>IF($G391="","",IF(AND($G391&gt;=30,$AT$3&lt;=BO$7),ROUND(BO391*($AP$3+#REF!),-1),""))</f>
        <v/>
      </c>
      <c r="BQ391" s="503" t="s">
        <v>621</v>
      </c>
      <c r="BR391" s="503" t="str">
        <f>IF($G391="","",IF(AND($G391&gt;=30,$AT$3&lt;=BQ$7),ROUND(BQ391*($AP$3+#REF!),-1),""))</f>
        <v/>
      </c>
      <c r="BS391" s="503" t="s">
        <v>621</v>
      </c>
      <c r="BT391" s="503" t="str">
        <f>IF($G391="","",IF(AND($G391&gt;=30,$AT$3&lt;=BS$7),ROUND(BS391*($AP$3+#REF!),-1),""))</f>
        <v/>
      </c>
      <c r="BU391" s="503" t="s">
        <v>621</v>
      </c>
      <c r="BV391" s="503" t="str">
        <f>IF($G391="","",IF(AND($G391&gt;=30,$AT$3&lt;=BU$7),ROUND(BU391*($AP$3+#REF!),-1),""))</f>
        <v/>
      </c>
      <c r="BW391" s="503" t="s">
        <v>621</v>
      </c>
      <c r="BX391" s="503" t="str">
        <f>IF($G391="","",IF(AND($G391&gt;=30,$AT$3&lt;=BW$7),ROUND(BW391*($AP$3+#REF!),-1),""))</f>
        <v/>
      </c>
      <c r="BY391" s="503" t="s">
        <v>621</v>
      </c>
      <c r="BZ391" s="503" t="str">
        <f>IF($G391="","",IF(AND($G391&gt;=30,$AT$3&lt;=BY$7),ROUND(BY391*($AP$3+#REF!),-1),""))</f>
        <v/>
      </c>
      <c r="CA391" s="503" t="s">
        <v>621</v>
      </c>
      <c r="CB391" s="503" t="str">
        <f>IF($G391="","",IF(AND($G391&gt;=30,$AT$3&lt;=CA$7),ROUND(CA391*($AP$3+#REF!),-1),""))</f>
        <v/>
      </c>
      <c r="CC391" s="503" t="s">
        <v>621</v>
      </c>
      <c r="CD391" s="503" t="str">
        <f>IF($G391="","",IF(AND($G391&gt;=30,$AT$3&lt;=CC$7),ROUND(CC391*($AP$3+#REF!),-1),""))</f>
        <v/>
      </c>
      <c r="CE391" s="503" t="s">
        <v>621</v>
      </c>
      <c r="CF391" s="503" t="str">
        <f>IF($G391="","",IF(AND($G391&gt;=30,$AT$3&lt;=CE$7),ROUND(CE391*($AP$3+#REF!),-1),""))</f>
        <v/>
      </c>
      <c r="CG391" s="503" t="s">
        <v>621</v>
      </c>
      <c r="CH391" s="503" t="str">
        <f>IF($G391="","",IF(AND($G391&gt;=30,$AT$3&lt;=CG$7),ROUND(CG391*($AP$3+#REF!),-1),""))</f>
        <v/>
      </c>
      <c r="CI391" s="503" t="s">
        <v>621</v>
      </c>
      <c r="CJ391" s="503" t="str">
        <f>IF($G391="","",IF(AND($G391&gt;=30,$AT$3&lt;=CI$7),ROUND(CI391*($AP$3+#REF!),-1),""))</f>
        <v/>
      </c>
      <c r="CK391" s="503" t="s">
        <v>621</v>
      </c>
      <c r="CL391" s="503" t="str">
        <f>IF($G391="","",IF(AND($G391&gt;=30,$AT$3&lt;=CK$7),ROUND(CK391*($AP$3+#REF!),-1),""))</f>
        <v/>
      </c>
      <c r="CM391" s="503" t="s">
        <v>621</v>
      </c>
      <c r="CN391" s="503" t="str">
        <f>IF($G391="","",IF(AND($G391&gt;=30,$AT$3&lt;=CM$7),ROUND(CM391*($AP$3+#REF!),-1),""))</f>
        <v/>
      </c>
      <c r="CO391" s="503" t="s">
        <v>621</v>
      </c>
      <c r="CP391" s="503" t="str">
        <f>IF($G391="","",IF(AND($G391&gt;=30,$AT$3&lt;=CO$7),ROUND(CO391*($AP$3+#REF!),-1),""))</f>
        <v/>
      </c>
      <c r="CQ391" s="517" t="e">
        <v>#REF!</v>
      </c>
      <c r="CR391" s="503" t="str">
        <f>IF($G391="","",IF(AND($G391&gt;=30,$AT$3&lt;=CQ$7),ROUND(CQ391*($AP$3+#REF!),-1),""))</f>
        <v/>
      </c>
      <c r="CS391" s="517"/>
      <c r="CT391" s="503" t="str">
        <f>IF($G391="","",IF(AND($G391&gt;=30,$AT$3&lt;=CS$7),ROUND(CS391*($AP$3+#REF!),-1),""))</f>
        <v/>
      </c>
      <c r="CU391" s="517"/>
      <c r="CV391" s="503" t="str">
        <f>IF($G391="","",IF(AND($G391&gt;=30,$AT$3&lt;=CU$7),ROUND(CU391*($AP$3+#REF!),-1),""))</f>
        <v/>
      </c>
      <c r="CW391" s="517"/>
      <c r="CX391" s="503" t="str">
        <f>IF($G391="","",IF(AND($G391&gt;=30,$AT$3&lt;=CW$7),ROUND(CW391*($AP$3+#REF!),-1),""))</f>
        <v/>
      </c>
      <c r="CY391" s="517"/>
      <c r="CZ391" s="503" t="str">
        <f>IF($G391="","",IF(AND($G391&gt;=30,$AT$3&lt;=CY$7),ROUND(CY391*($AP$3+#REF!),-1),""))</f>
        <v/>
      </c>
      <c r="DA391" s="517"/>
      <c r="DB391" s="503" t="str">
        <f>IF($G391="","",IF(AND($G391&gt;=30,$AT$3&lt;=DA$7),ROUND(DA391*($AP$3+#REF!),-1),""))</f>
        <v/>
      </c>
      <c r="DC391" s="517"/>
      <c r="DD391" s="503" t="str">
        <f>IF($G391="","",IF(AND($G391&gt;=30,$AT$3&lt;=DC$7),ROUND(DC391*($AP$3+#REF!),-1),""))</f>
        <v/>
      </c>
      <c r="DE391" s="517"/>
      <c r="DF391" s="503" t="str">
        <f>IF($G391="","",IF(AND($G391&gt;=30,$AT$3&lt;=DE$7),ROUND(DE391*($AP$3+#REF!),-1),""))</f>
        <v/>
      </c>
      <c r="DG391" s="517"/>
      <c r="DH391" s="503" t="str">
        <f>IF($G391="","",IF(AND($G391&gt;=30,$AT$3&lt;=DG$7),ROUND(DG391*($AP$3+#REF!),-1),""))</f>
        <v/>
      </c>
      <c r="DI391" s="517"/>
      <c r="DJ391" s="503" t="str">
        <f>IF($G391="","",IF(AND($G391&gt;=30,$AT$3&lt;=DI$7),ROUND(DI391*($AP$3+#REF!),-1),""))</f>
        <v/>
      </c>
      <c r="DK391" s="517"/>
      <c r="DL391" s="503" t="str">
        <f>IF($G391="","",IF(AND($G391&gt;=30,$AT$3&lt;=DK$7),ROUND(DK391*($AP$3+#REF!),-1),""))</f>
        <v/>
      </c>
      <c r="DM391" s="517"/>
      <c r="DN391" s="503" t="str">
        <f>IF($G391="","",IF(AND($G391&gt;=30,$AT$3&lt;=DM$7),ROUND(DM391*($AP$3+#REF!),-1),""))</f>
        <v/>
      </c>
      <c r="DO391" s="517"/>
      <c r="DP391" s="503" t="str">
        <f>IF($G391="","",IF(AND($G391&gt;=30,$AT$3&lt;=DO$7),ROUND(DO391*($AP$3+#REF!),-1),""))</f>
        <v/>
      </c>
      <c r="DQ391" s="517"/>
      <c r="DR391" s="503" t="str">
        <f>IF($G391="","",IF(AND($G391&gt;=30,$AT$3&lt;=DQ$7),ROUND(DQ391*($AP$3+#REF!),-1),""))</f>
        <v/>
      </c>
      <c r="DS391" s="517"/>
      <c r="DT391" s="503" t="str">
        <f>IF($G391="","",IF(AND($G391&gt;=30,$AT$3&lt;=DS$7),ROUND(DS391*($AP$3+#REF!),-1),""))</f>
        <v/>
      </c>
      <c r="DU391" s="517"/>
      <c r="DV391" s="503" t="str">
        <f>IF($G391="","",IF(AND($G391&gt;=30,$AT$3&lt;=DU$7),ROUND(DU391*($AP$3+#REF!),-1),""))</f>
        <v/>
      </c>
      <c r="DW391" s="517"/>
      <c r="DX391" s="503" t="str">
        <f>IF($G391="","",IF(AND($G391&gt;=30,$AT$3&lt;=DW$7),ROUND(DW391*($AP$3+#REF!),-1),""))</f>
        <v/>
      </c>
      <c r="DY391" s="517"/>
      <c r="DZ391" s="503" t="str">
        <f>IF($G391="","",IF(AND($G391&gt;=30,$AT$3&lt;=DY$7),ROUND(DY391*($AP$3+#REF!),-1),""))</f>
        <v/>
      </c>
      <c r="EA391" s="517"/>
      <c r="EB391" s="503" t="str">
        <f>IF($G391="","",IF(AND($G391&gt;=30,$AT$3&lt;=EA$7),ROUND(EA391*($AP$3+#REF!),-1),""))</f>
        <v/>
      </c>
      <c r="EC391" s="504" t="s">
        <v>621</v>
      </c>
      <c r="ED391" s="1124"/>
      <c r="EE391" s="325">
        <v>11</v>
      </c>
    </row>
    <row r="392" spans="1:135" ht="9.75" customHeight="1">
      <c r="A392" s="321" t="str">
        <f t="shared" si="96"/>
        <v/>
      </c>
      <c r="B392" s="567">
        <f>(ii!$D$13*12+V392)+1</f>
        <v>286</v>
      </c>
      <c r="C392" s="337">
        <f t="shared" si="86"/>
        <v>54057</v>
      </c>
      <c r="D392" s="484">
        <f t="shared" si="89"/>
        <v>2047</v>
      </c>
      <c r="E392" s="484">
        <f t="shared" si="87"/>
        <v>1</v>
      </c>
      <c r="F392" s="484">
        <f t="shared" si="90"/>
        <v>2048</v>
      </c>
      <c r="G392" s="485" t="str">
        <f>IF(OR(C392&lt;$I$2,C392&gt;$J$3),"",(ii!$D$13*12+V392+1)/12)</f>
        <v/>
      </c>
      <c r="H392" s="486"/>
      <c r="I392" s="486"/>
      <c r="J392" s="487"/>
      <c r="K392" s="488"/>
      <c r="L392" s="548"/>
      <c r="M392" s="489" t="str">
        <f t="shared" si="91"/>
        <v/>
      </c>
      <c r="N392" s="490" t="s">
        <v>621</v>
      </c>
      <c r="O392" s="490" t="str">
        <f t="shared" si="84"/>
        <v/>
      </c>
      <c r="P392" s="491"/>
      <c r="Q392" s="491"/>
      <c r="R392" s="491" t="str">
        <f t="shared" si="85"/>
        <v/>
      </c>
      <c r="S392" s="528" t="str">
        <f t="shared" si="97"/>
        <v/>
      </c>
      <c r="T392" s="528" t="str">
        <f t="shared" si="95"/>
        <v/>
      </c>
      <c r="U392" s="493" t="str">
        <f>IF(H392="","",#REF!*12+#REF!+#REF!*12+#REF!)</f>
        <v/>
      </c>
      <c r="V392" s="338">
        <f>IF(ii!$J$3&gt;gg!C392,"",IF(AND((YEAR(C392)=YEAR($I$2)),MONTH(C392)=MONTH($I$2)),ii!$B$14*12+ii!$C$14+ii!$B$15*12+ii!$C$15-1,V391+1))</f>
        <v>285</v>
      </c>
      <c r="W392" s="339">
        <f t="shared" si="88"/>
        <v>23.75</v>
      </c>
      <c r="X392" s="494" t="s">
        <v>621</v>
      </c>
      <c r="Y392" s="495" t="s">
        <v>621</v>
      </c>
      <c r="Z392" s="496"/>
      <c r="AA392" s="497"/>
      <c r="AB392" s="498" t="e">
        <f t="shared" si="94"/>
        <v>#VALUE!</v>
      </c>
      <c r="AC392" s="484" t="str">
        <f t="shared" si="92"/>
        <v/>
      </c>
      <c r="AD392" s="495" t="str">
        <f t="shared" si="93"/>
        <v/>
      </c>
      <c r="AE392" s="499" t="s">
        <v>621</v>
      </c>
      <c r="AF392" s="500" t="s">
        <v>621</v>
      </c>
      <c r="AG392" s="556" t="s">
        <v>621</v>
      </c>
      <c r="AH392" s="503" t="str">
        <f>IF($G392="","",IF(AND($G392&gt;=30,$AT$3&lt;=AG$7),ROUND(AG392*($AP$3+#REF!),-1),""))</f>
        <v/>
      </c>
      <c r="AI392" s="506" t="s">
        <v>621</v>
      </c>
      <c r="AJ392" s="503" t="str">
        <f>IF($G392="","",IF(AND($G392&gt;=30,$AT$3&lt;=AI$7),ROUND(AI392*($AP$3+#REF!),-1),""))</f>
        <v/>
      </c>
      <c r="AK392" s="506" t="s">
        <v>621</v>
      </c>
      <c r="AL392" s="503" t="str">
        <f>IF($G392="","",IF(AND($G392&gt;=30,$AT$3&lt;=AK$7),ROUND(AK392*($AP$3+#REF!),-1),""))</f>
        <v/>
      </c>
      <c r="AM392" s="506" t="s">
        <v>621</v>
      </c>
      <c r="AN392" s="503" t="str">
        <f>IF($G392="","",IF(AND($G392&gt;=30,$AT$3&lt;=AM$7),ROUND(AM392*($AP$3+#REF!),-1),""))</f>
        <v/>
      </c>
      <c r="AO392" s="503" t="e">
        <v>#REF!</v>
      </c>
      <c r="AP392" s="503" t="str">
        <f>IF($G392="","",IF(AND($G392&gt;=30,$AT$3&lt;=AO$7),ROUND(AO392*($AP$3+#REF!),-1),""))</f>
        <v/>
      </c>
      <c r="AQ392" s="503" t="s">
        <v>621</v>
      </c>
      <c r="AR392" s="503" t="str">
        <f>IF($G392="","",IF(AND($G392&gt;=30,$AT$3&lt;=AQ$7),ROUND(AQ392*($AP$3+#REF!),-1),""))</f>
        <v/>
      </c>
      <c r="AS392" s="503" t="s">
        <v>621</v>
      </c>
      <c r="AT392" s="503" t="str">
        <f>IF($G392="","",IF(AND($G392&gt;=30,$AT$3&lt;=AS$7),ROUND(AS392*($AP$3+#REF!),-1),""))</f>
        <v/>
      </c>
      <c r="AU392" s="503" t="s">
        <v>621</v>
      </c>
      <c r="AV392" s="503" t="str">
        <f>IF($G392="","",IF(AND($G392&gt;=30,$AT$3&lt;=AU$7),ROUND(AU392*($AP$3+#REF!),-1),""))</f>
        <v/>
      </c>
      <c r="AW392" s="503" t="s">
        <v>621</v>
      </c>
      <c r="AX392" s="503" t="str">
        <f>IF($G392="","",IF(AND($G392&gt;=30,$AT$3&lt;=AW$7),ROUND(AW392*($AP$3+#REF!),-1),""))</f>
        <v/>
      </c>
      <c r="AY392" s="503" t="s">
        <v>621</v>
      </c>
      <c r="AZ392" s="503" t="str">
        <f>IF($G392="","",IF(AND($G392&gt;=30,$AT$3&lt;=AY$7),ROUND(AY392*($AP$3+#REF!),-1),""))</f>
        <v/>
      </c>
      <c r="BA392" s="503" t="s">
        <v>621</v>
      </c>
      <c r="BB392" s="503" t="str">
        <f>IF($G392="","",IF(AND($G392&gt;=30,$AT$3&lt;=BA$7),ROUND(BA392*($AP$3+#REF!),-1),""))</f>
        <v/>
      </c>
      <c r="BC392" s="503" t="s">
        <v>621</v>
      </c>
      <c r="BD392" s="503" t="str">
        <f>IF($G392="","",IF(AND($G392&gt;=30,$AT$3&lt;=BC$7),ROUND(BC392*($AP$3+#REF!),-1),""))</f>
        <v/>
      </c>
      <c r="BE392" s="503" t="s">
        <v>621</v>
      </c>
      <c r="BF392" s="503" t="str">
        <f>IF($G392="","",IF(AND($G392&gt;=30,$AT$3&lt;=BE$7),ROUND(BE392*($AP$3+#REF!),-1),""))</f>
        <v/>
      </c>
      <c r="BG392" s="503" t="s">
        <v>621</v>
      </c>
      <c r="BH392" s="503" t="str">
        <f>IF($G392="","",IF(AND($G392&gt;=30,$AT$3&lt;=BG$7),ROUND(BG392*($AP$3+#REF!),-1),""))</f>
        <v/>
      </c>
      <c r="BI392" s="503" t="s">
        <v>621</v>
      </c>
      <c r="BJ392" s="503" t="str">
        <f>IF($G392="","",IF(AND($G392&gt;=30,$AT$3&lt;=BI$7),ROUND(BI392*($AP$3+#REF!),-1),""))</f>
        <v/>
      </c>
      <c r="BK392" s="503" t="s">
        <v>621</v>
      </c>
      <c r="BL392" s="503" t="str">
        <f>IF($G392="","",IF(AND($G392&gt;=30,$AT$3&lt;=BK$7),ROUND(BK392*($AP$3+#REF!),-1),""))</f>
        <v/>
      </c>
      <c r="BM392" s="503" t="s">
        <v>621</v>
      </c>
      <c r="BN392" s="503" t="str">
        <f>IF($G392="","",IF(AND($G392&gt;=30,$AT$3&lt;=BM$7),ROUND(BM392*($AP$3+#REF!),-1),""))</f>
        <v/>
      </c>
      <c r="BO392" s="503" t="s">
        <v>621</v>
      </c>
      <c r="BP392" s="503" t="str">
        <f>IF($G392="","",IF(AND($G392&gt;=30,$AT$3&lt;=BO$7),ROUND(BO392*($AP$3+#REF!),-1),""))</f>
        <v/>
      </c>
      <c r="BQ392" s="503" t="s">
        <v>621</v>
      </c>
      <c r="BR392" s="503" t="str">
        <f>IF($G392="","",IF(AND($G392&gt;=30,$AT$3&lt;=BQ$7),ROUND(BQ392*($AP$3+#REF!),-1),""))</f>
        <v/>
      </c>
      <c r="BS392" s="503" t="s">
        <v>621</v>
      </c>
      <c r="BT392" s="503" t="str">
        <f>IF($G392="","",IF(AND($G392&gt;=30,$AT$3&lt;=BS$7),ROUND(BS392*($AP$3+#REF!),-1),""))</f>
        <v/>
      </c>
      <c r="BU392" s="503" t="s">
        <v>621</v>
      </c>
      <c r="BV392" s="503" t="str">
        <f>IF($G392="","",IF(AND($G392&gt;=30,$AT$3&lt;=BU$7),ROUND(BU392*($AP$3+#REF!),-1),""))</f>
        <v/>
      </c>
      <c r="BW392" s="503" t="s">
        <v>621</v>
      </c>
      <c r="BX392" s="503" t="str">
        <f>IF($G392="","",IF(AND($G392&gt;=30,$AT$3&lt;=BW$7),ROUND(BW392*($AP$3+#REF!),-1),""))</f>
        <v/>
      </c>
      <c r="BY392" s="503" t="s">
        <v>621</v>
      </c>
      <c r="BZ392" s="503" t="str">
        <f>IF($G392="","",IF(AND($G392&gt;=30,$AT$3&lt;=BY$7),ROUND(BY392*($AP$3+#REF!),-1),""))</f>
        <v/>
      </c>
      <c r="CA392" s="503" t="s">
        <v>621</v>
      </c>
      <c r="CB392" s="503" t="str">
        <f>IF($G392="","",IF(AND($G392&gt;=30,$AT$3&lt;=CA$7),ROUND(CA392*($AP$3+#REF!),-1),""))</f>
        <v/>
      </c>
      <c r="CC392" s="503" t="s">
        <v>621</v>
      </c>
      <c r="CD392" s="503" t="str">
        <f>IF($G392="","",IF(AND($G392&gt;=30,$AT$3&lt;=CC$7),ROUND(CC392*($AP$3+#REF!),-1),""))</f>
        <v/>
      </c>
      <c r="CE392" s="503" t="s">
        <v>621</v>
      </c>
      <c r="CF392" s="503" t="str">
        <f>IF($G392="","",IF(AND($G392&gt;=30,$AT$3&lt;=CE$7),ROUND(CE392*($AP$3+#REF!),-1),""))</f>
        <v/>
      </c>
      <c r="CG392" s="503" t="s">
        <v>621</v>
      </c>
      <c r="CH392" s="503" t="str">
        <f>IF($G392="","",IF(AND($G392&gt;=30,$AT$3&lt;=CG$7),ROUND(CG392*($AP$3+#REF!),-1),""))</f>
        <v/>
      </c>
      <c r="CI392" s="503" t="s">
        <v>621</v>
      </c>
      <c r="CJ392" s="503" t="str">
        <f>IF($G392="","",IF(AND($G392&gt;=30,$AT$3&lt;=CI$7),ROUND(CI392*($AP$3+#REF!),-1),""))</f>
        <v/>
      </c>
      <c r="CK392" s="503" t="s">
        <v>621</v>
      </c>
      <c r="CL392" s="503" t="str">
        <f>IF($G392="","",IF(AND($G392&gt;=30,$AT$3&lt;=CK$7),ROUND(CK392*($AP$3+#REF!),-1),""))</f>
        <v/>
      </c>
      <c r="CM392" s="503" t="s">
        <v>621</v>
      </c>
      <c r="CN392" s="503" t="str">
        <f>IF($G392="","",IF(AND($G392&gt;=30,$AT$3&lt;=CM$7),ROUND(CM392*($AP$3+#REF!),-1),""))</f>
        <v/>
      </c>
      <c r="CO392" s="503" t="s">
        <v>621</v>
      </c>
      <c r="CP392" s="503" t="str">
        <f>IF($G392="","",IF(AND($G392&gt;=30,$AT$3&lt;=CO$7),ROUND(CO392*($AP$3+#REF!),-1),""))</f>
        <v/>
      </c>
      <c r="CQ392" s="517" t="e">
        <v>#REF!</v>
      </c>
      <c r="CR392" s="503" t="str">
        <f>IF($G392="","",IF(AND($G392&gt;=30,$AT$3&lt;=CQ$7),ROUND(CQ392*($AP$3+#REF!),-1),""))</f>
        <v/>
      </c>
      <c r="CS392" s="517"/>
      <c r="CT392" s="503" t="str">
        <f>IF($G392="","",IF(AND($G392&gt;=30,$AT$3&lt;=CS$7),ROUND(CS392*($AP$3+#REF!),-1),""))</f>
        <v/>
      </c>
      <c r="CU392" s="517"/>
      <c r="CV392" s="503" t="str">
        <f>IF($G392="","",IF(AND($G392&gt;=30,$AT$3&lt;=CU$7),ROUND(CU392*($AP$3+#REF!),-1),""))</f>
        <v/>
      </c>
      <c r="CW392" s="517"/>
      <c r="CX392" s="503" t="str">
        <f>IF($G392="","",IF(AND($G392&gt;=30,$AT$3&lt;=CW$7),ROUND(CW392*($AP$3+#REF!),-1),""))</f>
        <v/>
      </c>
      <c r="CY392" s="517"/>
      <c r="CZ392" s="503" t="str">
        <f>IF($G392="","",IF(AND($G392&gt;=30,$AT$3&lt;=CY$7),ROUND(CY392*($AP$3+#REF!),-1),""))</f>
        <v/>
      </c>
      <c r="DA392" s="517"/>
      <c r="DB392" s="503" t="str">
        <f>IF($G392="","",IF(AND($G392&gt;=30,$AT$3&lt;=DA$7),ROUND(DA392*($AP$3+#REF!),-1),""))</f>
        <v/>
      </c>
      <c r="DC392" s="517"/>
      <c r="DD392" s="503" t="str">
        <f>IF($G392="","",IF(AND($G392&gt;=30,$AT$3&lt;=DC$7),ROUND(DC392*($AP$3+#REF!),-1),""))</f>
        <v/>
      </c>
      <c r="DE392" s="517"/>
      <c r="DF392" s="503" t="str">
        <f>IF($G392="","",IF(AND($G392&gt;=30,$AT$3&lt;=DE$7),ROUND(DE392*($AP$3+#REF!),-1),""))</f>
        <v/>
      </c>
      <c r="DG392" s="517"/>
      <c r="DH392" s="503" t="str">
        <f>IF($G392="","",IF(AND($G392&gt;=30,$AT$3&lt;=DG$7),ROUND(DG392*($AP$3+#REF!),-1),""))</f>
        <v/>
      </c>
      <c r="DI392" s="517"/>
      <c r="DJ392" s="503" t="str">
        <f>IF($G392="","",IF(AND($G392&gt;=30,$AT$3&lt;=DI$7),ROUND(DI392*($AP$3+#REF!),-1),""))</f>
        <v/>
      </c>
      <c r="DK392" s="517"/>
      <c r="DL392" s="503" t="str">
        <f>IF($G392="","",IF(AND($G392&gt;=30,$AT$3&lt;=DK$7),ROUND(DK392*($AP$3+#REF!),-1),""))</f>
        <v/>
      </c>
      <c r="DM392" s="517"/>
      <c r="DN392" s="503" t="str">
        <f>IF($G392="","",IF(AND($G392&gt;=30,$AT$3&lt;=DM$7),ROUND(DM392*($AP$3+#REF!),-1),""))</f>
        <v/>
      </c>
      <c r="DO392" s="517"/>
      <c r="DP392" s="503" t="str">
        <f>IF($G392="","",IF(AND($G392&gt;=30,$AT$3&lt;=DO$7),ROUND(DO392*($AP$3+#REF!),-1),""))</f>
        <v/>
      </c>
      <c r="DQ392" s="517"/>
      <c r="DR392" s="503" t="str">
        <f>IF($G392="","",IF(AND($G392&gt;=30,$AT$3&lt;=DQ$7),ROUND(DQ392*($AP$3+#REF!),-1),""))</f>
        <v/>
      </c>
      <c r="DS392" s="517"/>
      <c r="DT392" s="503" t="str">
        <f>IF($G392="","",IF(AND($G392&gt;=30,$AT$3&lt;=DS$7),ROUND(DS392*($AP$3+#REF!),-1),""))</f>
        <v/>
      </c>
      <c r="DU392" s="517"/>
      <c r="DV392" s="503" t="str">
        <f>IF($G392="","",IF(AND($G392&gt;=30,$AT$3&lt;=DU$7),ROUND(DU392*($AP$3+#REF!),-1),""))</f>
        <v/>
      </c>
      <c r="DW392" s="517"/>
      <c r="DX392" s="503" t="str">
        <f>IF($G392="","",IF(AND($G392&gt;=30,$AT$3&lt;=DW$7),ROUND(DW392*($AP$3+#REF!),-1),""))</f>
        <v/>
      </c>
      <c r="DY392" s="517"/>
      <c r="DZ392" s="503" t="str">
        <f>IF($G392="","",IF(AND($G392&gt;=30,$AT$3&lt;=DY$7),ROUND(DY392*($AP$3+#REF!),-1),""))</f>
        <v/>
      </c>
      <c r="EA392" s="517"/>
      <c r="EB392" s="503" t="str">
        <f>IF($G392="","",IF(AND($G392&gt;=30,$AT$3&lt;=EA$7),ROUND(EA392*($AP$3+#REF!),-1),""))</f>
        <v/>
      </c>
      <c r="EC392" s="504" t="s">
        <v>621</v>
      </c>
      <c r="ED392" s="1125"/>
      <c r="EE392" s="325">
        <v>12</v>
      </c>
    </row>
    <row r="393" spans="1:135" ht="9.75" customHeight="1">
      <c r="A393" s="321" t="str">
        <f t="shared" si="96"/>
        <v/>
      </c>
      <c r="B393" s="567">
        <f>(ii!$D$13*12+V393)+1</f>
        <v>287</v>
      </c>
      <c r="C393" s="345">
        <f t="shared" si="86"/>
        <v>54088</v>
      </c>
      <c r="D393" s="340">
        <f t="shared" si="89"/>
        <v>2048</v>
      </c>
      <c r="E393" s="340">
        <f t="shared" si="87"/>
        <v>8.3333333333333329E-2</v>
      </c>
      <c r="F393" s="340">
        <f t="shared" si="90"/>
        <v>2048.0833333333335</v>
      </c>
      <c r="G393" s="531" t="str">
        <f>IF(OR(C393&lt;$I$2,C393&gt;$J$3),"",(ii!$D$13*12+V393+1)/12)</f>
        <v/>
      </c>
      <c r="H393" s="532"/>
      <c r="I393" s="532"/>
      <c r="J393" s="533"/>
      <c r="K393" s="553"/>
      <c r="L393" s="534"/>
      <c r="M393" s="489" t="str">
        <f t="shared" si="91"/>
        <v/>
      </c>
      <c r="N393" s="536" t="s">
        <v>621</v>
      </c>
      <c r="O393" s="490" t="str">
        <f t="shared" ref="O393:O456" si="98">IF(OR(N393="",N392=""),"",N393-N392)</f>
        <v/>
      </c>
      <c r="P393" s="537"/>
      <c r="Q393" s="537"/>
      <c r="R393" s="533" t="str">
        <f t="shared" ref="R393:R456" si="99">IF(OR(P393="",P392=""),"",P393-P392)</f>
        <v/>
      </c>
      <c r="S393" s="538" t="str">
        <f t="shared" si="97"/>
        <v/>
      </c>
      <c r="T393" s="538" t="str">
        <f t="shared" si="95"/>
        <v/>
      </c>
      <c r="U393" s="539" t="str">
        <f>IF(H393="","",#REF!*12+#REF!+#REF!*12+#REF!)</f>
        <v/>
      </c>
      <c r="V393" s="338">
        <f>IF(ii!$J$3&gt;gg!C393,"",IF(AND((YEAR(C393)=YEAR($I$2)),MONTH(C393)=MONTH($I$2)),ii!$B$14*12+ii!$C$14+ii!$B$15*12+ii!$C$15-1,V392+1))</f>
        <v>286</v>
      </c>
      <c r="W393" s="339">
        <f t="shared" si="88"/>
        <v>23.833333333333332</v>
      </c>
      <c r="X393" s="540" t="s">
        <v>621</v>
      </c>
      <c r="Y393" s="538" t="s">
        <v>621</v>
      </c>
      <c r="Z393" s="541">
        <f>Z381+$Z$26</f>
        <v>0.90000000000000058</v>
      </c>
      <c r="AA393" s="542" t="str">
        <f>IF(Y393="","",(Y393-Y392)/Y392)</f>
        <v/>
      </c>
      <c r="AB393" s="543" t="e">
        <f t="shared" si="94"/>
        <v>#VALUE!</v>
      </c>
      <c r="AC393" s="544" t="str">
        <f t="shared" si="92"/>
        <v/>
      </c>
      <c r="AD393" s="538" t="str">
        <f t="shared" si="93"/>
        <v/>
      </c>
      <c r="AE393" s="545" t="s">
        <v>621</v>
      </c>
      <c r="AF393" s="546" t="s">
        <v>621</v>
      </c>
      <c r="AG393" s="558" t="s">
        <v>621</v>
      </c>
      <c r="AH393" s="547" t="str">
        <f>IF($G393="","",IF(AND($G393&gt;=30,$AT$3&lt;=AG$7),ROUND(AG393*($AP$3+#REF!),-1),""))</f>
        <v/>
      </c>
      <c r="AI393" s="558" t="s">
        <v>621</v>
      </c>
      <c r="AJ393" s="547" t="str">
        <f>IF($G393="","",IF(AND($G393&gt;=30,$AT$3&lt;=AI$7),ROUND(AI393*($AP$3+#REF!),-1),""))</f>
        <v/>
      </c>
      <c r="AK393" s="560" t="s">
        <v>621</v>
      </c>
      <c r="AL393" s="547" t="str">
        <f>IF($G393="","",IF(AND($G393&gt;=30,$AT$3&lt;=AK$7),ROUND(AK393*($AP$3+#REF!),-1),""))</f>
        <v/>
      </c>
      <c r="AM393" s="560" t="s">
        <v>621</v>
      </c>
      <c r="AN393" s="547" t="str">
        <f>IF($G393="","",IF(AND($G393&gt;=30,$AT$3&lt;=AM$7),ROUND(AM393*($AP$3+#REF!),-1),""))</f>
        <v/>
      </c>
      <c r="AO393" s="547" t="e">
        <v>#REF!</v>
      </c>
      <c r="AP393" s="547" t="str">
        <f>IF($G393="","",IF(AND($G393&gt;=30,$AT$3&lt;=AO$7),ROUND(AO393*($AP$3+#REF!),-1),""))</f>
        <v/>
      </c>
      <c r="AQ393" s="547" t="s">
        <v>621</v>
      </c>
      <c r="AR393" s="547" t="str">
        <f>IF($G393="","",IF(AND($G393&gt;=30,$AT$3&lt;=AQ$7),ROUND(AQ393*($AP$3+#REF!),-1),""))</f>
        <v/>
      </c>
      <c r="AS393" s="547" t="s">
        <v>621</v>
      </c>
      <c r="AT393" s="547" t="str">
        <f>IF($G393="","",IF(AND($G393&gt;=30,$AT$3&lt;=AS$7),ROUND(AS393*($AP$3+#REF!),-1),""))</f>
        <v/>
      </c>
      <c r="AU393" s="547" t="s">
        <v>621</v>
      </c>
      <c r="AV393" s="547" t="str">
        <f>IF($G393="","",IF(AND($G393&gt;=30,$AT$3&lt;=AU$7),ROUND(AU393*($AP$3+#REF!),-1),""))</f>
        <v/>
      </c>
      <c r="AW393" s="547" t="s">
        <v>621</v>
      </c>
      <c r="AX393" s="547" t="str">
        <f>IF($G393="","",IF(AND($G393&gt;=30,$AT$3&lt;=AW$7),ROUND(AW393*($AP$3+#REF!),-1),""))</f>
        <v/>
      </c>
      <c r="AY393" s="547" t="s">
        <v>621</v>
      </c>
      <c r="AZ393" s="547" t="str">
        <f>IF($G393="","",IF(AND($G393&gt;=30,$AT$3&lt;=AY$7),ROUND(AY393*($AP$3+#REF!),-1),""))</f>
        <v/>
      </c>
      <c r="BA393" s="547" t="s">
        <v>621</v>
      </c>
      <c r="BB393" s="547" t="str">
        <f>IF($G393="","",IF(AND($G393&gt;=30,$AT$3&lt;=BA$7),ROUND(BA393*($AP$3+#REF!),-1),""))</f>
        <v/>
      </c>
      <c r="BC393" s="547" t="s">
        <v>621</v>
      </c>
      <c r="BD393" s="547" t="str">
        <f>IF($G393="","",IF(AND($G393&gt;=30,$AT$3&lt;=BC$7),ROUND(BC393*($AP$3+#REF!),-1),""))</f>
        <v/>
      </c>
      <c r="BE393" s="547" t="s">
        <v>621</v>
      </c>
      <c r="BF393" s="547" t="str">
        <f>IF($G393="","",IF(AND($G393&gt;=30,$AT$3&lt;=BE$7),ROUND(BE393*($AP$3+#REF!),-1),""))</f>
        <v/>
      </c>
      <c r="BG393" s="547" t="s">
        <v>621</v>
      </c>
      <c r="BH393" s="547" t="str">
        <f>IF($G393="","",IF(AND($G393&gt;=30,$AT$3&lt;=BG$7),ROUND(BG393*($AP$3+#REF!),-1),""))</f>
        <v/>
      </c>
      <c r="BI393" s="547" t="s">
        <v>621</v>
      </c>
      <c r="BJ393" s="547" t="str">
        <f>IF($G393="","",IF(AND($G393&gt;=30,$AT$3&lt;=BI$7),ROUND(BI393*($AP$3+#REF!),-1),""))</f>
        <v/>
      </c>
      <c r="BK393" s="547" t="s">
        <v>621</v>
      </c>
      <c r="BL393" s="547" t="str">
        <f>IF($G393="","",IF(AND($G393&gt;=30,$AT$3&lt;=BK$7),ROUND(BK393*($AP$3+#REF!),-1),""))</f>
        <v/>
      </c>
      <c r="BM393" s="547" t="s">
        <v>621</v>
      </c>
      <c r="BN393" s="547" t="str">
        <f>IF($G393="","",IF(AND($G393&gt;=30,$AT$3&lt;=BM$7),ROUND(BM393*($AP$3+#REF!),-1),""))</f>
        <v/>
      </c>
      <c r="BO393" s="547" t="s">
        <v>621</v>
      </c>
      <c r="BP393" s="547" t="str">
        <f>IF($G393="","",IF(AND($G393&gt;=30,$AT$3&lt;=BO$7),ROUND(BO393*($AP$3+#REF!),-1),""))</f>
        <v/>
      </c>
      <c r="BQ393" s="547" t="s">
        <v>621</v>
      </c>
      <c r="BR393" s="547" t="str">
        <f>IF($G393="","",IF(AND($G393&gt;=30,$AT$3&lt;=BQ$7),ROUND(BQ393*($AP$3+#REF!),-1),""))</f>
        <v/>
      </c>
      <c r="BS393" s="547" t="s">
        <v>621</v>
      </c>
      <c r="BT393" s="547" t="str">
        <f>IF($G393="","",IF(AND($G393&gt;=30,$AT$3&lt;=BS$7),ROUND(BS393*($AP$3+#REF!),-1),""))</f>
        <v/>
      </c>
      <c r="BU393" s="547" t="s">
        <v>621</v>
      </c>
      <c r="BV393" s="547" t="str">
        <f>IF($G393="","",IF(AND($G393&gt;=30,$AT$3&lt;=BU$7),ROUND(BU393*($AP$3+#REF!),-1),""))</f>
        <v/>
      </c>
      <c r="BW393" s="547" t="s">
        <v>621</v>
      </c>
      <c r="BX393" s="547" t="str">
        <f>IF($G393="","",IF(AND($G393&gt;=30,$AT$3&lt;=BW$7),ROUND(BW393*($AP$3+#REF!),-1),""))</f>
        <v/>
      </c>
      <c r="BY393" s="547" t="s">
        <v>621</v>
      </c>
      <c r="BZ393" s="547" t="str">
        <f>IF($G393="","",IF(AND($G393&gt;=30,$AT$3&lt;=BY$7),ROUND(BY393*($AP$3+#REF!),-1),""))</f>
        <v/>
      </c>
      <c r="CA393" s="547" t="s">
        <v>621</v>
      </c>
      <c r="CB393" s="547" t="str">
        <f>IF($G393="","",IF(AND($G393&gt;=30,$AT$3&lt;=CA$7),ROUND(CA393*($AP$3+#REF!),-1),""))</f>
        <v/>
      </c>
      <c r="CC393" s="547" t="s">
        <v>621</v>
      </c>
      <c r="CD393" s="547" t="str">
        <f>IF($G393="","",IF(AND($G393&gt;=30,$AT$3&lt;=CC$7),ROUND(CC393*($AP$3+#REF!),-1),""))</f>
        <v/>
      </c>
      <c r="CE393" s="547" t="s">
        <v>621</v>
      </c>
      <c r="CF393" s="547" t="str">
        <f>IF($G393="","",IF(AND($G393&gt;=30,$AT$3&lt;=CE$7),ROUND(CE393*($AP$3+#REF!),-1),""))</f>
        <v/>
      </c>
      <c r="CG393" s="547" t="s">
        <v>621</v>
      </c>
      <c r="CH393" s="547" t="str">
        <f>IF($G393="","",IF(AND($G393&gt;=30,$AT$3&lt;=CG$7),ROUND(CG393*($AP$3+#REF!),-1),""))</f>
        <v/>
      </c>
      <c r="CI393" s="547" t="s">
        <v>621</v>
      </c>
      <c r="CJ393" s="547" t="str">
        <f>IF($G393="","",IF(AND($G393&gt;=30,$AT$3&lt;=CI$7),ROUND(CI393*($AP$3+#REF!),-1),""))</f>
        <v/>
      </c>
      <c r="CK393" s="547" t="s">
        <v>621</v>
      </c>
      <c r="CL393" s="547" t="str">
        <f>IF($G393="","",IF(AND($G393&gt;=30,$AT$3&lt;=CK$7),ROUND(CK393*($AP$3+#REF!),-1),""))</f>
        <v/>
      </c>
      <c r="CM393" s="547" t="s">
        <v>621</v>
      </c>
      <c r="CN393" s="547" t="str">
        <f>IF($G393="","",IF(AND($G393&gt;=30,$AT$3&lt;=CM$7),ROUND(CM393*($AP$3+#REF!),-1),""))</f>
        <v/>
      </c>
      <c r="CO393" s="547" t="s">
        <v>621</v>
      </c>
      <c r="CP393" s="547" t="str">
        <f>IF($G393="","",IF(AND($G393&gt;=30,$AT$3&lt;=CO$7),ROUND(CO393*($AP$3+#REF!),-1),""))</f>
        <v/>
      </c>
      <c r="CQ393" s="547" t="s">
        <v>621</v>
      </c>
      <c r="CR393" s="547" t="str">
        <f>IF($G393="","",IF(AND($G393&gt;=30,$AT$3&lt;=CQ$7),ROUND(CQ393*($AP$3+#REF!),-1),""))</f>
        <v/>
      </c>
      <c r="CS393" s="533" t="e">
        <v>#REF!</v>
      </c>
      <c r="CT393" s="547" t="str">
        <f>IF($G393="","",IF(AND($G393&gt;=30,$AT$3&lt;=CS$7),ROUND(CS393*($AP$3+#REF!),-1),""))</f>
        <v/>
      </c>
      <c r="CU393" s="547"/>
      <c r="CV393" s="547" t="str">
        <f>IF($G393="","",IF(AND($G393&gt;=30,$AT$3&lt;=CU$7),ROUND(CU393*($AP$3+#REF!),-1),""))</f>
        <v/>
      </c>
      <c r="CW393" s="547"/>
      <c r="CX393" s="547" t="str">
        <f>IF($G393="","",IF(AND($G393&gt;=30,$AT$3&lt;=CW$7),ROUND(CW393*($AP$3+#REF!),-1),""))</f>
        <v/>
      </c>
      <c r="CY393" s="547"/>
      <c r="CZ393" s="547" t="str">
        <f>IF($G393="","",IF(AND($G393&gt;=30,$AT$3&lt;=CY$7),ROUND(CY393*($AP$3+#REF!),-1),""))</f>
        <v/>
      </c>
      <c r="DA393" s="547"/>
      <c r="DB393" s="547" t="str">
        <f>IF($G393="","",IF(AND($G393&gt;=30,$AT$3&lt;=DA$7),ROUND(DA393*($AP$3+#REF!),-1),""))</f>
        <v/>
      </c>
      <c r="DC393" s="547"/>
      <c r="DD393" s="547" t="str">
        <f>IF($G393="","",IF(AND($G393&gt;=30,$AT$3&lt;=DC$7),ROUND(DC393*($AP$3+#REF!),-1),""))</f>
        <v/>
      </c>
      <c r="DE393" s="547"/>
      <c r="DF393" s="547" t="str">
        <f>IF($G393="","",IF(AND($G393&gt;=30,$AT$3&lt;=DE$7),ROUND(DE393*($AP$3+#REF!),-1),""))</f>
        <v/>
      </c>
      <c r="DG393" s="547"/>
      <c r="DH393" s="547" t="str">
        <f>IF($G393="","",IF(AND($G393&gt;=30,$AT$3&lt;=DG$7),ROUND(DG393*($AP$3+#REF!),-1),""))</f>
        <v/>
      </c>
      <c r="DI393" s="547"/>
      <c r="DJ393" s="547" t="str">
        <f>IF($G393="","",IF(AND($G393&gt;=30,$AT$3&lt;=DI$7),ROUND(DI393*($AP$3+#REF!),-1),""))</f>
        <v/>
      </c>
      <c r="DK393" s="547"/>
      <c r="DL393" s="547" t="str">
        <f>IF($G393="","",IF(AND($G393&gt;=30,$AT$3&lt;=DK$7),ROUND(DK393*($AP$3+#REF!),-1),""))</f>
        <v/>
      </c>
      <c r="DM393" s="547"/>
      <c r="DN393" s="547" t="str">
        <f>IF($G393="","",IF(AND($G393&gt;=30,$AT$3&lt;=DM$7),ROUND(DM393*($AP$3+#REF!),-1),""))</f>
        <v/>
      </c>
      <c r="DO393" s="547"/>
      <c r="DP393" s="547" t="str">
        <f>IF($G393="","",IF(AND($G393&gt;=30,$AT$3&lt;=DO$7),ROUND(DO393*($AP$3+#REF!),-1),""))</f>
        <v/>
      </c>
      <c r="DQ393" s="547"/>
      <c r="DR393" s="547" t="str">
        <f>IF($G393="","",IF(AND($G393&gt;=30,$AT$3&lt;=DQ$7),ROUND(DQ393*($AP$3+#REF!),-1),""))</f>
        <v/>
      </c>
      <c r="DS393" s="547"/>
      <c r="DT393" s="547" t="str">
        <f>IF($G393="","",IF(AND($G393&gt;=30,$AT$3&lt;=DS$7),ROUND(DS393*($AP$3+#REF!),-1),""))</f>
        <v/>
      </c>
      <c r="DU393" s="547"/>
      <c r="DV393" s="547" t="str">
        <f>IF($G393="","",IF(AND($G393&gt;=30,$AT$3&lt;=DU$7),ROUND(DU393*($AP$3+#REF!),-1),""))</f>
        <v/>
      </c>
      <c r="DW393" s="547"/>
      <c r="DX393" s="547" t="str">
        <f>IF($G393="","",IF(AND($G393&gt;=30,$AT$3&lt;=DW$7),ROUND(DW393*($AP$3+#REF!),-1),""))</f>
        <v/>
      </c>
      <c r="DY393" s="547"/>
      <c r="DZ393" s="547" t="str">
        <f>IF($G393="","",IF(AND($G393&gt;=30,$AT$3&lt;=DY$7),ROUND(DY393*($AP$3+#REF!),-1),""))</f>
        <v/>
      </c>
      <c r="EA393" s="547"/>
      <c r="EB393" s="547" t="str">
        <f>IF($G393="","",IF(AND($G393&gt;=30,$AT$3&lt;=EA$7),ROUND(EA393*($AP$3+#REF!),-1),""))</f>
        <v/>
      </c>
      <c r="EC393" s="547" t="s">
        <v>621</v>
      </c>
      <c r="ED393" s="1123">
        <f>SUM(EC393:EC404)</f>
        <v>0</v>
      </c>
      <c r="EE393" s="325">
        <v>1</v>
      </c>
    </row>
    <row r="394" spans="1:135" ht="9.75" customHeight="1">
      <c r="A394" s="321" t="str">
        <f t="shared" si="96"/>
        <v/>
      </c>
      <c r="B394" s="567">
        <f>(ii!$D$13*12+V394)+1</f>
        <v>288</v>
      </c>
      <c r="C394" s="337">
        <f t="shared" si="86"/>
        <v>54117</v>
      </c>
      <c r="D394" s="484">
        <f t="shared" si="89"/>
        <v>2048</v>
      </c>
      <c r="E394" s="484">
        <f t="shared" si="87"/>
        <v>0.16666666666666666</v>
      </c>
      <c r="F394" s="484">
        <f t="shared" si="90"/>
        <v>2048.1666666666665</v>
      </c>
      <c r="G394" s="485" t="str">
        <f>IF(OR(C394&lt;$I$2,C394&gt;$J$3),"",(ii!$D$13*12+V394+1)/12)</f>
        <v/>
      </c>
      <c r="H394" s="486"/>
      <c r="I394" s="486"/>
      <c r="J394" s="487"/>
      <c r="K394" s="488"/>
      <c r="L394" s="548"/>
      <c r="M394" s="489" t="str">
        <f t="shared" si="91"/>
        <v/>
      </c>
      <c r="N394" s="490" t="s">
        <v>621</v>
      </c>
      <c r="O394" s="490" t="str">
        <f t="shared" si="98"/>
        <v/>
      </c>
      <c r="P394" s="491"/>
      <c r="Q394" s="491"/>
      <c r="R394" s="491" t="str">
        <f t="shared" si="99"/>
        <v/>
      </c>
      <c r="S394" s="528" t="str">
        <f t="shared" si="97"/>
        <v/>
      </c>
      <c r="T394" s="528" t="str">
        <f t="shared" si="95"/>
        <v/>
      </c>
      <c r="U394" s="493" t="str">
        <f>IF(H394="","",#REF!*12+#REF!+#REF!*12+#REF!)</f>
        <v/>
      </c>
      <c r="V394" s="338">
        <f>IF(ii!$J$3&gt;gg!C394,"",IF(AND((YEAR(C394)=YEAR($I$2)),MONTH(C394)=MONTH($I$2)),ii!$B$14*12+ii!$C$14+ii!$B$15*12+ii!$C$15-1,V393+1))</f>
        <v>287</v>
      </c>
      <c r="W394" s="339">
        <f t="shared" si="88"/>
        <v>23.916666666666668</v>
      </c>
      <c r="X394" s="494" t="s">
        <v>621</v>
      </c>
      <c r="Y394" s="495" t="s">
        <v>621</v>
      </c>
      <c r="Z394" s="496"/>
      <c r="AA394" s="497"/>
      <c r="AB394" s="498" t="e">
        <f t="shared" si="94"/>
        <v>#VALUE!</v>
      </c>
      <c r="AC394" s="484" t="str">
        <f t="shared" si="92"/>
        <v/>
      </c>
      <c r="AD394" s="495" t="str">
        <f t="shared" si="93"/>
        <v/>
      </c>
      <c r="AE394" s="499" t="s">
        <v>621</v>
      </c>
      <c r="AF394" s="500" t="s">
        <v>621</v>
      </c>
      <c r="AG394" s="556" t="s">
        <v>621</v>
      </c>
      <c r="AH394" s="503" t="str">
        <f>IF($G394="","",IF(AND($G394&gt;=30,$AT$3&lt;=AG$7),ROUND(AG394*($AP$3+#REF!),-1),""))</f>
        <v/>
      </c>
      <c r="AI394" s="506" t="s">
        <v>621</v>
      </c>
      <c r="AJ394" s="503" t="str">
        <f>IF($G394="","",IF(AND($G394&gt;=30,$AT$3&lt;=AI$7),ROUND(AI394*($AP$3+#REF!),-1),""))</f>
        <v/>
      </c>
      <c r="AK394" s="506" t="s">
        <v>621</v>
      </c>
      <c r="AL394" s="503" t="str">
        <f>IF($G394="","",IF(AND($G394&gt;=30,$AT$3&lt;=AK$7),ROUND(AK394*($AP$3+#REF!),-1),""))</f>
        <v/>
      </c>
      <c r="AM394" s="506" t="s">
        <v>621</v>
      </c>
      <c r="AN394" s="503" t="str">
        <f>IF($G394="","",IF(AND($G394&gt;=30,$AT$3&lt;=AM$7),ROUND(AM394*($AP$3+#REF!),-1),""))</f>
        <v/>
      </c>
      <c r="AO394" s="503" t="e">
        <f>IF(AO393="","",AO393*1.001)</f>
        <v>#REF!</v>
      </c>
      <c r="AP394" s="503" t="str">
        <f>IF($G394="","",IF(AND($G394&gt;=30,$AT$3&lt;=AO$7),ROUND(AO394*($AP$3+#REF!),-1),""))</f>
        <v/>
      </c>
      <c r="AQ394" s="503" t="s">
        <v>621</v>
      </c>
      <c r="AR394" s="503" t="str">
        <f>IF($G394="","",IF(AND($G394&gt;=30,$AT$3&lt;=AQ$7),ROUND(AQ394*($AP$3+#REF!),-1),""))</f>
        <v/>
      </c>
      <c r="AS394" s="503" t="s">
        <v>621</v>
      </c>
      <c r="AT394" s="503" t="str">
        <f>IF($G394="","",IF(AND($G394&gt;=30,$AT$3&lt;=AS$7),ROUND(AS394*($AP$3+#REF!),-1),""))</f>
        <v/>
      </c>
      <c r="AU394" s="503" t="s">
        <v>621</v>
      </c>
      <c r="AV394" s="503" t="str">
        <f>IF($G394="","",IF(AND($G394&gt;=30,$AT$3&lt;=AU$7),ROUND(AU394*($AP$3+#REF!),-1),""))</f>
        <v/>
      </c>
      <c r="AW394" s="503" t="s">
        <v>621</v>
      </c>
      <c r="AX394" s="503" t="str">
        <f>IF($G394="","",IF(AND($G394&gt;=30,$AT$3&lt;=AW$7),ROUND(AW394*($AP$3+#REF!),-1),""))</f>
        <v/>
      </c>
      <c r="AY394" s="503" t="s">
        <v>621</v>
      </c>
      <c r="AZ394" s="503" t="str">
        <f>IF($G394="","",IF(AND($G394&gt;=30,$AT$3&lt;=AY$7),ROUND(AY394*($AP$3+#REF!),-1),""))</f>
        <v/>
      </c>
      <c r="BA394" s="503" t="s">
        <v>621</v>
      </c>
      <c r="BB394" s="503" t="str">
        <f>IF($G394="","",IF(AND($G394&gt;=30,$AT$3&lt;=BA$7),ROUND(BA394*($AP$3+#REF!),-1),""))</f>
        <v/>
      </c>
      <c r="BC394" s="503" t="s">
        <v>621</v>
      </c>
      <c r="BD394" s="503" t="str">
        <f>IF($G394="","",IF(AND($G394&gt;=30,$AT$3&lt;=BC$7),ROUND(BC394*($AP$3+#REF!),-1),""))</f>
        <v/>
      </c>
      <c r="BE394" s="503" t="s">
        <v>621</v>
      </c>
      <c r="BF394" s="503" t="str">
        <f>IF($G394="","",IF(AND($G394&gt;=30,$AT$3&lt;=BE$7),ROUND(BE394*($AP$3+#REF!),-1),""))</f>
        <v/>
      </c>
      <c r="BG394" s="503" t="s">
        <v>621</v>
      </c>
      <c r="BH394" s="503" t="str">
        <f>IF($G394="","",IF(AND($G394&gt;=30,$AT$3&lt;=BG$7),ROUND(BG394*($AP$3+#REF!),-1),""))</f>
        <v/>
      </c>
      <c r="BI394" s="503" t="s">
        <v>621</v>
      </c>
      <c r="BJ394" s="503" t="str">
        <f>IF($G394="","",IF(AND($G394&gt;=30,$AT$3&lt;=BI$7),ROUND(BI394*($AP$3+#REF!),-1),""))</f>
        <v/>
      </c>
      <c r="BK394" s="503" t="s">
        <v>621</v>
      </c>
      <c r="BL394" s="503" t="str">
        <f>IF($G394="","",IF(AND($G394&gt;=30,$AT$3&lt;=BK$7),ROUND(BK394*($AP$3+#REF!),-1),""))</f>
        <v/>
      </c>
      <c r="BM394" s="503" t="s">
        <v>621</v>
      </c>
      <c r="BN394" s="503" t="str">
        <f>IF($G394="","",IF(AND($G394&gt;=30,$AT$3&lt;=BM$7),ROUND(BM394*($AP$3+#REF!),-1),""))</f>
        <v/>
      </c>
      <c r="BO394" s="503" t="s">
        <v>621</v>
      </c>
      <c r="BP394" s="503" t="str">
        <f>IF($G394="","",IF(AND($G394&gt;=30,$AT$3&lt;=BO$7),ROUND(BO394*($AP$3+#REF!),-1),""))</f>
        <v/>
      </c>
      <c r="BQ394" s="503" t="s">
        <v>621</v>
      </c>
      <c r="BR394" s="503" t="str">
        <f>IF($G394="","",IF(AND($G394&gt;=30,$AT$3&lt;=BQ$7),ROUND(BQ394*($AP$3+#REF!),-1),""))</f>
        <v/>
      </c>
      <c r="BS394" s="503" t="s">
        <v>621</v>
      </c>
      <c r="BT394" s="503" t="str">
        <f>IF($G394="","",IF(AND($G394&gt;=30,$AT$3&lt;=BS$7),ROUND(BS394*($AP$3+#REF!),-1),""))</f>
        <v/>
      </c>
      <c r="BU394" s="503" t="s">
        <v>621</v>
      </c>
      <c r="BV394" s="503" t="str">
        <f>IF($G394="","",IF(AND($G394&gt;=30,$AT$3&lt;=BU$7),ROUND(BU394*($AP$3+#REF!),-1),""))</f>
        <v/>
      </c>
      <c r="BW394" s="503" t="s">
        <v>621</v>
      </c>
      <c r="BX394" s="503" t="str">
        <f>IF($G394="","",IF(AND($G394&gt;=30,$AT$3&lt;=BW$7),ROUND(BW394*($AP$3+#REF!),-1),""))</f>
        <v/>
      </c>
      <c r="BY394" s="503" t="s">
        <v>621</v>
      </c>
      <c r="BZ394" s="503" t="str">
        <f>IF($G394="","",IF(AND($G394&gt;=30,$AT$3&lt;=BY$7),ROUND(BY394*($AP$3+#REF!),-1),""))</f>
        <v/>
      </c>
      <c r="CA394" s="503" t="s">
        <v>621</v>
      </c>
      <c r="CB394" s="503" t="str">
        <f>IF($G394="","",IF(AND($G394&gt;=30,$AT$3&lt;=CA$7),ROUND(CA394*($AP$3+#REF!),-1),""))</f>
        <v/>
      </c>
      <c r="CC394" s="503" t="s">
        <v>621</v>
      </c>
      <c r="CD394" s="503" t="str">
        <f>IF($G394="","",IF(AND($G394&gt;=30,$AT$3&lt;=CC$7),ROUND(CC394*($AP$3+#REF!),-1),""))</f>
        <v/>
      </c>
      <c r="CE394" s="503" t="s">
        <v>621</v>
      </c>
      <c r="CF394" s="503" t="str">
        <f>IF($G394="","",IF(AND($G394&gt;=30,$AT$3&lt;=CE$7),ROUND(CE394*($AP$3+#REF!),-1),""))</f>
        <v/>
      </c>
      <c r="CG394" s="503" t="s">
        <v>621</v>
      </c>
      <c r="CH394" s="503" t="str">
        <f>IF($G394="","",IF(AND($G394&gt;=30,$AT$3&lt;=CG$7),ROUND(CG394*($AP$3+#REF!),-1),""))</f>
        <v/>
      </c>
      <c r="CI394" s="503" t="s">
        <v>621</v>
      </c>
      <c r="CJ394" s="503" t="str">
        <f>IF($G394="","",IF(AND($G394&gt;=30,$AT$3&lt;=CI$7),ROUND(CI394*($AP$3+#REF!),-1),""))</f>
        <v/>
      </c>
      <c r="CK394" s="503" t="s">
        <v>621</v>
      </c>
      <c r="CL394" s="503" t="str">
        <f>IF($G394="","",IF(AND($G394&gt;=30,$AT$3&lt;=CK$7),ROUND(CK394*($AP$3+#REF!),-1),""))</f>
        <v/>
      </c>
      <c r="CM394" s="503" t="s">
        <v>621</v>
      </c>
      <c r="CN394" s="503" t="str">
        <f>IF($G394="","",IF(AND($G394&gt;=30,$AT$3&lt;=CM$7),ROUND(CM394*($AP$3+#REF!),-1),""))</f>
        <v/>
      </c>
      <c r="CO394" s="503" t="s">
        <v>621</v>
      </c>
      <c r="CP394" s="503" t="str">
        <f>IF($G394="","",IF(AND($G394&gt;=30,$AT$3&lt;=CO$7),ROUND(CO394*($AP$3+#REF!),-1),""))</f>
        <v/>
      </c>
      <c r="CQ394" s="503" t="s">
        <v>621</v>
      </c>
      <c r="CR394" s="503" t="str">
        <f>IF($G394="","",IF(AND($G394&gt;=30,$AT$3&lt;=CQ$7),ROUND(CQ394*($AP$3+#REF!),-1),""))</f>
        <v/>
      </c>
      <c r="CS394" s="517" t="e">
        <v>#REF!</v>
      </c>
      <c r="CT394" s="503" t="str">
        <f>IF($G394="","",IF(AND($G394&gt;=30,$AT$3&lt;=CS$7),ROUND(CS394*($AP$3+#REF!),-1),""))</f>
        <v/>
      </c>
      <c r="CU394" s="517"/>
      <c r="CV394" s="503" t="str">
        <f>IF($G394="","",IF(AND($G394&gt;=30,$AT$3&lt;=CU$7),ROUND(CU394*($AP$3+#REF!),-1),""))</f>
        <v/>
      </c>
      <c r="CW394" s="517"/>
      <c r="CX394" s="503" t="str">
        <f>IF($G394="","",IF(AND($G394&gt;=30,$AT$3&lt;=CW$7),ROUND(CW394*($AP$3+#REF!),-1),""))</f>
        <v/>
      </c>
      <c r="CY394" s="517"/>
      <c r="CZ394" s="503" t="str">
        <f>IF($G394="","",IF(AND($G394&gt;=30,$AT$3&lt;=CY$7),ROUND(CY394*($AP$3+#REF!),-1),""))</f>
        <v/>
      </c>
      <c r="DA394" s="517"/>
      <c r="DB394" s="503" t="str">
        <f>IF($G394="","",IF(AND($G394&gt;=30,$AT$3&lt;=DA$7),ROUND(DA394*($AP$3+#REF!),-1),""))</f>
        <v/>
      </c>
      <c r="DC394" s="517"/>
      <c r="DD394" s="503" t="str">
        <f>IF($G394="","",IF(AND($G394&gt;=30,$AT$3&lt;=DC$7),ROUND(DC394*($AP$3+#REF!),-1),""))</f>
        <v/>
      </c>
      <c r="DE394" s="517"/>
      <c r="DF394" s="503" t="str">
        <f>IF($G394="","",IF(AND($G394&gt;=30,$AT$3&lt;=DE$7),ROUND(DE394*($AP$3+#REF!),-1),""))</f>
        <v/>
      </c>
      <c r="DG394" s="517"/>
      <c r="DH394" s="503" t="str">
        <f>IF($G394="","",IF(AND($G394&gt;=30,$AT$3&lt;=DG$7),ROUND(DG394*($AP$3+#REF!),-1),""))</f>
        <v/>
      </c>
      <c r="DI394" s="517"/>
      <c r="DJ394" s="503" t="str">
        <f>IF($G394="","",IF(AND($G394&gt;=30,$AT$3&lt;=DI$7),ROUND(DI394*($AP$3+#REF!),-1),""))</f>
        <v/>
      </c>
      <c r="DK394" s="517"/>
      <c r="DL394" s="503" t="str">
        <f>IF($G394="","",IF(AND($G394&gt;=30,$AT$3&lt;=DK$7),ROUND(DK394*($AP$3+#REF!),-1),""))</f>
        <v/>
      </c>
      <c r="DM394" s="517"/>
      <c r="DN394" s="503" t="str">
        <f>IF($G394="","",IF(AND($G394&gt;=30,$AT$3&lt;=DM$7),ROUND(DM394*($AP$3+#REF!),-1),""))</f>
        <v/>
      </c>
      <c r="DO394" s="517"/>
      <c r="DP394" s="503" t="str">
        <f>IF($G394="","",IF(AND($G394&gt;=30,$AT$3&lt;=DO$7),ROUND(DO394*($AP$3+#REF!),-1),""))</f>
        <v/>
      </c>
      <c r="DQ394" s="517"/>
      <c r="DR394" s="503" t="str">
        <f>IF($G394="","",IF(AND($G394&gt;=30,$AT$3&lt;=DQ$7),ROUND(DQ394*($AP$3+#REF!),-1),""))</f>
        <v/>
      </c>
      <c r="DS394" s="517"/>
      <c r="DT394" s="503" t="str">
        <f>IF($G394="","",IF(AND($G394&gt;=30,$AT$3&lt;=DS$7),ROUND(DS394*($AP$3+#REF!),-1),""))</f>
        <v/>
      </c>
      <c r="DU394" s="517"/>
      <c r="DV394" s="503" t="str">
        <f>IF($G394="","",IF(AND($G394&gt;=30,$AT$3&lt;=DU$7),ROUND(DU394*($AP$3+#REF!),-1),""))</f>
        <v/>
      </c>
      <c r="DW394" s="517"/>
      <c r="DX394" s="503" t="str">
        <f>IF($G394="","",IF(AND($G394&gt;=30,$AT$3&lt;=DW$7),ROUND(DW394*($AP$3+#REF!),-1),""))</f>
        <v/>
      </c>
      <c r="DY394" s="517"/>
      <c r="DZ394" s="503" t="str">
        <f>IF($G394="","",IF(AND($G394&gt;=30,$AT$3&lt;=DY$7),ROUND(DY394*($AP$3+#REF!),-1),""))</f>
        <v/>
      </c>
      <c r="EA394" s="517"/>
      <c r="EB394" s="503" t="str">
        <f>IF($G394="","",IF(AND($G394&gt;=30,$AT$3&lt;=EA$7),ROUND(EA394*($AP$3+#REF!),-1),""))</f>
        <v/>
      </c>
      <c r="EC394" s="504" t="s">
        <v>621</v>
      </c>
      <c r="ED394" s="1124"/>
      <c r="EE394" s="325">
        <v>2</v>
      </c>
    </row>
    <row r="395" spans="1:135" ht="9.75" customHeight="1">
      <c r="A395" s="321" t="str">
        <f t="shared" si="96"/>
        <v/>
      </c>
      <c r="B395" s="567">
        <f>(ii!$D$13*12+V395)+1</f>
        <v>289</v>
      </c>
      <c r="C395" s="337">
        <f t="shared" ref="C395:C458" si="100">EOMONTH(C394,1)</f>
        <v>54148</v>
      </c>
      <c r="D395" s="484">
        <f t="shared" si="89"/>
        <v>2048</v>
      </c>
      <c r="E395" s="484">
        <f t="shared" si="87"/>
        <v>0.25</v>
      </c>
      <c r="F395" s="484">
        <f t="shared" si="90"/>
        <v>2048.25</v>
      </c>
      <c r="G395" s="485" t="str">
        <f>IF(OR(C395&lt;$I$2,C395&gt;$J$3),"",(ii!$D$13*12+V395+1)/12)</f>
        <v/>
      </c>
      <c r="H395" s="486"/>
      <c r="I395" s="486"/>
      <c r="J395" s="487"/>
      <c r="K395" s="488"/>
      <c r="L395" s="548"/>
      <c r="M395" s="489" t="str">
        <f t="shared" si="91"/>
        <v/>
      </c>
      <c r="N395" s="490" t="s">
        <v>621</v>
      </c>
      <c r="O395" s="490" t="str">
        <f t="shared" si="98"/>
        <v/>
      </c>
      <c r="P395" s="491"/>
      <c r="Q395" s="491"/>
      <c r="R395" s="491" t="str">
        <f t="shared" si="99"/>
        <v/>
      </c>
      <c r="S395" s="528" t="str">
        <f t="shared" si="97"/>
        <v/>
      </c>
      <c r="T395" s="528" t="str">
        <f t="shared" si="95"/>
        <v/>
      </c>
      <c r="U395" s="493" t="str">
        <f>IF(H395="","",#REF!*12+#REF!+#REF!*12+#REF!)</f>
        <v/>
      </c>
      <c r="V395" s="338">
        <f>IF(ii!$J$3&gt;gg!C395,"",IF(AND((YEAR(C395)=YEAR($I$2)),MONTH(C395)=MONTH($I$2)),ii!$B$14*12+ii!$C$14+ii!$B$15*12+ii!$C$15-1,V394+1))</f>
        <v>288</v>
      </c>
      <c r="W395" s="339">
        <f t="shared" si="88"/>
        <v>24</v>
      </c>
      <c r="X395" s="494" t="s">
        <v>621</v>
      </c>
      <c r="Y395" s="495" t="s">
        <v>621</v>
      </c>
      <c r="Z395" s="496"/>
      <c r="AA395" s="497"/>
      <c r="AB395" s="498" t="e">
        <f t="shared" si="94"/>
        <v>#VALUE!</v>
      </c>
      <c r="AC395" s="484" t="str">
        <f t="shared" si="92"/>
        <v/>
      </c>
      <c r="AD395" s="495" t="str">
        <f t="shared" si="93"/>
        <v/>
      </c>
      <c r="AE395" s="499" t="s">
        <v>621</v>
      </c>
      <c r="AF395" s="500" t="s">
        <v>621</v>
      </c>
      <c r="AG395" s="556" t="s">
        <v>621</v>
      </c>
      <c r="AH395" s="503" t="str">
        <f>IF($G395="","",IF(AND($G395&gt;=30,$AT$3&lt;=AG$7),ROUND(AG395*($AP$3+#REF!),-1),""))</f>
        <v/>
      </c>
      <c r="AI395" s="506" t="s">
        <v>621</v>
      </c>
      <c r="AJ395" s="503" t="str">
        <f>IF($G395="","",IF(AND($G395&gt;=30,$AT$3&lt;=AI$7),ROUND(AI395*($AP$3+#REF!),-1),""))</f>
        <v/>
      </c>
      <c r="AK395" s="506" t="s">
        <v>621</v>
      </c>
      <c r="AL395" s="503" t="str">
        <f>IF($G395="","",IF(AND($G395&gt;=30,$AT$3&lt;=AK$7),ROUND(AK395*($AP$3+#REF!),-1),""))</f>
        <v/>
      </c>
      <c r="AM395" s="506" t="s">
        <v>621</v>
      </c>
      <c r="AN395" s="503" t="str">
        <f>IF($G395="","",IF(AND($G395&gt;=30,$AT$3&lt;=AM$7),ROUND(AM395*($AP$3+#REF!),-1),""))</f>
        <v/>
      </c>
      <c r="AO395" s="503" t="e">
        <v>#REF!</v>
      </c>
      <c r="AP395" s="503" t="str">
        <f>IF($G395="","",IF(AND($G395&gt;=30,$AT$3&lt;=AO$7),ROUND(AO395*($AP$3+#REF!),-1),""))</f>
        <v/>
      </c>
      <c r="AQ395" s="503" t="s">
        <v>621</v>
      </c>
      <c r="AR395" s="503" t="str">
        <f>IF($G395="","",IF(AND($G395&gt;=30,$AT$3&lt;=AQ$7),ROUND(AQ395*($AP$3+#REF!),-1),""))</f>
        <v/>
      </c>
      <c r="AS395" s="503" t="s">
        <v>621</v>
      </c>
      <c r="AT395" s="503" t="str">
        <f>IF($G395="","",IF(AND($G395&gt;=30,$AT$3&lt;=AS$7),ROUND(AS395*($AP$3+#REF!),-1),""))</f>
        <v/>
      </c>
      <c r="AU395" s="503" t="s">
        <v>621</v>
      </c>
      <c r="AV395" s="503" t="str">
        <f>IF($G395="","",IF(AND($G395&gt;=30,$AT$3&lt;=AU$7),ROUND(AU395*($AP$3+#REF!),-1),""))</f>
        <v/>
      </c>
      <c r="AW395" s="503" t="s">
        <v>621</v>
      </c>
      <c r="AX395" s="503" t="str">
        <f>IF($G395="","",IF(AND($G395&gt;=30,$AT$3&lt;=AW$7),ROUND(AW395*($AP$3+#REF!),-1),""))</f>
        <v/>
      </c>
      <c r="AY395" s="503" t="s">
        <v>621</v>
      </c>
      <c r="AZ395" s="503" t="str">
        <f>IF($G395="","",IF(AND($G395&gt;=30,$AT$3&lt;=AY$7),ROUND(AY395*($AP$3+#REF!),-1),""))</f>
        <v/>
      </c>
      <c r="BA395" s="503" t="s">
        <v>621</v>
      </c>
      <c r="BB395" s="503" t="str">
        <f>IF($G395="","",IF(AND($G395&gt;=30,$AT$3&lt;=BA$7),ROUND(BA395*($AP$3+#REF!),-1),""))</f>
        <v/>
      </c>
      <c r="BC395" s="503" t="s">
        <v>621</v>
      </c>
      <c r="BD395" s="503" t="str">
        <f>IF($G395="","",IF(AND($G395&gt;=30,$AT$3&lt;=BC$7),ROUND(BC395*($AP$3+#REF!),-1),""))</f>
        <v/>
      </c>
      <c r="BE395" s="503" t="s">
        <v>621</v>
      </c>
      <c r="BF395" s="503" t="str">
        <f>IF($G395="","",IF(AND($G395&gt;=30,$AT$3&lt;=BE$7),ROUND(BE395*($AP$3+#REF!),-1),""))</f>
        <v/>
      </c>
      <c r="BG395" s="503" t="s">
        <v>621</v>
      </c>
      <c r="BH395" s="503" t="str">
        <f>IF($G395="","",IF(AND($G395&gt;=30,$AT$3&lt;=BG$7),ROUND(BG395*($AP$3+#REF!),-1),""))</f>
        <v/>
      </c>
      <c r="BI395" s="503" t="s">
        <v>621</v>
      </c>
      <c r="BJ395" s="503" t="str">
        <f>IF($G395="","",IF(AND($G395&gt;=30,$AT$3&lt;=BI$7),ROUND(BI395*($AP$3+#REF!),-1),""))</f>
        <v/>
      </c>
      <c r="BK395" s="503" t="s">
        <v>621</v>
      </c>
      <c r="BL395" s="503" t="str">
        <f>IF($G395="","",IF(AND($G395&gt;=30,$AT$3&lt;=BK$7),ROUND(BK395*($AP$3+#REF!),-1),""))</f>
        <v/>
      </c>
      <c r="BM395" s="503" t="s">
        <v>621</v>
      </c>
      <c r="BN395" s="503" t="str">
        <f>IF($G395="","",IF(AND($G395&gt;=30,$AT$3&lt;=BM$7),ROUND(BM395*($AP$3+#REF!),-1),""))</f>
        <v/>
      </c>
      <c r="BO395" s="503" t="s">
        <v>621</v>
      </c>
      <c r="BP395" s="503" t="str">
        <f>IF($G395="","",IF(AND($G395&gt;=30,$AT$3&lt;=BO$7),ROUND(BO395*($AP$3+#REF!),-1),""))</f>
        <v/>
      </c>
      <c r="BQ395" s="503" t="s">
        <v>621</v>
      </c>
      <c r="BR395" s="503" t="str">
        <f>IF($G395="","",IF(AND($G395&gt;=30,$AT$3&lt;=BQ$7),ROUND(BQ395*($AP$3+#REF!),-1),""))</f>
        <v/>
      </c>
      <c r="BS395" s="503" t="s">
        <v>621</v>
      </c>
      <c r="BT395" s="503" t="str">
        <f>IF($G395="","",IF(AND($G395&gt;=30,$AT$3&lt;=BS$7),ROUND(BS395*($AP$3+#REF!),-1),""))</f>
        <v/>
      </c>
      <c r="BU395" s="503" t="s">
        <v>621</v>
      </c>
      <c r="BV395" s="503" t="str">
        <f>IF($G395="","",IF(AND($G395&gt;=30,$AT$3&lt;=BU$7),ROUND(BU395*($AP$3+#REF!),-1),""))</f>
        <v/>
      </c>
      <c r="BW395" s="503" t="s">
        <v>621</v>
      </c>
      <c r="BX395" s="503" t="str">
        <f>IF($G395="","",IF(AND($G395&gt;=30,$AT$3&lt;=BW$7),ROUND(BW395*($AP$3+#REF!),-1),""))</f>
        <v/>
      </c>
      <c r="BY395" s="503" t="s">
        <v>621</v>
      </c>
      <c r="BZ395" s="503" t="str">
        <f>IF($G395="","",IF(AND($G395&gt;=30,$AT$3&lt;=BY$7),ROUND(BY395*($AP$3+#REF!),-1),""))</f>
        <v/>
      </c>
      <c r="CA395" s="503" t="s">
        <v>621</v>
      </c>
      <c r="CB395" s="503" t="str">
        <f>IF($G395="","",IF(AND($G395&gt;=30,$AT$3&lt;=CA$7),ROUND(CA395*($AP$3+#REF!),-1),""))</f>
        <v/>
      </c>
      <c r="CC395" s="503" t="s">
        <v>621</v>
      </c>
      <c r="CD395" s="503" t="str">
        <f>IF($G395="","",IF(AND($G395&gt;=30,$AT$3&lt;=CC$7),ROUND(CC395*($AP$3+#REF!),-1),""))</f>
        <v/>
      </c>
      <c r="CE395" s="503" t="s">
        <v>621</v>
      </c>
      <c r="CF395" s="503" t="str">
        <f>IF($G395="","",IF(AND($G395&gt;=30,$AT$3&lt;=CE$7),ROUND(CE395*($AP$3+#REF!),-1),""))</f>
        <v/>
      </c>
      <c r="CG395" s="503" t="s">
        <v>621</v>
      </c>
      <c r="CH395" s="503" t="str">
        <f>IF($G395="","",IF(AND($G395&gt;=30,$AT$3&lt;=CG$7),ROUND(CG395*($AP$3+#REF!),-1),""))</f>
        <v/>
      </c>
      <c r="CI395" s="503" t="s">
        <v>621</v>
      </c>
      <c r="CJ395" s="503" t="str">
        <f>IF($G395="","",IF(AND($G395&gt;=30,$AT$3&lt;=CI$7),ROUND(CI395*($AP$3+#REF!),-1),""))</f>
        <v/>
      </c>
      <c r="CK395" s="503" t="s">
        <v>621</v>
      </c>
      <c r="CL395" s="503" t="str">
        <f>IF($G395="","",IF(AND($G395&gt;=30,$AT$3&lt;=CK$7),ROUND(CK395*($AP$3+#REF!),-1),""))</f>
        <v/>
      </c>
      <c r="CM395" s="503" t="s">
        <v>621</v>
      </c>
      <c r="CN395" s="503" t="str">
        <f>IF($G395="","",IF(AND($G395&gt;=30,$AT$3&lt;=CM$7),ROUND(CM395*($AP$3+#REF!),-1),""))</f>
        <v/>
      </c>
      <c r="CO395" s="503" t="s">
        <v>621</v>
      </c>
      <c r="CP395" s="503" t="str">
        <f>IF($G395="","",IF(AND($G395&gt;=30,$AT$3&lt;=CO$7),ROUND(CO395*($AP$3+#REF!),-1),""))</f>
        <v/>
      </c>
      <c r="CQ395" s="503" t="s">
        <v>621</v>
      </c>
      <c r="CR395" s="503" t="str">
        <f>IF($G395="","",IF(AND($G395&gt;=30,$AT$3&lt;=CQ$7),ROUND(CQ395*($AP$3+#REF!),-1),""))</f>
        <v/>
      </c>
      <c r="CS395" s="517" t="e">
        <v>#REF!</v>
      </c>
      <c r="CT395" s="503" t="str">
        <f>IF($G395="","",IF(AND($G395&gt;=30,$AT$3&lt;=CS$7),ROUND(CS395*($AP$3+#REF!),-1),""))</f>
        <v/>
      </c>
      <c r="CU395" s="517"/>
      <c r="CV395" s="503" t="str">
        <f>IF($G395="","",IF(AND($G395&gt;=30,$AT$3&lt;=CU$7),ROUND(CU395*($AP$3+#REF!),-1),""))</f>
        <v/>
      </c>
      <c r="CW395" s="517"/>
      <c r="CX395" s="503" t="str">
        <f>IF($G395="","",IF(AND($G395&gt;=30,$AT$3&lt;=CW$7),ROUND(CW395*($AP$3+#REF!),-1),""))</f>
        <v/>
      </c>
      <c r="CY395" s="517"/>
      <c r="CZ395" s="503" t="str">
        <f>IF($G395="","",IF(AND($G395&gt;=30,$AT$3&lt;=CY$7),ROUND(CY395*($AP$3+#REF!),-1),""))</f>
        <v/>
      </c>
      <c r="DA395" s="517"/>
      <c r="DB395" s="503" t="str">
        <f>IF($G395="","",IF(AND($G395&gt;=30,$AT$3&lt;=DA$7),ROUND(DA395*($AP$3+#REF!),-1),""))</f>
        <v/>
      </c>
      <c r="DC395" s="517"/>
      <c r="DD395" s="503" t="str">
        <f>IF($G395="","",IF(AND($G395&gt;=30,$AT$3&lt;=DC$7),ROUND(DC395*($AP$3+#REF!),-1),""))</f>
        <v/>
      </c>
      <c r="DE395" s="517"/>
      <c r="DF395" s="503" t="str">
        <f>IF($G395="","",IF(AND($G395&gt;=30,$AT$3&lt;=DE$7),ROUND(DE395*($AP$3+#REF!),-1),""))</f>
        <v/>
      </c>
      <c r="DG395" s="517"/>
      <c r="DH395" s="503" t="str">
        <f>IF($G395="","",IF(AND($G395&gt;=30,$AT$3&lt;=DG$7),ROUND(DG395*($AP$3+#REF!),-1),""))</f>
        <v/>
      </c>
      <c r="DI395" s="517"/>
      <c r="DJ395" s="503" t="str">
        <f>IF($G395="","",IF(AND($G395&gt;=30,$AT$3&lt;=DI$7),ROUND(DI395*($AP$3+#REF!),-1),""))</f>
        <v/>
      </c>
      <c r="DK395" s="517"/>
      <c r="DL395" s="503" t="str">
        <f>IF($G395="","",IF(AND($G395&gt;=30,$AT$3&lt;=DK$7),ROUND(DK395*($AP$3+#REF!),-1),""))</f>
        <v/>
      </c>
      <c r="DM395" s="517"/>
      <c r="DN395" s="503" t="str">
        <f>IF($G395="","",IF(AND($G395&gt;=30,$AT$3&lt;=DM$7),ROUND(DM395*($AP$3+#REF!),-1),""))</f>
        <v/>
      </c>
      <c r="DO395" s="517"/>
      <c r="DP395" s="503" t="str">
        <f>IF($G395="","",IF(AND($G395&gt;=30,$AT$3&lt;=DO$7),ROUND(DO395*($AP$3+#REF!),-1),""))</f>
        <v/>
      </c>
      <c r="DQ395" s="517"/>
      <c r="DR395" s="503" t="str">
        <f>IF($G395="","",IF(AND($G395&gt;=30,$AT$3&lt;=DQ$7),ROUND(DQ395*($AP$3+#REF!),-1),""))</f>
        <v/>
      </c>
      <c r="DS395" s="517"/>
      <c r="DT395" s="503" t="str">
        <f>IF($G395="","",IF(AND($G395&gt;=30,$AT$3&lt;=DS$7),ROUND(DS395*($AP$3+#REF!),-1),""))</f>
        <v/>
      </c>
      <c r="DU395" s="517"/>
      <c r="DV395" s="503" t="str">
        <f>IF($G395="","",IF(AND($G395&gt;=30,$AT$3&lt;=DU$7),ROUND(DU395*($AP$3+#REF!),-1),""))</f>
        <v/>
      </c>
      <c r="DW395" s="517"/>
      <c r="DX395" s="503" t="str">
        <f>IF($G395="","",IF(AND($G395&gt;=30,$AT$3&lt;=DW$7),ROUND(DW395*($AP$3+#REF!),-1),""))</f>
        <v/>
      </c>
      <c r="DY395" s="517"/>
      <c r="DZ395" s="503" t="str">
        <f>IF($G395="","",IF(AND($G395&gt;=30,$AT$3&lt;=DY$7),ROUND(DY395*($AP$3+#REF!),-1),""))</f>
        <v/>
      </c>
      <c r="EA395" s="517"/>
      <c r="EB395" s="503" t="str">
        <f>IF($G395="","",IF(AND($G395&gt;=30,$AT$3&lt;=EA$7),ROUND(EA395*($AP$3+#REF!),-1),""))</f>
        <v/>
      </c>
      <c r="EC395" s="504" t="s">
        <v>621</v>
      </c>
      <c r="ED395" s="1124"/>
      <c r="EE395" s="325">
        <v>3</v>
      </c>
    </row>
    <row r="396" spans="1:135" ht="9.75" customHeight="1">
      <c r="A396" s="321" t="str">
        <f t="shared" si="96"/>
        <v/>
      </c>
      <c r="B396" s="567">
        <f>(ii!$D$13*12+V396)+1</f>
        <v>290</v>
      </c>
      <c r="C396" s="337">
        <f t="shared" si="100"/>
        <v>54178</v>
      </c>
      <c r="D396" s="484">
        <f t="shared" si="89"/>
        <v>2048</v>
      </c>
      <c r="E396" s="484">
        <f t="shared" si="87"/>
        <v>0.33333333333333331</v>
      </c>
      <c r="F396" s="484">
        <f t="shared" si="90"/>
        <v>2048.3333333333335</v>
      </c>
      <c r="G396" s="485" t="str">
        <f>IF(OR(C396&lt;$I$2,C396&gt;$J$3),"",(ii!$D$13*12+V396+1)/12)</f>
        <v/>
      </c>
      <c r="H396" s="486"/>
      <c r="I396" s="486"/>
      <c r="J396" s="487"/>
      <c r="K396" s="488"/>
      <c r="L396" s="548"/>
      <c r="M396" s="489" t="str">
        <f t="shared" si="91"/>
        <v/>
      </c>
      <c r="N396" s="490" t="s">
        <v>621</v>
      </c>
      <c r="O396" s="490" t="str">
        <f t="shared" si="98"/>
        <v/>
      </c>
      <c r="P396" s="491"/>
      <c r="Q396" s="491"/>
      <c r="R396" s="491" t="str">
        <f t="shared" si="99"/>
        <v/>
      </c>
      <c r="S396" s="528" t="str">
        <f t="shared" si="97"/>
        <v/>
      </c>
      <c r="T396" s="528" t="str">
        <f t="shared" si="95"/>
        <v/>
      </c>
      <c r="U396" s="493" t="str">
        <f>IF(H396="","",#REF!*12+#REF!+#REF!*12+#REF!)</f>
        <v/>
      </c>
      <c r="V396" s="338">
        <f>IF(ii!$J$3&gt;gg!C396,"",IF(AND((YEAR(C396)=YEAR($I$2)),MONTH(C396)=MONTH($I$2)),ii!$B$14*12+ii!$C$14+ii!$B$15*12+ii!$C$15-1,V395+1))</f>
        <v>289</v>
      </c>
      <c r="W396" s="339">
        <f t="shared" si="88"/>
        <v>24.083333333333332</v>
      </c>
      <c r="X396" s="494" t="s">
        <v>621</v>
      </c>
      <c r="Y396" s="495" t="s">
        <v>621</v>
      </c>
      <c r="Z396" s="496"/>
      <c r="AA396" s="497"/>
      <c r="AB396" s="498" t="e">
        <f t="shared" si="94"/>
        <v>#VALUE!</v>
      </c>
      <c r="AC396" s="484" t="str">
        <f t="shared" si="92"/>
        <v/>
      </c>
      <c r="AD396" s="495" t="str">
        <f t="shared" si="93"/>
        <v/>
      </c>
      <c r="AE396" s="499" t="s">
        <v>621</v>
      </c>
      <c r="AF396" s="500" t="s">
        <v>621</v>
      </c>
      <c r="AG396" s="556" t="s">
        <v>621</v>
      </c>
      <c r="AH396" s="503" t="str">
        <f>IF($G396="","",IF(AND($G396&gt;=30,$AT$3&lt;=AG$7),ROUND(AG396*($AP$3+#REF!),-1),""))</f>
        <v/>
      </c>
      <c r="AI396" s="506" t="s">
        <v>621</v>
      </c>
      <c r="AJ396" s="503" t="str">
        <f>IF($G396="","",IF(AND($G396&gt;=30,$AT$3&lt;=AI$7),ROUND(AI396*($AP$3+#REF!),-1),""))</f>
        <v/>
      </c>
      <c r="AK396" s="506" t="s">
        <v>621</v>
      </c>
      <c r="AL396" s="503" t="str">
        <f>IF($G396="","",IF(AND($G396&gt;=30,$AT$3&lt;=AK$7),ROUND(AK396*($AP$3+#REF!),-1),""))</f>
        <v/>
      </c>
      <c r="AM396" s="506" t="s">
        <v>621</v>
      </c>
      <c r="AN396" s="503" t="str">
        <f>IF($G396="","",IF(AND($G396&gt;=30,$AT$3&lt;=AM$7),ROUND(AM396*($AP$3+#REF!),-1),""))</f>
        <v/>
      </c>
      <c r="AO396" s="503" t="e">
        <v>#REF!</v>
      </c>
      <c r="AP396" s="503" t="str">
        <f>IF($G396="","",IF(AND($G396&gt;=30,$AT$3&lt;=AO$7),ROUND(AO396*($AP$3+#REF!),-1),""))</f>
        <v/>
      </c>
      <c r="AQ396" s="503" t="s">
        <v>621</v>
      </c>
      <c r="AR396" s="503" t="str">
        <f>IF($G396="","",IF(AND($G396&gt;=30,$AT$3&lt;=AQ$7),ROUND(AQ396*($AP$3+#REF!),-1),""))</f>
        <v/>
      </c>
      <c r="AS396" s="503" t="s">
        <v>621</v>
      </c>
      <c r="AT396" s="503" t="str">
        <f>IF($G396="","",IF(AND($G396&gt;=30,$AT$3&lt;=AS$7),ROUND(AS396*($AP$3+#REF!),-1),""))</f>
        <v/>
      </c>
      <c r="AU396" s="503" t="s">
        <v>621</v>
      </c>
      <c r="AV396" s="503" t="str">
        <f>IF($G396="","",IF(AND($G396&gt;=30,$AT$3&lt;=AU$7),ROUND(AU396*($AP$3+#REF!),-1),""))</f>
        <v/>
      </c>
      <c r="AW396" s="503" t="s">
        <v>621</v>
      </c>
      <c r="AX396" s="503" t="str">
        <f>IF($G396="","",IF(AND($G396&gt;=30,$AT$3&lt;=AW$7),ROUND(AW396*($AP$3+#REF!),-1),""))</f>
        <v/>
      </c>
      <c r="AY396" s="503" t="s">
        <v>621</v>
      </c>
      <c r="AZ396" s="503" t="str">
        <f>IF($G396="","",IF(AND($G396&gt;=30,$AT$3&lt;=AY$7),ROUND(AY396*($AP$3+#REF!),-1),""))</f>
        <v/>
      </c>
      <c r="BA396" s="503" t="s">
        <v>621</v>
      </c>
      <c r="BB396" s="503" t="str">
        <f>IF($G396="","",IF(AND($G396&gt;=30,$AT$3&lt;=BA$7),ROUND(BA396*($AP$3+#REF!),-1),""))</f>
        <v/>
      </c>
      <c r="BC396" s="503" t="s">
        <v>621</v>
      </c>
      <c r="BD396" s="503" t="str">
        <f>IF($G396="","",IF(AND($G396&gt;=30,$AT$3&lt;=BC$7),ROUND(BC396*($AP$3+#REF!),-1),""))</f>
        <v/>
      </c>
      <c r="BE396" s="503" t="s">
        <v>621</v>
      </c>
      <c r="BF396" s="503" t="str">
        <f>IF($G396="","",IF(AND($G396&gt;=30,$AT$3&lt;=BE$7),ROUND(BE396*($AP$3+#REF!),-1),""))</f>
        <v/>
      </c>
      <c r="BG396" s="503" t="s">
        <v>621</v>
      </c>
      <c r="BH396" s="503" t="str">
        <f>IF($G396="","",IF(AND($G396&gt;=30,$AT$3&lt;=BG$7),ROUND(BG396*($AP$3+#REF!),-1),""))</f>
        <v/>
      </c>
      <c r="BI396" s="503" t="s">
        <v>621</v>
      </c>
      <c r="BJ396" s="503" t="str">
        <f>IF($G396="","",IF(AND($G396&gt;=30,$AT$3&lt;=BI$7),ROUND(BI396*($AP$3+#REF!),-1),""))</f>
        <v/>
      </c>
      <c r="BK396" s="503" t="s">
        <v>621</v>
      </c>
      <c r="BL396" s="503" t="str">
        <f>IF($G396="","",IF(AND($G396&gt;=30,$AT$3&lt;=BK$7),ROUND(BK396*($AP$3+#REF!),-1),""))</f>
        <v/>
      </c>
      <c r="BM396" s="503" t="s">
        <v>621</v>
      </c>
      <c r="BN396" s="503" t="str">
        <f>IF($G396="","",IF(AND($G396&gt;=30,$AT$3&lt;=BM$7),ROUND(BM396*($AP$3+#REF!),-1),""))</f>
        <v/>
      </c>
      <c r="BO396" s="503" t="s">
        <v>621</v>
      </c>
      <c r="BP396" s="503" t="str">
        <f>IF($G396="","",IF(AND($G396&gt;=30,$AT$3&lt;=BO$7),ROUND(BO396*($AP$3+#REF!),-1),""))</f>
        <v/>
      </c>
      <c r="BQ396" s="503" t="s">
        <v>621</v>
      </c>
      <c r="BR396" s="503" t="str">
        <f>IF($G396="","",IF(AND($G396&gt;=30,$AT$3&lt;=BQ$7),ROUND(BQ396*($AP$3+#REF!),-1),""))</f>
        <v/>
      </c>
      <c r="BS396" s="503" t="s">
        <v>621</v>
      </c>
      <c r="BT396" s="503" t="str">
        <f>IF($G396="","",IF(AND($G396&gt;=30,$AT$3&lt;=BS$7),ROUND(BS396*($AP$3+#REF!),-1),""))</f>
        <v/>
      </c>
      <c r="BU396" s="503" t="s">
        <v>621</v>
      </c>
      <c r="BV396" s="503" t="str">
        <f>IF($G396="","",IF(AND($G396&gt;=30,$AT$3&lt;=BU$7),ROUND(BU396*($AP$3+#REF!),-1),""))</f>
        <v/>
      </c>
      <c r="BW396" s="503" t="s">
        <v>621</v>
      </c>
      <c r="BX396" s="503" t="str">
        <f>IF($G396="","",IF(AND($G396&gt;=30,$AT$3&lt;=BW$7),ROUND(BW396*($AP$3+#REF!),-1),""))</f>
        <v/>
      </c>
      <c r="BY396" s="503" t="s">
        <v>621</v>
      </c>
      <c r="BZ396" s="503" t="str">
        <f>IF($G396="","",IF(AND($G396&gt;=30,$AT$3&lt;=BY$7),ROUND(BY396*($AP$3+#REF!),-1),""))</f>
        <v/>
      </c>
      <c r="CA396" s="503" t="s">
        <v>621</v>
      </c>
      <c r="CB396" s="503" t="str">
        <f>IF($G396="","",IF(AND($G396&gt;=30,$AT$3&lt;=CA$7),ROUND(CA396*($AP$3+#REF!),-1),""))</f>
        <v/>
      </c>
      <c r="CC396" s="503" t="s">
        <v>621</v>
      </c>
      <c r="CD396" s="503" t="str">
        <f>IF($G396="","",IF(AND($G396&gt;=30,$AT$3&lt;=CC$7),ROUND(CC396*($AP$3+#REF!),-1),""))</f>
        <v/>
      </c>
      <c r="CE396" s="503" t="s">
        <v>621</v>
      </c>
      <c r="CF396" s="503" t="str">
        <f>IF($G396="","",IF(AND($G396&gt;=30,$AT$3&lt;=CE$7),ROUND(CE396*($AP$3+#REF!),-1),""))</f>
        <v/>
      </c>
      <c r="CG396" s="503" t="s">
        <v>621</v>
      </c>
      <c r="CH396" s="503" t="str">
        <f>IF($G396="","",IF(AND($G396&gt;=30,$AT$3&lt;=CG$7),ROUND(CG396*($AP$3+#REF!),-1),""))</f>
        <v/>
      </c>
      <c r="CI396" s="503" t="s">
        <v>621</v>
      </c>
      <c r="CJ396" s="503" t="str">
        <f>IF($G396="","",IF(AND($G396&gt;=30,$AT$3&lt;=CI$7),ROUND(CI396*($AP$3+#REF!),-1),""))</f>
        <v/>
      </c>
      <c r="CK396" s="503" t="s">
        <v>621</v>
      </c>
      <c r="CL396" s="503" t="str">
        <f>IF($G396="","",IF(AND($G396&gt;=30,$AT$3&lt;=CK$7),ROUND(CK396*($AP$3+#REF!),-1),""))</f>
        <v/>
      </c>
      <c r="CM396" s="503" t="s">
        <v>621</v>
      </c>
      <c r="CN396" s="503" t="str">
        <f>IF($G396="","",IF(AND($G396&gt;=30,$AT$3&lt;=CM$7),ROUND(CM396*($AP$3+#REF!),-1),""))</f>
        <v/>
      </c>
      <c r="CO396" s="503" t="s">
        <v>621</v>
      </c>
      <c r="CP396" s="503" t="str">
        <f>IF($G396="","",IF(AND($G396&gt;=30,$AT$3&lt;=CO$7),ROUND(CO396*($AP$3+#REF!),-1),""))</f>
        <v/>
      </c>
      <c r="CQ396" s="503" t="s">
        <v>621</v>
      </c>
      <c r="CR396" s="503" t="str">
        <f>IF($G396="","",IF(AND($G396&gt;=30,$AT$3&lt;=CQ$7),ROUND(CQ396*($AP$3+#REF!),-1),""))</f>
        <v/>
      </c>
      <c r="CS396" s="517" t="e">
        <v>#REF!</v>
      </c>
      <c r="CT396" s="503" t="str">
        <f>IF($G396="","",IF(AND($G396&gt;=30,$AT$3&lt;=CS$7),ROUND(CS396*($AP$3+#REF!),-1),""))</f>
        <v/>
      </c>
      <c r="CU396" s="517"/>
      <c r="CV396" s="503" t="str">
        <f>IF($G396="","",IF(AND($G396&gt;=30,$AT$3&lt;=CU$7),ROUND(CU396*($AP$3+#REF!),-1),""))</f>
        <v/>
      </c>
      <c r="CW396" s="517"/>
      <c r="CX396" s="503" t="str">
        <f>IF($G396="","",IF(AND($G396&gt;=30,$AT$3&lt;=CW$7),ROUND(CW396*($AP$3+#REF!),-1),""))</f>
        <v/>
      </c>
      <c r="CY396" s="517"/>
      <c r="CZ396" s="503" t="str">
        <f>IF($G396="","",IF(AND($G396&gt;=30,$AT$3&lt;=CY$7),ROUND(CY396*($AP$3+#REF!),-1),""))</f>
        <v/>
      </c>
      <c r="DA396" s="517"/>
      <c r="DB396" s="503" t="str">
        <f>IF($G396="","",IF(AND($G396&gt;=30,$AT$3&lt;=DA$7),ROUND(DA396*($AP$3+#REF!),-1),""))</f>
        <v/>
      </c>
      <c r="DC396" s="517"/>
      <c r="DD396" s="503" t="str">
        <f>IF($G396="","",IF(AND($G396&gt;=30,$AT$3&lt;=DC$7),ROUND(DC396*($AP$3+#REF!),-1),""))</f>
        <v/>
      </c>
      <c r="DE396" s="517"/>
      <c r="DF396" s="503" t="str">
        <f>IF($G396="","",IF(AND($G396&gt;=30,$AT$3&lt;=DE$7),ROUND(DE396*($AP$3+#REF!),-1),""))</f>
        <v/>
      </c>
      <c r="DG396" s="517"/>
      <c r="DH396" s="503" t="str">
        <f>IF($G396="","",IF(AND($G396&gt;=30,$AT$3&lt;=DG$7),ROUND(DG396*($AP$3+#REF!),-1),""))</f>
        <v/>
      </c>
      <c r="DI396" s="517"/>
      <c r="DJ396" s="503" t="str">
        <f>IF($G396="","",IF(AND($G396&gt;=30,$AT$3&lt;=DI$7),ROUND(DI396*($AP$3+#REF!),-1),""))</f>
        <v/>
      </c>
      <c r="DK396" s="517"/>
      <c r="DL396" s="503" t="str">
        <f>IF($G396="","",IF(AND($G396&gt;=30,$AT$3&lt;=DK$7),ROUND(DK396*($AP$3+#REF!),-1),""))</f>
        <v/>
      </c>
      <c r="DM396" s="517"/>
      <c r="DN396" s="503" t="str">
        <f>IF($G396="","",IF(AND($G396&gt;=30,$AT$3&lt;=DM$7),ROUND(DM396*($AP$3+#REF!),-1),""))</f>
        <v/>
      </c>
      <c r="DO396" s="517"/>
      <c r="DP396" s="503" t="str">
        <f>IF($G396="","",IF(AND($G396&gt;=30,$AT$3&lt;=DO$7),ROUND(DO396*($AP$3+#REF!),-1),""))</f>
        <v/>
      </c>
      <c r="DQ396" s="517"/>
      <c r="DR396" s="503" t="str">
        <f>IF($G396="","",IF(AND($G396&gt;=30,$AT$3&lt;=DQ$7),ROUND(DQ396*($AP$3+#REF!),-1),""))</f>
        <v/>
      </c>
      <c r="DS396" s="517"/>
      <c r="DT396" s="503" t="str">
        <f>IF($G396="","",IF(AND($G396&gt;=30,$AT$3&lt;=DS$7),ROUND(DS396*($AP$3+#REF!),-1),""))</f>
        <v/>
      </c>
      <c r="DU396" s="517"/>
      <c r="DV396" s="503" t="str">
        <f>IF($G396="","",IF(AND($G396&gt;=30,$AT$3&lt;=DU$7),ROUND(DU396*($AP$3+#REF!),-1),""))</f>
        <v/>
      </c>
      <c r="DW396" s="517"/>
      <c r="DX396" s="503" t="str">
        <f>IF($G396="","",IF(AND($G396&gt;=30,$AT$3&lt;=DW$7),ROUND(DW396*($AP$3+#REF!),-1),""))</f>
        <v/>
      </c>
      <c r="DY396" s="517"/>
      <c r="DZ396" s="503" t="str">
        <f>IF($G396="","",IF(AND($G396&gt;=30,$AT$3&lt;=DY$7),ROUND(DY396*($AP$3+#REF!),-1),""))</f>
        <v/>
      </c>
      <c r="EA396" s="517"/>
      <c r="EB396" s="503" t="str">
        <f>IF($G396="","",IF(AND($G396&gt;=30,$AT$3&lt;=EA$7),ROUND(EA396*($AP$3+#REF!),-1),""))</f>
        <v/>
      </c>
      <c r="EC396" s="504" t="s">
        <v>621</v>
      </c>
      <c r="ED396" s="1124"/>
      <c r="EE396" s="325">
        <v>4</v>
      </c>
    </row>
    <row r="397" spans="1:135" ht="9.75" customHeight="1">
      <c r="A397" s="321" t="str">
        <f t="shared" si="96"/>
        <v/>
      </c>
      <c r="B397" s="567">
        <f>(ii!$D$13*12+V397)+1</f>
        <v>291</v>
      </c>
      <c r="C397" s="337">
        <f t="shared" si="100"/>
        <v>54209</v>
      </c>
      <c r="D397" s="484">
        <f t="shared" si="89"/>
        <v>2048</v>
      </c>
      <c r="E397" s="484">
        <f t="shared" si="87"/>
        <v>0.41666666666666669</v>
      </c>
      <c r="F397" s="484">
        <f t="shared" si="90"/>
        <v>2048.4166666666665</v>
      </c>
      <c r="G397" s="485" t="str">
        <f>IF(OR(C397&lt;$I$2,C397&gt;$J$3),"",(ii!$D$13*12+V397+1)/12)</f>
        <v/>
      </c>
      <c r="H397" s="486"/>
      <c r="I397" s="486"/>
      <c r="J397" s="507"/>
      <c r="K397" s="508"/>
      <c r="L397" s="548"/>
      <c r="M397" s="489" t="str">
        <f t="shared" si="91"/>
        <v/>
      </c>
      <c r="N397" s="490" t="s">
        <v>621</v>
      </c>
      <c r="O397" s="490" t="str">
        <f t="shared" si="98"/>
        <v/>
      </c>
      <c r="P397" s="507"/>
      <c r="Q397" s="507"/>
      <c r="R397" s="491" t="str">
        <f t="shared" si="99"/>
        <v/>
      </c>
      <c r="S397" s="528" t="str">
        <f t="shared" si="97"/>
        <v/>
      </c>
      <c r="T397" s="528" t="str">
        <f t="shared" si="95"/>
        <v/>
      </c>
      <c r="U397" s="493" t="str">
        <f>IF(H397="","",#REF!*12+#REF!+#REF!*12+#REF!)</f>
        <v/>
      </c>
      <c r="V397" s="338">
        <f>IF(ii!$J$3&gt;gg!C397,"",IF(AND((YEAR(C397)=YEAR($I$2)),MONTH(C397)=MONTH($I$2)),ii!$B$14*12+ii!$C$14+ii!$B$15*12+ii!$C$15-1,V396+1))</f>
        <v>290</v>
      </c>
      <c r="W397" s="339">
        <f t="shared" si="88"/>
        <v>24.166666666666668</v>
      </c>
      <c r="X397" s="494" t="s">
        <v>621</v>
      </c>
      <c r="Y397" s="495" t="s">
        <v>621</v>
      </c>
      <c r="Z397" s="496"/>
      <c r="AA397" s="497"/>
      <c r="AB397" s="498" t="e">
        <f t="shared" si="94"/>
        <v>#VALUE!</v>
      </c>
      <c r="AC397" s="484" t="str">
        <f t="shared" si="92"/>
        <v/>
      </c>
      <c r="AD397" s="495" t="str">
        <f t="shared" si="93"/>
        <v/>
      </c>
      <c r="AE397" s="499" t="s">
        <v>621</v>
      </c>
      <c r="AF397" s="500" t="s">
        <v>621</v>
      </c>
      <c r="AG397" s="556" t="s">
        <v>621</v>
      </c>
      <c r="AH397" s="503" t="str">
        <f>IF($G397="","",IF(AND($G397&gt;=30,$AT$3&lt;=AG$7),ROUND(AG397*($AP$3+#REF!),-1),""))</f>
        <v/>
      </c>
      <c r="AI397" s="506" t="s">
        <v>621</v>
      </c>
      <c r="AJ397" s="503" t="str">
        <f>IF($G397="","",IF(AND($G397&gt;=30,$AT$3&lt;=AI$7),ROUND(AI397*($AP$3+#REF!),-1),""))</f>
        <v/>
      </c>
      <c r="AK397" s="506" t="s">
        <v>621</v>
      </c>
      <c r="AL397" s="503" t="str">
        <f>IF($G397="","",IF(AND($G397&gt;=30,$AT$3&lt;=AK$7),ROUND(AK397*($AP$3+#REF!),-1),""))</f>
        <v/>
      </c>
      <c r="AM397" s="506" t="s">
        <v>621</v>
      </c>
      <c r="AN397" s="503" t="str">
        <f>IF($G397="","",IF(AND($G397&gt;=30,$AT$3&lt;=AM$7),ROUND(AM397*($AP$3+#REF!),-1),""))</f>
        <v/>
      </c>
      <c r="AO397" s="503" t="e">
        <v>#REF!</v>
      </c>
      <c r="AP397" s="503" t="str">
        <f>IF($G397="","",IF(AND($G397&gt;=30,$AT$3&lt;=AO$7),ROUND(AO397*($AP$3+#REF!),-1),""))</f>
        <v/>
      </c>
      <c r="AQ397" s="503" t="s">
        <v>621</v>
      </c>
      <c r="AR397" s="503" t="str">
        <f>IF($G397="","",IF(AND($G397&gt;=30,$AT$3&lt;=AQ$7),ROUND(AQ397*($AP$3+#REF!),-1),""))</f>
        <v/>
      </c>
      <c r="AS397" s="503" t="s">
        <v>621</v>
      </c>
      <c r="AT397" s="503" t="str">
        <f>IF($G397="","",IF(AND($G397&gt;=30,$AT$3&lt;=AS$7),ROUND(AS397*($AP$3+#REF!),-1),""))</f>
        <v/>
      </c>
      <c r="AU397" s="503" t="s">
        <v>621</v>
      </c>
      <c r="AV397" s="503" t="str">
        <f>IF($G397="","",IF(AND($G397&gt;=30,$AT$3&lt;=AU$7),ROUND(AU397*($AP$3+#REF!),-1),""))</f>
        <v/>
      </c>
      <c r="AW397" s="503" t="s">
        <v>621</v>
      </c>
      <c r="AX397" s="503" t="str">
        <f>IF($G397="","",IF(AND($G397&gt;=30,$AT$3&lt;=AW$7),ROUND(AW397*($AP$3+#REF!),-1),""))</f>
        <v/>
      </c>
      <c r="AY397" s="503" t="s">
        <v>621</v>
      </c>
      <c r="AZ397" s="503" t="str">
        <f>IF($G397="","",IF(AND($G397&gt;=30,$AT$3&lt;=AY$7),ROUND(AY397*($AP$3+#REF!),-1),""))</f>
        <v/>
      </c>
      <c r="BA397" s="503" t="s">
        <v>621</v>
      </c>
      <c r="BB397" s="503" t="str">
        <f>IF($G397="","",IF(AND($G397&gt;=30,$AT$3&lt;=BA$7),ROUND(BA397*($AP$3+#REF!),-1),""))</f>
        <v/>
      </c>
      <c r="BC397" s="503" t="s">
        <v>621</v>
      </c>
      <c r="BD397" s="503" t="str">
        <f>IF($G397="","",IF(AND($G397&gt;=30,$AT$3&lt;=BC$7),ROUND(BC397*($AP$3+#REF!),-1),""))</f>
        <v/>
      </c>
      <c r="BE397" s="503" t="s">
        <v>621</v>
      </c>
      <c r="BF397" s="503" t="str">
        <f>IF($G397="","",IF(AND($G397&gt;=30,$AT$3&lt;=BE$7),ROUND(BE397*($AP$3+#REF!),-1),""))</f>
        <v/>
      </c>
      <c r="BG397" s="503" t="s">
        <v>621</v>
      </c>
      <c r="BH397" s="503" t="str">
        <f>IF($G397="","",IF(AND($G397&gt;=30,$AT$3&lt;=BG$7),ROUND(BG397*($AP$3+#REF!),-1),""))</f>
        <v/>
      </c>
      <c r="BI397" s="503" t="s">
        <v>621</v>
      </c>
      <c r="BJ397" s="503" t="str">
        <f>IF($G397="","",IF(AND($G397&gt;=30,$AT$3&lt;=BI$7),ROUND(BI397*($AP$3+#REF!),-1),""))</f>
        <v/>
      </c>
      <c r="BK397" s="503" t="s">
        <v>621</v>
      </c>
      <c r="BL397" s="503" t="str">
        <f>IF($G397="","",IF(AND($G397&gt;=30,$AT$3&lt;=BK$7),ROUND(BK397*($AP$3+#REF!),-1),""))</f>
        <v/>
      </c>
      <c r="BM397" s="503" t="s">
        <v>621</v>
      </c>
      <c r="BN397" s="503" t="str">
        <f>IF($G397="","",IF(AND($G397&gt;=30,$AT$3&lt;=BM$7),ROUND(BM397*($AP$3+#REF!),-1),""))</f>
        <v/>
      </c>
      <c r="BO397" s="503" t="s">
        <v>621</v>
      </c>
      <c r="BP397" s="503" t="str">
        <f>IF($G397="","",IF(AND($G397&gt;=30,$AT$3&lt;=BO$7),ROUND(BO397*($AP$3+#REF!),-1),""))</f>
        <v/>
      </c>
      <c r="BQ397" s="503" t="s">
        <v>621</v>
      </c>
      <c r="BR397" s="503" t="str">
        <f>IF($G397="","",IF(AND($G397&gt;=30,$AT$3&lt;=BQ$7),ROUND(BQ397*($AP$3+#REF!),-1),""))</f>
        <v/>
      </c>
      <c r="BS397" s="503" t="s">
        <v>621</v>
      </c>
      <c r="BT397" s="503" t="str">
        <f>IF($G397="","",IF(AND($G397&gt;=30,$AT$3&lt;=BS$7),ROUND(BS397*($AP$3+#REF!),-1),""))</f>
        <v/>
      </c>
      <c r="BU397" s="503" t="s">
        <v>621</v>
      </c>
      <c r="BV397" s="503" t="str">
        <f>IF($G397="","",IF(AND($G397&gt;=30,$AT$3&lt;=BU$7),ROUND(BU397*($AP$3+#REF!),-1),""))</f>
        <v/>
      </c>
      <c r="BW397" s="503" t="s">
        <v>621</v>
      </c>
      <c r="BX397" s="503" t="str">
        <f>IF($G397="","",IF(AND($G397&gt;=30,$AT$3&lt;=BW$7),ROUND(BW397*($AP$3+#REF!),-1),""))</f>
        <v/>
      </c>
      <c r="BY397" s="503" t="s">
        <v>621</v>
      </c>
      <c r="BZ397" s="503" t="str">
        <f>IF($G397="","",IF(AND($G397&gt;=30,$AT$3&lt;=BY$7),ROUND(BY397*($AP$3+#REF!),-1),""))</f>
        <v/>
      </c>
      <c r="CA397" s="503" t="s">
        <v>621</v>
      </c>
      <c r="CB397" s="503" t="str">
        <f>IF($G397="","",IF(AND($G397&gt;=30,$AT$3&lt;=CA$7),ROUND(CA397*($AP$3+#REF!),-1),""))</f>
        <v/>
      </c>
      <c r="CC397" s="503" t="s">
        <v>621</v>
      </c>
      <c r="CD397" s="503" t="str">
        <f>IF($G397="","",IF(AND($G397&gt;=30,$AT$3&lt;=CC$7),ROUND(CC397*($AP$3+#REF!),-1),""))</f>
        <v/>
      </c>
      <c r="CE397" s="503" t="s">
        <v>621</v>
      </c>
      <c r="CF397" s="503" t="str">
        <f>IF($G397="","",IF(AND($G397&gt;=30,$AT$3&lt;=CE$7),ROUND(CE397*($AP$3+#REF!),-1),""))</f>
        <v/>
      </c>
      <c r="CG397" s="503" t="s">
        <v>621</v>
      </c>
      <c r="CH397" s="503" t="str">
        <f>IF($G397="","",IF(AND($G397&gt;=30,$AT$3&lt;=CG$7),ROUND(CG397*($AP$3+#REF!),-1),""))</f>
        <v/>
      </c>
      <c r="CI397" s="503" t="s">
        <v>621</v>
      </c>
      <c r="CJ397" s="503" t="str">
        <f>IF($G397="","",IF(AND($G397&gt;=30,$AT$3&lt;=CI$7),ROUND(CI397*($AP$3+#REF!),-1),""))</f>
        <v/>
      </c>
      <c r="CK397" s="503" t="s">
        <v>621</v>
      </c>
      <c r="CL397" s="503" t="str">
        <f>IF($G397="","",IF(AND($G397&gt;=30,$AT$3&lt;=CK$7),ROUND(CK397*($AP$3+#REF!),-1),""))</f>
        <v/>
      </c>
      <c r="CM397" s="503" t="s">
        <v>621</v>
      </c>
      <c r="CN397" s="503" t="str">
        <f>IF($G397="","",IF(AND($G397&gt;=30,$AT$3&lt;=CM$7),ROUND(CM397*($AP$3+#REF!),-1),""))</f>
        <v/>
      </c>
      <c r="CO397" s="503" t="s">
        <v>621</v>
      </c>
      <c r="CP397" s="503" t="str">
        <f>IF($G397="","",IF(AND($G397&gt;=30,$AT$3&lt;=CO$7),ROUND(CO397*($AP$3+#REF!),-1),""))</f>
        <v/>
      </c>
      <c r="CQ397" s="503" t="s">
        <v>621</v>
      </c>
      <c r="CR397" s="503" t="str">
        <f>IF($G397="","",IF(AND($G397&gt;=30,$AT$3&lt;=CQ$7),ROUND(CQ397*($AP$3+#REF!),-1),""))</f>
        <v/>
      </c>
      <c r="CS397" s="517" t="e">
        <v>#REF!</v>
      </c>
      <c r="CT397" s="503" t="str">
        <f>IF($G397="","",IF(AND($G397&gt;=30,$AT$3&lt;=CS$7),ROUND(CS397*($AP$3+#REF!),-1),""))</f>
        <v/>
      </c>
      <c r="CU397" s="517"/>
      <c r="CV397" s="503" t="str">
        <f>IF($G397="","",IF(AND($G397&gt;=30,$AT$3&lt;=CU$7),ROUND(CU397*($AP$3+#REF!),-1),""))</f>
        <v/>
      </c>
      <c r="CW397" s="517"/>
      <c r="CX397" s="503" t="str">
        <f>IF($G397="","",IF(AND($G397&gt;=30,$AT$3&lt;=CW$7),ROUND(CW397*($AP$3+#REF!),-1),""))</f>
        <v/>
      </c>
      <c r="CY397" s="517"/>
      <c r="CZ397" s="503" t="str">
        <f>IF($G397="","",IF(AND($G397&gt;=30,$AT$3&lt;=CY$7),ROUND(CY397*($AP$3+#REF!),-1),""))</f>
        <v/>
      </c>
      <c r="DA397" s="517"/>
      <c r="DB397" s="503" t="str">
        <f>IF($G397="","",IF(AND($G397&gt;=30,$AT$3&lt;=DA$7),ROUND(DA397*($AP$3+#REF!),-1),""))</f>
        <v/>
      </c>
      <c r="DC397" s="517"/>
      <c r="DD397" s="503" t="str">
        <f>IF($G397="","",IF(AND($G397&gt;=30,$AT$3&lt;=DC$7),ROUND(DC397*($AP$3+#REF!),-1),""))</f>
        <v/>
      </c>
      <c r="DE397" s="517"/>
      <c r="DF397" s="503" t="str">
        <f>IF($G397="","",IF(AND($G397&gt;=30,$AT$3&lt;=DE$7),ROUND(DE397*($AP$3+#REF!),-1),""))</f>
        <v/>
      </c>
      <c r="DG397" s="517"/>
      <c r="DH397" s="503" t="str">
        <f>IF($G397="","",IF(AND($G397&gt;=30,$AT$3&lt;=DG$7),ROUND(DG397*($AP$3+#REF!),-1),""))</f>
        <v/>
      </c>
      <c r="DI397" s="517"/>
      <c r="DJ397" s="503" t="str">
        <f>IF($G397="","",IF(AND($G397&gt;=30,$AT$3&lt;=DI$7),ROUND(DI397*($AP$3+#REF!),-1),""))</f>
        <v/>
      </c>
      <c r="DK397" s="517"/>
      <c r="DL397" s="503" t="str">
        <f>IF($G397="","",IF(AND($G397&gt;=30,$AT$3&lt;=DK$7),ROUND(DK397*($AP$3+#REF!),-1),""))</f>
        <v/>
      </c>
      <c r="DM397" s="517"/>
      <c r="DN397" s="503" t="str">
        <f>IF($G397="","",IF(AND($G397&gt;=30,$AT$3&lt;=DM$7),ROUND(DM397*($AP$3+#REF!),-1),""))</f>
        <v/>
      </c>
      <c r="DO397" s="517"/>
      <c r="DP397" s="503" t="str">
        <f>IF($G397="","",IF(AND($G397&gt;=30,$AT$3&lt;=DO$7),ROUND(DO397*($AP$3+#REF!),-1),""))</f>
        <v/>
      </c>
      <c r="DQ397" s="517"/>
      <c r="DR397" s="503" t="str">
        <f>IF($G397="","",IF(AND($G397&gt;=30,$AT$3&lt;=DQ$7),ROUND(DQ397*($AP$3+#REF!),-1),""))</f>
        <v/>
      </c>
      <c r="DS397" s="517"/>
      <c r="DT397" s="503" t="str">
        <f>IF($G397="","",IF(AND($G397&gt;=30,$AT$3&lt;=DS$7),ROUND(DS397*($AP$3+#REF!),-1),""))</f>
        <v/>
      </c>
      <c r="DU397" s="517"/>
      <c r="DV397" s="503" t="str">
        <f>IF($G397="","",IF(AND($G397&gt;=30,$AT$3&lt;=DU$7),ROUND(DU397*($AP$3+#REF!),-1),""))</f>
        <v/>
      </c>
      <c r="DW397" s="517"/>
      <c r="DX397" s="503" t="str">
        <f>IF($G397="","",IF(AND($G397&gt;=30,$AT$3&lt;=DW$7),ROUND(DW397*($AP$3+#REF!),-1),""))</f>
        <v/>
      </c>
      <c r="DY397" s="517"/>
      <c r="DZ397" s="503" t="str">
        <f>IF($G397="","",IF(AND($G397&gt;=30,$AT$3&lt;=DY$7),ROUND(DY397*($AP$3+#REF!),-1),""))</f>
        <v/>
      </c>
      <c r="EA397" s="517"/>
      <c r="EB397" s="503" t="str">
        <f>IF($G397="","",IF(AND($G397&gt;=30,$AT$3&lt;=EA$7),ROUND(EA397*($AP$3+#REF!),-1),""))</f>
        <v/>
      </c>
      <c r="EC397" s="504" t="s">
        <v>621</v>
      </c>
      <c r="ED397" s="1124"/>
      <c r="EE397" s="325">
        <v>5</v>
      </c>
    </row>
    <row r="398" spans="1:135" ht="9.75" customHeight="1">
      <c r="A398" s="321" t="str">
        <f t="shared" si="96"/>
        <v/>
      </c>
      <c r="B398" s="567">
        <f>(ii!$D$13*12+V398)+1</f>
        <v>292</v>
      </c>
      <c r="C398" s="337">
        <f t="shared" si="100"/>
        <v>54239</v>
      </c>
      <c r="D398" s="484">
        <f t="shared" si="89"/>
        <v>2048</v>
      </c>
      <c r="E398" s="484">
        <f t="shared" ref="E398:E461" si="101">MONTH(C398)/12</f>
        <v>0.5</v>
      </c>
      <c r="F398" s="484">
        <f t="shared" si="90"/>
        <v>2048.5</v>
      </c>
      <c r="G398" s="485" t="str">
        <f>IF(OR(C398&lt;$I$2,C398&gt;$J$3),"",(ii!$D$13*12+V398+1)/12)</f>
        <v/>
      </c>
      <c r="H398" s="486"/>
      <c r="I398" s="486"/>
      <c r="J398" s="487"/>
      <c r="K398" s="488"/>
      <c r="L398" s="548"/>
      <c r="M398" s="489" t="str">
        <f t="shared" si="91"/>
        <v/>
      </c>
      <c r="N398" s="490" t="s">
        <v>621</v>
      </c>
      <c r="O398" s="490" t="str">
        <f t="shared" si="98"/>
        <v/>
      </c>
      <c r="P398" s="491"/>
      <c r="Q398" s="491"/>
      <c r="R398" s="491" t="str">
        <f t="shared" si="99"/>
        <v/>
      </c>
      <c r="S398" s="528" t="str">
        <f t="shared" si="97"/>
        <v/>
      </c>
      <c r="T398" s="528" t="str">
        <f t="shared" si="95"/>
        <v/>
      </c>
      <c r="U398" s="493" t="str">
        <f>IF(H398="","",#REF!*12+#REF!+#REF!*12+#REF!)</f>
        <v/>
      </c>
      <c r="V398" s="338">
        <f>IF(ii!$J$3&gt;gg!C398,"",IF(AND((YEAR(C398)=YEAR($I$2)),MONTH(C398)=MONTH($I$2)),ii!$B$14*12+ii!$C$14+ii!$B$15*12+ii!$C$15-1,V397+1))</f>
        <v>291</v>
      </c>
      <c r="W398" s="339">
        <f t="shared" si="88"/>
        <v>24.25</v>
      </c>
      <c r="X398" s="494" t="s">
        <v>621</v>
      </c>
      <c r="Y398" s="495" t="s">
        <v>621</v>
      </c>
      <c r="Z398" s="496"/>
      <c r="AA398" s="497"/>
      <c r="AB398" s="498" t="e">
        <f t="shared" si="94"/>
        <v>#VALUE!</v>
      </c>
      <c r="AC398" s="484" t="str">
        <f t="shared" si="92"/>
        <v/>
      </c>
      <c r="AD398" s="495" t="str">
        <f t="shared" si="93"/>
        <v/>
      </c>
      <c r="AE398" s="499" t="s">
        <v>621</v>
      </c>
      <c r="AF398" s="500" t="s">
        <v>621</v>
      </c>
      <c r="AG398" s="556" t="s">
        <v>621</v>
      </c>
      <c r="AH398" s="503" t="str">
        <f>IF($G398="","",IF(AND($G398&gt;=30,$AT$3&lt;=AG$7),ROUND(AG398*($AP$3+#REF!),-1),""))</f>
        <v/>
      </c>
      <c r="AI398" s="506" t="s">
        <v>621</v>
      </c>
      <c r="AJ398" s="503" t="str">
        <f>IF($G398="","",IF(AND($G398&gt;=30,$AT$3&lt;=AI$7),ROUND(AI398*($AP$3+#REF!),-1),""))</f>
        <v/>
      </c>
      <c r="AK398" s="506" t="s">
        <v>621</v>
      </c>
      <c r="AL398" s="503" t="str">
        <f>IF($G398="","",IF(AND($G398&gt;=30,$AT$3&lt;=AK$7),ROUND(AK398*($AP$3+#REF!),-1),""))</f>
        <v/>
      </c>
      <c r="AM398" s="506" t="s">
        <v>621</v>
      </c>
      <c r="AN398" s="503" t="str">
        <f>IF($G398="","",IF(AND($G398&gt;=30,$AT$3&lt;=AM$7),ROUND(AM398*($AP$3+#REF!),-1),""))</f>
        <v/>
      </c>
      <c r="AO398" s="503" t="e">
        <v>#REF!</v>
      </c>
      <c r="AP398" s="503" t="str">
        <f>IF($G398="","",IF(AND($G398&gt;=30,$AT$3&lt;=AO$7),ROUND(AO398*($AP$3+#REF!),-1),""))</f>
        <v/>
      </c>
      <c r="AQ398" s="503" t="s">
        <v>621</v>
      </c>
      <c r="AR398" s="503" t="str">
        <f>IF($G398="","",IF(AND($G398&gt;=30,$AT$3&lt;=AQ$7),ROUND(AQ398*($AP$3+#REF!),-1),""))</f>
        <v/>
      </c>
      <c r="AS398" s="503" t="s">
        <v>621</v>
      </c>
      <c r="AT398" s="503" t="str">
        <f>IF($G398="","",IF(AND($G398&gt;=30,$AT$3&lt;=AS$7),ROUND(AS398*($AP$3+#REF!),-1),""))</f>
        <v/>
      </c>
      <c r="AU398" s="503" t="s">
        <v>621</v>
      </c>
      <c r="AV398" s="503" t="str">
        <f>IF($G398="","",IF(AND($G398&gt;=30,$AT$3&lt;=AU$7),ROUND(AU398*($AP$3+#REF!),-1),""))</f>
        <v/>
      </c>
      <c r="AW398" s="503" t="s">
        <v>621</v>
      </c>
      <c r="AX398" s="503" t="str">
        <f>IF($G398="","",IF(AND($G398&gt;=30,$AT$3&lt;=AW$7),ROUND(AW398*($AP$3+#REF!),-1),""))</f>
        <v/>
      </c>
      <c r="AY398" s="503" t="s">
        <v>621</v>
      </c>
      <c r="AZ398" s="503" t="str">
        <f>IF($G398="","",IF(AND($G398&gt;=30,$AT$3&lt;=AY$7),ROUND(AY398*($AP$3+#REF!),-1),""))</f>
        <v/>
      </c>
      <c r="BA398" s="503" t="s">
        <v>621</v>
      </c>
      <c r="BB398" s="503" t="str">
        <f>IF($G398="","",IF(AND($G398&gt;=30,$AT$3&lt;=BA$7),ROUND(BA398*($AP$3+#REF!),-1),""))</f>
        <v/>
      </c>
      <c r="BC398" s="503" t="s">
        <v>621</v>
      </c>
      <c r="BD398" s="503" t="str">
        <f>IF($G398="","",IF(AND($G398&gt;=30,$AT$3&lt;=BC$7),ROUND(BC398*($AP$3+#REF!),-1),""))</f>
        <v/>
      </c>
      <c r="BE398" s="503" t="s">
        <v>621</v>
      </c>
      <c r="BF398" s="503" t="str">
        <f>IF($G398="","",IF(AND($G398&gt;=30,$AT$3&lt;=BE$7),ROUND(BE398*($AP$3+#REF!),-1),""))</f>
        <v/>
      </c>
      <c r="BG398" s="503" t="s">
        <v>621</v>
      </c>
      <c r="BH398" s="503" t="str">
        <f>IF($G398="","",IF(AND($G398&gt;=30,$AT$3&lt;=BG$7),ROUND(BG398*($AP$3+#REF!),-1),""))</f>
        <v/>
      </c>
      <c r="BI398" s="503" t="s">
        <v>621</v>
      </c>
      <c r="BJ398" s="503" t="str">
        <f>IF($G398="","",IF(AND($G398&gt;=30,$AT$3&lt;=BI$7),ROUND(BI398*($AP$3+#REF!),-1),""))</f>
        <v/>
      </c>
      <c r="BK398" s="503" t="s">
        <v>621</v>
      </c>
      <c r="BL398" s="503" t="str">
        <f>IF($G398="","",IF(AND($G398&gt;=30,$AT$3&lt;=BK$7),ROUND(BK398*($AP$3+#REF!),-1),""))</f>
        <v/>
      </c>
      <c r="BM398" s="503" t="s">
        <v>621</v>
      </c>
      <c r="BN398" s="503" t="str">
        <f>IF($G398="","",IF(AND($G398&gt;=30,$AT$3&lt;=BM$7),ROUND(BM398*($AP$3+#REF!),-1),""))</f>
        <v/>
      </c>
      <c r="BO398" s="503" t="s">
        <v>621</v>
      </c>
      <c r="BP398" s="503" t="str">
        <f>IF($G398="","",IF(AND($G398&gt;=30,$AT$3&lt;=BO$7),ROUND(BO398*($AP$3+#REF!),-1),""))</f>
        <v/>
      </c>
      <c r="BQ398" s="503" t="s">
        <v>621</v>
      </c>
      <c r="BR398" s="503" t="str">
        <f>IF($G398="","",IF(AND($G398&gt;=30,$AT$3&lt;=BQ$7),ROUND(BQ398*($AP$3+#REF!),-1),""))</f>
        <v/>
      </c>
      <c r="BS398" s="503" t="s">
        <v>621</v>
      </c>
      <c r="BT398" s="503" t="str">
        <f>IF($G398="","",IF(AND($G398&gt;=30,$AT$3&lt;=BS$7),ROUND(BS398*($AP$3+#REF!),-1),""))</f>
        <v/>
      </c>
      <c r="BU398" s="503" t="s">
        <v>621</v>
      </c>
      <c r="BV398" s="503" t="str">
        <f>IF($G398="","",IF(AND($G398&gt;=30,$AT$3&lt;=BU$7),ROUND(BU398*($AP$3+#REF!),-1),""))</f>
        <v/>
      </c>
      <c r="BW398" s="503" t="s">
        <v>621</v>
      </c>
      <c r="BX398" s="503" t="str">
        <f>IF($G398="","",IF(AND($G398&gt;=30,$AT$3&lt;=BW$7),ROUND(BW398*($AP$3+#REF!),-1),""))</f>
        <v/>
      </c>
      <c r="BY398" s="503" t="s">
        <v>621</v>
      </c>
      <c r="BZ398" s="503" t="str">
        <f>IF($G398="","",IF(AND($G398&gt;=30,$AT$3&lt;=BY$7),ROUND(BY398*($AP$3+#REF!),-1),""))</f>
        <v/>
      </c>
      <c r="CA398" s="503" t="s">
        <v>621</v>
      </c>
      <c r="CB398" s="503" t="str">
        <f>IF($G398="","",IF(AND($G398&gt;=30,$AT$3&lt;=CA$7),ROUND(CA398*($AP$3+#REF!),-1),""))</f>
        <v/>
      </c>
      <c r="CC398" s="503" t="s">
        <v>621</v>
      </c>
      <c r="CD398" s="503" t="str">
        <f>IF($G398="","",IF(AND($G398&gt;=30,$AT$3&lt;=CC$7),ROUND(CC398*($AP$3+#REF!),-1),""))</f>
        <v/>
      </c>
      <c r="CE398" s="503" t="s">
        <v>621</v>
      </c>
      <c r="CF398" s="503" t="str">
        <f>IF($G398="","",IF(AND($G398&gt;=30,$AT$3&lt;=CE$7),ROUND(CE398*($AP$3+#REF!),-1),""))</f>
        <v/>
      </c>
      <c r="CG398" s="503" t="s">
        <v>621</v>
      </c>
      <c r="CH398" s="503" t="str">
        <f>IF($G398="","",IF(AND($G398&gt;=30,$AT$3&lt;=CG$7),ROUND(CG398*($AP$3+#REF!),-1),""))</f>
        <v/>
      </c>
      <c r="CI398" s="503" t="s">
        <v>621</v>
      </c>
      <c r="CJ398" s="503" t="str">
        <f>IF($G398="","",IF(AND($G398&gt;=30,$AT$3&lt;=CI$7),ROUND(CI398*($AP$3+#REF!),-1),""))</f>
        <v/>
      </c>
      <c r="CK398" s="503" t="s">
        <v>621</v>
      </c>
      <c r="CL398" s="503" t="str">
        <f>IF($G398="","",IF(AND($G398&gt;=30,$AT$3&lt;=CK$7),ROUND(CK398*($AP$3+#REF!),-1),""))</f>
        <v/>
      </c>
      <c r="CM398" s="503" t="s">
        <v>621</v>
      </c>
      <c r="CN398" s="503" t="str">
        <f>IF($G398="","",IF(AND($G398&gt;=30,$AT$3&lt;=CM$7),ROUND(CM398*($AP$3+#REF!),-1),""))</f>
        <v/>
      </c>
      <c r="CO398" s="503" t="s">
        <v>621</v>
      </c>
      <c r="CP398" s="503" t="str">
        <f>IF($G398="","",IF(AND($G398&gt;=30,$AT$3&lt;=CO$7),ROUND(CO398*($AP$3+#REF!),-1),""))</f>
        <v/>
      </c>
      <c r="CQ398" s="503" t="s">
        <v>621</v>
      </c>
      <c r="CR398" s="503" t="str">
        <f>IF($G398="","",IF(AND($G398&gt;=30,$AT$3&lt;=CQ$7),ROUND(CQ398*($AP$3+#REF!),-1),""))</f>
        <v/>
      </c>
      <c r="CS398" s="517" t="e">
        <v>#REF!</v>
      </c>
      <c r="CT398" s="503" t="str">
        <f>IF($G398="","",IF(AND($G398&gt;=30,$AT$3&lt;=CS$7),ROUND(CS398*($AP$3+#REF!),-1),""))</f>
        <v/>
      </c>
      <c r="CU398" s="517"/>
      <c r="CV398" s="503" t="str">
        <f>IF($G398="","",IF(AND($G398&gt;=30,$AT$3&lt;=CU$7),ROUND(CU398*($AP$3+#REF!),-1),""))</f>
        <v/>
      </c>
      <c r="CW398" s="517"/>
      <c r="CX398" s="503" t="str">
        <f>IF($G398="","",IF(AND($G398&gt;=30,$AT$3&lt;=CW$7),ROUND(CW398*($AP$3+#REF!),-1),""))</f>
        <v/>
      </c>
      <c r="CY398" s="517"/>
      <c r="CZ398" s="503" t="str">
        <f>IF($G398="","",IF(AND($G398&gt;=30,$AT$3&lt;=CY$7),ROUND(CY398*($AP$3+#REF!),-1),""))</f>
        <v/>
      </c>
      <c r="DA398" s="517"/>
      <c r="DB398" s="503" t="str">
        <f>IF($G398="","",IF(AND($G398&gt;=30,$AT$3&lt;=DA$7),ROUND(DA398*($AP$3+#REF!),-1),""))</f>
        <v/>
      </c>
      <c r="DC398" s="517"/>
      <c r="DD398" s="503" t="str">
        <f>IF($G398="","",IF(AND($G398&gt;=30,$AT$3&lt;=DC$7),ROUND(DC398*($AP$3+#REF!),-1),""))</f>
        <v/>
      </c>
      <c r="DE398" s="517"/>
      <c r="DF398" s="503" t="str">
        <f>IF($G398="","",IF(AND($G398&gt;=30,$AT$3&lt;=DE$7),ROUND(DE398*($AP$3+#REF!),-1),""))</f>
        <v/>
      </c>
      <c r="DG398" s="517"/>
      <c r="DH398" s="503" t="str">
        <f>IF($G398="","",IF(AND($G398&gt;=30,$AT$3&lt;=DG$7),ROUND(DG398*($AP$3+#REF!),-1),""))</f>
        <v/>
      </c>
      <c r="DI398" s="517"/>
      <c r="DJ398" s="503" t="str">
        <f>IF($G398="","",IF(AND($G398&gt;=30,$AT$3&lt;=DI$7),ROUND(DI398*($AP$3+#REF!),-1),""))</f>
        <v/>
      </c>
      <c r="DK398" s="517"/>
      <c r="DL398" s="503" t="str">
        <f>IF($G398="","",IF(AND($G398&gt;=30,$AT$3&lt;=DK$7),ROUND(DK398*($AP$3+#REF!),-1),""))</f>
        <v/>
      </c>
      <c r="DM398" s="517"/>
      <c r="DN398" s="503" t="str">
        <f>IF($G398="","",IF(AND($G398&gt;=30,$AT$3&lt;=DM$7),ROUND(DM398*($AP$3+#REF!),-1),""))</f>
        <v/>
      </c>
      <c r="DO398" s="517"/>
      <c r="DP398" s="503" t="str">
        <f>IF($G398="","",IF(AND($G398&gt;=30,$AT$3&lt;=DO$7),ROUND(DO398*($AP$3+#REF!),-1),""))</f>
        <v/>
      </c>
      <c r="DQ398" s="517"/>
      <c r="DR398" s="503" t="str">
        <f>IF($G398="","",IF(AND($G398&gt;=30,$AT$3&lt;=DQ$7),ROUND(DQ398*($AP$3+#REF!),-1),""))</f>
        <v/>
      </c>
      <c r="DS398" s="517"/>
      <c r="DT398" s="503" t="str">
        <f>IF($G398="","",IF(AND($G398&gt;=30,$AT$3&lt;=DS$7),ROUND(DS398*($AP$3+#REF!),-1),""))</f>
        <v/>
      </c>
      <c r="DU398" s="517"/>
      <c r="DV398" s="503" t="str">
        <f>IF($G398="","",IF(AND($G398&gt;=30,$AT$3&lt;=DU$7),ROUND(DU398*($AP$3+#REF!),-1),""))</f>
        <v/>
      </c>
      <c r="DW398" s="517"/>
      <c r="DX398" s="503" t="str">
        <f>IF($G398="","",IF(AND($G398&gt;=30,$AT$3&lt;=DW$7),ROUND(DW398*($AP$3+#REF!),-1),""))</f>
        <v/>
      </c>
      <c r="DY398" s="517"/>
      <c r="DZ398" s="503" t="str">
        <f>IF($G398="","",IF(AND($G398&gt;=30,$AT$3&lt;=DY$7),ROUND(DY398*($AP$3+#REF!),-1),""))</f>
        <v/>
      </c>
      <c r="EA398" s="517"/>
      <c r="EB398" s="503" t="str">
        <f>IF($G398="","",IF(AND($G398&gt;=30,$AT$3&lt;=EA$7),ROUND(EA398*($AP$3+#REF!),-1),""))</f>
        <v/>
      </c>
      <c r="EC398" s="504" t="s">
        <v>621</v>
      </c>
      <c r="ED398" s="1124"/>
      <c r="EE398" s="325">
        <v>6</v>
      </c>
    </row>
    <row r="399" spans="1:135" ht="9.75" customHeight="1">
      <c r="A399" s="321" t="str">
        <f t="shared" si="96"/>
        <v/>
      </c>
      <c r="B399" s="567">
        <f>(ii!$D$13*12+V399)+1</f>
        <v>293</v>
      </c>
      <c r="C399" s="337">
        <f t="shared" si="100"/>
        <v>54270</v>
      </c>
      <c r="D399" s="484">
        <f t="shared" si="89"/>
        <v>2048</v>
      </c>
      <c r="E399" s="484">
        <f t="shared" si="101"/>
        <v>0.58333333333333337</v>
      </c>
      <c r="F399" s="484">
        <f t="shared" si="90"/>
        <v>2048.5833333333335</v>
      </c>
      <c r="G399" s="485" t="str">
        <f>IF(OR(C399&lt;$I$2,C399&gt;$J$3),"",(ii!$D$13*12+V399+1)/12)</f>
        <v/>
      </c>
      <c r="H399" s="486"/>
      <c r="I399" s="486"/>
      <c r="J399" s="487"/>
      <c r="K399" s="488"/>
      <c r="L399" s="548"/>
      <c r="M399" s="489" t="str">
        <f t="shared" si="91"/>
        <v/>
      </c>
      <c r="N399" s="490" t="s">
        <v>621</v>
      </c>
      <c r="O399" s="490" t="str">
        <f t="shared" si="98"/>
        <v/>
      </c>
      <c r="P399" s="491"/>
      <c r="Q399" s="491"/>
      <c r="R399" s="491" t="str">
        <f t="shared" si="99"/>
        <v/>
      </c>
      <c r="S399" s="528" t="str">
        <f t="shared" si="97"/>
        <v/>
      </c>
      <c r="T399" s="528" t="str">
        <f t="shared" si="95"/>
        <v/>
      </c>
      <c r="U399" s="493" t="str">
        <f>IF(H399="","",#REF!*12+#REF!+#REF!*12+#REF!)</f>
        <v/>
      </c>
      <c r="V399" s="338">
        <f>IF(ii!$J$3&gt;gg!C399,"",IF(AND((YEAR(C399)=YEAR($I$2)),MONTH(C399)=MONTH($I$2)),ii!$B$14*12+ii!$C$14+ii!$B$15*12+ii!$C$15-1,V398+1))</f>
        <v>292</v>
      </c>
      <c r="W399" s="339">
        <f t="shared" si="88"/>
        <v>24.333333333333332</v>
      </c>
      <c r="X399" s="494" t="s">
        <v>621</v>
      </c>
      <c r="Y399" s="495" t="s">
        <v>621</v>
      </c>
      <c r="Z399" s="496"/>
      <c r="AA399" s="497"/>
      <c r="AB399" s="498" t="e">
        <f t="shared" si="94"/>
        <v>#VALUE!</v>
      </c>
      <c r="AC399" s="484" t="str">
        <f t="shared" si="92"/>
        <v/>
      </c>
      <c r="AD399" s="495" t="str">
        <f t="shared" si="93"/>
        <v/>
      </c>
      <c r="AE399" s="499" t="s">
        <v>621</v>
      </c>
      <c r="AF399" s="500" t="s">
        <v>621</v>
      </c>
      <c r="AG399" s="556" t="s">
        <v>621</v>
      </c>
      <c r="AH399" s="503" t="str">
        <f>IF($G399="","",IF(AND($G399&gt;=30,$AT$3&lt;=AG$7),ROUND(AG399*($AP$3+#REF!),-1),""))</f>
        <v/>
      </c>
      <c r="AI399" s="506" t="s">
        <v>621</v>
      </c>
      <c r="AJ399" s="503" t="str">
        <f>IF($G399="","",IF(AND($G399&gt;=30,$AT$3&lt;=AI$7),ROUND(AI399*($AP$3+#REF!),-1),""))</f>
        <v/>
      </c>
      <c r="AK399" s="506" t="s">
        <v>621</v>
      </c>
      <c r="AL399" s="503" t="str">
        <f>IF($G399="","",IF(AND($G399&gt;=30,$AT$3&lt;=AK$7),ROUND(AK399*($AP$3+#REF!),-1),""))</f>
        <v/>
      </c>
      <c r="AM399" s="506" t="s">
        <v>621</v>
      </c>
      <c r="AN399" s="503" t="str">
        <f>IF($G399="","",IF(AND($G399&gt;=30,$AT$3&lt;=AM$7),ROUND(AM399*($AP$3+#REF!),-1),""))</f>
        <v/>
      </c>
      <c r="AO399" s="503" t="e">
        <v>#REF!</v>
      </c>
      <c r="AP399" s="503" t="str">
        <f>IF($G399="","",IF(AND($G399&gt;=30,$AT$3&lt;=AO$7),ROUND(AO399*($AP$3+#REF!),-1),""))</f>
        <v/>
      </c>
      <c r="AQ399" s="503" t="s">
        <v>621</v>
      </c>
      <c r="AR399" s="503" t="str">
        <f>IF($G399="","",IF(AND($G399&gt;=30,$AT$3&lt;=AQ$7),ROUND(AQ399*($AP$3+#REF!),-1),""))</f>
        <v/>
      </c>
      <c r="AS399" s="503" t="s">
        <v>621</v>
      </c>
      <c r="AT399" s="503" t="str">
        <f>IF($G399="","",IF(AND($G399&gt;=30,$AT$3&lt;=AS$7),ROUND(AS399*($AP$3+#REF!),-1),""))</f>
        <v/>
      </c>
      <c r="AU399" s="503" t="s">
        <v>621</v>
      </c>
      <c r="AV399" s="503" t="str">
        <f>IF($G399="","",IF(AND($G399&gt;=30,$AT$3&lt;=AU$7),ROUND(AU399*($AP$3+#REF!),-1),""))</f>
        <v/>
      </c>
      <c r="AW399" s="503" t="s">
        <v>621</v>
      </c>
      <c r="AX399" s="503" t="str">
        <f>IF($G399="","",IF(AND($G399&gt;=30,$AT$3&lt;=AW$7),ROUND(AW399*($AP$3+#REF!),-1),""))</f>
        <v/>
      </c>
      <c r="AY399" s="503" t="s">
        <v>621</v>
      </c>
      <c r="AZ399" s="503" t="str">
        <f>IF($G399="","",IF(AND($G399&gt;=30,$AT$3&lt;=AY$7),ROUND(AY399*($AP$3+#REF!),-1),""))</f>
        <v/>
      </c>
      <c r="BA399" s="503" t="s">
        <v>621</v>
      </c>
      <c r="BB399" s="503" t="str">
        <f>IF($G399="","",IF(AND($G399&gt;=30,$AT$3&lt;=BA$7),ROUND(BA399*($AP$3+#REF!),-1),""))</f>
        <v/>
      </c>
      <c r="BC399" s="503" t="s">
        <v>621</v>
      </c>
      <c r="BD399" s="503" t="str">
        <f>IF($G399="","",IF(AND($G399&gt;=30,$AT$3&lt;=BC$7),ROUND(BC399*($AP$3+#REF!),-1),""))</f>
        <v/>
      </c>
      <c r="BE399" s="503" t="s">
        <v>621</v>
      </c>
      <c r="BF399" s="503" t="str">
        <f>IF($G399="","",IF(AND($G399&gt;=30,$AT$3&lt;=BE$7),ROUND(BE399*($AP$3+#REF!),-1),""))</f>
        <v/>
      </c>
      <c r="BG399" s="503" t="s">
        <v>621</v>
      </c>
      <c r="BH399" s="503" t="str">
        <f>IF($G399="","",IF(AND($G399&gt;=30,$AT$3&lt;=BG$7),ROUND(BG399*($AP$3+#REF!),-1),""))</f>
        <v/>
      </c>
      <c r="BI399" s="503" t="s">
        <v>621</v>
      </c>
      <c r="BJ399" s="503" t="str">
        <f>IF($G399="","",IF(AND($G399&gt;=30,$AT$3&lt;=BI$7),ROUND(BI399*($AP$3+#REF!),-1),""))</f>
        <v/>
      </c>
      <c r="BK399" s="503" t="s">
        <v>621</v>
      </c>
      <c r="BL399" s="503" t="str">
        <f>IF($G399="","",IF(AND($G399&gt;=30,$AT$3&lt;=BK$7),ROUND(BK399*($AP$3+#REF!),-1),""))</f>
        <v/>
      </c>
      <c r="BM399" s="503" t="s">
        <v>621</v>
      </c>
      <c r="BN399" s="503" t="str">
        <f>IF($G399="","",IF(AND($G399&gt;=30,$AT$3&lt;=BM$7),ROUND(BM399*($AP$3+#REF!),-1),""))</f>
        <v/>
      </c>
      <c r="BO399" s="503" t="s">
        <v>621</v>
      </c>
      <c r="BP399" s="503" t="str">
        <f>IF($G399="","",IF(AND($G399&gt;=30,$AT$3&lt;=BO$7),ROUND(BO399*($AP$3+#REF!),-1),""))</f>
        <v/>
      </c>
      <c r="BQ399" s="503" t="s">
        <v>621</v>
      </c>
      <c r="BR399" s="503" t="str">
        <f>IF($G399="","",IF(AND($G399&gt;=30,$AT$3&lt;=BQ$7),ROUND(BQ399*($AP$3+#REF!),-1),""))</f>
        <v/>
      </c>
      <c r="BS399" s="503" t="s">
        <v>621</v>
      </c>
      <c r="BT399" s="503" t="str">
        <f>IF($G399="","",IF(AND($G399&gt;=30,$AT$3&lt;=BS$7),ROUND(BS399*($AP$3+#REF!),-1),""))</f>
        <v/>
      </c>
      <c r="BU399" s="503" t="s">
        <v>621</v>
      </c>
      <c r="BV399" s="503" t="str">
        <f>IF($G399="","",IF(AND($G399&gt;=30,$AT$3&lt;=BU$7),ROUND(BU399*($AP$3+#REF!),-1),""))</f>
        <v/>
      </c>
      <c r="BW399" s="503" t="s">
        <v>621</v>
      </c>
      <c r="BX399" s="503" t="str">
        <f>IF($G399="","",IF(AND($G399&gt;=30,$AT$3&lt;=BW$7),ROUND(BW399*($AP$3+#REF!),-1),""))</f>
        <v/>
      </c>
      <c r="BY399" s="503" t="s">
        <v>621</v>
      </c>
      <c r="BZ399" s="503" t="str">
        <f>IF($G399="","",IF(AND($G399&gt;=30,$AT$3&lt;=BY$7),ROUND(BY399*($AP$3+#REF!),-1),""))</f>
        <v/>
      </c>
      <c r="CA399" s="503" t="s">
        <v>621</v>
      </c>
      <c r="CB399" s="503" t="str">
        <f>IF($G399="","",IF(AND($G399&gt;=30,$AT$3&lt;=CA$7),ROUND(CA399*($AP$3+#REF!),-1),""))</f>
        <v/>
      </c>
      <c r="CC399" s="503" t="s">
        <v>621</v>
      </c>
      <c r="CD399" s="503" t="str">
        <f>IF($G399="","",IF(AND($G399&gt;=30,$AT$3&lt;=CC$7),ROUND(CC399*($AP$3+#REF!),-1),""))</f>
        <v/>
      </c>
      <c r="CE399" s="503" t="s">
        <v>621</v>
      </c>
      <c r="CF399" s="503" t="str">
        <f>IF($G399="","",IF(AND($G399&gt;=30,$AT$3&lt;=CE$7),ROUND(CE399*($AP$3+#REF!),-1),""))</f>
        <v/>
      </c>
      <c r="CG399" s="503" t="s">
        <v>621</v>
      </c>
      <c r="CH399" s="503" t="str">
        <f>IF($G399="","",IF(AND($G399&gt;=30,$AT$3&lt;=CG$7),ROUND(CG399*($AP$3+#REF!),-1),""))</f>
        <v/>
      </c>
      <c r="CI399" s="503" t="s">
        <v>621</v>
      </c>
      <c r="CJ399" s="503" t="str">
        <f>IF($G399="","",IF(AND($G399&gt;=30,$AT$3&lt;=CI$7),ROUND(CI399*($AP$3+#REF!),-1),""))</f>
        <v/>
      </c>
      <c r="CK399" s="503" t="s">
        <v>621</v>
      </c>
      <c r="CL399" s="503" t="str">
        <f>IF($G399="","",IF(AND($G399&gt;=30,$AT$3&lt;=CK$7),ROUND(CK399*($AP$3+#REF!),-1),""))</f>
        <v/>
      </c>
      <c r="CM399" s="503" t="s">
        <v>621</v>
      </c>
      <c r="CN399" s="503" t="str">
        <f>IF($G399="","",IF(AND($G399&gt;=30,$AT$3&lt;=CM$7),ROUND(CM399*($AP$3+#REF!),-1),""))</f>
        <v/>
      </c>
      <c r="CO399" s="503" t="s">
        <v>621</v>
      </c>
      <c r="CP399" s="503" t="str">
        <f>IF($G399="","",IF(AND($G399&gt;=30,$AT$3&lt;=CO$7),ROUND(CO399*($AP$3+#REF!),-1),""))</f>
        <v/>
      </c>
      <c r="CQ399" s="503" t="s">
        <v>621</v>
      </c>
      <c r="CR399" s="503" t="str">
        <f>IF($G399="","",IF(AND($G399&gt;=30,$AT$3&lt;=CQ$7),ROUND(CQ399*($AP$3+#REF!),-1),""))</f>
        <v/>
      </c>
      <c r="CS399" s="517" t="e">
        <v>#REF!</v>
      </c>
      <c r="CT399" s="503" t="str">
        <f>IF($G399="","",IF(AND($G399&gt;=30,$AT$3&lt;=CS$7),ROUND(CS399*($AP$3+#REF!),-1),""))</f>
        <v/>
      </c>
      <c r="CU399" s="517"/>
      <c r="CV399" s="503" t="str">
        <f>IF($G399="","",IF(AND($G399&gt;=30,$AT$3&lt;=CU$7),ROUND(CU399*($AP$3+#REF!),-1),""))</f>
        <v/>
      </c>
      <c r="CW399" s="517"/>
      <c r="CX399" s="503" t="str">
        <f>IF($G399="","",IF(AND($G399&gt;=30,$AT$3&lt;=CW$7),ROUND(CW399*($AP$3+#REF!),-1),""))</f>
        <v/>
      </c>
      <c r="CY399" s="517"/>
      <c r="CZ399" s="503" t="str">
        <f>IF($G399="","",IF(AND($G399&gt;=30,$AT$3&lt;=CY$7),ROUND(CY399*($AP$3+#REF!),-1),""))</f>
        <v/>
      </c>
      <c r="DA399" s="517"/>
      <c r="DB399" s="503" t="str">
        <f>IF($G399="","",IF(AND($G399&gt;=30,$AT$3&lt;=DA$7),ROUND(DA399*($AP$3+#REF!),-1),""))</f>
        <v/>
      </c>
      <c r="DC399" s="517"/>
      <c r="DD399" s="503" t="str">
        <f>IF($G399="","",IF(AND($G399&gt;=30,$AT$3&lt;=DC$7),ROUND(DC399*($AP$3+#REF!),-1),""))</f>
        <v/>
      </c>
      <c r="DE399" s="517"/>
      <c r="DF399" s="503" t="str">
        <f>IF($G399="","",IF(AND($G399&gt;=30,$AT$3&lt;=DE$7),ROUND(DE399*($AP$3+#REF!),-1),""))</f>
        <v/>
      </c>
      <c r="DG399" s="517"/>
      <c r="DH399" s="503" t="str">
        <f>IF($G399="","",IF(AND($G399&gt;=30,$AT$3&lt;=DG$7),ROUND(DG399*($AP$3+#REF!),-1),""))</f>
        <v/>
      </c>
      <c r="DI399" s="517"/>
      <c r="DJ399" s="503" t="str">
        <f>IF($G399="","",IF(AND($G399&gt;=30,$AT$3&lt;=DI$7),ROUND(DI399*($AP$3+#REF!),-1),""))</f>
        <v/>
      </c>
      <c r="DK399" s="517"/>
      <c r="DL399" s="503" t="str">
        <f>IF($G399="","",IF(AND($G399&gt;=30,$AT$3&lt;=DK$7),ROUND(DK399*($AP$3+#REF!),-1),""))</f>
        <v/>
      </c>
      <c r="DM399" s="517"/>
      <c r="DN399" s="503" t="str">
        <f>IF($G399="","",IF(AND($G399&gt;=30,$AT$3&lt;=DM$7),ROUND(DM399*($AP$3+#REF!),-1),""))</f>
        <v/>
      </c>
      <c r="DO399" s="517"/>
      <c r="DP399" s="503" t="str">
        <f>IF($G399="","",IF(AND($G399&gt;=30,$AT$3&lt;=DO$7),ROUND(DO399*($AP$3+#REF!),-1),""))</f>
        <v/>
      </c>
      <c r="DQ399" s="517"/>
      <c r="DR399" s="503" t="str">
        <f>IF($G399="","",IF(AND($G399&gt;=30,$AT$3&lt;=DQ$7),ROUND(DQ399*($AP$3+#REF!),-1),""))</f>
        <v/>
      </c>
      <c r="DS399" s="517"/>
      <c r="DT399" s="503" t="str">
        <f>IF($G399="","",IF(AND($G399&gt;=30,$AT$3&lt;=DS$7),ROUND(DS399*($AP$3+#REF!),-1),""))</f>
        <v/>
      </c>
      <c r="DU399" s="517"/>
      <c r="DV399" s="503" t="str">
        <f>IF($G399="","",IF(AND($G399&gt;=30,$AT$3&lt;=DU$7),ROUND(DU399*($AP$3+#REF!),-1),""))</f>
        <v/>
      </c>
      <c r="DW399" s="517"/>
      <c r="DX399" s="503" t="str">
        <f>IF($G399="","",IF(AND($G399&gt;=30,$AT$3&lt;=DW$7),ROUND(DW399*($AP$3+#REF!),-1),""))</f>
        <v/>
      </c>
      <c r="DY399" s="517"/>
      <c r="DZ399" s="503" t="str">
        <f>IF($G399="","",IF(AND($G399&gt;=30,$AT$3&lt;=DY$7),ROUND(DY399*($AP$3+#REF!),-1),""))</f>
        <v/>
      </c>
      <c r="EA399" s="517"/>
      <c r="EB399" s="503" t="str">
        <f>IF($G399="","",IF(AND($G399&gt;=30,$AT$3&lt;=EA$7),ROUND(EA399*($AP$3+#REF!),-1),""))</f>
        <v/>
      </c>
      <c r="EC399" s="504" t="s">
        <v>621</v>
      </c>
      <c r="ED399" s="1124"/>
      <c r="EE399" s="325">
        <v>7</v>
      </c>
    </row>
    <row r="400" spans="1:135" ht="9.75" customHeight="1">
      <c r="A400" s="321" t="str">
        <f t="shared" si="96"/>
        <v/>
      </c>
      <c r="B400" s="567">
        <f>(ii!$D$13*12+V400)+1</f>
        <v>294</v>
      </c>
      <c r="C400" s="337">
        <f t="shared" si="100"/>
        <v>54301</v>
      </c>
      <c r="D400" s="484">
        <f t="shared" si="89"/>
        <v>2048</v>
      </c>
      <c r="E400" s="484">
        <f t="shared" si="101"/>
        <v>0.66666666666666663</v>
      </c>
      <c r="F400" s="484">
        <f t="shared" si="90"/>
        <v>2048.6666666666665</v>
      </c>
      <c r="G400" s="485" t="str">
        <f>IF(OR(C400&lt;$I$2,C400&gt;$J$3),"",(ii!$D$13*12+V400+1)/12)</f>
        <v/>
      </c>
      <c r="H400" s="486"/>
      <c r="I400" s="486"/>
      <c r="J400" s="487"/>
      <c r="K400" s="488"/>
      <c r="L400" s="548"/>
      <c r="M400" s="489" t="str">
        <f t="shared" si="91"/>
        <v/>
      </c>
      <c r="N400" s="490" t="s">
        <v>621</v>
      </c>
      <c r="O400" s="490" t="str">
        <f t="shared" si="98"/>
        <v/>
      </c>
      <c r="P400" s="491"/>
      <c r="Q400" s="491"/>
      <c r="R400" s="491" t="str">
        <f t="shared" si="99"/>
        <v/>
      </c>
      <c r="S400" s="528" t="str">
        <f t="shared" si="97"/>
        <v/>
      </c>
      <c r="T400" s="528" t="str">
        <f t="shared" si="95"/>
        <v/>
      </c>
      <c r="U400" s="493" t="str">
        <f>IF(H400="","",#REF!*12+#REF!+#REF!*12+#REF!)</f>
        <v/>
      </c>
      <c r="V400" s="338">
        <f>IF(ii!$J$3&gt;gg!C400,"",IF(AND((YEAR(C400)=YEAR($I$2)),MONTH(C400)=MONTH($I$2)),ii!$B$14*12+ii!$C$14+ii!$B$15*12+ii!$C$15-1,V399+1))</f>
        <v>293</v>
      </c>
      <c r="W400" s="339">
        <f t="shared" si="88"/>
        <v>24.416666666666668</v>
      </c>
      <c r="X400" s="494" t="s">
        <v>621</v>
      </c>
      <c r="Y400" s="495" t="s">
        <v>621</v>
      </c>
      <c r="Z400" s="496"/>
      <c r="AA400" s="497"/>
      <c r="AB400" s="498" t="e">
        <f t="shared" si="94"/>
        <v>#VALUE!</v>
      </c>
      <c r="AC400" s="484" t="str">
        <f t="shared" si="92"/>
        <v/>
      </c>
      <c r="AD400" s="495" t="str">
        <f t="shared" si="93"/>
        <v/>
      </c>
      <c r="AE400" s="499" t="s">
        <v>621</v>
      </c>
      <c r="AF400" s="500" t="s">
        <v>621</v>
      </c>
      <c r="AG400" s="556" t="s">
        <v>621</v>
      </c>
      <c r="AH400" s="503" t="str">
        <f>IF($G400="","",IF(AND($G400&gt;=30,$AT$3&lt;=AG$7),ROUND(AG400*($AP$3+#REF!),-1),""))</f>
        <v/>
      </c>
      <c r="AI400" s="506" t="s">
        <v>621</v>
      </c>
      <c r="AJ400" s="503" t="str">
        <f>IF($G400="","",IF(AND($G400&gt;=30,$AT$3&lt;=AI$7),ROUND(AI400*($AP$3+#REF!),-1),""))</f>
        <v/>
      </c>
      <c r="AK400" s="506" t="s">
        <v>621</v>
      </c>
      <c r="AL400" s="503" t="str">
        <f>IF($G400="","",IF(AND($G400&gt;=30,$AT$3&lt;=AK$7),ROUND(AK400*($AP$3+#REF!),-1),""))</f>
        <v/>
      </c>
      <c r="AM400" s="506" t="s">
        <v>621</v>
      </c>
      <c r="AN400" s="503" t="str">
        <f>IF($G400="","",IF(AND($G400&gt;=30,$AT$3&lt;=AM$7),ROUND(AM400*($AP$3+#REF!),-1),""))</f>
        <v/>
      </c>
      <c r="AO400" s="503" t="e">
        <v>#REF!</v>
      </c>
      <c r="AP400" s="503" t="str">
        <f>IF($G400="","",IF(AND($G400&gt;=30,$AT$3&lt;=AO$7),ROUND(AO400*($AP$3+#REF!),-1),""))</f>
        <v/>
      </c>
      <c r="AQ400" s="503" t="s">
        <v>621</v>
      </c>
      <c r="AR400" s="503" t="str">
        <f>IF($G400="","",IF(AND($G400&gt;=30,$AT$3&lt;=AQ$7),ROUND(AQ400*($AP$3+#REF!),-1),""))</f>
        <v/>
      </c>
      <c r="AS400" s="503" t="s">
        <v>621</v>
      </c>
      <c r="AT400" s="503" t="str">
        <f>IF($G400="","",IF(AND($G400&gt;=30,$AT$3&lt;=AS$7),ROUND(AS400*($AP$3+#REF!),-1),""))</f>
        <v/>
      </c>
      <c r="AU400" s="503" t="s">
        <v>621</v>
      </c>
      <c r="AV400" s="503" t="str">
        <f>IF($G400="","",IF(AND($G400&gt;=30,$AT$3&lt;=AU$7),ROUND(AU400*($AP$3+#REF!),-1),""))</f>
        <v/>
      </c>
      <c r="AW400" s="503" t="s">
        <v>621</v>
      </c>
      <c r="AX400" s="503" t="str">
        <f>IF($G400="","",IF(AND($G400&gt;=30,$AT$3&lt;=AW$7),ROUND(AW400*($AP$3+#REF!),-1),""))</f>
        <v/>
      </c>
      <c r="AY400" s="503" t="s">
        <v>621</v>
      </c>
      <c r="AZ400" s="503" t="str">
        <f>IF($G400="","",IF(AND($G400&gt;=30,$AT$3&lt;=AY$7),ROUND(AY400*($AP$3+#REF!),-1),""))</f>
        <v/>
      </c>
      <c r="BA400" s="503" t="s">
        <v>621</v>
      </c>
      <c r="BB400" s="503" t="str">
        <f>IF($G400="","",IF(AND($G400&gt;=30,$AT$3&lt;=BA$7),ROUND(BA400*($AP$3+#REF!),-1),""))</f>
        <v/>
      </c>
      <c r="BC400" s="503" t="s">
        <v>621</v>
      </c>
      <c r="BD400" s="503" t="str">
        <f>IF($G400="","",IF(AND($G400&gt;=30,$AT$3&lt;=BC$7),ROUND(BC400*($AP$3+#REF!),-1),""))</f>
        <v/>
      </c>
      <c r="BE400" s="503" t="s">
        <v>621</v>
      </c>
      <c r="BF400" s="503" t="str">
        <f>IF($G400="","",IF(AND($G400&gt;=30,$AT$3&lt;=BE$7),ROUND(BE400*($AP$3+#REF!),-1),""))</f>
        <v/>
      </c>
      <c r="BG400" s="503" t="s">
        <v>621</v>
      </c>
      <c r="BH400" s="503" t="str">
        <f>IF($G400="","",IF(AND($G400&gt;=30,$AT$3&lt;=BG$7),ROUND(BG400*($AP$3+#REF!),-1),""))</f>
        <v/>
      </c>
      <c r="BI400" s="503" t="s">
        <v>621</v>
      </c>
      <c r="BJ400" s="503" t="str">
        <f>IF($G400="","",IF(AND($G400&gt;=30,$AT$3&lt;=BI$7),ROUND(BI400*($AP$3+#REF!),-1),""))</f>
        <v/>
      </c>
      <c r="BK400" s="503" t="s">
        <v>621</v>
      </c>
      <c r="BL400" s="503" t="str">
        <f>IF($G400="","",IF(AND($G400&gt;=30,$AT$3&lt;=BK$7),ROUND(BK400*($AP$3+#REF!),-1),""))</f>
        <v/>
      </c>
      <c r="BM400" s="503" t="s">
        <v>621</v>
      </c>
      <c r="BN400" s="503" t="str">
        <f>IF($G400="","",IF(AND($G400&gt;=30,$AT$3&lt;=BM$7),ROUND(BM400*($AP$3+#REF!),-1),""))</f>
        <v/>
      </c>
      <c r="BO400" s="503" t="s">
        <v>621</v>
      </c>
      <c r="BP400" s="503" t="str">
        <f>IF($G400="","",IF(AND($G400&gt;=30,$AT$3&lt;=BO$7),ROUND(BO400*($AP$3+#REF!),-1),""))</f>
        <v/>
      </c>
      <c r="BQ400" s="503" t="s">
        <v>621</v>
      </c>
      <c r="BR400" s="503" t="str">
        <f>IF($G400="","",IF(AND($G400&gt;=30,$AT$3&lt;=BQ$7),ROUND(BQ400*($AP$3+#REF!),-1),""))</f>
        <v/>
      </c>
      <c r="BS400" s="503" t="s">
        <v>621</v>
      </c>
      <c r="BT400" s="503" t="str">
        <f>IF($G400="","",IF(AND($G400&gt;=30,$AT$3&lt;=BS$7),ROUND(BS400*($AP$3+#REF!),-1),""))</f>
        <v/>
      </c>
      <c r="BU400" s="503" t="s">
        <v>621</v>
      </c>
      <c r="BV400" s="503" t="str">
        <f>IF($G400="","",IF(AND($G400&gt;=30,$AT$3&lt;=BU$7),ROUND(BU400*($AP$3+#REF!),-1),""))</f>
        <v/>
      </c>
      <c r="BW400" s="503" t="s">
        <v>621</v>
      </c>
      <c r="BX400" s="503" t="str">
        <f>IF($G400="","",IF(AND($G400&gt;=30,$AT$3&lt;=BW$7),ROUND(BW400*($AP$3+#REF!),-1),""))</f>
        <v/>
      </c>
      <c r="BY400" s="503" t="s">
        <v>621</v>
      </c>
      <c r="BZ400" s="503" t="str">
        <f>IF($G400="","",IF(AND($G400&gt;=30,$AT$3&lt;=BY$7),ROUND(BY400*($AP$3+#REF!),-1),""))</f>
        <v/>
      </c>
      <c r="CA400" s="503" t="s">
        <v>621</v>
      </c>
      <c r="CB400" s="503" t="str">
        <f>IF($G400="","",IF(AND($G400&gt;=30,$AT$3&lt;=CA$7),ROUND(CA400*($AP$3+#REF!),-1),""))</f>
        <v/>
      </c>
      <c r="CC400" s="503" t="s">
        <v>621</v>
      </c>
      <c r="CD400" s="503" t="str">
        <f>IF($G400="","",IF(AND($G400&gt;=30,$AT$3&lt;=CC$7),ROUND(CC400*($AP$3+#REF!),-1),""))</f>
        <v/>
      </c>
      <c r="CE400" s="503" t="s">
        <v>621</v>
      </c>
      <c r="CF400" s="503" t="str">
        <f>IF($G400="","",IF(AND($G400&gt;=30,$AT$3&lt;=CE$7),ROUND(CE400*($AP$3+#REF!),-1),""))</f>
        <v/>
      </c>
      <c r="CG400" s="503" t="s">
        <v>621</v>
      </c>
      <c r="CH400" s="503" t="str">
        <f>IF($G400="","",IF(AND($G400&gt;=30,$AT$3&lt;=CG$7),ROUND(CG400*($AP$3+#REF!),-1),""))</f>
        <v/>
      </c>
      <c r="CI400" s="503" t="s">
        <v>621</v>
      </c>
      <c r="CJ400" s="503" t="str">
        <f>IF($G400="","",IF(AND($G400&gt;=30,$AT$3&lt;=CI$7),ROUND(CI400*($AP$3+#REF!),-1),""))</f>
        <v/>
      </c>
      <c r="CK400" s="503" t="s">
        <v>621</v>
      </c>
      <c r="CL400" s="503" t="str">
        <f>IF($G400="","",IF(AND($G400&gt;=30,$AT$3&lt;=CK$7),ROUND(CK400*($AP$3+#REF!),-1),""))</f>
        <v/>
      </c>
      <c r="CM400" s="503" t="s">
        <v>621</v>
      </c>
      <c r="CN400" s="503" t="str">
        <f>IF($G400="","",IF(AND($G400&gt;=30,$AT$3&lt;=CM$7),ROUND(CM400*($AP$3+#REF!),-1),""))</f>
        <v/>
      </c>
      <c r="CO400" s="503" t="s">
        <v>621</v>
      </c>
      <c r="CP400" s="503" t="str">
        <f>IF($G400="","",IF(AND($G400&gt;=30,$AT$3&lt;=CO$7),ROUND(CO400*($AP$3+#REF!),-1),""))</f>
        <v/>
      </c>
      <c r="CQ400" s="503" t="s">
        <v>621</v>
      </c>
      <c r="CR400" s="503" t="str">
        <f>IF($G400="","",IF(AND($G400&gt;=30,$AT$3&lt;=CQ$7),ROUND(CQ400*($AP$3+#REF!),-1),""))</f>
        <v/>
      </c>
      <c r="CS400" s="517" t="e">
        <v>#REF!</v>
      </c>
      <c r="CT400" s="503" t="str">
        <f>IF($G400="","",IF(AND($G400&gt;=30,$AT$3&lt;=CS$7),ROUND(CS400*($AP$3+#REF!),-1),""))</f>
        <v/>
      </c>
      <c r="CU400" s="517"/>
      <c r="CV400" s="503" t="str">
        <f>IF($G400="","",IF(AND($G400&gt;=30,$AT$3&lt;=CU$7),ROUND(CU400*($AP$3+#REF!),-1),""))</f>
        <v/>
      </c>
      <c r="CW400" s="517"/>
      <c r="CX400" s="503" t="str">
        <f>IF($G400="","",IF(AND($G400&gt;=30,$AT$3&lt;=CW$7),ROUND(CW400*($AP$3+#REF!),-1),""))</f>
        <v/>
      </c>
      <c r="CY400" s="517"/>
      <c r="CZ400" s="503" t="str">
        <f>IF($G400="","",IF(AND($G400&gt;=30,$AT$3&lt;=CY$7),ROUND(CY400*($AP$3+#REF!),-1),""))</f>
        <v/>
      </c>
      <c r="DA400" s="517"/>
      <c r="DB400" s="503" t="str">
        <f>IF($G400="","",IF(AND($G400&gt;=30,$AT$3&lt;=DA$7),ROUND(DA400*($AP$3+#REF!),-1),""))</f>
        <v/>
      </c>
      <c r="DC400" s="517"/>
      <c r="DD400" s="503" t="str">
        <f>IF($G400="","",IF(AND($G400&gt;=30,$AT$3&lt;=DC$7),ROUND(DC400*($AP$3+#REF!),-1),""))</f>
        <v/>
      </c>
      <c r="DE400" s="517"/>
      <c r="DF400" s="503" t="str">
        <f>IF($G400="","",IF(AND($G400&gt;=30,$AT$3&lt;=DE$7),ROUND(DE400*($AP$3+#REF!),-1),""))</f>
        <v/>
      </c>
      <c r="DG400" s="517"/>
      <c r="DH400" s="503" t="str">
        <f>IF($G400="","",IF(AND($G400&gt;=30,$AT$3&lt;=DG$7),ROUND(DG400*($AP$3+#REF!),-1),""))</f>
        <v/>
      </c>
      <c r="DI400" s="517"/>
      <c r="DJ400" s="503" t="str">
        <f>IF($G400="","",IF(AND($G400&gt;=30,$AT$3&lt;=DI$7),ROUND(DI400*($AP$3+#REF!),-1),""))</f>
        <v/>
      </c>
      <c r="DK400" s="517"/>
      <c r="DL400" s="503" t="str">
        <f>IF($G400="","",IF(AND($G400&gt;=30,$AT$3&lt;=DK$7),ROUND(DK400*($AP$3+#REF!),-1),""))</f>
        <v/>
      </c>
      <c r="DM400" s="517"/>
      <c r="DN400" s="503" t="str">
        <f>IF($G400="","",IF(AND($G400&gt;=30,$AT$3&lt;=DM$7),ROUND(DM400*($AP$3+#REF!),-1),""))</f>
        <v/>
      </c>
      <c r="DO400" s="517"/>
      <c r="DP400" s="503" t="str">
        <f>IF($G400="","",IF(AND($G400&gt;=30,$AT$3&lt;=DO$7),ROUND(DO400*($AP$3+#REF!),-1),""))</f>
        <v/>
      </c>
      <c r="DQ400" s="517"/>
      <c r="DR400" s="503" t="str">
        <f>IF($G400="","",IF(AND($G400&gt;=30,$AT$3&lt;=DQ$7),ROUND(DQ400*($AP$3+#REF!),-1),""))</f>
        <v/>
      </c>
      <c r="DS400" s="517"/>
      <c r="DT400" s="503" t="str">
        <f>IF($G400="","",IF(AND($G400&gt;=30,$AT$3&lt;=DS$7),ROUND(DS400*($AP$3+#REF!),-1),""))</f>
        <v/>
      </c>
      <c r="DU400" s="517"/>
      <c r="DV400" s="503" t="str">
        <f>IF($G400="","",IF(AND($G400&gt;=30,$AT$3&lt;=DU$7),ROUND(DU400*($AP$3+#REF!),-1),""))</f>
        <v/>
      </c>
      <c r="DW400" s="517"/>
      <c r="DX400" s="503" t="str">
        <f>IF($G400="","",IF(AND($G400&gt;=30,$AT$3&lt;=DW$7),ROUND(DW400*($AP$3+#REF!),-1),""))</f>
        <v/>
      </c>
      <c r="DY400" s="517"/>
      <c r="DZ400" s="503" t="str">
        <f>IF($G400="","",IF(AND($G400&gt;=30,$AT$3&lt;=DY$7),ROUND(DY400*($AP$3+#REF!),-1),""))</f>
        <v/>
      </c>
      <c r="EA400" s="517"/>
      <c r="EB400" s="503" t="str">
        <f>IF($G400="","",IF(AND($G400&gt;=30,$AT$3&lt;=EA$7),ROUND(EA400*($AP$3+#REF!),-1),""))</f>
        <v/>
      </c>
      <c r="EC400" s="504" t="s">
        <v>621</v>
      </c>
      <c r="ED400" s="1124"/>
      <c r="EE400" s="325">
        <v>8</v>
      </c>
    </row>
    <row r="401" spans="1:135" ht="9.75" customHeight="1">
      <c r="A401" s="321" t="str">
        <f t="shared" si="96"/>
        <v/>
      </c>
      <c r="B401" s="567">
        <f>(ii!$D$13*12+V401)+1</f>
        <v>295</v>
      </c>
      <c r="C401" s="337">
        <f t="shared" si="100"/>
        <v>54331</v>
      </c>
      <c r="D401" s="484">
        <f t="shared" si="89"/>
        <v>2048</v>
      </c>
      <c r="E401" s="484">
        <f t="shared" si="101"/>
        <v>0.75</v>
      </c>
      <c r="F401" s="484">
        <f t="shared" si="90"/>
        <v>2048.75</v>
      </c>
      <c r="G401" s="485" t="str">
        <f>IF(OR(C401&lt;$I$2,C401&gt;$J$3),"",(ii!$D$13*12+V401+1)/12)</f>
        <v/>
      </c>
      <c r="H401" s="486"/>
      <c r="I401" s="486"/>
      <c r="J401" s="487"/>
      <c r="K401" s="488"/>
      <c r="L401" s="548"/>
      <c r="M401" s="489" t="str">
        <f t="shared" si="91"/>
        <v/>
      </c>
      <c r="N401" s="490" t="s">
        <v>621</v>
      </c>
      <c r="O401" s="490" t="str">
        <f t="shared" si="98"/>
        <v/>
      </c>
      <c r="P401" s="491"/>
      <c r="Q401" s="491"/>
      <c r="R401" s="491" t="str">
        <f t="shared" si="99"/>
        <v/>
      </c>
      <c r="S401" s="528" t="str">
        <f t="shared" si="97"/>
        <v/>
      </c>
      <c r="T401" s="528" t="str">
        <f t="shared" si="95"/>
        <v/>
      </c>
      <c r="U401" s="493" t="str">
        <f>IF(H401="","",#REF!*12+#REF!+#REF!*12+#REF!)</f>
        <v/>
      </c>
      <c r="V401" s="338">
        <f>IF(ii!$J$3&gt;gg!C401,"",IF(AND((YEAR(C401)=YEAR($I$2)),MONTH(C401)=MONTH($I$2)),ii!$B$14*12+ii!$C$14+ii!$B$15*12+ii!$C$15-1,V400+1))</f>
        <v>294</v>
      </c>
      <c r="W401" s="339">
        <f t="shared" si="88"/>
        <v>24.5</v>
      </c>
      <c r="X401" s="494" t="s">
        <v>621</v>
      </c>
      <c r="Y401" s="495" t="s">
        <v>621</v>
      </c>
      <c r="Z401" s="496"/>
      <c r="AA401" s="497"/>
      <c r="AB401" s="498" t="e">
        <f t="shared" si="94"/>
        <v>#VALUE!</v>
      </c>
      <c r="AC401" s="484" t="str">
        <f t="shared" si="92"/>
        <v/>
      </c>
      <c r="AD401" s="495" t="str">
        <f t="shared" si="93"/>
        <v/>
      </c>
      <c r="AE401" s="499" t="s">
        <v>621</v>
      </c>
      <c r="AF401" s="500" t="s">
        <v>621</v>
      </c>
      <c r="AG401" s="556" t="s">
        <v>621</v>
      </c>
      <c r="AH401" s="503" t="str">
        <f>IF($G401="","",IF(AND($G401&gt;=30,$AT$3&lt;=AG$7),ROUND(AG401*($AP$3+#REF!),-1),""))</f>
        <v/>
      </c>
      <c r="AI401" s="506" t="s">
        <v>621</v>
      </c>
      <c r="AJ401" s="503" t="str">
        <f>IF($G401="","",IF(AND($G401&gt;=30,$AT$3&lt;=AI$7),ROUND(AI401*($AP$3+#REF!),-1),""))</f>
        <v/>
      </c>
      <c r="AK401" s="506" t="s">
        <v>621</v>
      </c>
      <c r="AL401" s="503" t="str">
        <f>IF($G401="","",IF(AND($G401&gt;=30,$AT$3&lt;=AK$7),ROUND(AK401*($AP$3+#REF!),-1),""))</f>
        <v/>
      </c>
      <c r="AM401" s="506" t="s">
        <v>621</v>
      </c>
      <c r="AN401" s="503" t="str">
        <f>IF($G401="","",IF(AND($G401&gt;=30,$AT$3&lt;=AM$7),ROUND(AM401*($AP$3+#REF!),-1),""))</f>
        <v/>
      </c>
      <c r="AO401" s="503" t="e">
        <v>#REF!</v>
      </c>
      <c r="AP401" s="503" t="str">
        <f>IF($G401="","",IF(AND($G401&gt;=30,$AT$3&lt;=AO$7),ROUND(AO401*($AP$3+#REF!),-1),""))</f>
        <v/>
      </c>
      <c r="AQ401" s="503" t="s">
        <v>621</v>
      </c>
      <c r="AR401" s="503" t="str">
        <f>IF($G401="","",IF(AND($G401&gt;=30,$AT$3&lt;=AQ$7),ROUND(AQ401*($AP$3+#REF!),-1),""))</f>
        <v/>
      </c>
      <c r="AS401" s="503" t="s">
        <v>621</v>
      </c>
      <c r="AT401" s="503" t="str">
        <f>IF($G401="","",IF(AND($G401&gt;=30,$AT$3&lt;=AS$7),ROUND(AS401*($AP$3+#REF!),-1),""))</f>
        <v/>
      </c>
      <c r="AU401" s="503" t="s">
        <v>621</v>
      </c>
      <c r="AV401" s="503" t="str">
        <f>IF($G401="","",IF(AND($G401&gt;=30,$AT$3&lt;=AU$7),ROUND(AU401*($AP$3+#REF!),-1),""))</f>
        <v/>
      </c>
      <c r="AW401" s="503" t="s">
        <v>621</v>
      </c>
      <c r="AX401" s="503" t="str">
        <f>IF($G401="","",IF(AND($G401&gt;=30,$AT$3&lt;=AW$7),ROUND(AW401*($AP$3+#REF!),-1),""))</f>
        <v/>
      </c>
      <c r="AY401" s="503" t="s">
        <v>621</v>
      </c>
      <c r="AZ401" s="503" t="str">
        <f>IF($G401="","",IF(AND($G401&gt;=30,$AT$3&lt;=AY$7),ROUND(AY401*($AP$3+#REF!),-1),""))</f>
        <v/>
      </c>
      <c r="BA401" s="503" t="s">
        <v>621</v>
      </c>
      <c r="BB401" s="503" t="str">
        <f>IF($G401="","",IF(AND($G401&gt;=30,$AT$3&lt;=BA$7),ROUND(BA401*($AP$3+#REF!),-1),""))</f>
        <v/>
      </c>
      <c r="BC401" s="503" t="s">
        <v>621</v>
      </c>
      <c r="BD401" s="503" t="str">
        <f>IF($G401="","",IF(AND($G401&gt;=30,$AT$3&lt;=BC$7),ROUND(BC401*($AP$3+#REF!),-1),""))</f>
        <v/>
      </c>
      <c r="BE401" s="503" t="s">
        <v>621</v>
      </c>
      <c r="BF401" s="503" t="str">
        <f>IF($G401="","",IF(AND($G401&gt;=30,$AT$3&lt;=BE$7),ROUND(BE401*($AP$3+#REF!),-1),""))</f>
        <v/>
      </c>
      <c r="BG401" s="503" t="s">
        <v>621</v>
      </c>
      <c r="BH401" s="503" t="str">
        <f>IF($G401="","",IF(AND($G401&gt;=30,$AT$3&lt;=BG$7),ROUND(BG401*($AP$3+#REF!),-1),""))</f>
        <v/>
      </c>
      <c r="BI401" s="503" t="s">
        <v>621</v>
      </c>
      <c r="BJ401" s="503" t="str">
        <f>IF($G401="","",IF(AND($G401&gt;=30,$AT$3&lt;=BI$7),ROUND(BI401*($AP$3+#REF!),-1),""))</f>
        <v/>
      </c>
      <c r="BK401" s="503" t="s">
        <v>621</v>
      </c>
      <c r="BL401" s="503" t="str">
        <f>IF($G401="","",IF(AND($G401&gt;=30,$AT$3&lt;=BK$7),ROUND(BK401*($AP$3+#REF!),-1),""))</f>
        <v/>
      </c>
      <c r="BM401" s="503" t="s">
        <v>621</v>
      </c>
      <c r="BN401" s="503" t="str">
        <f>IF($G401="","",IF(AND($G401&gt;=30,$AT$3&lt;=BM$7),ROUND(BM401*($AP$3+#REF!),-1),""))</f>
        <v/>
      </c>
      <c r="BO401" s="503" t="s">
        <v>621</v>
      </c>
      <c r="BP401" s="503" t="str">
        <f>IF($G401="","",IF(AND($G401&gt;=30,$AT$3&lt;=BO$7),ROUND(BO401*($AP$3+#REF!),-1),""))</f>
        <v/>
      </c>
      <c r="BQ401" s="503" t="s">
        <v>621</v>
      </c>
      <c r="BR401" s="503" t="str">
        <f>IF($G401="","",IF(AND($G401&gt;=30,$AT$3&lt;=BQ$7),ROUND(BQ401*($AP$3+#REF!),-1),""))</f>
        <v/>
      </c>
      <c r="BS401" s="503" t="s">
        <v>621</v>
      </c>
      <c r="BT401" s="503" t="str">
        <f>IF($G401="","",IF(AND($G401&gt;=30,$AT$3&lt;=BS$7),ROUND(BS401*($AP$3+#REF!),-1),""))</f>
        <v/>
      </c>
      <c r="BU401" s="503" t="s">
        <v>621</v>
      </c>
      <c r="BV401" s="503" t="str">
        <f>IF($G401="","",IF(AND($G401&gt;=30,$AT$3&lt;=BU$7),ROUND(BU401*($AP$3+#REF!),-1),""))</f>
        <v/>
      </c>
      <c r="BW401" s="503" t="s">
        <v>621</v>
      </c>
      <c r="BX401" s="503" t="str">
        <f>IF($G401="","",IF(AND($G401&gt;=30,$AT$3&lt;=BW$7),ROUND(BW401*($AP$3+#REF!),-1),""))</f>
        <v/>
      </c>
      <c r="BY401" s="503" t="s">
        <v>621</v>
      </c>
      <c r="BZ401" s="503" t="str">
        <f>IF($G401="","",IF(AND($G401&gt;=30,$AT$3&lt;=BY$7),ROUND(BY401*($AP$3+#REF!),-1),""))</f>
        <v/>
      </c>
      <c r="CA401" s="503" t="s">
        <v>621</v>
      </c>
      <c r="CB401" s="503" t="str">
        <f>IF($G401="","",IF(AND($G401&gt;=30,$AT$3&lt;=CA$7),ROUND(CA401*($AP$3+#REF!),-1),""))</f>
        <v/>
      </c>
      <c r="CC401" s="503" t="s">
        <v>621</v>
      </c>
      <c r="CD401" s="503" t="str">
        <f>IF($G401="","",IF(AND($G401&gt;=30,$AT$3&lt;=CC$7),ROUND(CC401*($AP$3+#REF!),-1),""))</f>
        <v/>
      </c>
      <c r="CE401" s="503" t="s">
        <v>621</v>
      </c>
      <c r="CF401" s="503" t="str">
        <f>IF($G401="","",IF(AND($G401&gt;=30,$AT$3&lt;=CE$7),ROUND(CE401*($AP$3+#REF!),-1),""))</f>
        <v/>
      </c>
      <c r="CG401" s="503" t="s">
        <v>621</v>
      </c>
      <c r="CH401" s="503" t="str">
        <f>IF($G401="","",IF(AND($G401&gt;=30,$AT$3&lt;=CG$7),ROUND(CG401*($AP$3+#REF!),-1),""))</f>
        <v/>
      </c>
      <c r="CI401" s="503" t="s">
        <v>621</v>
      </c>
      <c r="CJ401" s="503" t="str">
        <f>IF($G401="","",IF(AND($G401&gt;=30,$AT$3&lt;=CI$7),ROUND(CI401*($AP$3+#REF!),-1),""))</f>
        <v/>
      </c>
      <c r="CK401" s="503" t="s">
        <v>621</v>
      </c>
      <c r="CL401" s="503" t="str">
        <f>IF($G401="","",IF(AND($G401&gt;=30,$AT$3&lt;=CK$7),ROUND(CK401*($AP$3+#REF!),-1),""))</f>
        <v/>
      </c>
      <c r="CM401" s="503" t="s">
        <v>621</v>
      </c>
      <c r="CN401" s="503" t="str">
        <f>IF($G401="","",IF(AND($G401&gt;=30,$AT$3&lt;=CM$7),ROUND(CM401*($AP$3+#REF!),-1),""))</f>
        <v/>
      </c>
      <c r="CO401" s="503" t="s">
        <v>621</v>
      </c>
      <c r="CP401" s="503" t="str">
        <f>IF($G401="","",IF(AND($G401&gt;=30,$AT$3&lt;=CO$7),ROUND(CO401*($AP$3+#REF!),-1),""))</f>
        <v/>
      </c>
      <c r="CQ401" s="503" t="s">
        <v>621</v>
      </c>
      <c r="CR401" s="503" t="str">
        <f>IF($G401="","",IF(AND($G401&gt;=30,$AT$3&lt;=CQ$7),ROUND(CQ401*($AP$3+#REF!),-1),""))</f>
        <v/>
      </c>
      <c r="CS401" s="517" t="e">
        <v>#REF!</v>
      </c>
      <c r="CT401" s="503" t="str">
        <f>IF($G401="","",IF(AND($G401&gt;=30,$AT$3&lt;=CS$7),ROUND(CS401*($AP$3+#REF!),-1),""))</f>
        <v/>
      </c>
      <c r="CU401" s="517"/>
      <c r="CV401" s="503" t="str">
        <f>IF($G401="","",IF(AND($G401&gt;=30,$AT$3&lt;=CU$7),ROUND(CU401*($AP$3+#REF!),-1),""))</f>
        <v/>
      </c>
      <c r="CW401" s="517"/>
      <c r="CX401" s="503" t="str">
        <f>IF($G401="","",IF(AND($G401&gt;=30,$AT$3&lt;=CW$7),ROUND(CW401*($AP$3+#REF!),-1),""))</f>
        <v/>
      </c>
      <c r="CY401" s="517"/>
      <c r="CZ401" s="503" t="str">
        <f>IF($G401="","",IF(AND($G401&gt;=30,$AT$3&lt;=CY$7),ROUND(CY401*($AP$3+#REF!),-1),""))</f>
        <v/>
      </c>
      <c r="DA401" s="517"/>
      <c r="DB401" s="503" t="str">
        <f>IF($G401="","",IF(AND($G401&gt;=30,$AT$3&lt;=DA$7),ROUND(DA401*($AP$3+#REF!),-1),""))</f>
        <v/>
      </c>
      <c r="DC401" s="517"/>
      <c r="DD401" s="503" t="str">
        <f>IF($G401="","",IF(AND($G401&gt;=30,$AT$3&lt;=DC$7),ROUND(DC401*($AP$3+#REF!),-1),""))</f>
        <v/>
      </c>
      <c r="DE401" s="517"/>
      <c r="DF401" s="503" t="str">
        <f>IF($G401="","",IF(AND($G401&gt;=30,$AT$3&lt;=DE$7),ROUND(DE401*($AP$3+#REF!),-1),""))</f>
        <v/>
      </c>
      <c r="DG401" s="517"/>
      <c r="DH401" s="503" t="str">
        <f>IF($G401="","",IF(AND($G401&gt;=30,$AT$3&lt;=DG$7),ROUND(DG401*($AP$3+#REF!),-1),""))</f>
        <v/>
      </c>
      <c r="DI401" s="517"/>
      <c r="DJ401" s="503" t="str">
        <f>IF($G401="","",IF(AND($G401&gt;=30,$AT$3&lt;=DI$7),ROUND(DI401*($AP$3+#REF!),-1),""))</f>
        <v/>
      </c>
      <c r="DK401" s="517"/>
      <c r="DL401" s="503" t="str">
        <f>IF($G401="","",IF(AND($G401&gt;=30,$AT$3&lt;=DK$7),ROUND(DK401*($AP$3+#REF!),-1),""))</f>
        <v/>
      </c>
      <c r="DM401" s="517"/>
      <c r="DN401" s="503" t="str">
        <f>IF($G401="","",IF(AND($G401&gt;=30,$AT$3&lt;=DM$7),ROUND(DM401*($AP$3+#REF!),-1),""))</f>
        <v/>
      </c>
      <c r="DO401" s="517"/>
      <c r="DP401" s="503" t="str">
        <f>IF($G401="","",IF(AND($G401&gt;=30,$AT$3&lt;=DO$7),ROUND(DO401*($AP$3+#REF!),-1),""))</f>
        <v/>
      </c>
      <c r="DQ401" s="517"/>
      <c r="DR401" s="503" t="str">
        <f>IF($G401="","",IF(AND($G401&gt;=30,$AT$3&lt;=DQ$7),ROUND(DQ401*($AP$3+#REF!),-1),""))</f>
        <v/>
      </c>
      <c r="DS401" s="517"/>
      <c r="DT401" s="503" t="str">
        <f>IF($G401="","",IF(AND($G401&gt;=30,$AT$3&lt;=DS$7),ROUND(DS401*($AP$3+#REF!),-1),""))</f>
        <v/>
      </c>
      <c r="DU401" s="517"/>
      <c r="DV401" s="503" t="str">
        <f>IF($G401="","",IF(AND($G401&gt;=30,$AT$3&lt;=DU$7),ROUND(DU401*($AP$3+#REF!),-1),""))</f>
        <v/>
      </c>
      <c r="DW401" s="517"/>
      <c r="DX401" s="503" t="str">
        <f>IF($G401="","",IF(AND($G401&gt;=30,$AT$3&lt;=DW$7),ROUND(DW401*($AP$3+#REF!),-1),""))</f>
        <v/>
      </c>
      <c r="DY401" s="517"/>
      <c r="DZ401" s="503" t="str">
        <f>IF($G401="","",IF(AND($G401&gt;=30,$AT$3&lt;=DY$7),ROUND(DY401*($AP$3+#REF!),-1),""))</f>
        <v/>
      </c>
      <c r="EA401" s="517"/>
      <c r="EB401" s="503" t="str">
        <f>IF($G401="","",IF(AND($G401&gt;=30,$AT$3&lt;=EA$7),ROUND(EA401*($AP$3+#REF!),-1),""))</f>
        <v/>
      </c>
      <c r="EC401" s="504" t="s">
        <v>621</v>
      </c>
      <c r="ED401" s="1124"/>
      <c r="EE401" s="325">
        <v>9</v>
      </c>
    </row>
    <row r="402" spans="1:135" ht="9.75" customHeight="1">
      <c r="A402" s="321" t="str">
        <f t="shared" si="96"/>
        <v/>
      </c>
      <c r="B402" s="567">
        <f>(ii!$D$13*12+V402)+1</f>
        <v>296</v>
      </c>
      <c r="C402" s="337">
        <f t="shared" si="100"/>
        <v>54362</v>
      </c>
      <c r="D402" s="484">
        <f t="shared" si="89"/>
        <v>2048</v>
      </c>
      <c r="E402" s="484">
        <f t="shared" si="101"/>
        <v>0.83333333333333337</v>
      </c>
      <c r="F402" s="484">
        <f t="shared" si="90"/>
        <v>2048.8333333333335</v>
      </c>
      <c r="G402" s="485" t="str">
        <f>IF(OR(C402&lt;$I$2,C402&gt;$J$3),"",(ii!$D$13*12+V402+1)/12)</f>
        <v/>
      </c>
      <c r="H402" s="486"/>
      <c r="I402" s="486"/>
      <c r="J402" s="487"/>
      <c r="K402" s="488"/>
      <c r="L402" s="548"/>
      <c r="M402" s="489" t="str">
        <f t="shared" si="91"/>
        <v/>
      </c>
      <c r="N402" s="490" t="s">
        <v>621</v>
      </c>
      <c r="O402" s="490" t="str">
        <f t="shared" si="98"/>
        <v/>
      </c>
      <c r="P402" s="491"/>
      <c r="Q402" s="491"/>
      <c r="R402" s="491" t="str">
        <f t="shared" si="99"/>
        <v/>
      </c>
      <c r="S402" s="528" t="str">
        <f t="shared" si="97"/>
        <v/>
      </c>
      <c r="T402" s="528" t="str">
        <f t="shared" si="95"/>
        <v/>
      </c>
      <c r="U402" s="493" t="str">
        <f>IF(H402="","",#REF!*12+#REF!+#REF!*12+#REF!)</f>
        <v/>
      </c>
      <c r="V402" s="338">
        <f>IF(ii!$J$3&gt;gg!C402,"",IF(AND((YEAR(C402)=YEAR($I$2)),MONTH(C402)=MONTH($I$2)),ii!$B$14*12+ii!$C$14+ii!$B$15*12+ii!$C$15-1,V401+1))</f>
        <v>295</v>
      </c>
      <c r="W402" s="339">
        <f t="shared" si="88"/>
        <v>24.583333333333332</v>
      </c>
      <c r="X402" s="494" t="s">
        <v>621</v>
      </c>
      <c r="Y402" s="495" t="s">
        <v>621</v>
      </c>
      <c r="Z402" s="496"/>
      <c r="AA402" s="497"/>
      <c r="AB402" s="498" t="e">
        <f t="shared" si="94"/>
        <v>#VALUE!</v>
      </c>
      <c r="AC402" s="484" t="str">
        <f t="shared" si="92"/>
        <v/>
      </c>
      <c r="AD402" s="495" t="str">
        <f t="shared" si="93"/>
        <v/>
      </c>
      <c r="AE402" s="499" t="s">
        <v>621</v>
      </c>
      <c r="AF402" s="500" t="s">
        <v>621</v>
      </c>
      <c r="AG402" s="556" t="s">
        <v>621</v>
      </c>
      <c r="AH402" s="503" t="str">
        <f>IF($G402="","",IF(AND($G402&gt;=30,$AT$3&lt;=AG$7),ROUND(AG402*($AP$3+#REF!),-1),""))</f>
        <v/>
      </c>
      <c r="AI402" s="506" t="s">
        <v>621</v>
      </c>
      <c r="AJ402" s="503" t="str">
        <f>IF($G402="","",IF(AND($G402&gt;=30,$AT$3&lt;=AI$7),ROUND(AI402*($AP$3+#REF!),-1),""))</f>
        <v/>
      </c>
      <c r="AK402" s="506" t="s">
        <v>621</v>
      </c>
      <c r="AL402" s="503" t="str">
        <f>IF($G402="","",IF(AND($G402&gt;=30,$AT$3&lt;=AK$7),ROUND(AK402*($AP$3+#REF!),-1),""))</f>
        <v/>
      </c>
      <c r="AM402" s="506" t="s">
        <v>621</v>
      </c>
      <c r="AN402" s="503" t="str">
        <f>IF($G402="","",IF(AND($G402&gt;=30,$AT$3&lt;=AM$7),ROUND(AM402*($AP$3+#REF!),-1),""))</f>
        <v/>
      </c>
      <c r="AO402" s="503" t="e">
        <v>#REF!</v>
      </c>
      <c r="AP402" s="503" t="str">
        <f>IF($G402="","",IF(AND($G402&gt;=30,$AT$3&lt;=AO$7),ROUND(AO402*($AP$3+#REF!),-1),""))</f>
        <v/>
      </c>
      <c r="AQ402" s="503" t="s">
        <v>621</v>
      </c>
      <c r="AR402" s="503" t="str">
        <f>IF($G402="","",IF(AND($G402&gt;=30,$AT$3&lt;=AQ$7),ROUND(AQ402*($AP$3+#REF!),-1),""))</f>
        <v/>
      </c>
      <c r="AS402" s="503" t="s">
        <v>621</v>
      </c>
      <c r="AT402" s="503" t="str">
        <f>IF($G402="","",IF(AND($G402&gt;=30,$AT$3&lt;=AS$7),ROUND(AS402*($AP$3+#REF!),-1),""))</f>
        <v/>
      </c>
      <c r="AU402" s="503" t="s">
        <v>621</v>
      </c>
      <c r="AV402" s="503" t="str">
        <f>IF($G402="","",IF(AND($G402&gt;=30,$AT$3&lt;=AU$7),ROUND(AU402*($AP$3+#REF!),-1),""))</f>
        <v/>
      </c>
      <c r="AW402" s="503" t="s">
        <v>621</v>
      </c>
      <c r="AX402" s="503" t="str">
        <f>IF($G402="","",IF(AND($G402&gt;=30,$AT$3&lt;=AW$7),ROUND(AW402*($AP$3+#REF!),-1),""))</f>
        <v/>
      </c>
      <c r="AY402" s="503" t="s">
        <v>621</v>
      </c>
      <c r="AZ402" s="503" t="str">
        <f>IF($G402="","",IF(AND($G402&gt;=30,$AT$3&lt;=AY$7),ROUND(AY402*($AP$3+#REF!),-1),""))</f>
        <v/>
      </c>
      <c r="BA402" s="503" t="s">
        <v>621</v>
      </c>
      <c r="BB402" s="503" t="str">
        <f>IF($G402="","",IF(AND($G402&gt;=30,$AT$3&lt;=BA$7),ROUND(BA402*($AP$3+#REF!),-1),""))</f>
        <v/>
      </c>
      <c r="BC402" s="503" t="s">
        <v>621</v>
      </c>
      <c r="BD402" s="503" t="str">
        <f>IF($G402="","",IF(AND($G402&gt;=30,$AT$3&lt;=BC$7),ROUND(BC402*($AP$3+#REF!),-1),""))</f>
        <v/>
      </c>
      <c r="BE402" s="503" t="s">
        <v>621</v>
      </c>
      <c r="BF402" s="503" t="str">
        <f>IF($G402="","",IF(AND($G402&gt;=30,$AT$3&lt;=BE$7),ROUND(BE402*($AP$3+#REF!),-1),""))</f>
        <v/>
      </c>
      <c r="BG402" s="503" t="s">
        <v>621</v>
      </c>
      <c r="BH402" s="503" t="str">
        <f>IF($G402="","",IF(AND($G402&gt;=30,$AT$3&lt;=BG$7),ROUND(BG402*($AP$3+#REF!),-1),""))</f>
        <v/>
      </c>
      <c r="BI402" s="503" t="s">
        <v>621</v>
      </c>
      <c r="BJ402" s="503" t="str">
        <f>IF($G402="","",IF(AND($G402&gt;=30,$AT$3&lt;=BI$7),ROUND(BI402*($AP$3+#REF!),-1),""))</f>
        <v/>
      </c>
      <c r="BK402" s="503" t="s">
        <v>621</v>
      </c>
      <c r="BL402" s="503" t="str">
        <f>IF($G402="","",IF(AND($G402&gt;=30,$AT$3&lt;=BK$7),ROUND(BK402*($AP$3+#REF!),-1),""))</f>
        <v/>
      </c>
      <c r="BM402" s="503" t="s">
        <v>621</v>
      </c>
      <c r="BN402" s="503" t="str">
        <f>IF($G402="","",IF(AND($G402&gt;=30,$AT$3&lt;=BM$7),ROUND(BM402*($AP$3+#REF!),-1),""))</f>
        <v/>
      </c>
      <c r="BO402" s="503" t="s">
        <v>621</v>
      </c>
      <c r="BP402" s="503" t="str">
        <f>IF($G402="","",IF(AND($G402&gt;=30,$AT$3&lt;=BO$7),ROUND(BO402*($AP$3+#REF!),-1),""))</f>
        <v/>
      </c>
      <c r="BQ402" s="503" t="s">
        <v>621</v>
      </c>
      <c r="BR402" s="503" t="str">
        <f>IF($G402="","",IF(AND($G402&gt;=30,$AT$3&lt;=BQ$7),ROUND(BQ402*($AP$3+#REF!),-1),""))</f>
        <v/>
      </c>
      <c r="BS402" s="503" t="s">
        <v>621</v>
      </c>
      <c r="BT402" s="503" t="str">
        <f>IF($G402="","",IF(AND($G402&gt;=30,$AT$3&lt;=BS$7),ROUND(BS402*($AP$3+#REF!),-1),""))</f>
        <v/>
      </c>
      <c r="BU402" s="503" t="s">
        <v>621</v>
      </c>
      <c r="BV402" s="503" t="str">
        <f>IF($G402="","",IF(AND($G402&gt;=30,$AT$3&lt;=BU$7),ROUND(BU402*($AP$3+#REF!),-1),""))</f>
        <v/>
      </c>
      <c r="BW402" s="503" t="s">
        <v>621</v>
      </c>
      <c r="BX402" s="503" t="str">
        <f>IF($G402="","",IF(AND($G402&gt;=30,$AT$3&lt;=BW$7),ROUND(BW402*($AP$3+#REF!),-1),""))</f>
        <v/>
      </c>
      <c r="BY402" s="503" t="s">
        <v>621</v>
      </c>
      <c r="BZ402" s="503" t="str">
        <f>IF($G402="","",IF(AND($G402&gt;=30,$AT$3&lt;=BY$7),ROUND(BY402*($AP$3+#REF!),-1),""))</f>
        <v/>
      </c>
      <c r="CA402" s="503" t="s">
        <v>621</v>
      </c>
      <c r="CB402" s="503" t="str">
        <f>IF($G402="","",IF(AND($G402&gt;=30,$AT$3&lt;=CA$7),ROUND(CA402*($AP$3+#REF!),-1),""))</f>
        <v/>
      </c>
      <c r="CC402" s="503" t="s">
        <v>621</v>
      </c>
      <c r="CD402" s="503" t="str">
        <f>IF($G402="","",IF(AND($G402&gt;=30,$AT$3&lt;=CC$7),ROUND(CC402*($AP$3+#REF!),-1),""))</f>
        <v/>
      </c>
      <c r="CE402" s="503" t="s">
        <v>621</v>
      </c>
      <c r="CF402" s="503" t="str">
        <f>IF($G402="","",IF(AND($G402&gt;=30,$AT$3&lt;=CE$7),ROUND(CE402*($AP$3+#REF!),-1),""))</f>
        <v/>
      </c>
      <c r="CG402" s="503" t="s">
        <v>621</v>
      </c>
      <c r="CH402" s="503" t="str">
        <f>IF($G402="","",IF(AND($G402&gt;=30,$AT$3&lt;=CG$7),ROUND(CG402*($AP$3+#REF!),-1),""))</f>
        <v/>
      </c>
      <c r="CI402" s="503" t="s">
        <v>621</v>
      </c>
      <c r="CJ402" s="503" t="str">
        <f>IF($G402="","",IF(AND($G402&gt;=30,$AT$3&lt;=CI$7),ROUND(CI402*($AP$3+#REF!),-1),""))</f>
        <v/>
      </c>
      <c r="CK402" s="503" t="s">
        <v>621</v>
      </c>
      <c r="CL402" s="503" t="str">
        <f>IF($G402="","",IF(AND($G402&gt;=30,$AT$3&lt;=CK$7),ROUND(CK402*($AP$3+#REF!),-1),""))</f>
        <v/>
      </c>
      <c r="CM402" s="503" t="s">
        <v>621</v>
      </c>
      <c r="CN402" s="503" t="str">
        <f>IF($G402="","",IF(AND($G402&gt;=30,$AT$3&lt;=CM$7),ROUND(CM402*($AP$3+#REF!),-1),""))</f>
        <v/>
      </c>
      <c r="CO402" s="503" t="s">
        <v>621</v>
      </c>
      <c r="CP402" s="503" t="str">
        <f>IF($G402="","",IF(AND($G402&gt;=30,$AT$3&lt;=CO$7),ROUND(CO402*($AP$3+#REF!),-1),""))</f>
        <v/>
      </c>
      <c r="CQ402" s="503" t="s">
        <v>621</v>
      </c>
      <c r="CR402" s="503" t="str">
        <f>IF($G402="","",IF(AND($G402&gt;=30,$AT$3&lt;=CQ$7),ROUND(CQ402*($AP$3+#REF!),-1),""))</f>
        <v/>
      </c>
      <c r="CS402" s="517" t="e">
        <v>#REF!</v>
      </c>
      <c r="CT402" s="503" t="str">
        <f>IF($G402="","",IF(AND($G402&gt;=30,$AT$3&lt;=CS$7),ROUND(CS402*($AP$3+#REF!),-1),""))</f>
        <v/>
      </c>
      <c r="CU402" s="517"/>
      <c r="CV402" s="503" t="str">
        <f>IF($G402="","",IF(AND($G402&gt;=30,$AT$3&lt;=CU$7),ROUND(CU402*($AP$3+#REF!),-1),""))</f>
        <v/>
      </c>
      <c r="CW402" s="517"/>
      <c r="CX402" s="503" t="str">
        <f>IF($G402="","",IF(AND($G402&gt;=30,$AT$3&lt;=CW$7),ROUND(CW402*($AP$3+#REF!),-1),""))</f>
        <v/>
      </c>
      <c r="CY402" s="517"/>
      <c r="CZ402" s="503" t="str">
        <f>IF($G402="","",IF(AND($G402&gt;=30,$AT$3&lt;=CY$7),ROUND(CY402*($AP$3+#REF!),-1),""))</f>
        <v/>
      </c>
      <c r="DA402" s="517"/>
      <c r="DB402" s="503" t="str">
        <f>IF($G402="","",IF(AND($G402&gt;=30,$AT$3&lt;=DA$7),ROUND(DA402*($AP$3+#REF!),-1),""))</f>
        <v/>
      </c>
      <c r="DC402" s="517"/>
      <c r="DD402" s="503" t="str">
        <f>IF($G402="","",IF(AND($G402&gt;=30,$AT$3&lt;=DC$7),ROUND(DC402*($AP$3+#REF!),-1),""))</f>
        <v/>
      </c>
      <c r="DE402" s="517"/>
      <c r="DF402" s="503" t="str">
        <f>IF($G402="","",IF(AND($G402&gt;=30,$AT$3&lt;=DE$7),ROUND(DE402*($AP$3+#REF!),-1),""))</f>
        <v/>
      </c>
      <c r="DG402" s="517"/>
      <c r="DH402" s="503" t="str">
        <f>IF($G402="","",IF(AND($G402&gt;=30,$AT$3&lt;=DG$7),ROUND(DG402*($AP$3+#REF!),-1),""))</f>
        <v/>
      </c>
      <c r="DI402" s="517"/>
      <c r="DJ402" s="503" t="str">
        <f>IF($G402="","",IF(AND($G402&gt;=30,$AT$3&lt;=DI$7),ROUND(DI402*($AP$3+#REF!),-1),""))</f>
        <v/>
      </c>
      <c r="DK402" s="517"/>
      <c r="DL402" s="503" t="str">
        <f>IF($G402="","",IF(AND($G402&gt;=30,$AT$3&lt;=DK$7),ROUND(DK402*($AP$3+#REF!),-1),""))</f>
        <v/>
      </c>
      <c r="DM402" s="517"/>
      <c r="DN402" s="503" t="str">
        <f>IF($G402="","",IF(AND($G402&gt;=30,$AT$3&lt;=DM$7),ROUND(DM402*($AP$3+#REF!),-1),""))</f>
        <v/>
      </c>
      <c r="DO402" s="517"/>
      <c r="DP402" s="503" t="str">
        <f>IF($G402="","",IF(AND($G402&gt;=30,$AT$3&lt;=DO$7),ROUND(DO402*($AP$3+#REF!),-1),""))</f>
        <v/>
      </c>
      <c r="DQ402" s="517"/>
      <c r="DR402" s="503" t="str">
        <f>IF($G402="","",IF(AND($G402&gt;=30,$AT$3&lt;=DQ$7),ROUND(DQ402*($AP$3+#REF!),-1),""))</f>
        <v/>
      </c>
      <c r="DS402" s="517"/>
      <c r="DT402" s="503" t="str">
        <f>IF($G402="","",IF(AND($G402&gt;=30,$AT$3&lt;=DS$7),ROUND(DS402*($AP$3+#REF!),-1),""))</f>
        <v/>
      </c>
      <c r="DU402" s="517"/>
      <c r="DV402" s="503" t="str">
        <f>IF($G402="","",IF(AND($G402&gt;=30,$AT$3&lt;=DU$7),ROUND(DU402*($AP$3+#REF!),-1),""))</f>
        <v/>
      </c>
      <c r="DW402" s="517"/>
      <c r="DX402" s="503" t="str">
        <f>IF($G402="","",IF(AND($G402&gt;=30,$AT$3&lt;=DW$7),ROUND(DW402*($AP$3+#REF!),-1),""))</f>
        <v/>
      </c>
      <c r="DY402" s="517"/>
      <c r="DZ402" s="503" t="str">
        <f>IF($G402="","",IF(AND($G402&gt;=30,$AT$3&lt;=DY$7),ROUND(DY402*($AP$3+#REF!),-1),""))</f>
        <v/>
      </c>
      <c r="EA402" s="517"/>
      <c r="EB402" s="503" t="str">
        <f>IF($G402="","",IF(AND($G402&gt;=30,$AT$3&lt;=EA$7),ROUND(EA402*($AP$3+#REF!),-1),""))</f>
        <v/>
      </c>
      <c r="EC402" s="504" t="s">
        <v>621</v>
      </c>
      <c r="ED402" s="1124"/>
      <c r="EE402" s="325">
        <v>10</v>
      </c>
    </row>
    <row r="403" spans="1:135" ht="9.75" customHeight="1">
      <c r="A403" s="321" t="str">
        <f t="shared" si="96"/>
        <v/>
      </c>
      <c r="B403" s="567">
        <f>(ii!$D$13*12+V403)+1</f>
        <v>297</v>
      </c>
      <c r="C403" s="337">
        <f t="shared" si="100"/>
        <v>54392</v>
      </c>
      <c r="D403" s="484">
        <f t="shared" si="89"/>
        <v>2048</v>
      </c>
      <c r="E403" s="484">
        <f t="shared" si="101"/>
        <v>0.91666666666666663</v>
      </c>
      <c r="F403" s="484">
        <f t="shared" si="90"/>
        <v>2048.9166666666665</v>
      </c>
      <c r="G403" s="485" t="str">
        <f>IF(OR(C403&lt;$I$2,C403&gt;$J$3),"",(ii!$D$13*12+V403+1)/12)</f>
        <v/>
      </c>
      <c r="H403" s="486"/>
      <c r="I403" s="486"/>
      <c r="J403" s="487"/>
      <c r="K403" s="488"/>
      <c r="L403" s="548"/>
      <c r="M403" s="489" t="str">
        <f t="shared" si="91"/>
        <v/>
      </c>
      <c r="N403" s="490" t="s">
        <v>621</v>
      </c>
      <c r="O403" s="490" t="str">
        <f t="shared" si="98"/>
        <v/>
      </c>
      <c r="P403" s="491"/>
      <c r="Q403" s="491"/>
      <c r="R403" s="491" t="str">
        <f t="shared" si="99"/>
        <v/>
      </c>
      <c r="S403" s="528" t="str">
        <f t="shared" si="97"/>
        <v/>
      </c>
      <c r="T403" s="528" t="str">
        <f t="shared" si="95"/>
        <v/>
      </c>
      <c r="U403" s="493" t="str">
        <f>IF(H403="","",#REF!*12+#REF!+#REF!*12+#REF!)</f>
        <v/>
      </c>
      <c r="V403" s="338">
        <f>IF(ii!$J$3&gt;gg!C403,"",IF(AND((YEAR(C403)=YEAR($I$2)),MONTH(C403)=MONTH($I$2)),ii!$B$14*12+ii!$C$14+ii!$B$15*12+ii!$C$15-1,V402+1))</f>
        <v>296</v>
      </c>
      <c r="W403" s="339">
        <f t="shared" ref="W403:W466" si="102">IF(V404="","",(V404-1)/12)</f>
        <v>24.666666666666668</v>
      </c>
      <c r="X403" s="494" t="s">
        <v>621</v>
      </c>
      <c r="Y403" s="495" t="s">
        <v>621</v>
      </c>
      <c r="Z403" s="496"/>
      <c r="AA403" s="497"/>
      <c r="AB403" s="498" t="e">
        <f t="shared" si="94"/>
        <v>#VALUE!</v>
      </c>
      <c r="AC403" s="484" t="str">
        <f t="shared" si="92"/>
        <v/>
      </c>
      <c r="AD403" s="495" t="str">
        <f t="shared" si="93"/>
        <v/>
      </c>
      <c r="AE403" s="499" t="s">
        <v>621</v>
      </c>
      <c r="AF403" s="500" t="s">
        <v>621</v>
      </c>
      <c r="AG403" s="556" t="s">
        <v>621</v>
      </c>
      <c r="AH403" s="503" t="str">
        <f>IF($G403="","",IF(AND($G403&gt;=30,$AT$3&lt;=AG$7),ROUND(AG403*($AP$3+#REF!),-1),""))</f>
        <v/>
      </c>
      <c r="AI403" s="506" t="s">
        <v>621</v>
      </c>
      <c r="AJ403" s="503" t="str">
        <f>IF($G403="","",IF(AND($G403&gt;=30,$AT$3&lt;=AI$7),ROUND(AI403*($AP$3+#REF!),-1),""))</f>
        <v/>
      </c>
      <c r="AK403" s="506" t="s">
        <v>621</v>
      </c>
      <c r="AL403" s="503" t="str">
        <f>IF($G403="","",IF(AND($G403&gt;=30,$AT$3&lt;=AK$7),ROUND(AK403*($AP$3+#REF!),-1),""))</f>
        <v/>
      </c>
      <c r="AM403" s="506" t="s">
        <v>621</v>
      </c>
      <c r="AN403" s="503" t="str">
        <f>IF($G403="","",IF(AND($G403&gt;=30,$AT$3&lt;=AM$7),ROUND(AM403*($AP$3+#REF!),-1),""))</f>
        <v/>
      </c>
      <c r="AO403" s="503" t="e">
        <v>#REF!</v>
      </c>
      <c r="AP403" s="503" t="str">
        <f>IF($G403="","",IF(AND($G403&gt;=30,$AT$3&lt;=AO$7),ROUND(AO403*($AP$3+#REF!),-1),""))</f>
        <v/>
      </c>
      <c r="AQ403" s="503" t="s">
        <v>621</v>
      </c>
      <c r="AR403" s="503" t="str">
        <f>IF($G403="","",IF(AND($G403&gt;=30,$AT$3&lt;=AQ$7),ROUND(AQ403*($AP$3+#REF!),-1),""))</f>
        <v/>
      </c>
      <c r="AS403" s="503" t="s">
        <v>621</v>
      </c>
      <c r="AT403" s="503" t="str">
        <f>IF($G403="","",IF(AND($G403&gt;=30,$AT$3&lt;=AS$7),ROUND(AS403*($AP$3+#REF!),-1),""))</f>
        <v/>
      </c>
      <c r="AU403" s="503" t="s">
        <v>621</v>
      </c>
      <c r="AV403" s="503" t="str">
        <f>IF($G403="","",IF(AND($G403&gt;=30,$AT$3&lt;=AU$7),ROUND(AU403*($AP$3+#REF!),-1),""))</f>
        <v/>
      </c>
      <c r="AW403" s="503" t="s">
        <v>621</v>
      </c>
      <c r="AX403" s="503" t="str">
        <f>IF($G403="","",IF(AND($G403&gt;=30,$AT$3&lt;=AW$7),ROUND(AW403*($AP$3+#REF!),-1),""))</f>
        <v/>
      </c>
      <c r="AY403" s="503" t="s">
        <v>621</v>
      </c>
      <c r="AZ403" s="503" t="str">
        <f>IF($G403="","",IF(AND($G403&gt;=30,$AT$3&lt;=AY$7),ROUND(AY403*($AP$3+#REF!),-1),""))</f>
        <v/>
      </c>
      <c r="BA403" s="503" t="s">
        <v>621</v>
      </c>
      <c r="BB403" s="503" t="str">
        <f>IF($G403="","",IF(AND($G403&gt;=30,$AT$3&lt;=BA$7),ROUND(BA403*($AP$3+#REF!),-1),""))</f>
        <v/>
      </c>
      <c r="BC403" s="503" t="s">
        <v>621</v>
      </c>
      <c r="BD403" s="503" t="str">
        <f>IF($G403="","",IF(AND($G403&gt;=30,$AT$3&lt;=BC$7),ROUND(BC403*($AP$3+#REF!),-1),""))</f>
        <v/>
      </c>
      <c r="BE403" s="503" t="s">
        <v>621</v>
      </c>
      <c r="BF403" s="503" t="str">
        <f>IF($G403="","",IF(AND($G403&gt;=30,$AT$3&lt;=BE$7),ROUND(BE403*($AP$3+#REF!),-1),""))</f>
        <v/>
      </c>
      <c r="BG403" s="503" t="s">
        <v>621</v>
      </c>
      <c r="BH403" s="503" t="str">
        <f>IF($G403="","",IF(AND($G403&gt;=30,$AT$3&lt;=BG$7),ROUND(BG403*($AP$3+#REF!),-1),""))</f>
        <v/>
      </c>
      <c r="BI403" s="503" t="s">
        <v>621</v>
      </c>
      <c r="BJ403" s="503" t="str">
        <f>IF($G403="","",IF(AND($G403&gt;=30,$AT$3&lt;=BI$7),ROUND(BI403*($AP$3+#REF!),-1),""))</f>
        <v/>
      </c>
      <c r="BK403" s="503" t="s">
        <v>621</v>
      </c>
      <c r="BL403" s="503" t="str">
        <f>IF($G403="","",IF(AND($G403&gt;=30,$AT$3&lt;=BK$7),ROUND(BK403*($AP$3+#REF!),-1),""))</f>
        <v/>
      </c>
      <c r="BM403" s="503" t="s">
        <v>621</v>
      </c>
      <c r="BN403" s="503" t="str">
        <f>IF($G403="","",IF(AND($G403&gt;=30,$AT$3&lt;=BM$7),ROUND(BM403*($AP$3+#REF!),-1),""))</f>
        <v/>
      </c>
      <c r="BO403" s="503" t="s">
        <v>621</v>
      </c>
      <c r="BP403" s="503" t="str">
        <f>IF($G403="","",IF(AND($G403&gt;=30,$AT$3&lt;=BO$7),ROUND(BO403*($AP$3+#REF!),-1),""))</f>
        <v/>
      </c>
      <c r="BQ403" s="503" t="s">
        <v>621</v>
      </c>
      <c r="BR403" s="503" t="str">
        <f>IF($G403="","",IF(AND($G403&gt;=30,$AT$3&lt;=BQ$7),ROUND(BQ403*($AP$3+#REF!),-1),""))</f>
        <v/>
      </c>
      <c r="BS403" s="503" t="s">
        <v>621</v>
      </c>
      <c r="BT403" s="503" t="str">
        <f>IF($G403="","",IF(AND($G403&gt;=30,$AT$3&lt;=BS$7),ROUND(BS403*($AP$3+#REF!),-1),""))</f>
        <v/>
      </c>
      <c r="BU403" s="503" t="s">
        <v>621</v>
      </c>
      <c r="BV403" s="503" t="str">
        <f>IF($G403="","",IF(AND($G403&gt;=30,$AT$3&lt;=BU$7),ROUND(BU403*($AP$3+#REF!),-1),""))</f>
        <v/>
      </c>
      <c r="BW403" s="503" t="s">
        <v>621</v>
      </c>
      <c r="BX403" s="503" t="str">
        <f>IF($G403="","",IF(AND($G403&gt;=30,$AT$3&lt;=BW$7),ROUND(BW403*($AP$3+#REF!),-1),""))</f>
        <v/>
      </c>
      <c r="BY403" s="503" t="s">
        <v>621</v>
      </c>
      <c r="BZ403" s="503" t="str">
        <f>IF($G403="","",IF(AND($G403&gt;=30,$AT$3&lt;=BY$7),ROUND(BY403*($AP$3+#REF!),-1),""))</f>
        <v/>
      </c>
      <c r="CA403" s="503" t="s">
        <v>621</v>
      </c>
      <c r="CB403" s="503" t="str">
        <f>IF($G403="","",IF(AND($G403&gt;=30,$AT$3&lt;=CA$7),ROUND(CA403*($AP$3+#REF!),-1),""))</f>
        <v/>
      </c>
      <c r="CC403" s="503" t="s">
        <v>621</v>
      </c>
      <c r="CD403" s="503" t="str">
        <f>IF($G403="","",IF(AND($G403&gt;=30,$AT$3&lt;=CC$7),ROUND(CC403*($AP$3+#REF!),-1),""))</f>
        <v/>
      </c>
      <c r="CE403" s="503" t="s">
        <v>621</v>
      </c>
      <c r="CF403" s="503" t="str">
        <f>IF($G403="","",IF(AND($G403&gt;=30,$AT$3&lt;=CE$7),ROUND(CE403*($AP$3+#REF!),-1),""))</f>
        <v/>
      </c>
      <c r="CG403" s="503" t="s">
        <v>621</v>
      </c>
      <c r="CH403" s="503" t="str">
        <f>IF($G403="","",IF(AND($G403&gt;=30,$AT$3&lt;=CG$7),ROUND(CG403*($AP$3+#REF!),-1),""))</f>
        <v/>
      </c>
      <c r="CI403" s="503" t="s">
        <v>621</v>
      </c>
      <c r="CJ403" s="503" t="str">
        <f>IF($G403="","",IF(AND($G403&gt;=30,$AT$3&lt;=CI$7),ROUND(CI403*($AP$3+#REF!),-1),""))</f>
        <v/>
      </c>
      <c r="CK403" s="503" t="s">
        <v>621</v>
      </c>
      <c r="CL403" s="503" t="str">
        <f>IF($G403="","",IF(AND($G403&gt;=30,$AT$3&lt;=CK$7),ROUND(CK403*($AP$3+#REF!),-1),""))</f>
        <v/>
      </c>
      <c r="CM403" s="503" t="s">
        <v>621</v>
      </c>
      <c r="CN403" s="503" t="str">
        <f>IF($G403="","",IF(AND($G403&gt;=30,$AT$3&lt;=CM$7),ROUND(CM403*($AP$3+#REF!),-1),""))</f>
        <v/>
      </c>
      <c r="CO403" s="503" t="s">
        <v>621</v>
      </c>
      <c r="CP403" s="503" t="str">
        <f>IF($G403="","",IF(AND($G403&gt;=30,$AT$3&lt;=CO$7),ROUND(CO403*($AP$3+#REF!),-1),""))</f>
        <v/>
      </c>
      <c r="CQ403" s="503" t="s">
        <v>621</v>
      </c>
      <c r="CR403" s="503" t="str">
        <f>IF($G403="","",IF(AND($G403&gt;=30,$AT$3&lt;=CQ$7),ROUND(CQ403*($AP$3+#REF!),-1),""))</f>
        <v/>
      </c>
      <c r="CS403" s="517" t="e">
        <v>#REF!</v>
      </c>
      <c r="CT403" s="503" t="str">
        <f>IF($G403="","",IF(AND($G403&gt;=30,$AT$3&lt;=CS$7),ROUND(CS403*($AP$3+#REF!),-1),""))</f>
        <v/>
      </c>
      <c r="CU403" s="517"/>
      <c r="CV403" s="503" t="str">
        <f>IF($G403="","",IF(AND($G403&gt;=30,$AT$3&lt;=CU$7),ROUND(CU403*($AP$3+#REF!),-1),""))</f>
        <v/>
      </c>
      <c r="CW403" s="517"/>
      <c r="CX403" s="503" t="str">
        <f>IF($G403="","",IF(AND($G403&gt;=30,$AT$3&lt;=CW$7),ROUND(CW403*($AP$3+#REF!),-1),""))</f>
        <v/>
      </c>
      <c r="CY403" s="517"/>
      <c r="CZ403" s="503" t="str">
        <f>IF($G403="","",IF(AND($G403&gt;=30,$AT$3&lt;=CY$7),ROUND(CY403*($AP$3+#REF!),-1),""))</f>
        <v/>
      </c>
      <c r="DA403" s="517"/>
      <c r="DB403" s="503" t="str">
        <f>IF($G403="","",IF(AND($G403&gt;=30,$AT$3&lt;=DA$7),ROUND(DA403*($AP$3+#REF!),-1),""))</f>
        <v/>
      </c>
      <c r="DC403" s="517"/>
      <c r="DD403" s="503" t="str">
        <f>IF($G403="","",IF(AND($G403&gt;=30,$AT$3&lt;=DC$7),ROUND(DC403*($AP$3+#REF!),-1),""))</f>
        <v/>
      </c>
      <c r="DE403" s="517"/>
      <c r="DF403" s="503" t="str">
        <f>IF($G403="","",IF(AND($G403&gt;=30,$AT$3&lt;=DE$7),ROUND(DE403*($AP$3+#REF!),-1),""))</f>
        <v/>
      </c>
      <c r="DG403" s="517"/>
      <c r="DH403" s="503" t="str">
        <f>IF($G403="","",IF(AND($G403&gt;=30,$AT$3&lt;=DG$7),ROUND(DG403*($AP$3+#REF!),-1),""))</f>
        <v/>
      </c>
      <c r="DI403" s="517"/>
      <c r="DJ403" s="503" t="str">
        <f>IF($G403="","",IF(AND($G403&gt;=30,$AT$3&lt;=DI$7),ROUND(DI403*($AP$3+#REF!),-1),""))</f>
        <v/>
      </c>
      <c r="DK403" s="517"/>
      <c r="DL403" s="503" t="str">
        <f>IF($G403="","",IF(AND($G403&gt;=30,$AT$3&lt;=DK$7),ROUND(DK403*($AP$3+#REF!),-1),""))</f>
        <v/>
      </c>
      <c r="DM403" s="517"/>
      <c r="DN403" s="503" t="str">
        <f>IF($G403="","",IF(AND($G403&gt;=30,$AT$3&lt;=DM$7),ROUND(DM403*($AP$3+#REF!),-1),""))</f>
        <v/>
      </c>
      <c r="DO403" s="517"/>
      <c r="DP403" s="503" t="str">
        <f>IF($G403="","",IF(AND($G403&gt;=30,$AT$3&lt;=DO$7),ROUND(DO403*($AP$3+#REF!),-1),""))</f>
        <v/>
      </c>
      <c r="DQ403" s="517"/>
      <c r="DR403" s="503" t="str">
        <f>IF($G403="","",IF(AND($G403&gt;=30,$AT$3&lt;=DQ$7),ROUND(DQ403*($AP$3+#REF!),-1),""))</f>
        <v/>
      </c>
      <c r="DS403" s="517"/>
      <c r="DT403" s="503" t="str">
        <f>IF($G403="","",IF(AND($G403&gt;=30,$AT$3&lt;=DS$7),ROUND(DS403*($AP$3+#REF!),-1),""))</f>
        <v/>
      </c>
      <c r="DU403" s="517"/>
      <c r="DV403" s="503" t="str">
        <f>IF($G403="","",IF(AND($G403&gt;=30,$AT$3&lt;=DU$7),ROUND(DU403*($AP$3+#REF!),-1),""))</f>
        <v/>
      </c>
      <c r="DW403" s="517"/>
      <c r="DX403" s="503" t="str">
        <f>IF($G403="","",IF(AND($G403&gt;=30,$AT$3&lt;=DW$7),ROUND(DW403*($AP$3+#REF!),-1),""))</f>
        <v/>
      </c>
      <c r="DY403" s="517"/>
      <c r="DZ403" s="503" t="str">
        <f>IF($G403="","",IF(AND($G403&gt;=30,$AT$3&lt;=DY$7),ROUND(DY403*($AP$3+#REF!),-1),""))</f>
        <v/>
      </c>
      <c r="EA403" s="517"/>
      <c r="EB403" s="503" t="str">
        <f>IF($G403="","",IF(AND($G403&gt;=30,$AT$3&lt;=EA$7),ROUND(EA403*($AP$3+#REF!),-1),""))</f>
        <v/>
      </c>
      <c r="EC403" s="504" t="s">
        <v>621</v>
      </c>
      <c r="ED403" s="1124"/>
      <c r="EE403" s="325">
        <v>11</v>
      </c>
    </row>
    <row r="404" spans="1:135" ht="9.75" customHeight="1">
      <c r="A404" s="321" t="str">
        <f t="shared" si="96"/>
        <v/>
      </c>
      <c r="B404" s="567">
        <f>(ii!$D$13*12+V404)+1</f>
        <v>298</v>
      </c>
      <c r="C404" s="337">
        <f t="shared" si="100"/>
        <v>54423</v>
      </c>
      <c r="D404" s="484">
        <f t="shared" si="89"/>
        <v>2048</v>
      </c>
      <c r="E404" s="484">
        <f t="shared" si="101"/>
        <v>1</v>
      </c>
      <c r="F404" s="484">
        <f t="shared" si="90"/>
        <v>2049</v>
      </c>
      <c r="G404" s="485" t="str">
        <f>IF(OR(C404&lt;$I$2,C404&gt;$J$3),"",(ii!$D$13*12+V404+1)/12)</f>
        <v/>
      </c>
      <c r="H404" s="486"/>
      <c r="I404" s="486"/>
      <c r="J404" s="487"/>
      <c r="K404" s="488"/>
      <c r="L404" s="548"/>
      <c r="M404" s="489" t="str">
        <f t="shared" si="91"/>
        <v/>
      </c>
      <c r="N404" s="490" t="s">
        <v>621</v>
      </c>
      <c r="O404" s="490" t="str">
        <f t="shared" si="98"/>
        <v/>
      </c>
      <c r="P404" s="491"/>
      <c r="Q404" s="491"/>
      <c r="R404" s="491" t="str">
        <f t="shared" si="99"/>
        <v/>
      </c>
      <c r="S404" s="528" t="str">
        <f t="shared" si="97"/>
        <v/>
      </c>
      <c r="T404" s="528" t="str">
        <f t="shared" si="95"/>
        <v/>
      </c>
      <c r="U404" s="493" t="str">
        <f>IF(H404="","",#REF!*12+#REF!+#REF!*12+#REF!)</f>
        <v/>
      </c>
      <c r="V404" s="338">
        <f>IF(ii!$J$3&gt;gg!C404,"",IF(AND((YEAR(C404)=YEAR($I$2)),MONTH(C404)=MONTH($I$2)),ii!$B$14*12+ii!$C$14+ii!$B$15*12+ii!$C$15-1,V403+1))</f>
        <v>297</v>
      </c>
      <c r="W404" s="339">
        <f t="shared" si="102"/>
        <v>24.75</v>
      </c>
      <c r="X404" s="494" t="s">
        <v>621</v>
      </c>
      <c r="Y404" s="495" t="s">
        <v>621</v>
      </c>
      <c r="Z404" s="496"/>
      <c r="AA404" s="497"/>
      <c r="AB404" s="498" t="e">
        <f t="shared" si="94"/>
        <v>#VALUE!</v>
      </c>
      <c r="AC404" s="484" t="str">
        <f t="shared" si="92"/>
        <v/>
      </c>
      <c r="AD404" s="495" t="str">
        <f t="shared" si="93"/>
        <v/>
      </c>
      <c r="AE404" s="499" t="s">
        <v>621</v>
      </c>
      <c r="AF404" s="500" t="s">
        <v>621</v>
      </c>
      <c r="AG404" s="556" t="s">
        <v>621</v>
      </c>
      <c r="AH404" s="503" t="str">
        <f>IF($G404="","",IF(AND($G404&gt;=30,$AT$3&lt;=AG$7),ROUND(AG404*($AP$3+#REF!),-1),""))</f>
        <v/>
      </c>
      <c r="AI404" s="506" t="s">
        <v>621</v>
      </c>
      <c r="AJ404" s="503" t="str">
        <f>IF($G404="","",IF(AND($G404&gt;=30,$AT$3&lt;=AI$7),ROUND(AI404*($AP$3+#REF!),-1),""))</f>
        <v/>
      </c>
      <c r="AK404" s="506" t="s">
        <v>621</v>
      </c>
      <c r="AL404" s="503" t="str">
        <f>IF($G404="","",IF(AND($G404&gt;=30,$AT$3&lt;=AK$7),ROUND(AK404*($AP$3+#REF!),-1),""))</f>
        <v/>
      </c>
      <c r="AM404" s="506" t="s">
        <v>621</v>
      </c>
      <c r="AN404" s="503" t="str">
        <f>IF($G404="","",IF(AND($G404&gt;=30,$AT$3&lt;=AM$7),ROUND(AM404*($AP$3+#REF!),-1),""))</f>
        <v/>
      </c>
      <c r="AO404" s="503" t="e">
        <v>#REF!</v>
      </c>
      <c r="AP404" s="503" t="str">
        <f>IF($G404="","",IF(AND($G404&gt;=30,$AT$3&lt;=AO$7),ROUND(AO404*($AP$3+#REF!),-1),""))</f>
        <v/>
      </c>
      <c r="AQ404" s="503" t="s">
        <v>621</v>
      </c>
      <c r="AR404" s="503" t="str">
        <f>IF($G404="","",IF(AND($G404&gt;=30,$AT$3&lt;=AQ$7),ROUND(AQ404*($AP$3+#REF!),-1),""))</f>
        <v/>
      </c>
      <c r="AS404" s="503" t="s">
        <v>621</v>
      </c>
      <c r="AT404" s="503" t="str">
        <f>IF($G404="","",IF(AND($G404&gt;=30,$AT$3&lt;=AS$7),ROUND(AS404*($AP$3+#REF!),-1),""))</f>
        <v/>
      </c>
      <c r="AU404" s="503" t="s">
        <v>621</v>
      </c>
      <c r="AV404" s="503" t="str">
        <f>IF($G404="","",IF(AND($G404&gt;=30,$AT$3&lt;=AU$7),ROUND(AU404*($AP$3+#REF!),-1),""))</f>
        <v/>
      </c>
      <c r="AW404" s="503" t="s">
        <v>621</v>
      </c>
      <c r="AX404" s="503" t="str">
        <f>IF($G404="","",IF(AND($G404&gt;=30,$AT$3&lt;=AW$7),ROUND(AW404*($AP$3+#REF!),-1),""))</f>
        <v/>
      </c>
      <c r="AY404" s="503" t="s">
        <v>621</v>
      </c>
      <c r="AZ404" s="503" t="str">
        <f>IF($G404="","",IF(AND($G404&gt;=30,$AT$3&lt;=AY$7),ROUND(AY404*($AP$3+#REF!),-1),""))</f>
        <v/>
      </c>
      <c r="BA404" s="503" t="s">
        <v>621</v>
      </c>
      <c r="BB404" s="503" t="str">
        <f>IF($G404="","",IF(AND($G404&gt;=30,$AT$3&lt;=BA$7),ROUND(BA404*($AP$3+#REF!),-1),""))</f>
        <v/>
      </c>
      <c r="BC404" s="503" t="s">
        <v>621</v>
      </c>
      <c r="BD404" s="503" t="str">
        <f>IF($G404="","",IF(AND($G404&gt;=30,$AT$3&lt;=BC$7),ROUND(BC404*($AP$3+#REF!),-1),""))</f>
        <v/>
      </c>
      <c r="BE404" s="503" t="s">
        <v>621</v>
      </c>
      <c r="BF404" s="503" t="str">
        <f>IF($G404="","",IF(AND($G404&gt;=30,$AT$3&lt;=BE$7),ROUND(BE404*($AP$3+#REF!),-1),""))</f>
        <v/>
      </c>
      <c r="BG404" s="503" t="s">
        <v>621</v>
      </c>
      <c r="BH404" s="503" t="str">
        <f>IF($G404="","",IF(AND($G404&gt;=30,$AT$3&lt;=BG$7),ROUND(BG404*($AP$3+#REF!),-1),""))</f>
        <v/>
      </c>
      <c r="BI404" s="503" t="s">
        <v>621</v>
      </c>
      <c r="BJ404" s="503" t="str">
        <f>IF($G404="","",IF(AND($G404&gt;=30,$AT$3&lt;=BI$7),ROUND(BI404*($AP$3+#REF!),-1),""))</f>
        <v/>
      </c>
      <c r="BK404" s="503" t="s">
        <v>621</v>
      </c>
      <c r="BL404" s="503" t="str">
        <f>IF($G404="","",IF(AND($G404&gt;=30,$AT$3&lt;=BK$7),ROUND(BK404*($AP$3+#REF!),-1),""))</f>
        <v/>
      </c>
      <c r="BM404" s="503" t="s">
        <v>621</v>
      </c>
      <c r="BN404" s="503" t="str">
        <f>IF($G404="","",IF(AND($G404&gt;=30,$AT$3&lt;=BM$7),ROUND(BM404*($AP$3+#REF!),-1),""))</f>
        <v/>
      </c>
      <c r="BO404" s="503" t="s">
        <v>621</v>
      </c>
      <c r="BP404" s="503" t="str">
        <f>IF($G404="","",IF(AND($G404&gt;=30,$AT$3&lt;=BO$7),ROUND(BO404*($AP$3+#REF!),-1),""))</f>
        <v/>
      </c>
      <c r="BQ404" s="503" t="s">
        <v>621</v>
      </c>
      <c r="BR404" s="503" t="str">
        <f>IF($G404="","",IF(AND($G404&gt;=30,$AT$3&lt;=BQ$7),ROUND(BQ404*($AP$3+#REF!),-1),""))</f>
        <v/>
      </c>
      <c r="BS404" s="503" t="s">
        <v>621</v>
      </c>
      <c r="BT404" s="503" t="str">
        <f>IF($G404="","",IF(AND($G404&gt;=30,$AT$3&lt;=BS$7),ROUND(BS404*($AP$3+#REF!),-1),""))</f>
        <v/>
      </c>
      <c r="BU404" s="503" t="s">
        <v>621</v>
      </c>
      <c r="BV404" s="503" t="str">
        <f>IF($G404="","",IF(AND($G404&gt;=30,$AT$3&lt;=BU$7),ROUND(BU404*($AP$3+#REF!),-1),""))</f>
        <v/>
      </c>
      <c r="BW404" s="503" t="s">
        <v>621</v>
      </c>
      <c r="BX404" s="503" t="str">
        <f>IF($G404="","",IF(AND($G404&gt;=30,$AT$3&lt;=BW$7),ROUND(BW404*($AP$3+#REF!),-1),""))</f>
        <v/>
      </c>
      <c r="BY404" s="503" t="s">
        <v>621</v>
      </c>
      <c r="BZ404" s="503" t="str">
        <f>IF($G404="","",IF(AND($G404&gt;=30,$AT$3&lt;=BY$7),ROUND(BY404*($AP$3+#REF!),-1),""))</f>
        <v/>
      </c>
      <c r="CA404" s="503" t="s">
        <v>621</v>
      </c>
      <c r="CB404" s="503" t="str">
        <f>IF($G404="","",IF(AND($G404&gt;=30,$AT$3&lt;=CA$7),ROUND(CA404*($AP$3+#REF!),-1),""))</f>
        <v/>
      </c>
      <c r="CC404" s="503" t="s">
        <v>621</v>
      </c>
      <c r="CD404" s="503" t="str">
        <f>IF($G404="","",IF(AND($G404&gt;=30,$AT$3&lt;=CC$7),ROUND(CC404*($AP$3+#REF!),-1),""))</f>
        <v/>
      </c>
      <c r="CE404" s="503" t="s">
        <v>621</v>
      </c>
      <c r="CF404" s="503" t="str">
        <f>IF($G404="","",IF(AND($G404&gt;=30,$AT$3&lt;=CE$7),ROUND(CE404*($AP$3+#REF!),-1),""))</f>
        <v/>
      </c>
      <c r="CG404" s="503" t="s">
        <v>621</v>
      </c>
      <c r="CH404" s="503" t="str">
        <f>IF($G404="","",IF(AND($G404&gt;=30,$AT$3&lt;=CG$7),ROUND(CG404*($AP$3+#REF!),-1),""))</f>
        <v/>
      </c>
      <c r="CI404" s="503" t="s">
        <v>621</v>
      </c>
      <c r="CJ404" s="503" t="str">
        <f>IF($G404="","",IF(AND($G404&gt;=30,$AT$3&lt;=CI$7),ROUND(CI404*($AP$3+#REF!),-1),""))</f>
        <v/>
      </c>
      <c r="CK404" s="503" t="s">
        <v>621</v>
      </c>
      <c r="CL404" s="503" t="str">
        <f>IF($G404="","",IF(AND($G404&gt;=30,$AT$3&lt;=CK$7),ROUND(CK404*($AP$3+#REF!),-1),""))</f>
        <v/>
      </c>
      <c r="CM404" s="503" t="s">
        <v>621</v>
      </c>
      <c r="CN404" s="503" t="str">
        <f>IF($G404="","",IF(AND($G404&gt;=30,$AT$3&lt;=CM$7),ROUND(CM404*($AP$3+#REF!),-1),""))</f>
        <v/>
      </c>
      <c r="CO404" s="503" t="s">
        <v>621</v>
      </c>
      <c r="CP404" s="503" t="str">
        <f>IF($G404="","",IF(AND($G404&gt;=30,$AT$3&lt;=CO$7),ROUND(CO404*($AP$3+#REF!),-1),""))</f>
        <v/>
      </c>
      <c r="CQ404" s="503" t="s">
        <v>621</v>
      </c>
      <c r="CR404" s="503" t="str">
        <f>IF($G404="","",IF(AND($G404&gt;=30,$AT$3&lt;=CQ$7),ROUND(CQ404*($AP$3+#REF!),-1),""))</f>
        <v/>
      </c>
      <c r="CS404" s="517" t="e">
        <v>#REF!</v>
      </c>
      <c r="CT404" s="503" t="str">
        <f>IF($G404="","",IF(AND($G404&gt;=30,$AT$3&lt;=CS$7),ROUND(CS404*($AP$3+#REF!),-1),""))</f>
        <v/>
      </c>
      <c r="CU404" s="517"/>
      <c r="CV404" s="503" t="str">
        <f>IF($G404="","",IF(AND($G404&gt;=30,$AT$3&lt;=CU$7),ROUND(CU404*($AP$3+#REF!),-1),""))</f>
        <v/>
      </c>
      <c r="CW404" s="517"/>
      <c r="CX404" s="503" t="str">
        <f>IF($G404="","",IF(AND($G404&gt;=30,$AT$3&lt;=CW$7),ROUND(CW404*($AP$3+#REF!),-1),""))</f>
        <v/>
      </c>
      <c r="CY404" s="517"/>
      <c r="CZ404" s="503" t="str">
        <f>IF($G404="","",IF(AND($G404&gt;=30,$AT$3&lt;=CY$7),ROUND(CY404*($AP$3+#REF!),-1),""))</f>
        <v/>
      </c>
      <c r="DA404" s="517"/>
      <c r="DB404" s="503" t="str">
        <f>IF($G404="","",IF(AND($G404&gt;=30,$AT$3&lt;=DA$7),ROUND(DA404*($AP$3+#REF!),-1),""))</f>
        <v/>
      </c>
      <c r="DC404" s="517"/>
      <c r="DD404" s="503" t="str">
        <f>IF($G404="","",IF(AND($G404&gt;=30,$AT$3&lt;=DC$7),ROUND(DC404*($AP$3+#REF!),-1),""))</f>
        <v/>
      </c>
      <c r="DE404" s="517"/>
      <c r="DF404" s="503" t="str">
        <f>IF($G404="","",IF(AND($G404&gt;=30,$AT$3&lt;=DE$7),ROUND(DE404*($AP$3+#REF!),-1),""))</f>
        <v/>
      </c>
      <c r="DG404" s="517"/>
      <c r="DH404" s="503" t="str">
        <f>IF($G404="","",IF(AND($G404&gt;=30,$AT$3&lt;=DG$7),ROUND(DG404*($AP$3+#REF!),-1),""))</f>
        <v/>
      </c>
      <c r="DI404" s="517"/>
      <c r="DJ404" s="503" t="str">
        <f>IF($G404="","",IF(AND($G404&gt;=30,$AT$3&lt;=DI$7),ROUND(DI404*($AP$3+#REF!),-1),""))</f>
        <v/>
      </c>
      <c r="DK404" s="517"/>
      <c r="DL404" s="503" t="str">
        <f>IF($G404="","",IF(AND($G404&gt;=30,$AT$3&lt;=DK$7),ROUND(DK404*($AP$3+#REF!),-1),""))</f>
        <v/>
      </c>
      <c r="DM404" s="517"/>
      <c r="DN404" s="503" t="str">
        <f>IF($G404="","",IF(AND($G404&gt;=30,$AT$3&lt;=DM$7),ROUND(DM404*($AP$3+#REF!),-1),""))</f>
        <v/>
      </c>
      <c r="DO404" s="517"/>
      <c r="DP404" s="503" t="str">
        <f>IF($G404="","",IF(AND($G404&gt;=30,$AT$3&lt;=DO$7),ROUND(DO404*($AP$3+#REF!),-1),""))</f>
        <v/>
      </c>
      <c r="DQ404" s="517"/>
      <c r="DR404" s="503" t="str">
        <f>IF($G404="","",IF(AND($G404&gt;=30,$AT$3&lt;=DQ$7),ROUND(DQ404*($AP$3+#REF!),-1),""))</f>
        <v/>
      </c>
      <c r="DS404" s="517"/>
      <c r="DT404" s="503" t="str">
        <f>IF($G404="","",IF(AND($G404&gt;=30,$AT$3&lt;=DS$7),ROUND(DS404*($AP$3+#REF!),-1),""))</f>
        <v/>
      </c>
      <c r="DU404" s="517"/>
      <c r="DV404" s="503" t="str">
        <f>IF($G404="","",IF(AND($G404&gt;=30,$AT$3&lt;=DU$7),ROUND(DU404*($AP$3+#REF!),-1),""))</f>
        <v/>
      </c>
      <c r="DW404" s="517"/>
      <c r="DX404" s="503" t="str">
        <f>IF($G404="","",IF(AND($G404&gt;=30,$AT$3&lt;=DW$7),ROUND(DW404*($AP$3+#REF!),-1),""))</f>
        <v/>
      </c>
      <c r="DY404" s="517"/>
      <c r="DZ404" s="503" t="str">
        <f>IF($G404="","",IF(AND($G404&gt;=30,$AT$3&lt;=DY$7),ROUND(DY404*($AP$3+#REF!),-1),""))</f>
        <v/>
      </c>
      <c r="EA404" s="517"/>
      <c r="EB404" s="503" t="str">
        <f>IF($G404="","",IF(AND($G404&gt;=30,$AT$3&lt;=EA$7),ROUND(EA404*($AP$3+#REF!),-1),""))</f>
        <v/>
      </c>
      <c r="EC404" s="504" t="s">
        <v>621</v>
      </c>
      <c r="ED404" s="1125"/>
      <c r="EE404" s="325">
        <v>12</v>
      </c>
    </row>
    <row r="405" spans="1:135" ht="9.75" customHeight="1">
      <c r="A405" s="321" t="str">
        <f t="shared" si="96"/>
        <v/>
      </c>
      <c r="B405" s="567">
        <f>(ii!$D$13*12+V405)+1</f>
        <v>299</v>
      </c>
      <c r="C405" s="345">
        <f t="shared" si="100"/>
        <v>54454</v>
      </c>
      <c r="D405" s="340">
        <f t="shared" si="89"/>
        <v>2049</v>
      </c>
      <c r="E405" s="340">
        <f t="shared" si="101"/>
        <v>8.3333333333333329E-2</v>
      </c>
      <c r="F405" s="340">
        <f t="shared" si="90"/>
        <v>2049.0833333333335</v>
      </c>
      <c r="G405" s="531" t="str">
        <f>IF(OR(C405&lt;$I$2,C405&gt;$J$3),"",(ii!$D$13*12+V405+1)/12)</f>
        <v/>
      </c>
      <c r="H405" s="532"/>
      <c r="I405" s="532"/>
      <c r="J405" s="533"/>
      <c r="K405" s="553"/>
      <c r="L405" s="534"/>
      <c r="M405" s="489" t="str">
        <f t="shared" si="91"/>
        <v/>
      </c>
      <c r="N405" s="536" t="s">
        <v>621</v>
      </c>
      <c r="O405" s="490" t="str">
        <f t="shared" si="98"/>
        <v/>
      </c>
      <c r="P405" s="537"/>
      <c r="Q405" s="537"/>
      <c r="R405" s="533" t="str">
        <f t="shared" si="99"/>
        <v/>
      </c>
      <c r="S405" s="538" t="str">
        <f t="shared" si="97"/>
        <v/>
      </c>
      <c r="T405" s="538" t="str">
        <f t="shared" si="95"/>
        <v/>
      </c>
      <c r="U405" s="539" t="str">
        <f>IF(H405="","",#REF!*12+#REF!+#REF!*12+#REF!)</f>
        <v/>
      </c>
      <c r="V405" s="338">
        <f>IF(ii!$J$3&gt;gg!C405,"",IF(AND((YEAR(C405)=YEAR($I$2)),MONTH(C405)=MONTH($I$2)),ii!$B$14*12+ii!$C$14+ii!$B$15*12+ii!$C$15-1,V404+1))</f>
        <v>298</v>
      </c>
      <c r="W405" s="339">
        <f t="shared" si="102"/>
        <v>24.833333333333332</v>
      </c>
      <c r="X405" s="540" t="s">
        <v>621</v>
      </c>
      <c r="Y405" s="538" t="s">
        <v>621</v>
      </c>
      <c r="Z405" s="541">
        <f>Z393+$Z$26</f>
        <v>0.9300000000000006</v>
      </c>
      <c r="AA405" s="542" t="str">
        <f>IF(Y405="","",(Y405-Y404)/Y404)</f>
        <v/>
      </c>
      <c r="AB405" s="543" t="e">
        <f t="shared" si="94"/>
        <v>#VALUE!</v>
      </c>
      <c r="AC405" s="544" t="str">
        <f t="shared" si="92"/>
        <v/>
      </c>
      <c r="AD405" s="538" t="str">
        <f t="shared" si="93"/>
        <v/>
      </c>
      <c r="AE405" s="545" t="s">
        <v>621</v>
      </c>
      <c r="AF405" s="546" t="s">
        <v>621</v>
      </c>
      <c r="AG405" s="558" t="s">
        <v>621</v>
      </c>
      <c r="AH405" s="547" t="str">
        <f>IF($G405="","",IF(AND($G405&gt;=30,$AT$3&lt;=AG$7),ROUND(AG405*($AP$3+#REF!),-1),""))</f>
        <v/>
      </c>
      <c r="AI405" s="558" t="s">
        <v>621</v>
      </c>
      <c r="AJ405" s="547" t="str">
        <f>IF($G405="","",IF(AND($G405&gt;=30,$AT$3&lt;=AI$7),ROUND(AI405*($AP$3+#REF!),-1),""))</f>
        <v/>
      </c>
      <c r="AK405" s="560" t="s">
        <v>621</v>
      </c>
      <c r="AL405" s="547" t="str">
        <f>IF($G405="","",IF(AND($G405&gt;=30,$AT$3&lt;=AK$7),ROUND(AK405*($AP$3+#REF!),-1),""))</f>
        <v/>
      </c>
      <c r="AM405" s="560" t="s">
        <v>621</v>
      </c>
      <c r="AN405" s="547" t="str">
        <f>IF($G405="","",IF(AND($G405&gt;=30,$AT$3&lt;=AM$7),ROUND(AM405*($AP$3+#REF!),-1),""))</f>
        <v/>
      </c>
      <c r="AO405" s="547" t="e">
        <v>#REF!</v>
      </c>
      <c r="AP405" s="547" t="str">
        <f>IF($G405="","",IF(AND($G405&gt;=30,$AT$3&lt;=AO$7),ROUND(AO405*($AP$3+#REF!),-1),""))</f>
        <v/>
      </c>
      <c r="AQ405" s="547" t="s">
        <v>621</v>
      </c>
      <c r="AR405" s="547" t="str">
        <f>IF($G405="","",IF(AND($G405&gt;=30,$AT$3&lt;=AQ$7),ROUND(AQ405*($AP$3+#REF!),-1),""))</f>
        <v/>
      </c>
      <c r="AS405" s="547" t="s">
        <v>621</v>
      </c>
      <c r="AT405" s="547" t="str">
        <f>IF($G405="","",IF(AND($G405&gt;=30,$AT$3&lt;=AS$7),ROUND(AS405*($AP$3+#REF!),-1),""))</f>
        <v/>
      </c>
      <c r="AU405" s="547" t="s">
        <v>621</v>
      </c>
      <c r="AV405" s="547" t="str">
        <f>IF($G405="","",IF(AND($G405&gt;=30,$AT$3&lt;=AU$7),ROUND(AU405*($AP$3+#REF!),-1),""))</f>
        <v/>
      </c>
      <c r="AW405" s="547" t="s">
        <v>621</v>
      </c>
      <c r="AX405" s="547" t="str">
        <f>IF($G405="","",IF(AND($G405&gt;=30,$AT$3&lt;=AW$7),ROUND(AW405*($AP$3+#REF!),-1),""))</f>
        <v/>
      </c>
      <c r="AY405" s="547" t="s">
        <v>621</v>
      </c>
      <c r="AZ405" s="547" t="str">
        <f>IF($G405="","",IF(AND($G405&gt;=30,$AT$3&lt;=AY$7),ROUND(AY405*($AP$3+#REF!),-1),""))</f>
        <v/>
      </c>
      <c r="BA405" s="547" t="s">
        <v>621</v>
      </c>
      <c r="BB405" s="547" t="str">
        <f>IF($G405="","",IF(AND($G405&gt;=30,$AT$3&lt;=BA$7),ROUND(BA405*($AP$3+#REF!),-1),""))</f>
        <v/>
      </c>
      <c r="BC405" s="547" t="s">
        <v>621</v>
      </c>
      <c r="BD405" s="547" t="str">
        <f>IF($G405="","",IF(AND($G405&gt;=30,$AT$3&lt;=BC$7),ROUND(BC405*($AP$3+#REF!),-1),""))</f>
        <v/>
      </c>
      <c r="BE405" s="547" t="s">
        <v>621</v>
      </c>
      <c r="BF405" s="547" t="str">
        <f>IF($G405="","",IF(AND($G405&gt;=30,$AT$3&lt;=BE$7),ROUND(BE405*($AP$3+#REF!),-1),""))</f>
        <v/>
      </c>
      <c r="BG405" s="547" t="s">
        <v>621</v>
      </c>
      <c r="BH405" s="547" t="str">
        <f>IF($G405="","",IF(AND($G405&gt;=30,$AT$3&lt;=BG$7),ROUND(BG405*($AP$3+#REF!),-1),""))</f>
        <v/>
      </c>
      <c r="BI405" s="547" t="s">
        <v>621</v>
      </c>
      <c r="BJ405" s="547" t="str">
        <f>IF($G405="","",IF(AND($G405&gt;=30,$AT$3&lt;=BI$7),ROUND(BI405*($AP$3+#REF!),-1),""))</f>
        <v/>
      </c>
      <c r="BK405" s="547" t="s">
        <v>621</v>
      </c>
      <c r="BL405" s="547" t="str">
        <f>IF($G405="","",IF(AND($G405&gt;=30,$AT$3&lt;=BK$7),ROUND(BK405*($AP$3+#REF!),-1),""))</f>
        <v/>
      </c>
      <c r="BM405" s="547" t="s">
        <v>621</v>
      </c>
      <c r="BN405" s="547" t="str">
        <f>IF($G405="","",IF(AND($G405&gt;=30,$AT$3&lt;=BM$7),ROUND(BM405*($AP$3+#REF!),-1),""))</f>
        <v/>
      </c>
      <c r="BO405" s="547" t="s">
        <v>621</v>
      </c>
      <c r="BP405" s="547" t="str">
        <f>IF($G405="","",IF(AND($G405&gt;=30,$AT$3&lt;=BO$7),ROUND(BO405*($AP$3+#REF!),-1),""))</f>
        <v/>
      </c>
      <c r="BQ405" s="547" t="s">
        <v>621</v>
      </c>
      <c r="BR405" s="547" t="str">
        <f>IF($G405="","",IF(AND($G405&gt;=30,$AT$3&lt;=BQ$7),ROUND(BQ405*($AP$3+#REF!),-1),""))</f>
        <v/>
      </c>
      <c r="BS405" s="547" t="s">
        <v>621</v>
      </c>
      <c r="BT405" s="547" t="str">
        <f>IF($G405="","",IF(AND($G405&gt;=30,$AT$3&lt;=BS$7),ROUND(BS405*($AP$3+#REF!),-1),""))</f>
        <v/>
      </c>
      <c r="BU405" s="547" t="s">
        <v>621</v>
      </c>
      <c r="BV405" s="547" t="str">
        <f>IF($G405="","",IF(AND($G405&gt;=30,$AT$3&lt;=BU$7),ROUND(BU405*($AP$3+#REF!),-1),""))</f>
        <v/>
      </c>
      <c r="BW405" s="547" t="s">
        <v>621</v>
      </c>
      <c r="BX405" s="547" t="str">
        <f>IF($G405="","",IF(AND($G405&gt;=30,$AT$3&lt;=BW$7),ROUND(BW405*($AP$3+#REF!),-1),""))</f>
        <v/>
      </c>
      <c r="BY405" s="547" t="s">
        <v>621</v>
      </c>
      <c r="BZ405" s="547" t="str">
        <f>IF($G405="","",IF(AND($G405&gt;=30,$AT$3&lt;=BY$7),ROUND(BY405*($AP$3+#REF!),-1),""))</f>
        <v/>
      </c>
      <c r="CA405" s="547" t="s">
        <v>621</v>
      </c>
      <c r="CB405" s="547" t="str">
        <f>IF($G405="","",IF(AND($G405&gt;=30,$AT$3&lt;=CA$7),ROUND(CA405*($AP$3+#REF!),-1),""))</f>
        <v/>
      </c>
      <c r="CC405" s="547" t="s">
        <v>621</v>
      </c>
      <c r="CD405" s="547" t="str">
        <f>IF($G405="","",IF(AND($G405&gt;=30,$AT$3&lt;=CC$7),ROUND(CC405*($AP$3+#REF!),-1),""))</f>
        <v/>
      </c>
      <c r="CE405" s="547" t="s">
        <v>621</v>
      </c>
      <c r="CF405" s="547" t="str">
        <f>IF($G405="","",IF(AND($G405&gt;=30,$AT$3&lt;=CE$7),ROUND(CE405*($AP$3+#REF!),-1),""))</f>
        <v/>
      </c>
      <c r="CG405" s="547" t="s">
        <v>621</v>
      </c>
      <c r="CH405" s="547" t="str">
        <f>IF($G405="","",IF(AND($G405&gt;=30,$AT$3&lt;=CG$7),ROUND(CG405*($AP$3+#REF!),-1),""))</f>
        <v/>
      </c>
      <c r="CI405" s="547" t="s">
        <v>621</v>
      </c>
      <c r="CJ405" s="547" t="str">
        <f>IF($G405="","",IF(AND($G405&gt;=30,$AT$3&lt;=CI$7),ROUND(CI405*($AP$3+#REF!),-1),""))</f>
        <v/>
      </c>
      <c r="CK405" s="547" t="s">
        <v>621</v>
      </c>
      <c r="CL405" s="547" t="str">
        <f>IF($G405="","",IF(AND($G405&gt;=30,$AT$3&lt;=CK$7),ROUND(CK405*($AP$3+#REF!),-1),""))</f>
        <v/>
      </c>
      <c r="CM405" s="547" t="s">
        <v>621</v>
      </c>
      <c r="CN405" s="547" t="str">
        <f>IF($G405="","",IF(AND($G405&gt;=30,$AT$3&lt;=CM$7),ROUND(CM405*($AP$3+#REF!),-1),""))</f>
        <v/>
      </c>
      <c r="CO405" s="547" t="s">
        <v>621</v>
      </c>
      <c r="CP405" s="547" t="str">
        <f>IF($G405="","",IF(AND($G405&gt;=30,$AT$3&lt;=CO$7),ROUND(CO405*($AP$3+#REF!),-1),""))</f>
        <v/>
      </c>
      <c r="CQ405" s="547" t="s">
        <v>621</v>
      </c>
      <c r="CR405" s="547" t="str">
        <f>IF($G405="","",IF(AND($G405&gt;=30,$AT$3&lt;=CQ$7),ROUND(CQ405*($AP$3+#REF!),-1),""))</f>
        <v/>
      </c>
      <c r="CS405" s="547" t="s">
        <v>621</v>
      </c>
      <c r="CT405" s="547" t="str">
        <f>IF($G405="","",IF(AND($G405&gt;=30,$AT$3&lt;=CS$7),ROUND(CS405*($AP$3+#REF!),-1),""))</f>
        <v/>
      </c>
      <c r="CU405" s="533" t="e">
        <v>#REF!</v>
      </c>
      <c r="CV405" s="547" t="str">
        <f>IF($G405="","",IF(AND($G405&gt;=30,$AT$3&lt;=CU$7),ROUND(CU405*($AP$3+#REF!),-1),""))</f>
        <v/>
      </c>
      <c r="CW405" s="547"/>
      <c r="CX405" s="547" t="str">
        <f>IF($G405="","",IF(AND($G405&gt;=30,$AT$3&lt;=CW$7),ROUND(CW405*($AP$3+#REF!),-1),""))</f>
        <v/>
      </c>
      <c r="CY405" s="547"/>
      <c r="CZ405" s="547" t="str">
        <f>IF($G405="","",IF(AND($G405&gt;=30,$AT$3&lt;=CY$7),ROUND(CY405*($AP$3+#REF!),-1),""))</f>
        <v/>
      </c>
      <c r="DA405" s="547"/>
      <c r="DB405" s="547" t="str">
        <f>IF($G405="","",IF(AND($G405&gt;=30,$AT$3&lt;=DA$7),ROUND(DA405*($AP$3+#REF!),-1),""))</f>
        <v/>
      </c>
      <c r="DC405" s="547"/>
      <c r="DD405" s="547" t="str">
        <f>IF($G405="","",IF(AND($G405&gt;=30,$AT$3&lt;=DC$7),ROUND(DC405*($AP$3+#REF!),-1),""))</f>
        <v/>
      </c>
      <c r="DE405" s="547"/>
      <c r="DF405" s="547" t="str">
        <f>IF($G405="","",IF(AND($G405&gt;=30,$AT$3&lt;=DE$7),ROUND(DE405*($AP$3+#REF!),-1),""))</f>
        <v/>
      </c>
      <c r="DG405" s="547"/>
      <c r="DH405" s="547" t="str">
        <f>IF($G405="","",IF(AND($G405&gt;=30,$AT$3&lt;=DG$7),ROUND(DG405*($AP$3+#REF!),-1),""))</f>
        <v/>
      </c>
      <c r="DI405" s="547"/>
      <c r="DJ405" s="547" t="str">
        <f>IF($G405="","",IF(AND($G405&gt;=30,$AT$3&lt;=DI$7),ROUND(DI405*($AP$3+#REF!),-1),""))</f>
        <v/>
      </c>
      <c r="DK405" s="547"/>
      <c r="DL405" s="547" t="str">
        <f>IF($G405="","",IF(AND($G405&gt;=30,$AT$3&lt;=DK$7),ROUND(DK405*($AP$3+#REF!),-1),""))</f>
        <v/>
      </c>
      <c r="DM405" s="547"/>
      <c r="DN405" s="547" t="str">
        <f>IF($G405="","",IF(AND($G405&gt;=30,$AT$3&lt;=DM$7),ROUND(DM405*($AP$3+#REF!),-1),""))</f>
        <v/>
      </c>
      <c r="DO405" s="547"/>
      <c r="DP405" s="547" t="str">
        <f>IF($G405="","",IF(AND($G405&gt;=30,$AT$3&lt;=DO$7),ROUND(DO405*($AP$3+#REF!),-1),""))</f>
        <v/>
      </c>
      <c r="DQ405" s="547"/>
      <c r="DR405" s="547" t="str">
        <f>IF($G405="","",IF(AND($G405&gt;=30,$AT$3&lt;=DQ$7),ROUND(DQ405*($AP$3+#REF!),-1),""))</f>
        <v/>
      </c>
      <c r="DS405" s="547"/>
      <c r="DT405" s="547" t="str">
        <f>IF($G405="","",IF(AND($G405&gt;=30,$AT$3&lt;=DS$7),ROUND(DS405*($AP$3+#REF!),-1),""))</f>
        <v/>
      </c>
      <c r="DU405" s="547"/>
      <c r="DV405" s="547" t="str">
        <f>IF($G405="","",IF(AND($G405&gt;=30,$AT$3&lt;=DU$7),ROUND(DU405*($AP$3+#REF!),-1),""))</f>
        <v/>
      </c>
      <c r="DW405" s="547"/>
      <c r="DX405" s="547" t="str">
        <f>IF($G405="","",IF(AND($G405&gt;=30,$AT$3&lt;=DW$7),ROUND(DW405*($AP$3+#REF!),-1),""))</f>
        <v/>
      </c>
      <c r="DY405" s="547"/>
      <c r="DZ405" s="547" t="str">
        <f>IF($G405="","",IF(AND($G405&gt;=30,$AT$3&lt;=DY$7),ROUND(DY405*($AP$3+#REF!),-1),""))</f>
        <v/>
      </c>
      <c r="EA405" s="547"/>
      <c r="EB405" s="547" t="str">
        <f>IF($G405="","",IF(AND($G405&gt;=30,$AT$3&lt;=EA$7),ROUND(EA405*($AP$3+#REF!),-1),""))</f>
        <v/>
      </c>
      <c r="EC405" s="547" t="s">
        <v>621</v>
      </c>
      <c r="ED405" s="1123">
        <f>SUM(EC405:EC416)</f>
        <v>0</v>
      </c>
      <c r="EE405" s="325">
        <v>1</v>
      </c>
    </row>
    <row r="406" spans="1:135" ht="9.75" customHeight="1">
      <c r="A406" s="321" t="str">
        <f t="shared" si="96"/>
        <v/>
      </c>
      <c r="B406" s="567">
        <f>(ii!$D$13*12+V406)+1</f>
        <v>300</v>
      </c>
      <c r="C406" s="337">
        <f t="shared" si="100"/>
        <v>54482</v>
      </c>
      <c r="D406" s="484">
        <f t="shared" si="89"/>
        <v>2049</v>
      </c>
      <c r="E406" s="484">
        <f t="shared" si="101"/>
        <v>0.16666666666666666</v>
      </c>
      <c r="F406" s="484">
        <f t="shared" si="90"/>
        <v>2049.1666666666665</v>
      </c>
      <c r="G406" s="485" t="str">
        <f>IF(OR(C406&lt;$I$2,C406&gt;$J$3),"",(ii!$D$13*12+V406+1)/12)</f>
        <v/>
      </c>
      <c r="H406" s="486"/>
      <c r="I406" s="486"/>
      <c r="J406" s="487"/>
      <c r="K406" s="488"/>
      <c r="L406" s="548"/>
      <c r="M406" s="489" t="str">
        <f t="shared" si="91"/>
        <v/>
      </c>
      <c r="N406" s="490" t="s">
        <v>621</v>
      </c>
      <c r="O406" s="490" t="str">
        <f t="shared" si="98"/>
        <v/>
      </c>
      <c r="P406" s="491"/>
      <c r="Q406" s="491"/>
      <c r="R406" s="491" t="str">
        <f t="shared" si="99"/>
        <v/>
      </c>
      <c r="S406" s="528" t="str">
        <f t="shared" si="97"/>
        <v/>
      </c>
      <c r="T406" s="528" t="str">
        <f t="shared" si="95"/>
        <v/>
      </c>
      <c r="U406" s="493" t="str">
        <f>IF(H406="","",#REF!*12+#REF!+#REF!*12+#REF!)</f>
        <v/>
      </c>
      <c r="V406" s="338">
        <f>IF(ii!$J$3&gt;gg!C406,"",IF(AND((YEAR(C406)=YEAR($I$2)),MONTH(C406)=MONTH($I$2)),ii!$B$14*12+ii!$C$14+ii!$B$15*12+ii!$C$15-1,V405+1))</f>
        <v>299</v>
      </c>
      <c r="W406" s="339">
        <f t="shared" si="102"/>
        <v>24.916666666666668</v>
      </c>
      <c r="X406" s="494" t="s">
        <v>621</v>
      </c>
      <c r="Y406" s="495" t="s">
        <v>621</v>
      </c>
      <c r="Z406" s="496"/>
      <c r="AA406" s="497"/>
      <c r="AB406" s="498" t="e">
        <f t="shared" si="94"/>
        <v>#VALUE!</v>
      </c>
      <c r="AC406" s="484" t="str">
        <f t="shared" si="92"/>
        <v/>
      </c>
      <c r="AD406" s="495" t="str">
        <f t="shared" si="93"/>
        <v/>
      </c>
      <c r="AE406" s="499" t="s">
        <v>621</v>
      </c>
      <c r="AF406" s="500" t="s">
        <v>621</v>
      </c>
      <c r="AG406" s="556" t="s">
        <v>621</v>
      </c>
      <c r="AH406" s="503" t="str">
        <f>IF($G406="","",IF(AND($G406&gt;=30,$AT$3&lt;=AG$7),ROUND(AG406*($AP$3+#REF!),-1),""))</f>
        <v/>
      </c>
      <c r="AI406" s="506" t="s">
        <v>621</v>
      </c>
      <c r="AJ406" s="503" t="str">
        <f>IF($G406="","",IF(AND($G406&gt;=30,$AT$3&lt;=AI$7),ROUND(AI406*($AP$3+#REF!),-1),""))</f>
        <v/>
      </c>
      <c r="AK406" s="506" t="s">
        <v>621</v>
      </c>
      <c r="AL406" s="503" t="str">
        <f>IF($G406="","",IF(AND($G406&gt;=30,$AT$3&lt;=AK$7),ROUND(AK406*($AP$3+#REF!),-1),""))</f>
        <v/>
      </c>
      <c r="AM406" s="506" t="s">
        <v>621</v>
      </c>
      <c r="AN406" s="503" t="str">
        <f>IF($G406="","",IF(AND($G406&gt;=30,$AT$3&lt;=AM$7),ROUND(AM406*($AP$3+#REF!),-1),""))</f>
        <v/>
      </c>
      <c r="AO406" s="503" t="e">
        <f>IF(AO405="","",AO405*1.001)</f>
        <v>#REF!</v>
      </c>
      <c r="AP406" s="503" t="str">
        <f>IF($G406="","",IF(AND($G406&gt;=30,$AT$3&lt;=AO$7),ROUND(AO406*($AP$3+#REF!),-1),""))</f>
        <v/>
      </c>
      <c r="AQ406" s="503" t="s">
        <v>621</v>
      </c>
      <c r="AR406" s="503" t="str">
        <f>IF($G406="","",IF(AND($G406&gt;=30,$AT$3&lt;=AQ$7),ROUND(AQ406*($AP$3+#REF!),-1),""))</f>
        <v/>
      </c>
      <c r="AS406" s="503" t="s">
        <v>621</v>
      </c>
      <c r="AT406" s="503" t="str">
        <f>IF($G406="","",IF(AND($G406&gt;=30,$AT$3&lt;=AS$7),ROUND(AS406*($AP$3+#REF!),-1),""))</f>
        <v/>
      </c>
      <c r="AU406" s="503" t="s">
        <v>621</v>
      </c>
      <c r="AV406" s="503" t="str">
        <f>IF($G406="","",IF(AND($G406&gt;=30,$AT$3&lt;=AU$7),ROUND(AU406*($AP$3+#REF!),-1),""))</f>
        <v/>
      </c>
      <c r="AW406" s="503" t="s">
        <v>621</v>
      </c>
      <c r="AX406" s="503" t="str">
        <f>IF($G406="","",IF(AND($G406&gt;=30,$AT$3&lt;=AW$7),ROUND(AW406*($AP$3+#REF!),-1),""))</f>
        <v/>
      </c>
      <c r="AY406" s="503" t="s">
        <v>621</v>
      </c>
      <c r="AZ406" s="503" t="str">
        <f>IF($G406="","",IF(AND($G406&gt;=30,$AT$3&lt;=AY$7),ROUND(AY406*($AP$3+#REF!),-1),""))</f>
        <v/>
      </c>
      <c r="BA406" s="503" t="s">
        <v>621</v>
      </c>
      <c r="BB406" s="503" t="str">
        <f>IF($G406="","",IF(AND($G406&gt;=30,$AT$3&lt;=BA$7),ROUND(BA406*($AP$3+#REF!),-1),""))</f>
        <v/>
      </c>
      <c r="BC406" s="503" t="s">
        <v>621</v>
      </c>
      <c r="BD406" s="503" t="str">
        <f>IF($G406="","",IF(AND($G406&gt;=30,$AT$3&lt;=BC$7),ROUND(BC406*($AP$3+#REF!),-1),""))</f>
        <v/>
      </c>
      <c r="BE406" s="503" t="s">
        <v>621</v>
      </c>
      <c r="BF406" s="503" t="str">
        <f>IF($G406="","",IF(AND($G406&gt;=30,$AT$3&lt;=BE$7),ROUND(BE406*($AP$3+#REF!),-1),""))</f>
        <v/>
      </c>
      <c r="BG406" s="503" t="s">
        <v>621</v>
      </c>
      <c r="BH406" s="503" t="str">
        <f>IF($G406="","",IF(AND($G406&gt;=30,$AT$3&lt;=BG$7),ROUND(BG406*($AP$3+#REF!),-1),""))</f>
        <v/>
      </c>
      <c r="BI406" s="503" t="s">
        <v>621</v>
      </c>
      <c r="BJ406" s="503" t="str">
        <f>IF($G406="","",IF(AND($G406&gt;=30,$AT$3&lt;=BI$7),ROUND(BI406*($AP$3+#REF!),-1),""))</f>
        <v/>
      </c>
      <c r="BK406" s="503" t="s">
        <v>621</v>
      </c>
      <c r="BL406" s="503" t="str">
        <f>IF($G406="","",IF(AND($G406&gt;=30,$AT$3&lt;=BK$7),ROUND(BK406*($AP$3+#REF!),-1),""))</f>
        <v/>
      </c>
      <c r="BM406" s="503" t="s">
        <v>621</v>
      </c>
      <c r="BN406" s="503" t="str">
        <f>IF($G406="","",IF(AND($G406&gt;=30,$AT$3&lt;=BM$7),ROUND(BM406*($AP$3+#REF!),-1),""))</f>
        <v/>
      </c>
      <c r="BO406" s="503" t="s">
        <v>621</v>
      </c>
      <c r="BP406" s="503" t="str">
        <f>IF($G406="","",IF(AND($G406&gt;=30,$AT$3&lt;=BO$7),ROUND(BO406*($AP$3+#REF!),-1),""))</f>
        <v/>
      </c>
      <c r="BQ406" s="503" t="s">
        <v>621</v>
      </c>
      <c r="BR406" s="503" t="str">
        <f>IF($G406="","",IF(AND($G406&gt;=30,$AT$3&lt;=BQ$7),ROUND(BQ406*($AP$3+#REF!),-1),""))</f>
        <v/>
      </c>
      <c r="BS406" s="503" t="s">
        <v>621</v>
      </c>
      <c r="BT406" s="503" t="str">
        <f>IF($G406="","",IF(AND($G406&gt;=30,$AT$3&lt;=BS$7),ROUND(BS406*($AP$3+#REF!),-1),""))</f>
        <v/>
      </c>
      <c r="BU406" s="503" t="s">
        <v>621</v>
      </c>
      <c r="BV406" s="503" t="str">
        <f>IF($G406="","",IF(AND($G406&gt;=30,$AT$3&lt;=BU$7),ROUND(BU406*($AP$3+#REF!),-1),""))</f>
        <v/>
      </c>
      <c r="BW406" s="503" t="s">
        <v>621</v>
      </c>
      <c r="BX406" s="503" t="str">
        <f>IF($G406="","",IF(AND($G406&gt;=30,$AT$3&lt;=BW$7),ROUND(BW406*($AP$3+#REF!),-1),""))</f>
        <v/>
      </c>
      <c r="BY406" s="503" t="s">
        <v>621</v>
      </c>
      <c r="BZ406" s="503" t="str">
        <f>IF($G406="","",IF(AND($G406&gt;=30,$AT$3&lt;=BY$7),ROUND(BY406*($AP$3+#REF!),-1),""))</f>
        <v/>
      </c>
      <c r="CA406" s="503" t="s">
        <v>621</v>
      </c>
      <c r="CB406" s="503" t="str">
        <f>IF($G406="","",IF(AND($G406&gt;=30,$AT$3&lt;=CA$7),ROUND(CA406*($AP$3+#REF!),-1),""))</f>
        <v/>
      </c>
      <c r="CC406" s="503" t="s">
        <v>621</v>
      </c>
      <c r="CD406" s="503" t="str">
        <f>IF($G406="","",IF(AND($G406&gt;=30,$AT$3&lt;=CC$7),ROUND(CC406*($AP$3+#REF!),-1),""))</f>
        <v/>
      </c>
      <c r="CE406" s="503" t="s">
        <v>621</v>
      </c>
      <c r="CF406" s="503" t="str">
        <f>IF($G406="","",IF(AND($G406&gt;=30,$AT$3&lt;=CE$7),ROUND(CE406*($AP$3+#REF!),-1),""))</f>
        <v/>
      </c>
      <c r="CG406" s="503" t="s">
        <v>621</v>
      </c>
      <c r="CH406" s="503" t="str">
        <f>IF($G406="","",IF(AND($G406&gt;=30,$AT$3&lt;=CG$7),ROUND(CG406*($AP$3+#REF!),-1),""))</f>
        <v/>
      </c>
      <c r="CI406" s="503" t="s">
        <v>621</v>
      </c>
      <c r="CJ406" s="503" t="str">
        <f>IF($G406="","",IF(AND($G406&gt;=30,$AT$3&lt;=CI$7),ROUND(CI406*($AP$3+#REF!),-1),""))</f>
        <v/>
      </c>
      <c r="CK406" s="503" t="s">
        <v>621</v>
      </c>
      <c r="CL406" s="503" t="str">
        <f>IF($G406="","",IF(AND($G406&gt;=30,$AT$3&lt;=CK$7),ROUND(CK406*($AP$3+#REF!),-1),""))</f>
        <v/>
      </c>
      <c r="CM406" s="503" t="s">
        <v>621</v>
      </c>
      <c r="CN406" s="503" t="str">
        <f>IF($G406="","",IF(AND($G406&gt;=30,$AT$3&lt;=CM$7),ROUND(CM406*($AP$3+#REF!),-1),""))</f>
        <v/>
      </c>
      <c r="CO406" s="503" t="s">
        <v>621</v>
      </c>
      <c r="CP406" s="503" t="str">
        <f>IF($G406="","",IF(AND($G406&gt;=30,$AT$3&lt;=CO$7),ROUND(CO406*($AP$3+#REF!),-1),""))</f>
        <v/>
      </c>
      <c r="CQ406" s="503" t="s">
        <v>621</v>
      </c>
      <c r="CR406" s="503" t="str">
        <f>IF($G406="","",IF(AND($G406&gt;=30,$AT$3&lt;=CQ$7),ROUND(CQ406*($AP$3+#REF!),-1),""))</f>
        <v/>
      </c>
      <c r="CS406" s="503" t="s">
        <v>621</v>
      </c>
      <c r="CT406" s="503" t="str">
        <f>IF($G406="","",IF(AND($G406&gt;=30,$AT$3&lt;=CS$7),ROUND(CS406*($AP$3+#REF!),-1),""))</f>
        <v/>
      </c>
      <c r="CU406" s="517" t="e">
        <v>#REF!</v>
      </c>
      <c r="CV406" s="503" t="str">
        <f>IF($G406="","",IF(AND($G406&gt;=30,$AT$3&lt;=CU$7),ROUND(CU406*($AP$3+#REF!),-1),""))</f>
        <v/>
      </c>
      <c r="CW406" s="517"/>
      <c r="CX406" s="503" t="str">
        <f>IF($G406="","",IF(AND($G406&gt;=30,$AT$3&lt;=CW$7),ROUND(CW406*($AP$3+#REF!),-1),""))</f>
        <v/>
      </c>
      <c r="CY406" s="517"/>
      <c r="CZ406" s="503" t="str">
        <f>IF($G406="","",IF(AND($G406&gt;=30,$AT$3&lt;=CY$7),ROUND(CY406*($AP$3+#REF!),-1),""))</f>
        <v/>
      </c>
      <c r="DA406" s="517"/>
      <c r="DB406" s="503" t="str">
        <f>IF($G406="","",IF(AND($G406&gt;=30,$AT$3&lt;=DA$7),ROUND(DA406*($AP$3+#REF!),-1),""))</f>
        <v/>
      </c>
      <c r="DC406" s="517"/>
      <c r="DD406" s="503" t="str">
        <f>IF($G406="","",IF(AND($G406&gt;=30,$AT$3&lt;=DC$7),ROUND(DC406*($AP$3+#REF!),-1),""))</f>
        <v/>
      </c>
      <c r="DE406" s="517"/>
      <c r="DF406" s="503" t="str">
        <f>IF($G406="","",IF(AND($G406&gt;=30,$AT$3&lt;=DE$7),ROUND(DE406*($AP$3+#REF!),-1),""))</f>
        <v/>
      </c>
      <c r="DG406" s="517"/>
      <c r="DH406" s="503" t="str">
        <f>IF($G406="","",IF(AND($G406&gt;=30,$AT$3&lt;=DG$7),ROUND(DG406*($AP$3+#REF!),-1),""))</f>
        <v/>
      </c>
      <c r="DI406" s="517"/>
      <c r="DJ406" s="503" t="str">
        <f>IF($G406="","",IF(AND($G406&gt;=30,$AT$3&lt;=DI$7),ROUND(DI406*($AP$3+#REF!),-1),""))</f>
        <v/>
      </c>
      <c r="DK406" s="517"/>
      <c r="DL406" s="503" t="str">
        <f>IF($G406="","",IF(AND($G406&gt;=30,$AT$3&lt;=DK$7),ROUND(DK406*($AP$3+#REF!),-1),""))</f>
        <v/>
      </c>
      <c r="DM406" s="517"/>
      <c r="DN406" s="503" t="str">
        <f>IF($G406="","",IF(AND($G406&gt;=30,$AT$3&lt;=DM$7),ROUND(DM406*($AP$3+#REF!),-1),""))</f>
        <v/>
      </c>
      <c r="DO406" s="517"/>
      <c r="DP406" s="503" t="str">
        <f>IF($G406="","",IF(AND($G406&gt;=30,$AT$3&lt;=DO$7),ROUND(DO406*($AP$3+#REF!),-1),""))</f>
        <v/>
      </c>
      <c r="DQ406" s="517"/>
      <c r="DR406" s="503" t="str">
        <f>IF($G406="","",IF(AND($G406&gt;=30,$AT$3&lt;=DQ$7),ROUND(DQ406*($AP$3+#REF!),-1),""))</f>
        <v/>
      </c>
      <c r="DS406" s="517"/>
      <c r="DT406" s="503" t="str">
        <f>IF($G406="","",IF(AND($G406&gt;=30,$AT$3&lt;=DS$7),ROUND(DS406*($AP$3+#REF!),-1),""))</f>
        <v/>
      </c>
      <c r="DU406" s="517"/>
      <c r="DV406" s="503" t="str">
        <f>IF($G406="","",IF(AND($G406&gt;=30,$AT$3&lt;=DU$7),ROUND(DU406*($AP$3+#REF!),-1),""))</f>
        <v/>
      </c>
      <c r="DW406" s="517"/>
      <c r="DX406" s="503" t="str">
        <f>IF($G406="","",IF(AND($G406&gt;=30,$AT$3&lt;=DW$7),ROUND(DW406*($AP$3+#REF!),-1),""))</f>
        <v/>
      </c>
      <c r="DY406" s="517"/>
      <c r="DZ406" s="503" t="str">
        <f>IF($G406="","",IF(AND($G406&gt;=30,$AT$3&lt;=DY$7),ROUND(DY406*($AP$3+#REF!),-1),""))</f>
        <v/>
      </c>
      <c r="EA406" s="517"/>
      <c r="EB406" s="503" t="str">
        <f>IF($G406="","",IF(AND($G406&gt;=30,$AT$3&lt;=EA$7),ROUND(EA406*($AP$3+#REF!),-1),""))</f>
        <v/>
      </c>
      <c r="EC406" s="504" t="s">
        <v>621</v>
      </c>
      <c r="ED406" s="1124"/>
      <c r="EE406" s="325">
        <v>2</v>
      </c>
    </row>
    <row r="407" spans="1:135" ht="9.75" customHeight="1">
      <c r="A407" s="321" t="str">
        <f t="shared" si="96"/>
        <v/>
      </c>
      <c r="B407" s="567">
        <f>(ii!$D$13*12+V407)+1</f>
        <v>301</v>
      </c>
      <c r="C407" s="337">
        <f t="shared" si="100"/>
        <v>54513</v>
      </c>
      <c r="D407" s="484">
        <f t="shared" si="89"/>
        <v>2049</v>
      </c>
      <c r="E407" s="484">
        <f t="shared" si="101"/>
        <v>0.25</v>
      </c>
      <c r="F407" s="484">
        <f t="shared" si="90"/>
        <v>2049.25</v>
      </c>
      <c r="G407" s="485" t="str">
        <f>IF(OR(C407&lt;$I$2,C407&gt;$J$3),"",(ii!$D$13*12+V407+1)/12)</f>
        <v/>
      </c>
      <c r="H407" s="486"/>
      <c r="I407" s="486"/>
      <c r="J407" s="487"/>
      <c r="K407" s="488"/>
      <c r="L407" s="548"/>
      <c r="M407" s="489" t="str">
        <f t="shared" si="91"/>
        <v/>
      </c>
      <c r="N407" s="490" t="s">
        <v>621</v>
      </c>
      <c r="O407" s="490" t="str">
        <f t="shared" si="98"/>
        <v/>
      </c>
      <c r="P407" s="491"/>
      <c r="Q407" s="491"/>
      <c r="R407" s="491" t="str">
        <f t="shared" si="99"/>
        <v/>
      </c>
      <c r="S407" s="528" t="str">
        <f t="shared" si="97"/>
        <v/>
      </c>
      <c r="T407" s="528" t="str">
        <f t="shared" si="95"/>
        <v/>
      </c>
      <c r="U407" s="493" t="str">
        <f>IF(H407="","",#REF!*12+#REF!+#REF!*12+#REF!)</f>
        <v/>
      </c>
      <c r="V407" s="338">
        <f>IF(ii!$J$3&gt;gg!C407,"",IF(AND((YEAR(C407)=YEAR($I$2)),MONTH(C407)=MONTH($I$2)),ii!$B$14*12+ii!$C$14+ii!$B$15*12+ii!$C$15-1,V406+1))</f>
        <v>300</v>
      </c>
      <c r="W407" s="339">
        <f t="shared" si="102"/>
        <v>25</v>
      </c>
      <c r="X407" s="494" t="s">
        <v>621</v>
      </c>
      <c r="Y407" s="495" t="s">
        <v>621</v>
      </c>
      <c r="Z407" s="496"/>
      <c r="AA407" s="497"/>
      <c r="AB407" s="498" t="e">
        <f t="shared" si="94"/>
        <v>#VALUE!</v>
      </c>
      <c r="AC407" s="484" t="str">
        <f t="shared" si="92"/>
        <v/>
      </c>
      <c r="AD407" s="495" t="str">
        <f t="shared" si="93"/>
        <v/>
      </c>
      <c r="AE407" s="499" t="s">
        <v>621</v>
      </c>
      <c r="AF407" s="500" t="s">
        <v>621</v>
      </c>
      <c r="AG407" s="556" t="s">
        <v>621</v>
      </c>
      <c r="AH407" s="503" t="str">
        <f>IF($G407="","",IF(AND($G407&gt;=30,$AT$3&lt;=AG$7),ROUND(AG407*($AP$3+#REF!),-1),""))</f>
        <v/>
      </c>
      <c r="AI407" s="506" t="s">
        <v>621</v>
      </c>
      <c r="AJ407" s="503" t="str">
        <f>IF($G407="","",IF(AND($G407&gt;=30,$AT$3&lt;=AI$7),ROUND(AI407*($AP$3+#REF!),-1),""))</f>
        <v/>
      </c>
      <c r="AK407" s="506" t="s">
        <v>621</v>
      </c>
      <c r="AL407" s="503" t="str">
        <f>IF($G407="","",IF(AND($G407&gt;=30,$AT$3&lt;=AK$7),ROUND(AK407*($AP$3+#REF!),-1),""))</f>
        <v/>
      </c>
      <c r="AM407" s="506" t="s">
        <v>621</v>
      </c>
      <c r="AN407" s="503" t="str">
        <f>IF($G407="","",IF(AND($G407&gt;=30,$AT$3&lt;=AM$7),ROUND(AM407*($AP$3+#REF!),-1),""))</f>
        <v/>
      </c>
      <c r="AO407" s="503" t="e">
        <v>#REF!</v>
      </c>
      <c r="AP407" s="503" t="str">
        <f>IF($G407="","",IF(AND($G407&gt;=30,$AT$3&lt;=AO$7),ROUND(AO407*($AP$3+#REF!),-1),""))</f>
        <v/>
      </c>
      <c r="AQ407" s="503" t="s">
        <v>621</v>
      </c>
      <c r="AR407" s="503" t="str">
        <f>IF($G407="","",IF(AND($G407&gt;=30,$AT$3&lt;=AQ$7),ROUND(AQ407*($AP$3+#REF!),-1),""))</f>
        <v/>
      </c>
      <c r="AS407" s="503" t="s">
        <v>621</v>
      </c>
      <c r="AT407" s="503" t="str">
        <f>IF($G407="","",IF(AND($G407&gt;=30,$AT$3&lt;=AS$7),ROUND(AS407*($AP$3+#REF!),-1),""))</f>
        <v/>
      </c>
      <c r="AU407" s="503" t="s">
        <v>621</v>
      </c>
      <c r="AV407" s="503" t="str">
        <f>IF($G407="","",IF(AND($G407&gt;=30,$AT$3&lt;=AU$7),ROUND(AU407*($AP$3+#REF!),-1),""))</f>
        <v/>
      </c>
      <c r="AW407" s="503" t="s">
        <v>621</v>
      </c>
      <c r="AX407" s="503" t="str">
        <f>IF($G407="","",IF(AND($G407&gt;=30,$AT$3&lt;=AW$7),ROUND(AW407*($AP$3+#REF!),-1),""))</f>
        <v/>
      </c>
      <c r="AY407" s="503" t="s">
        <v>621</v>
      </c>
      <c r="AZ407" s="503" t="str">
        <f>IF($G407="","",IF(AND($G407&gt;=30,$AT$3&lt;=AY$7),ROUND(AY407*($AP$3+#REF!),-1),""))</f>
        <v/>
      </c>
      <c r="BA407" s="503" t="s">
        <v>621</v>
      </c>
      <c r="BB407" s="503" t="str">
        <f>IF($G407="","",IF(AND($G407&gt;=30,$AT$3&lt;=BA$7),ROUND(BA407*($AP$3+#REF!),-1),""))</f>
        <v/>
      </c>
      <c r="BC407" s="503" t="s">
        <v>621</v>
      </c>
      <c r="BD407" s="503" t="str">
        <f>IF($G407="","",IF(AND($G407&gt;=30,$AT$3&lt;=BC$7),ROUND(BC407*($AP$3+#REF!),-1),""))</f>
        <v/>
      </c>
      <c r="BE407" s="503" t="s">
        <v>621</v>
      </c>
      <c r="BF407" s="503" t="str">
        <f>IF($G407="","",IF(AND($G407&gt;=30,$AT$3&lt;=BE$7),ROUND(BE407*($AP$3+#REF!),-1),""))</f>
        <v/>
      </c>
      <c r="BG407" s="503" t="s">
        <v>621</v>
      </c>
      <c r="BH407" s="503" t="str">
        <f>IF($G407="","",IF(AND($G407&gt;=30,$AT$3&lt;=BG$7),ROUND(BG407*($AP$3+#REF!),-1),""))</f>
        <v/>
      </c>
      <c r="BI407" s="503" t="s">
        <v>621</v>
      </c>
      <c r="BJ407" s="503" t="str">
        <f>IF($G407="","",IF(AND($G407&gt;=30,$AT$3&lt;=BI$7),ROUND(BI407*($AP$3+#REF!),-1),""))</f>
        <v/>
      </c>
      <c r="BK407" s="503" t="s">
        <v>621</v>
      </c>
      <c r="BL407" s="503" t="str">
        <f>IF($G407="","",IF(AND($G407&gt;=30,$AT$3&lt;=BK$7),ROUND(BK407*($AP$3+#REF!),-1),""))</f>
        <v/>
      </c>
      <c r="BM407" s="503" t="s">
        <v>621</v>
      </c>
      <c r="BN407" s="503" t="str">
        <f>IF($G407="","",IF(AND($G407&gt;=30,$AT$3&lt;=BM$7),ROUND(BM407*($AP$3+#REF!),-1),""))</f>
        <v/>
      </c>
      <c r="BO407" s="503" t="s">
        <v>621</v>
      </c>
      <c r="BP407" s="503" t="str">
        <f>IF($G407="","",IF(AND($G407&gt;=30,$AT$3&lt;=BO$7),ROUND(BO407*($AP$3+#REF!),-1),""))</f>
        <v/>
      </c>
      <c r="BQ407" s="503" t="s">
        <v>621</v>
      </c>
      <c r="BR407" s="503" t="str">
        <f>IF($G407="","",IF(AND($G407&gt;=30,$AT$3&lt;=BQ$7),ROUND(BQ407*($AP$3+#REF!),-1),""))</f>
        <v/>
      </c>
      <c r="BS407" s="503" t="s">
        <v>621</v>
      </c>
      <c r="BT407" s="503" t="str">
        <f>IF($G407="","",IF(AND($G407&gt;=30,$AT$3&lt;=BS$7),ROUND(BS407*($AP$3+#REF!),-1),""))</f>
        <v/>
      </c>
      <c r="BU407" s="503" t="s">
        <v>621</v>
      </c>
      <c r="BV407" s="503" t="str">
        <f>IF($G407="","",IF(AND($G407&gt;=30,$AT$3&lt;=BU$7),ROUND(BU407*($AP$3+#REF!),-1),""))</f>
        <v/>
      </c>
      <c r="BW407" s="503" t="s">
        <v>621</v>
      </c>
      <c r="BX407" s="503" t="str">
        <f>IF($G407="","",IF(AND($G407&gt;=30,$AT$3&lt;=BW$7),ROUND(BW407*($AP$3+#REF!),-1),""))</f>
        <v/>
      </c>
      <c r="BY407" s="503" t="s">
        <v>621</v>
      </c>
      <c r="BZ407" s="503" t="str">
        <f>IF($G407="","",IF(AND($G407&gt;=30,$AT$3&lt;=BY$7),ROUND(BY407*($AP$3+#REF!),-1),""))</f>
        <v/>
      </c>
      <c r="CA407" s="503" t="s">
        <v>621</v>
      </c>
      <c r="CB407" s="503" t="str">
        <f>IF($G407="","",IF(AND($G407&gt;=30,$AT$3&lt;=CA$7),ROUND(CA407*($AP$3+#REF!),-1),""))</f>
        <v/>
      </c>
      <c r="CC407" s="503" t="s">
        <v>621</v>
      </c>
      <c r="CD407" s="503" t="str">
        <f>IF($G407="","",IF(AND($G407&gt;=30,$AT$3&lt;=CC$7),ROUND(CC407*($AP$3+#REF!),-1),""))</f>
        <v/>
      </c>
      <c r="CE407" s="503" t="s">
        <v>621</v>
      </c>
      <c r="CF407" s="503" t="str">
        <f>IF($G407="","",IF(AND($G407&gt;=30,$AT$3&lt;=CE$7),ROUND(CE407*($AP$3+#REF!),-1),""))</f>
        <v/>
      </c>
      <c r="CG407" s="503" t="s">
        <v>621</v>
      </c>
      <c r="CH407" s="503" t="str">
        <f>IF($G407="","",IF(AND($G407&gt;=30,$AT$3&lt;=CG$7),ROUND(CG407*($AP$3+#REF!),-1),""))</f>
        <v/>
      </c>
      <c r="CI407" s="503" t="s">
        <v>621</v>
      </c>
      <c r="CJ407" s="503" t="str">
        <f>IF($G407="","",IF(AND($G407&gt;=30,$AT$3&lt;=CI$7),ROUND(CI407*($AP$3+#REF!),-1),""))</f>
        <v/>
      </c>
      <c r="CK407" s="503" t="s">
        <v>621</v>
      </c>
      <c r="CL407" s="503" t="str">
        <f>IF($G407="","",IF(AND($G407&gt;=30,$AT$3&lt;=CK$7),ROUND(CK407*($AP$3+#REF!),-1),""))</f>
        <v/>
      </c>
      <c r="CM407" s="503" t="s">
        <v>621</v>
      </c>
      <c r="CN407" s="503" t="str">
        <f>IF($G407="","",IF(AND($G407&gt;=30,$AT$3&lt;=CM$7),ROUND(CM407*($AP$3+#REF!),-1),""))</f>
        <v/>
      </c>
      <c r="CO407" s="503" t="s">
        <v>621</v>
      </c>
      <c r="CP407" s="503" t="str">
        <f>IF($G407="","",IF(AND($G407&gt;=30,$AT$3&lt;=CO$7),ROUND(CO407*($AP$3+#REF!),-1),""))</f>
        <v/>
      </c>
      <c r="CQ407" s="503" t="s">
        <v>621</v>
      </c>
      <c r="CR407" s="503" t="str">
        <f>IF($G407="","",IF(AND($G407&gt;=30,$AT$3&lt;=CQ$7),ROUND(CQ407*($AP$3+#REF!),-1),""))</f>
        <v/>
      </c>
      <c r="CS407" s="503" t="s">
        <v>621</v>
      </c>
      <c r="CT407" s="503" t="str">
        <f>IF($G407="","",IF(AND($G407&gt;=30,$AT$3&lt;=CS$7),ROUND(CS407*($AP$3+#REF!),-1),""))</f>
        <v/>
      </c>
      <c r="CU407" s="517" t="e">
        <v>#REF!</v>
      </c>
      <c r="CV407" s="503" t="str">
        <f>IF($G407="","",IF(AND($G407&gt;=30,$AT$3&lt;=CU$7),ROUND(CU407*($AP$3+#REF!),-1),""))</f>
        <v/>
      </c>
      <c r="CW407" s="517"/>
      <c r="CX407" s="503" t="str">
        <f>IF($G407="","",IF(AND($G407&gt;=30,$AT$3&lt;=CW$7),ROUND(CW407*($AP$3+#REF!),-1),""))</f>
        <v/>
      </c>
      <c r="CY407" s="517"/>
      <c r="CZ407" s="503" t="str">
        <f>IF($G407="","",IF(AND($G407&gt;=30,$AT$3&lt;=CY$7),ROUND(CY407*($AP$3+#REF!),-1),""))</f>
        <v/>
      </c>
      <c r="DA407" s="517"/>
      <c r="DB407" s="503" t="str">
        <f>IF($G407="","",IF(AND($G407&gt;=30,$AT$3&lt;=DA$7),ROUND(DA407*($AP$3+#REF!),-1),""))</f>
        <v/>
      </c>
      <c r="DC407" s="517"/>
      <c r="DD407" s="503" t="str">
        <f>IF($G407="","",IF(AND($G407&gt;=30,$AT$3&lt;=DC$7),ROUND(DC407*($AP$3+#REF!),-1),""))</f>
        <v/>
      </c>
      <c r="DE407" s="517"/>
      <c r="DF407" s="503" t="str">
        <f>IF($G407="","",IF(AND($G407&gt;=30,$AT$3&lt;=DE$7),ROUND(DE407*($AP$3+#REF!),-1),""))</f>
        <v/>
      </c>
      <c r="DG407" s="517"/>
      <c r="DH407" s="503" t="str">
        <f>IF($G407="","",IF(AND($G407&gt;=30,$AT$3&lt;=DG$7),ROUND(DG407*($AP$3+#REF!),-1),""))</f>
        <v/>
      </c>
      <c r="DI407" s="517"/>
      <c r="DJ407" s="503" t="str">
        <f>IF($G407="","",IF(AND($G407&gt;=30,$AT$3&lt;=DI$7),ROUND(DI407*($AP$3+#REF!),-1),""))</f>
        <v/>
      </c>
      <c r="DK407" s="517"/>
      <c r="DL407" s="503" t="str">
        <f>IF($G407="","",IF(AND($G407&gt;=30,$AT$3&lt;=DK$7),ROUND(DK407*($AP$3+#REF!),-1),""))</f>
        <v/>
      </c>
      <c r="DM407" s="517"/>
      <c r="DN407" s="503" t="str">
        <f>IF($G407="","",IF(AND($G407&gt;=30,$AT$3&lt;=DM$7),ROUND(DM407*($AP$3+#REF!),-1),""))</f>
        <v/>
      </c>
      <c r="DO407" s="517"/>
      <c r="DP407" s="503" t="str">
        <f>IF($G407="","",IF(AND($G407&gt;=30,$AT$3&lt;=DO$7),ROUND(DO407*($AP$3+#REF!),-1),""))</f>
        <v/>
      </c>
      <c r="DQ407" s="517"/>
      <c r="DR407" s="503" t="str">
        <f>IF($G407="","",IF(AND($G407&gt;=30,$AT$3&lt;=DQ$7),ROUND(DQ407*($AP$3+#REF!),-1),""))</f>
        <v/>
      </c>
      <c r="DS407" s="517"/>
      <c r="DT407" s="503" t="str">
        <f>IF($G407="","",IF(AND($G407&gt;=30,$AT$3&lt;=DS$7),ROUND(DS407*($AP$3+#REF!),-1),""))</f>
        <v/>
      </c>
      <c r="DU407" s="517"/>
      <c r="DV407" s="503" t="str">
        <f>IF($G407="","",IF(AND($G407&gt;=30,$AT$3&lt;=DU$7),ROUND(DU407*($AP$3+#REF!),-1),""))</f>
        <v/>
      </c>
      <c r="DW407" s="517"/>
      <c r="DX407" s="503" t="str">
        <f>IF($G407="","",IF(AND($G407&gt;=30,$AT$3&lt;=DW$7),ROUND(DW407*($AP$3+#REF!),-1),""))</f>
        <v/>
      </c>
      <c r="DY407" s="517"/>
      <c r="DZ407" s="503" t="str">
        <f>IF($G407="","",IF(AND($G407&gt;=30,$AT$3&lt;=DY$7),ROUND(DY407*($AP$3+#REF!),-1),""))</f>
        <v/>
      </c>
      <c r="EA407" s="517"/>
      <c r="EB407" s="503" t="str">
        <f>IF($G407="","",IF(AND($G407&gt;=30,$AT$3&lt;=EA$7),ROUND(EA407*($AP$3+#REF!),-1),""))</f>
        <v/>
      </c>
      <c r="EC407" s="504" t="s">
        <v>621</v>
      </c>
      <c r="ED407" s="1124"/>
      <c r="EE407" s="325">
        <v>3</v>
      </c>
    </row>
    <row r="408" spans="1:135" ht="9.75" customHeight="1">
      <c r="A408" s="321" t="str">
        <f t="shared" si="96"/>
        <v/>
      </c>
      <c r="B408" s="567">
        <f>(ii!$D$13*12+V408)+1</f>
        <v>302</v>
      </c>
      <c r="C408" s="337">
        <f t="shared" si="100"/>
        <v>54543</v>
      </c>
      <c r="D408" s="484">
        <f t="shared" si="89"/>
        <v>2049</v>
      </c>
      <c r="E408" s="484">
        <f t="shared" si="101"/>
        <v>0.33333333333333331</v>
      </c>
      <c r="F408" s="484">
        <f t="shared" si="90"/>
        <v>2049.3333333333335</v>
      </c>
      <c r="G408" s="485" t="str">
        <f>IF(OR(C408&lt;$I$2,C408&gt;$J$3),"",(ii!$D$13*12+V408+1)/12)</f>
        <v/>
      </c>
      <c r="H408" s="486"/>
      <c r="I408" s="486"/>
      <c r="J408" s="487"/>
      <c r="K408" s="488"/>
      <c r="L408" s="548"/>
      <c r="M408" s="489" t="str">
        <f t="shared" si="91"/>
        <v/>
      </c>
      <c r="N408" s="490" t="s">
        <v>621</v>
      </c>
      <c r="O408" s="490" t="str">
        <f t="shared" si="98"/>
        <v/>
      </c>
      <c r="P408" s="491"/>
      <c r="Q408" s="491"/>
      <c r="R408" s="491" t="str">
        <f t="shared" si="99"/>
        <v/>
      </c>
      <c r="S408" s="528" t="str">
        <f t="shared" si="97"/>
        <v/>
      </c>
      <c r="T408" s="528" t="str">
        <f t="shared" si="95"/>
        <v/>
      </c>
      <c r="U408" s="493" t="str">
        <f>IF(H408="","",#REF!*12+#REF!+#REF!*12+#REF!)</f>
        <v/>
      </c>
      <c r="V408" s="338">
        <f>IF(ii!$J$3&gt;gg!C408,"",IF(AND((YEAR(C408)=YEAR($I$2)),MONTH(C408)=MONTH($I$2)),ii!$B$14*12+ii!$C$14+ii!$B$15*12+ii!$C$15-1,V407+1))</f>
        <v>301</v>
      </c>
      <c r="W408" s="339">
        <f t="shared" si="102"/>
        <v>25.083333333333332</v>
      </c>
      <c r="X408" s="494" t="s">
        <v>621</v>
      </c>
      <c r="Y408" s="495" t="s">
        <v>621</v>
      </c>
      <c r="Z408" s="496"/>
      <c r="AA408" s="497"/>
      <c r="AB408" s="498" t="e">
        <f t="shared" si="94"/>
        <v>#VALUE!</v>
      </c>
      <c r="AC408" s="484" t="str">
        <f t="shared" si="92"/>
        <v/>
      </c>
      <c r="AD408" s="495" t="str">
        <f t="shared" si="93"/>
        <v/>
      </c>
      <c r="AE408" s="499" t="s">
        <v>621</v>
      </c>
      <c r="AF408" s="500" t="s">
        <v>621</v>
      </c>
      <c r="AG408" s="556" t="s">
        <v>621</v>
      </c>
      <c r="AH408" s="503" t="str">
        <f>IF($G408="","",IF(AND($G408&gt;=30,$AT$3&lt;=AG$7),ROUND(AG408*($AP$3+#REF!),-1),""))</f>
        <v/>
      </c>
      <c r="AI408" s="506" t="s">
        <v>621</v>
      </c>
      <c r="AJ408" s="503" t="str">
        <f>IF($G408="","",IF(AND($G408&gt;=30,$AT$3&lt;=AI$7),ROUND(AI408*($AP$3+#REF!),-1),""))</f>
        <v/>
      </c>
      <c r="AK408" s="506" t="s">
        <v>621</v>
      </c>
      <c r="AL408" s="503" t="str">
        <f>IF($G408="","",IF(AND($G408&gt;=30,$AT$3&lt;=AK$7),ROUND(AK408*($AP$3+#REF!),-1),""))</f>
        <v/>
      </c>
      <c r="AM408" s="506" t="s">
        <v>621</v>
      </c>
      <c r="AN408" s="503" t="str">
        <f>IF($G408="","",IF(AND($G408&gt;=30,$AT$3&lt;=AM$7),ROUND(AM408*($AP$3+#REF!),-1),""))</f>
        <v/>
      </c>
      <c r="AO408" s="503" t="e">
        <v>#REF!</v>
      </c>
      <c r="AP408" s="503" t="str">
        <f>IF($G408="","",IF(AND($G408&gt;=30,$AT$3&lt;=AO$7),ROUND(AO408*($AP$3+#REF!),-1),""))</f>
        <v/>
      </c>
      <c r="AQ408" s="503" t="s">
        <v>621</v>
      </c>
      <c r="AR408" s="503" t="str">
        <f>IF($G408="","",IF(AND($G408&gt;=30,$AT$3&lt;=AQ$7),ROUND(AQ408*($AP$3+#REF!),-1),""))</f>
        <v/>
      </c>
      <c r="AS408" s="503" t="s">
        <v>621</v>
      </c>
      <c r="AT408" s="503" t="str">
        <f>IF($G408="","",IF(AND($G408&gt;=30,$AT$3&lt;=AS$7),ROUND(AS408*($AP$3+#REF!),-1),""))</f>
        <v/>
      </c>
      <c r="AU408" s="503" t="s">
        <v>621</v>
      </c>
      <c r="AV408" s="503" t="str">
        <f>IF($G408="","",IF(AND($G408&gt;=30,$AT$3&lt;=AU$7),ROUND(AU408*($AP$3+#REF!),-1),""))</f>
        <v/>
      </c>
      <c r="AW408" s="503" t="s">
        <v>621</v>
      </c>
      <c r="AX408" s="503" t="str">
        <f>IF($G408="","",IF(AND($G408&gt;=30,$AT$3&lt;=AW$7),ROUND(AW408*($AP$3+#REF!),-1),""))</f>
        <v/>
      </c>
      <c r="AY408" s="503" t="s">
        <v>621</v>
      </c>
      <c r="AZ408" s="503" t="str">
        <f>IF($G408="","",IF(AND($G408&gt;=30,$AT$3&lt;=AY$7),ROUND(AY408*($AP$3+#REF!),-1),""))</f>
        <v/>
      </c>
      <c r="BA408" s="503" t="s">
        <v>621</v>
      </c>
      <c r="BB408" s="503" t="str">
        <f>IF($G408="","",IF(AND($G408&gt;=30,$AT$3&lt;=BA$7),ROUND(BA408*($AP$3+#REF!),-1),""))</f>
        <v/>
      </c>
      <c r="BC408" s="503" t="s">
        <v>621</v>
      </c>
      <c r="BD408" s="503" t="str">
        <f>IF($G408="","",IF(AND($G408&gt;=30,$AT$3&lt;=BC$7),ROUND(BC408*($AP$3+#REF!),-1),""))</f>
        <v/>
      </c>
      <c r="BE408" s="503" t="s">
        <v>621</v>
      </c>
      <c r="BF408" s="503" t="str">
        <f>IF($G408="","",IF(AND($G408&gt;=30,$AT$3&lt;=BE$7),ROUND(BE408*($AP$3+#REF!),-1),""))</f>
        <v/>
      </c>
      <c r="BG408" s="503" t="s">
        <v>621</v>
      </c>
      <c r="BH408" s="503" t="str">
        <f>IF($G408="","",IF(AND($G408&gt;=30,$AT$3&lt;=BG$7),ROUND(BG408*($AP$3+#REF!),-1),""))</f>
        <v/>
      </c>
      <c r="BI408" s="503" t="s">
        <v>621</v>
      </c>
      <c r="BJ408" s="503" t="str">
        <f>IF($G408="","",IF(AND($G408&gt;=30,$AT$3&lt;=BI$7),ROUND(BI408*($AP$3+#REF!),-1),""))</f>
        <v/>
      </c>
      <c r="BK408" s="503" t="s">
        <v>621</v>
      </c>
      <c r="BL408" s="503" t="str">
        <f>IF($G408="","",IF(AND($G408&gt;=30,$AT$3&lt;=BK$7),ROUND(BK408*($AP$3+#REF!),-1),""))</f>
        <v/>
      </c>
      <c r="BM408" s="503" t="s">
        <v>621</v>
      </c>
      <c r="BN408" s="503" t="str">
        <f>IF($G408="","",IF(AND($G408&gt;=30,$AT$3&lt;=BM$7),ROUND(BM408*($AP$3+#REF!),-1),""))</f>
        <v/>
      </c>
      <c r="BO408" s="503" t="s">
        <v>621</v>
      </c>
      <c r="BP408" s="503" t="str">
        <f>IF($G408="","",IF(AND($G408&gt;=30,$AT$3&lt;=BO$7),ROUND(BO408*($AP$3+#REF!),-1),""))</f>
        <v/>
      </c>
      <c r="BQ408" s="503" t="s">
        <v>621</v>
      </c>
      <c r="BR408" s="503" t="str">
        <f>IF($G408="","",IF(AND($G408&gt;=30,$AT$3&lt;=BQ$7),ROUND(BQ408*($AP$3+#REF!),-1),""))</f>
        <v/>
      </c>
      <c r="BS408" s="503" t="s">
        <v>621</v>
      </c>
      <c r="BT408" s="503" t="str">
        <f>IF($G408="","",IF(AND($G408&gt;=30,$AT$3&lt;=BS$7),ROUND(BS408*($AP$3+#REF!),-1),""))</f>
        <v/>
      </c>
      <c r="BU408" s="503" t="s">
        <v>621</v>
      </c>
      <c r="BV408" s="503" t="str">
        <f>IF($G408="","",IF(AND($G408&gt;=30,$AT$3&lt;=BU$7),ROUND(BU408*($AP$3+#REF!),-1),""))</f>
        <v/>
      </c>
      <c r="BW408" s="503" t="s">
        <v>621</v>
      </c>
      <c r="BX408" s="503" t="str">
        <f>IF($G408="","",IF(AND($G408&gt;=30,$AT$3&lt;=BW$7),ROUND(BW408*($AP$3+#REF!),-1),""))</f>
        <v/>
      </c>
      <c r="BY408" s="503" t="s">
        <v>621</v>
      </c>
      <c r="BZ408" s="503" t="str">
        <f>IF($G408="","",IF(AND($G408&gt;=30,$AT$3&lt;=BY$7),ROUND(BY408*($AP$3+#REF!),-1),""))</f>
        <v/>
      </c>
      <c r="CA408" s="503" t="s">
        <v>621</v>
      </c>
      <c r="CB408" s="503" t="str">
        <f>IF($G408="","",IF(AND($G408&gt;=30,$AT$3&lt;=CA$7),ROUND(CA408*($AP$3+#REF!),-1),""))</f>
        <v/>
      </c>
      <c r="CC408" s="503" t="s">
        <v>621</v>
      </c>
      <c r="CD408" s="503" t="str">
        <f>IF($G408="","",IF(AND($G408&gt;=30,$AT$3&lt;=CC$7),ROUND(CC408*($AP$3+#REF!),-1),""))</f>
        <v/>
      </c>
      <c r="CE408" s="503" t="s">
        <v>621</v>
      </c>
      <c r="CF408" s="503" t="str">
        <f>IF($G408="","",IF(AND($G408&gt;=30,$AT$3&lt;=CE$7),ROUND(CE408*($AP$3+#REF!),-1),""))</f>
        <v/>
      </c>
      <c r="CG408" s="503" t="s">
        <v>621</v>
      </c>
      <c r="CH408" s="503" t="str">
        <f>IF($G408="","",IF(AND($G408&gt;=30,$AT$3&lt;=CG$7),ROUND(CG408*($AP$3+#REF!),-1),""))</f>
        <v/>
      </c>
      <c r="CI408" s="503" t="s">
        <v>621</v>
      </c>
      <c r="CJ408" s="503" t="str">
        <f>IF($G408="","",IF(AND($G408&gt;=30,$AT$3&lt;=CI$7),ROUND(CI408*($AP$3+#REF!),-1),""))</f>
        <v/>
      </c>
      <c r="CK408" s="503" t="s">
        <v>621</v>
      </c>
      <c r="CL408" s="503" t="str">
        <f>IF($G408="","",IF(AND($G408&gt;=30,$AT$3&lt;=CK$7),ROUND(CK408*($AP$3+#REF!),-1),""))</f>
        <v/>
      </c>
      <c r="CM408" s="503" t="s">
        <v>621</v>
      </c>
      <c r="CN408" s="503" t="str">
        <f>IF($G408="","",IF(AND($G408&gt;=30,$AT$3&lt;=CM$7),ROUND(CM408*($AP$3+#REF!),-1),""))</f>
        <v/>
      </c>
      <c r="CO408" s="503" t="s">
        <v>621</v>
      </c>
      <c r="CP408" s="503" t="str">
        <f>IF($G408="","",IF(AND($G408&gt;=30,$AT$3&lt;=CO$7),ROUND(CO408*($AP$3+#REF!),-1),""))</f>
        <v/>
      </c>
      <c r="CQ408" s="503" t="s">
        <v>621</v>
      </c>
      <c r="CR408" s="503" t="str">
        <f>IF($G408="","",IF(AND($G408&gt;=30,$AT$3&lt;=CQ$7),ROUND(CQ408*($AP$3+#REF!),-1),""))</f>
        <v/>
      </c>
      <c r="CS408" s="503" t="s">
        <v>621</v>
      </c>
      <c r="CT408" s="503" t="str">
        <f>IF($G408="","",IF(AND($G408&gt;=30,$AT$3&lt;=CS$7),ROUND(CS408*($AP$3+#REF!),-1),""))</f>
        <v/>
      </c>
      <c r="CU408" s="517" t="e">
        <v>#REF!</v>
      </c>
      <c r="CV408" s="503" t="str">
        <f>IF($G408="","",IF(AND($G408&gt;=30,$AT$3&lt;=CU$7),ROUND(CU408*($AP$3+#REF!),-1),""))</f>
        <v/>
      </c>
      <c r="CW408" s="517"/>
      <c r="CX408" s="503" t="str">
        <f>IF($G408="","",IF(AND($G408&gt;=30,$AT$3&lt;=CW$7),ROUND(CW408*($AP$3+#REF!),-1),""))</f>
        <v/>
      </c>
      <c r="CY408" s="517"/>
      <c r="CZ408" s="503" t="str">
        <f>IF($G408="","",IF(AND($G408&gt;=30,$AT$3&lt;=CY$7),ROUND(CY408*($AP$3+#REF!),-1),""))</f>
        <v/>
      </c>
      <c r="DA408" s="517"/>
      <c r="DB408" s="503" t="str">
        <f>IF($G408="","",IF(AND($G408&gt;=30,$AT$3&lt;=DA$7),ROUND(DA408*($AP$3+#REF!),-1),""))</f>
        <v/>
      </c>
      <c r="DC408" s="517"/>
      <c r="DD408" s="503" t="str">
        <f>IF($G408="","",IF(AND($G408&gt;=30,$AT$3&lt;=DC$7),ROUND(DC408*($AP$3+#REF!),-1),""))</f>
        <v/>
      </c>
      <c r="DE408" s="517"/>
      <c r="DF408" s="503" t="str">
        <f>IF($G408="","",IF(AND($G408&gt;=30,$AT$3&lt;=DE$7),ROUND(DE408*($AP$3+#REF!),-1),""))</f>
        <v/>
      </c>
      <c r="DG408" s="517"/>
      <c r="DH408" s="503" t="str">
        <f>IF($G408="","",IF(AND($G408&gt;=30,$AT$3&lt;=DG$7),ROUND(DG408*($AP$3+#REF!),-1),""))</f>
        <v/>
      </c>
      <c r="DI408" s="517"/>
      <c r="DJ408" s="503" t="str">
        <f>IF($G408="","",IF(AND($G408&gt;=30,$AT$3&lt;=DI$7),ROUND(DI408*($AP$3+#REF!),-1),""))</f>
        <v/>
      </c>
      <c r="DK408" s="517"/>
      <c r="DL408" s="503" t="str">
        <f>IF($G408="","",IF(AND($G408&gt;=30,$AT$3&lt;=DK$7),ROUND(DK408*($AP$3+#REF!),-1),""))</f>
        <v/>
      </c>
      <c r="DM408" s="517"/>
      <c r="DN408" s="503" t="str">
        <f>IF($G408="","",IF(AND($G408&gt;=30,$AT$3&lt;=DM$7),ROUND(DM408*($AP$3+#REF!),-1),""))</f>
        <v/>
      </c>
      <c r="DO408" s="517"/>
      <c r="DP408" s="503" t="str">
        <f>IF($G408="","",IF(AND($G408&gt;=30,$AT$3&lt;=DO$7),ROUND(DO408*($AP$3+#REF!),-1),""))</f>
        <v/>
      </c>
      <c r="DQ408" s="517"/>
      <c r="DR408" s="503" t="str">
        <f>IF($G408="","",IF(AND($G408&gt;=30,$AT$3&lt;=DQ$7),ROUND(DQ408*($AP$3+#REF!),-1),""))</f>
        <v/>
      </c>
      <c r="DS408" s="517"/>
      <c r="DT408" s="503" t="str">
        <f>IF($G408="","",IF(AND($G408&gt;=30,$AT$3&lt;=DS$7),ROUND(DS408*($AP$3+#REF!),-1),""))</f>
        <v/>
      </c>
      <c r="DU408" s="517"/>
      <c r="DV408" s="503" t="str">
        <f>IF($G408="","",IF(AND($G408&gt;=30,$AT$3&lt;=DU$7),ROUND(DU408*($AP$3+#REF!),-1),""))</f>
        <v/>
      </c>
      <c r="DW408" s="517"/>
      <c r="DX408" s="503" t="str">
        <f>IF($G408="","",IF(AND($G408&gt;=30,$AT$3&lt;=DW$7),ROUND(DW408*($AP$3+#REF!),-1),""))</f>
        <v/>
      </c>
      <c r="DY408" s="517"/>
      <c r="DZ408" s="503" t="str">
        <f>IF($G408="","",IF(AND($G408&gt;=30,$AT$3&lt;=DY$7),ROUND(DY408*($AP$3+#REF!),-1),""))</f>
        <v/>
      </c>
      <c r="EA408" s="517"/>
      <c r="EB408" s="503" t="str">
        <f>IF($G408="","",IF(AND($G408&gt;=30,$AT$3&lt;=EA$7),ROUND(EA408*($AP$3+#REF!),-1),""))</f>
        <v/>
      </c>
      <c r="EC408" s="504" t="s">
        <v>621</v>
      </c>
      <c r="ED408" s="1124"/>
      <c r="EE408" s="325">
        <v>4</v>
      </c>
    </row>
    <row r="409" spans="1:135" ht="9.75" customHeight="1">
      <c r="A409" s="321" t="str">
        <f t="shared" si="96"/>
        <v/>
      </c>
      <c r="B409" s="567">
        <f>(ii!$D$13*12+V409)+1</f>
        <v>303</v>
      </c>
      <c r="C409" s="337">
        <f t="shared" si="100"/>
        <v>54574</v>
      </c>
      <c r="D409" s="484">
        <f t="shared" si="89"/>
        <v>2049</v>
      </c>
      <c r="E409" s="484">
        <f t="shared" si="101"/>
        <v>0.41666666666666669</v>
      </c>
      <c r="F409" s="484">
        <f t="shared" si="90"/>
        <v>2049.4166666666665</v>
      </c>
      <c r="G409" s="485" t="str">
        <f>IF(OR(C409&lt;$I$2,C409&gt;$J$3),"",(ii!$D$13*12+V409+1)/12)</f>
        <v/>
      </c>
      <c r="H409" s="486"/>
      <c r="I409" s="486"/>
      <c r="J409" s="507"/>
      <c r="K409" s="508"/>
      <c r="L409" s="548"/>
      <c r="M409" s="489" t="str">
        <f t="shared" si="91"/>
        <v/>
      </c>
      <c r="N409" s="490" t="s">
        <v>621</v>
      </c>
      <c r="O409" s="490" t="str">
        <f t="shared" si="98"/>
        <v/>
      </c>
      <c r="P409" s="507"/>
      <c r="Q409" s="507"/>
      <c r="R409" s="491" t="str">
        <f t="shared" si="99"/>
        <v/>
      </c>
      <c r="S409" s="528" t="str">
        <f t="shared" si="97"/>
        <v/>
      </c>
      <c r="T409" s="528" t="str">
        <f t="shared" si="95"/>
        <v/>
      </c>
      <c r="U409" s="493" t="str">
        <f>IF(H409="","",#REF!*12+#REF!+#REF!*12+#REF!)</f>
        <v/>
      </c>
      <c r="V409" s="338">
        <f>IF(ii!$J$3&gt;gg!C409,"",IF(AND((YEAR(C409)=YEAR($I$2)),MONTH(C409)=MONTH($I$2)),ii!$B$14*12+ii!$C$14+ii!$B$15*12+ii!$C$15-1,V408+1))</f>
        <v>302</v>
      </c>
      <c r="W409" s="339">
        <f t="shared" si="102"/>
        <v>25.166666666666668</v>
      </c>
      <c r="X409" s="494" t="s">
        <v>621</v>
      </c>
      <c r="Y409" s="495" t="s">
        <v>621</v>
      </c>
      <c r="Z409" s="496"/>
      <c r="AA409" s="497"/>
      <c r="AB409" s="498" t="e">
        <f t="shared" si="94"/>
        <v>#VALUE!</v>
      </c>
      <c r="AC409" s="484" t="str">
        <f t="shared" si="92"/>
        <v/>
      </c>
      <c r="AD409" s="495" t="str">
        <f t="shared" si="93"/>
        <v/>
      </c>
      <c r="AE409" s="499" t="s">
        <v>621</v>
      </c>
      <c r="AF409" s="500" t="s">
        <v>621</v>
      </c>
      <c r="AG409" s="556" t="s">
        <v>621</v>
      </c>
      <c r="AH409" s="503" t="str">
        <f>IF($G409="","",IF(AND($G409&gt;=30,$AT$3&lt;=AG$7),ROUND(AG409*($AP$3+#REF!),-1),""))</f>
        <v/>
      </c>
      <c r="AI409" s="506" t="s">
        <v>621</v>
      </c>
      <c r="AJ409" s="503" t="str">
        <f>IF($G409="","",IF(AND($G409&gt;=30,$AT$3&lt;=AI$7),ROUND(AI409*($AP$3+#REF!),-1),""))</f>
        <v/>
      </c>
      <c r="AK409" s="506" t="s">
        <v>621</v>
      </c>
      <c r="AL409" s="503" t="str">
        <f>IF($G409="","",IF(AND($G409&gt;=30,$AT$3&lt;=AK$7),ROUND(AK409*($AP$3+#REF!),-1),""))</f>
        <v/>
      </c>
      <c r="AM409" s="506" t="s">
        <v>621</v>
      </c>
      <c r="AN409" s="503" t="str">
        <f>IF($G409="","",IF(AND($G409&gt;=30,$AT$3&lt;=AM$7),ROUND(AM409*($AP$3+#REF!),-1),""))</f>
        <v/>
      </c>
      <c r="AO409" s="503" t="e">
        <v>#REF!</v>
      </c>
      <c r="AP409" s="503" t="str">
        <f>IF($G409="","",IF(AND($G409&gt;=30,$AT$3&lt;=AO$7),ROUND(AO409*($AP$3+#REF!),-1),""))</f>
        <v/>
      </c>
      <c r="AQ409" s="503" t="s">
        <v>621</v>
      </c>
      <c r="AR409" s="503" t="str">
        <f>IF($G409="","",IF(AND($G409&gt;=30,$AT$3&lt;=AQ$7),ROUND(AQ409*($AP$3+#REF!),-1),""))</f>
        <v/>
      </c>
      <c r="AS409" s="503" t="s">
        <v>621</v>
      </c>
      <c r="AT409" s="503" t="str">
        <f>IF($G409="","",IF(AND($G409&gt;=30,$AT$3&lt;=AS$7),ROUND(AS409*($AP$3+#REF!),-1),""))</f>
        <v/>
      </c>
      <c r="AU409" s="503" t="s">
        <v>621</v>
      </c>
      <c r="AV409" s="503" t="str">
        <f>IF($G409="","",IF(AND($G409&gt;=30,$AT$3&lt;=AU$7),ROUND(AU409*($AP$3+#REF!),-1),""))</f>
        <v/>
      </c>
      <c r="AW409" s="503" t="s">
        <v>621</v>
      </c>
      <c r="AX409" s="503" t="str">
        <f>IF($G409="","",IF(AND($G409&gt;=30,$AT$3&lt;=AW$7),ROUND(AW409*($AP$3+#REF!),-1),""))</f>
        <v/>
      </c>
      <c r="AY409" s="503" t="s">
        <v>621</v>
      </c>
      <c r="AZ409" s="503" t="str">
        <f>IF($G409="","",IF(AND($G409&gt;=30,$AT$3&lt;=AY$7),ROUND(AY409*($AP$3+#REF!),-1),""))</f>
        <v/>
      </c>
      <c r="BA409" s="503" t="s">
        <v>621</v>
      </c>
      <c r="BB409" s="503" t="str">
        <f>IF($G409="","",IF(AND($G409&gt;=30,$AT$3&lt;=BA$7),ROUND(BA409*($AP$3+#REF!),-1),""))</f>
        <v/>
      </c>
      <c r="BC409" s="503" t="s">
        <v>621</v>
      </c>
      <c r="BD409" s="503" t="str">
        <f>IF($G409="","",IF(AND($G409&gt;=30,$AT$3&lt;=BC$7),ROUND(BC409*($AP$3+#REF!),-1),""))</f>
        <v/>
      </c>
      <c r="BE409" s="503" t="s">
        <v>621</v>
      </c>
      <c r="BF409" s="503" t="str">
        <f>IF($G409="","",IF(AND($G409&gt;=30,$AT$3&lt;=BE$7),ROUND(BE409*($AP$3+#REF!),-1),""))</f>
        <v/>
      </c>
      <c r="BG409" s="503" t="s">
        <v>621</v>
      </c>
      <c r="BH409" s="503" t="str">
        <f>IF($G409="","",IF(AND($G409&gt;=30,$AT$3&lt;=BG$7),ROUND(BG409*($AP$3+#REF!),-1),""))</f>
        <v/>
      </c>
      <c r="BI409" s="503" t="s">
        <v>621</v>
      </c>
      <c r="BJ409" s="503" t="str">
        <f>IF($G409="","",IF(AND($G409&gt;=30,$AT$3&lt;=BI$7),ROUND(BI409*($AP$3+#REF!),-1),""))</f>
        <v/>
      </c>
      <c r="BK409" s="503" t="s">
        <v>621</v>
      </c>
      <c r="BL409" s="503" t="str">
        <f>IF($G409="","",IF(AND($G409&gt;=30,$AT$3&lt;=BK$7),ROUND(BK409*($AP$3+#REF!),-1),""))</f>
        <v/>
      </c>
      <c r="BM409" s="503" t="s">
        <v>621</v>
      </c>
      <c r="BN409" s="503" t="str">
        <f>IF($G409="","",IF(AND($G409&gt;=30,$AT$3&lt;=BM$7),ROUND(BM409*($AP$3+#REF!),-1),""))</f>
        <v/>
      </c>
      <c r="BO409" s="503" t="s">
        <v>621</v>
      </c>
      <c r="BP409" s="503" t="str">
        <f>IF($G409="","",IF(AND($G409&gt;=30,$AT$3&lt;=BO$7),ROUND(BO409*($AP$3+#REF!),-1),""))</f>
        <v/>
      </c>
      <c r="BQ409" s="503" t="s">
        <v>621</v>
      </c>
      <c r="BR409" s="503" t="str">
        <f>IF($G409="","",IF(AND($G409&gt;=30,$AT$3&lt;=BQ$7),ROUND(BQ409*($AP$3+#REF!),-1),""))</f>
        <v/>
      </c>
      <c r="BS409" s="503" t="s">
        <v>621</v>
      </c>
      <c r="BT409" s="503" t="str">
        <f>IF($G409="","",IF(AND($G409&gt;=30,$AT$3&lt;=BS$7),ROUND(BS409*($AP$3+#REF!),-1),""))</f>
        <v/>
      </c>
      <c r="BU409" s="503" t="s">
        <v>621</v>
      </c>
      <c r="BV409" s="503" t="str">
        <f>IF($G409="","",IF(AND($G409&gt;=30,$AT$3&lt;=BU$7),ROUND(BU409*($AP$3+#REF!),-1),""))</f>
        <v/>
      </c>
      <c r="BW409" s="503" t="s">
        <v>621</v>
      </c>
      <c r="BX409" s="503" t="str">
        <f>IF($G409="","",IF(AND($G409&gt;=30,$AT$3&lt;=BW$7),ROUND(BW409*($AP$3+#REF!),-1),""))</f>
        <v/>
      </c>
      <c r="BY409" s="503" t="s">
        <v>621</v>
      </c>
      <c r="BZ409" s="503" t="str">
        <f>IF($G409="","",IF(AND($G409&gt;=30,$AT$3&lt;=BY$7),ROUND(BY409*($AP$3+#REF!),-1),""))</f>
        <v/>
      </c>
      <c r="CA409" s="503" t="s">
        <v>621</v>
      </c>
      <c r="CB409" s="503" t="str">
        <f>IF($G409="","",IF(AND($G409&gt;=30,$AT$3&lt;=CA$7),ROUND(CA409*($AP$3+#REF!),-1),""))</f>
        <v/>
      </c>
      <c r="CC409" s="503" t="s">
        <v>621</v>
      </c>
      <c r="CD409" s="503" t="str">
        <f>IF($G409="","",IF(AND($G409&gt;=30,$AT$3&lt;=CC$7),ROUND(CC409*($AP$3+#REF!),-1),""))</f>
        <v/>
      </c>
      <c r="CE409" s="503" t="s">
        <v>621</v>
      </c>
      <c r="CF409" s="503" t="str">
        <f>IF($G409="","",IF(AND($G409&gt;=30,$AT$3&lt;=CE$7),ROUND(CE409*($AP$3+#REF!),-1),""))</f>
        <v/>
      </c>
      <c r="CG409" s="503" t="s">
        <v>621</v>
      </c>
      <c r="CH409" s="503" t="str">
        <f>IF($G409="","",IF(AND($G409&gt;=30,$AT$3&lt;=CG$7),ROUND(CG409*($AP$3+#REF!),-1),""))</f>
        <v/>
      </c>
      <c r="CI409" s="503" t="s">
        <v>621</v>
      </c>
      <c r="CJ409" s="503" t="str">
        <f>IF($G409="","",IF(AND($G409&gt;=30,$AT$3&lt;=CI$7),ROUND(CI409*($AP$3+#REF!),-1),""))</f>
        <v/>
      </c>
      <c r="CK409" s="503" t="s">
        <v>621</v>
      </c>
      <c r="CL409" s="503" t="str">
        <f>IF($G409="","",IF(AND($G409&gt;=30,$AT$3&lt;=CK$7),ROUND(CK409*($AP$3+#REF!),-1),""))</f>
        <v/>
      </c>
      <c r="CM409" s="503" t="s">
        <v>621</v>
      </c>
      <c r="CN409" s="503" t="str">
        <f>IF($G409="","",IF(AND($G409&gt;=30,$AT$3&lt;=CM$7),ROUND(CM409*($AP$3+#REF!),-1),""))</f>
        <v/>
      </c>
      <c r="CO409" s="503" t="s">
        <v>621</v>
      </c>
      <c r="CP409" s="503" t="str">
        <f>IF($G409="","",IF(AND($G409&gt;=30,$AT$3&lt;=CO$7),ROUND(CO409*($AP$3+#REF!),-1),""))</f>
        <v/>
      </c>
      <c r="CQ409" s="503" t="s">
        <v>621</v>
      </c>
      <c r="CR409" s="503" t="str">
        <f>IF($G409="","",IF(AND($G409&gt;=30,$AT$3&lt;=CQ$7),ROUND(CQ409*($AP$3+#REF!),-1),""))</f>
        <v/>
      </c>
      <c r="CS409" s="503" t="s">
        <v>621</v>
      </c>
      <c r="CT409" s="503" t="str">
        <f>IF($G409="","",IF(AND($G409&gt;=30,$AT$3&lt;=CS$7),ROUND(CS409*($AP$3+#REF!),-1),""))</f>
        <v/>
      </c>
      <c r="CU409" s="517" t="e">
        <v>#REF!</v>
      </c>
      <c r="CV409" s="503" t="str">
        <f>IF($G409="","",IF(AND($G409&gt;=30,$AT$3&lt;=CU$7),ROUND(CU409*($AP$3+#REF!),-1),""))</f>
        <v/>
      </c>
      <c r="CW409" s="517"/>
      <c r="CX409" s="503" t="str">
        <f>IF($G409="","",IF(AND($G409&gt;=30,$AT$3&lt;=CW$7),ROUND(CW409*($AP$3+#REF!),-1),""))</f>
        <v/>
      </c>
      <c r="CY409" s="517"/>
      <c r="CZ409" s="503" t="str">
        <f>IF($G409="","",IF(AND($G409&gt;=30,$AT$3&lt;=CY$7),ROUND(CY409*($AP$3+#REF!),-1),""))</f>
        <v/>
      </c>
      <c r="DA409" s="517"/>
      <c r="DB409" s="503" t="str">
        <f>IF($G409="","",IF(AND($G409&gt;=30,$AT$3&lt;=DA$7),ROUND(DA409*($AP$3+#REF!),-1),""))</f>
        <v/>
      </c>
      <c r="DC409" s="517"/>
      <c r="DD409" s="503" t="str">
        <f>IF($G409="","",IF(AND($G409&gt;=30,$AT$3&lt;=DC$7),ROUND(DC409*($AP$3+#REF!),-1),""))</f>
        <v/>
      </c>
      <c r="DE409" s="517"/>
      <c r="DF409" s="503" t="str">
        <f>IF($G409="","",IF(AND($G409&gt;=30,$AT$3&lt;=DE$7),ROUND(DE409*($AP$3+#REF!),-1),""))</f>
        <v/>
      </c>
      <c r="DG409" s="517"/>
      <c r="DH409" s="503" t="str">
        <f>IF($G409="","",IF(AND($G409&gt;=30,$AT$3&lt;=DG$7),ROUND(DG409*($AP$3+#REF!),-1),""))</f>
        <v/>
      </c>
      <c r="DI409" s="517"/>
      <c r="DJ409" s="503" t="str">
        <f>IF($G409="","",IF(AND($G409&gt;=30,$AT$3&lt;=DI$7),ROUND(DI409*($AP$3+#REF!),-1),""))</f>
        <v/>
      </c>
      <c r="DK409" s="517"/>
      <c r="DL409" s="503" t="str">
        <f>IF($G409="","",IF(AND($G409&gt;=30,$AT$3&lt;=DK$7),ROUND(DK409*($AP$3+#REF!),-1),""))</f>
        <v/>
      </c>
      <c r="DM409" s="517"/>
      <c r="DN409" s="503" t="str">
        <f>IF($G409="","",IF(AND($G409&gt;=30,$AT$3&lt;=DM$7),ROUND(DM409*($AP$3+#REF!),-1),""))</f>
        <v/>
      </c>
      <c r="DO409" s="517"/>
      <c r="DP409" s="503" t="str">
        <f>IF($G409="","",IF(AND($G409&gt;=30,$AT$3&lt;=DO$7),ROUND(DO409*($AP$3+#REF!),-1),""))</f>
        <v/>
      </c>
      <c r="DQ409" s="517"/>
      <c r="DR409" s="503" t="str">
        <f>IF($G409="","",IF(AND($G409&gt;=30,$AT$3&lt;=DQ$7),ROUND(DQ409*($AP$3+#REF!),-1),""))</f>
        <v/>
      </c>
      <c r="DS409" s="517"/>
      <c r="DT409" s="503" t="str">
        <f>IF($G409="","",IF(AND($G409&gt;=30,$AT$3&lt;=DS$7),ROUND(DS409*($AP$3+#REF!),-1),""))</f>
        <v/>
      </c>
      <c r="DU409" s="517"/>
      <c r="DV409" s="503" t="str">
        <f>IF($G409="","",IF(AND($G409&gt;=30,$AT$3&lt;=DU$7),ROUND(DU409*($AP$3+#REF!),-1),""))</f>
        <v/>
      </c>
      <c r="DW409" s="517"/>
      <c r="DX409" s="503" t="str">
        <f>IF($G409="","",IF(AND($G409&gt;=30,$AT$3&lt;=DW$7),ROUND(DW409*($AP$3+#REF!),-1),""))</f>
        <v/>
      </c>
      <c r="DY409" s="517"/>
      <c r="DZ409" s="503" t="str">
        <f>IF($G409="","",IF(AND($G409&gt;=30,$AT$3&lt;=DY$7),ROUND(DY409*($AP$3+#REF!),-1),""))</f>
        <v/>
      </c>
      <c r="EA409" s="517"/>
      <c r="EB409" s="503" t="str">
        <f>IF($G409="","",IF(AND($G409&gt;=30,$AT$3&lt;=EA$7),ROUND(EA409*($AP$3+#REF!),-1),""))</f>
        <v/>
      </c>
      <c r="EC409" s="504" t="s">
        <v>621</v>
      </c>
      <c r="ED409" s="1124"/>
      <c r="EE409" s="325">
        <v>5</v>
      </c>
    </row>
    <row r="410" spans="1:135" ht="9.75" customHeight="1">
      <c r="A410" s="321" t="str">
        <f t="shared" si="96"/>
        <v/>
      </c>
      <c r="B410" s="567">
        <f>(ii!$D$13*12+V410)+1</f>
        <v>304</v>
      </c>
      <c r="C410" s="337">
        <f t="shared" si="100"/>
        <v>54604</v>
      </c>
      <c r="D410" s="484">
        <f t="shared" ref="D410:D473" si="103">YEAR(C410)</f>
        <v>2049</v>
      </c>
      <c r="E410" s="484">
        <f t="shared" si="101"/>
        <v>0.5</v>
      </c>
      <c r="F410" s="484">
        <f t="shared" ref="F410:F473" si="104">D410+E410</f>
        <v>2049.5</v>
      </c>
      <c r="G410" s="485" t="str">
        <f>IF(OR(C410&lt;$I$2,C410&gt;$J$3),"",(ii!$D$13*12+V410+1)/12)</f>
        <v/>
      </c>
      <c r="H410" s="486"/>
      <c r="I410" s="486"/>
      <c r="J410" s="487"/>
      <c r="K410" s="488"/>
      <c r="L410" s="548"/>
      <c r="M410" s="489" t="str">
        <f t="shared" ref="M410:M473" si="105">IF(K410="","",IF(OR(J408=0,J407=0,J408=""),"",(J410-J409)/J409))</f>
        <v/>
      </c>
      <c r="N410" s="490" t="s">
        <v>621</v>
      </c>
      <c r="O410" s="490" t="str">
        <f t="shared" si="98"/>
        <v/>
      </c>
      <c r="P410" s="491"/>
      <c r="Q410" s="491"/>
      <c r="R410" s="491" t="str">
        <f t="shared" si="99"/>
        <v/>
      </c>
      <c r="S410" s="528" t="str">
        <f t="shared" si="97"/>
        <v/>
      </c>
      <c r="T410" s="528" t="str">
        <f t="shared" si="95"/>
        <v/>
      </c>
      <c r="U410" s="493" t="str">
        <f>IF(H410="","",#REF!*12+#REF!+#REF!*12+#REF!)</f>
        <v/>
      </c>
      <c r="V410" s="338">
        <f>IF(ii!$J$3&gt;gg!C410,"",IF(AND((YEAR(C410)=YEAR($I$2)),MONTH(C410)=MONTH($I$2)),ii!$B$14*12+ii!$C$14+ii!$B$15*12+ii!$C$15-1,V409+1))</f>
        <v>303</v>
      </c>
      <c r="W410" s="339">
        <f t="shared" si="102"/>
        <v>25.25</v>
      </c>
      <c r="X410" s="494" t="s">
        <v>621</v>
      </c>
      <c r="Y410" s="495" t="s">
        <v>621</v>
      </c>
      <c r="Z410" s="496"/>
      <c r="AA410" s="497"/>
      <c r="AB410" s="498" t="e">
        <f t="shared" si="94"/>
        <v>#VALUE!</v>
      </c>
      <c r="AC410" s="484" t="str">
        <f t="shared" si="92"/>
        <v/>
      </c>
      <c r="AD410" s="495" t="str">
        <f t="shared" si="93"/>
        <v/>
      </c>
      <c r="AE410" s="499" t="s">
        <v>621</v>
      </c>
      <c r="AF410" s="500" t="s">
        <v>621</v>
      </c>
      <c r="AG410" s="556" t="s">
        <v>621</v>
      </c>
      <c r="AH410" s="503" t="str">
        <f>IF($G410="","",IF(AND($G410&gt;=30,$AT$3&lt;=AG$7),ROUND(AG410*($AP$3+#REF!),-1),""))</f>
        <v/>
      </c>
      <c r="AI410" s="506" t="s">
        <v>621</v>
      </c>
      <c r="AJ410" s="503" t="str">
        <f>IF($G410="","",IF(AND($G410&gt;=30,$AT$3&lt;=AI$7),ROUND(AI410*($AP$3+#REF!),-1),""))</f>
        <v/>
      </c>
      <c r="AK410" s="506" t="s">
        <v>621</v>
      </c>
      <c r="AL410" s="503" t="str">
        <f>IF($G410="","",IF(AND($G410&gt;=30,$AT$3&lt;=AK$7),ROUND(AK410*($AP$3+#REF!),-1),""))</f>
        <v/>
      </c>
      <c r="AM410" s="506" t="s">
        <v>621</v>
      </c>
      <c r="AN410" s="503" t="str">
        <f>IF($G410="","",IF(AND($G410&gt;=30,$AT$3&lt;=AM$7),ROUND(AM410*($AP$3+#REF!),-1),""))</f>
        <v/>
      </c>
      <c r="AO410" s="503" t="e">
        <v>#REF!</v>
      </c>
      <c r="AP410" s="503" t="str">
        <f>IF($G410="","",IF(AND($G410&gt;=30,$AT$3&lt;=AO$7),ROUND(AO410*($AP$3+#REF!),-1),""))</f>
        <v/>
      </c>
      <c r="AQ410" s="503" t="s">
        <v>621</v>
      </c>
      <c r="AR410" s="503" t="str">
        <f>IF($G410="","",IF(AND($G410&gt;=30,$AT$3&lt;=AQ$7),ROUND(AQ410*($AP$3+#REF!),-1),""))</f>
        <v/>
      </c>
      <c r="AS410" s="503" t="s">
        <v>621</v>
      </c>
      <c r="AT410" s="503" t="str">
        <f>IF($G410="","",IF(AND($G410&gt;=30,$AT$3&lt;=AS$7),ROUND(AS410*($AP$3+#REF!),-1),""))</f>
        <v/>
      </c>
      <c r="AU410" s="503" t="s">
        <v>621</v>
      </c>
      <c r="AV410" s="503" t="str">
        <f>IF($G410="","",IF(AND($G410&gt;=30,$AT$3&lt;=AU$7),ROUND(AU410*($AP$3+#REF!),-1),""))</f>
        <v/>
      </c>
      <c r="AW410" s="503" t="s">
        <v>621</v>
      </c>
      <c r="AX410" s="503" t="str">
        <f>IF($G410="","",IF(AND($G410&gt;=30,$AT$3&lt;=AW$7),ROUND(AW410*($AP$3+#REF!),-1),""))</f>
        <v/>
      </c>
      <c r="AY410" s="503" t="s">
        <v>621</v>
      </c>
      <c r="AZ410" s="503" t="str">
        <f>IF($G410="","",IF(AND($G410&gt;=30,$AT$3&lt;=AY$7),ROUND(AY410*($AP$3+#REF!),-1),""))</f>
        <v/>
      </c>
      <c r="BA410" s="503" t="s">
        <v>621</v>
      </c>
      <c r="BB410" s="503" t="str">
        <f>IF($G410="","",IF(AND($G410&gt;=30,$AT$3&lt;=BA$7),ROUND(BA410*($AP$3+#REF!),-1),""))</f>
        <v/>
      </c>
      <c r="BC410" s="503" t="s">
        <v>621</v>
      </c>
      <c r="BD410" s="503" t="str">
        <f>IF($G410="","",IF(AND($G410&gt;=30,$AT$3&lt;=BC$7),ROUND(BC410*($AP$3+#REF!),-1),""))</f>
        <v/>
      </c>
      <c r="BE410" s="503" t="s">
        <v>621</v>
      </c>
      <c r="BF410" s="503" t="str">
        <f>IF($G410="","",IF(AND($G410&gt;=30,$AT$3&lt;=BE$7),ROUND(BE410*($AP$3+#REF!),-1),""))</f>
        <v/>
      </c>
      <c r="BG410" s="503" t="s">
        <v>621</v>
      </c>
      <c r="BH410" s="503" t="str">
        <f>IF($G410="","",IF(AND($G410&gt;=30,$AT$3&lt;=BG$7),ROUND(BG410*($AP$3+#REF!),-1),""))</f>
        <v/>
      </c>
      <c r="BI410" s="503" t="s">
        <v>621</v>
      </c>
      <c r="BJ410" s="503" t="str">
        <f>IF($G410="","",IF(AND($G410&gt;=30,$AT$3&lt;=BI$7),ROUND(BI410*($AP$3+#REF!),-1),""))</f>
        <v/>
      </c>
      <c r="BK410" s="503" t="s">
        <v>621</v>
      </c>
      <c r="BL410" s="503" t="str">
        <f>IF($G410="","",IF(AND($G410&gt;=30,$AT$3&lt;=BK$7),ROUND(BK410*($AP$3+#REF!),-1),""))</f>
        <v/>
      </c>
      <c r="BM410" s="503" t="s">
        <v>621</v>
      </c>
      <c r="BN410" s="503" t="str">
        <f>IF($G410="","",IF(AND($G410&gt;=30,$AT$3&lt;=BM$7),ROUND(BM410*($AP$3+#REF!),-1),""))</f>
        <v/>
      </c>
      <c r="BO410" s="503" t="s">
        <v>621</v>
      </c>
      <c r="BP410" s="503" t="str">
        <f>IF($G410="","",IF(AND($G410&gt;=30,$AT$3&lt;=BO$7),ROUND(BO410*($AP$3+#REF!),-1),""))</f>
        <v/>
      </c>
      <c r="BQ410" s="503" t="s">
        <v>621</v>
      </c>
      <c r="BR410" s="503" t="str">
        <f>IF($G410="","",IF(AND($G410&gt;=30,$AT$3&lt;=BQ$7),ROUND(BQ410*($AP$3+#REF!),-1),""))</f>
        <v/>
      </c>
      <c r="BS410" s="503" t="s">
        <v>621</v>
      </c>
      <c r="BT410" s="503" t="str">
        <f>IF($G410="","",IF(AND($G410&gt;=30,$AT$3&lt;=BS$7),ROUND(BS410*($AP$3+#REF!),-1),""))</f>
        <v/>
      </c>
      <c r="BU410" s="503" t="s">
        <v>621</v>
      </c>
      <c r="BV410" s="503" t="str">
        <f>IF($G410="","",IF(AND($G410&gt;=30,$AT$3&lt;=BU$7),ROUND(BU410*($AP$3+#REF!),-1),""))</f>
        <v/>
      </c>
      <c r="BW410" s="503" t="s">
        <v>621</v>
      </c>
      <c r="BX410" s="503" t="str">
        <f>IF($G410="","",IF(AND($G410&gt;=30,$AT$3&lt;=BW$7),ROUND(BW410*($AP$3+#REF!),-1),""))</f>
        <v/>
      </c>
      <c r="BY410" s="503" t="s">
        <v>621</v>
      </c>
      <c r="BZ410" s="503" t="str">
        <f>IF($G410="","",IF(AND($G410&gt;=30,$AT$3&lt;=BY$7),ROUND(BY410*($AP$3+#REF!),-1),""))</f>
        <v/>
      </c>
      <c r="CA410" s="503" t="s">
        <v>621</v>
      </c>
      <c r="CB410" s="503" t="str">
        <f>IF($G410="","",IF(AND($G410&gt;=30,$AT$3&lt;=CA$7),ROUND(CA410*($AP$3+#REF!),-1),""))</f>
        <v/>
      </c>
      <c r="CC410" s="503" t="s">
        <v>621</v>
      </c>
      <c r="CD410" s="503" t="str">
        <f>IF($G410="","",IF(AND($G410&gt;=30,$AT$3&lt;=CC$7),ROUND(CC410*($AP$3+#REF!),-1),""))</f>
        <v/>
      </c>
      <c r="CE410" s="503" t="s">
        <v>621</v>
      </c>
      <c r="CF410" s="503" t="str">
        <f>IF($G410="","",IF(AND($G410&gt;=30,$AT$3&lt;=CE$7),ROUND(CE410*($AP$3+#REF!),-1),""))</f>
        <v/>
      </c>
      <c r="CG410" s="503" t="s">
        <v>621</v>
      </c>
      <c r="CH410" s="503" t="str">
        <f>IF($G410="","",IF(AND($G410&gt;=30,$AT$3&lt;=CG$7),ROUND(CG410*($AP$3+#REF!),-1),""))</f>
        <v/>
      </c>
      <c r="CI410" s="503" t="s">
        <v>621</v>
      </c>
      <c r="CJ410" s="503" t="str">
        <f>IF($G410="","",IF(AND($G410&gt;=30,$AT$3&lt;=CI$7),ROUND(CI410*($AP$3+#REF!),-1),""))</f>
        <v/>
      </c>
      <c r="CK410" s="503" t="s">
        <v>621</v>
      </c>
      <c r="CL410" s="503" t="str">
        <f>IF($G410="","",IF(AND($G410&gt;=30,$AT$3&lt;=CK$7),ROUND(CK410*($AP$3+#REF!),-1),""))</f>
        <v/>
      </c>
      <c r="CM410" s="503" t="s">
        <v>621</v>
      </c>
      <c r="CN410" s="503" t="str">
        <f>IF($G410="","",IF(AND($G410&gt;=30,$AT$3&lt;=CM$7),ROUND(CM410*($AP$3+#REF!),-1),""))</f>
        <v/>
      </c>
      <c r="CO410" s="503" t="s">
        <v>621</v>
      </c>
      <c r="CP410" s="503" t="str">
        <f>IF($G410="","",IF(AND($G410&gt;=30,$AT$3&lt;=CO$7),ROUND(CO410*($AP$3+#REF!),-1),""))</f>
        <v/>
      </c>
      <c r="CQ410" s="503" t="s">
        <v>621</v>
      </c>
      <c r="CR410" s="503" t="str">
        <f>IF($G410="","",IF(AND($G410&gt;=30,$AT$3&lt;=CQ$7),ROUND(CQ410*($AP$3+#REF!),-1),""))</f>
        <v/>
      </c>
      <c r="CS410" s="503" t="s">
        <v>621</v>
      </c>
      <c r="CT410" s="503" t="str">
        <f>IF($G410="","",IF(AND($G410&gt;=30,$AT$3&lt;=CS$7),ROUND(CS410*($AP$3+#REF!),-1),""))</f>
        <v/>
      </c>
      <c r="CU410" s="517" t="e">
        <v>#REF!</v>
      </c>
      <c r="CV410" s="503" t="str">
        <f>IF($G410="","",IF(AND($G410&gt;=30,$AT$3&lt;=CU$7),ROUND(CU410*($AP$3+#REF!),-1),""))</f>
        <v/>
      </c>
      <c r="CW410" s="517"/>
      <c r="CX410" s="503" t="str">
        <f>IF($G410="","",IF(AND($G410&gt;=30,$AT$3&lt;=CW$7),ROUND(CW410*($AP$3+#REF!),-1),""))</f>
        <v/>
      </c>
      <c r="CY410" s="517"/>
      <c r="CZ410" s="503" t="str">
        <f>IF($G410="","",IF(AND($G410&gt;=30,$AT$3&lt;=CY$7),ROUND(CY410*($AP$3+#REF!),-1),""))</f>
        <v/>
      </c>
      <c r="DA410" s="517"/>
      <c r="DB410" s="503" t="str">
        <f>IF($G410="","",IF(AND($G410&gt;=30,$AT$3&lt;=DA$7),ROUND(DA410*($AP$3+#REF!),-1),""))</f>
        <v/>
      </c>
      <c r="DC410" s="517"/>
      <c r="DD410" s="503" t="str">
        <f>IF($G410="","",IF(AND($G410&gt;=30,$AT$3&lt;=DC$7),ROUND(DC410*($AP$3+#REF!),-1),""))</f>
        <v/>
      </c>
      <c r="DE410" s="517"/>
      <c r="DF410" s="503" t="str">
        <f>IF($G410="","",IF(AND($G410&gt;=30,$AT$3&lt;=DE$7),ROUND(DE410*($AP$3+#REF!),-1),""))</f>
        <v/>
      </c>
      <c r="DG410" s="517"/>
      <c r="DH410" s="503" t="str">
        <f>IF($G410="","",IF(AND($G410&gt;=30,$AT$3&lt;=DG$7),ROUND(DG410*($AP$3+#REF!),-1),""))</f>
        <v/>
      </c>
      <c r="DI410" s="517"/>
      <c r="DJ410" s="503" t="str">
        <f>IF($G410="","",IF(AND($G410&gt;=30,$AT$3&lt;=DI$7),ROUND(DI410*($AP$3+#REF!),-1),""))</f>
        <v/>
      </c>
      <c r="DK410" s="517"/>
      <c r="DL410" s="503" t="str">
        <f>IF($G410="","",IF(AND($G410&gt;=30,$AT$3&lt;=DK$7),ROUND(DK410*($AP$3+#REF!),-1),""))</f>
        <v/>
      </c>
      <c r="DM410" s="517"/>
      <c r="DN410" s="503" t="str">
        <f>IF($G410="","",IF(AND($G410&gt;=30,$AT$3&lt;=DM$7),ROUND(DM410*($AP$3+#REF!),-1),""))</f>
        <v/>
      </c>
      <c r="DO410" s="517"/>
      <c r="DP410" s="503" t="str">
        <f>IF($G410="","",IF(AND($G410&gt;=30,$AT$3&lt;=DO$7),ROUND(DO410*($AP$3+#REF!),-1),""))</f>
        <v/>
      </c>
      <c r="DQ410" s="517"/>
      <c r="DR410" s="503" t="str">
        <f>IF($G410="","",IF(AND($G410&gt;=30,$AT$3&lt;=DQ$7),ROUND(DQ410*($AP$3+#REF!),-1),""))</f>
        <v/>
      </c>
      <c r="DS410" s="517"/>
      <c r="DT410" s="503" t="str">
        <f>IF($G410="","",IF(AND($G410&gt;=30,$AT$3&lt;=DS$7),ROUND(DS410*($AP$3+#REF!),-1),""))</f>
        <v/>
      </c>
      <c r="DU410" s="517"/>
      <c r="DV410" s="503" t="str">
        <f>IF($G410="","",IF(AND($G410&gt;=30,$AT$3&lt;=DU$7),ROUND(DU410*($AP$3+#REF!),-1),""))</f>
        <v/>
      </c>
      <c r="DW410" s="517"/>
      <c r="DX410" s="503" t="str">
        <f>IF($G410="","",IF(AND($G410&gt;=30,$AT$3&lt;=DW$7),ROUND(DW410*($AP$3+#REF!),-1),""))</f>
        <v/>
      </c>
      <c r="DY410" s="517"/>
      <c r="DZ410" s="503" t="str">
        <f>IF($G410="","",IF(AND($G410&gt;=30,$AT$3&lt;=DY$7),ROUND(DY410*($AP$3+#REF!),-1),""))</f>
        <v/>
      </c>
      <c r="EA410" s="517"/>
      <c r="EB410" s="503" t="str">
        <f>IF($G410="","",IF(AND($G410&gt;=30,$AT$3&lt;=EA$7),ROUND(EA410*($AP$3+#REF!),-1),""))</f>
        <v/>
      </c>
      <c r="EC410" s="504" t="s">
        <v>621</v>
      </c>
      <c r="ED410" s="1124"/>
      <c r="EE410" s="325">
        <v>6</v>
      </c>
    </row>
    <row r="411" spans="1:135" ht="9.75" customHeight="1">
      <c r="A411" s="321" t="str">
        <f t="shared" si="96"/>
        <v/>
      </c>
      <c r="B411" s="567">
        <f>(ii!$D$13*12+V411)+1</f>
        <v>305</v>
      </c>
      <c r="C411" s="337">
        <f t="shared" si="100"/>
        <v>54635</v>
      </c>
      <c r="D411" s="484">
        <f t="shared" si="103"/>
        <v>2049</v>
      </c>
      <c r="E411" s="484">
        <f t="shared" si="101"/>
        <v>0.58333333333333337</v>
      </c>
      <c r="F411" s="484">
        <f t="shared" si="104"/>
        <v>2049.5833333333335</v>
      </c>
      <c r="G411" s="485" t="str">
        <f>IF(OR(C411&lt;$I$2,C411&gt;$J$3),"",(ii!$D$13*12+V411+1)/12)</f>
        <v/>
      </c>
      <c r="H411" s="486"/>
      <c r="I411" s="486"/>
      <c r="J411" s="487"/>
      <c r="K411" s="488"/>
      <c r="L411" s="548"/>
      <c r="M411" s="489" t="str">
        <f t="shared" si="105"/>
        <v/>
      </c>
      <c r="N411" s="490" t="s">
        <v>621</v>
      </c>
      <c r="O411" s="490" t="str">
        <f t="shared" si="98"/>
        <v/>
      </c>
      <c r="P411" s="491"/>
      <c r="Q411" s="491"/>
      <c r="R411" s="491" t="str">
        <f t="shared" si="99"/>
        <v/>
      </c>
      <c r="S411" s="528" t="str">
        <f t="shared" si="97"/>
        <v/>
      </c>
      <c r="T411" s="528" t="str">
        <f t="shared" si="95"/>
        <v/>
      </c>
      <c r="U411" s="493" t="str">
        <f>IF(H411="","",#REF!*12+#REF!+#REF!*12+#REF!)</f>
        <v/>
      </c>
      <c r="V411" s="338">
        <f>IF(ii!$J$3&gt;gg!C411,"",IF(AND((YEAR(C411)=YEAR($I$2)),MONTH(C411)=MONTH($I$2)),ii!$B$14*12+ii!$C$14+ii!$B$15*12+ii!$C$15-1,V410+1))</f>
        <v>304</v>
      </c>
      <c r="W411" s="339">
        <f t="shared" si="102"/>
        <v>25.333333333333332</v>
      </c>
      <c r="X411" s="494" t="s">
        <v>621</v>
      </c>
      <c r="Y411" s="495" t="s">
        <v>621</v>
      </c>
      <c r="Z411" s="496"/>
      <c r="AA411" s="497"/>
      <c r="AB411" s="498" t="e">
        <f t="shared" si="94"/>
        <v>#VALUE!</v>
      </c>
      <c r="AC411" s="484" t="str">
        <f t="shared" ref="AC411:AC474" si="106">IF(OR(C411&lt;$I$2,C411&gt;$J$3),"",IF(AB411&lt;0.3,300,IF(AND(AB411&gt;=0.3,AB411&lt;0.4),216.67,IF(AND(AB411&gt;=0.4,AB411&lt;0.5),175,IF(AND(AB411&gt;=0.5,AB411&lt;0.6),150,IF(AND(AB411&gt;=0.6,AB411&lt;0.7),133.33,IF(AND(AB411&gt;=0.7,AB411&lt;0.8),121.43,IF(AND(AB411&gt;=0.8,AB411&lt;0.9),112.5,IF(AND(AB411&gt;=0.9,AB411&lt;1),105.56,IF(AND(AB411&gt;=1,AB411&lt;1.1),100,IF(AND(AB411&gt;=1.1,AB411&lt;1.2),95.45,IF(AND(AB411&gt;=1.2,AB411&lt;1.3),91.67,IF(AND(AB411&gt;=1.3,AB411&lt;1.4),88.46,IF(AND(AB411&gt;=1.4,AB411&lt;1.5),85.71,IF(AND(AB411&gt;=1.5,AB411&lt;1.6),83.33,IF(AB411&gt;=1.6,81.25,"???"))))))))))))))))</f>
        <v/>
      </c>
      <c r="AD411" s="495" t="str">
        <f t="shared" ref="AD411:AD474" si="107">IF(AC411="","",P411*AC411%)</f>
        <v/>
      </c>
      <c r="AE411" s="499" t="s">
        <v>621</v>
      </c>
      <c r="AF411" s="500" t="s">
        <v>621</v>
      </c>
      <c r="AG411" s="556" t="s">
        <v>621</v>
      </c>
      <c r="AH411" s="503" t="str">
        <f>IF($G411="","",IF(AND($G411&gt;=30,$AT$3&lt;=AG$7),ROUND(AG411*($AP$3+#REF!),-1),""))</f>
        <v/>
      </c>
      <c r="AI411" s="506" t="s">
        <v>621</v>
      </c>
      <c r="AJ411" s="503" t="str">
        <f>IF($G411="","",IF(AND($G411&gt;=30,$AT$3&lt;=AI$7),ROUND(AI411*($AP$3+#REF!),-1),""))</f>
        <v/>
      </c>
      <c r="AK411" s="506" t="s">
        <v>621</v>
      </c>
      <c r="AL411" s="503" t="str">
        <f>IF($G411="","",IF(AND($G411&gt;=30,$AT$3&lt;=AK$7),ROUND(AK411*($AP$3+#REF!),-1),""))</f>
        <v/>
      </c>
      <c r="AM411" s="506" t="s">
        <v>621</v>
      </c>
      <c r="AN411" s="503" t="str">
        <f>IF($G411="","",IF(AND($G411&gt;=30,$AT$3&lt;=AM$7),ROUND(AM411*($AP$3+#REF!),-1),""))</f>
        <v/>
      </c>
      <c r="AO411" s="503" t="e">
        <v>#REF!</v>
      </c>
      <c r="AP411" s="503" t="str">
        <f>IF($G411="","",IF(AND($G411&gt;=30,$AT$3&lt;=AO$7),ROUND(AO411*($AP$3+#REF!),-1),""))</f>
        <v/>
      </c>
      <c r="AQ411" s="503" t="s">
        <v>621</v>
      </c>
      <c r="AR411" s="503" t="str">
        <f>IF($G411="","",IF(AND($G411&gt;=30,$AT$3&lt;=AQ$7),ROUND(AQ411*($AP$3+#REF!),-1),""))</f>
        <v/>
      </c>
      <c r="AS411" s="503" t="s">
        <v>621</v>
      </c>
      <c r="AT411" s="503" t="str">
        <f>IF($G411="","",IF(AND($G411&gt;=30,$AT$3&lt;=AS$7),ROUND(AS411*($AP$3+#REF!),-1),""))</f>
        <v/>
      </c>
      <c r="AU411" s="503" t="s">
        <v>621</v>
      </c>
      <c r="AV411" s="503" t="str">
        <f>IF($G411="","",IF(AND($G411&gt;=30,$AT$3&lt;=AU$7),ROUND(AU411*($AP$3+#REF!),-1),""))</f>
        <v/>
      </c>
      <c r="AW411" s="503" t="s">
        <v>621</v>
      </c>
      <c r="AX411" s="503" t="str">
        <f>IF($G411="","",IF(AND($G411&gt;=30,$AT$3&lt;=AW$7),ROUND(AW411*($AP$3+#REF!),-1),""))</f>
        <v/>
      </c>
      <c r="AY411" s="503" t="s">
        <v>621</v>
      </c>
      <c r="AZ411" s="503" t="str">
        <f>IF($G411="","",IF(AND($G411&gt;=30,$AT$3&lt;=AY$7),ROUND(AY411*($AP$3+#REF!),-1),""))</f>
        <v/>
      </c>
      <c r="BA411" s="503" t="s">
        <v>621</v>
      </c>
      <c r="BB411" s="503" t="str">
        <f>IF($G411="","",IF(AND($G411&gt;=30,$AT$3&lt;=BA$7),ROUND(BA411*($AP$3+#REF!),-1),""))</f>
        <v/>
      </c>
      <c r="BC411" s="503" t="s">
        <v>621</v>
      </c>
      <c r="BD411" s="503" t="str">
        <f>IF($G411="","",IF(AND($G411&gt;=30,$AT$3&lt;=BC$7),ROUND(BC411*($AP$3+#REF!),-1),""))</f>
        <v/>
      </c>
      <c r="BE411" s="503" t="s">
        <v>621</v>
      </c>
      <c r="BF411" s="503" t="str">
        <f>IF($G411="","",IF(AND($G411&gt;=30,$AT$3&lt;=BE$7),ROUND(BE411*($AP$3+#REF!),-1),""))</f>
        <v/>
      </c>
      <c r="BG411" s="503" t="s">
        <v>621</v>
      </c>
      <c r="BH411" s="503" t="str">
        <f>IF($G411="","",IF(AND($G411&gt;=30,$AT$3&lt;=BG$7),ROUND(BG411*($AP$3+#REF!),-1),""))</f>
        <v/>
      </c>
      <c r="BI411" s="503" t="s">
        <v>621</v>
      </c>
      <c r="BJ411" s="503" t="str">
        <f>IF($G411="","",IF(AND($G411&gt;=30,$AT$3&lt;=BI$7),ROUND(BI411*($AP$3+#REF!),-1),""))</f>
        <v/>
      </c>
      <c r="BK411" s="503" t="s">
        <v>621</v>
      </c>
      <c r="BL411" s="503" t="str">
        <f>IF($G411="","",IF(AND($G411&gt;=30,$AT$3&lt;=BK$7),ROUND(BK411*($AP$3+#REF!),-1),""))</f>
        <v/>
      </c>
      <c r="BM411" s="503" t="s">
        <v>621</v>
      </c>
      <c r="BN411" s="503" t="str">
        <f>IF($G411="","",IF(AND($G411&gt;=30,$AT$3&lt;=BM$7),ROUND(BM411*($AP$3+#REF!),-1),""))</f>
        <v/>
      </c>
      <c r="BO411" s="503" t="s">
        <v>621</v>
      </c>
      <c r="BP411" s="503" t="str">
        <f>IF($G411="","",IF(AND($G411&gt;=30,$AT$3&lt;=BO$7),ROUND(BO411*($AP$3+#REF!),-1),""))</f>
        <v/>
      </c>
      <c r="BQ411" s="503" t="s">
        <v>621</v>
      </c>
      <c r="BR411" s="503" t="str">
        <f>IF($G411="","",IF(AND($G411&gt;=30,$AT$3&lt;=BQ$7),ROUND(BQ411*($AP$3+#REF!),-1),""))</f>
        <v/>
      </c>
      <c r="BS411" s="503" t="s">
        <v>621</v>
      </c>
      <c r="BT411" s="503" t="str">
        <f>IF($G411="","",IF(AND($G411&gt;=30,$AT$3&lt;=BS$7),ROUND(BS411*($AP$3+#REF!),-1),""))</f>
        <v/>
      </c>
      <c r="BU411" s="503" t="s">
        <v>621</v>
      </c>
      <c r="BV411" s="503" t="str">
        <f>IF($G411="","",IF(AND($G411&gt;=30,$AT$3&lt;=BU$7),ROUND(BU411*($AP$3+#REF!),-1),""))</f>
        <v/>
      </c>
      <c r="BW411" s="503" t="s">
        <v>621</v>
      </c>
      <c r="BX411" s="503" t="str">
        <f>IF($G411="","",IF(AND($G411&gt;=30,$AT$3&lt;=BW$7),ROUND(BW411*($AP$3+#REF!),-1),""))</f>
        <v/>
      </c>
      <c r="BY411" s="503" t="s">
        <v>621</v>
      </c>
      <c r="BZ411" s="503" t="str">
        <f>IF($G411="","",IF(AND($G411&gt;=30,$AT$3&lt;=BY$7),ROUND(BY411*($AP$3+#REF!),-1),""))</f>
        <v/>
      </c>
      <c r="CA411" s="503" t="s">
        <v>621</v>
      </c>
      <c r="CB411" s="503" t="str">
        <f>IF($G411="","",IF(AND($G411&gt;=30,$AT$3&lt;=CA$7),ROUND(CA411*($AP$3+#REF!),-1),""))</f>
        <v/>
      </c>
      <c r="CC411" s="503" t="s">
        <v>621</v>
      </c>
      <c r="CD411" s="503" t="str">
        <f>IF($G411="","",IF(AND($G411&gt;=30,$AT$3&lt;=CC$7),ROUND(CC411*($AP$3+#REF!),-1),""))</f>
        <v/>
      </c>
      <c r="CE411" s="503" t="s">
        <v>621</v>
      </c>
      <c r="CF411" s="503" t="str">
        <f>IF($G411="","",IF(AND($G411&gt;=30,$AT$3&lt;=CE$7),ROUND(CE411*($AP$3+#REF!),-1),""))</f>
        <v/>
      </c>
      <c r="CG411" s="503" t="s">
        <v>621</v>
      </c>
      <c r="CH411" s="503" t="str">
        <f>IF($G411="","",IF(AND($G411&gt;=30,$AT$3&lt;=CG$7),ROUND(CG411*($AP$3+#REF!),-1),""))</f>
        <v/>
      </c>
      <c r="CI411" s="503" t="s">
        <v>621</v>
      </c>
      <c r="CJ411" s="503" t="str">
        <f>IF($G411="","",IF(AND($G411&gt;=30,$AT$3&lt;=CI$7),ROUND(CI411*($AP$3+#REF!),-1),""))</f>
        <v/>
      </c>
      <c r="CK411" s="503" t="s">
        <v>621</v>
      </c>
      <c r="CL411" s="503" t="str">
        <f>IF($G411="","",IF(AND($G411&gt;=30,$AT$3&lt;=CK$7),ROUND(CK411*($AP$3+#REF!),-1),""))</f>
        <v/>
      </c>
      <c r="CM411" s="503" t="s">
        <v>621</v>
      </c>
      <c r="CN411" s="503" t="str">
        <f>IF($G411="","",IF(AND($G411&gt;=30,$AT$3&lt;=CM$7),ROUND(CM411*($AP$3+#REF!),-1),""))</f>
        <v/>
      </c>
      <c r="CO411" s="503" t="s">
        <v>621</v>
      </c>
      <c r="CP411" s="503" t="str">
        <f>IF($G411="","",IF(AND($G411&gt;=30,$AT$3&lt;=CO$7),ROUND(CO411*($AP$3+#REF!),-1),""))</f>
        <v/>
      </c>
      <c r="CQ411" s="503" t="s">
        <v>621</v>
      </c>
      <c r="CR411" s="503" t="str">
        <f>IF($G411="","",IF(AND($G411&gt;=30,$AT$3&lt;=CQ$7),ROUND(CQ411*($AP$3+#REF!),-1),""))</f>
        <v/>
      </c>
      <c r="CS411" s="503" t="s">
        <v>621</v>
      </c>
      <c r="CT411" s="503" t="str">
        <f>IF($G411="","",IF(AND($G411&gt;=30,$AT$3&lt;=CS$7),ROUND(CS411*($AP$3+#REF!),-1),""))</f>
        <v/>
      </c>
      <c r="CU411" s="517" t="e">
        <v>#REF!</v>
      </c>
      <c r="CV411" s="503" t="str">
        <f>IF($G411="","",IF(AND($G411&gt;=30,$AT$3&lt;=CU$7),ROUND(CU411*($AP$3+#REF!),-1),""))</f>
        <v/>
      </c>
      <c r="CW411" s="517"/>
      <c r="CX411" s="503" t="str">
        <f>IF($G411="","",IF(AND($G411&gt;=30,$AT$3&lt;=CW$7),ROUND(CW411*($AP$3+#REF!),-1),""))</f>
        <v/>
      </c>
      <c r="CY411" s="517"/>
      <c r="CZ411" s="503" t="str">
        <f>IF($G411="","",IF(AND($G411&gt;=30,$AT$3&lt;=CY$7),ROUND(CY411*($AP$3+#REF!),-1),""))</f>
        <v/>
      </c>
      <c r="DA411" s="517"/>
      <c r="DB411" s="503" t="str">
        <f>IF($G411="","",IF(AND($G411&gt;=30,$AT$3&lt;=DA$7),ROUND(DA411*($AP$3+#REF!),-1),""))</f>
        <v/>
      </c>
      <c r="DC411" s="517"/>
      <c r="DD411" s="503" t="str">
        <f>IF($G411="","",IF(AND($G411&gt;=30,$AT$3&lt;=DC$7),ROUND(DC411*($AP$3+#REF!),-1),""))</f>
        <v/>
      </c>
      <c r="DE411" s="517"/>
      <c r="DF411" s="503" t="str">
        <f>IF($G411="","",IF(AND($G411&gt;=30,$AT$3&lt;=DE$7),ROUND(DE411*($AP$3+#REF!),-1),""))</f>
        <v/>
      </c>
      <c r="DG411" s="517"/>
      <c r="DH411" s="503" t="str">
        <f>IF($G411="","",IF(AND($G411&gt;=30,$AT$3&lt;=DG$7),ROUND(DG411*($AP$3+#REF!),-1),""))</f>
        <v/>
      </c>
      <c r="DI411" s="517"/>
      <c r="DJ411" s="503" t="str">
        <f>IF($G411="","",IF(AND($G411&gt;=30,$AT$3&lt;=DI$7),ROUND(DI411*($AP$3+#REF!),-1),""))</f>
        <v/>
      </c>
      <c r="DK411" s="517"/>
      <c r="DL411" s="503" t="str">
        <f>IF($G411="","",IF(AND($G411&gt;=30,$AT$3&lt;=DK$7),ROUND(DK411*($AP$3+#REF!),-1),""))</f>
        <v/>
      </c>
      <c r="DM411" s="517"/>
      <c r="DN411" s="503" t="str">
        <f>IF($G411="","",IF(AND($G411&gt;=30,$AT$3&lt;=DM$7),ROUND(DM411*($AP$3+#REF!),-1),""))</f>
        <v/>
      </c>
      <c r="DO411" s="517"/>
      <c r="DP411" s="503" t="str">
        <f>IF($G411="","",IF(AND($G411&gt;=30,$AT$3&lt;=DO$7),ROUND(DO411*($AP$3+#REF!),-1),""))</f>
        <v/>
      </c>
      <c r="DQ411" s="517"/>
      <c r="DR411" s="503" t="str">
        <f>IF($G411="","",IF(AND($G411&gt;=30,$AT$3&lt;=DQ$7),ROUND(DQ411*($AP$3+#REF!),-1),""))</f>
        <v/>
      </c>
      <c r="DS411" s="517"/>
      <c r="DT411" s="503" t="str">
        <f>IF($G411="","",IF(AND($G411&gt;=30,$AT$3&lt;=DS$7),ROUND(DS411*($AP$3+#REF!),-1),""))</f>
        <v/>
      </c>
      <c r="DU411" s="517"/>
      <c r="DV411" s="503" t="str">
        <f>IF($G411="","",IF(AND($G411&gt;=30,$AT$3&lt;=DU$7),ROUND(DU411*($AP$3+#REF!),-1),""))</f>
        <v/>
      </c>
      <c r="DW411" s="517"/>
      <c r="DX411" s="503" t="str">
        <f>IF($G411="","",IF(AND($G411&gt;=30,$AT$3&lt;=DW$7),ROUND(DW411*($AP$3+#REF!),-1),""))</f>
        <v/>
      </c>
      <c r="DY411" s="517"/>
      <c r="DZ411" s="503" t="str">
        <f>IF($G411="","",IF(AND($G411&gt;=30,$AT$3&lt;=DY$7),ROUND(DY411*($AP$3+#REF!),-1),""))</f>
        <v/>
      </c>
      <c r="EA411" s="517"/>
      <c r="EB411" s="503" t="str">
        <f>IF($G411="","",IF(AND($G411&gt;=30,$AT$3&lt;=EA$7),ROUND(EA411*($AP$3+#REF!),-1),""))</f>
        <v/>
      </c>
      <c r="EC411" s="504" t="s">
        <v>621</v>
      </c>
      <c r="ED411" s="1124"/>
      <c r="EE411" s="325">
        <v>7</v>
      </c>
    </row>
    <row r="412" spans="1:135" ht="9.75" customHeight="1">
      <c r="A412" s="321" t="str">
        <f t="shared" si="96"/>
        <v/>
      </c>
      <c r="B412" s="567">
        <f>(ii!$D$13*12+V412)+1</f>
        <v>306</v>
      </c>
      <c r="C412" s="337">
        <f t="shared" si="100"/>
        <v>54666</v>
      </c>
      <c r="D412" s="484">
        <f t="shared" si="103"/>
        <v>2049</v>
      </c>
      <c r="E412" s="484">
        <f t="shared" si="101"/>
        <v>0.66666666666666663</v>
      </c>
      <c r="F412" s="484">
        <f t="shared" si="104"/>
        <v>2049.6666666666665</v>
      </c>
      <c r="G412" s="485" t="str">
        <f>IF(OR(C412&lt;$I$2,C412&gt;$J$3),"",(ii!$D$13*12+V412+1)/12)</f>
        <v/>
      </c>
      <c r="H412" s="486"/>
      <c r="I412" s="486"/>
      <c r="J412" s="487"/>
      <c r="K412" s="488"/>
      <c r="L412" s="548"/>
      <c r="M412" s="489" t="str">
        <f t="shared" si="105"/>
        <v/>
      </c>
      <c r="N412" s="490" t="s">
        <v>621</v>
      </c>
      <c r="O412" s="490" t="str">
        <f t="shared" si="98"/>
        <v/>
      </c>
      <c r="P412" s="491"/>
      <c r="Q412" s="491"/>
      <c r="R412" s="491" t="str">
        <f t="shared" si="99"/>
        <v/>
      </c>
      <c r="S412" s="528" t="str">
        <f t="shared" si="97"/>
        <v/>
      </c>
      <c r="T412" s="528" t="str">
        <f t="shared" si="95"/>
        <v/>
      </c>
      <c r="U412" s="493" t="str">
        <f>IF(H412="","",#REF!*12+#REF!+#REF!*12+#REF!)</f>
        <v/>
      </c>
      <c r="V412" s="338">
        <f>IF(ii!$J$3&gt;gg!C412,"",IF(AND((YEAR(C412)=YEAR($I$2)),MONTH(C412)=MONTH($I$2)),ii!$B$14*12+ii!$C$14+ii!$B$15*12+ii!$C$15-1,V411+1))</f>
        <v>305</v>
      </c>
      <c r="W412" s="339">
        <f t="shared" si="102"/>
        <v>25.416666666666668</v>
      </c>
      <c r="X412" s="494" t="s">
        <v>621</v>
      </c>
      <c r="Y412" s="495" t="s">
        <v>621</v>
      </c>
      <c r="Z412" s="496"/>
      <c r="AA412" s="497"/>
      <c r="AB412" s="498" t="e">
        <f t="shared" si="94"/>
        <v>#VALUE!</v>
      </c>
      <c r="AC412" s="484" t="str">
        <f t="shared" si="106"/>
        <v/>
      </c>
      <c r="AD412" s="495" t="str">
        <f t="shared" si="107"/>
        <v/>
      </c>
      <c r="AE412" s="499" t="s">
        <v>621</v>
      </c>
      <c r="AF412" s="500" t="s">
        <v>621</v>
      </c>
      <c r="AG412" s="556" t="s">
        <v>621</v>
      </c>
      <c r="AH412" s="503" t="str">
        <f>IF($G412="","",IF(AND($G412&gt;=30,$AT$3&lt;=AG$7),ROUND(AG412*($AP$3+#REF!),-1),""))</f>
        <v/>
      </c>
      <c r="AI412" s="506" t="s">
        <v>621</v>
      </c>
      <c r="AJ412" s="503" t="str">
        <f>IF($G412="","",IF(AND($G412&gt;=30,$AT$3&lt;=AI$7),ROUND(AI412*($AP$3+#REF!),-1),""))</f>
        <v/>
      </c>
      <c r="AK412" s="506" t="s">
        <v>621</v>
      </c>
      <c r="AL412" s="503" t="str">
        <f>IF($G412="","",IF(AND($G412&gt;=30,$AT$3&lt;=AK$7),ROUND(AK412*($AP$3+#REF!),-1),""))</f>
        <v/>
      </c>
      <c r="AM412" s="506" t="s">
        <v>621</v>
      </c>
      <c r="AN412" s="503" t="str">
        <f>IF($G412="","",IF(AND($G412&gt;=30,$AT$3&lt;=AM$7),ROUND(AM412*($AP$3+#REF!),-1),""))</f>
        <v/>
      </c>
      <c r="AO412" s="503" t="e">
        <v>#REF!</v>
      </c>
      <c r="AP412" s="503" t="str">
        <f>IF($G412="","",IF(AND($G412&gt;=30,$AT$3&lt;=AO$7),ROUND(AO412*($AP$3+#REF!),-1),""))</f>
        <v/>
      </c>
      <c r="AQ412" s="503" t="s">
        <v>621</v>
      </c>
      <c r="AR412" s="503" t="str">
        <f>IF($G412="","",IF(AND($G412&gt;=30,$AT$3&lt;=AQ$7),ROUND(AQ412*($AP$3+#REF!),-1),""))</f>
        <v/>
      </c>
      <c r="AS412" s="503" t="s">
        <v>621</v>
      </c>
      <c r="AT412" s="503" t="str">
        <f>IF($G412="","",IF(AND($G412&gt;=30,$AT$3&lt;=AS$7),ROUND(AS412*($AP$3+#REF!),-1),""))</f>
        <v/>
      </c>
      <c r="AU412" s="503" t="s">
        <v>621</v>
      </c>
      <c r="AV412" s="503" t="str">
        <f>IF($G412="","",IF(AND($G412&gt;=30,$AT$3&lt;=AU$7),ROUND(AU412*($AP$3+#REF!),-1),""))</f>
        <v/>
      </c>
      <c r="AW412" s="503" t="s">
        <v>621</v>
      </c>
      <c r="AX412" s="503" t="str">
        <f>IF($G412="","",IF(AND($G412&gt;=30,$AT$3&lt;=AW$7),ROUND(AW412*($AP$3+#REF!),-1),""))</f>
        <v/>
      </c>
      <c r="AY412" s="503" t="s">
        <v>621</v>
      </c>
      <c r="AZ412" s="503" t="str">
        <f>IF($G412="","",IF(AND($G412&gt;=30,$AT$3&lt;=AY$7),ROUND(AY412*($AP$3+#REF!),-1),""))</f>
        <v/>
      </c>
      <c r="BA412" s="503" t="s">
        <v>621</v>
      </c>
      <c r="BB412" s="503" t="str">
        <f>IF($G412="","",IF(AND($G412&gt;=30,$AT$3&lt;=BA$7),ROUND(BA412*($AP$3+#REF!),-1),""))</f>
        <v/>
      </c>
      <c r="BC412" s="503" t="s">
        <v>621</v>
      </c>
      <c r="BD412" s="503" t="str">
        <f>IF($G412="","",IF(AND($G412&gt;=30,$AT$3&lt;=BC$7),ROUND(BC412*($AP$3+#REF!),-1),""))</f>
        <v/>
      </c>
      <c r="BE412" s="503" t="s">
        <v>621</v>
      </c>
      <c r="BF412" s="503" t="str">
        <f>IF($G412="","",IF(AND($G412&gt;=30,$AT$3&lt;=BE$7),ROUND(BE412*($AP$3+#REF!),-1),""))</f>
        <v/>
      </c>
      <c r="BG412" s="503" t="s">
        <v>621</v>
      </c>
      <c r="BH412" s="503" t="str">
        <f>IF($G412="","",IF(AND($G412&gt;=30,$AT$3&lt;=BG$7),ROUND(BG412*($AP$3+#REF!),-1),""))</f>
        <v/>
      </c>
      <c r="BI412" s="503" t="s">
        <v>621</v>
      </c>
      <c r="BJ412" s="503" t="str">
        <f>IF($G412="","",IF(AND($G412&gt;=30,$AT$3&lt;=BI$7),ROUND(BI412*($AP$3+#REF!),-1),""))</f>
        <v/>
      </c>
      <c r="BK412" s="503" t="s">
        <v>621</v>
      </c>
      <c r="BL412" s="503" t="str">
        <f>IF($G412="","",IF(AND($G412&gt;=30,$AT$3&lt;=BK$7),ROUND(BK412*($AP$3+#REF!),-1),""))</f>
        <v/>
      </c>
      <c r="BM412" s="503" t="s">
        <v>621</v>
      </c>
      <c r="BN412" s="503" t="str">
        <f>IF($G412="","",IF(AND($G412&gt;=30,$AT$3&lt;=BM$7),ROUND(BM412*($AP$3+#REF!),-1),""))</f>
        <v/>
      </c>
      <c r="BO412" s="503" t="s">
        <v>621</v>
      </c>
      <c r="BP412" s="503" t="str">
        <f>IF($G412="","",IF(AND($G412&gt;=30,$AT$3&lt;=BO$7),ROUND(BO412*($AP$3+#REF!),-1),""))</f>
        <v/>
      </c>
      <c r="BQ412" s="503" t="s">
        <v>621</v>
      </c>
      <c r="BR412" s="503" t="str">
        <f>IF($G412="","",IF(AND($G412&gt;=30,$AT$3&lt;=BQ$7),ROUND(BQ412*($AP$3+#REF!),-1),""))</f>
        <v/>
      </c>
      <c r="BS412" s="503" t="s">
        <v>621</v>
      </c>
      <c r="BT412" s="503" t="str">
        <f>IF($G412="","",IF(AND($G412&gt;=30,$AT$3&lt;=BS$7),ROUND(BS412*($AP$3+#REF!),-1),""))</f>
        <v/>
      </c>
      <c r="BU412" s="503" t="s">
        <v>621</v>
      </c>
      <c r="BV412" s="503" t="str">
        <f>IF($G412="","",IF(AND($G412&gt;=30,$AT$3&lt;=BU$7),ROUND(BU412*($AP$3+#REF!),-1),""))</f>
        <v/>
      </c>
      <c r="BW412" s="503" t="s">
        <v>621</v>
      </c>
      <c r="BX412" s="503" t="str">
        <f>IF($G412="","",IF(AND($G412&gt;=30,$AT$3&lt;=BW$7),ROUND(BW412*($AP$3+#REF!),-1),""))</f>
        <v/>
      </c>
      <c r="BY412" s="503" t="s">
        <v>621</v>
      </c>
      <c r="BZ412" s="503" t="str">
        <f>IF($G412="","",IF(AND($G412&gt;=30,$AT$3&lt;=BY$7),ROUND(BY412*($AP$3+#REF!),-1),""))</f>
        <v/>
      </c>
      <c r="CA412" s="503" t="s">
        <v>621</v>
      </c>
      <c r="CB412" s="503" t="str">
        <f>IF($G412="","",IF(AND($G412&gt;=30,$AT$3&lt;=CA$7),ROUND(CA412*($AP$3+#REF!),-1),""))</f>
        <v/>
      </c>
      <c r="CC412" s="503" t="s">
        <v>621</v>
      </c>
      <c r="CD412" s="503" t="str">
        <f>IF($G412="","",IF(AND($G412&gt;=30,$AT$3&lt;=CC$7),ROUND(CC412*($AP$3+#REF!),-1),""))</f>
        <v/>
      </c>
      <c r="CE412" s="503" t="s">
        <v>621</v>
      </c>
      <c r="CF412" s="503" t="str">
        <f>IF($G412="","",IF(AND($G412&gt;=30,$AT$3&lt;=CE$7),ROUND(CE412*($AP$3+#REF!),-1),""))</f>
        <v/>
      </c>
      <c r="CG412" s="503" t="s">
        <v>621</v>
      </c>
      <c r="CH412" s="503" t="str">
        <f>IF($G412="","",IF(AND($G412&gt;=30,$AT$3&lt;=CG$7),ROUND(CG412*($AP$3+#REF!),-1),""))</f>
        <v/>
      </c>
      <c r="CI412" s="503" t="s">
        <v>621</v>
      </c>
      <c r="CJ412" s="503" t="str">
        <f>IF($G412="","",IF(AND($G412&gt;=30,$AT$3&lt;=CI$7),ROUND(CI412*($AP$3+#REF!),-1),""))</f>
        <v/>
      </c>
      <c r="CK412" s="503" t="s">
        <v>621</v>
      </c>
      <c r="CL412" s="503" t="str">
        <f>IF($G412="","",IF(AND($G412&gt;=30,$AT$3&lt;=CK$7),ROUND(CK412*($AP$3+#REF!),-1),""))</f>
        <v/>
      </c>
      <c r="CM412" s="503" t="s">
        <v>621</v>
      </c>
      <c r="CN412" s="503" t="str">
        <f>IF($G412="","",IF(AND($G412&gt;=30,$AT$3&lt;=CM$7),ROUND(CM412*($AP$3+#REF!),-1),""))</f>
        <v/>
      </c>
      <c r="CO412" s="503" t="s">
        <v>621</v>
      </c>
      <c r="CP412" s="503" t="str">
        <f>IF($G412="","",IF(AND($G412&gt;=30,$AT$3&lt;=CO$7),ROUND(CO412*($AP$3+#REF!),-1),""))</f>
        <v/>
      </c>
      <c r="CQ412" s="503" t="s">
        <v>621</v>
      </c>
      <c r="CR412" s="503" t="str">
        <f>IF($G412="","",IF(AND($G412&gt;=30,$AT$3&lt;=CQ$7),ROUND(CQ412*($AP$3+#REF!),-1),""))</f>
        <v/>
      </c>
      <c r="CS412" s="503" t="s">
        <v>621</v>
      </c>
      <c r="CT412" s="503" t="str">
        <f>IF($G412="","",IF(AND($G412&gt;=30,$AT$3&lt;=CS$7),ROUND(CS412*($AP$3+#REF!),-1),""))</f>
        <v/>
      </c>
      <c r="CU412" s="517" t="e">
        <v>#REF!</v>
      </c>
      <c r="CV412" s="503" t="str">
        <f>IF($G412="","",IF(AND($G412&gt;=30,$AT$3&lt;=CU$7),ROUND(CU412*($AP$3+#REF!),-1),""))</f>
        <v/>
      </c>
      <c r="CW412" s="517"/>
      <c r="CX412" s="503" t="str">
        <f>IF($G412="","",IF(AND($G412&gt;=30,$AT$3&lt;=CW$7),ROUND(CW412*($AP$3+#REF!),-1),""))</f>
        <v/>
      </c>
      <c r="CY412" s="517"/>
      <c r="CZ412" s="503" t="str">
        <f>IF($G412="","",IF(AND($G412&gt;=30,$AT$3&lt;=CY$7),ROUND(CY412*($AP$3+#REF!),-1),""))</f>
        <v/>
      </c>
      <c r="DA412" s="517"/>
      <c r="DB412" s="503" t="str">
        <f>IF($G412="","",IF(AND($G412&gt;=30,$AT$3&lt;=DA$7),ROUND(DA412*($AP$3+#REF!),-1),""))</f>
        <v/>
      </c>
      <c r="DC412" s="517"/>
      <c r="DD412" s="503" t="str">
        <f>IF($G412="","",IF(AND($G412&gt;=30,$AT$3&lt;=DC$7),ROUND(DC412*($AP$3+#REF!),-1),""))</f>
        <v/>
      </c>
      <c r="DE412" s="517"/>
      <c r="DF412" s="503" t="str">
        <f>IF($G412="","",IF(AND($G412&gt;=30,$AT$3&lt;=DE$7),ROUND(DE412*($AP$3+#REF!),-1),""))</f>
        <v/>
      </c>
      <c r="DG412" s="517"/>
      <c r="DH412" s="503" t="str">
        <f>IF($G412="","",IF(AND($G412&gt;=30,$AT$3&lt;=DG$7),ROUND(DG412*($AP$3+#REF!),-1),""))</f>
        <v/>
      </c>
      <c r="DI412" s="517"/>
      <c r="DJ412" s="503" t="str">
        <f>IF($G412="","",IF(AND($G412&gt;=30,$AT$3&lt;=DI$7),ROUND(DI412*($AP$3+#REF!),-1),""))</f>
        <v/>
      </c>
      <c r="DK412" s="517"/>
      <c r="DL412" s="503" t="str">
        <f>IF($G412="","",IF(AND($G412&gt;=30,$AT$3&lt;=DK$7),ROUND(DK412*($AP$3+#REF!),-1),""))</f>
        <v/>
      </c>
      <c r="DM412" s="517"/>
      <c r="DN412" s="503" t="str">
        <f>IF($G412="","",IF(AND($G412&gt;=30,$AT$3&lt;=DM$7),ROUND(DM412*($AP$3+#REF!),-1),""))</f>
        <v/>
      </c>
      <c r="DO412" s="517"/>
      <c r="DP412" s="503" t="str">
        <f>IF($G412="","",IF(AND($G412&gt;=30,$AT$3&lt;=DO$7),ROUND(DO412*($AP$3+#REF!),-1),""))</f>
        <v/>
      </c>
      <c r="DQ412" s="517"/>
      <c r="DR412" s="503" t="str">
        <f>IF($G412="","",IF(AND($G412&gt;=30,$AT$3&lt;=DQ$7),ROUND(DQ412*($AP$3+#REF!),-1),""))</f>
        <v/>
      </c>
      <c r="DS412" s="517"/>
      <c r="DT412" s="503" t="str">
        <f>IF($G412="","",IF(AND($G412&gt;=30,$AT$3&lt;=DS$7),ROUND(DS412*($AP$3+#REF!),-1),""))</f>
        <v/>
      </c>
      <c r="DU412" s="517"/>
      <c r="DV412" s="503" t="str">
        <f>IF($G412="","",IF(AND($G412&gt;=30,$AT$3&lt;=DU$7),ROUND(DU412*($AP$3+#REF!),-1),""))</f>
        <v/>
      </c>
      <c r="DW412" s="517"/>
      <c r="DX412" s="503" t="str">
        <f>IF($G412="","",IF(AND($G412&gt;=30,$AT$3&lt;=DW$7),ROUND(DW412*($AP$3+#REF!),-1),""))</f>
        <v/>
      </c>
      <c r="DY412" s="517"/>
      <c r="DZ412" s="503" t="str">
        <f>IF($G412="","",IF(AND($G412&gt;=30,$AT$3&lt;=DY$7),ROUND(DY412*($AP$3+#REF!),-1),""))</f>
        <v/>
      </c>
      <c r="EA412" s="517"/>
      <c r="EB412" s="503" t="str">
        <f>IF($G412="","",IF(AND($G412&gt;=30,$AT$3&lt;=EA$7),ROUND(EA412*($AP$3+#REF!),-1),""))</f>
        <v/>
      </c>
      <c r="EC412" s="504" t="s">
        <v>621</v>
      </c>
      <c r="ED412" s="1124"/>
      <c r="EE412" s="325">
        <v>8</v>
      </c>
    </row>
    <row r="413" spans="1:135" ht="9.75" customHeight="1">
      <c r="A413" s="321" t="str">
        <f t="shared" si="96"/>
        <v/>
      </c>
      <c r="B413" s="567">
        <f>(ii!$D$13*12+V413)+1</f>
        <v>307</v>
      </c>
      <c r="C413" s="337">
        <f t="shared" si="100"/>
        <v>54696</v>
      </c>
      <c r="D413" s="484">
        <f t="shared" si="103"/>
        <v>2049</v>
      </c>
      <c r="E413" s="484">
        <f t="shared" si="101"/>
        <v>0.75</v>
      </c>
      <c r="F413" s="484">
        <f t="shared" si="104"/>
        <v>2049.75</v>
      </c>
      <c r="G413" s="485" t="str">
        <f>IF(OR(C413&lt;$I$2,C413&gt;$J$3),"",(ii!$D$13*12+V413+1)/12)</f>
        <v/>
      </c>
      <c r="H413" s="486"/>
      <c r="I413" s="486"/>
      <c r="J413" s="487"/>
      <c r="K413" s="488"/>
      <c r="L413" s="548"/>
      <c r="M413" s="489" t="str">
        <f t="shared" si="105"/>
        <v/>
      </c>
      <c r="N413" s="490" t="s">
        <v>621</v>
      </c>
      <c r="O413" s="490" t="str">
        <f t="shared" si="98"/>
        <v/>
      </c>
      <c r="P413" s="491"/>
      <c r="Q413" s="491"/>
      <c r="R413" s="491" t="str">
        <f t="shared" si="99"/>
        <v/>
      </c>
      <c r="S413" s="528" t="str">
        <f t="shared" si="97"/>
        <v/>
      </c>
      <c r="T413" s="528" t="str">
        <f t="shared" si="95"/>
        <v/>
      </c>
      <c r="U413" s="493" t="str">
        <f>IF(H413="","",#REF!*12+#REF!+#REF!*12+#REF!)</f>
        <v/>
      </c>
      <c r="V413" s="338">
        <f>IF(ii!$J$3&gt;gg!C413,"",IF(AND((YEAR(C413)=YEAR($I$2)),MONTH(C413)=MONTH($I$2)),ii!$B$14*12+ii!$C$14+ii!$B$15*12+ii!$C$15-1,V412+1))</f>
        <v>306</v>
      </c>
      <c r="W413" s="339">
        <f t="shared" si="102"/>
        <v>25.5</v>
      </c>
      <c r="X413" s="494" t="s">
        <v>621</v>
      </c>
      <c r="Y413" s="495" t="s">
        <v>621</v>
      </c>
      <c r="Z413" s="496"/>
      <c r="AA413" s="497"/>
      <c r="AB413" s="498" t="e">
        <f t="shared" si="94"/>
        <v>#VALUE!</v>
      </c>
      <c r="AC413" s="484" t="str">
        <f t="shared" si="106"/>
        <v/>
      </c>
      <c r="AD413" s="495" t="str">
        <f t="shared" si="107"/>
        <v/>
      </c>
      <c r="AE413" s="499" t="s">
        <v>621</v>
      </c>
      <c r="AF413" s="500" t="s">
        <v>621</v>
      </c>
      <c r="AG413" s="556" t="s">
        <v>621</v>
      </c>
      <c r="AH413" s="503" t="str">
        <f>IF($G413="","",IF(AND($G413&gt;=30,$AT$3&lt;=AG$7),ROUND(AG413*($AP$3+#REF!),-1),""))</f>
        <v/>
      </c>
      <c r="AI413" s="506" t="s">
        <v>621</v>
      </c>
      <c r="AJ413" s="503" t="str">
        <f>IF($G413="","",IF(AND($G413&gt;=30,$AT$3&lt;=AI$7),ROUND(AI413*($AP$3+#REF!),-1),""))</f>
        <v/>
      </c>
      <c r="AK413" s="506" t="s">
        <v>621</v>
      </c>
      <c r="AL413" s="503" t="str">
        <f>IF($G413="","",IF(AND($G413&gt;=30,$AT$3&lt;=AK$7),ROUND(AK413*($AP$3+#REF!),-1),""))</f>
        <v/>
      </c>
      <c r="AM413" s="506" t="s">
        <v>621</v>
      </c>
      <c r="AN413" s="503" t="str">
        <f>IF($G413="","",IF(AND($G413&gt;=30,$AT$3&lt;=AM$7),ROUND(AM413*($AP$3+#REF!),-1),""))</f>
        <v/>
      </c>
      <c r="AO413" s="503" t="e">
        <v>#REF!</v>
      </c>
      <c r="AP413" s="503" t="str">
        <f>IF($G413="","",IF(AND($G413&gt;=30,$AT$3&lt;=AO$7),ROUND(AO413*($AP$3+#REF!),-1),""))</f>
        <v/>
      </c>
      <c r="AQ413" s="503" t="s">
        <v>621</v>
      </c>
      <c r="AR413" s="503" t="str">
        <f>IF($G413="","",IF(AND($G413&gt;=30,$AT$3&lt;=AQ$7),ROUND(AQ413*($AP$3+#REF!),-1),""))</f>
        <v/>
      </c>
      <c r="AS413" s="503" t="s">
        <v>621</v>
      </c>
      <c r="AT413" s="503" t="str">
        <f>IF($G413="","",IF(AND($G413&gt;=30,$AT$3&lt;=AS$7),ROUND(AS413*($AP$3+#REF!),-1),""))</f>
        <v/>
      </c>
      <c r="AU413" s="503" t="s">
        <v>621</v>
      </c>
      <c r="AV413" s="503" t="str">
        <f>IF($G413="","",IF(AND($G413&gt;=30,$AT$3&lt;=AU$7),ROUND(AU413*($AP$3+#REF!),-1),""))</f>
        <v/>
      </c>
      <c r="AW413" s="503" t="s">
        <v>621</v>
      </c>
      <c r="AX413" s="503" t="str">
        <f>IF($G413="","",IF(AND($G413&gt;=30,$AT$3&lt;=AW$7),ROUND(AW413*($AP$3+#REF!),-1),""))</f>
        <v/>
      </c>
      <c r="AY413" s="503" t="s">
        <v>621</v>
      </c>
      <c r="AZ413" s="503" t="str">
        <f>IF($G413="","",IF(AND($G413&gt;=30,$AT$3&lt;=AY$7),ROUND(AY413*($AP$3+#REF!),-1),""))</f>
        <v/>
      </c>
      <c r="BA413" s="503" t="s">
        <v>621</v>
      </c>
      <c r="BB413" s="503" t="str">
        <f>IF($G413="","",IF(AND($G413&gt;=30,$AT$3&lt;=BA$7),ROUND(BA413*($AP$3+#REF!),-1),""))</f>
        <v/>
      </c>
      <c r="BC413" s="503" t="s">
        <v>621</v>
      </c>
      <c r="BD413" s="503" t="str">
        <f>IF($G413="","",IF(AND($G413&gt;=30,$AT$3&lt;=BC$7),ROUND(BC413*($AP$3+#REF!),-1),""))</f>
        <v/>
      </c>
      <c r="BE413" s="503" t="s">
        <v>621</v>
      </c>
      <c r="BF413" s="503" t="str">
        <f>IF($G413="","",IF(AND($G413&gt;=30,$AT$3&lt;=BE$7),ROUND(BE413*($AP$3+#REF!),-1),""))</f>
        <v/>
      </c>
      <c r="BG413" s="503" t="s">
        <v>621</v>
      </c>
      <c r="BH413" s="503" t="str">
        <f>IF($G413="","",IF(AND($G413&gt;=30,$AT$3&lt;=BG$7),ROUND(BG413*($AP$3+#REF!),-1),""))</f>
        <v/>
      </c>
      <c r="BI413" s="503" t="s">
        <v>621</v>
      </c>
      <c r="BJ413" s="503" t="str">
        <f>IF($G413="","",IF(AND($G413&gt;=30,$AT$3&lt;=BI$7),ROUND(BI413*($AP$3+#REF!),-1),""))</f>
        <v/>
      </c>
      <c r="BK413" s="503" t="s">
        <v>621</v>
      </c>
      <c r="BL413" s="503" t="str">
        <f>IF($G413="","",IF(AND($G413&gt;=30,$AT$3&lt;=BK$7),ROUND(BK413*($AP$3+#REF!),-1),""))</f>
        <v/>
      </c>
      <c r="BM413" s="503" t="s">
        <v>621</v>
      </c>
      <c r="BN413" s="503" t="str">
        <f>IF($G413="","",IF(AND($G413&gt;=30,$AT$3&lt;=BM$7),ROUND(BM413*($AP$3+#REF!),-1),""))</f>
        <v/>
      </c>
      <c r="BO413" s="503" t="s">
        <v>621</v>
      </c>
      <c r="BP413" s="503" t="str">
        <f>IF($G413="","",IF(AND($G413&gt;=30,$AT$3&lt;=BO$7),ROUND(BO413*($AP$3+#REF!),-1),""))</f>
        <v/>
      </c>
      <c r="BQ413" s="503" t="s">
        <v>621</v>
      </c>
      <c r="BR413" s="503" t="str">
        <f>IF($G413="","",IF(AND($G413&gt;=30,$AT$3&lt;=BQ$7),ROUND(BQ413*($AP$3+#REF!),-1),""))</f>
        <v/>
      </c>
      <c r="BS413" s="503" t="s">
        <v>621</v>
      </c>
      <c r="BT413" s="503" t="str">
        <f>IF($G413="","",IF(AND($G413&gt;=30,$AT$3&lt;=BS$7),ROUND(BS413*($AP$3+#REF!),-1),""))</f>
        <v/>
      </c>
      <c r="BU413" s="503" t="s">
        <v>621</v>
      </c>
      <c r="BV413" s="503" t="str">
        <f>IF($G413="","",IF(AND($G413&gt;=30,$AT$3&lt;=BU$7),ROUND(BU413*($AP$3+#REF!),-1),""))</f>
        <v/>
      </c>
      <c r="BW413" s="503" t="s">
        <v>621</v>
      </c>
      <c r="BX413" s="503" t="str">
        <f>IF($G413="","",IF(AND($G413&gt;=30,$AT$3&lt;=BW$7),ROUND(BW413*($AP$3+#REF!),-1),""))</f>
        <v/>
      </c>
      <c r="BY413" s="503" t="s">
        <v>621</v>
      </c>
      <c r="BZ413" s="503" t="str">
        <f>IF($G413="","",IF(AND($G413&gt;=30,$AT$3&lt;=BY$7),ROUND(BY413*($AP$3+#REF!),-1),""))</f>
        <v/>
      </c>
      <c r="CA413" s="503" t="s">
        <v>621</v>
      </c>
      <c r="CB413" s="503" t="str">
        <f>IF($G413="","",IF(AND($G413&gt;=30,$AT$3&lt;=CA$7),ROUND(CA413*($AP$3+#REF!),-1),""))</f>
        <v/>
      </c>
      <c r="CC413" s="503" t="s">
        <v>621</v>
      </c>
      <c r="CD413" s="503" t="str">
        <f>IF($G413="","",IF(AND($G413&gt;=30,$AT$3&lt;=CC$7),ROUND(CC413*($AP$3+#REF!),-1),""))</f>
        <v/>
      </c>
      <c r="CE413" s="503" t="s">
        <v>621</v>
      </c>
      <c r="CF413" s="503" t="str">
        <f>IF($G413="","",IF(AND($G413&gt;=30,$AT$3&lt;=CE$7),ROUND(CE413*($AP$3+#REF!),-1),""))</f>
        <v/>
      </c>
      <c r="CG413" s="503" t="s">
        <v>621</v>
      </c>
      <c r="CH413" s="503" t="str">
        <f>IF($G413="","",IF(AND($G413&gt;=30,$AT$3&lt;=CG$7),ROUND(CG413*($AP$3+#REF!),-1),""))</f>
        <v/>
      </c>
      <c r="CI413" s="503" t="s">
        <v>621</v>
      </c>
      <c r="CJ413" s="503" t="str">
        <f>IF($G413="","",IF(AND($G413&gt;=30,$AT$3&lt;=CI$7),ROUND(CI413*($AP$3+#REF!),-1),""))</f>
        <v/>
      </c>
      <c r="CK413" s="503" t="s">
        <v>621</v>
      </c>
      <c r="CL413" s="503" t="str">
        <f>IF($G413="","",IF(AND($G413&gt;=30,$AT$3&lt;=CK$7),ROUND(CK413*($AP$3+#REF!),-1),""))</f>
        <v/>
      </c>
      <c r="CM413" s="503" t="s">
        <v>621</v>
      </c>
      <c r="CN413" s="503" t="str">
        <f>IF($G413="","",IF(AND($G413&gt;=30,$AT$3&lt;=CM$7),ROUND(CM413*($AP$3+#REF!),-1),""))</f>
        <v/>
      </c>
      <c r="CO413" s="503" t="s">
        <v>621</v>
      </c>
      <c r="CP413" s="503" t="str">
        <f>IF($G413="","",IF(AND($G413&gt;=30,$AT$3&lt;=CO$7),ROUND(CO413*($AP$3+#REF!),-1),""))</f>
        <v/>
      </c>
      <c r="CQ413" s="503" t="s">
        <v>621</v>
      </c>
      <c r="CR413" s="503" t="str">
        <f>IF($G413="","",IF(AND($G413&gt;=30,$AT$3&lt;=CQ$7),ROUND(CQ413*($AP$3+#REF!),-1),""))</f>
        <v/>
      </c>
      <c r="CS413" s="503" t="s">
        <v>621</v>
      </c>
      <c r="CT413" s="503" t="str">
        <f>IF($G413="","",IF(AND($G413&gt;=30,$AT$3&lt;=CS$7),ROUND(CS413*($AP$3+#REF!),-1),""))</f>
        <v/>
      </c>
      <c r="CU413" s="517" t="e">
        <v>#REF!</v>
      </c>
      <c r="CV413" s="503" t="str">
        <f>IF($G413="","",IF(AND($G413&gt;=30,$AT$3&lt;=CU$7),ROUND(CU413*($AP$3+#REF!),-1),""))</f>
        <v/>
      </c>
      <c r="CW413" s="517"/>
      <c r="CX413" s="503" t="str">
        <f>IF($G413="","",IF(AND($G413&gt;=30,$AT$3&lt;=CW$7),ROUND(CW413*($AP$3+#REF!),-1),""))</f>
        <v/>
      </c>
      <c r="CY413" s="517"/>
      <c r="CZ413" s="503" t="str">
        <f>IF($G413="","",IF(AND($G413&gt;=30,$AT$3&lt;=CY$7),ROUND(CY413*($AP$3+#REF!),-1),""))</f>
        <v/>
      </c>
      <c r="DA413" s="517"/>
      <c r="DB413" s="503" t="str">
        <f>IF($G413="","",IF(AND($G413&gt;=30,$AT$3&lt;=DA$7),ROUND(DA413*($AP$3+#REF!),-1),""))</f>
        <v/>
      </c>
      <c r="DC413" s="517"/>
      <c r="DD413" s="503" t="str">
        <f>IF($G413="","",IF(AND($G413&gt;=30,$AT$3&lt;=DC$7),ROUND(DC413*($AP$3+#REF!),-1),""))</f>
        <v/>
      </c>
      <c r="DE413" s="517"/>
      <c r="DF413" s="503" t="str">
        <f>IF($G413="","",IF(AND($G413&gt;=30,$AT$3&lt;=DE$7),ROUND(DE413*($AP$3+#REF!),-1),""))</f>
        <v/>
      </c>
      <c r="DG413" s="517"/>
      <c r="DH413" s="503" t="str">
        <f>IF($G413="","",IF(AND($G413&gt;=30,$AT$3&lt;=DG$7),ROUND(DG413*($AP$3+#REF!),-1),""))</f>
        <v/>
      </c>
      <c r="DI413" s="517"/>
      <c r="DJ413" s="503" t="str">
        <f>IF($G413="","",IF(AND($G413&gt;=30,$AT$3&lt;=DI$7),ROUND(DI413*($AP$3+#REF!),-1),""))</f>
        <v/>
      </c>
      <c r="DK413" s="517"/>
      <c r="DL413" s="503" t="str">
        <f>IF($G413="","",IF(AND($G413&gt;=30,$AT$3&lt;=DK$7),ROUND(DK413*($AP$3+#REF!),-1),""))</f>
        <v/>
      </c>
      <c r="DM413" s="517"/>
      <c r="DN413" s="503" t="str">
        <f>IF($G413="","",IF(AND($G413&gt;=30,$AT$3&lt;=DM$7),ROUND(DM413*($AP$3+#REF!),-1),""))</f>
        <v/>
      </c>
      <c r="DO413" s="517"/>
      <c r="DP413" s="503" t="str">
        <f>IF($G413="","",IF(AND($G413&gt;=30,$AT$3&lt;=DO$7),ROUND(DO413*($AP$3+#REF!),-1),""))</f>
        <v/>
      </c>
      <c r="DQ413" s="517"/>
      <c r="DR413" s="503" t="str">
        <f>IF($G413="","",IF(AND($G413&gt;=30,$AT$3&lt;=DQ$7),ROUND(DQ413*($AP$3+#REF!),-1),""))</f>
        <v/>
      </c>
      <c r="DS413" s="517"/>
      <c r="DT413" s="503" t="str">
        <f>IF($G413="","",IF(AND($G413&gt;=30,$AT$3&lt;=DS$7),ROUND(DS413*($AP$3+#REF!),-1),""))</f>
        <v/>
      </c>
      <c r="DU413" s="517"/>
      <c r="DV413" s="503" t="str">
        <f>IF($G413="","",IF(AND($G413&gt;=30,$AT$3&lt;=DU$7),ROUND(DU413*($AP$3+#REF!),-1),""))</f>
        <v/>
      </c>
      <c r="DW413" s="517"/>
      <c r="DX413" s="503" t="str">
        <f>IF($G413="","",IF(AND($G413&gt;=30,$AT$3&lt;=DW$7),ROUND(DW413*($AP$3+#REF!),-1),""))</f>
        <v/>
      </c>
      <c r="DY413" s="517"/>
      <c r="DZ413" s="503" t="str">
        <f>IF($G413="","",IF(AND($G413&gt;=30,$AT$3&lt;=DY$7),ROUND(DY413*($AP$3+#REF!),-1),""))</f>
        <v/>
      </c>
      <c r="EA413" s="517"/>
      <c r="EB413" s="503" t="str">
        <f>IF($G413="","",IF(AND($G413&gt;=30,$AT$3&lt;=EA$7),ROUND(EA413*($AP$3+#REF!),-1),""))</f>
        <v/>
      </c>
      <c r="EC413" s="504" t="s">
        <v>621</v>
      </c>
      <c r="ED413" s="1124"/>
      <c r="EE413" s="325">
        <v>9</v>
      </c>
    </row>
    <row r="414" spans="1:135" ht="9.75" customHeight="1">
      <c r="A414" s="321" t="str">
        <f t="shared" si="96"/>
        <v/>
      </c>
      <c r="B414" s="567">
        <f>(ii!$D$13*12+V414)+1</f>
        <v>308</v>
      </c>
      <c r="C414" s="337">
        <f t="shared" si="100"/>
        <v>54727</v>
      </c>
      <c r="D414" s="484">
        <f t="shared" si="103"/>
        <v>2049</v>
      </c>
      <c r="E414" s="484">
        <f t="shared" si="101"/>
        <v>0.83333333333333337</v>
      </c>
      <c r="F414" s="484">
        <f t="shared" si="104"/>
        <v>2049.8333333333335</v>
      </c>
      <c r="G414" s="485" t="str">
        <f>IF(OR(C414&lt;$I$2,C414&gt;$J$3),"",(ii!$D$13*12+V414+1)/12)</f>
        <v/>
      </c>
      <c r="H414" s="486"/>
      <c r="I414" s="486"/>
      <c r="J414" s="487"/>
      <c r="K414" s="488"/>
      <c r="L414" s="548"/>
      <c r="M414" s="489" t="str">
        <f t="shared" si="105"/>
        <v/>
      </c>
      <c r="N414" s="490" t="s">
        <v>621</v>
      </c>
      <c r="O414" s="490" t="str">
        <f t="shared" si="98"/>
        <v/>
      </c>
      <c r="P414" s="491"/>
      <c r="Q414" s="491"/>
      <c r="R414" s="491" t="str">
        <f t="shared" si="99"/>
        <v/>
      </c>
      <c r="S414" s="528" t="str">
        <f t="shared" si="97"/>
        <v/>
      </c>
      <c r="T414" s="528" t="str">
        <f t="shared" si="95"/>
        <v/>
      </c>
      <c r="U414" s="493" t="str">
        <f>IF(H414="","",#REF!*12+#REF!+#REF!*12+#REF!)</f>
        <v/>
      </c>
      <c r="V414" s="338">
        <f>IF(ii!$J$3&gt;gg!C414,"",IF(AND((YEAR(C414)=YEAR($I$2)),MONTH(C414)=MONTH($I$2)),ii!$B$14*12+ii!$C$14+ii!$B$15*12+ii!$C$15-1,V413+1))</f>
        <v>307</v>
      </c>
      <c r="W414" s="339">
        <f t="shared" si="102"/>
        <v>25.583333333333332</v>
      </c>
      <c r="X414" s="494" t="s">
        <v>621</v>
      </c>
      <c r="Y414" s="495" t="s">
        <v>621</v>
      </c>
      <c r="Z414" s="496"/>
      <c r="AA414" s="497"/>
      <c r="AB414" s="498" t="e">
        <f t="shared" ref="AB414:AB477" si="108">IF(F414&lt;$I$3,"",IF(F414&gt;$F$3,"",(P414/Y414)))</f>
        <v>#VALUE!</v>
      </c>
      <c r="AC414" s="484" t="str">
        <f t="shared" si="106"/>
        <v/>
      </c>
      <c r="AD414" s="495" t="str">
        <f t="shared" si="107"/>
        <v/>
      </c>
      <c r="AE414" s="499" t="s">
        <v>621</v>
      </c>
      <c r="AF414" s="500" t="s">
        <v>621</v>
      </c>
      <c r="AG414" s="556" t="s">
        <v>621</v>
      </c>
      <c r="AH414" s="503" t="str">
        <f>IF($G414="","",IF(AND($G414&gt;=30,$AT$3&lt;=AG$7),ROUND(AG414*($AP$3+#REF!),-1),""))</f>
        <v/>
      </c>
      <c r="AI414" s="506" t="s">
        <v>621</v>
      </c>
      <c r="AJ414" s="503" t="str">
        <f>IF($G414="","",IF(AND($G414&gt;=30,$AT$3&lt;=AI$7),ROUND(AI414*($AP$3+#REF!),-1),""))</f>
        <v/>
      </c>
      <c r="AK414" s="506" t="s">
        <v>621</v>
      </c>
      <c r="AL414" s="503" t="str">
        <f>IF($G414="","",IF(AND($G414&gt;=30,$AT$3&lt;=AK$7),ROUND(AK414*($AP$3+#REF!),-1),""))</f>
        <v/>
      </c>
      <c r="AM414" s="506" t="s">
        <v>621</v>
      </c>
      <c r="AN414" s="503" t="str">
        <f>IF($G414="","",IF(AND($G414&gt;=30,$AT$3&lt;=AM$7),ROUND(AM414*($AP$3+#REF!),-1),""))</f>
        <v/>
      </c>
      <c r="AO414" s="503" t="e">
        <v>#REF!</v>
      </c>
      <c r="AP414" s="503" t="str">
        <f>IF($G414="","",IF(AND($G414&gt;=30,$AT$3&lt;=AO$7),ROUND(AO414*($AP$3+#REF!),-1),""))</f>
        <v/>
      </c>
      <c r="AQ414" s="503" t="s">
        <v>621</v>
      </c>
      <c r="AR414" s="503" t="str">
        <f>IF($G414="","",IF(AND($G414&gt;=30,$AT$3&lt;=AQ$7),ROUND(AQ414*($AP$3+#REF!),-1),""))</f>
        <v/>
      </c>
      <c r="AS414" s="503" t="s">
        <v>621</v>
      </c>
      <c r="AT414" s="503" t="str">
        <f>IF($G414="","",IF(AND($G414&gt;=30,$AT$3&lt;=AS$7),ROUND(AS414*($AP$3+#REF!),-1),""))</f>
        <v/>
      </c>
      <c r="AU414" s="503" t="s">
        <v>621</v>
      </c>
      <c r="AV414" s="503" t="str">
        <f>IF($G414="","",IF(AND($G414&gt;=30,$AT$3&lt;=AU$7),ROUND(AU414*($AP$3+#REF!),-1),""))</f>
        <v/>
      </c>
      <c r="AW414" s="503" t="s">
        <v>621</v>
      </c>
      <c r="AX414" s="503" t="str">
        <f>IF($G414="","",IF(AND($G414&gt;=30,$AT$3&lt;=AW$7),ROUND(AW414*($AP$3+#REF!),-1),""))</f>
        <v/>
      </c>
      <c r="AY414" s="503" t="s">
        <v>621</v>
      </c>
      <c r="AZ414" s="503" t="str">
        <f>IF($G414="","",IF(AND($G414&gt;=30,$AT$3&lt;=AY$7),ROUND(AY414*($AP$3+#REF!),-1),""))</f>
        <v/>
      </c>
      <c r="BA414" s="503" t="s">
        <v>621</v>
      </c>
      <c r="BB414" s="503" t="str">
        <f>IF($G414="","",IF(AND($G414&gt;=30,$AT$3&lt;=BA$7),ROUND(BA414*($AP$3+#REF!),-1),""))</f>
        <v/>
      </c>
      <c r="BC414" s="503" t="s">
        <v>621</v>
      </c>
      <c r="BD414" s="503" t="str">
        <f>IF($G414="","",IF(AND($G414&gt;=30,$AT$3&lt;=BC$7),ROUND(BC414*($AP$3+#REF!),-1),""))</f>
        <v/>
      </c>
      <c r="BE414" s="503" t="s">
        <v>621</v>
      </c>
      <c r="BF414" s="503" t="str">
        <f>IF($G414="","",IF(AND($G414&gt;=30,$AT$3&lt;=BE$7),ROUND(BE414*($AP$3+#REF!),-1),""))</f>
        <v/>
      </c>
      <c r="BG414" s="503" t="s">
        <v>621</v>
      </c>
      <c r="BH414" s="503" t="str">
        <f>IF($G414="","",IF(AND($G414&gt;=30,$AT$3&lt;=BG$7),ROUND(BG414*($AP$3+#REF!),-1),""))</f>
        <v/>
      </c>
      <c r="BI414" s="503" t="s">
        <v>621</v>
      </c>
      <c r="BJ414" s="503" t="str">
        <f>IF($G414="","",IF(AND($G414&gt;=30,$AT$3&lt;=BI$7),ROUND(BI414*($AP$3+#REF!),-1),""))</f>
        <v/>
      </c>
      <c r="BK414" s="503" t="s">
        <v>621</v>
      </c>
      <c r="BL414" s="503" t="str">
        <f>IF($G414="","",IF(AND($G414&gt;=30,$AT$3&lt;=BK$7),ROUND(BK414*($AP$3+#REF!),-1),""))</f>
        <v/>
      </c>
      <c r="BM414" s="503" t="s">
        <v>621</v>
      </c>
      <c r="BN414" s="503" t="str">
        <f>IF($G414="","",IF(AND($G414&gt;=30,$AT$3&lt;=BM$7),ROUND(BM414*($AP$3+#REF!),-1),""))</f>
        <v/>
      </c>
      <c r="BO414" s="503" t="s">
        <v>621</v>
      </c>
      <c r="BP414" s="503" t="str">
        <f>IF($G414="","",IF(AND($G414&gt;=30,$AT$3&lt;=BO$7),ROUND(BO414*($AP$3+#REF!),-1),""))</f>
        <v/>
      </c>
      <c r="BQ414" s="503" t="s">
        <v>621</v>
      </c>
      <c r="BR414" s="503" t="str">
        <f>IF($G414="","",IF(AND($G414&gt;=30,$AT$3&lt;=BQ$7),ROUND(BQ414*($AP$3+#REF!),-1),""))</f>
        <v/>
      </c>
      <c r="BS414" s="503" t="s">
        <v>621</v>
      </c>
      <c r="BT414" s="503" t="str">
        <f>IF($G414="","",IF(AND($G414&gt;=30,$AT$3&lt;=BS$7),ROUND(BS414*($AP$3+#REF!),-1),""))</f>
        <v/>
      </c>
      <c r="BU414" s="503" t="s">
        <v>621</v>
      </c>
      <c r="BV414" s="503" t="str">
        <f>IF($G414="","",IF(AND($G414&gt;=30,$AT$3&lt;=BU$7),ROUND(BU414*($AP$3+#REF!),-1),""))</f>
        <v/>
      </c>
      <c r="BW414" s="503" t="s">
        <v>621</v>
      </c>
      <c r="BX414" s="503" t="str">
        <f>IF($G414="","",IF(AND($G414&gt;=30,$AT$3&lt;=BW$7),ROUND(BW414*($AP$3+#REF!),-1),""))</f>
        <v/>
      </c>
      <c r="BY414" s="503" t="s">
        <v>621</v>
      </c>
      <c r="BZ414" s="503" t="str">
        <f>IF($G414="","",IF(AND($G414&gt;=30,$AT$3&lt;=BY$7),ROUND(BY414*($AP$3+#REF!),-1),""))</f>
        <v/>
      </c>
      <c r="CA414" s="503" t="s">
        <v>621</v>
      </c>
      <c r="CB414" s="503" t="str">
        <f>IF($G414="","",IF(AND($G414&gt;=30,$AT$3&lt;=CA$7),ROUND(CA414*($AP$3+#REF!),-1),""))</f>
        <v/>
      </c>
      <c r="CC414" s="503" t="s">
        <v>621</v>
      </c>
      <c r="CD414" s="503" t="str">
        <f>IF($G414="","",IF(AND($G414&gt;=30,$AT$3&lt;=CC$7),ROUND(CC414*($AP$3+#REF!),-1),""))</f>
        <v/>
      </c>
      <c r="CE414" s="503" t="s">
        <v>621</v>
      </c>
      <c r="CF414" s="503" t="str">
        <f>IF($G414="","",IF(AND($G414&gt;=30,$AT$3&lt;=CE$7),ROUND(CE414*($AP$3+#REF!),-1),""))</f>
        <v/>
      </c>
      <c r="CG414" s="503" t="s">
        <v>621</v>
      </c>
      <c r="CH414" s="503" t="str">
        <f>IF($G414="","",IF(AND($G414&gt;=30,$AT$3&lt;=CG$7),ROUND(CG414*($AP$3+#REF!),-1),""))</f>
        <v/>
      </c>
      <c r="CI414" s="503" t="s">
        <v>621</v>
      </c>
      <c r="CJ414" s="503" t="str">
        <f>IF($G414="","",IF(AND($G414&gt;=30,$AT$3&lt;=CI$7),ROUND(CI414*($AP$3+#REF!),-1),""))</f>
        <v/>
      </c>
      <c r="CK414" s="503" t="s">
        <v>621</v>
      </c>
      <c r="CL414" s="503" t="str">
        <f>IF($G414="","",IF(AND($G414&gt;=30,$AT$3&lt;=CK$7),ROUND(CK414*($AP$3+#REF!),-1),""))</f>
        <v/>
      </c>
      <c r="CM414" s="503" t="s">
        <v>621</v>
      </c>
      <c r="CN414" s="503" t="str">
        <f>IF($G414="","",IF(AND($G414&gt;=30,$AT$3&lt;=CM$7),ROUND(CM414*($AP$3+#REF!),-1),""))</f>
        <v/>
      </c>
      <c r="CO414" s="503" t="s">
        <v>621</v>
      </c>
      <c r="CP414" s="503" t="str">
        <f>IF($G414="","",IF(AND($G414&gt;=30,$AT$3&lt;=CO$7),ROUND(CO414*($AP$3+#REF!),-1),""))</f>
        <v/>
      </c>
      <c r="CQ414" s="503" t="s">
        <v>621</v>
      </c>
      <c r="CR414" s="503" t="str">
        <f>IF($G414="","",IF(AND($G414&gt;=30,$AT$3&lt;=CQ$7),ROUND(CQ414*($AP$3+#REF!),-1),""))</f>
        <v/>
      </c>
      <c r="CS414" s="503" t="s">
        <v>621</v>
      </c>
      <c r="CT414" s="503" t="str">
        <f>IF($G414="","",IF(AND($G414&gt;=30,$AT$3&lt;=CS$7),ROUND(CS414*($AP$3+#REF!),-1),""))</f>
        <v/>
      </c>
      <c r="CU414" s="517" t="e">
        <v>#REF!</v>
      </c>
      <c r="CV414" s="503" t="str">
        <f>IF($G414="","",IF(AND($G414&gt;=30,$AT$3&lt;=CU$7),ROUND(CU414*($AP$3+#REF!),-1),""))</f>
        <v/>
      </c>
      <c r="CW414" s="517"/>
      <c r="CX414" s="503" t="str">
        <f>IF($G414="","",IF(AND($G414&gt;=30,$AT$3&lt;=CW$7),ROUND(CW414*($AP$3+#REF!),-1),""))</f>
        <v/>
      </c>
      <c r="CY414" s="517"/>
      <c r="CZ414" s="503" t="str">
        <f>IF($G414="","",IF(AND($G414&gt;=30,$AT$3&lt;=CY$7),ROUND(CY414*($AP$3+#REF!),-1),""))</f>
        <v/>
      </c>
      <c r="DA414" s="517"/>
      <c r="DB414" s="503" t="str">
        <f>IF($G414="","",IF(AND($G414&gt;=30,$AT$3&lt;=DA$7),ROUND(DA414*($AP$3+#REF!),-1),""))</f>
        <v/>
      </c>
      <c r="DC414" s="517"/>
      <c r="DD414" s="503" t="str">
        <f>IF($G414="","",IF(AND($G414&gt;=30,$AT$3&lt;=DC$7),ROUND(DC414*($AP$3+#REF!),-1),""))</f>
        <v/>
      </c>
      <c r="DE414" s="517"/>
      <c r="DF414" s="503" t="str">
        <f>IF($G414="","",IF(AND($G414&gt;=30,$AT$3&lt;=DE$7),ROUND(DE414*($AP$3+#REF!),-1),""))</f>
        <v/>
      </c>
      <c r="DG414" s="517"/>
      <c r="DH414" s="503" t="str">
        <f>IF($G414="","",IF(AND($G414&gt;=30,$AT$3&lt;=DG$7),ROUND(DG414*($AP$3+#REF!),-1),""))</f>
        <v/>
      </c>
      <c r="DI414" s="517"/>
      <c r="DJ414" s="503" t="str">
        <f>IF($G414="","",IF(AND($G414&gt;=30,$AT$3&lt;=DI$7),ROUND(DI414*($AP$3+#REF!),-1),""))</f>
        <v/>
      </c>
      <c r="DK414" s="517"/>
      <c r="DL414" s="503" t="str">
        <f>IF($G414="","",IF(AND($G414&gt;=30,$AT$3&lt;=DK$7),ROUND(DK414*($AP$3+#REF!),-1),""))</f>
        <v/>
      </c>
      <c r="DM414" s="517"/>
      <c r="DN414" s="503" t="str">
        <f>IF($G414="","",IF(AND($G414&gt;=30,$AT$3&lt;=DM$7),ROUND(DM414*($AP$3+#REF!),-1),""))</f>
        <v/>
      </c>
      <c r="DO414" s="517"/>
      <c r="DP414" s="503" t="str">
        <f>IF($G414="","",IF(AND($G414&gt;=30,$AT$3&lt;=DO$7),ROUND(DO414*($AP$3+#REF!),-1),""))</f>
        <v/>
      </c>
      <c r="DQ414" s="517"/>
      <c r="DR414" s="503" t="str">
        <f>IF($G414="","",IF(AND($G414&gt;=30,$AT$3&lt;=DQ$7),ROUND(DQ414*($AP$3+#REF!),-1),""))</f>
        <v/>
      </c>
      <c r="DS414" s="517"/>
      <c r="DT414" s="503" t="str">
        <f>IF($G414="","",IF(AND($G414&gt;=30,$AT$3&lt;=DS$7),ROUND(DS414*($AP$3+#REF!),-1),""))</f>
        <v/>
      </c>
      <c r="DU414" s="517"/>
      <c r="DV414" s="503" t="str">
        <f>IF($G414="","",IF(AND($G414&gt;=30,$AT$3&lt;=DU$7),ROUND(DU414*($AP$3+#REF!),-1),""))</f>
        <v/>
      </c>
      <c r="DW414" s="517"/>
      <c r="DX414" s="503" t="str">
        <f>IF($G414="","",IF(AND($G414&gt;=30,$AT$3&lt;=DW$7),ROUND(DW414*($AP$3+#REF!),-1),""))</f>
        <v/>
      </c>
      <c r="DY414" s="517"/>
      <c r="DZ414" s="503" t="str">
        <f>IF($G414="","",IF(AND($G414&gt;=30,$AT$3&lt;=DY$7),ROUND(DY414*($AP$3+#REF!),-1),""))</f>
        <v/>
      </c>
      <c r="EA414" s="517"/>
      <c r="EB414" s="503" t="str">
        <f>IF($G414="","",IF(AND($G414&gt;=30,$AT$3&lt;=EA$7),ROUND(EA414*($AP$3+#REF!),-1),""))</f>
        <v/>
      </c>
      <c r="EC414" s="504" t="s">
        <v>621</v>
      </c>
      <c r="ED414" s="1124"/>
      <c r="EE414" s="325">
        <v>10</v>
      </c>
    </row>
    <row r="415" spans="1:135" ht="9.75" customHeight="1">
      <c r="A415" s="321" t="str">
        <f t="shared" si="96"/>
        <v/>
      </c>
      <c r="B415" s="567">
        <f>(ii!$D$13*12+V415)+1</f>
        <v>309</v>
      </c>
      <c r="C415" s="337">
        <f t="shared" si="100"/>
        <v>54757</v>
      </c>
      <c r="D415" s="484">
        <f t="shared" si="103"/>
        <v>2049</v>
      </c>
      <c r="E415" s="484">
        <f t="shared" si="101"/>
        <v>0.91666666666666663</v>
      </c>
      <c r="F415" s="484">
        <f t="shared" si="104"/>
        <v>2049.9166666666665</v>
      </c>
      <c r="G415" s="485" t="str">
        <f>IF(OR(C415&lt;$I$2,C415&gt;$J$3),"",(ii!$D$13*12+V415+1)/12)</f>
        <v/>
      </c>
      <c r="H415" s="486"/>
      <c r="I415" s="486"/>
      <c r="J415" s="487"/>
      <c r="K415" s="488"/>
      <c r="L415" s="548"/>
      <c r="M415" s="489" t="str">
        <f t="shared" si="105"/>
        <v/>
      </c>
      <c r="N415" s="490" t="s">
        <v>621</v>
      </c>
      <c r="O415" s="490" t="str">
        <f t="shared" si="98"/>
        <v/>
      </c>
      <c r="P415" s="491"/>
      <c r="Q415" s="491"/>
      <c r="R415" s="491" t="str">
        <f t="shared" si="99"/>
        <v/>
      </c>
      <c r="S415" s="528" t="str">
        <f t="shared" si="97"/>
        <v/>
      </c>
      <c r="T415" s="528" t="str">
        <f t="shared" si="95"/>
        <v/>
      </c>
      <c r="U415" s="493" t="str">
        <f>IF(H415="","",#REF!*12+#REF!+#REF!*12+#REF!)</f>
        <v/>
      </c>
      <c r="V415" s="338">
        <f>IF(ii!$J$3&gt;gg!C415,"",IF(AND((YEAR(C415)=YEAR($I$2)),MONTH(C415)=MONTH($I$2)),ii!$B$14*12+ii!$C$14+ii!$B$15*12+ii!$C$15-1,V414+1))</f>
        <v>308</v>
      </c>
      <c r="W415" s="339">
        <f t="shared" si="102"/>
        <v>25.666666666666668</v>
      </c>
      <c r="X415" s="494" t="s">
        <v>621</v>
      </c>
      <c r="Y415" s="495" t="s">
        <v>621</v>
      </c>
      <c r="Z415" s="496"/>
      <c r="AA415" s="497"/>
      <c r="AB415" s="498" t="e">
        <f t="shared" si="108"/>
        <v>#VALUE!</v>
      </c>
      <c r="AC415" s="484" t="str">
        <f t="shared" si="106"/>
        <v/>
      </c>
      <c r="AD415" s="495" t="str">
        <f t="shared" si="107"/>
        <v/>
      </c>
      <c r="AE415" s="499" t="s">
        <v>621</v>
      </c>
      <c r="AF415" s="500" t="s">
        <v>621</v>
      </c>
      <c r="AG415" s="556" t="s">
        <v>621</v>
      </c>
      <c r="AH415" s="503" t="str">
        <f>IF($G415="","",IF(AND($G415&gt;=30,$AT$3&lt;=AG$7),ROUND(AG415*($AP$3+#REF!),-1),""))</f>
        <v/>
      </c>
      <c r="AI415" s="506" t="s">
        <v>621</v>
      </c>
      <c r="AJ415" s="503" t="str">
        <f>IF($G415="","",IF(AND($G415&gt;=30,$AT$3&lt;=AI$7),ROUND(AI415*($AP$3+#REF!),-1),""))</f>
        <v/>
      </c>
      <c r="AK415" s="506" t="s">
        <v>621</v>
      </c>
      <c r="AL415" s="503" t="str">
        <f>IF($G415="","",IF(AND($G415&gt;=30,$AT$3&lt;=AK$7),ROUND(AK415*($AP$3+#REF!),-1),""))</f>
        <v/>
      </c>
      <c r="AM415" s="506" t="s">
        <v>621</v>
      </c>
      <c r="AN415" s="503" t="str">
        <f>IF($G415="","",IF(AND($G415&gt;=30,$AT$3&lt;=AM$7),ROUND(AM415*($AP$3+#REF!),-1),""))</f>
        <v/>
      </c>
      <c r="AO415" s="503" t="e">
        <v>#REF!</v>
      </c>
      <c r="AP415" s="503" t="str">
        <f>IF($G415="","",IF(AND($G415&gt;=30,$AT$3&lt;=AO$7),ROUND(AO415*($AP$3+#REF!),-1),""))</f>
        <v/>
      </c>
      <c r="AQ415" s="503" t="s">
        <v>621</v>
      </c>
      <c r="AR415" s="503" t="str">
        <f>IF($G415="","",IF(AND($G415&gt;=30,$AT$3&lt;=AQ$7),ROUND(AQ415*($AP$3+#REF!),-1),""))</f>
        <v/>
      </c>
      <c r="AS415" s="503" t="s">
        <v>621</v>
      </c>
      <c r="AT415" s="503" t="str">
        <f>IF($G415="","",IF(AND($G415&gt;=30,$AT$3&lt;=AS$7),ROUND(AS415*($AP$3+#REF!),-1),""))</f>
        <v/>
      </c>
      <c r="AU415" s="503" t="s">
        <v>621</v>
      </c>
      <c r="AV415" s="503" t="str">
        <f>IF($G415="","",IF(AND($G415&gt;=30,$AT$3&lt;=AU$7),ROUND(AU415*($AP$3+#REF!),-1),""))</f>
        <v/>
      </c>
      <c r="AW415" s="503" t="s">
        <v>621</v>
      </c>
      <c r="AX415" s="503" t="str">
        <f>IF($G415="","",IF(AND($G415&gt;=30,$AT$3&lt;=AW$7),ROUND(AW415*($AP$3+#REF!),-1),""))</f>
        <v/>
      </c>
      <c r="AY415" s="503" t="s">
        <v>621</v>
      </c>
      <c r="AZ415" s="503" t="str">
        <f>IF($G415="","",IF(AND($G415&gt;=30,$AT$3&lt;=AY$7),ROUND(AY415*($AP$3+#REF!),-1),""))</f>
        <v/>
      </c>
      <c r="BA415" s="503" t="s">
        <v>621</v>
      </c>
      <c r="BB415" s="503" t="str">
        <f>IF($G415="","",IF(AND($G415&gt;=30,$AT$3&lt;=BA$7),ROUND(BA415*($AP$3+#REF!),-1),""))</f>
        <v/>
      </c>
      <c r="BC415" s="503" t="s">
        <v>621</v>
      </c>
      <c r="BD415" s="503" t="str">
        <f>IF($G415="","",IF(AND($G415&gt;=30,$AT$3&lt;=BC$7),ROUND(BC415*($AP$3+#REF!),-1),""))</f>
        <v/>
      </c>
      <c r="BE415" s="503" t="s">
        <v>621</v>
      </c>
      <c r="BF415" s="503" t="str">
        <f>IF($G415="","",IF(AND($G415&gt;=30,$AT$3&lt;=BE$7),ROUND(BE415*($AP$3+#REF!),-1),""))</f>
        <v/>
      </c>
      <c r="BG415" s="503" t="s">
        <v>621</v>
      </c>
      <c r="BH415" s="503" t="str">
        <f>IF($G415="","",IF(AND($G415&gt;=30,$AT$3&lt;=BG$7),ROUND(BG415*($AP$3+#REF!),-1),""))</f>
        <v/>
      </c>
      <c r="BI415" s="503" t="s">
        <v>621</v>
      </c>
      <c r="BJ415" s="503" t="str">
        <f>IF($G415="","",IF(AND($G415&gt;=30,$AT$3&lt;=BI$7),ROUND(BI415*($AP$3+#REF!),-1),""))</f>
        <v/>
      </c>
      <c r="BK415" s="503" t="s">
        <v>621</v>
      </c>
      <c r="BL415" s="503" t="str">
        <f>IF($G415="","",IF(AND($G415&gt;=30,$AT$3&lt;=BK$7),ROUND(BK415*($AP$3+#REF!),-1),""))</f>
        <v/>
      </c>
      <c r="BM415" s="503" t="s">
        <v>621</v>
      </c>
      <c r="BN415" s="503" t="str">
        <f>IF($G415="","",IF(AND($G415&gt;=30,$AT$3&lt;=BM$7),ROUND(BM415*($AP$3+#REF!),-1),""))</f>
        <v/>
      </c>
      <c r="BO415" s="503" t="s">
        <v>621</v>
      </c>
      <c r="BP415" s="503" t="str">
        <f>IF($G415="","",IF(AND($G415&gt;=30,$AT$3&lt;=BO$7),ROUND(BO415*($AP$3+#REF!),-1),""))</f>
        <v/>
      </c>
      <c r="BQ415" s="503" t="s">
        <v>621</v>
      </c>
      <c r="BR415" s="503" t="str">
        <f>IF($G415="","",IF(AND($G415&gt;=30,$AT$3&lt;=BQ$7),ROUND(BQ415*($AP$3+#REF!),-1),""))</f>
        <v/>
      </c>
      <c r="BS415" s="503" t="s">
        <v>621</v>
      </c>
      <c r="BT415" s="503" t="str">
        <f>IF($G415="","",IF(AND($G415&gt;=30,$AT$3&lt;=BS$7),ROUND(BS415*($AP$3+#REF!),-1),""))</f>
        <v/>
      </c>
      <c r="BU415" s="503" t="s">
        <v>621</v>
      </c>
      <c r="BV415" s="503" t="str">
        <f>IF($G415="","",IF(AND($G415&gt;=30,$AT$3&lt;=BU$7),ROUND(BU415*($AP$3+#REF!),-1),""))</f>
        <v/>
      </c>
      <c r="BW415" s="503" t="s">
        <v>621</v>
      </c>
      <c r="BX415" s="503" t="str">
        <f>IF($G415="","",IF(AND($G415&gt;=30,$AT$3&lt;=BW$7),ROUND(BW415*($AP$3+#REF!),-1),""))</f>
        <v/>
      </c>
      <c r="BY415" s="503" t="s">
        <v>621</v>
      </c>
      <c r="BZ415" s="503" t="str">
        <f>IF($G415="","",IF(AND($G415&gt;=30,$AT$3&lt;=BY$7),ROUND(BY415*($AP$3+#REF!),-1),""))</f>
        <v/>
      </c>
      <c r="CA415" s="503" t="s">
        <v>621</v>
      </c>
      <c r="CB415" s="503" t="str">
        <f>IF($G415="","",IF(AND($G415&gt;=30,$AT$3&lt;=CA$7),ROUND(CA415*($AP$3+#REF!),-1),""))</f>
        <v/>
      </c>
      <c r="CC415" s="503" t="s">
        <v>621</v>
      </c>
      <c r="CD415" s="503" t="str">
        <f>IF($G415="","",IF(AND($G415&gt;=30,$AT$3&lt;=CC$7),ROUND(CC415*($AP$3+#REF!),-1),""))</f>
        <v/>
      </c>
      <c r="CE415" s="503" t="s">
        <v>621</v>
      </c>
      <c r="CF415" s="503" t="str">
        <f>IF($G415="","",IF(AND($G415&gt;=30,$AT$3&lt;=CE$7),ROUND(CE415*($AP$3+#REF!),-1),""))</f>
        <v/>
      </c>
      <c r="CG415" s="503" t="s">
        <v>621</v>
      </c>
      <c r="CH415" s="503" t="str">
        <f>IF($G415="","",IF(AND($G415&gt;=30,$AT$3&lt;=CG$7),ROUND(CG415*($AP$3+#REF!),-1),""))</f>
        <v/>
      </c>
      <c r="CI415" s="503" t="s">
        <v>621</v>
      </c>
      <c r="CJ415" s="503" t="str">
        <f>IF($G415="","",IF(AND($G415&gt;=30,$AT$3&lt;=CI$7),ROUND(CI415*($AP$3+#REF!),-1),""))</f>
        <v/>
      </c>
      <c r="CK415" s="503" t="s">
        <v>621</v>
      </c>
      <c r="CL415" s="503" t="str">
        <f>IF($G415="","",IF(AND($G415&gt;=30,$AT$3&lt;=CK$7),ROUND(CK415*($AP$3+#REF!),-1),""))</f>
        <v/>
      </c>
      <c r="CM415" s="503" t="s">
        <v>621</v>
      </c>
      <c r="CN415" s="503" t="str">
        <f>IF($G415="","",IF(AND($G415&gt;=30,$AT$3&lt;=CM$7),ROUND(CM415*($AP$3+#REF!),-1),""))</f>
        <v/>
      </c>
      <c r="CO415" s="503" t="s">
        <v>621</v>
      </c>
      <c r="CP415" s="503" t="str">
        <f>IF($G415="","",IF(AND($G415&gt;=30,$AT$3&lt;=CO$7),ROUND(CO415*($AP$3+#REF!),-1),""))</f>
        <v/>
      </c>
      <c r="CQ415" s="503" t="s">
        <v>621</v>
      </c>
      <c r="CR415" s="503" t="str">
        <f>IF($G415="","",IF(AND($G415&gt;=30,$AT$3&lt;=CQ$7),ROUND(CQ415*($AP$3+#REF!),-1),""))</f>
        <v/>
      </c>
      <c r="CS415" s="503" t="s">
        <v>621</v>
      </c>
      <c r="CT415" s="503" t="str">
        <f>IF($G415="","",IF(AND($G415&gt;=30,$AT$3&lt;=CS$7),ROUND(CS415*($AP$3+#REF!),-1),""))</f>
        <v/>
      </c>
      <c r="CU415" s="517" t="e">
        <v>#REF!</v>
      </c>
      <c r="CV415" s="503" t="str">
        <f>IF($G415="","",IF(AND($G415&gt;=30,$AT$3&lt;=CU$7),ROUND(CU415*($AP$3+#REF!),-1),""))</f>
        <v/>
      </c>
      <c r="CW415" s="517"/>
      <c r="CX415" s="503" t="str">
        <f>IF($G415="","",IF(AND($G415&gt;=30,$AT$3&lt;=CW$7),ROUND(CW415*($AP$3+#REF!),-1),""))</f>
        <v/>
      </c>
      <c r="CY415" s="517"/>
      <c r="CZ415" s="503" t="str">
        <f>IF($G415="","",IF(AND($G415&gt;=30,$AT$3&lt;=CY$7),ROUND(CY415*($AP$3+#REF!),-1),""))</f>
        <v/>
      </c>
      <c r="DA415" s="517"/>
      <c r="DB415" s="503" t="str">
        <f>IF($G415="","",IF(AND($G415&gt;=30,$AT$3&lt;=DA$7),ROUND(DA415*($AP$3+#REF!),-1),""))</f>
        <v/>
      </c>
      <c r="DC415" s="517"/>
      <c r="DD415" s="503" t="str">
        <f>IF($G415="","",IF(AND($G415&gt;=30,$AT$3&lt;=DC$7),ROUND(DC415*($AP$3+#REF!),-1),""))</f>
        <v/>
      </c>
      <c r="DE415" s="517"/>
      <c r="DF415" s="503" t="str">
        <f>IF($G415="","",IF(AND($G415&gt;=30,$AT$3&lt;=DE$7),ROUND(DE415*($AP$3+#REF!),-1),""))</f>
        <v/>
      </c>
      <c r="DG415" s="517"/>
      <c r="DH415" s="503" t="str">
        <f>IF($G415="","",IF(AND($G415&gt;=30,$AT$3&lt;=DG$7),ROUND(DG415*($AP$3+#REF!),-1),""))</f>
        <v/>
      </c>
      <c r="DI415" s="517"/>
      <c r="DJ415" s="503" t="str">
        <f>IF($G415="","",IF(AND($G415&gt;=30,$AT$3&lt;=DI$7),ROUND(DI415*($AP$3+#REF!),-1),""))</f>
        <v/>
      </c>
      <c r="DK415" s="517"/>
      <c r="DL415" s="503" t="str">
        <f>IF($G415="","",IF(AND($G415&gt;=30,$AT$3&lt;=DK$7),ROUND(DK415*($AP$3+#REF!),-1),""))</f>
        <v/>
      </c>
      <c r="DM415" s="517"/>
      <c r="DN415" s="503" t="str">
        <f>IF($G415="","",IF(AND($G415&gt;=30,$AT$3&lt;=DM$7),ROUND(DM415*($AP$3+#REF!),-1),""))</f>
        <v/>
      </c>
      <c r="DO415" s="517"/>
      <c r="DP415" s="503" t="str">
        <f>IF($G415="","",IF(AND($G415&gt;=30,$AT$3&lt;=DO$7),ROUND(DO415*($AP$3+#REF!),-1),""))</f>
        <v/>
      </c>
      <c r="DQ415" s="517"/>
      <c r="DR415" s="503" t="str">
        <f>IF($G415="","",IF(AND($G415&gt;=30,$AT$3&lt;=DQ$7),ROUND(DQ415*($AP$3+#REF!),-1),""))</f>
        <v/>
      </c>
      <c r="DS415" s="517"/>
      <c r="DT415" s="503" t="str">
        <f>IF($G415="","",IF(AND($G415&gt;=30,$AT$3&lt;=DS$7),ROUND(DS415*($AP$3+#REF!),-1),""))</f>
        <v/>
      </c>
      <c r="DU415" s="517"/>
      <c r="DV415" s="503" t="str">
        <f>IF($G415="","",IF(AND($G415&gt;=30,$AT$3&lt;=DU$7),ROUND(DU415*($AP$3+#REF!),-1),""))</f>
        <v/>
      </c>
      <c r="DW415" s="517"/>
      <c r="DX415" s="503" t="str">
        <f>IF($G415="","",IF(AND($G415&gt;=30,$AT$3&lt;=DW$7),ROUND(DW415*($AP$3+#REF!),-1),""))</f>
        <v/>
      </c>
      <c r="DY415" s="517"/>
      <c r="DZ415" s="503" t="str">
        <f>IF($G415="","",IF(AND($G415&gt;=30,$AT$3&lt;=DY$7),ROUND(DY415*($AP$3+#REF!),-1),""))</f>
        <v/>
      </c>
      <c r="EA415" s="517"/>
      <c r="EB415" s="503" t="str">
        <f>IF($G415="","",IF(AND($G415&gt;=30,$AT$3&lt;=EA$7),ROUND(EA415*($AP$3+#REF!),-1),""))</f>
        <v/>
      </c>
      <c r="EC415" s="504" t="s">
        <v>621</v>
      </c>
      <c r="ED415" s="1124"/>
      <c r="EE415" s="325">
        <v>11</v>
      </c>
    </row>
    <row r="416" spans="1:135" ht="9.75" customHeight="1">
      <c r="A416" s="321" t="str">
        <f t="shared" si="96"/>
        <v/>
      </c>
      <c r="B416" s="567">
        <f>(ii!$D$13*12+V416)+1</f>
        <v>310</v>
      </c>
      <c r="C416" s="337">
        <f t="shared" si="100"/>
        <v>54788</v>
      </c>
      <c r="D416" s="484">
        <f t="shared" si="103"/>
        <v>2049</v>
      </c>
      <c r="E416" s="484">
        <f t="shared" si="101"/>
        <v>1</v>
      </c>
      <c r="F416" s="484">
        <f t="shared" si="104"/>
        <v>2050</v>
      </c>
      <c r="G416" s="485" t="str">
        <f>IF(OR(C416&lt;$I$2,C416&gt;$J$3),"",(ii!$D$13*12+V416+1)/12)</f>
        <v/>
      </c>
      <c r="H416" s="486"/>
      <c r="I416" s="486"/>
      <c r="J416" s="487"/>
      <c r="K416" s="488"/>
      <c r="L416" s="548"/>
      <c r="M416" s="489" t="str">
        <f t="shared" si="105"/>
        <v/>
      </c>
      <c r="N416" s="490" t="s">
        <v>621</v>
      </c>
      <c r="O416" s="490" t="str">
        <f t="shared" si="98"/>
        <v/>
      </c>
      <c r="P416" s="491"/>
      <c r="Q416" s="491"/>
      <c r="R416" s="491" t="str">
        <f t="shared" si="99"/>
        <v/>
      </c>
      <c r="S416" s="528" t="str">
        <f t="shared" si="97"/>
        <v/>
      </c>
      <c r="T416" s="528" t="str">
        <f t="shared" si="95"/>
        <v/>
      </c>
      <c r="U416" s="493" t="str">
        <f>IF(H416="","",#REF!*12+#REF!+#REF!*12+#REF!)</f>
        <v/>
      </c>
      <c r="V416" s="338">
        <f>IF(ii!$J$3&gt;gg!C416,"",IF(AND((YEAR(C416)=YEAR($I$2)),MONTH(C416)=MONTH($I$2)),ii!$B$14*12+ii!$C$14+ii!$B$15*12+ii!$C$15-1,V415+1))</f>
        <v>309</v>
      </c>
      <c r="W416" s="339">
        <f t="shared" si="102"/>
        <v>25.75</v>
      </c>
      <c r="X416" s="494" t="s">
        <v>621</v>
      </c>
      <c r="Y416" s="495" t="s">
        <v>621</v>
      </c>
      <c r="Z416" s="496"/>
      <c r="AA416" s="497"/>
      <c r="AB416" s="498" t="e">
        <f t="shared" si="108"/>
        <v>#VALUE!</v>
      </c>
      <c r="AC416" s="484" t="str">
        <f t="shared" si="106"/>
        <v/>
      </c>
      <c r="AD416" s="495" t="str">
        <f t="shared" si="107"/>
        <v/>
      </c>
      <c r="AE416" s="499" t="s">
        <v>621</v>
      </c>
      <c r="AF416" s="500" t="s">
        <v>621</v>
      </c>
      <c r="AG416" s="556" t="s">
        <v>621</v>
      </c>
      <c r="AH416" s="503" t="str">
        <f>IF($G416="","",IF(AND($G416&gt;=30,$AT$3&lt;=AG$7),ROUND(AG416*($AP$3+#REF!),-1),""))</f>
        <v/>
      </c>
      <c r="AI416" s="506" t="s">
        <v>621</v>
      </c>
      <c r="AJ416" s="503" t="str">
        <f>IF($G416="","",IF(AND($G416&gt;=30,$AT$3&lt;=AI$7),ROUND(AI416*($AP$3+#REF!),-1),""))</f>
        <v/>
      </c>
      <c r="AK416" s="506" t="s">
        <v>621</v>
      </c>
      <c r="AL416" s="503" t="str">
        <f>IF($G416="","",IF(AND($G416&gt;=30,$AT$3&lt;=AK$7),ROUND(AK416*($AP$3+#REF!),-1),""))</f>
        <v/>
      </c>
      <c r="AM416" s="506" t="s">
        <v>621</v>
      </c>
      <c r="AN416" s="503" t="str">
        <f>IF($G416="","",IF(AND($G416&gt;=30,$AT$3&lt;=AM$7),ROUND(AM416*($AP$3+#REF!),-1),""))</f>
        <v/>
      </c>
      <c r="AO416" s="503" t="e">
        <v>#REF!</v>
      </c>
      <c r="AP416" s="503" t="str">
        <f>IF($G416="","",IF(AND($G416&gt;=30,$AT$3&lt;=AO$7),ROUND(AO416*($AP$3+#REF!),-1),""))</f>
        <v/>
      </c>
      <c r="AQ416" s="503" t="s">
        <v>621</v>
      </c>
      <c r="AR416" s="503" t="str">
        <f>IF($G416="","",IF(AND($G416&gt;=30,$AT$3&lt;=AQ$7),ROUND(AQ416*($AP$3+#REF!),-1),""))</f>
        <v/>
      </c>
      <c r="AS416" s="503" t="s">
        <v>621</v>
      </c>
      <c r="AT416" s="503" t="str">
        <f>IF($G416="","",IF(AND($G416&gt;=30,$AT$3&lt;=AS$7),ROUND(AS416*($AP$3+#REF!),-1),""))</f>
        <v/>
      </c>
      <c r="AU416" s="503" t="s">
        <v>621</v>
      </c>
      <c r="AV416" s="503" t="str">
        <f>IF($G416="","",IF(AND($G416&gt;=30,$AT$3&lt;=AU$7),ROUND(AU416*($AP$3+#REF!),-1),""))</f>
        <v/>
      </c>
      <c r="AW416" s="503" t="s">
        <v>621</v>
      </c>
      <c r="AX416" s="503" t="str">
        <f>IF($G416="","",IF(AND($G416&gt;=30,$AT$3&lt;=AW$7),ROUND(AW416*($AP$3+#REF!),-1),""))</f>
        <v/>
      </c>
      <c r="AY416" s="503" t="s">
        <v>621</v>
      </c>
      <c r="AZ416" s="503" t="str">
        <f>IF($G416="","",IF(AND($G416&gt;=30,$AT$3&lt;=AY$7),ROUND(AY416*($AP$3+#REF!),-1),""))</f>
        <v/>
      </c>
      <c r="BA416" s="503" t="s">
        <v>621</v>
      </c>
      <c r="BB416" s="503" t="str">
        <f>IF($G416="","",IF(AND($G416&gt;=30,$AT$3&lt;=BA$7),ROUND(BA416*($AP$3+#REF!),-1),""))</f>
        <v/>
      </c>
      <c r="BC416" s="503" t="s">
        <v>621</v>
      </c>
      <c r="BD416" s="503" t="str">
        <f>IF($G416="","",IF(AND($G416&gt;=30,$AT$3&lt;=BC$7),ROUND(BC416*($AP$3+#REF!),-1),""))</f>
        <v/>
      </c>
      <c r="BE416" s="503" t="s">
        <v>621</v>
      </c>
      <c r="BF416" s="503" t="str">
        <f>IF($G416="","",IF(AND($G416&gt;=30,$AT$3&lt;=BE$7),ROUND(BE416*($AP$3+#REF!),-1),""))</f>
        <v/>
      </c>
      <c r="BG416" s="503" t="s">
        <v>621</v>
      </c>
      <c r="BH416" s="503" t="str">
        <f>IF($G416="","",IF(AND($G416&gt;=30,$AT$3&lt;=BG$7),ROUND(BG416*($AP$3+#REF!),-1),""))</f>
        <v/>
      </c>
      <c r="BI416" s="503" t="s">
        <v>621</v>
      </c>
      <c r="BJ416" s="503" t="str">
        <f>IF($G416="","",IF(AND($G416&gt;=30,$AT$3&lt;=BI$7),ROUND(BI416*($AP$3+#REF!),-1),""))</f>
        <v/>
      </c>
      <c r="BK416" s="503" t="s">
        <v>621</v>
      </c>
      <c r="BL416" s="503" t="str">
        <f>IF($G416="","",IF(AND($G416&gt;=30,$AT$3&lt;=BK$7),ROUND(BK416*($AP$3+#REF!),-1),""))</f>
        <v/>
      </c>
      <c r="BM416" s="503" t="s">
        <v>621</v>
      </c>
      <c r="BN416" s="503" t="str">
        <f>IF($G416="","",IF(AND($G416&gt;=30,$AT$3&lt;=BM$7),ROUND(BM416*($AP$3+#REF!),-1),""))</f>
        <v/>
      </c>
      <c r="BO416" s="503" t="s">
        <v>621</v>
      </c>
      <c r="BP416" s="503" t="str">
        <f>IF($G416="","",IF(AND($G416&gt;=30,$AT$3&lt;=BO$7),ROUND(BO416*($AP$3+#REF!),-1),""))</f>
        <v/>
      </c>
      <c r="BQ416" s="503" t="s">
        <v>621</v>
      </c>
      <c r="BR416" s="503" t="str">
        <f>IF($G416="","",IF(AND($G416&gt;=30,$AT$3&lt;=BQ$7),ROUND(BQ416*($AP$3+#REF!),-1),""))</f>
        <v/>
      </c>
      <c r="BS416" s="503" t="s">
        <v>621</v>
      </c>
      <c r="BT416" s="503" t="str">
        <f>IF($G416="","",IF(AND($G416&gt;=30,$AT$3&lt;=BS$7),ROUND(BS416*($AP$3+#REF!),-1),""))</f>
        <v/>
      </c>
      <c r="BU416" s="503" t="s">
        <v>621</v>
      </c>
      <c r="BV416" s="503" t="str">
        <f>IF($G416="","",IF(AND($G416&gt;=30,$AT$3&lt;=BU$7),ROUND(BU416*($AP$3+#REF!),-1),""))</f>
        <v/>
      </c>
      <c r="BW416" s="503" t="s">
        <v>621</v>
      </c>
      <c r="BX416" s="503" t="str">
        <f>IF($G416="","",IF(AND($G416&gt;=30,$AT$3&lt;=BW$7),ROUND(BW416*($AP$3+#REF!),-1),""))</f>
        <v/>
      </c>
      <c r="BY416" s="503" t="s">
        <v>621</v>
      </c>
      <c r="BZ416" s="503" t="str">
        <f>IF($G416="","",IF(AND($G416&gt;=30,$AT$3&lt;=BY$7),ROUND(BY416*($AP$3+#REF!),-1),""))</f>
        <v/>
      </c>
      <c r="CA416" s="503" t="s">
        <v>621</v>
      </c>
      <c r="CB416" s="503" t="str">
        <f>IF($G416="","",IF(AND($G416&gt;=30,$AT$3&lt;=CA$7),ROUND(CA416*($AP$3+#REF!),-1),""))</f>
        <v/>
      </c>
      <c r="CC416" s="503" t="s">
        <v>621</v>
      </c>
      <c r="CD416" s="503" t="str">
        <f>IF($G416="","",IF(AND($G416&gt;=30,$AT$3&lt;=CC$7),ROUND(CC416*($AP$3+#REF!),-1),""))</f>
        <v/>
      </c>
      <c r="CE416" s="503" t="s">
        <v>621</v>
      </c>
      <c r="CF416" s="503" t="str">
        <f>IF($G416="","",IF(AND($G416&gt;=30,$AT$3&lt;=CE$7),ROUND(CE416*($AP$3+#REF!),-1),""))</f>
        <v/>
      </c>
      <c r="CG416" s="503" t="s">
        <v>621</v>
      </c>
      <c r="CH416" s="503" t="str">
        <f>IF($G416="","",IF(AND($G416&gt;=30,$AT$3&lt;=CG$7),ROUND(CG416*($AP$3+#REF!),-1),""))</f>
        <v/>
      </c>
      <c r="CI416" s="503" t="s">
        <v>621</v>
      </c>
      <c r="CJ416" s="503" t="str">
        <f>IF($G416="","",IF(AND($G416&gt;=30,$AT$3&lt;=CI$7),ROUND(CI416*($AP$3+#REF!),-1),""))</f>
        <v/>
      </c>
      <c r="CK416" s="503" t="s">
        <v>621</v>
      </c>
      <c r="CL416" s="503" t="str">
        <f>IF($G416="","",IF(AND($G416&gt;=30,$AT$3&lt;=CK$7),ROUND(CK416*($AP$3+#REF!),-1),""))</f>
        <v/>
      </c>
      <c r="CM416" s="503" t="s">
        <v>621</v>
      </c>
      <c r="CN416" s="503" t="str">
        <f>IF($G416="","",IF(AND($G416&gt;=30,$AT$3&lt;=CM$7),ROUND(CM416*($AP$3+#REF!),-1),""))</f>
        <v/>
      </c>
      <c r="CO416" s="503" t="s">
        <v>621</v>
      </c>
      <c r="CP416" s="503" t="str">
        <f>IF($G416="","",IF(AND($G416&gt;=30,$AT$3&lt;=CO$7),ROUND(CO416*($AP$3+#REF!),-1),""))</f>
        <v/>
      </c>
      <c r="CQ416" s="503" t="s">
        <v>621</v>
      </c>
      <c r="CR416" s="503" t="str">
        <f>IF($G416="","",IF(AND($G416&gt;=30,$AT$3&lt;=CQ$7),ROUND(CQ416*($AP$3+#REF!),-1),""))</f>
        <v/>
      </c>
      <c r="CS416" s="503" t="s">
        <v>621</v>
      </c>
      <c r="CT416" s="503" t="str">
        <f>IF($G416="","",IF(AND($G416&gt;=30,$AT$3&lt;=CS$7),ROUND(CS416*($AP$3+#REF!),-1),""))</f>
        <v/>
      </c>
      <c r="CU416" s="517" t="e">
        <v>#REF!</v>
      </c>
      <c r="CV416" s="503" t="str">
        <f>IF($G416="","",IF(AND($G416&gt;=30,$AT$3&lt;=CU$7),ROUND(CU416*($AP$3+#REF!),-1),""))</f>
        <v/>
      </c>
      <c r="CW416" s="517"/>
      <c r="CX416" s="503" t="str">
        <f>IF($G416="","",IF(AND($G416&gt;=30,$AT$3&lt;=CW$7),ROUND(CW416*($AP$3+#REF!),-1),""))</f>
        <v/>
      </c>
      <c r="CY416" s="517"/>
      <c r="CZ416" s="503" t="str">
        <f>IF($G416="","",IF(AND($G416&gt;=30,$AT$3&lt;=CY$7),ROUND(CY416*($AP$3+#REF!),-1),""))</f>
        <v/>
      </c>
      <c r="DA416" s="517"/>
      <c r="DB416" s="503" t="str">
        <f>IF($G416="","",IF(AND($G416&gt;=30,$AT$3&lt;=DA$7),ROUND(DA416*($AP$3+#REF!),-1),""))</f>
        <v/>
      </c>
      <c r="DC416" s="517"/>
      <c r="DD416" s="503" t="str">
        <f>IF($G416="","",IF(AND($G416&gt;=30,$AT$3&lt;=DC$7),ROUND(DC416*($AP$3+#REF!),-1),""))</f>
        <v/>
      </c>
      <c r="DE416" s="517"/>
      <c r="DF416" s="503" t="str">
        <f>IF($G416="","",IF(AND($G416&gt;=30,$AT$3&lt;=DE$7),ROUND(DE416*($AP$3+#REF!),-1),""))</f>
        <v/>
      </c>
      <c r="DG416" s="517"/>
      <c r="DH416" s="503" t="str">
        <f>IF($G416="","",IF(AND($G416&gt;=30,$AT$3&lt;=DG$7),ROUND(DG416*($AP$3+#REF!),-1),""))</f>
        <v/>
      </c>
      <c r="DI416" s="517"/>
      <c r="DJ416" s="503" t="str">
        <f>IF($G416="","",IF(AND($G416&gt;=30,$AT$3&lt;=DI$7),ROUND(DI416*($AP$3+#REF!),-1),""))</f>
        <v/>
      </c>
      <c r="DK416" s="517"/>
      <c r="DL416" s="503" t="str">
        <f>IF($G416="","",IF(AND($G416&gt;=30,$AT$3&lt;=DK$7),ROUND(DK416*($AP$3+#REF!),-1),""))</f>
        <v/>
      </c>
      <c r="DM416" s="517"/>
      <c r="DN416" s="503" t="str">
        <f>IF($G416="","",IF(AND($G416&gt;=30,$AT$3&lt;=DM$7),ROUND(DM416*($AP$3+#REF!),-1),""))</f>
        <v/>
      </c>
      <c r="DO416" s="517"/>
      <c r="DP416" s="503" t="str">
        <f>IF($G416="","",IF(AND($G416&gt;=30,$AT$3&lt;=DO$7),ROUND(DO416*($AP$3+#REF!),-1),""))</f>
        <v/>
      </c>
      <c r="DQ416" s="517"/>
      <c r="DR416" s="503" t="str">
        <f>IF($G416="","",IF(AND($G416&gt;=30,$AT$3&lt;=DQ$7),ROUND(DQ416*($AP$3+#REF!),-1),""))</f>
        <v/>
      </c>
      <c r="DS416" s="517"/>
      <c r="DT416" s="503" t="str">
        <f>IF($G416="","",IF(AND($G416&gt;=30,$AT$3&lt;=DS$7),ROUND(DS416*($AP$3+#REF!),-1),""))</f>
        <v/>
      </c>
      <c r="DU416" s="517"/>
      <c r="DV416" s="503" t="str">
        <f>IF($G416="","",IF(AND($G416&gt;=30,$AT$3&lt;=DU$7),ROUND(DU416*($AP$3+#REF!),-1),""))</f>
        <v/>
      </c>
      <c r="DW416" s="517"/>
      <c r="DX416" s="503" t="str">
        <f>IF($G416="","",IF(AND($G416&gt;=30,$AT$3&lt;=DW$7),ROUND(DW416*($AP$3+#REF!),-1),""))</f>
        <v/>
      </c>
      <c r="DY416" s="517"/>
      <c r="DZ416" s="503" t="str">
        <f>IF($G416="","",IF(AND($G416&gt;=30,$AT$3&lt;=DY$7),ROUND(DY416*($AP$3+#REF!),-1),""))</f>
        <v/>
      </c>
      <c r="EA416" s="517"/>
      <c r="EB416" s="503" t="str">
        <f>IF($G416="","",IF(AND($G416&gt;=30,$AT$3&lt;=EA$7),ROUND(EA416*($AP$3+#REF!),-1),""))</f>
        <v/>
      </c>
      <c r="EC416" s="504" t="s">
        <v>621</v>
      </c>
      <c r="ED416" s="1125"/>
      <c r="EE416" s="325">
        <v>12</v>
      </c>
    </row>
    <row r="417" spans="1:135" ht="9.75" customHeight="1">
      <c r="A417" s="321" t="str">
        <f t="shared" si="96"/>
        <v/>
      </c>
      <c r="B417" s="567">
        <f>(ii!$D$13*12+V417)+1</f>
        <v>311</v>
      </c>
      <c r="C417" s="345">
        <f t="shared" si="100"/>
        <v>54819</v>
      </c>
      <c r="D417" s="340">
        <f t="shared" si="103"/>
        <v>2050</v>
      </c>
      <c r="E417" s="340">
        <f t="shared" si="101"/>
        <v>8.3333333333333329E-2</v>
      </c>
      <c r="F417" s="340">
        <f t="shared" si="104"/>
        <v>2050.0833333333335</v>
      </c>
      <c r="G417" s="531" t="str">
        <f>IF(OR(C417&lt;$I$2,C417&gt;$J$3),"",(ii!$D$13*12+V417+1)/12)</f>
        <v/>
      </c>
      <c r="H417" s="532"/>
      <c r="I417" s="532"/>
      <c r="J417" s="533"/>
      <c r="K417" s="553"/>
      <c r="L417" s="534"/>
      <c r="M417" s="489" t="str">
        <f t="shared" si="105"/>
        <v/>
      </c>
      <c r="N417" s="536" t="s">
        <v>621</v>
      </c>
      <c r="O417" s="490" t="str">
        <f t="shared" si="98"/>
        <v/>
      </c>
      <c r="P417" s="537"/>
      <c r="Q417" s="537"/>
      <c r="R417" s="533" t="str">
        <f t="shared" si="99"/>
        <v/>
      </c>
      <c r="S417" s="538" t="str">
        <f t="shared" si="97"/>
        <v/>
      </c>
      <c r="T417" s="538" t="str">
        <f t="shared" si="95"/>
        <v/>
      </c>
      <c r="U417" s="539" t="str">
        <f>IF(H417="","",#REF!*12+#REF!+#REF!*12+#REF!)</f>
        <v/>
      </c>
      <c r="V417" s="338">
        <f>IF(ii!$J$3&gt;gg!C417,"",IF(AND((YEAR(C417)=YEAR($I$2)),MONTH(C417)=MONTH($I$2)),ii!$B$14*12+ii!$C$14+ii!$B$15*12+ii!$C$15-1,V416+1))</f>
        <v>310</v>
      </c>
      <c r="W417" s="339">
        <f t="shared" si="102"/>
        <v>25.833333333333332</v>
      </c>
      <c r="X417" s="540" t="s">
        <v>621</v>
      </c>
      <c r="Y417" s="538" t="s">
        <v>621</v>
      </c>
      <c r="Z417" s="541">
        <f>Z405+$Z$26</f>
        <v>0.96000000000000063</v>
      </c>
      <c r="AA417" s="542" t="str">
        <f>IF(Y417="","",(Y417-Y416)/Y416)</f>
        <v/>
      </c>
      <c r="AB417" s="543" t="e">
        <f t="shared" si="108"/>
        <v>#VALUE!</v>
      </c>
      <c r="AC417" s="544" t="str">
        <f t="shared" si="106"/>
        <v/>
      </c>
      <c r="AD417" s="538" t="str">
        <f t="shared" si="107"/>
        <v/>
      </c>
      <c r="AE417" s="545" t="s">
        <v>621</v>
      </c>
      <c r="AF417" s="546" t="s">
        <v>621</v>
      </c>
      <c r="AG417" s="558" t="s">
        <v>621</v>
      </c>
      <c r="AH417" s="547" t="str">
        <f>IF($G417="","",IF(AND($G417&gt;=30,$AT$3&lt;=AG$7),ROUND(AG417*($AP$3+#REF!),-1),""))</f>
        <v/>
      </c>
      <c r="AI417" s="558" t="s">
        <v>621</v>
      </c>
      <c r="AJ417" s="547" t="str">
        <f>IF($G417="","",IF(AND($G417&gt;=30,$AT$3&lt;=AI$7),ROUND(AI417*($AP$3+#REF!),-1),""))</f>
        <v/>
      </c>
      <c r="AK417" s="560" t="s">
        <v>621</v>
      </c>
      <c r="AL417" s="547" t="str">
        <f>IF($G417="","",IF(AND($G417&gt;=30,$AT$3&lt;=AK$7),ROUND(AK417*($AP$3+#REF!),-1),""))</f>
        <v/>
      </c>
      <c r="AM417" s="560" t="s">
        <v>621</v>
      </c>
      <c r="AN417" s="547" t="str">
        <f>IF($G417="","",IF(AND($G417&gt;=30,$AT$3&lt;=AM$7),ROUND(AM417*($AP$3+#REF!),-1),""))</f>
        <v/>
      </c>
      <c r="AO417" s="547" t="e">
        <v>#REF!</v>
      </c>
      <c r="AP417" s="547" t="str">
        <f>IF($G417="","",IF(AND($G417&gt;=30,$AT$3&lt;=AO$7),ROUND(AO417*($AP$3+#REF!),-1),""))</f>
        <v/>
      </c>
      <c r="AQ417" s="547" t="s">
        <v>621</v>
      </c>
      <c r="AR417" s="547" t="str">
        <f>IF($G417="","",IF(AND($G417&gt;=30,$AT$3&lt;=AQ$7),ROUND(AQ417*($AP$3+#REF!),-1),""))</f>
        <v/>
      </c>
      <c r="AS417" s="547" t="s">
        <v>621</v>
      </c>
      <c r="AT417" s="547" t="str">
        <f>IF($G417="","",IF(AND($G417&gt;=30,$AT$3&lt;=AS$7),ROUND(AS417*($AP$3+#REF!),-1),""))</f>
        <v/>
      </c>
      <c r="AU417" s="547" t="s">
        <v>621</v>
      </c>
      <c r="AV417" s="547" t="str">
        <f>IF($G417="","",IF(AND($G417&gt;=30,$AT$3&lt;=AU$7),ROUND(AU417*($AP$3+#REF!),-1),""))</f>
        <v/>
      </c>
      <c r="AW417" s="547" t="s">
        <v>621</v>
      </c>
      <c r="AX417" s="547" t="str">
        <f>IF($G417="","",IF(AND($G417&gt;=30,$AT$3&lt;=AW$7),ROUND(AW417*($AP$3+#REF!),-1),""))</f>
        <v/>
      </c>
      <c r="AY417" s="547" t="s">
        <v>621</v>
      </c>
      <c r="AZ417" s="547" t="str">
        <f>IF($G417="","",IF(AND($G417&gt;=30,$AT$3&lt;=AY$7),ROUND(AY417*($AP$3+#REF!),-1),""))</f>
        <v/>
      </c>
      <c r="BA417" s="547" t="s">
        <v>621</v>
      </c>
      <c r="BB417" s="547" t="str">
        <f>IF($G417="","",IF(AND($G417&gt;=30,$AT$3&lt;=BA$7),ROUND(BA417*($AP$3+#REF!),-1),""))</f>
        <v/>
      </c>
      <c r="BC417" s="547" t="s">
        <v>621</v>
      </c>
      <c r="BD417" s="547" t="str">
        <f>IF($G417="","",IF(AND($G417&gt;=30,$AT$3&lt;=BC$7),ROUND(BC417*($AP$3+#REF!),-1),""))</f>
        <v/>
      </c>
      <c r="BE417" s="547" t="s">
        <v>621</v>
      </c>
      <c r="BF417" s="547" t="str">
        <f>IF($G417="","",IF(AND($G417&gt;=30,$AT$3&lt;=BE$7),ROUND(BE417*($AP$3+#REF!),-1),""))</f>
        <v/>
      </c>
      <c r="BG417" s="547" t="s">
        <v>621</v>
      </c>
      <c r="BH417" s="547" t="str">
        <f>IF($G417="","",IF(AND($G417&gt;=30,$AT$3&lt;=BG$7),ROUND(BG417*($AP$3+#REF!),-1),""))</f>
        <v/>
      </c>
      <c r="BI417" s="547" t="s">
        <v>621</v>
      </c>
      <c r="BJ417" s="547" t="str">
        <f>IF($G417="","",IF(AND($G417&gt;=30,$AT$3&lt;=BI$7),ROUND(BI417*($AP$3+#REF!),-1),""))</f>
        <v/>
      </c>
      <c r="BK417" s="547" t="s">
        <v>621</v>
      </c>
      <c r="BL417" s="547" t="str">
        <f>IF($G417="","",IF(AND($G417&gt;=30,$AT$3&lt;=BK$7),ROUND(BK417*($AP$3+#REF!),-1),""))</f>
        <v/>
      </c>
      <c r="BM417" s="547" t="s">
        <v>621</v>
      </c>
      <c r="BN417" s="547" t="str">
        <f>IF($G417="","",IF(AND($G417&gt;=30,$AT$3&lt;=BM$7),ROUND(BM417*($AP$3+#REF!),-1),""))</f>
        <v/>
      </c>
      <c r="BO417" s="547" t="s">
        <v>621</v>
      </c>
      <c r="BP417" s="547" t="str">
        <f>IF($G417="","",IF(AND($G417&gt;=30,$AT$3&lt;=BO$7),ROUND(BO417*($AP$3+#REF!),-1),""))</f>
        <v/>
      </c>
      <c r="BQ417" s="547" t="s">
        <v>621</v>
      </c>
      <c r="BR417" s="547" t="str">
        <f>IF($G417="","",IF(AND($G417&gt;=30,$AT$3&lt;=BQ$7),ROUND(BQ417*($AP$3+#REF!),-1),""))</f>
        <v/>
      </c>
      <c r="BS417" s="547" t="s">
        <v>621</v>
      </c>
      <c r="BT417" s="547" t="str">
        <f>IF($G417="","",IF(AND($G417&gt;=30,$AT$3&lt;=BS$7),ROUND(BS417*($AP$3+#REF!),-1),""))</f>
        <v/>
      </c>
      <c r="BU417" s="547" t="s">
        <v>621</v>
      </c>
      <c r="BV417" s="547" t="str">
        <f>IF($G417="","",IF(AND($G417&gt;=30,$AT$3&lt;=BU$7),ROUND(BU417*($AP$3+#REF!),-1),""))</f>
        <v/>
      </c>
      <c r="BW417" s="547" t="s">
        <v>621</v>
      </c>
      <c r="BX417" s="547" t="str">
        <f>IF($G417="","",IF(AND($G417&gt;=30,$AT$3&lt;=BW$7),ROUND(BW417*($AP$3+#REF!),-1),""))</f>
        <v/>
      </c>
      <c r="BY417" s="547" t="s">
        <v>621</v>
      </c>
      <c r="BZ417" s="547" t="str">
        <f>IF($G417="","",IF(AND($G417&gt;=30,$AT$3&lt;=BY$7),ROUND(BY417*($AP$3+#REF!),-1),""))</f>
        <v/>
      </c>
      <c r="CA417" s="547" t="s">
        <v>621</v>
      </c>
      <c r="CB417" s="547" t="str">
        <f>IF($G417="","",IF(AND($G417&gt;=30,$AT$3&lt;=CA$7),ROUND(CA417*($AP$3+#REF!),-1),""))</f>
        <v/>
      </c>
      <c r="CC417" s="547" t="s">
        <v>621</v>
      </c>
      <c r="CD417" s="547" t="str">
        <f>IF($G417="","",IF(AND($G417&gt;=30,$AT$3&lt;=CC$7),ROUND(CC417*($AP$3+#REF!),-1),""))</f>
        <v/>
      </c>
      <c r="CE417" s="547" t="s">
        <v>621</v>
      </c>
      <c r="CF417" s="547" t="str">
        <f>IF($G417="","",IF(AND($G417&gt;=30,$AT$3&lt;=CE$7),ROUND(CE417*($AP$3+#REF!),-1),""))</f>
        <v/>
      </c>
      <c r="CG417" s="547" t="s">
        <v>621</v>
      </c>
      <c r="CH417" s="547" t="str">
        <f>IF($G417="","",IF(AND($G417&gt;=30,$AT$3&lt;=CG$7),ROUND(CG417*($AP$3+#REF!),-1),""))</f>
        <v/>
      </c>
      <c r="CI417" s="547" t="s">
        <v>621</v>
      </c>
      <c r="CJ417" s="547" t="str">
        <f>IF($G417="","",IF(AND($G417&gt;=30,$AT$3&lt;=CI$7),ROUND(CI417*($AP$3+#REF!),-1),""))</f>
        <v/>
      </c>
      <c r="CK417" s="547" t="s">
        <v>621</v>
      </c>
      <c r="CL417" s="547" t="str">
        <f>IF($G417="","",IF(AND($G417&gt;=30,$AT$3&lt;=CK$7),ROUND(CK417*($AP$3+#REF!),-1),""))</f>
        <v/>
      </c>
      <c r="CM417" s="547" t="s">
        <v>621</v>
      </c>
      <c r="CN417" s="547" t="str">
        <f>IF($G417="","",IF(AND($G417&gt;=30,$AT$3&lt;=CM$7),ROUND(CM417*($AP$3+#REF!),-1),""))</f>
        <v/>
      </c>
      <c r="CO417" s="547" t="s">
        <v>621</v>
      </c>
      <c r="CP417" s="547" t="str">
        <f>IF($G417="","",IF(AND($G417&gt;=30,$AT$3&lt;=CO$7),ROUND(CO417*($AP$3+#REF!),-1),""))</f>
        <v/>
      </c>
      <c r="CQ417" s="547" t="s">
        <v>621</v>
      </c>
      <c r="CR417" s="547" t="str">
        <f>IF($G417="","",IF(AND($G417&gt;=30,$AT$3&lt;=CQ$7),ROUND(CQ417*($AP$3+#REF!),-1),""))</f>
        <v/>
      </c>
      <c r="CS417" s="547" t="s">
        <v>621</v>
      </c>
      <c r="CT417" s="547" t="str">
        <f>IF($G417="","",IF(AND($G417&gt;=30,$AT$3&lt;=CS$7),ROUND(CS417*($AP$3+#REF!),-1),""))</f>
        <v/>
      </c>
      <c r="CU417" s="547" t="s">
        <v>621</v>
      </c>
      <c r="CV417" s="547" t="str">
        <f>IF($G417="","",IF(AND($G417&gt;=30,$AT$3&lt;=CU$7),ROUND(CU417*($AP$3+#REF!),-1),""))</f>
        <v/>
      </c>
      <c r="CW417" s="533" t="e">
        <v>#REF!</v>
      </c>
      <c r="CX417" s="547" t="str">
        <f>IF($G417="","",IF(AND($G417&gt;=30,$AT$3&lt;=CW$7),ROUND(CW417*($AP$3+#REF!),-1),""))</f>
        <v/>
      </c>
      <c r="CY417" s="547"/>
      <c r="CZ417" s="547" t="str">
        <f>IF($G417="","",IF(AND($G417&gt;=30,$AT$3&lt;=CY$7),ROUND(CY417*($AP$3+#REF!),-1),""))</f>
        <v/>
      </c>
      <c r="DA417" s="547"/>
      <c r="DB417" s="547" t="str">
        <f>IF($G417="","",IF(AND($G417&gt;=30,$AT$3&lt;=DA$7),ROUND(DA417*($AP$3+#REF!),-1),""))</f>
        <v/>
      </c>
      <c r="DC417" s="547"/>
      <c r="DD417" s="547" t="str">
        <f>IF($G417="","",IF(AND($G417&gt;=30,$AT$3&lt;=DC$7),ROUND(DC417*($AP$3+#REF!),-1),""))</f>
        <v/>
      </c>
      <c r="DE417" s="547"/>
      <c r="DF417" s="547" t="str">
        <f>IF($G417="","",IF(AND($G417&gt;=30,$AT$3&lt;=DE$7),ROUND(DE417*($AP$3+#REF!),-1),""))</f>
        <v/>
      </c>
      <c r="DG417" s="547"/>
      <c r="DH417" s="547" t="str">
        <f>IF($G417="","",IF(AND($G417&gt;=30,$AT$3&lt;=DG$7),ROUND(DG417*($AP$3+#REF!),-1),""))</f>
        <v/>
      </c>
      <c r="DI417" s="547"/>
      <c r="DJ417" s="547" t="str">
        <f>IF($G417="","",IF(AND($G417&gt;=30,$AT$3&lt;=DI$7),ROUND(DI417*($AP$3+#REF!),-1),""))</f>
        <v/>
      </c>
      <c r="DK417" s="547"/>
      <c r="DL417" s="547" t="str">
        <f>IF($G417="","",IF(AND($G417&gt;=30,$AT$3&lt;=DK$7),ROUND(DK417*($AP$3+#REF!),-1),""))</f>
        <v/>
      </c>
      <c r="DM417" s="547"/>
      <c r="DN417" s="547" t="str">
        <f>IF($G417="","",IF(AND($G417&gt;=30,$AT$3&lt;=DM$7),ROUND(DM417*($AP$3+#REF!),-1),""))</f>
        <v/>
      </c>
      <c r="DO417" s="547"/>
      <c r="DP417" s="547" t="str">
        <f>IF($G417="","",IF(AND($G417&gt;=30,$AT$3&lt;=DO$7),ROUND(DO417*($AP$3+#REF!),-1),""))</f>
        <v/>
      </c>
      <c r="DQ417" s="547"/>
      <c r="DR417" s="547" t="str">
        <f>IF($G417="","",IF(AND($G417&gt;=30,$AT$3&lt;=DQ$7),ROUND(DQ417*($AP$3+#REF!),-1),""))</f>
        <v/>
      </c>
      <c r="DS417" s="547"/>
      <c r="DT417" s="547" t="str">
        <f>IF($G417="","",IF(AND($G417&gt;=30,$AT$3&lt;=DS$7),ROUND(DS417*($AP$3+#REF!),-1),""))</f>
        <v/>
      </c>
      <c r="DU417" s="547"/>
      <c r="DV417" s="547" t="str">
        <f>IF($G417="","",IF(AND($G417&gt;=30,$AT$3&lt;=DU$7),ROUND(DU417*($AP$3+#REF!),-1),""))</f>
        <v/>
      </c>
      <c r="DW417" s="547"/>
      <c r="DX417" s="547" t="str">
        <f>IF($G417="","",IF(AND($G417&gt;=30,$AT$3&lt;=DW$7),ROUND(DW417*($AP$3+#REF!),-1),""))</f>
        <v/>
      </c>
      <c r="DY417" s="547"/>
      <c r="DZ417" s="547" t="str">
        <f>IF($G417="","",IF(AND($G417&gt;=30,$AT$3&lt;=DY$7),ROUND(DY417*($AP$3+#REF!),-1),""))</f>
        <v/>
      </c>
      <c r="EA417" s="547"/>
      <c r="EB417" s="547" t="str">
        <f>IF($G417="","",IF(AND($G417&gt;=30,$AT$3&lt;=EA$7),ROUND(EA417*($AP$3+#REF!),-1),""))</f>
        <v/>
      </c>
      <c r="EC417" s="547" t="s">
        <v>621</v>
      </c>
      <c r="ED417" s="1123">
        <f>SUM(EC417:EC428)</f>
        <v>0</v>
      </c>
      <c r="EE417" s="325">
        <v>1</v>
      </c>
    </row>
    <row r="418" spans="1:135" ht="9.75" customHeight="1">
      <c r="A418" s="321" t="str">
        <f t="shared" si="96"/>
        <v/>
      </c>
      <c r="B418" s="567">
        <f>(ii!$D$13*12+V418)+1</f>
        <v>312</v>
      </c>
      <c r="C418" s="337">
        <f t="shared" si="100"/>
        <v>54847</v>
      </c>
      <c r="D418" s="484">
        <f t="shared" si="103"/>
        <v>2050</v>
      </c>
      <c r="E418" s="484">
        <f t="shared" si="101"/>
        <v>0.16666666666666666</v>
      </c>
      <c r="F418" s="484">
        <f t="shared" si="104"/>
        <v>2050.1666666666665</v>
      </c>
      <c r="G418" s="485" t="str">
        <f>IF(OR(C418&lt;$I$2,C418&gt;$J$3),"",(ii!$D$13*12+V418+1)/12)</f>
        <v/>
      </c>
      <c r="H418" s="486"/>
      <c r="I418" s="486"/>
      <c r="J418" s="487"/>
      <c r="K418" s="488"/>
      <c r="L418" s="548"/>
      <c r="M418" s="489" t="str">
        <f t="shared" si="105"/>
        <v/>
      </c>
      <c r="N418" s="490" t="s">
        <v>621</v>
      </c>
      <c r="O418" s="490" t="str">
        <f t="shared" si="98"/>
        <v/>
      </c>
      <c r="P418" s="491"/>
      <c r="Q418" s="491"/>
      <c r="R418" s="491" t="str">
        <f t="shared" si="99"/>
        <v/>
      </c>
      <c r="S418" s="528" t="str">
        <f t="shared" si="97"/>
        <v/>
      </c>
      <c r="T418" s="528" t="str">
        <f t="shared" si="95"/>
        <v/>
      </c>
      <c r="U418" s="493" t="str">
        <f>IF(H418="","",#REF!*12+#REF!+#REF!*12+#REF!)</f>
        <v/>
      </c>
      <c r="V418" s="338">
        <f>IF(ii!$J$3&gt;gg!C418,"",IF(AND((YEAR(C418)=YEAR($I$2)),MONTH(C418)=MONTH($I$2)),ii!$B$14*12+ii!$C$14+ii!$B$15*12+ii!$C$15-1,V417+1))</f>
        <v>311</v>
      </c>
      <c r="W418" s="339">
        <f t="shared" si="102"/>
        <v>25.916666666666668</v>
      </c>
      <c r="X418" s="494" t="s">
        <v>621</v>
      </c>
      <c r="Y418" s="495" t="s">
        <v>621</v>
      </c>
      <c r="Z418" s="496"/>
      <c r="AA418" s="497"/>
      <c r="AB418" s="498" t="e">
        <f t="shared" si="108"/>
        <v>#VALUE!</v>
      </c>
      <c r="AC418" s="484" t="str">
        <f t="shared" si="106"/>
        <v/>
      </c>
      <c r="AD418" s="495" t="str">
        <f t="shared" si="107"/>
        <v/>
      </c>
      <c r="AE418" s="499" t="s">
        <v>621</v>
      </c>
      <c r="AF418" s="500" t="s">
        <v>621</v>
      </c>
      <c r="AG418" s="556" t="s">
        <v>621</v>
      </c>
      <c r="AH418" s="503" t="str">
        <f>IF($G418="","",IF(AND($G418&gt;=30,$AT$3&lt;=AG$7),ROUND(AG418*($AP$3+#REF!),-1),""))</f>
        <v/>
      </c>
      <c r="AI418" s="506" t="s">
        <v>621</v>
      </c>
      <c r="AJ418" s="503" t="str">
        <f>IF($G418="","",IF(AND($G418&gt;=30,$AT$3&lt;=AI$7),ROUND(AI418*($AP$3+#REF!),-1),""))</f>
        <v/>
      </c>
      <c r="AK418" s="506" t="s">
        <v>621</v>
      </c>
      <c r="AL418" s="503" t="str">
        <f>IF($G418="","",IF(AND($G418&gt;=30,$AT$3&lt;=AK$7),ROUND(AK418*($AP$3+#REF!),-1),""))</f>
        <v/>
      </c>
      <c r="AM418" s="506" t="s">
        <v>621</v>
      </c>
      <c r="AN418" s="503" t="str">
        <f>IF($G418="","",IF(AND($G418&gt;=30,$AT$3&lt;=AM$7),ROUND(AM418*($AP$3+#REF!),-1),""))</f>
        <v/>
      </c>
      <c r="AO418" s="503" t="e">
        <f>IF(AO417="","",AO417*1.001)</f>
        <v>#REF!</v>
      </c>
      <c r="AP418" s="503" t="str">
        <f>IF($G418="","",IF(AND($G418&gt;=30,$AT$3&lt;=AO$7),ROUND(AO418*($AP$3+#REF!),-1),""))</f>
        <v/>
      </c>
      <c r="AQ418" s="503" t="s">
        <v>621</v>
      </c>
      <c r="AR418" s="503" t="str">
        <f>IF($G418="","",IF(AND($G418&gt;=30,$AT$3&lt;=AQ$7),ROUND(AQ418*($AP$3+#REF!),-1),""))</f>
        <v/>
      </c>
      <c r="AS418" s="503" t="s">
        <v>621</v>
      </c>
      <c r="AT418" s="503" t="str">
        <f>IF($G418="","",IF(AND($G418&gt;=30,$AT$3&lt;=AS$7),ROUND(AS418*($AP$3+#REF!),-1),""))</f>
        <v/>
      </c>
      <c r="AU418" s="503" t="s">
        <v>621</v>
      </c>
      <c r="AV418" s="503" t="str">
        <f>IF($G418="","",IF(AND($G418&gt;=30,$AT$3&lt;=AU$7),ROUND(AU418*($AP$3+#REF!),-1),""))</f>
        <v/>
      </c>
      <c r="AW418" s="503" t="s">
        <v>621</v>
      </c>
      <c r="AX418" s="503" t="str">
        <f>IF($G418="","",IF(AND($G418&gt;=30,$AT$3&lt;=AW$7),ROUND(AW418*($AP$3+#REF!),-1),""))</f>
        <v/>
      </c>
      <c r="AY418" s="503" t="s">
        <v>621</v>
      </c>
      <c r="AZ418" s="503" t="str">
        <f>IF($G418="","",IF(AND($G418&gt;=30,$AT$3&lt;=AY$7),ROUND(AY418*($AP$3+#REF!),-1),""))</f>
        <v/>
      </c>
      <c r="BA418" s="503" t="s">
        <v>621</v>
      </c>
      <c r="BB418" s="503" t="str">
        <f>IF($G418="","",IF(AND($G418&gt;=30,$AT$3&lt;=BA$7),ROUND(BA418*($AP$3+#REF!),-1),""))</f>
        <v/>
      </c>
      <c r="BC418" s="503" t="s">
        <v>621</v>
      </c>
      <c r="BD418" s="503" t="str">
        <f>IF($G418="","",IF(AND($G418&gt;=30,$AT$3&lt;=BC$7),ROUND(BC418*($AP$3+#REF!),-1),""))</f>
        <v/>
      </c>
      <c r="BE418" s="503" t="s">
        <v>621</v>
      </c>
      <c r="BF418" s="503" t="str">
        <f>IF($G418="","",IF(AND($G418&gt;=30,$AT$3&lt;=BE$7),ROUND(BE418*($AP$3+#REF!),-1),""))</f>
        <v/>
      </c>
      <c r="BG418" s="503" t="s">
        <v>621</v>
      </c>
      <c r="BH418" s="503" t="str">
        <f>IF($G418="","",IF(AND($G418&gt;=30,$AT$3&lt;=BG$7),ROUND(BG418*($AP$3+#REF!),-1),""))</f>
        <v/>
      </c>
      <c r="BI418" s="503" t="s">
        <v>621</v>
      </c>
      <c r="BJ418" s="503" t="str">
        <f>IF($G418="","",IF(AND($G418&gt;=30,$AT$3&lt;=BI$7),ROUND(BI418*($AP$3+#REF!),-1),""))</f>
        <v/>
      </c>
      <c r="BK418" s="503" t="s">
        <v>621</v>
      </c>
      <c r="BL418" s="503" t="str">
        <f>IF($G418="","",IF(AND($G418&gt;=30,$AT$3&lt;=BK$7),ROUND(BK418*($AP$3+#REF!),-1),""))</f>
        <v/>
      </c>
      <c r="BM418" s="503" t="s">
        <v>621</v>
      </c>
      <c r="BN418" s="503" t="str">
        <f>IF($G418="","",IF(AND($G418&gt;=30,$AT$3&lt;=BM$7),ROUND(BM418*($AP$3+#REF!),-1),""))</f>
        <v/>
      </c>
      <c r="BO418" s="503" t="s">
        <v>621</v>
      </c>
      <c r="BP418" s="503" t="str">
        <f>IF($G418="","",IF(AND($G418&gt;=30,$AT$3&lt;=BO$7),ROUND(BO418*($AP$3+#REF!),-1),""))</f>
        <v/>
      </c>
      <c r="BQ418" s="503" t="s">
        <v>621</v>
      </c>
      <c r="BR418" s="503" t="str">
        <f>IF($G418="","",IF(AND($G418&gt;=30,$AT$3&lt;=BQ$7),ROUND(BQ418*($AP$3+#REF!),-1),""))</f>
        <v/>
      </c>
      <c r="BS418" s="503" t="s">
        <v>621</v>
      </c>
      <c r="BT418" s="503" t="str">
        <f>IF($G418="","",IF(AND($G418&gt;=30,$AT$3&lt;=BS$7),ROUND(BS418*($AP$3+#REF!),-1),""))</f>
        <v/>
      </c>
      <c r="BU418" s="503" t="s">
        <v>621</v>
      </c>
      <c r="BV418" s="503" t="str">
        <f>IF($G418="","",IF(AND($G418&gt;=30,$AT$3&lt;=BU$7),ROUND(BU418*($AP$3+#REF!),-1),""))</f>
        <v/>
      </c>
      <c r="BW418" s="503" t="s">
        <v>621</v>
      </c>
      <c r="BX418" s="503" t="str">
        <f>IF($G418="","",IF(AND($G418&gt;=30,$AT$3&lt;=BW$7),ROUND(BW418*($AP$3+#REF!),-1),""))</f>
        <v/>
      </c>
      <c r="BY418" s="503" t="s">
        <v>621</v>
      </c>
      <c r="BZ418" s="503" t="str">
        <f>IF($G418="","",IF(AND($G418&gt;=30,$AT$3&lt;=BY$7),ROUND(BY418*($AP$3+#REF!),-1),""))</f>
        <v/>
      </c>
      <c r="CA418" s="503" t="s">
        <v>621</v>
      </c>
      <c r="CB418" s="503" t="str">
        <f>IF($G418="","",IF(AND($G418&gt;=30,$AT$3&lt;=CA$7),ROUND(CA418*($AP$3+#REF!),-1),""))</f>
        <v/>
      </c>
      <c r="CC418" s="503" t="s">
        <v>621</v>
      </c>
      <c r="CD418" s="503" t="str">
        <f>IF($G418="","",IF(AND($G418&gt;=30,$AT$3&lt;=CC$7),ROUND(CC418*($AP$3+#REF!),-1),""))</f>
        <v/>
      </c>
      <c r="CE418" s="503" t="s">
        <v>621</v>
      </c>
      <c r="CF418" s="503" t="str">
        <f>IF($G418="","",IF(AND($G418&gt;=30,$AT$3&lt;=CE$7),ROUND(CE418*($AP$3+#REF!),-1),""))</f>
        <v/>
      </c>
      <c r="CG418" s="503" t="s">
        <v>621</v>
      </c>
      <c r="CH418" s="503" t="str">
        <f>IF($G418="","",IF(AND($G418&gt;=30,$AT$3&lt;=CG$7),ROUND(CG418*($AP$3+#REF!),-1),""))</f>
        <v/>
      </c>
      <c r="CI418" s="503" t="s">
        <v>621</v>
      </c>
      <c r="CJ418" s="503" t="str">
        <f>IF($G418="","",IF(AND($G418&gt;=30,$AT$3&lt;=CI$7),ROUND(CI418*($AP$3+#REF!),-1),""))</f>
        <v/>
      </c>
      <c r="CK418" s="503" t="s">
        <v>621</v>
      </c>
      <c r="CL418" s="503" t="str">
        <f>IF($G418="","",IF(AND($G418&gt;=30,$AT$3&lt;=CK$7),ROUND(CK418*($AP$3+#REF!),-1),""))</f>
        <v/>
      </c>
      <c r="CM418" s="503" t="s">
        <v>621</v>
      </c>
      <c r="CN418" s="503" t="str">
        <f>IF($G418="","",IF(AND($G418&gt;=30,$AT$3&lt;=CM$7),ROUND(CM418*($AP$3+#REF!),-1),""))</f>
        <v/>
      </c>
      <c r="CO418" s="503" t="s">
        <v>621</v>
      </c>
      <c r="CP418" s="503" t="str">
        <f>IF($G418="","",IF(AND($G418&gt;=30,$AT$3&lt;=CO$7),ROUND(CO418*($AP$3+#REF!),-1),""))</f>
        <v/>
      </c>
      <c r="CQ418" s="503" t="s">
        <v>621</v>
      </c>
      <c r="CR418" s="503" t="str">
        <f>IF($G418="","",IF(AND($G418&gt;=30,$AT$3&lt;=CQ$7),ROUND(CQ418*($AP$3+#REF!),-1),""))</f>
        <v/>
      </c>
      <c r="CS418" s="503" t="s">
        <v>621</v>
      </c>
      <c r="CT418" s="503" t="str">
        <f>IF($G418="","",IF(AND($G418&gt;=30,$AT$3&lt;=CS$7),ROUND(CS418*($AP$3+#REF!),-1),""))</f>
        <v/>
      </c>
      <c r="CU418" s="503" t="s">
        <v>621</v>
      </c>
      <c r="CV418" s="503" t="str">
        <f>IF($G418="","",IF(AND($G418&gt;=30,$AT$3&lt;=CU$7),ROUND(CU418*($AP$3+#REF!),-1),""))</f>
        <v/>
      </c>
      <c r="CW418" s="517" t="e">
        <v>#REF!</v>
      </c>
      <c r="CX418" s="503" t="str">
        <f>IF($G418="","",IF(AND($G418&gt;=30,$AT$3&lt;=CW$7),ROUND(CW418*($AP$3+#REF!),-1),""))</f>
        <v/>
      </c>
      <c r="CY418" s="517"/>
      <c r="CZ418" s="503" t="str">
        <f>IF($G418="","",IF(AND($G418&gt;=30,$AT$3&lt;=CY$7),ROUND(CY418*($AP$3+#REF!),-1),""))</f>
        <v/>
      </c>
      <c r="DA418" s="517"/>
      <c r="DB418" s="503" t="str">
        <f>IF($G418="","",IF(AND($G418&gt;=30,$AT$3&lt;=DA$7),ROUND(DA418*($AP$3+#REF!),-1),""))</f>
        <v/>
      </c>
      <c r="DC418" s="517"/>
      <c r="DD418" s="503" t="str">
        <f>IF($G418="","",IF(AND($G418&gt;=30,$AT$3&lt;=DC$7),ROUND(DC418*($AP$3+#REF!),-1),""))</f>
        <v/>
      </c>
      <c r="DE418" s="517"/>
      <c r="DF418" s="503" t="str">
        <f>IF($G418="","",IF(AND($G418&gt;=30,$AT$3&lt;=DE$7),ROUND(DE418*($AP$3+#REF!),-1),""))</f>
        <v/>
      </c>
      <c r="DG418" s="517"/>
      <c r="DH418" s="503" t="str">
        <f>IF($G418="","",IF(AND($G418&gt;=30,$AT$3&lt;=DG$7),ROUND(DG418*($AP$3+#REF!),-1),""))</f>
        <v/>
      </c>
      <c r="DI418" s="517"/>
      <c r="DJ418" s="503" t="str">
        <f>IF($G418="","",IF(AND($G418&gt;=30,$AT$3&lt;=DI$7),ROUND(DI418*($AP$3+#REF!),-1),""))</f>
        <v/>
      </c>
      <c r="DK418" s="517"/>
      <c r="DL418" s="503" t="str">
        <f>IF($G418="","",IF(AND($G418&gt;=30,$AT$3&lt;=DK$7),ROUND(DK418*($AP$3+#REF!),-1),""))</f>
        <v/>
      </c>
      <c r="DM418" s="517"/>
      <c r="DN418" s="503" t="str">
        <f>IF($G418="","",IF(AND($G418&gt;=30,$AT$3&lt;=DM$7),ROUND(DM418*($AP$3+#REF!),-1),""))</f>
        <v/>
      </c>
      <c r="DO418" s="517"/>
      <c r="DP418" s="503" t="str">
        <f>IF($G418="","",IF(AND($G418&gt;=30,$AT$3&lt;=DO$7),ROUND(DO418*($AP$3+#REF!),-1),""))</f>
        <v/>
      </c>
      <c r="DQ418" s="517"/>
      <c r="DR418" s="503" t="str">
        <f>IF($G418="","",IF(AND($G418&gt;=30,$AT$3&lt;=DQ$7),ROUND(DQ418*($AP$3+#REF!),-1),""))</f>
        <v/>
      </c>
      <c r="DS418" s="517"/>
      <c r="DT418" s="503" t="str">
        <f>IF($G418="","",IF(AND($G418&gt;=30,$AT$3&lt;=DS$7),ROUND(DS418*($AP$3+#REF!),-1),""))</f>
        <v/>
      </c>
      <c r="DU418" s="517"/>
      <c r="DV418" s="503" t="str">
        <f>IF($G418="","",IF(AND($G418&gt;=30,$AT$3&lt;=DU$7),ROUND(DU418*($AP$3+#REF!),-1),""))</f>
        <v/>
      </c>
      <c r="DW418" s="517"/>
      <c r="DX418" s="503" t="str">
        <f>IF($G418="","",IF(AND($G418&gt;=30,$AT$3&lt;=DW$7),ROUND(DW418*($AP$3+#REF!),-1),""))</f>
        <v/>
      </c>
      <c r="DY418" s="517"/>
      <c r="DZ418" s="503" t="str">
        <f>IF($G418="","",IF(AND($G418&gt;=30,$AT$3&lt;=DY$7),ROUND(DY418*($AP$3+#REF!),-1),""))</f>
        <v/>
      </c>
      <c r="EA418" s="517"/>
      <c r="EB418" s="503" t="str">
        <f>IF($G418="","",IF(AND($G418&gt;=30,$AT$3&lt;=EA$7),ROUND(EA418*($AP$3+#REF!),-1),""))</f>
        <v/>
      </c>
      <c r="EC418" s="504" t="s">
        <v>621</v>
      </c>
      <c r="ED418" s="1124"/>
      <c r="EE418" s="325">
        <v>2</v>
      </c>
    </row>
    <row r="419" spans="1:135" ht="9.75" customHeight="1">
      <c r="A419" s="321" t="str">
        <f t="shared" si="96"/>
        <v/>
      </c>
      <c r="B419" s="567">
        <f>(ii!$D$13*12+V419)+1</f>
        <v>313</v>
      </c>
      <c r="C419" s="337">
        <f t="shared" si="100"/>
        <v>54878</v>
      </c>
      <c r="D419" s="484">
        <f t="shared" si="103"/>
        <v>2050</v>
      </c>
      <c r="E419" s="484">
        <f t="shared" si="101"/>
        <v>0.25</v>
      </c>
      <c r="F419" s="484">
        <f t="shared" si="104"/>
        <v>2050.25</v>
      </c>
      <c r="G419" s="485" t="str">
        <f>IF(OR(C419&lt;$I$2,C419&gt;$J$3),"",(ii!$D$13*12+V419+1)/12)</f>
        <v/>
      </c>
      <c r="H419" s="486"/>
      <c r="I419" s="486"/>
      <c r="J419" s="487"/>
      <c r="K419" s="488"/>
      <c r="L419" s="548"/>
      <c r="M419" s="489" t="str">
        <f t="shared" si="105"/>
        <v/>
      </c>
      <c r="N419" s="490" t="s">
        <v>621</v>
      </c>
      <c r="O419" s="490" t="str">
        <f t="shared" si="98"/>
        <v/>
      </c>
      <c r="P419" s="491"/>
      <c r="Q419" s="491"/>
      <c r="R419" s="491" t="str">
        <f t="shared" si="99"/>
        <v/>
      </c>
      <c r="S419" s="528" t="str">
        <f t="shared" si="97"/>
        <v/>
      </c>
      <c r="T419" s="528" t="str">
        <f t="shared" si="95"/>
        <v/>
      </c>
      <c r="U419" s="493" t="str">
        <f>IF(H419="","",#REF!*12+#REF!+#REF!*12+#REF!)</f>
        <v/>
      </c>
      <c r="V419" s="338">
        <f>IF(ii!$J$3&gt;gg!C419,"",IF(AND((YEAR(C419)=YEAR($I$2)),MONTH(C419)=MONTH($I$2)),ii!$B$14*12+ii!$C$14+ii!$B$15*12+ii!$C$15-1,V418+1))</f>
        <v>312</v>
      </c>
      <c r="W419" s="339">
        <f t="shared" si="102"/>
        <v>26</v>
      </c>
      <c r="X419" s="494" t="s">
        <v>621</v>
      </c>
      <c r="Y419" s="495" t="s">
        <v>621</v>
      </c>
      <c r="Z419" s="496"/>
      <c r="AA419" s="497"/>
      <c r="AB419" s="498" t="e">
        <f t="shared" si="108"/>
        <v>#VALUE!</v>
      </c>
      <c r="AC419" s="484" t="str">
        <f t="shared" si="106"/>
        <v/>
      </c>
      <c r="AD419" s="495" t="str">
        <f t="shared" si="107"/>
        <v/>
      </c>
      <c r="AE419" s="499" t="s">
        <v>621</v>
      </c>
      <c r="AF419" s="500" t="s">
        <v>621</v>
      </c>
      <c r="AG419" s="556" t="s">
        <v>621</v>
      </c>
      <c r="AH419" s="503" t="str">
        <f>IF($G419="","",IF(AND($G419&gt;=30,$AT$3&lt;=AG$7),ROUND(AG419*($AP$3+#REF!),-1),""))</f>
        <v/>
      </c>
      <c r="AI419" s="506" t="s">
        <v>621</v>
      </c>
      <c r="AJ419" s="503" t="str">
        <f>IF($G419="","",IF(AND($G419&gt;=30,$AT$3&lt;=AI$7),ROUND(AI419*($AP$3+#REF!),-1),""))</f>
        <v/>
      </c>
      <c r="AK419" s="506" t="s">
        <v>621</v>
      </c>
      <c r="AL419" s="503" t="str">
        <f>IF($G419="","",IF(AND($G419&gt;=30,$AT$3&lt;=AK$7),ROUND(AK419*($AP$3+#REF!),-1),""))</f>
        <v/>
      </c>
      <c r="AM419" s="506" t="s">
        <v>621</v>
      </c>
      <c r="AN419" s="503" t="str">
        <f>IF($G419="","",IF(AND($G419&gt;=30,$AT$3&lt;=AM$7),ROUND(AM419*($AP$3+#REF!),-1),""))</f>
        <v/>
      </c>
      <c r="AO419" s="503" t="e">
        <v>#REF!</v>
      </c>
      <c r="AP419" s="503" t="str">
        <f>IF($G419="","",IF(AND($G419&gt;=30,$AT$3&lt;=AO$7),ROUND(AO419*($AP$3+#REF!),-1),""))</f>
        <v/>
      </c>
      <c r="AQ419" s="503" t="s">
        <v>621</v>
      </c>
      <c r="AR419" s="503" t="str">
        <f>IF($G419="","",IF(AND($G419&gt;=30,$AT$3&lt;=AQ$7),ROUND(AQ419*($AP$3+#REF!),-1),""))</f>
        <v/>
      </c>
      <c r="AS419" s="503" t="s">
        <v>621</v>
      </c>
      <c r="AT419" s="503" t="str">
        <f>IF($G419="","",IF(AND($G419&gt;=30,$AT$3&lt;=AS$7),ROUND(AS419*($AP$3+#REF!),-1),""))</f>
        <v/>
      </c>
      <c r="AU419" s="503" t="s">
        <v>621</v>
      </c>
      <c r="AV419" s="503" t="str">
        <f>IF($G419="","",IF(AND($G419&gt;=30,$AT$3&lt;=AU$7),ROUND(AU419*($AP$3+#REF!),-1),""))</f>
        <v/>
      </c>
      <c r="AW419" s="503" t="s">
        <v>621</v>
      </c>
      <c r="AX419" s="503" t="str">
        <f>IF($G419="","",IF(AND($G419&gt;=30,$AT$3&lt;=AW$7),ROUND(AW419*($AP$3+#REF!),-1),""))</f>
        <v/>
      </c>
      <c r="AY419" s="503" t="s">
        <v>621</v>
      </c>
      <c r="AZ419" s="503" t="str">
        <f>IF($G419="","",IF(AND($G419&gt;=30,$AT$3&lt;=AY$7),ROUND(AY419*($AP$3+#REF!),-1),""))</f>
        <v/>
      </c>
      <c r="BA419" s="503" t="s">
        <v>621</v>
      </c>
      <c r="BB419" s="503" t="str">
        <f>IF($G419="","",IF(AND($G419&gt;=30,$AT$3&lt;=BA$7),ROUND(BA419*($AP$3+#REF!),-1),""))</f>
        <v/>
      </c>
      <c r="BC419" s="503" t="s">
        <v>621</v>
      </c>
      <c r="BD419" s="503" t="str">
        <f>IF($G419="","",IF(AND($G419&gt;=30,$AT$3&lt;=BC$7),ROUND(BC419*($AP$3+#REF!),-1),""))</f>
        <v/>
      </c>
      <c r="BE419" s="503" t="s">
        <v>621</v>
      </c>
      <c r="BF419" s="503" t="str">
        <f>IF($G419="","",IF(AND($G419&gt;=30,$AT$3&lt;=BE$7),ROUND(BE419*($AP$3+#REF!),-1),""))</f>
        <v/>
      </c>
      <c r="BG419" s="503" t="s">
        <v>621</v>
      </c>
      <c r="BH419" s="503" t="str">
        <f>IF($G419="","",IF(AND($G419&gt;=30,$AT$3&lt;=BG$7),ROUND(BG419*($AP$3+#REF!),-1),""))</f>
        <v/>
      </c>
      <c r="BI419" s="503" t="s">
        <v>621</v>
      </c>
      <c r="BJ419" s="503" t="str">
        <f>IF($G419="","",IF(AND($G419&gt;=30,$AT$3&lt;=BI$7),ROUND(BI419*($AP$3+#REF!),-1),""))</f>
        <v/>
      </c>
      <c r="BK419" s="503" t="s">
        <v>621</v>
      </c>
      <c r="BL419" s="503" t="str">
        <f>IF($G419="","",IF(AND($G419&gt;=30,$AT$3&lt;=BK$7),ROUND(BK419*($AP$3+#REF!),-1),""))</f>
        <v/>
      </c>
      <c r="BM419" s="503" t="s">
        <v>621</v>
      </c>
      <c r="BN419" s="503" t="str">
        <f>IF($G419="","",IF(AND($G419&gt;=30,$AT$3&lt;=BM$7),ROUND(BM419*($AP$3+#REF!),-1),""))</f>
        <v/>
      </c>
      <c r="BO419" s="503" t="s">
        <v>621</v>
      </c>
      <c r="BP419" s="503" t="str">
        <f>IF($G419="","",IF(AND($G419&gt;=30,$AT$3&lt;=BO$7),ROUND(BO419*($AP$3+#REF!),-1),""))</f>
        <v/>
      </c>
      <c r="BQ419" s="503" t="s">
        <v>621</v>
      </c>
      <c r="BR419" s="503" t="str">
        <f>IF($G419="","",IF(AND($G419&gt;=30,$AT$3&lt;=BQ$7),ROUND(BQ419*($AP$3+#REF!),-1),""))</f>
        <v/>
      </c>
      <c r="BS419" s="503" t="s">
        <v>621</v>
      </c>
      <c r="BT419" s="503" t="str">
        <f>IF($G419="","",IF(AND($G419&gt;=30,$AT$3&lt;=BS$7),ROUND(BS419*($AP$3+#REF!),-1),""))</f>
        <v/>
      </c>
      <c r="BU419" s="503" t="s">
        <v>621</v>
      </c>
      <c r="BV419" s="503" t="str">
        <f>IF($G419="","",IF(AND($G419&gt;=30,$AT$3&lt;=BU$7),ROUND(BU419*($AP$3+#REF!),-1),""))</f>
        <v/>
      </c>
      <c r="BW419" s="503" t="s">
        <v>621</v>
      </c>
      <c r="BX419" s="503" t="str">
        <f>IF($G419="","",IF(AND($G419&gt;=30,$AT$3&lt;=BW$7),ROUND(BW419*($AP$3+#REF!),-1),""))</f>
        <v/>
      </c>
      <c r="BY419" s="503" t="s">
        <v>621</v>
      </c>
      <c r="BZ419" s="503" t="str">
        <f>IF($G419="","",IF(AND($G419&gt;=30,$AT$3&lt;=BY$7),ROUND(BY419*($AP$3+#REF!),-1),""))</f>
        <v/>
      </c>
      <c r="CA419" s="503" t="s">
        <v>621</v>
      </c>
      <c r="CB419" s="503" t="str">
        <f>IF($G419="","",IF(AND($G419&gt;=30,$AT$3&lt;=CA$7),ROUND(CA419*($AP$3+#REF!),-1),""))</f>
        <v/>
      </c>
      <c r="CC419" s="503" t="s">
        <v>621</v>
      </c>
      <c r="CD419" s="503" t="str">
        <f>IF($G419="","",IF(AND($G419&gt;=30,$AT$3&lt;=CC$7),ROUND(CC419*($AP$3+#REF!),-1),""))</f>
        <v/>
      </c>
      <c r="CE419" s="503" t="s">
        <v>621</v>
      </c>
      <c r="CF419" s="503" t="str">
        <f>IF($G419="","",IF(AND($G419&gt;=30,$AT$3&lt;=CE$7),ROUND(CE419*($AP$3+#REF!),-1),""))</f>
        <v/>
      </c>
      <c r="CG419" s="503" t="s">
        <v>621</v>
      </c>
      <c r="CH419" s="503" t="str">
        <f>IF($G419="","",IF(AND($G419&gt;=30,$AT$3&lt;=CG$7),ROUND(CG419*($AP$3+#REF!),-1),""))</f>
        <v/>
      </c>
      <c r="CI419" s="503" t="s">
        <v>621</v>
      </c>
      <c r="CJ419" s="503" t="str">
        <f>IF($G419="","",IF(AND($G419&gt;=30,$AT$3&lt;=CI$7),ROUND(CI419*($AP$3+#REF!),-1),""))</f>
        <v/>
      </c>
      <c r="CK419" s="503" t="s">
        <v>621</v>
      </c>
      <c r="CL419" s="503" t="str">
        <f>IF($G419="","",IF(AND($G419&gt;=30,$AT$3&lt;=CK$7),ROUND(CK419*($AP$3+#REF!),-1),""))</f>
        <v/>
      </c>
      <c r="CM419" s="503" t="s">
        <v>621</v>
      </c>
      <c r="CN419" s="503" t="str">
        <f>IF($G419="","",IF(AND($G419&gt;=30,$AT$3&lt;=CM$7),ROUND(CM419*($AP$3+#REF!),-1),""))</f>
        <v/>
      </c>
      <c r="CO419" s="503" t="s">
        <v>621</v>
      </c>
      <c r="CP419" s="503" t="str">
        <f>IF($G419="","",IF(AND($G419&gt;=30,$AT$3&lt;=CO$7),ROUND(CO419*($AP$3+#REF!),-1),""))</f>
        <v/>
      </c>
      <c r="CQ419" s="503" t="s">
        <v>621</v>
      </c>
      <c r="CR419" s="503" t="str">
        <f>IF($G419="","",IF(AND($G419&gt;=30,$AT$3&lt;=CQ$7),ROUND(CQ419*($AP$3+#REF!),-1),""))</f>
        <v/>
      </c>
      <c r="CS419" s="503" t="s">
        <v>621</v>
      </c>
      <c r="CT419" s="503" t="str">
        <f>IF($G419="","",IF(AND($G419&gt;=30,$AT$3&lt;=CS$7),ROUND(CS419*($AP$3+#REF!),-1),""))</f>
        <v/>
      </c>
      <c r="CU419" s="503" t="s">
        <v>621</v>
      </c>
      <c r="CV419" s="503" t="str">
        <f>IF($G419="","",IF(AND($G419&gt;=30,$AT$3&lt;=CU$7),ROUND(CU419*($AP$3+#REF!),-1),""))</f>
        <v/>
      </c>
      <c r="CW419" s="517" t="e">
        <v>#REF!</v>
      </c>
      <c r="CX419" s="503" t="str">
        <f>IF($G419="","",IF(AND($G419&gt;=30,$AT$3&lt;=CW$7),ROUND(CW419*($AP$3+#REF!),-1),""))</f>
        <v/>
      </c>
      <c r="CY419" s="517"/>
      <c r="CZ419" s="503" t="str">
        <f>IF($G419="","",IF(AND($G419&gt;=30,$AT$3&lt;=CY$7),ROUND(CY419*($AP$3+#REF!),-1),""))</f>
        <v/>
      </c>
      <c r="DA419" s="517"/>
      <c r="DB419" s="503" t="str">
        <f>IF($G419="","",IF(AND($G419&gt;=30,$AT$3&lt;=DA$7),ROUND(DA419*($AP$3+#REF!),-1),""))</f>
        <v/>
      </c>
      <c r="DC419" s="517"/>
      <c r="DD419" s="503" t="str">
        <f>IF($G419="","",IF(AND($G419&gt;=30,$AT$3&lt;=DC$7),ROUND(DC419*($AP$3+#REF!),-1),""))</f>
        <v/>
      </c>
      <c r="DE419" s="517"/>
      <c r="DF419" s="503" t="str">
        <f>IF($G419="","",IF(AND($G419&gt;=30,$AT$3&lt;=DE$7),ROUND(DE419*($AP$3+#REF!),-1),""))</f>
        <v/>
      </c>
      <c r="DG419" s="517"/>
      <c r="DH419" s="503" t="str">
        <f>IF($G419="","",IF(AND($G419&gt;=30,$AT$3&lt;=DG$7),ROUND(DG419*($AP$3+#REF!),-1),""))</f>
        <v/>
      </c>
      <c r="DI419" s="517"/>
      <c r="DJ419" s="503" t="str">
        <f>IF($G419="","",IF(AND($G419&gt;=30,$AT$3&lt;=DI$7),ROUND(DI419*($AP$3+#REF!),-1),""))</f>
        <v/>
      </c>
      <c r="DK419" s="517"/>
      <c r="DL419" s="503" t="str">
        <f>IF($G419="","",IF(AND($G419&gt;=30,$AT$3&lt;=DK$7),ROUND(DK419*($AP$3+#REF!),-1),""))</f>
        <v/>
      </c>
      <c r="DM419" s="517"/>
      <c r="DN419" s="503" t="str">
        <f>IF($G419="","",IF(AND($G419&gt;=30,$AT$3&lt;=DM$7),ROUND(DM419*($AP$3+#REF!),-1),""))</f>
        <v/>
      </c>
      <c r="DO419" s="517"/>
      <c r="DP419" s="503" t="str">
        <f>IF($G419="","",IF(AND($G419&gt;=30,$AT$3&lt;=DO$7),ROUND(DO419*($AP$3+#REF!),-1),""))</f>
        <v/>
      </c>
      <c r="DQ419" s="517"/>
      <c r="DR419" s="503" t="str">
        <f>IF($G419="","",IF(AND($G419&gt;=30,$AT$3&lt;=DQ$7),ROUND(DQ419*($AP$3+#REF!),-1),""))</f>
        <v/>
      </c>
      <c r="DS419" s="517"/>
      <c r="DT419" s="503" t="str">
        <f>IF($G419="","",IF(AND($G419&gt;=30,$AT$3&lt;=DS$7),ROUND(DS419*($AP$3+#REF!),-1),""))</f>
        <v/>
      </c>
      <c r="DU419" s="517"/>
      <c r="DV419" s="503" t="str">
        <f>IF($G419="","",IF(AND($G419&gt;=30,$AT$3&lt;=DU$7),ROUND(DU419*($AP$3+#REF!),-1),""))</f>
        <v/>
      </c>
      <c r="DW419" s="517"/>
      <c r="DX419" s="503" t="str">
        <f>IF($G419="","",IF(AND($G419&gt;=30,$AT$3&lt;=DW$7),ROUND(DW419*($AP$3+#REF!),-1),""))</f>
        <v/>
      </c>
      <c r="DY419" s="517"/>
      <c r="DZ419" s="503" t="str">
        <f>IF($G419="","",IF(AND($G419&gt;=30,$AT$3&lt;=DY$7),ROUND(DY419*($AP$3+#REF!),-1),""))</f>
        <v/>
      </c>
      <c r="EA419" s="517"/>
      <c r="EB419" s="503" t="str">
        <f>IF($G419="","",IF(AND($G419&gt;=30,$AT$3&lt;=EA$7),ROUND(EA419*($AP$3+#REF!),-1),""))</f>
        <v/>
      </c>
      <c r="EC419" s="504" t="s">
        <v>621</v>
      </c>
      <c r="ED419" s="1124"/>
      <c r="EE419" s="325">
        <v>3</v>
      </c>
    </row>
    <row r="420" spans="1:135" ht="9.75" customHeight="1">
      <c r="A420" s="321" t="str">
        <f t="shared" si="96"/>
        <v/>
      </c>
      <c r="B420" s="567">
        <f>(ii!$D$13*12+V420)+1</f>
        <v>314</v>
      </c>
      <c r="C420" s="337">
        <f t="shared" si="100"/>
        <v>54908</v>
      </c>
      <c r="D420" s="484">
        <f t="shared" si="103"/>
        <v>2050</v>
      </c>
      <c r="E420" s="484">
        <f t="shared" si="101"/>
        <v>0.33333333333333331</v>
      </c>
      <c r="F420" s="484">
        <f t="shared" si="104"/>
        <v>2050.3333333333335</v>
      </c>
      <c r="G420" s="485" t="str">
        <f>IF(OR(C420&lt;$I$2,C420&gt;$J$3),"",(ii!$D$13*12+V420+1)/12)</f>
        <v/>
      </c>
      <c r="H420" s="486"/>
      <c r="I420" s="486"/>
      <c r="J420" s="487"/>
      <c r="K420" s="488"/>
      <c r="L420" s="548"/>
      <c r="M420" s="489" t="str">
        <f t="shared" si="105"/>
        <v/>
      </c>
      <c r="N420" s="490" t="s">
        <v>621</v>
      </c>
      <c r="O420" s="490" t="str">
        <f t="shared" si="98"/>
        <v/>
      </c>
      <c r="P420" s="491"/>
      <c r="Q420" s="491"/>
      <c r="R420" s="491" t="str">
        <f t="shared" si="99"/>
        <v/>
      </c>
      <c r="S420" s="528" t="str">
        <f t="shared" si="97"/>
        <v/>
      </c>
      <c r="T420" s="528" t="str">
        <f t="shared" si="95"/>
        <v/>
      </c>
      <c r="U420" s="493" t="str">
        <f>IF(H420="","",#REF!*12+#REF!+#REF!*12+#REF!)</f>
        <v/>
      </c>
      <c r="V420" s="338">
        <f>IF(ii!$J$3&gt;gg!C420,"",IF(AND((YEAR(C420)=YEAR($I$2)),MONTH(C420)=MONTH($I$2)),ii!$B$14*12+ii!$C$14+ii!$B$15*12+ii!$C$15-1,V419+1))</f>
        <v>313</v>
      </c>
      <c r="W420" s="339">
        <f t="shared" si="102"/>
        <v>26.083333333333332</v>
      </c>
      <c r="X420" s="494" t="s">
        <v>621</v>
      </c>
      <c r="Y420" s="495" t="s">
        <v>621</v>
      </c>
      <c r="Z420" s="496"/>
      <c r="AA420" s="497"/>
      <c r="AB420" s="498" t="e">
        <f t="shared" si="108"/>
        <v>#VALUE!</v>
      </c>
      <c r="AC420" s="484" t="str">
        <f t="shared" si="106"/>
        <v/>
      </c>
      <c r="AD420" s="495" t="str">
        <f t="shared" si="107"/>
        <v/>
      </c>
      <c r="AE420" s="499" t="s">
        <v>621</v>
      </c>
      <c r="AF420" s="500" t="s">
        <v>621</v>
      </c>
      <c r="AG420" s="556" t="s">
        <v>621</v>
      </c>
      <c r="AH420" s="503" t="str">
        <f>IF($G420="","",IF(AND($G420&gt;=30,$AT$3&lt;=AG$7),ROUND(AG420*($AP$3+#REF!),-1),""))</f>
        <v/>
      </c>
      <c r="AI420" s="506" t="s">
        <v>621</v>
      </c>
      <c r="AJ420" s="503" t="str">
        <f>IF($G420="","",IF(AND($G420&gt;=30,$AT$3&lt;=AI$7),ROUND(AI420*($AP$3+#REF!),-1),""))</f>
        <v/>
      </c>
      <c r="AK420" s="506" t="s">
        <v>621</v>
      </c>
      <c r="AL420" s="503" t="str">
        <f>IF($G420="","",IF(AND($G420&gt;=30,$AT$3&lt;=AK$7),ROUND(AK420*($AP$3+#REF!),-1),""))</f>
        <v/>
      </c>
      <c r="AM420" s="506" t="s">
        <v>621</v>
      </c>
      <c r="AN420" s="503" t="str">
        <f>IF($G420="","",IF(AND($G420&gt;=30,$AT$3&lt;=AM$7),ROUND(AM420*($AP$3+#REF!),-1),""))</f>
        <v/>
      </c>
      <c r="AO420" s="503" t="e">
        <v>#REF!</v>
      </c>
      <c r="AP420" s="503" t="str">
        <f>IF($G420="","",IF(AND($G420&gt;=30,$AT$3&lt;=AO$7),ROUND(AO420*($AP$3+#REF!),-1),""))</f>
        <v/>
      </c>
      <c r="AQ420" s="503" t="s">
        <v>621</v>
      </c>
      <c r="AR420" s="503" t="str">
        <f>IF($G420="","",IF(AND($G420&gt;=30,$AT$3&lt;=AQ$7),ROUND(AQ420*($AP$3+#REF!),-1),""))</f>
        <v/>
      </c>
      <c r="AS420" s="503" t="s">
        <v>621</v>
      </c>
      <c r="AT420" s="503" t="str">
        <f>IF($G420="","",IF(AND($G420&gt;=30,$AT$3&lt;=AS$7),ROUND(AS420*($AP$3+#REF!),-1),""))</f>
        <v/>
      </c>
      <c r="AU420" s="503" t="s">
        <v>621</v>
      </c>
      <c r="AV420" s="503" t="str">
        <f>IF($G420="","",IF(AND($G420&gt;=30,$AT$3&lt;=AU$7),ROUND(AU420*($AP$3+#REF!),-1),""))</f>
        <v/>
      </c>
      <c r="AW420" s="503" t="s">
        <v>621</v>
      </c>
      <c r="AX420" s="503" t="str">
        <f>IF($G420="","",IF(AND($G420&gt;=30,$AT$3&lt;=AW$7),ROUND(AW420*($AP$3+#REF!),-1),""))</f>
        <v/>
      </c>
      <c r="AY420" s="503" t="s">
        <v>621</v>
      </c>
      <c r="AZ420" s="503" t="str">
        <f>IF($G420="","",IF(AND($G420&gt;=30,$AT$3&lt;=AY$7),ROUND(AY420*($AP$3+#REF!),-1),""))</f>
        <v/>
      </c>
      <c r="BA420" s="503" t="s">
        <v>621</v>
      </c>
      <c r="BB420" s="503" t="str">
        <f>IF($G420="","",IF(AND($G420&gt;=30,$AT$3&lt;=BA$7),ROUND(BA420*($AP$3+#REF!),-1),""))</f>
        <v/>
      </c>
      <c r="BC420" s="503" t="s">
        <v>621</v>
      </c>
      <c r="BD420" s="503" t="str">
        <f>IF($G420="","",IF(AND($G420&gt;=30,$AT$3&lt;=BC$7),ROUND(BC420*($AP$3+#REF!),-1),""))</f>
        <v/>
      </c>
      <c r="BE420" s="503" t="s">
        <v>621</v>
      </c>
      <c r="BF420" s="503" t="str">
        <f>IF($G420="","",IF(AND($G420&gt;=30,$AT$3&lt;=BE$7),ROUND(BE420*($AP$3+#REF!),-1),""))</f>
        <v/>
      </c>
      <c r="BG420" s="503" t="s">
        <v>621</v>
      </c>
      <c r="BH420" s="503" t="str">
        <f>IF($G420="","",IF(AND($G420&gt;=30,$AT$3&lt;=BG$7),ROUND(BG420*($AP$3+#REF!),-1),""))</f>
        <v/>
      </c>
      <c r="BI420" s="503" t="s">
        <v>621</v>
      </c>
      <c r="BJ420" s="503" t="str">
        <f>IF($G420="","",IF(AND($G420&gt;=30,$AT$3&lt;=BI$7),ROUND(BI420*($AP$3+#REF!),-1),""))</f>
        <v/>
      </c>
      <c r="BK420" s="503" t="s">
        <v>621</v>
      </c>
      <c r="BL420" s="503" t="str">
        <f>IF($G420="","",IF(AND($G420&gt;=30,$AT$3&lt;=BK$7),ROUND(BK420*($AP$3+#REF!),-1),""))</f>
        <v/>
      </c>
      <c r="BM420" s="503" t="s">
        <v>621</v>
      </c>
      <c r="BN420" s="503" t="str">
        <f>IF($G420="","",IF(AND($G420&gt;=30,$AT$3&lt;=BM$7),ROUND(BM420*($AP$3+#REF!),-1),""))</f>
        <v/>
      </c>
      <c r="BO420" s="503" t="s">
        <v>621</v>
      </c>
      <c r="BP420" s="503" t="str">
        <f>IF($G420="","",IF(AND($G420&gt;=30,$AT$3&lt;=BO$7),ROUND(BO420*($AP$3+#REF!),-1),""))</f>
        <v/>
      </c>
      <c r="BQ420" s="503" t="s">
        <v>621</v>
      </c>
      <c r="BR420" s="503" t="str">
        <f>IF($G420="","",IF(AND($G420&gt;=30,$AT$3&lt;=BQ$7),ROUND(BQ420*($AP$3+#REF!),-1),""))</f>
        <v/>
      </c>
      <c r="BS420" s="503" t="s">
        <v>621</v>
      </c>
      <c r="BT420" s="503" t="str">
        <f>IF($G420="","",IF(AND($G420&gt;=30,$AT$3&lt;=BS$7),ROUND(BS420*($AP$3+#REF!),-1),""))</f>
        <v/>
      </c>
      <c r="BU420" s="503" t="s">
        <v>621</v>
      </c>
      <c r="BV420" s="503" t="str">
        <f>IF($G420="","",IF(AND($G420&gt;=30,$AT$3&lt;=BU$7),ROUND(BU420*($AP$3+#REF!),-1),""))</f>
        <v/>
      </c>
      <c r="BW420" s="503" t="s">
        <v>621</v>
      </c>
      <c r="BX420" s="503" t="str">
        <f>IF($G420="","",IF(AND($G420&gt;=30,$AT$3&lt;=BW$7),ROUND(BW420*($AP$3+#REF!),-1),""))</f>
        <v/>
      </c>
      <c r="BY420" s="503" t="s">
        <v>621</v>
      </c>
      <c r="BZ420" s="503" t="str">
        <f>IF($G420="","",IF(AND($G420&gt;=30,$AT$3&lt;=BY$7),ROUND(BY420*($AP$3+#REF!),-1),""))</f>
        <v/>
      </c>
      <c r="CA420" s="503" t="s">
        <v>621</v>
      </c>
      <c r="CB420" s="503" t="str">
        <f>IF($G420="","",IF(AND($G420&gt;=30,$AT$3&lt;=CA$7),ROUND(CA420*($AP$3+#REF!),-1),""))</f>
        <v/>
      </c>
      <c r="CC420" s="503" t="s">
        <v>621</v>
      </c>
      <c r="CD420" s="503" t="str">
        <f>IF($G420="","",IF(AND($G420&gt;=30,$AT$3&lt;=CC$7),ROUND(CC420*($AP$3+#REF!),-1),""))</f>
        <v/>
      </c>
      <c r="CE420" s="503" t="s">
        <v>621</v>
      </c>
      <c r="CF420" s="503" t="str">
        <f>IF($G420="","",IF(AND($G420&gt;=30,$AT$3&lt;=CE$7),ROUND(CE420*($AP$3+#REF!),-1),""))</f>
        <v/>
      </c>
      <c r="CG420" s="503" t="s">
        <v>621</v>
      </c>
      <c r="CH420" s="503" t="str">
        <f>IF($G420="","",IF(AND($G420&gt;=30,$AT$3&lt;=CG$7),ROUND(CG420*($AP$3+#REF!),-1),""))</f>
        <v/>
      </c>
      <c r="CI420" s="503" t="s">
        <v>621</v>
      </c>
      <c r="CJ420" s="503" t="str">
        <f>IF($G420="","",IF(AND($G420&gt;=30,$AT$3&lt;=CI$7),ROUND(CI420*($AP$3+#REF!),-1),""))</f>
        <v/>
      </c>
      <c r="CK420" s="503" t="s">
        <v>621</v>
      </c>
      <c r="CL420" s="503" t="str">
        <f>IF($G420="","",IF(AND($G420&gt;=30,$AT$3&lt;=CK$7),ROUND(CK420*($AP$3+#REF!),-1),""))</f>
        <v/>
      </c>
      <c r="CM420" s="503" t="s">
        <v>621</v>
      </c>
      <c r="CN420" s="503" t="str">
        <f>IF($G420="","",IF(AND($G420&gt;=30,$AT$3&lt;=CM$7),ROUND(CM420*($AP$3+#REF!),-1),""))</f>
        <v/>
      </c>
      <c r="CO420" s="503" t="s">
        <v>621</v>
      </c>
      <c r="CP420" s="503" t="str">
        <f>IF($G420="","",IF(AND($G420&gt;=30,$AT$3&lt;=CO$7),ROUND(CO420*($AP$3+#REF!),-1),""))</f>
        <v/>
      </c>
      <c r="CQ420" s="503" t="s">
        <v>621</v>
      </c>
      <c r="CR420" s="503" t="str">
        <f>IF($G420="","",IF(AND($G420&gt;=30,$AT$3&lt;=CQ$7),ROUND(CQ420*($AP$3+#REF!),-1),""))</f>
        <v/>
      </c>
      <c r="CS420" s="503" t="s">
        <v>621</v>
      </c>
      <c r="CT420" s="503" t="str">
        <f>IF($G420="","",IF(AND($G420&gt;=30,$AT$3&lt;=CS$7),ROUND(CS420*($AP$3+#REF!),-1),""))</f>
        <v/>
      </c>
      <c r="CU420" s="503" t="s">
        <v>621</v>
      </c>
      <c r="CV420" s="503" t="str">
        <f>IF($G420="","",IF(AND($G420&gt;=30,$AT$3&lt;=CU$7),ROUND(CU420*($AP$3+#REF!),-1),""))</f>
        <v/>
      </c>
      <c r="CW420" s="517" t="e">
        <v>#REF!</v>
      </c>
      <c r="CX420" s="503" t="str">
        <f>IF($G420="","",IF(AND($G420&gt;=30,$AT$3&lt;=CW$7),ROUND(CW420*($AP$3+#REF!),-1),""))</f>
        <v/>
      </c>
      <c r="CY420" s="517"/>
      <c r="CZ420" s="503" t="str">
        <f>IF($G420="","",IF(AND($G420&gt;=30,$AT$3&lt;=CY$7),ROUND(CY420*($AP$3+#REF!),-1),""))</f>
        <v/>
      </c>
      <c r="DA420" s="517"/>
      <c r="DB420" s="503" t="str">
        <f>IF($G420="","",IF(AND($G420&gt;=30,$AT$3&lt;=DA$7),ROUND(DA420*($AP$3+#REF!),-1),""))</f>
        <v/>
      </c>
      <c r="DC420" s="517"/>
      <c r="DD420" s="503" t="str">
        <f>IF($G420="","",IF(AND($G420&gt;=30,$AT$3&lt;=DC$7),ROUND(DC420*($AP$3+#REF!),-1),""))</f>
        <v/>
      </c>
      <c r="DE420" s="517"/>
      <c r="DF420" s="503" t="str">
        <f>IF($G420="","",IF(AND($G420&gt;=30,$AT$3&lt;=DE$7),ROUND(DE420*($AP$3+#REF!),-1),""))</f>
        <v/>
      </c>
      <c r="DG420" s="517"/>
      <c r="DH420" s="503" t="str">
        <f>IF($G420="","",IF(AND($G420&gt;=30,$AT$3&lt;=DG$7),ROUND(DG420*($AP$3+#REF!),-1),""))</f>
        <v/>
      </c>
      <c r="DI420" s="517"/>
      <c r="DJ420" s="503" t="str">
        <f>IF($G420="","",IF(AND($G420&gt;=30,$AT$3&lt;=DI$7),ROUND(DI420*($AP$3+#REF!),-1),""))</f>
        <v/>
      </c>
      <c r="DK420" s="517"/>
      <c r="DL420" s="503" t="str">
        <f>IF($G420="","",IF(AND($G420&gt;=30,$AT$3&lt;=DK$7),ROUND(DK420*($AP$3+#REF!),-1),""))</f>
        <v/>
      </c>
      <c r="DM420" s="517"/>
      <c r="DN420" s="503" t="str">
        <f>IF($G420="","",IF(AND($G420&gt;=30,$AT$3&lt;=DM$7),ROUND(DM420*($AP$3+#REF!),-1),""))</f>
        <v/>
      </c>
      <c r="DO420" s="517"/>
      <c r="DP420" s="503" t="str">
        <f>IF($G420="","",IF(AND($G420&gt;=30,$AT$3&lt;=DO$7),ROUND(DO420*($AP$3+#REF!),-1),""))</f>
        <v/>
      </c>
      <c r="DQ420" s="517"/>
      <c r="DR420" s="503" t="str">
        <f>IF($G420="","",IF(AND($G420&gt;=30,$AT$3&lt;=DQ$7),ROUND(DQ420*($AP$3+#REF!),-1),""))</f>
        <v/>
      </c>
      <c r="DS420" s="517"/>
      <c r="DT420" s="503" t="str">
        <f>IF($G420="","",IF(AND($G420&gt;=30,$AT$3&lt;=DS$7),ROUND(DS420*($AP$3+#REF!),-1),""))</f>
        <v/>
      </c>
      <c r="DU420" s="517"/>
      <c r="DV420" s="503" t="str">
        <f>IF($G420="","",IF(AND($G420&gt;=30,$AT$3&lt;=DU$7),ROUND(DU420*($AP$3+#REF!),-1),""))</f>
        <v/>
      </c>
      <c r="DW420" s="517"/>
      <c r="DX420" s="503" t="str">
        <f>IF($G420="","",IF(AND($G420&gt;=30,$AT$3&lt;=DW$7),ROUND(DW420*($AP$3+#REF!),-1),""))</f>
        <v/>
      </c>
      <c r="DY420" s="517"/>
      <c r="DZ420" s="503" t="str">
        <f>IF($G420="","",IF(AND($G420&gt;=30,$AT$3&lt;=DY$7),ROUND(DY420*($AP$3+#REF!),-1),""))</f>
        <v/>
      </c>
      <c r="EA420" s="517"/>
      <c r="EB420" s="503" t="str">
        <f>IF($G420="","",IF(AND($G420&gt;=30,$AT$3&lt;=EA$7),ROUND(EA420*($AP$3+#REF!),-1),""))</f>
        <v/>
      </c>
      <c r="EC420" s="504" t="s">
        <v>621</v>
      </c>
      <c r="ED420" s="1124"/>
      <c r="EE420" s="325">
        <v>4</v>
      </c>
    </row>
    <row r="421" spans="1:135" ht="9.75" customHeight="1">
      <c r="A421" s="321" t="str">
        <f t="shared" si="96"/>
        <v/>
      </c>
      <c r="B421" s="567">
        <f>(ii!$D$13*12+V421)+1</f>
        <v>315</v>
      </c>
      <c r="C421" s="337">
        <f t="shared" si="100"/>
        <v>54939</v>
      </c>
      <c r="D421" s="484">
        <f t="shared" si="103"/>
        <v>2050</v>
      </c>
      <c r="E421" s="484">
        <f t="shared" si="101"/>
        <v>0.41666666666666669</v>
      </c>
      <c r="F421" s="484">
        <f t="shared" si="104"/>
        <v>2050.4166666666665</v>
      </c>
      <c r="G421" s="485" t="str">
        <f>IF(OR(C421&lt;$I$2,C421&gt;$J$3),"",(ii!$D$13*12+V421+1)/12)</f>
        <v/>
      </c>
      <c r="H421" s="486"/>
      <c r="I421" s="486"/>
      <c r="J421" s="507"/>
      <c r="K421" s="508"/>
      <c r="L421" s="548"/>
      <c r="M421" s="489" t="str">
        <f t="shared" si="105"/>
        <v/>
      </c>
      <c r="N421" s="490" t="s">
        <v>621</v>
      </c>
      <c r="O421" s="490" t="str">
        <f t="shared" si="98"/>
        <v/>
      </c>
      <c r="P421" s="507"/>
      <c r="Q421" s="507"/>
      <c r="R421" s="491" t="str">
        <f t="shared" si="99"/>
        <v/>
      </c>
      <c r="S421" s="528" t="str">
        <f t="shared" si="97"/>
        <v/>
      </c>
      <c r="T421" s="528" t="str">
        <f t="shared" si="95"/>
        <v/>
      </c>
      <c r="U421" s="493" t="str">
        <f>IF(H421="","",#REF!*12+#REF!+#REF!*12+#REF!)</f>
        <v/>
      </c>
      <c r="V421" s="338">
        <f>IF(ii!$J$3&gt;gg!C421,"",IF(AND((YEAR(C421)=YEAR($I$2)),MONTH(C421)=MONTH($I$2)),ii!$B$14*12+ii!$C$14+ii!$B$15*12+ii!$C$15-1,V420+1))</f>
        <v>314</v>
      </c>
      <c r="W421" s="339">
        <f t="shared" si="102"/>
        <v>26.166666666666668</v>
      </c>
      <c r="X421" s="494" t="s">
        <v>621</v>
      </c>
      <c r="Y421" s="495" t="s">
        <v>621</v>
      </c>
      <c r="Z421" s="496"/>
      <c r="AA421" s="497"/>
      <c r="AB421" s="498" t="e">
        <f t="shared" si="108"/>
        <v>#VALUE!</v>
      </c>
      <c r="AC421" s="484" t="str">
        <f t="shared" si="106"/>
        <v/>
      </c>
      <c r="AD421" s="495" t="str">
        <f t="shared" si="107"/>
        <v/>
      </c>
      <c r="AE421" s="499" t="s">
        <v>621</v>
      </c>
      <c r="AF421" s="500" t="s">
        <v>621</v>
      </c>
      <c r="AG421" s="556" t="s">
        <v>621</v>
      </c>
      <c r="AH421" s="503" t="str">
        <f>IF($G421="","",IF(AND($G421&gt;=30,$AT$3&lt;=AG$7),ROUND(AG421*($AP$3+#REF!),-1),""))</f>
        <v/>
      </c>
      <c r="AI421" s="506" t="s">
        <v>621</v>
      </c>
      <c r="AJ421" s="503" t="str">
        <f>IF($G421="","",IF(AND($G421&gt;=30,$AT$3&lt;=AI$7),ROUND(AI421*($AP$3+#REF!),-1),""))</f>
        <v/>
      </c>
      <c r="AK421" s="506" t="s">
        <v>621</v>
      </c>
      <c r="AL421" s="503" t="str">
        <f>IF($G421="","",IF(AND($G421&gt;=30,$AT$3&lt;=AK$7),ROUND(AK421*($AP$3+#REF!),-1),""))</f>
        <v/>
      </c>
      <c r="AM421" s="506" t="s">
        <v>621</v>
      </c>
      <c r="AN421" s="503" t="str">
        <f>IF($G421="","",IF(AND($G421&gt;=30,$AT$3&lt;=AM$7),ROUND(AM421*($AP$3+#REF!),-1),""))</f>
        <v/>
      </c>
      <c r="AO421" s="503" t="e">
        <v>#REF!</v>
      </c>
      <c r="AP421" s="503" t="str">
        <f>IF($G421="","",IF(AND($G421&gt;=30,$AT$3&lt;=AO$7),ROUND(AO421*($AP$3+#REF!),-1),""))</f>
        <v/>
      </c>
      <c r="AQ421" s="503" t="s">
        <v>621</v>
      </c>
      <c r="AR421" s="503" t="str">
        <f>IF($G421="","",IF(AND($G421&gt;=30,$AT$3&lt;=AQ$7),ROUND(AQ421*($AP$3+#REF!),-1),""))</f>
        <v/>
      </c>
      <c r="AS421" s="503" t="s">
        <v>621</v>
      </c>
      <c r="AT421" s="503" t="str">
        <f>IF($G421="","",IF(AND($G421&gt;=30,$AT$3&lt;=AS$7),ROUND(AS421*($AP$3+#REF!),-1),""))</f>
        <v/>
      </c>
      <c r="AU421" s="503" t="s">
        <v>621</v>
      </c>
      <c r="AV421" s="503" t="str">
        <f>IF($G421="","",IF(AND($G421&gt;=30,$AT$3&lt;=AU$7),ROUND(AU421*($AP$3+#REF!),-1),""))</f>
        <v/>
      </c>
      <c r="AW421" s="503" t="s">
        <v>621</v>
      </c>
      <c r="AX421" s="503" t="str">
        <f>IF($G421="","",IF(AND($G421&gt;=30,$AT$3&lt;=AW$7),ROUND(AW421*($AP$3+#REF!),-1),""))</f>
        <v/>
      </c>
      <c r="AY421" s="503" t="s">
        <v>621</v>
      </c>
      <c r="AZ421" s="503" t="str">
        <f>IF($G421="","",IF(AND($G421&gt;=30,$AT$3&lt;=AY$7),ROUND(AY421*($AP$3+#REF!),-1),""))</f>
        <v/>
      </c>
      <c r="BA421" s="503" t="s">
        <v>621</v>
      </c>
      <c r="BB421" s="503" t="str">
        <f>IF($G421="","",IF(AND($G421&gt;=30,$AT$3&lt;=BA$7),ROUND(BA421*($AP$3+#REF!),-1),""))</f>
        <v/>
      </c>
      <c r="BC421" s="503" t="s">
        <v>621</v>
      </c>
      <c r="BD421" s="503" t="str">
        <f>IF($G421="","",IF(AND($G421&gt;=30,$AT$3&lt;=BC$7),ROUND(BC421*($AP$3+#REF!),-1),""))</f>
        <v/>
      </c>
      <c r="BE421" s="503" t="s">
        <v>621</v>
      </c>
      <c r="BF421" s="503" t="str">
        <f>IF($G421="","",IF(AND($G421&gt;=30,$AT$3&lt;=BE$7),ROUND(BE421*($AP$3+#REF!),-1),""))</f>
        <v/>
      </c>
      <c r="BG421" s="503" t="s">
        <v>621</v>
      </c>
      <c r="BH421" s="503" t="str">
        <f>IF($G421="","",IF(AND($G421&gt;=30,$AT$3&lt;=BG$7),ROUND(BG421*($AP$3+#REF!),-1),""))</f>
        <v/>
      </c>
      <c r="BI421" s="503" t="s">
        <v>621</v>
      </c>
      <c r="BJ421" s="503" t="str">
        <f>IF($G421="","",IF(AND($G421&gt;=30,$AT$3&lt;=BI$7),ROUND(BI421*($AP$3+#REF!),-1),""))</f>
        <v/>
      </c>
      <c r="BK421" s="503" t="s">
        <v>621</v>
      </c>
      <c r="BL421" s="503" t="str">
        <f>IF($G421="","",IF(AND($G421&gt;=30,$AT$3&lt;=BK$7),ROUND(BK421*($AP$3+#REF!),-1),""))</f>
        <v/>
      </c>
      <c r="BM421" s="503" t="s">
        <v>621</v>
      </c>
      <c r="BN421" s="503" t="str">
        <f>IF($G421="","",IF(AND($G421&gt;=30,$AT$3&lt;=BM$7),ROUND(BM421*($AP$3+#REF!),-1),""))</f>
        <v/>
      </c>
      <c r="BO421" s="503" t="s">
        <v>621</v>
      </c>
      <c r="BP421" s="503" t="str">
        <f>IF($G421="","",IF(AND($G421&gt;=30,$AT$3&lt;=BO$7),ROUND(BO421*($AP$3+#REF!),-1),""))</f>
        <v/>
      </c>
      <c r="BQ421" s="503" t="s">
        <v>621</v>
      </c>
      <c r="BR421" s="503" t="str">
        <f>IF($G421="","",IF(AND($G421&gt;=30,$AT$3&lt;=BQ$7),ROUND(BQ421*($AP$3+#REF!),-1),""))</f>
        <v/>
      </c>
      <c r="BS421" s="503" t="s">
        <v>621</v>
      </c>
      <c r="BT421" s="503" t="str">
        <f>IF($G421="","",IF(AND($G421&gt;=30,$AT$3&lt;=BS$7),ROUND(BS421*($AP$3+#REF!),-1),""))</f>
        <v/>
      </c>
      <c r="BU421" s="503" t="s">
        <v>621</v>
      </c>
      <c r="BV421" s="503" t="str">
        <f>IF($G421="","",IF(AND($G421&gt;=30,$AT$3&lt;=BU$7),ROUND(BU421*($AP$3+#REF!),-1),""))</f>
        <v/>
      </c>
      <c r="BW421" s="503" t="s">
        <v>621</v>
      </c>
      <c r="BX421" s="503" t="str">
        <f>IF($G421="","",IF(AND($G421&gt;=30,$AT$3&lt;=BW$7),ROUND(BW421*($AP$3+#REF!),-1),""))</f>
        <v/>
      </c>
      <c r="BY421" s="503" t="s">
        <v>621</v>
      </c>
      <c r="BZ421" s="503" t="str">
        <f>IF($G421="","",IF(AND($G421&gt;=30,$AT$3&lt;=BY$7),ROUND(BY421*($AP$3+#REF!),-1),""))</f>
        <v/>
      </c>
      <c r="CA421" s="503" t="s">
        <v>621</v>
      </c>
      <c r="CB421" s="503" t="str">
        <f>IF($G421="","",IF(AND($G421&gt;=30,$AT$3&lt;=CA$7),ROUND(CA421*($AP$3+#REF!),-1),""))</f>
        <v/>
      </c>
      <c r="CC421" s="503" t="s">
        <v>621</v>
      </c>
      <c r="CD421" s="503" t="str">
        <f>IF($G421="","",IF(AND($G421&gt;=30,$AT$3&lt;=CC$7),ROUND(CC421*($AP$3+#REF!),-1),""))</f>
        <v/>
      </c>
      <c r="CE421" s="503" t="s">
        <v>621</v>
      </c>
      <c r="CF421" s="503" t="str">
        <f>IF($G421="","",IF(AND($G421&gt;=30,$AT$3&lt;=CE$7),ROUND(CE421*($AP$3+#REF!),-1),""))</f>
        <v/>
      </c>
      <c r="CG421" s="503" t="s">
        <v>621</v>
      </c>
      <c r="CH421" s="503" t="str">
        <f>IF($G421="","",IF(AND($G421&gt;=30,$AT$3&lt;=CG$7),ROUND(CG421*($AP$3+#REF!),-1),""))</f>
        <v/>
      </c>
      <c r="CI421" s="503" t="s">
        <v>621</v>
      </c>
      <c r="CJ421" s="503" t="str">
        <f>IF($G421="","",IF(AND($G421&gt;=30,$AT$3&lt;=CI$7),ROUND(CI421*($AP$3+#REF!),-1),""))</f>
        <v/>
      </c>
      <c r="CK421" s="503" t="s">
        <v>621</v>
      </c>
      <c r="CL421" s="503" t="str">
        <f>IF($G421="","",IF(AND($G421&gt;=30,$AT$3&lt;=CK$7),ROUND(CK421*($AP$3+#REF!),-1),""))</f>
        <v/>
      </c>
      <c r="CM421" s="503" t="s">
        <v>621</v>
      </c>
      <c r="CN421" s="503" t="str">
        <f>IF($G421="","",IF(AND($G421&gt;=30,$AT$3&lt;=CM$7),ROUND(CM421*($AP$3+#REF!),-1),""))</f>
        <v/>
      </c>
      <c r="CO421" s="503" t="s">
        <v>621</v>
      </c>
      <c r="CP421" s="503" t="str">
        <f>IF($G421="","",IF(AND($G421&gt;=30,$AT$3&lt;=CO$7),ROUND(CO421*($AP$3+#REF!),-1),""))</f>
        <v/>
      </c>
      <c r="CQ421" s="503" t="s">
        <v>621</v>
      </c>
      <c r="CR421" s="503" t="str">
        <f>IF($G421="","",IF(AND($G421&gt;=30,$AT$3&lt;=CQ$7),ROUND(CQ421*($AP$3+#REF!),-1),""))</f>
        <v/>
      </c>
      <c r="CS421" s="503" t="s">
        <v>621</v>
      </c>
      <c r="CT421" s="503" t="str">
        <f>IF($G421="","",IF(AND($G421&gt;=30,$AT$3&lt;=CS$7),ROUND(CS421*($AP$3+#REF!),-1),""))</f>
        <v/>
      </c>
      <c r="CU421" s="503" t="s">
        <v>621</v>
      </c>
      <c r="CV421" s="503" t="str">
        <f>IF($G421="","",IF(AND($G421&gt;=30,$AT$3&lt;=CU$7),ROUND(CU421*($AP$3+#REF!),-1),""))</f>
        <v/>
      </c>
      <c r="CW421" s="517" t="e">
        <v>#REF!</v>
      </c>
      <c r="CX421" s="503" t="str">
        <f>IF($G421="","",IF(AND($G421&gt;=30,$AT$3&lt;=CW$7),ROUND(CW421*($AP$3+#REF!),-1),""))</f>
        <v/>
      </c>
      <c r="CY421" s="517"/>
      <c r="CZ421" s="503" t="str">
        <f>IF($G421="","",IF(AND($G421&gt;=30,$AT$3&lt;=CY$7),ROUND(CY421*($AP$3+#REF!),-1),""))</f>
        <v/>
      </c>
      <c r="DA421" s="517"/>
      <c r="DB421" s="503" t="str">
        <f>IF($G421="","",IF(AND($G421&gt;=30,$AT$3&lt;=DA$7),ROUND(DA421*($AP$3+#REF!),-1),""))</f>
        <v/>
      </c>
      <c r="DC421" s="517"/>
      <c r="DD421" s="503" t="str">
        <f>IF($G421="","",IF(AND($G421&gt;=30,$AT$3&lt;=DC$7),ROUND(DC421*($AP$3+#REF!),-1),""))</f>
        <v/>
      </c>
      <c r="DE421" s="517"/>
      <c r="DF421" s="503" t="str">
        <f>IF($G421="","",IF(AND($G421&gt;=30,$AT$3&lt;=DE$7),ROUND(DE421*($AP$3+#REF!),-1),""))</f>
        <v/>
      </c>
      <c r="DG421" s="517"/>
      <c r="DH421" s="503" t="str">
        <f>IF($G421="","",IF(AND($G421&gt;=30,$AT$3&lt;=DG$7),ROUND(DG421*($AP$3+#REF!),-1),""))</f>
        <v/>
      </c>
      <c r="DI421" s="517"/>
      <c r="DJ421" s="503" t="str">
        <f>IF($G421="","",IF(AND($G421&gt;=30,$AT$3&lt;=DI$7),ROUND(DI421*($AP$3+#REF!),-1),""))</f>
        <v/>
      </c>
      <c r="DK421" s="517"/>
      <c r="DL421" s="503" t="str">
        <f>IF($G421="","",IF(AND($G421&gt;=30,$AT$3&lt;=DK$7),ROUND(DK421*($AP$3+#REF!),-1),""))</f>
        <v/>
      </c>
      <c r="DM421" s="517"/>
      <c r="DN421" s="503" t="str">
        <f>IF($G421="","",IF(AND($G421&gt;=30,$AT$3&lt;=DM$7),ROUND(DM421*($AP$3+#REF!),-1),""))</f>
        <v/>
      </c>
      <c r="DO421" s="517"/>
      <c r="DP421" s="503" t="str">
        <f>IF($G421="","",IF(AND($G421&gt;=30,$AT$3&lt;=DO$7),ROUND(DO421*($AP$3+#REF!),-1),""))</f>
        <v/>
      </c>
      <c r="DQ421" s="517"/>
      <c r="DR421" s="503" t="str">
        <f>IF($G421="","",IF(AND($G421&gt;=30,$AT$3&lt;=DQ$7),ROUND(DQ421*($AP$3+#REF!),-1),""))</f>
        <v/>
      </c>
      <c r="DS421" s="517"/>
      <c r="DT421" s="503" t="str">
        <f>IF($G421="","",IF(AND($G421&gt;=30,$AT$3&lt;=DS$7),ROUND(DS421*($AP$3+#REF!),-1),""))</f>
        <v/>
      </c>
      <c r="DU421" s="517"/>
      <c r="DV421" s="503" t="str">
        <f>IF($G421="","",IF(AND($G421&gt;=30,$AT$3&lt;=DU$7),ROUND(DU421*($AP$3+#REF!),-1),""))</f>
        <v/>
      </c>
      <c r="DW421" s="517"/>
      <c r="DX421" s="503" t="str">
        <f>IF($G421="","",IF(AND($G421&gt;=30,$AT$3&lt;=DW$7),ROUND(DW421*($AP$3+#REF!),-1),""))</f>
        <v/>
      </c>
      <c r="DY421" s="517"/>
      <c r="DZ421" s="503" t="str">
        <f>IF($G421="","",IF(AND($G421&gt;=30,$AT$3&lt;=DY$7),ROUND(DY421*($AP$3+#REF!),-1),""))</f>
        <v/>
      </c>
      <c r="EA421" s="517"/>
      <c r="EB421" s="503" t="str">
        <f>IF($G421="","",IF(AND($G421&gt;=30,$AT$3&lt;=EA$7),ROUND(EA421*($AP$3+#REF!),-1),""))</f>
        <v/>
      </c>
      <c r="EC421" s="504" t="s">
        <v>621</v>
      </c>
      <c r="ED421" s="1124"/>
      <c r="EE421" s="325">
        <v>5</v>
      </c>
    </row>
    <row r="422" spans="1:135" ht="9.75" customHeight="1">
      <c r="A422" s="321" t="str">
        <f t="shared" si="96"/>
        <v/>
      </c>
      <c r="B422" s="567">
        <f>(ii!$D$13*12+V422)+1</f>
        <v>316</v>
      </c>
      <c r="C422" s="337">
        <f t="shared" si="100"/>
        <v>54969</v>
      </c>
      <c r="D422" s="484">
        <f t="shared" si="103"/>
        <v>2050</v>
      </c>
      <c r="E422" s="484">
        <f t="shared" si="101"/>
        <v>0.5</v>
      </c>
      <c r="F422" s="484">
        <f t="shared" si="104"/>
        <v>2050.5</v>
      </c>
      <c r="G422" s="485" t="str">
        <f>IF(OR(C422&lt;$I$2,C422&gt;$J$3),"",(ii!$D$13*12+V422+1)/12)</f>
        <v/>
      </c>
      <c r="H422" s="486"/>
      <c r="I422" s="486"/>
      <c r="J422" s="487"/>
      <c r="K422" s="488"/>
      <c r="L422" s="548"/>
      <c r="M422" s="489" t="str">
        <f t="shared" si="105"/>
        <v/>
      </c>
      <c r="N422" s="490" t="s">
        <v>621</v>
      </c>
      <c r="O422" s="490" t="str">
        <f t="shared" si="98"/>
        <v/>
      </c>
      <c r="P422" s="491"/>
      <c r="Q422" s="491"/>
      <c r="R422" s="491" t="str">
        <f t="shared" si="99"/>
        <v/>
      </c>
      <c r="S422" s="528" t="str">
        <f t="shared" si="97"/>
        <v/>
      </c>
      <c r="T422" s="528" t="str">
        <f t="shared" si="95"/>
        <v/>
      </c>
      <c r="U422" s="493" t="str">
        <f>IF(H422="","",#REF!*12+#REF!+#REF!*12+#REF!)</f>
        <v/>
      </c>
      <c r="V422" s="338">
        <f>IF(ii!$J$3&gt;gg!C422,"",IF(AND((YEAR(C422)=YEAR($I$2)),MONTH(C422)=MONTH($I$2)),ii!$B$14*12+ii!$C$14+ii!$B$15*12+ii!$C$15-1,V421+1))</f>
        <v>315</v>
      </c>
      <c r="W422" s="339">
        <f t="shared" si="102"/>
        <v>26.25</v>
      </c>
      <c r="X422" s="494" t="s">
        <v>621</v>
      </c>
      <c r="Y422" s="495" t="s">
        <v>621</v>
      </c>
      <c r="Z422" s="496"/>
      <c r="AA422" s="497"/>
      <c r="AB422" s="498" t="e">
        <f t="shared" si="108"/>
        <v>#VALUE!</v>
      </c>
      <c r="AC422" s="484" t="str">
        <f t="shared" si="106"/>
        <v/>
      </c>
      <c r="AD422" s="495" t="str">
        <f t="shared" si="107"/>
        <v/>
      </c>
      <c r="AE422" s="499" t="s">
        <v>621</v>
      </c>
      <c r="AF422" s="500" t="s">
        <v>621</v>
      </c>
      <c r="AG422" s="556" t="s">
        <v>621</v>
      </c>
      <c r="AH422" s="503" t="str">
        <f>IF($G422="","",IF(AND($G422&gt;=30,$AT$3&lt;=AG$7),ROUND(AG422*($AP$3+#REF!),-1),""))</f>
        <v/>
      </c>
      <c r="AI422" s="506" t="s">
        <v>621</v>
      </c>
      <c r="AJ422" s="503" t="str">
        <f>IF($G422="","",IF(AND($G422&gt;=30,$AT$3&lt;=AI$7),ROUND(AI422*($AP$3+#REF!),-1),""))</f>
        <v/>
      </c>
      <c r="AK422" s="506" t="s">
        <v>621</v>
      </c>
      <c r="AL422" s="503" t="str">
        <f>IF($G422="","",IF(AND($G422&gt;=30,$AT$3&lt;=AK$7),ROUND(AK422*($AP$3+#REF!),-1),""))</f>
        <v/>
      </c>
      <c r="AM422" s="506" t="s">
        <v>621</v>
      </c>
      <c r="AN422" s="503" t="str">
        <f>IF($G422="","",IF(AND($G422&gt;=30,$AT$3&lt;=AM$7),ROUND(AM422*($AP$3+#REF!),-1),""))</f>
        <v/>
      </c>
      <c r="AO422" s="503" t="e">
        <v>#REF!</v>
      </c>
      <c r="AP422" s="503" t="str">
        <f>IF($G422="","",IF(AND($G422&gt;=30,$AT$3&lt;=AO$7),ROUND(AO422*($AP$3+#REF!),-1),""))</f>
        <v/>
      </c>
      <c r="AQ422" s="503" t="s">
        <v>621</v>
      </c>
      <c r="AR422" s="503" t="str">
        <f>IF($G422="","",IF(AND($G422&gt;=30,$AT$3&lt;=AQ$7),ROUND(AQ422*($AP$3+#REF!),-1),""))</f>
        <v/>
      </c>
      <c r="AS422" s="503" t="s">
        <v>621</v>
      </c>
      <c r="AT422" s="503" t="str">
        <f>IF($G422="","",IF(AND($G422&gt;=30,$AT$3&lt;=AS$7),ROUND(AS422*($AP$3+#REF!),-1),""))</f>
        <v/>
      </c>
      <c r="AU422" s="503" t="s">
        <v>621</v>
      </c>
      <c r="AV422" s="503" t="str">
        <f>IF($G422="","",IF(AND($G422&gt;=30,$AT$3&lt;=AU$7),ROUND(AU422*($AP$3+#REF!),-1),""))</f>
        <v/>
      </c>
      <c r="AW422" s="503" t="s">
        <v>621</v>
      </c>
      <c r="AX422" s="503" t="str">
        <f>IF($G422="","",IF(AND($G422&gt;=30,$AT$3&lt;=AW$7),ROUND(AW422*($AP$3+#REF!),-1),""))</f>
        <v/>
      </c>
      <c r="AY422" s="503" t="s">
        <v>621</v>
      </c>
      <c r="AZ422" s="503" t="str">
        <f>IF($G422="","",IF(AND($G422&gt;=30,$AT$3&lt;=AY$7),ROUND(AY422*($AP$3+#REF!),-1),""))</f>
        <v/>
      </c>
      <c r="BA422" s="503" t="s">
        <v>621</v>
      </c>
      <c r="BB422" s="503" t="str">
        <f>IF($G422="","",IF(AND($G422&gt;=30,$AT$3&lt;=BA$7),ROUND(BA422*($AP$3+#REF!),-1),""))</f>
        <v/>
      </c>
      <c r="BC422" s="503" t="s">
        <v>621</v>
      </c>
      <c r="BD422" s="503" t="str">
        <f>IF($G422="","",IF(AND($G422&gt;=30,$AT$3&lt;=BC$7),ROUND(BC422*($AP$3+#REF!),-1),""))</f>
        <v/>
      </c>
      <c r="BE422" s="503" t="s">
        <v>621</v>
      </c>
      <c r="BF422" s="503" t="str">
        <f>IF($G422="","",IF(AND($G422&gt;=30,$AT$3&lt;=BE$7),ROUND(BE422*($AP$3+#REF!),-1),""))</f>
        <v/>
      </c>
      <c r="BG422" s="503" t="s">
        <v>621</v>
      </c>
      <c r="BH422" s="503" t="str">
        <f>IF($G422="","",IF(AND($G422&gt;=30,$AT$3&lt;=BG$7),ROUND(BG422*($AP$3+#REF!),-1),""))</f>
        <v/>
      </c>
      <c r="BI422" s="503" t="s">
        <v>621</v>
      </c>
      <c r="BJ422" s="503" t="str">
        <f>IF($G422="","",IF(AND($G422&gt;=30,$AT$3&lt;=BI$7),ROUND(BI422*($AP$3+#REF!),-1),""))</f>
        <v/>
      </c>
      <c r="BK422" s="503" t="s">
        <v>621</v>
      </c>
      <c r="BL422" s="503" t="str">
        <f>IF($G422="","",IF(AND($G422&gt;=30,$AT$3&lt;=BK$7),ROUND(BK422*($AP$3+#REF!),-1),""))</f>
        <v/>
      </c>
      <c r="BM422" s="503" t="s">
        <v>621</v>
      </c>
      <c r="BN422" s="503" t="str">
        <f>IF($G422="","",IF(AND($G422&gt;=30,$AT$3&lt;=BM$7),ROUND(BM422*($AP$3+#REF!),-1),""))</f>
        <v/>
      </c>
      <c r="BO422" s="503" t="s">
        <v>621</v>
      </c>
      <c r="BP422" s="503" t="str">
        <f>IF($G422="","",IF(AND($G422&gt;=30,$AT$3&lt;=BO$7),ROUND(BO422*($AP$3+#REF!),-1),""))</f>
        <v/>
      </c>
      <c r="BQ422" s="503" t="s">
        <v>621</v>
      </c>
      <c r="BR422" s="503" t="str">
        <f>IF($G422="","",IF(AND($G422&gt;=30,$AT$3&lt;=BQ$7),ROUND(BQ422*($AP$3+#REF!),-1),""))</f>
        <v/>
      </c>
      <c r="BS422" s="503" t="s">
        <v>621</v>
      </c>
      <c r="BT422" s="503" t="str">
        <f>IF($G422="","",IF(AND($G422&gt;=30,$AT$3&lt;=BS$7),ROUND(BS422*($AP$3+#REF!),-1),""))</f>
        <v/>
      </c>
      <c r="BU422" s="503" t="s">
        <v>621</v>
      </c>
      <c r="BV422" s="503" t="str">
        <f>IF($G422="","",IF(AND($G422&gt;=30,$AT$3&lt;=BU$7),ROUND(BU422*($AP$3+#REF!),-1),""))</f>
        <v/>
      </c>
      <c r="BW422" s="503" t="s">
        <v>621</v>
      </c>
      <c r="BX422" s="503" t="str">
        <f>IF($G422="","",IF(AND($G422&gt;=30,$AT$3&lt;=BW$7),ROUND(BW422*($AP$3+#REF!),-1),""))</f>
        <v/>
      </c>
      <c r="BY422" s="503" t="s">
        <v>621</v>
      </c>
      <c r="BZ422" s="503" t="str">
        <f>IF($G422="","",IF(AND($G422&gt;=30,$AT$3&lt;=BY$7),ROUND(BY422*($AP$3+#REF!),-1),""))</f>
        <v/>
      </c>
      <c r="CA422" s="503" t="s">
        <v>621</v>
      </c>
      <c r="CB422" s="503" t="str">
        <f>IF($G422="","",IF(AND($G422&gt;=30,$AT$3&lt;=CA$7),ROUND(CA422*($AP$3+#REF!),-1),""))</f>
        <v/>
      </c>
      <c r="CC422" s="503" t="s">
        <v>621</v>
      </c>
      <c r="CD422" s="503" t="str">
        <f>IF($G422="","",IF(AND($G422&gt;=30,$AT$3&lt;=CC$7),ROUND(CC422*($AP$3+#REF!),-1),""))</f>
        <v/>
      </c>
      <c r="CE422" s="503" t="s">
        <v>621</v>
      </c>
      <c r="CF422" s="503" t="str">
        <f>IF($G422="","",IF(AND($G422&gt;=30,$AT$3&lt;=CE$7),ROUND(CE422*($AP$3+#REF!),-1),""))</f>
        <v/>
      </c>
      <c r="CG422" s="503" t="s">
        <v>621</v>
      </c>
      <c r="CH422" s="503" t="str">
        <f>IF($G422="","",IF(AND($G422&gt;=30,$AT$3&lt;=CG$7),ROUND(CG422*($AP$3+#REF!),-1),""))</f>
        <v/>
      </c>
      <c r="CI422" s="503" t="s">
        <v>621</v>
      </c>
      <c r="CJ422" s="503" t="str">
        <f>IF($G422="","",IF(AND($G422&gt;=30,$AT$3&lt;=CI$7),ROUND(CI422*($AP$3+#REF!),-1),""))</f>
        <v/>
      </c>
      <c r="CK422" s="503" t="s">
        <v>621</v>
      </c>
      <c r="CL422" s="503" t="str">
        <f>IF($G422="","",IF(AND($G422&gt;=30,$AT$3&lt;=CK$7),ROUND(CK422*($AP$3+#REF!),-1),""))</f>
        <v/>
      </c>
      <c r="CM422" s="503" t="s">
        <v>621</v>
      </c>
      <c r="CN422" s="503" t="str">
        <f>IF($G422="","",IF(AND($G422&gt;=30,$AT$3&lt;=CM$7),ROUND(CM422*($AP$3+#REF!),-1),""))</f>
        <v/>
      </c>
      <c r="CO422" s="503" t="s">
        <v>621</v>
      </c>
      <c r="CP422" s="503" t="str">
        <f>IF($G422="","",IF(AND($G422&gt;=30,$AT$3&lt;=CO$7),ROUND(CO422*($AP$3+#REF!),-1),""))</f>
        <v/>
      </c>
      <c r="CQ422" s="503" t="s">
        <v>621</v>
      </c>
      <c r="CR422" s="503" t="str">
        <f>IF($G422="","",IF(AND($G422&gt;=30,$AT$3&lt;=CQ$7),ROUND(CQ422*($AP$3+#REF!),-1),""))</f>
        <v/>
      </c>
      <c r="CS422" s="503" t="s">
        <v>621</v>
      </c>
      <c r="CT422" s="503" t="str">
        <f>IF($G422="","",IF(AND($G422&gt;=30,$AT$3&lt;=CS$7),ROUND(CS422*($AP$3+#REF!),-1),""))</f>
        <v/>
      </c>
      <c r="CU422" s="503" t="s">
        <v>621</v>
      </c>
      <c r="CV422" s="503" t="str">
        <f>IF($G422="","",IF(AND($G422&gt;=30,$AT$3&lt;=CU$7),ROUND(CU422*($AP$3+#REF!),-1),""))</f>
        <v/>
      </c>
      <c r="CW422" s="517" t="e">
        <v>#REF!</v>
      </c>
      <c r="CX422" s="503" t="str">
        <f>IF($G422="","",IF(AND($G422&gt;=30,$AT$3&lt;=CW$7),ROUND(CW422*($AP$3+#REF!),-1),""))</f>
        <v/>
      </c>
      <c r="CY422" s="517"/>
      <c r="CZ422" s="503" t="str">
        <f>IF($G422="","",IF(AND($G422&gt;=30,$AT$3&lt;=CY$7),ROUND(CY422*($AP$3+#REF!),-1),""))</f>
        <v/>
      </c>
      <c r="DA422" s="517"/>
      <c r="DB422" s="503" t="str">
        <f>IF($G422="","",IF(AND($G422&gt;=30,$AT$3&lt;=DA$7),ROUND(DA422*($AP$3+#REF!),-1),""))</f>
        <v/>
      </c>
      <c r="DC422" s="517"/>
      <c r="DD422" s="503" t="str">
        <f>IF($G422="","",IF(AND($G422&gt;=30,$AT$3&lt;=DC$7),ROUND(DC422*($AP$3+#REF!),-1),""))</f>
        <v/>
      </c>
      <c r="DE422" s="517"/>
      <c r="DF422" s="503" t="str">
        <f>IF($G422="","",IF(AND($G422&gt;=30,$AT$3&lt;=DE$7),ROUND(DE422*($AP$3+#REF!),-1),""))</f>
        <v/>
      </c>
      <c r="DG422" s="517"/>
      <c r="DH422" s="503" t="str">
        <f>IF($G422="","",IF(AND($G422&gt;=30,$AT$3&lt;=DG$7),ROUND(DG422*($AP$3+#REF!),-1),""))</f>
        <v/>
      </c>
      <c r="DI422" s="517"/>
      <c r="DJ422" s="503" t="str">
        <f>IF($G422="","",IF(AND($G422&gt;=30,$AT$3&lt;=DI$7),ROUND(DI422*($AP$3+#REF!),-1),""))</f>
        <v/>
      </c>
      <c r="DK422" s="517"/>
      <c r="DL422" s="503" t="str">
        <f>IF($G422="","",IF(AND($G422&gt;=30,$AT$3&lt;=DK$7),ROUND(DK422*($AP$3+#REF!),-1),""))</f>
        <v/>
      </c>
      <c r="DM422" s="517"/>
      <c r="DN422" s="503" t="str">
        <f>IF($G422="","",IF(AND($G422&gt;=30,$AT$3&lt;=DM$7),ROUND(DM422*($AP$3+#REF!),-1),""))</f>
        <v/>
      </c>
      <c r="DO422" s="517"/>
      <c r="DP422" s="503" t="str">
        <f>IF($G422="","",IF(AND($G422&gt;=30,$AT$3&lt;=DO$7),ROUND(DO422*($AP$3+#REF!),-1),""))</f>
        <v/>
      </c>
      <c r="DQ422" s="517"/>
      <c r="DR422" s="503" t="str">
        <f>IF($G422="","",IF(AND($G422&gt;=30,$AT$3&lt;=DQ$7),ROUND(DQ422*($AP$3+#REF!),-1),""))</f>
        <v/>
      </c>
      <c r="DS422" s="517"/>
      <c r="DT422" s="503" t="str">
        <f>IF($G422="","",IF(AND($G422&gt;=30,$AT$3&lt;=DS$7),ROUND(DS422*($AP$3+#REF!),-1),""))</f>
        <v/>
      </c>
      <c r="DU422" s="517"/>
      <c r="DV422" s="503" t="str">
        <f>IF($G422="","",IF(AND($G422&gt;=30,$AT$3&lt;=DU$7),ROUND(DU422*($AP$3+#REF!),-1),""))</f>
        <v/>
      </c>
      <c r="DW422" s="517"/>
      <c r="DX422" s="503" t="str">
        <f>IF($G422="","",IF(AND($G422&gt;=30,$AT$3&lt;=DW$7),ROUND(DW422*($AP$3+#REF!),-1),""))</f>
        <v/>
      </c>
      <c r="DY422" s="517"/>
      <c r="DZ422" s="503" t="str">
        <f>IF($G422="","",IF(AND($G422&gt;=30,$AT$3&lt;=DY$7),ROUND(DY422*($AP$3+#REF!),-1),""))</f>
        <v/>
      </c>
      <c r="EA422" s="517"/>
      <c r="EB422" s="503" t="str">
        <f>IF($G422="","",IF(AND($G422&gt;=30,$AT$3&lt;=EA$7),ROUND(EA422*($AP$3+#REF!),-1),""))</f>
        <v/>
      </c>
      <c r="EC422" s="504" t="s">
        <v>621</v>
      </c>
      <c r="ED422" s="1124"/>
      <c r="EE422" s="325">
        <v>6</v>
      </c>
    </row>
    <row r="423" spans="1:135" ht="9.75" customHeight="1">
      <c r="A423" s="321" t="str">
        <f t="shared" si="96"/>
        <v/>
      </c>
      <c r="B423" s="567">
        <f>(ii!$D$13*12+V423)+1</f>
        <v>317</v>
      </c>
      <c r="C423" s="337">
        <f t="shared" si="100"/>
        <v>55000</v>
      </c>
      <c r="D423" s="484">
        <f t="shared" si="103"/>
        <v>2050</v>
      </c>
      <c r="E423" s="484">
        <f t="shared" si="101"/>
        <v>0.58333333333333337</v>
      </c>
      <c r="F423" s="484">
        <f t="shared" si="104"/>
        <v>2050.5833333333335</v>
      </c>
      <c r="G423" s="485" t="str">
        <f>IF(OR(C423&lt;$I$2,C423&gt;$J$3),"",(ii!$D$13*12+V423+1)/12)</f>
        <v/>
      </c>
      <c r="H423" s="486"/>
      <c r="I423" s="486"/>
      <c r="J423" s="487"/>
      <c r="K423" s="488"/>
      <c r="L423" s="548"/>
      <c r="M423" s="489" t="str">
        <f t="shared" si="105"/>
        <v/>
      </c>
      <c r="N423" s="490" t="s">
        <v>621</v>
      </c>
      <c r="O423" s="490" t="str">
        <f t="shared" si="98"/>
        <v/>
      </c>
      <c r="P423" s="491"/>
      <c r="Q423" s="491"/>
      <c r="R423" s="491" t="str">
        <f t="shared" si="99"/>
        <v/>
      </c>
      <c r="S423" s="528" t="str">
        <f t="shared" si="97"/>
        <v/>
      </c>
      <c r="T423" s="528" t="str">
        <f t="shared" si="95"/>
        <v/>
      </c>
      <c r="U423" s="493" t="str">
        <f>IF(H423="","",#REF!*12+#REF!+#REF!*12+#REF!)</f>
        <v/>
      </c>
      <c r="V423" s="338">
        <f>IF(ii!$J$3&gt;gg!C423,"",IF(AND((YEAR(C423)=YEAR($I$2)),MONTH(C423)=MONTH($I$2)),ii!$B$14*12+ii!$C$14+ii!$B$15*12+ii!$C$15-1,V422+1))</f>
        <v>316</v>
      </c>
      <c r="W423" s="339">
        <f t="shared" si="102"/>
        <v>26.333333333333332</v>
      </c>
      <c r="X423" s="494" t="s">
        <v>621</v>
      </c>
      <c r="Y423" s="495" t="s">
        <v>621</v>
      </c>
      <c r="Z423" s="496"/>
      <c r="AA423" s="497"/>
      <c r="AB423" s="498" t="e">
        <f t="shared" si="108"/>
        <v>#VALUE!</v>
      </c>
      <c r="AC423" s="484" t="str">
        <f t="shared" si="106"/>
        <v/>
      </c>
      <c r="AD423" s="495" t="str">
        <f t="shared" si="107"/>
        <v/>
      </c>
      <c r="AE423" s="499" t="s">
        <v>621</v>
      </c>
      <c r="AF423" s="500" t="s">
        <v>621</v>
      </c>
      <c r="AG423" s="556" t="s">
        <v>621</v>
      </c>
      <c r="AH423" s="503" t="str">
        <f>IF($G423="","",IF(AND($G423&gt;=30,$AT$3&lt;=AG$7),ROUND(AG423*($AP$3+#REF!),-1),""))</f>
        <v/>
      </c>
      <c r="AI423" s="506" t="s">
        <v>621</v>
      </c>
      <c r="AJ423" s="503" t="str">
        <f>IF($G423="","",IF(AND($G423&gt;=30,$AT$3&lt;=AI$7),ROUND(AI423*($AP$3+#REF!),-1),""))</f>
        <v/>
      </c>
      <c r="AK423" s="506" t="s">
        <v>621</v>
      </c>
      <c r="AL423" s="503" t="str">
        <f>IF($G423="","",IF(AND($G423&gt;=30,$AT$3&lt;=AK$7),ROUND(AK423*($AP$3+#REF!),-1),""))</f>
        <v/>
      </c>
      <c r="AM423" s="506" t="s">
        <v>621</v>
      </c>
      <c r="AN423" s="503" t="str">
        <f>IF($G423="","",IF(AND($G423&gt;=30,$AT$3&lt;=AM$7),ROUND(AM423*($AP$3+#REF!),-1),""))</f>
        <v/>
      </c>
      <c r="AO423" s="503" t="e">
        <v>#REF!</v>
      </c>
      <c r="AP423" s="503" t="str">
        <f>IF($G423="","",IF(AND($G423&gt;=30,$AT$3&lt;=AO$7),ROUND(AO423*($AP$3+#REF!),-1),""))</f>
        <v/>
      </c>
      <c r="AQ423" s="503" t="s">
        <v>621</v>
      </c>
      <c r="AR423" s="503" t="str">
        <f>IF($G423="","",IF(AND($G423&gt;=30,$AT$3&lt;=AQ$7),ROUND(AQ423*($AP$3+#REF!),-1),""))</f>
        <v/>
      </c>
      <c r="AS423" s="503" t="s">
        <v>621</v>
      </c>
      <c r="AT423" s="503" t="str">
        <f>IF($G423="","",IF(AND($G423&gt;=30,$AT$3&lt;=AS$7),ROUND(AS423*($AP$3+#REF!),-1),""))</f>
        <v/>
      </c>
      <c r="AU423" s="503" t="s">
        <v>621</v>
      </c>
      <c r="AV423" s="503" t="str">
        <f>IF($G423="","",IF(AND($G423&gt;=30,$AT$3&lt;=AU$7),ROUND(AU423*($AP$3+#REF!),-1),""))</f>
        <v/>
      </c>
      <c r="AW423" s="503" t="s">
        <v>621</v>
      </c>
      <c r="AX423" s="503" t="str">
        <f>IF($G423="","",IF(AND($G423&gt;=30,$AT$3&lt;=AW$7),ROUND(AW423*($AP$3+#REF!),-1),""))</f>
        <v/>
      </c>
      <c r="AY423" s="503" t="s">
        <v>621</v>
      </c>
      <c r="AZ423" s="503" t="str">
        <f>IF($G423="","",IF(AND($G423&gt;=30,$AT$3&lt;=AY$7),ROUND(AY423*($AP$3+#REF!),-1),""))</f>
        <v/>
      </c>
      <c r="BA423" s="503" t="s">
        <v>621</v>
      </c>
      <c r="BB423" s="503" t="str">
        <f>IF($G423="","",IF(AND($G423&gt;=30,$AT$3&lt;=BA$7),ROUND(BA423*($AP$3+#REF!),-1),""))</f>
        <v/>
      </c>
      <c r="BC423" s="503" t="s">
        <v>621</v>
      </c>
      <c r="BD423" s="503" t="str">
        <f>IF($G423="","",IF(AND($G423&gt;=30,$AT$3&lt;=BC$7),ROUND(BC423*($AP$3+#REF!),-1),""))</f>
        <v/>
      </c>
      <c r="BE423" s="503" t="s">
        <v>621</v>
      </c>
      <c r="BF423" s="503" t="str">
        <f>IF($G423="","",IF(AND($G423&gt;=30,$AT$3&lt;=BE$7),ROUND(BE423*($AP$3+#REF!),-1),""))</f>
        <v/>
      </c>
      <c r="BG423" s="503" t="s">
        <v>621</v>
      </c>
      <c r="BH423" s="503" t="str">
        <f>IF($G423="","",IF(AND($G423&gt;=30,$AT$3&lt;=BG$7),ROUND(BG423*($AP$3+#REF!),-1),""))</f>
        <v/>
      </c>
      <c r="BI423" s="503" t="s">
        <v>621</v>
      </c>
      <c r="BJ423" s="503" t="str">
        <f>IF($G423="","",IF(AND($G423&gt;=30,$AT$3&lt;=BI$7),ROUND(BI423*($AP$3+#REF!),-1),""))</f>
        <v/>
      </c>
      <c r="BK423" s="503" t="s">
        <v>621</v>
      </c>
      <c r="BL423" s="503" t="str">
        <f>IF($G423="","",IF(AND($G423&gt;=30,$AT$3&lt;=BK$7),ROUND(BK423*($AP$3+#REF!),-1),""))</f>
        <v/>
      </c>
      <c r="BM423" s="503" t="s">
        <v>621</v>
      </c>
      <c r="BN423" s="503" t="str">
        <f>IF($G423="","",IF(AND($G423&gt;=30,$AT$3&lt;=BM$7),ROUND(BM423*($AP$3+#REF!),-1),""))</f>
        <v/>
      </c>
      <c r="BO423" s="503" t="s">
        <v>621</v>
      </c>
      <c r="BP423" s="503" t="str">
        <f>IF($G423="","",IF(AND($G423&gt;=30,$AT$3&lt;=BO$7),ROUND(BO423*($AP$3+#REF!),-1),""))</f>
        <v/>
      </c>
      <c r="BQ423" s="503" t="s">
        <v>621</v>
      </c>
      <c r="BR423" s="503" t="str">
        <f>IF($G423="","",IF(AND($G423&gt;=30,$AT$3&lt;=BQ$7),ROUND(BQ423*($AP$3+#REF!),-1),""))</f>
        <v/>
      </c>
      <c r="BS423" s="503" t="s">
        <v>621</v>
      </c>
      <c r="BT423" s="503" t="str">
        <f>IF($G423="","",IF(AND($G423&gt;=30,$AT$3&lt;=BS$7),ROUND(BS423*($AP$3+#REF!),-1),""))</f>
        <v/>
      </c>
      <c r="BU423" s="503" t="s">
        <v>621</v>
      </c>
      <c r="BV423" s="503" t="str">
        <f>IF($G423="","",IF(AND($G423&gt;=30,$AT$3&lt;=BU$7),ROUND(BU423*($AP$3+#REF!),-1),""))</f>
        <v/>
      </c>
      <c r="BW423" s="503" t="s">
        <v>621</v>
      </c>
      <c r="BX423" s="503" t="str">
        <f>IF($G423="","",IF(AND($G423&gt;=30,$AT$3&lt;=BW$7),ROUND(BW423*($AP$3+#REF!),-1),""))</f>
        <v/>
      </c>
      <c r="BY423" s="503" t="s">
        <v>621</v>
      </c>
      <c r="BZ423" s="503" t="str">
        <f>IF($G423="","",IF(AND($G423&gt;=30,$AT$3&lt;=BY$7),ROUND(BY423*($AP$3+#REF!),-1),""))</f>
        <v/>
      </c>
      <c r="CA423" s="503" t="s">
        <v>621</v>
      </c>
      <c r="CB423" s="503" t="str">
        <f>IF($G423="","",IF(AND($G423&gt;=30,$AT$3&lt;=CA$7),ROUND(CA423*($AP$3+#REF!),-1),""))</f>
        <v/>
      </c>
      <c r="CC423" s="503" t="s">
        <v>621</v>
      </c>
      <c r="CD423" s="503" t="str">
        <f>IF($G423="","",IF(AND($G423&gt;=30,$AT$3&lt;=CC$7),ROUND(CC423*($AP$3+#REF!),-1),""))</f>
        <v/>
      </c>
      <c r="CE423" s="503" t="s">
        <v>621</v>
      </c>
      <c r="CF423" s="503" t="str">
        <f>IF($G423="","",IF(AND($G423&gt;=30,$AT$3&lt;=CE$7),ROUND(CE423*($AP$3+#REF!),-1),""))</f>
        <v/>
      </c>
      <c r="CG423" s="503" t="s">
        <v>621</v>
      </c>
      <c r="CH423" s="503" t="str">
        <f>IF($G423="","",IF(AND($G423&gt;=30,$AT$3&lt;=CG$7),ROUND(CG423*($AP$3+#REF!),-1),""))</f>
        <v/>
      </c>
      <c r="CI423" s="503" t="s">
        <v>621</v>
      </c>
      <c r="CJ423" s="503" t="str">
        <f>IF($G423="","",IF(AND($G423&gt;=30,$AT$3&lt;=CI$7),ROUND(CI423*($AP$3+#REF!),-1),""))</f>
        <v/>
      </c>
      <c r="CK423" s="503" t="s">
        <v>621</v>
      </c>
      <c r="CL423" s="503" t="str">
        <f>IF($G423="","",IF(AND($G423&gt;=30,$AT$3&lt;=CK$7),ROUND(CK423*($AP$3+#REF!),-1),""))</f>
        <v/>
      </c>
      <c r="CM423" s="503" t="s">
        <v>621</v>
      </c>
      <c r="CN423" s="503" t="str">
        <f>IF($G423="","",IF(AND($G423&gt;=30,$AT$3&lt;=CM$7),ROUND(CM423*($AP$3+#REF!),-1),""))</f>
        <v/>
      </c>
      <c r="CO423" s="503" t="s">
        <v>621</v>
      </c>
      <c r="CP423" s="503" t="str">
        <f>IF($G423="","",IF(AND($G423&gt;=30,$AT$3&lt;=CO$7),ROUND(CO423*($AP$3+#REF!),-1),""))</f>
        <v/>
      </c>
      <c r="CQ423" s="503" t="s">
        <v>621</v>
      </c>
      <c r="CR423" s="503" t="str">
        <f>IF($G423="","",IF(AND($G423&gt;=30,$AT$3&lt;=CQ$7),ROUND(CQ423*($AP$3+#REF!),-1),""))</f>
        <v/>
      </c>
      <c r="CS423" s="503" t="s">
        <v>621</v>
      </c>
      <c r="CT423" s="503" t="str">
        <f>IF($G423="","",IF(AND($G423&gt;=30,$AT$3&lt;=CS$7),ROUND(CS423*($AP$3+#REF!),-1),""))</f>
        <v/>
      </c>
      <c r="CU423" s="503" t="s">
        <v>621</v>
      </c>
      <c r="CV423" s="503" t="str">
        <f>IF($G423="","",IF(AND($G423&gt;=30,$AT$3&lt;=CU$7),ROUND(CU423*($AP$3+#REF!),-1),""))</f>
        <v/>
      </c>
      <c r="CW423" s="517" t="e">
        <v>#REF!</v>
      </c>
      <c r="CX423" s="503" t="str">
        <f>IF($G423="","",IF(AND($G423&gt;=30,$AT$3&lt;=CW$7),ROUND(CW423*($AP$3+#REF!),-1),""))</f>
        <v/>
      </c>
      <c r="CY423" s="517"/>
      <c r="CZ423" s="503" t="str">
        <f>IF($G423="","",IF(AND($G423&gt;=30,$AT$3&lt;=CY$7),ROUND(CY423*($AP$3+#REF!),-1),""))</f>
        <v/>
      </c>
      <c r="DA423" s="517"/>
      <c r="DB423" s="503" t="str">
        <f>IF($G423="","",IF(AND($G423&gt;=30,$AT$3&lt;=DA$7),ROUND(DA423*($AP$3+#REF!),-1),""))</f>
        <v/>
      </c>
      <c r="DC423" s="517"/>
      <c r="DD423" s="503" t="str">
        <f>IF($G423="","",IF(AND($G423&gt;=30,$AT$3&lt;=DC$7),ROUND(DC423*($AP$3+#REF!),-1),""))</f>
        <v/>
      </c>
      <c r="DE423" s="517"/>
      <c r="DF423" s="503" t="str">
        <f>IF($G423="","",IF(AND($G423&gt;=30,$AT$3&lt;=DE$7),ROUND(DE423*($AP$3+#REF!),-1),""))</f>
        <v/>
      </c>
      <c r="DG423" s="517"/>
      <c r="DH423" s="503" t="str">
        <f>IF($G423="","",IF(AND($G423&gt;=30,$AT$3&lt;=DG$7),ROUND(DG423*($AP$3+#REF!),-1),""))</f>
        <v/>
      </c>
      <c r="DI423" s="517"/>
      <c r="DJ423" s="503" t="str">
        <f>IF($G423="","",IF(AND($G423&gt;=30,$AT$3&lt;=DI$7),ROUND(DI423*($AP$3+#REF!),-1),""))</f>
        <v/>
      </c>
      <c r="DK423" s="517"/>
      <c r="DL423" s="503" t="str">
        <f>IF($G423="","",IF(AND($G423&gt;=30,$AT$3&lt;=DK$7),ROUND(DK423*($AP$3+#REF!),-1),""))</f>
        <v/>
      </c>
      <c r="DM423" s="517"/>
      <c r="DN423" s="503" t="str">
        <f>IF($G423="","",IF(AND($G423&gt;=30,$AT$3&lt;=DM$7),ROUND(DM423*($AP$3+#REF!),-1),""))</f>
        <v/>
      </c>
      <c r="DO423" s="517"/>
      <c r="DP423" s="503" t="str">
        <f>IF($G423="","",IF(AND($G423&gt;=30,$AT$3&lt;=DO$7),ROUND(DO423*($AP$3+#REF!),-1),""))</f>
        <v/>
      </c>
      <c r="DQ423" s="517"/>
      <c r="DR423" s="503" t="str">
        <f>IF($G423="","",IF(AND($G423&gt;=30,$AT$3&lt;=DQ$7),ROUND(DQ423*($AP$3+#REF!),-1),""))</f>
        <v/>
      </c>
      <c r="DS423" s="517"/>
      <c r="DT423" s="503" t="str">
        <f>IF($G423="","",IF(AND($G423&gt;=30,$AT$3&lt;=DS$7),ROUND(DS423*($AP$3+#REF!),-1),""))</f>
        <v/>
      </c>
      <c r="DU423" s="517"/>
      <c r="DV423" s="503" t="str">
        <f>IF($G423="","",IF(AND($G423&gt;=30,$AT$3&lt;=DU$7),ROUND(DU423*($AP$3+#REF!),-1),""))</f>
        <v/>
      </c>
      <c r="DW423" s="517"/>
      <c r="DX423" s="503" t="str">
        <f>IF($G423="","",IF(AND($G423&gt;=30,$AT$3&lt;=DW$7),ROUND(DW423*($AP$3+#REF!),-1),""))</f>
        <v/>
      </c>
      <c r="DY423" s="517"/>
      <c r="DZ423" s="503" t="str">
        <f>IF($G423="","",IF(AND($G423&gt;=30,$AT$3&lt;=DY$7),ROUND(DY423*($AP$3+#REF!),-1),""))</f>
        <v/>
      </c>
      <c r="EA423" s="517"/>
      <c r="EB423" s="503" t="str">
        <f>IF($G423="","",IF(AND($G423&gt;=30,$AT$3&lt;=EA$7),ROUND(EA423*($AP$3+#REF!),-1),""))</f>
        <v/>
      </c>
      <c r="EC423" s="504" t="s">
        <v>621</v>
      </c>
      <c r="ED423" s="1124"/>
      <c r="EE423" s="325">
        <v>7</v>
      </c>
    </row>
    <row r="424" spans="1:135" ht="9.75" customHeight="1">
      <c r="A424" s="321" t="str">
        <f t="shared" si="96"/>
        <v/>
      </c>
      <c r="B424" s="567">
        <f>(ii!$D$13*12+V424)+1</f>
        <v>318</v>
      </c>
      <c r="C424" s="337">
        <f t="shared" si="100"/>
        <v>55031</v>
      </c>
      <c r="D424" s="484">
        <f t="shared" si="103"/>
        <v>2050</v>
      </c>
      <c r="E424" s="484">
        <f t="shared" si="101"/>
        <v>0.66666666666666663</v>
      </c>
      <c r="F424" s="484">
        <f t="shared" si="104"/>
        <v>2050.6666666666665</v>
      </c>
      <c r="G424" s="485" t="str">
        <f>IF(OR(C424&lt;$I$2,C424&gt;$J$3),"",(ii!$D$13*12+V424+1)/12)</f>
        <v/>
      </c>
      <c r="H424" s="486"/>
      <c r="I424" s="486"/>
      <c r="J424" s="487"/>
      <c r="K424" s="488"/>
      <c r="L424" s="548"/>
      <c r="M424" s="489" t="str">
        <f t="shared" si="105"/>
        <v/>
      </c>
      <c r="N424" s="490" t="s">
        <v>621</v>
      </c>
      <c r="O424" s="490" t="str">
        <f t="shared" si="98"/>
        <v/>
      </c>
      <c r="P424" s="491"/>
      <c r="Q424" s="491"/>
      <c r="R424" s="491" t="str">
        <f t="shared" si="99"/>
        <v/>
      </c>
      <c r="S424" s="528" t="str">
        <f t="shared" si="97"/>
        <v/>
      </c>
      <c r="T424" s="528" t="str">
        <f t="shared" si="95"/>
        <v/>
      </c>
      <c r="U424" s="493" t="str">
        <f>IF(H424="","",#REF!*12+#REF!+#REF!*12+#REF!)</f>
        <v/>
      </c>
      <c r="V424" s="338">
        <f>IF(ii!$J$3&gt;gg!C424,"",IF(AND((YEAR(C424)=YEAR($I$2)),MONTH(C424)=MONTH($I$2)),ii!$B$14*12+ii!$C$14+ii!$B$15*12+ii!$C$15-1,V423+1))</f>
        <v>317</v>
      </c>
      <c r="W424" s="339">
        <f t="shared" si="102"/>
        <v>26.416666666666668</v>
      </c>
      <c r="X424" s="494" t="s">
        <v>621</v>
      </c>
      <c r="Y424" s="495" t="s">
        <v>621</v>
      </c>
      <c r="Z424" s="496"/>
      <c r="AA424" s="497"/>
      <c r="AB424" s="498" t="e">
        <f t="shared" si="108"/>
        <v>#VALUE!</v>
      </c>
      <c r="AC424" s="484" t="str">
        <f t="shared" si="106"/>
        <v/>
      </c>
      <c r="AD424" s="495" t="str">
        <f t="shared" si="107"/>
        <v/>
      </c>
      <c r="AE424" s="499" t="s">
        <v>621</v>
      </c>
      <c r="AF424" s="500" t="s">
        <v>621</v>
      </c>
      <c r="AG424" s="556" t="s">
        <v>621</v>
      </c>
      <c r="AH424" s="503" t="str">
        <f>IF($G424="","",IF(AND($G424&gt;=30,$AT$3&lt;=AG$7),ROUND(AG424*($AP$3+#REF!),-1),""))</f>
        <v/>
      </c>
      <c r="AI424" s="506" t="s">
        <v>621</v>
      </c>
      <c r="AJ424" s="503" t="str">
        <f>IF($G424="","",IF(AND($G424&gt;=30,$AT$3&lt;=AI$7),ROUND(AI424*($AP$3+#REF!),-1),""))</f>
        <v/>
      </c>
      <c r="AK424" s="506" t="s">
        <v>621</v>
      </c>
      <c r="AL424" s="503" t="str">
        <f>IF($G424="","",IF(AND($G424&gt;=30,$AT$3&lt;=AK$7),ROUND(AK424*($AP$3+#REF!),-1),""))</f>
        <v/>
      </c>
      <c r="AM424" s="506" t="s">
        <v>621</v>
      </c>
      <c r="AN424" s="503" t="str">
        <f>IF($G424="","",IF(AND($G424&gt;=30,$AT$3&lt;=AM$7),ROUND(AM424*($AP$3+#REF!),-1),""))</f>
        <v/>
      </c>
      <c r="AO424" s="503" t="e">
        <v>#REF!</v>
      </c>
      <c r="AP424" s="503" t="str">
        <f>IF($G424="","",IF(AND($G424&gt;=30,$AT$3&lt;=AO$7),ROUND(AO424*($AP$3+#REF!),-1),""))</f>
        <v/>
      </c>
      <c r="AQ424" s="503" t="s">
        <v>621</v>
      </c>
      <c r="AR424" s="503" t="str">
        <f>IF($G424="","",IF(AND($G424&gt;=30,$AT$3&lt;=AQ$7),ROUND(AQ424*($AP$3+#REF!),-1),""))</f>
        <v/>
      </c>
      <c r="AS424" s="503" t="s">
        <v>621</v>
      </c>
      <c r="AT424" s="503" t="str">
        <f>IF($G424="","",IF(AND($G424&gt;=30,$AT$3&lt;=AS$7),ROUND(AS424*($AP$3+#REF!),-1),""))</f>
        <v/>
      </c>
      <c r="AU424" s="503" t="s">
        <v>621</v>
      </c>
      <c r="AV424" s="503" t="str">
        <f>IF($G424="","",IF(AND($G424&gt;=30,$AT$3&lt;=AU$7),ROUND(AU424*($AP$3+#REF!),-1),""))</f>
        <v/>
      </c>
      <c r="AW424" s="503" t="s">
        <v>621</v>
      </c>
      <c r="AX424" s="503" t="str">
        <f>IF($G424="","",IF(AND($G424&gt;=30,$AT$3&lt;=AW$7),ROUND(AW424*($AP$3+#REF!),-1),""))</f>
        <v/>
      </c>
      <c r="AY424" s="503" t="s">
        <v>621</v>
      </c>
      <c r="AZ424" s="503" t="str">
        <f>IF($G424="","",IF(AND($G424&gt;=30,$AT$3&lt;=AY$7),ROUND(AY424*($AP$3+#REF!),-1),""))</f>
        <v/>
      </c>
      <c r="BA424" s="503" t="s">
        <v>621</v>
      </c>
      <c r="BB424" s="503" t="str">
        <f>IF($G424="","",IF(AND($G424&gt;=30,$AT$3&lt;=BA$7),ROUND(BA424*($AP$3+#REF!),-1),""))</f>
        <v/>
      </c>
      <c r="BC424" s="503" t="s">
        <v>621</v>
      </c>
      <c r="BD424" s="503" t="str">
        <f>IF($G424="","",IF(AND($G424&gt;=30,$AT$3&lt;=BC$7),ROUND(BC424*($AP$3+#REF!),-1),""))</f>
        <v/>
      </c>
      <c r="BE424" s="503" t="s">
        <v>621</v>
      </c>
      <c r="BF424" s="503" t="str">
        <f>IF($G424="","",IF(AND($G424&gt;=30,$AT$3&lt;=BE$7),ROUND(BE424*($AP$3+#REF!),-1),""))</f>
        <v/>
      </c>
      <c r="BG424" s="503" t="s">
        <v>621</v>
      </c>
      <c r="BH424" s="503" t="str">
        <f>IF($G424="","",IF(AND($G424&gt;=30,$AT$3&lt;=BG$7),ROUND(BG424*($AP$3+#REF!),-1),""))</f>
        <v/>
      </c>
      <c r="BI424" s="503" t="s">
        <v>621</v>
      </c>
      <c r="BJ424" s="503" t="str">
        <f>IF($G424="","",IF(AND($G424&gt;=30,$AT$3&lt;=BI$7),ROUND(BI424*($AP$3+#REF!),-1),""))</f>
        <v/>
      </c>
      <c r="BK424" s="503" t="s">
        <v>621</v>
      </c>
      <c r="BL424" s="503" t="str">
        <f>IF($G424="","",IF(AND($G424&gt;=30,$AT$3&lt;=BK$7),ROUND(BK424*($AP$3+#REF!),-1),""))</f>
        <v/>
      </c>
      <c r="BM424" s="503" t="s">
        <v>621</v>
      </c>
      <c r="BN424" s="503" t="str">
        <f>IF($G424="","",IF(AND($G424&gt;=30,$AT$3&lt;=BM$7),ROUND(BM424*($AP$3+#REF!),-1),""))</f>
        <v/>
      </c>
      <c r="BO424" s="503" t="s">
        <v>621</v>
      </c>
      <c r="BP424" s="503" t="str">
        <f>IF($G424="","",IF(AND($G424&gt;=30,$AT$3&lt;=BO$7),ROUND(BO424*($AP$3+#REF!),-1),""))</f>
        <v/>
      </c>
      <c r="BQ424" s="503" t="s">
        <v>621</v>
      </c>
      <c r="BR424" s="503" t="str">
        <f>IF($G424="","",IF(AND($G424&gt;=30,$AT$3&lt;=BQ$7),ROUND(BQ424*($AP$3+#REF!),-1),""))</f>
        <v/>
      </c>
      <c r="BS424" s="503" t="s">
        <v>621</v>
      </c>
      <c r="BT424" s="503" t="str">
        <f>IF($G424="","",IF(AND($G424&gt;=30,$AT$3&lt;=BS$7),ROUND(BS424*($AP$3+#REF!),-1),""))</f>
        <v/>
      </c>
      <c r="BU424" s="503" t="s">
        <v>621</v>
      </c>
      <c r="BV424" s="503" t="str">
        <f>IF($G424="","",IF(AND($G424&gt;=30,$AT$3&lt;=BU$7),ROUND(BU424*($AP$3+#REF!),-1),""))</f>
        <v/>
      </c>
      <c r="BW424" s="503" t="s">
        <v>621</v>
      </c>
      <c r="BX424" s="503" t="str">
        <f>IF($G424="","",IF(AND($G424&gt;=30,$AT$3&lt;=BW$7),ROUND(BW424*($AP$3+#REF!),-1),""))</f>
        <v/>
      </c>
      <c r="BY424" s="503" t="s">
        <v>621</v>
      </c>
      <c r="BZ424" s="503" t="str">
        <f>IF($G424="","",IF(AND($G424&gt;=30,$AT$3&lt;=BY$7),ROUND(BY424*($AP$3+#REF!),-1),""))</f>
        <v/>
      </c>
      <c r="CA424" s="503" t="s">
        <v>621</v>
      </c>
      <c r="CB424" s="503" t="str">
        <f>IF($G424="","",IF(AND($G424&gt;=30,$AT$3&lt;=CA$7),ROUND(CA424*($AP$3+#REF!),-1),""))</f>
        <v/>
      </c>
      <c r="CC424" s="503" t="s">
        <v>621</v>
      </c>
      <c r="CD424" s="503" t="str">
        <f>IF($G424="","",IF(AND($G424&gt;=30,$AT$3&lt;=CC$7),ROUND(CC424*($AP$3+#REF!),-1),""))</f>
        <v/>
      </c>
      <c r="CE424" s="503" t="s">
        <v>621</v>
      </c>
      <c r="CF424" s="503" t="str">
        <f>IF($G424="","",IF(AND($G424&gt;=30,$AT$3&lt;=CE$7),ROUND(CE424*($AP$3+#REF!),-1),""))</f>
        <v/>
      </c>
      <c r="CG424" s="503" t="s">
        <v>621</v>
      </c>
      <c r="CH424" s="503" t="str">
        <f>IF($G424="","",IF(AND($G424&gt;=30,$AT$3&lt;=CG$7),ROUND(CG424*($AP$3+#REF!),-1),""))</f>
        <v/>
      </c>
      <c r="CI424" s="503" t="s">
        <v>621</v>
      </c>
      <c r="CJ424" s="503" t="str">
        <f>IF($G424="","",IF(AND($G424&gt;=30,$AT$3&lt;=CI$7),ROUND(CI424*($AP$3+#REF!),-1),""))</f>
        <v/>
      </c>
      <c r="CK424" s="503" t="s">
        <v>621</v>
      </c>
      <c r="CL424" s="503" t="str">
        <f>IF($G424="","",IF(AND($G424&gt;=30,$AT$3&lt;=CK$7),ROUND(CK424*($AP$3+#REF!),-1),""))</f>
        <v/>
      </c>
      <c r="CM424" s="503" t="s">
        <v>621</v>
      </c>
      <c r="CN424" s="503" t="str">
        <f>IF($G424="","",IF(AND($G424&gt;=30,$AT$3&lt;=CM$7),ROUND(CM424*($AP$3+#REF!),-1),""))</f>
        <v/>
      </c>
      <c r="CO424" s="503" t="s">
        <v>621</v>
      </c>
      <c r="CP424" s="503" t="str">
        <f>IF($G424="","",IF(AND($G424&gt;=30,$AT$3&lt;=CO$7),ROUND(CO424*($AP$3+#REF!),-1),""))</f>
        <v/>
      </c>
      <c r="CQ424" s="503" t="s">
        <v>621</v>
      </c>
      <c r="CR424" s="503" t="str">
        <f>IF($G424="","",IF(AND($G424&gt;=30,$AT$3&lt;=CQ$7),ROUND(CQ424*($AP$3+#REF!),-1),""))</f>
        <v/>
      </c>
      <c r="CS424" s="503" t="s">
        <v>621</v>
      </c>
      <c r="CT424" s="503" t="str">
        <f>IF($G424="","",IF(AND($G424&gt;=30,$AT$3&lt;=CS$7),ROUND(CS424*($AP$3+#REF!),-1),""))</f>
        <v/>
      </c>
      <c r="CU424" s="503" t="s">
        <v>621</v>
      </c>
      <c r="CV424" s="503" t="str">
        <f>IF($G424="","",IF(AND($G424&gt;=30,$AT$3&lt;=CU$7),ROUND(CU424*($AP$3+#REF!),-1),""))</f>
        <v/>
      </c>
      <c r="CW424" s="517" t="e">
        <v>#REF!</v>
      </c>
      <c r="CX424" s="503" t="str">
        <f>IF($G424="","",IF(AND($G424&gt;=30,$AT$3&lt;=CW$7),ROUND(CW424*($AP$3+#REF!),-1),""))</f>
        <v/>
      </c>
      <c r="CY424" s="517"/>
      <c r="CZ424" s="503" t="str">
        <f>IF($G424="","",IF(AND($G424&gt;=30,$AT$3&lt;=CY$7),ROUND(CY424*($AP$3+#REF!),-1),""))</f>
        <v/>
      </c>
      <c r="DA424" s="517"/>
      <c r="DB424" s="503" t="str">
        <f>IF($G424="","",IF(AND($G424&gt;=30,$AT$3&lt;=DA$7),ROUND(DA424*($AP$3+#REF!),-1),""))</f>
        <v/>
      </c>
      <c r="DC424" s="517"/>
      <c r="DD424" s="503" t="str">
        <f>IF($G424="","",IF(AND($G424&gt;=30,$AT$3&lt;=DC$7),ROUND(DC424*($AP$3+#REF!),-1),""))</f>
        <v/>
      </c>
      <c r="DE424" s="517"/>
      <c r="DF424" s="503" t="str">
        <f>IF($G424="","",IF(AND($G424&gt;=30,$AT$3&lt;=DE$7),ROUND(DE424*($AP$3+#REF!),-1),""))</f>
        <v/>
      </c>
      <c r="DG424" s="517"/>
      <c r="DH424" s="503" t="str">
        <f>IF($G424="","",IF(AND($G424&gt;=30,$AT$3&lt;=DG$7),ROUND(DG424*($AP$3+#REF!),-1),""))</f>
        <v/>
      </c>
      <c r="DI424" s="517"/>
      <c r="DJ424" s="503" t="str">
        <f>IF($G424="","",IF(AND($G424&gt;=30,$AT$3&lt;=DI$7),ROUND(DI424*($AP$3+#REF!),-1),""))</f>
        <v/>
      </c>
      <c r="DK424" s="517"/>
      <c r="DL424" s="503" t="str">
        <f>IF($G424="","",IF(AND($G424&gt;=30,$AT$3&lt;=DK$7),ROUND(DK424*($AP$3+#REF!),-1),""))</f>
        <v/>
      </c>
      <c r="DM424" s="517"/>
      <c r="DN424" s="503" t="str">
        <f>IF($G424="","",IF(AND($G424&gt;=30,$AT$3&lt;=DM$7),ROUND(DM424*($AP$3+#REF!),-1),""))</f>
        <v/>
      </c>
      <c r="DO424" s="517"/>
      <c r="DP424" s="503" t="str">
        <f>IF($G424="","",IF(AND($G424&gt;=30,$AT$3&lt;=DO$7),ROUND(DO424*($AP$3+#REF!),-1),""))</f>
        <v/>
      </c>
      <c r="DQ424" s="517"/>
      <c r="DR424" s="503" t="str">
        <f>IF($G424="","",IF(AND($G424&gt;=30,$AT$3&lt;=DQ$7),ROUND(DQ424*($AP$3+#REF!),-1),""))</f>
        <v/>
      </c>
      <c r="DS424" s="517"/>
      <c r="DT424" s="503" t="str">
        <f>IF($G424="","",IF(AND($G424&gt;=30,$AT$3&lt;=DS$7),ROUND(DS424*($AP$3+#REF!),-1),""))</f>
        <v/>
      </c>
      <c r="DU424" s="517"/>
      <c r="DV424" s="503" t="str">
        <f>IF($G424="","",IF(AND($G424&gt;=30,$AT$3&lt;=DU$7),ROUND(DU424*($AP$3+#REF!),-1),""))</f>
        <v/>
      </c>
      <c r="DW424" s="517"/>
      <c r="DX424" s="503" t="str">
        <f>IF($G424="","",IF(AND($G424&gt;=30,$AT$3&lt;=DW$7),ROUND(DW424*($AP$3+#REF!),-1),""))</f>
        <v/>
      </c>
      <c r="DY424" s="517"/>
      <c r="DZ424" s="503" t="str">
        <f>IF($G424="","",IF(AND($G424&gt;=30,$AT$3&lt;=DY$7),ROUND(DY424*($AP$3+#REF!),-1),""))</f>
        <v/>
      </c>
      <c r="EA424" s="517"/>
      <c r="EB424" s="503" t="str">
        <f>IF($G424="","",IF(AND($G424&gt;=30,$AT$3&lt;=EA$7),ROUND(EA424*($AP$3+#REF!),-1),""))</f>
        <v/>
      </c>
      <c r="EC424" s="504" t="s">
        <v>621</v>
      </c>
      <c r="ED424" s="1124"/>
      <c r="EE424" s="325">
        <v>8</v>
      </c>
    </row>
    <row r="425" spans="1:135" ht="9.75" customHeight="1">
      <c r="A425" s="321" t="str">
        <f t="shared" si="96"/>
        <v/>
      </c>
      <c r="B425" s="567">
        <f>(ii!$D$13*12+V425)+1</f>
        <v>319</v>
      </c>
      <c r="C425" s="337">
        <f t="shared" si="100"/>
        <v>55061</v>
      </c>
      <c r="D425" s="484">
        <f t="shared" si="103"/>
        <v>2050</v>
      </c>
      <c r="E425" s="484">
        <f t="shared" si="101"/>
        <v>0.75</v>
      </c>
      <c r="F425" s="484">
        <f t="shared" si="104"/>
        <v>2050.75</v>
      </c>
      <c r="G425" s="485" t="str">
        <f>IF(OR(C425&lt;$I$2,C425&gt;$J$3),"",(ii!$D$13*12+V425+1)/12)</f>
        <v/>
      </c>
      <c r="H425" s="486"/>
      <c r="I425" s="486"/>
      <c r="J425" s="487"/>
      <c r="K425" s="488"/>
      <c r="L425" s="548"/>
      <c r="M425" s="489" t="str">
        <f t="shared" si="105"/>
        <v/>
      </c>
      <c r="N425" s="490" t="s">
        <v>621</v>
      </c>
      <c r="O425" s="490" t="str">
        <f t="shared" si="98"/>
        <v/>
      </c>
      <c r="P425" s="491"/>
      <c r="Q425" s="491"/>
      <c r="R425" s="491" t="str">
        <f t="shared" si="99"/>
        <v/>
      </c>
      <c r="S425" s="528" t="str">
        <f t="shared" si="97"/>
        <v/>
      </c>
      <c r="T425" s="528" t="str">
        <f t="shared" si="95"/>
        <v/>
      </c>
      <c r="U425" s="493" t="str">
        <f>IF(H425="","",#REF!*12+#REF!+#REF!*12+#REF!)</f>
        <v/>
      </c>
      <c r="V425" s="338">
        <f>IF(ii!$J$3&gt;gg!C425,"",IF(AND((YEAR(C425)=YEAR($I$2)),MONTH(C425)=MONTH($I$2)),ii!$B$14*12+ii!$C$14+ii!$B$15*12+ii!$C$15-1,V424+1))</f>
        <v>318</v>
      </c>
      <c r="W425" s="339">
        <f t="shared" si="102"/>
        <v>26.5</v>
      </c>
      <c r="X425" s="494" t="s">
        <v>621</v>
      </c>
      <c r="Y425" s="495" t="s">
        <v>621</v>
      </c>
      <c r="Z425" s="496"/>
      <c r="AA425" s="497"/>
      <c r="AB425" s="498" t="e">
        <f t="shared" si="108"/>
        <v>#VALUE!</v>
      </c>
      <c r="AC425" s="484" t="str">
        <f t="shared" si="106"/>
        <v/>
      </c>
      <c r="AD425" s="495" t="str">
        <f t="shared" si="107"/>
        <v/>
      </c>
      <c r="AE425" s="499" t="s">
        <v>621</v>
      </c>
      <c r="AF425" s="500" t="s">
        <v>621</v>
      </c>
      <c r="AG425" s="556" t="s">
        <v>621</v>
      </c>
      <c r="AH425" s="503" t="str">
        <f>IF($G425="","",IF(AND($G425&gt;=30,$AT$3&lt;=AG$7),ROUND(AG425*($AP$3+#REF!),-1),""))</f>
        <v/>
      </c>
      <c r="AI425" s="506" t="s">
        <v>621</v>
      </c>
      <c r="AJ425" s="503" t="str">
        <f>IF($G425="","",IF(AND($G425&gt;=30,$AT$3&lt;=AI$7),ROUND(AI425*($AP$3+#REF!),-1),""))</f>
        <v/>
      </c>
      <c r="AK425" s="506" t="s">
        <v>621</v>
      </c>
      <c r="AL425" s="503" t="str">
        <f>IF($G425="","",IF(AND($G425&gt;=30,$AT$3&lt;=AK$7),ROUND(AK425*($AP$3+#REF!),-1),""))</f>
        <v/>
      </c>
      <c r="AM425" s="506" t="s">
        <v>621</v>
      </c>
      <c r="AN425" s="503" t="str">
        <f>IF($G425="","",IF(AND($G425&gt;=30,$AT$3&lt;=AM$7),ROUND(AM425*($AP$3+#REF!),-1),""))</f>
        <v/>
      </c>
      <c r="AO425" s="503" t="e">
        <v>#REF!</v>
      </c>
      <c r="AP425" s="503" t="str">
        <f>IF($G425="","",IF(AND($G425&gt;=30,$AT$3&lt;=AO$7),ROUND(AO425*($AP$3+#REF!),-1),""))</f>
        <v/>
      </c>
      <c r="AQ425" s="503" t="s">
        <v>621</v>
      </c>
      <c r="AR425" s="503" t="str">
        <f>IF($G425="","",IF(AND($G425&gt;=30,$AT$3&lt;=AQ$7),ROUND(AQ425*($AP$3+#REF!),-1),""))</f>
        <v/>
      </c>
      <c r="AS425" s="503" t="s">
        <v>621</v>
      </c>
      <c r="AT425" s="503" t="str">
        <f>IF($G425="","",IF(AND($G425&gt;=30,$AT$3&lt;=AS$7),ROUND(AS425*($AP$3+#REF!),-1),""))</f>
        <v/>
      </c>
      <c r="AU425" s="503" t="s">
        <v>621</v>
      </c>
      <c r="AV425" s="503" t="str">
        <f>IF($G425="","",IF(AND($G425&gt;=30,$AT$3&lt;=AU$7),ROUND(AU425*($AP$3+#REF!),-1),""))</f>
        <v/>
      </c>
      <c r="AW425" s="503" t="s">
        <v>621</v>
      </c>
      <c r="AX425" s="503" t="str">
        <f>IF($G425="","",IF(AND($G425&gt;=30,$AT$3&lt;=AW$7),ROUND(AW425*($AP$3+#REF!),-1),""))</f>
        <v/>
      </c>
      <c r="AY425" s="503" t="s">
        <v>621</v>
      </c>
      <c r="AZ425" s="503" t="str">
        <f>IF($G425="","",IF(AND($G425&gt;=30,$AT$3&lt;=AY$7),ROUND(AY425*($AP$3+#REF!),-1),""))</f>
        <v/>
      </c>
      <c r="BA425" s="503" t="s">
        <v>621</v>
      </c>
      <c r="BB425" s="503" t="str">
        <f>IF($G425="","",IF(AND($G425&gt;=30,$AT$3&lt;=BA$7),ROUND(BA425*($AP$3+#REF!),-1),""))</f>
        <v/>
      </c>
      <c r="BC425" s="503" t="s">
        <v>621</v>
      </c>
      <c r="BD425" s="503" t="str">
        <f>IF($G425="","",IF(AND($G425&gt;=30,$AT$3&lt;=BC$7),ROUND(BC425*($AP$3+#REF!),-1),""))</f>
        <v/>
      </c>
      <c r="BE425" s="503" t="s">
        <v>621</v>
      </c>
      <c r="BF425" s="503" t="str">
        <f>IF($G425="","",IF(AND($G425&gt;=30,$AT$3&lt;=BE$7),ROUND(BE425*($AP$3+#REF!),-1),""))</f>
        <v/>
      </c>
      <c r="BG425" s="503" t="s">
        <v>621</v>
      </c>
      <c r="BH425" s="503" t="str">
        <f>IF($G425="","",IF(AND($G425&gt;=30,$AT$3&lt;=BG$7),ROUND(BG425*($AP$3+#REF!),-1),""))</f>
        <v/>
      </c>
      <c r="BI425" s="503" t="s">
        <v>621</v>
      </c>
      <c r="BJ425" s="503" t="str">
        <f>IF($G425="","",IF(AND($G425&gt;=30,$AT$3&lt;=BI$7),ROUND(BI425*($AP$3+#REF!),-1),""))</f>
        <v/>
      </c>
      <c r="BK425" s="503" t="s">
        <v>621</v>
      </c>
      <c r="BL425" s="503" t="str">
        <f>IF($G425="","",IF(AND($G425&gt;=30,$AT$3&lt;=BK$7),ROUND(BK425*($AP$3+#REF!),-1),""))</f>
        <v/>
      </c>
      <c r="BM425" s="503" t="s">
        <v>621</v>
      </c>
      <c r="BN425" s="503" t="str">
        <f>IF($G425="","",IF(AND($G425&gt;=30,$AT$3&lt;=BM$7),ROUND(BM425*($AP$3+#REF!),-1),""))</f>
        <v/>
      </c>
      <c r="BO425" s="503" t="s">
        <v>621</v>
      </c>
      <c r="BP425" s="503" t="str">
        <f>IF($G425="","",IF(AND($G425&gt;=30,$AT$3&lt;=BO$7),ROUND(BO425*($AP$3+#REF!),-1),""))</f>
        <v/>
      </c>
      <c r="BQ425" s="503" t="s">
        <v>621</v>
      </c>
      <c r="BR425" s="503" t="str">
        <f>IF($G425="","",IF(AND($G425&gt;=30,$AT$3&lt;=BQ$7),ROUND(BQ425*($AP$3+#REF!),-1),""))</f>
        <v/>
      </c>
      <c r="BS425" s="503" t="s">
        <v>621</v>
      </c>
      <c r="BT425" s="503" t="str">
        <f>IF($G425="","",IF(AND($G425&gt;=30,$AT$3&lt;=BS$7),ROUND(BS425*($AP$3+#REF!),-1),""))</f>
        <v/>
      </c>
      <c r="BU425" s="503" t="s">
        <v>621</v>
      </c>
      <c r="BV425" s="503" t="str">
        <f>IF($G425="","",IF(AND($G425&gt;=30,$AT$3&lt;=BU$7),ROUND(BU425*($AP$3+#REF!),-1),""))</f>
        <v/>
      </c>
      <c r="BW425" s="503" t="s">
        <v>621</v>
      </c>
      <c r="BX425" s="503" t="str">
        <f>IF($G425="","",IF(AND($G425&gt;=30,$AT$3&lt;=BW$7),ROUND(BW425*($AP$3+#REF!),-1),""))</f>
        <v/>
      </c>
      <c r="BY425" s="503" t="s">
        <v>621</v>
      </c>
      <c r="BZ425" s="503" t="str">
        <f>IF($G425="","",IF(AND($G425&gt;=30,$AT$3&lt;=BY$7),ROUND(BY425*($AP$3+#REF!),-1),""))</f>
        <v/>
      </c>
      <c r="CA425" s="503" t="s">
        <v>621</v>
      </c>
      <c r="CB425" s="503" t="str">
        <f>IF($G425="","",IF(AND($G425&gt;=30,$AT$3&lt;=CA$7),ROUND(CA425*($AP$3+#REF!),-1),""))</f>
        <v/>
      </c>
      <c r="CC425" s="503" t="s">
        <v>621</v>
      </c>
      <c r="CD425" s="503" t="str">
        <f>IF($G425="","",IF(AND($G425&gt;=30,$AT$3&lt;=CC$7),ROUND(CC425*($AP$3+#REF!),-1),""))</f>
        <v/>
      </c>
      <c r="CE425" s="503" t="s">
        <v>621</v>
      </c>
      <c r="CF425" s="503" t="str">
        <f>IF($G425="","",IF(AND($G425&gt;=30,$AT$3&lt;=CE$7),ROUND(CE425*($AP$3+#REF!),-1),""))</f>
        <v/>
      </c>
      <c r="CG425" s="503" t="s">
        <v>621</v>
      </c>
      <c r="CH425" s="503" t="str">
        <f>IF($G425="","",IF(AND($G425&gt;=30,$AT$3&lt;=CG$7),ROUND(CG425*($AP$3+#REF!),-1),""))</f>
        <v/>
      </c>
      <c r="CI425" s="503" t="s">
        <v>621</v>
      </c>
      <c r="CJ425" s="503" t="str">
        <f>IF($G425="","",IF(AND($G425&gt;=30,$AT$3&lt;=CI$7),ROUND(CI425*($AP$3+#REF!),-1),""))</f>
        <v/>
      </c>
      <c r="CK425" s="503" t="s">
        <v>621</v>
      </c>
      <c r="CL425" s="503" t="str">
        <f>IF($G425="","",IF(AND($G425&gt;=30,$AT$3&lt;=CK$7),ROUND(CK425*($AP$3+#REF!),-1),""))</f>
        <v/>
      </c>
      <c r="CM425" s="503" t="s">
        <v>621</v>
      </c>
      <c r="CN425" s="503" t="str">
        <f>IF($G425="","",IF(AND($G425&gt;=30,$AT$3&lt;=CM$7),ROUND(CM425*($AP$3+#REF!),-1),""))</f>
        <v/>
      </c>
      <c r="CO425" s="503" t="s">
        <v>621</v>
      </c>
      <c r="CP425" s="503" t="str">
        <f>IF($G425="","",IF(AND($G425&gt;=30,$AT$3&lt;=CO$7),ROUND(CO425*($AP$3+#REF!),-1),""))</f>
        <v/>
      </c>
      <c r="CQ425" s="503" t="s">
        <v>621</v>
      </c>
      <c r="CR425" s="503" t="str">
        <f>IF($G425="","",IF(AND($G425&gt;=30,$AT$3&lt;=CQ$7),ROUND(CQ425*($AP$3+#REF!),-1),""))</f>
        <v/>
      </c>
      <c r="CS425" s="503" t="s">
        <v>621</v>
      </c>
      <c r="CT425" s="503" t="str">
        <f>IF($G425="","",IF(AND($G425&gt;=30,$AT$3&lt;=CS$7),ROUND(CS425*($AP$3+#REF!),-1),""))</f>
        <v/>
      </c>
      <c r="CU425" s="503" t="s">
        <v>621</v>
      </c>
      <c r="CV425" s="503" t="str">
        <f>IF($G425="","",IF(AND($G425&gt;=30,$AT$3&lt;=CU$7),ROUND(CU425*($AP$3+#REF!),-1),""))</f>
        <v/>
      </c>
      <c r="CW425" s="517" t="e">
        <v>#REF!</v>
      </c>
      <c r="CX425" s="503" t="str">
        <f>IF($G425="","",IF(AND($G425&gt;=30,$AT$3&lt;=CW$7),ROUND(CW425*($AP$3+#REF!),-1),""))</f>
        <v/>
      </c>
      <c r="CY425" s="517"/>
      <c r="CZ425" s="503" t="str">
        <f>IF($G425="","",IF(AND($G425&gt;=30,$AT$3&lt;=CY$7),ROUND(CY425*($AP$3+#REF!),-1),""))</f>
        <v/>
      </c>
      <c r="DA425" s="517"/>
      <c r="DB425" s="503" t="str">
        <f>IF($G425="","",IF(AND($G425&gt;=30,$AT$3&lt;=DA$7),ROUND(DA425*($AP$3+#REF!),-1),""))</f>
        <v/>
      </c>
      <c r="DC425" s="517"/>
      <c r="DD425" s="503" t="str">
        <f>IF($G425="","",IF(AND($G425&gt;=30,$AT$3&lt;=DC$7),ROUND(DC425*($AP$3+#REF!),-1),""))</f>
        <v/>
      </c>
      <c r="DE425" s="517"/>
      <c r="DF425" s="503" t="str">
        <f>IF($G425="","",IF(AND($G425&gt;=30,$AT$3&lt;=DE$7),ROUND(DE425*($AP$3+#REF!),-1),""))</f>
        <v/>
      </c>
      <c r="DG425" s="517"/>
      <c r="DH425" s="503" t="str">
        <f>IF($G425="","",IF(AND($G425&gt;=30,$AT$3&lt;=DG$7),ROUND(DG425*($AP$3+#REF!),-1),""))</f>
        <v/>
      </c>
      <c r="DI425" s="517"/>
      <c r="DJ425" s="503" t="str">
        <f>IF($G425="","",IF(AND($G425&gt;=30,$AT$3&lt;=DI$7),ROUND(DI425*($AP$3+#REF!),-1),""))</f>
        <v/>
      </c>
      <c r="DK425" s="517"/>
      <c r="DL425" s="503" t="str">
        <f>IF($G425="","",IF(AND($G425&gt;=30,$AT$3&lt;=DK$7),ROUND(DK425*($AP$3+#REF!),-1),""))</f>
        <v/>
      </c>
      <c r="DM425" s="517"/>
      <c r="DN425" s="503" t="str">
        <f>IF($G425="","",IF(AND($G425&gt;=30,$AT$3&lt;=DM$7),ROUND(DM425*($AP$3+#REF!),-1),""))</f>
        <v/>
      </c>
      <c r="DO425" s="517"/>
      <c r="DP425" s="503" t="str">
        <f>IF($G425="","",IF(AND($G425&gt;=30,$AT$3&lt;=DO$7),ROUND(DO425*($AP$3+#REF!),-1),""))</f>
        <v/>
      </c>
      <c r="DQ425" s="517"/>
      <c r="DR425" s="503" t="str">
        <f>IF($G425="","",IF(AND($G425&gt;=30,$AT$3&lt;=DQ$7),ROUND(DQ425*($AP$3+#REF!),-1),""))</f>
        <v/>
      </c>
      <c r="DS425" s="517"/>
      <c r="DT425" s="503" t="str">
        <f>IF($G425="","",IF(AND($G425&gt;=30,$AT$3&lt;=DS$7),ROUND(DS425*($AP$3+#REF!),-1),""))</f>
        <v/>
      </c>
      <c r="DU425" s="517"/>
      <c r="DV425" s="503" t="str">
        <f>IF($G425="","",IF(AND($G425&gt;=30,$AT$3&lt;=DU$7),ROUND(DU425*($AP$3+#REF!),-1),""))</f>
        <v/>
      </c>
      <c r="DW425" s="517"/>
      <c r="DX425" s="503" t="str">
        <f>IF($G425="","",IF(AND($G425&gt;=30,$AT$3&lt;=DW$7),ROUND(DW425*($AP$3+#REF!),-1),""))</f>
        <v/>
      </c>
      <c r="DY425" s="517"/>
      <c r="DZ425" s="503" t="str">
        <f>IF($G425="","",IF(AND($G425&gt;=30,$AT$3&lt;=DY$7),ROUND(DY425*($AP$3+#REF!),-1),""))</f>
        <v/>
      </c>
      <c r="EA425" s="517"/>
      <c r="EB425" s="503" t="str">
        <f>IF($G425="","",IF(AND($G425&gt;=30,$AT$3&lt;=EA$7),ROUND(EA425*($AP$3+#REF!),-1),""))</f>
        <v/>
      </c>
      <c r="EC425" s="504" t="s">
        <v>621</v>
      </c>
      <c r="ED425" s="1124"/>
      <c r="EE425" s="325">
        <v>9</v>
      </c>
    </row>
    <row r="426" spans="1:135" ht="9.75" customHeight="1">
      <c r="A426" s="321" t="str">
        <f t="shared" si="96"/>
        <v/>
      </c>
      <c r="B426" s="567">
        <f>(ii!$D$13*12+V426)+1</f>
        <v>320</v>
      </c>
      <c r="C426" s="337">
        <f t="shared" si="100"/>
        <v>55092</v>
      </c>
      <c r="D426" s="484">
        <f t="shared" si="103"/>
        <v>2050</v>
      </c>
      <c r="E426" s="484">
        <f t="shared" si="101"/>
        <v>0.83333333333333337</v>
      </c>
      <c r="F426" s="484">
        <f t="shared" si="104"/>
        <v>2050.8333333333335</v>
      </c>
      <c r="G426" s="485" t="str">
        <f>IF(OR(C426&lt;$I$2,C426&gt;$J$3),"",(ii!$D$13*12+V426+1)/12)</f>
        <v/>
      </c>
      <c r="H426" s="486"/>
      <c r="I426" s="486"/>
      <c r="J426" s="487"/>
      <c r="K426" s="488"/>
      <c r="L426" s="548"/>
      <c r="M426" s="489" t="str">
        <f t="shared" si="105"/>
        <v/>
      </c>
      <c r="N426" s="490" t="s">
        <v>621</v>
      </c>
      <c r="O426" s="490" t="str">
        <f t="shared" si="98"/>
        <v/>
      </c>
      <c r="P426" s="491"/>
      <c r="Q426" s="491"/>
      <c r="R426" s="491" t="str">
        <f t="shared" si="99"/>
        <v/>
      </c>
      <c r="S426" s="528" t="str">
        <f t="shared" si="97"/>
        <v/>
      </c>
      <c r="T426" s="528" t="str">
        <f t="shared" si="95"/>
        <v/>
      </c>
      <c r="U426" s="493" t="str">
        <f>IF(H426="","",#REF!*12+#REF!+#REF!*12+#REF!)</f>
        <v/>
      </c>
      <c r="V426" s="338">
        <f>IF(ii!$J$3&gt;gg!C426,"",IF(AND((YEAR(C426)=YEAR($I$2)),MONTH(C426)=MONTH($I$2)),ii!$B$14*12+ii!$C$14+ii!$B$15*12+ii!$C$15-1,V425+1))</f>
        <v>319</v>
      </c>
      <c r="W426" s="339">
        <f t="shared" si="102"/>
        <v>26.583333333333332</v>
      </c>
      <c r="X426" s="494" t="s">
        <v>621</v>
      </c>
      <c r="Y426" s="495" t="s">
        <v>621</v>
      </c>
      <c r="Z426" s="496"/>
      <c r="AA426" s="497"/>
      <c r="AB426" s="498" t="e">
        <f t="shared" si="108"/>
        <v>#VALUE!</v>
      </c>
      <c r="AC426" s="484" t="str">
        <f t="shared" si="106"/>
        <v/>
      </c>
      <c r="AD426" s="495" t="str">
        <f t="shared" si="107"/>
        <v/>
      </c>
      <c r="AE426" s="499" t="s">
        <v>621</v>
      </c>
      <c r="AF426" s="500" t="s">
        <v>621</v>
      </c>
      <c r="AG426" s="556" t="s">
        <v>621</v>
      </c>
      <c r="AH426" s="503" t="str">
        <f>IF($G426="","",IF(AND($G426&gt;=30,$AT$3&lt;=AG$7),ROUND(AG426*($AP$3+#REF!),-1),""))</f>
        <v/>
      </c>
      <c r="AI426" s="506" t="s">
        <v>621</v>
      </c>
      <c r="AJ426" s="503" t="str">
        <f>IF($G426="","",IF(AND($G426&gt;=30,$AT$3&lt;=AI$7),ROUND(AI426*($AP$3+#REF!),-1),""))</f>
        <v/>
      </c>
      <c r="AK426" s="506" t="s">
        <v>621</v>
      </c>
      <c r="AL426" s="503" t="str">
        <f>IF($G426="","",IF(AND($G426&gt;=30,$AT$3&lt;=AK$7),ROUND(AK426*($AP$3+#REF!),-1),""))</f>
        <v/>
      </c>
      <c r="AM426" s="506" t="s">
        <v>621</v>
      </c>
      <c r="AN426" s="503" t="str">
        <f>IF($G426="","",IF(AND($G426&gt;=30,$AT$3&lt;=AM$7),ROUND(AM426*($AP$3+#REF!),-1),""))</f>
        <v/>
      </c>
      <c r="AO426" s="503" t="e">
        <v>#REF!</v>
      </c>
      <c r="AP426" s="503" t="str">
        <f>IF($G426="","",IF(AND($G426&gt;=30,$AT$3&lt;=AO$7),ROUND(AO426*($AP$3+#REF!),-1),""))</f>
        <v/>
      </c>
      <c r="AQ426" s="503" t="s">
        <v>621</v>
      </c>
      <c r="AR426" s="503" t="str">
        <f>IF($G426="","",IF(AND($G426&gt;=30,$AT$3&lt;=AQ$7),ROUND(AQ426*($AP$3+#REF!),-1),""))</f>
        <v/>
      </c>
      <c r="AS426" s="503" t="s">
        <v>621</v>
      </c>
      <c r="AT426" s="503" t="str">
        <f>IF($G426="","",IF(AND($G426&gt;=30,$AT$3&lt;=AS$7),ROUND(AS426*($AP$3+#REF!),-1),""))</f>
        <v/>
      </c>
      <c r="AU426" s="503" t="s">
        <v>621</v>
      </c>
      <c r="AV426" s="503" t="str">
        <f>IF($G426="","",IF(AND($G426&gt;=30,$AT$3&lt;=AU$7),ROUND(AU426*($AP$3+#REF!),-1),""))</f>
        <v/>
      </c>
      <c r="AW426" s="503" t="s">
        <v>621</v>
      </c>
      <c r="AX426" s="503" t="str">
        <f>IF($G426="","",IF(AND($G426&gt;=30,$AT$3&lt;=AW$7),ROUND(AW426*($AP$3+#REF!),-1),""))</f>
        <v/>
      </c>
      <c r="AY426" s="503" t="s">
        <v>621</v>
      </c>
      <c r="AZ426" s="503" t="str">
        <f>IF($G426="","",IF(AND($G426&gt;=30,$AT$3&lt;=AY$7),ROUND(AY426*($AP$3+#REF!),-1),""))</f>
        <v/>
      </c>
      <c r="BA426" s="503" t="s">
        <v>621</v>
      </c>
      <c r="BB426" s="503" t="str">
        <f>IF($G426="","",IF(AND($G426&gt;=30,$AT$3&lt;=BA$7),ROUND(BA426*($AP$3+#REF!),-1),""))</f>
        <v/>
      </c>
      <c r="BC426" s="503" t="s">
        <v>621</v>
      </c>
      <c r="BD426" s="503" t="str">
        <f>IF($G426="","",IF(AND($G426&gt;=30,$AT$3&lt;=BC$7),ROUND(BC426*($AP$3+#REF!),-1),""))</f>
        <v/>
      </c>
      <c r="BE426" s="503" t="s">
        <v>621</v>
      </c>
      <c r="BF426" s="503" t="str">
        <f>IF($G426="","",IF(AND($G426&gt;=30,$AT$3&lt;=BE$7),ROUND(BE426*($AP$3+#REF!),-1),""))</f>
        <v/>
      </c>
      <c r="BG426" s="503" t="s">
        <v>621</v>
      </c>
      <c r="BH426" s="503" t="str">
        <f>IF($G426="","",IF(AND($G426&gt;=30,$AT$3&lt;=BG$7),ROUND(BG426*($AP$3+#REF!),-1),""))</f>
        <v/>
      </c>
      <c r="BI426" s="503" t="s">
        <v>621</v>
      </c>
      <c r="BJ426" s="503" t="str">
        <f>IF($G426="","",IF(AND($G426&gt;=30,$AT$3&lt;=BI$7),ROUND(BI426*($AP$3+#REF!),-1),""))</f>
        <v/>
      </c>
      <c r="BK426" s="503" t="s">
        <v>621</v>
      </c>
      <c r="BL426" s="503" t="str">
        <f>IF($G426="","",IF(AND($G426&gt;=30,$AT$3&lt;=BK$7),ROUND(BK426*($AP$3+#REF!),-1),""))</f>
        <v/>
      </c>
      <c r="BM426" s="503" t="s">
        <v>621</v>
      </c>
      <c r="BN426" s="503" t="str">
        <f>IF($G426="","",IF(AND($G426&gt;=30,$AT$3&lt;=BM$7),ROUND(BM426*($AP$3+#REF!),-1),""))</f>
        <v/>
      </c>
      <c r="BO426" s="503" t="s">
        <v>621</v>
      </c>
      <c r="BP426" s="503" t="str">
        <f>IF($G426="","",IF(AND($G426&gt;=30,$AT$3&lt;=BO$7),ROUND(BO426*($AP$3+#REF!),-1),""))</f>
        <v/>
      </c>
      <c r="BQ426" s="503" t="s">
        <v>621</v>
      </c>
      <c r="BR426" s="503" t="str">
        <f>IF($G426="","",IF(AND($G426&gt;=30,$AT$3&lt;=BQ$7),ROUND(BQ426*($AP$3+#REF!),-1),""))</f>
        <v/>
      </c>
      <c r="BS426" s="503" t="s">
        <v>621</v>
      </c>
      <c r="BT426" s="503" t="str">
        <f>IF($G426="","",IF(AND($G426&gt;=30,$AT$3&lt;=BS$7),ROUND(BS426*($AP$3+#REF!),-1),""))</f>
        <v/>
      </c>
      <c r="BU426" s="503" t="s">
        <v>621</v>
      </c>
      <c r="BV426" s="503" t="str">
        <f>IF($G426="","",IF(AND($G426&gt;=30,$AT$3&lt;=BU$7),ROUND(BU426*($AP$3+#REF!),-1),""))</f>
        <v/>
      </c>
      <c r="BW426" s="503" t="s">
        <v>621</v>
      </c>
      <c r="BX426" s="503" t="str">
        <f>IF($G426="","",IF(AND($G426&gt;=30,$AT$3&lt;=BW$7),ROUND(BW426*($AP$3+#REF!),-1),""))</f>
        <v/>
      </c>
      <c r="BY426" s="503" t="s">
        <v>621</v>
      </c>
      <c r="BZ426" s="503" t="str">
        <f>IF($G426="","",IF(AND($G426&gt;=30,$AT$3&lt;=BY$7),ROUND(BY426*($AP$3+#REF!),-1),""))</f>
        <v/>
      </c>
      <c r="CA426" s="503" t="s">
        <v>621</v>
      </c>
      <c r="CB426" s="503" t="str">
        <f>IF($G426="","",IF(AND($G426&gt;=30,$AT$3&lt;=CA$7),ROUND(CA426*($AP$3+#REF!),-1),""))</f>
        <v/>
      </c>
      <c r="CC426" s="503" t="s">
        <v>621</v>
      </c>
      <c r="CD426" s="503" t="str">
        <f>IF($G426="","",IF(AND($G426&gt;=30,$AT$3&lt;=CC$7),ROUND(CC426*($AP$3+#REF!),-1),""))</f>
        <v/>
      </c>
      <c r="CE426" s="503" t="s">
        <v>621</v>
      </c>
      <c r="CF426" s="503" t="str">
        <f>IF($G426="","",IF(AND($G426&gt;=30,$AT$3&lt;=CE$7),ROUND(CE426*($AP$3+#REF!),-1),""))</f>
        <v/>
      </c>
      <c r="CG426" s="503" t="s">
        <v>621</v>
      </c>
      <c r="CH426" s="503" t="str">
        <f>IF($G426="","",IF(AND($G426&gt;=30,$AT$3&lt;=CG$7),ROUND(CG426*($AP$3+#REF!),-1),""))</f>
        <v/>
      </c>
      <c r="CI426" s="503" t="s">
        <v>621</v>
      </c>
      <c r="CJ426" s="503" t="str">
        <f>IF($G426="","",IF(AND($G426&gt;=30,$AT$3&lt;=CI$7),ROUND(CI426*($AP$3+#REF!),-1),""))</f>
        <v/>
      </c>
      <c r="CK426" s="503" t="s">
        <v>621</v>
      </c>
      <c r="CL426" s="503" t="str">
        <f>IF($G426="","",IF(AND($G426&gt;=30,$AT$3&lt;=CK$7),ROUND(CK426*($AP$3+#REF!),-1),""))</f>
        <v/>
      </c>
      <c r="CM426" s="503" t="s">
        <v>621</v>
      </c>
      <c r="CN426" s="503" t="str">
        <f>IF($G426="","",IF(AND($G426&gt;=30,$AT$3&lt;=CM$7),ROUND(CM426*($AP$3+#REF!),-1),""))</f>
        <v/>
      </c>
      <c r="CO426" s="503" t="s">
        <v>621</v>
      </c>
      <c r="CP426" s="503" t="str">
        <f>IF($G426="","",IF(AND($G426&gt;=30,$AT$3&lt;=CO$7),ROUND(CO426*($AP$3+#REF!),-1),""))</f>
        <v/>
      </c>
      <c r="CQ426" s="503" t="s">
        <v>621</v>
      </c>
      <c r="CR426" s="503" t="str">
        <f>IF($G426="","",IF(AND($G426&gt;=30,$AT$3&lt;=CQ$7),ROUND(CQ426*($AP$3+#REF!),-1),""))</f>
        <v/>
      </c>
      <c r="CS426" s="503" t="s">
        <v>621</v>
      </c>
      <c r="CT426" s="503" t="str">
        <f>IF($G426="","",IF(AND($G426&gt;=30,$AT$3&lt;=CS$7),ROUND(CS426*($AP$3+#REF!),-1),""))</f>
        <v/>
      </c>
      <c r="CU426" s="503" t="s">
        <v>621</v>
      </c>
      <c r="CV426" s="503" t="str">
        <f>IF($G426="","",IF(AND($G426&gt;=30,$AT$3&lt;=CU$7),ROUND(CU426*($AP$3+#REF!),-1),""))</f>
        <v/>
      </c>
      <c r="CW426" s="517" t="e">
        <v>#REF!</v>
      </c>
      <c r="CX426" s="503" t="str">
        <f>IF($G426="","",IF(AND($G426&gt;=30,$AT$3&lt;=CW$7),ROUND(CW426*($AP$3+#REF!),-1),""))</f>
        <v/>
      </c>
      <c r="CY426" s="517"/>
      <c r="CZ426" s="503" t="str">
        <f>IF($G426="","",IF(AND($G426&gt;=30,$AT$3&lt;=CY$7),ROUND(CY426*($AP$3+#REF!),-1),""))</f>
        <v/>
      </c>
      <c r="DA426" s="517"/>
      <c r="DB426" s="503" t="str">
        <f>IF($G426="","",IF(AND($G426&gt;=30,$AT$3&lt;=DA$7),ROUND(DA426*($AP$3+#REF!),-1),""))</f>
        <v/>
      </c>
      <c r="DC426" s="517"/>
      <c r="DD426" s="503" t="str">
        <f>IF($G426="","",IF(AND($G426&gt;=30,$AT$3&lt;=DC$7),ROUND(DC426*($AP$3+#REF!),-1),""))</f>
        <v/>
      </c>
      <c r="DE426" s="517"/>
      <c r="DF426" s="503" t="str">
        <f>IF($G426="","",IF(AND($G426&gt;=30,$AT$3&lt;=DE$7),ROUND(DE426*($AP$3+#REF!),-1),""))</f>
        <v/>
      </c>
      <c r="DG426" s="517"/>
      <c r="DH426" s="503" t="str">
        <f>IF($G426="","",IF(AND($G426&gt;=30,$AT$3&lt;=DG$7),ROUND(DG426*($AP$3+#REF!),-1),""))</f>
        <v/>
      </c>
      <c r="DI426" s="517"/>
      <c r="DJ426" s="503" t="str">
        <f>IF($G426="","",IF(AND($G426&gt;=30,$AT$3&lt;=DI$7),ROUND(DI426*($AP$3+#REF!),-1),""))</f>
        <v/>
      </c>
      <c r="DK426" s="517"/>
      <c r="DL426" s="503" t="str">
        <f>IF($G426="","",IF(AND($G426&gt;=30,$AT$3&lt;=DK$7),ROUND(DK426*($AP$3+#REF!),-1),""))</f>
        <v/>
      </c>
      <c r="DM426" s="517"/>
      <c r="DN426" s="503" t="str">
        <f>IF($G426="","",IF(AND($G426&gt;=30,$AT$3&lt;=DM$7),ROUND(DM426*($AP$3+#REF!),-1),""))</f>
        <v/>
      </c>
      <c r="DO426" s="517"/>
      <c r="DP426" s="503" t="str">
        <f>IF($G426="","",IF(AND($G426&gt;=30,$AT$3&lt;=DO$7),ROUND(DO426*($AP$3+#REF!),-1),""))</f>
        <v/>
      </c>
      <c r="DQ426" s="517"/>
      <c r="DR426" s="503" t="str">
        <f>IF($G426="","",IF(AND($G426&gt;=30,$AT$3&lt;=DQ$7),ROUND(DQ426*($AP$3+#REF!),-1),""))</f>
        <v/>
      </c>
      <c r="DS426" s="517"/>
      <c r="DT426" s="503" t="str">
        <f>IF($G426="","",IF(AND($G426&gt;=30,$AT$3&lt;=DS$7),ROUND(DS426*($AP$3+#REF!),-1),""))</f>
        <v/>
      </c>
      <c r="DU426" s="517"/>
      <c r="DV426" s="503" t="str">
        <f>IF($G426="","",IF(AND($G426&gt;=30,$AT$3&lt;=DU$7),ROUND(DU426*($AP$3+#REF!),-1),""))</f>
        <v/>
      </c>
      <c r="DW426" s="517"/>
      <c r="DX426" s="503" t="str">
        <f>IF($G426="","",IF(AND($G426&gt;=30,$AT$3&lt;=DW$7),ROUND(DW426*($AP$3+#REF!),-1),""))</f>
        <v/>
      </c>
      <c r="DY426" s="517"/>
      <c r="DZ426" s="503" t="str">
        <f>IF($G426="","",IF(AND($G426&gt;=30,$AT$3&lt;=DY$7),ROUND(DY426*($AP$3+#REF!),-1),""))</f>
        <v/>
      </c>
      <c r="EA426" s="517"/>
      <c r="EB426" s="503" t="str">
        <f>IF($G426="","",IF(AND($G426&gt;=30,$AT$3&lt;=EA$7),ROUND(EA426*($AP$3+#REF!),-1),""))</f>
        <v/>
      </c>
      <c r="EC426" s="504" t="s">
        <v>621</v>
      </c>
      <c r="ED426" s="1124"/>
      <c r="EE426" s="325">
        <v>10</v>
      </c>
    </row>
    <row r="427" spans="1:135" ht="9.75" customHeight="1">
      <c r="A427" s="321" t="str">
        <f t="shared" si="96"/>
        <v/>
      </c>
      <c r="B427" s="567">
        <f>(ii!$D$13*12+V427)+1</f>
        <v>321</v>
      </c>
      <c r="C427" s="337">
        <f t="shared" si="100"/>
        <v>55122</v>
      </c>
      <c r="D427" s="484">
        <f t="shared" si="103"/>
        <v>2050</v>
      </c>
      <c r="E427" s="484">
        <f t="shared" si="101"/>
        <v>0.91666666666666663</v>
      </c>
      <c r="F427" s="484">
        <f t="shared" si="104"/>
        <v>2050.9166666666665</v>
      </c>
      <c r="G427" s="485" t="str">
        <f>IF(OR(C427&lt;$I$2,C427&gt;$J$3),"",(ii!$D$13*12+V427+1)/12)</f>
        <v/>
      </c>
      <c r="H427" s="486"/>
      <c r="I427" s="486"/>
      <c r="J427" s="487"/>
      <c r="K427" s="488"/>
      <c r="L427" s="548"/>
      <c r="M427" s="489" t="str">
        <f t="shared" si="105"/>
        <v/>
      </c>
      <c r="N427" s="490" t="s">
        <v>621</v>
      </c>
      <c r="O427" s="490" t="str">
        <f t="shared" si="98"/>
        <v/>
      </c>
      <c r="P427" s="491"/>
      <c r="Q427" s="491"/>
      <c r="R427" s="491" t="str">
        <f t="shared" si="99"/>
        <v/>
      </c>
      <c r="S427" s="528" t="str">
        <f t="shared" si="97"/>
        <v/>
      </c>
      <c r="T427" s="528" t="str">
        <f t="shared" si="95"/>
        <v/>
      </c>
      <c r="U427" s="493" t="str">
        <f>IF(H427="","",#REF!*12+#REF!+#REF!*12+#REF!)</f>
        <v/>
      </c>
      <c r="V427" s="338">
        <f>IF(ii!$J$3&gt;gg!C427,"",IF(AND((YEAR(C427)=YEAR($I$2)),MONTH(C427)=MONTH($I$2)),ii!$B$14*12+ii!$C$14+ii!$B$15*12+ii!$C$15-1,V426+1))</f>
        <v>320</v>
      </c>
      <c r="W427" s="339">
        <f t="shared" si="102"/>
        <v>26.666666666666668</v>
      </c>
      <c r="X427" s="494" t="s">
        <v>621</v>
      </c>
      <c r="Y427" s="495" t="s">
        <v>621</v>
      </c>
      <c r="Z427" s="496"/>
      <c r="AA427" s="497"/>
      <c r="AB427" s="498" t="e">
        <f t="shared" si="108"/>
        <v>#VALUE!</v>
      </c>
      <c r="AC427" s="484" t="str">
        <f t="shared" si="106"/>
        <v/>
      </c>
      <c r="AD427" s="495" t="str">
        <f t="shared" si="107"/>
        <v/>
      </c>
      <c r="AE427" s="499" t="s">
        <v>621</v>
      </c>
      <c r="AF427" s="500" t="s">
        <v>621</v>
      </c>
      <c r="AG427" s="556" t="s">
        <v>621</v>
      </c>
      <c r="AH427" s="503" t="str">
        <f>IF($G427="","",IF(AND($G427&gt;=30,$AT$3&lt;=AG$7),ROUND(AG427*($AP$3+#REF!),-1),""))</f>
        <v/>
      </c>
      <c r="AI427" s="506" t="s">
        <v>621</v>
      </c>
      <c r="AJ427" s="503" t="str">
        <f>IF($G427="","",IF(AND($G427&gt;=30,$AT$3&lt;=AI$7),ROUND(AI427*($AP$3+#REF!),-1),""))</f>
        <v/>
      </c>
      <c r="AK427" s="506" t="s">
        <v>621</v>
      </c>
      <c r="AL427" s="503" t="str">
        <f>IF($G427="","",IF(AND($G427&gt;=30,$AT$3&lt;=AK$7),ROUND(AK427*($AP$3+#REF!),-1),""))</f>
        <v/>
      </c>
      <c r="AM427" s="506" t="s">
        <v>621</v>
      </c>
      <c r="AN427" s="503" t="str">
        <f>IF($G427="","",IF(AND($G427&gt;=30,$AT$3&lt;=AM$7),ROUND(AM427*($AP$3+#REF!),-1),""))</f>
        <v/>
      </c>
      <c r="AO427" s="503" t="e">
        <v>#REF!</v>
      </c>
      <c r="AP427" s="503" t="str">
        <f>IF($G427="","",IF(AND($G427&gt;=30,$AT$3&lt;=AO$7),ROUND(AO427*($AP$3+#REF!),-1),""))</f>
        <v/>
      </c>
      <c r="AQ427" s="503" t="s">
        <v>621</v>
      </c>
      <c r="AR427" s="503" t="str">
        <f>IF($G427="","",IF(AND($G427&gt;=30,$AT$3&lt;=AQ$7),ROUND(AQ427*($AP$3+#REF!),-1),""))</f>
        <v/>
      </c>
      <c r="AS427" s="503" t="s">
        <v>621</v>
      </c>
      <c r="AT427" s="503" t="str">
        <f>IF($G427="","",IF(AND($G427&gt;=30,$AT$3&lt;=AS$7),ROUND(AS427*($AP$3+#REF!),-1),""))</f>
        <v/>
      </c>
      <c r="AU427" s="503" t="s">
        <v>621</v>
      </c>
      <c r="AV427" s="503" t="str">
        <f>IF($G427="","",IF(AND($G427&gt;=30,$AT$3&lt;=AU$7),ROUND(AU427*($AP$3+#REF!),-1),""))</f>
        <v/>
      </c>
      <c r="AW427" s="503" t="s">
        <v>621</v>
      </c>
      <c r="AX427" s="503" t="str">
        <f>IF($G427="","",IF(AND($G427&gt;=30,$AT$3&lt;=AW$7),ROUND(AW427*($AP$3+#REF!),-1),""))</f>
        <v/>
      </c>
      <c r="AY427" s="503" t="s">
        <v>621</v>
      </c>
      <c r="AZ427" s="503" t="str">
        <f>IF($G427="","",IF(AND($G427&gt;=30,$AT$3&lt;=AY$7),ROUND(AY427*($AP$3+#REF!),-1),""))</f>
        <v/>
      </c>
      <c r="BA427" s="503" t="s">
        <v>621</v>
      </c>
      <c r="BB427" s="503" t="str">
        <f>IF($G427="","",IF(AND($G427&gt;=30,$AT$3&lt;=BA$7),ROUND(BA427*($AP$3+#REF!),-1),""))</f>
        <v/>
      </c>
      <c r="BC427" s="503" t="s">
        <v>621</v>
      </c>
      <c r="BD427" s="503" t="str">
        <f>IF($G427="","",IF(AND($G427&gt;=30,$AT$3&lt;=BC$7),ROUND(BC427*($AP$3+#REF!),-1),""))</f>
        <v/>
      </c>
      <c r="BE427" s="503" t="s">
        <v>621</v>
      </c>
      <c r="BF427" s="503" t="str">
        <f>IF($G427="","",IF(AND($G427&gt;=30,$AT$3&lt;=BE$7),ROUND(BE427*($AP$3+#REF!),-1),""))</f>
        <v/>
      </c>
      <c r="BG427" s="503" t="s">
        <v>621</v>
      </c>
      <c r="BH427" s="503" t="str">
        <f>IF($G427="","",IF(AND($G427&gt;=30,$AT$3&lt;=BG$7),ROUND(BG427*($AP$3+#REF!),-1),""))</f>
        <v/>
      </c>
      <c r="BI427" s="503" t="s">
        <v>621</v>
      </c>
      <c r="BJ427" s="503" t="str">
        <f>IF($G427="","",IF(AND($G427&gt;=30,$AT$3&lt;=BI$7),ROUND(BI427*($AP$3+#REF!),-1),""))</f>
        <v/>
      </c>
      <c r="BK427" s="503" t="s">
        <v>621</v>
      </c>
      <c r="BL427" s="503" t="str">
        <f>IF($G427="","",IF(AND($G427&gt;=30,$AT$3&lt;=BK$7),ROUND(BK427*($AP$3+#REF!),-1),""))</f>
        <v/>
      </c>
      <c r="BM427" s="503" t="s">
        <v>621</v>
      </c>
      <c r="BN427" s="503" t="str">
        <f>IF($G427="","",IF(AND($G427&gt;=30,$AT$3&lt;=BM$7),ROUND(BM427*($AP$3+#REF!),-1),""))</f>
        <v/>
      </c>
      <c r="BO427" s="503" t="s">
        <v>621</v>
      </c>
      <c r="BP427" s="503" t="str">
        <f>IF($G427="","",IF(AND($G427&gt;=30,$AT$3&lt;=BO$7),ROUND(BO427*($AP$3+#REF!),-1),""))</f>
        <v/>
      </c>
      <c r="BQ427" s="503" t="s">
        <v>621</v>
      </c>
      <c r="BR427" s="503" t="str">
        <f>IF($G427="","",IF(AND($G427&gt;=30,$AT$3&lt;=BQ$7),ROUND(BQ427*($AP$3+#REF!),-1),""))</f>
        <v/>
      </c>
      <c r="BS427" s="503" t="s">
        <v>621</v>
      </c>
      <c r="BT427" s="503" t="str">
        <f>IF($G427="","",IF(AND($G427&gt;=30,$AT$3&lt;=BS$7),ROUND(BS427*($AP$3+#REF!),-1),""))</f>
        <v/>
      </c>
      <c r="BU427" s="503" t="s">
        <v>621</v>
      </c>
      <c r="BV427" s="503" t="str">
        <f>IF($G427="","",IF(AND($G427&gt;=30,$AT$3&lt;=BU$7),ROUND(BU427*($AP$3+#REF!),-1),""))</f>
        <v/>
      </c>
      <c r="BW427" s="503" t="s">
        <v>621</v>
      </c>
      <c r="BX427" s="503" t="str">
        <f>IF($G427="","",IF(AND($G427&gt;=30,$AT$3&lt;=BW$7),ROUND(BW427*($AP$3+#REF!),-1),""))</f>
        <v/>
      </c>
      <c r="BY427" s="503" t="s">
        <v>621</v>
      </c>
      <c r="BZ427" s="503" t="str">
        <f>IF($G427="","",IF(AND($G427&gt;=30,$AT$3&lt;=BY$7),ROUND(BY427*($AP$3+#REF!),-1),""))</f>
        <v/>
      </c>
      <c r="CA427" s="503" t="s">
        <v>621</v>
      </c>
      <c r="CB427" s="503" t="str">
        <f>IF($G427="","",IF(AND($G427&gt;=30,$AT$3&lt;=CA$7),ROUND(CA427*($AP$3+#REF!),-1),""))</f>
        <v/>
      </c>
      <c r="CC427" s="503" t="s">
        <v>621</v>
      </c>
      <c r="CD427" s="503" t="str">
        <f>IF($G427="","",IF(AND($G427&gt;=30,$AT$3&lt;=CC$7),ROUND(CC427*($AP$3+#REF!),-1),""))</f>
        <v/>
      </c>
      <c r="CE427" s="503" t="s">
        <v>621</v>
      </c>
      <c r="CF427" s="503" t="str">
        <f>IF($G427="","",IF(AND($G427&gt;=30,$AT$3&lt;=CE$7),ROUND(CE427*($AP$3+#REF!),-1),""))</f>
        <v/>
      </c>
      <c r="CG427" s="503" t="s">
        <v>621</v>
      </c>
      <c r="CH427" s="503" t="str">
        <f>IF($G427="","",IF(AND($G427&gt;=30,$AT$3&lt;=CG$7),ROUND(CG427*($AP$3+#REF!),-1),""))</f>
        <v/>
      </c>
      <c r="CI427" s="503" t="s">
        <v>621</v>
      </c>
      <c r="CJ427" s="503" t="str">
        <f>IF($G427="","",IF(AND($G427&gt;=30,$AT$3&lt;=CI$7),ROUND(CI427*($AP$3+#REF!),-1),""))</f>
        <v/>
      </c>
      <c r="CK427" s="503" t="s">
        <v>621</v>
      </c>
      <c r="CL427" s="503" t="str">
        <f>IF($G427="","",IF(AND($G427&gt;=30,$AT$3&lt;=CK$7),ROUND(CK427*($AP$3+#REF!),-1),""))</f>
        <v/>
      </c>
      <c r="CM427" s="503" t="s">
        <v>621</v>
      </c>
      <c r="CN427" s="503" t="str">
        <f>IF($G427="","",IF(AND($G427&gt;=30,$AT$3&lt;=CM$7),ROUND(CM427*($AP$3+#REF!),-1),""))</f>
        <v/>
      </c>
      <c r="CO427" s="503" t="s">
        <v>621</v>
      </c>
      <c r="CP427" s="503" t="str">
        <f>IF($G427="","",IF(AND($G427&gt;=30,$AT$3&lt;=CO$7),ROUND(CO427*($AP$3+#REF!),-1),""))</f>
        <v/>
      </c>
      <c r="CQ427" s="503" t="s">
        <v>621</v>
      </c>
      <c r="CR427" s="503" t="str">
        <f>IF($G427="","",IF(AND($G427&gt;=30,$AT$3&lt;=CQ$7),ROUND(CQ427*($AP$3+#REF!),-1),""))</f>
        <v/>
      </c>
      <c r="CS427" s="503" t="s">
        <v>621</v>
      </c>
      <c r="CT427" s="503" t="str">
        <f>IF($G427="","",IF(AND($G427&gt;=30,$AT$3&lt;=CS$7),ROUND(CS427*($AP$3+#REF!),-1),""))</f>
        <v/>
      </c>
      <c r="CU427" s="503" t="s">
        <v>621</v>
      </c>
      <c r="CV427" s="503" t="str">
        <f>IF($G427="","",IF(AND($G427&gt;=30,$AT$3&lt;=CU$7),ROUND(CU427*($AP$3+#REF!),-1),""))</f>
        <v/>
      </c>
      <c r="CW427" s="517" t="e">
        <v>#REF!</v>
      </c>
      <c r="CX427" s="503" t="str">
        <f>IF($G427="","",IF(AND($G427&gt;=30,$AT$3&lt;=CW$7),ROUND(CW427*($AP$3+#REF!),-1),""))</f>
        <v/>
      </c>
      <c r="CY427" s="517"/>
      <c r="CZ427" s="503" t="str">
        <f>IF($G427="","",IF(AND($G427&gt;=30,$AT$3&lt;=CY$7),ROUND(CY427*($AP$3+#REF!),-1),""))</f>
        <v/>
      </c>
      <c r="DA427" s="517"/>
      <c r="DB427" s="503" t="str">
        <f>IF($G427="","",IF(AND($G427&gt;=30,$AT$3&lt;=DA$7),ROUND(DA427*($AP$3+#REF!),-1),""))</f>
        <v/>
      </c>
      <c r="DC427" s="517"/>
      <c r="DD427" s="503" t="str">
        <f>IF($G427="","",IF(AND($G427&gt;=30,$AT$3&lt;=DC$7),ROUND(DC427*($AP$3+#REF!),-1),""))</f>
        <v/>
      </c>
      <c r="DE427" s="517"/>
      <c r="DF427" s="503" t="str">
        <f>IF($G427="","",IF(AND($G427&gt;=30,$AT$3&lt;=DE$7),ROUND(DE427*($AP$3+#REF!),-1),""))</f>
        <v/>
      </c>
      <c r="DG427" s="517"/>
      <c r="DH427" s="503" t="str">
        <f>IF($G427="","",IF(AND($G427&gt;=30,$AT$3&lt;=DG$7),ROUND(DG427*($AP$3+#REF!),-1),""))</f>
        <v/>
      </c>
      <c r="DI427" s="517"/>
      <c r="DJ427" s="503" t="str">
        <f>IF($G427="","",IF(AND($G427&gt;=30,$AT$3&lt;=DI$7),ROUND(DI427*($AP$3+#REF!),-1),""))</f>
        <v/>
      </c>
      <c r="DK427" s="517"/>
      <c r="DL427" s="503" t="str">
        <f>IF($G427="","",IF(AND($G427&gt;=30,$AT$3&lt;=DK$7),ROUND(DK427*($AP$3+#REF!),-1),""))</f>
        <v/>
      </c>
      <c r="DM427" s="517"/>
      <c r="DN427" s="503" t="str">
        <f>IF($G427="","",IF(AND($G427&gt;=30,$AT$3&lt;=DM$7),ROUND(DM427*($AP$3+#REF!),-1),""))</f>
        <v/>
      </c>
      <c r="DO427" s="517"/>
      <c r="DP427" s="503" t="str">
        <f>IF($G427="","",IF(AND($G427&gt;=30,$AT$3&lt;=DO$7),ROUND(DO427*($AP$3+#REF!),-1),""))</f>
        <v/>
      </c>
      <c r="DQ427" s="517"/>
      <c r="DR427" s="503" t="str">
        <f>IF($G427="","",IF(AND($G427&gt;=30,$AT$3&lt;=DQ$7),ROUND(DQ427*($AP$3+#REF!),-1),""))</f>
        <v/>
      </c>
      <c r="DS427" s="517"/>
      <c r="DT427" s="503" t="str">
        <f>IF($G427="","",IF(AND($G427&gt;=30,$AT$3&lt;=DS$7),ROUND(DS427*($AP$3+#REF!),-1),""))</f>
        <v/>
      </c>
      <c r="DU427" s="517"/>
      <c r="DV427" s="503" t="str">
        <f>IF($G427="","",IF(AND($G427&gt;=30,$AT$3&lt;=DU$7),ROUND(DU427*($AP$3+#REF!),-1),""))</f>
        <v/>
      </c>
      <c r="DW427" s="517"/>
      <c r="DX427" s="503" t="str">
        <f>IF($G427="","",IF(AND($G427&gt;=30,$AT$3&lt;=DW$7),ROUND(DW427*($AP$3+#REF!),-1),""))</f>
        <v/>
      </c>
      <c r="DY427" s="517"/>
      <c r="DZ427" s="503" t="str">
        <f>IF($G427="","",IF(AND($G427&gt;=30,$AT$3&lt;=DY$7),ROUND(DY427*($AP$3+#REF!),-1),""))</f>
        <v/>
      </c>
      <c r="EA427" s="517"/>
      <c r="EB427" s="503" t="str">
        <f>IF($G427="","",IF(AND($G427&gt;=30,$AT$3&lt;=EA$7),ROUND(EA427*($AP$3+#REF!),-1),""))</f>
        <v/>
      </c>
      <c r="EC427" s="504" t="s">
        <v>621</v>
      </c>
      <c r="ED427" s="1124"/>
      <c r="EE427" s="325">
        <v>11</v>
      </c>
    </row>
    <row r="428" spans="1:135" ht="9.75" customHeight="1">
      <c r="A428" s="321" t="str">
        <f t="shared" si="96"/>
        <v/>
      </c>
      <c r="B428" s="567">
        <f>(ii!$D$13*12+V428)+1</f>
        <v>322</v>
      </c>
      <c r="C428" s="337">
        <f t="shared" si="100"/>
        <v>55153</v>
      </c>
      <c r="D428" s="484">
        <f t="shared" si="103"/>
        <v>2050</v>
      </c>
      <c r="E428" s="484">
        <f t="shared" si="101"/>
        <v>1</v>
      </c>
      <c r="F428" s="484">
        <f t="shared" si="104"/>
        <v>2051</v>
      </c>
      <c r="G428" s="485" t="str">
        <f>IF(OR(C428&lt;$I$2,C428&gt;$J$3),"",(ii!$D$13*12+V428+1)/12)</f>
        <v/>
      </c>
      <c r="H428" s="486"/>
      <c r="I428" s="486"/>
      <c r="J428" s="487"/>
      <c r="K428" s="488"/>
      <c r="L428" s="548"/>
      <c r="M428" s="489" t="str">
        <f t="shared" si="105"/>
        <v/>
      </c>
      <c r="N428" s="490" t="s">
        <v>621</v>
      </c>
      <c r="O428" s="490" t="str">
        <f t="shared" si="98"/>
        <v/>
      </c>
      <c r="P428" s="491"/>
      <c r="Q428" s="491"/>
      <c r="R428" s="491" t="str">
        <f t="shared" si="99"/>
        <v/>
      </c>
      <c r="S428" s="528" t="str">
        <f t="shared" si="97"/>
        <v/>
      </c>
      <c r="T428" s="528" t="str">
        <f t="shared" si="95"/>
        <v/>
      </c>
      <c r="U428" s="493" t="str">
        <f>IF(H428="","",#REF!*12+#REF!+#REF!*12+#REF!)</f>
        <v/>
      </c>
      <c r="V428" s="338">
        <f>IF(ii!$J$3&gt;gg!C428,"",IF(AND((YEAR(C428)=YEAR($I$2)),MONTH(C428)=MONTH($I$2)),ii!$B$14*12+ii!$C$14+ii!$B$15*12+ii!$C$15-1,V427+1))</f>
        <v>321</v>
      </c>
      <c r="W428" s="339">
        <f t="shared" si="102"/>
        <v>26.75</v>
      </c>
      <c r="X428" s="494" t="s">
        <v>621</v>
      </c>
      <c r="Y428" s="495" t="s">
        <v>621</v>
      </c>
      <c r="Z428" s="496"/>
      <c r="AA428" s="497"/>
      <c r="AB428" s="498" t="e">
        <f t="shared" si="108"/>
        <v>#VALUE!</v>
      </c>
      <c r="AC428" s="484" t="str">
        <f t="shared" si="106"/>
        <v/>
      </c>
      <c r="AD428" s="495" t="str">
        <f t="shared" si="107"/>
        <v/>
      </c>
      <c r="AE428" s="499" t="s">
        <v>621</v>
      </c>
      <c r="AF428" s="500" t="s">
        <v>621</v>
      </c>
      <c r="AG428" s="556" t="s">
        <v>621</v>
      </c>
      <c r="AH428" s="503" t="str">
        <f>IF($G428="","",IF(AND($G428&gt;=30,$AT$3&lt;=AG$7),ROUND(AG428*($AP$3+#REF!),-1),""))</f>
        <v/>
      </c>
      <c r="AI428" s="506" t="s">
        <v>621</v>
      </c>
      <c r="AJ428" s="503" t="str">
        <f>IF($G428="","",IF(AND($G428&gt;=30,$AT$3&lt;=AI$7),ROUND(AI428*($AP$3+#REF!),-1),""))</f>
        <v/>
      </c>
      <c r="AK428" s="506" t="s">
        <v>621</v>
      </c>
      <c r="AL428" s="503" t="str">
        <f>IF($G428="","",IF(AND($G428&gt;=30,$AT$3&lt;=AK$7),ROUND(AK428*($AP$3+#REF!),-1),""))</f>
        <v/>
      </c>
      <c r="AM428" s="506" t="s">
        <v>621</v>
      </c>
      <c r="AN428" s="503" t="str">
        <f>IF($G428="","",IF(AND($G428&gt;=30,$AT$3&lt;=AM$7),ROUND(AM428*($AP$3+#REF!),-1),""))</f>
        <v/>
      </c>
      <c r="AO428" s="503" t="e">
        <v>#REF!</v>
      </c>
      <c r="AP428" s="503" t="str">
        <f>IF($G428="","",IF(AND($G428&gt;=30,$AT$3&lt;=AO$7),ROUND(AO428*($AP$3+#REF!),-1),""))</f>
        <v/>
      </c>
      <c r="AQ428" s="503" t="s">
        <v>621</v>
      </c>
      <c r="AR428" s="503" t="str">
        <f>IF($G428="","",IF(AND($G428&gt;=30,$AT$3&lt;=AQ$7),ROUND(AQ428*($AP$3+#REF!),-1),""))</f>
        <v/>
      </c>
      <c r="AS428" s="503" t="s">
        <v>621</v>
      </c>
      <c r="AT428" s="503" t="str">
        <f>IF($G428="","",IF(AND($G428&gt;=30,$AT$3&lt;=AS$7),ROUND(AS428*($AP$3+#REF!),-1),""))</f>
        <v/>
      </c>
      <c r="AU428" s="503" t="s">
        <v>621</v>
      </c>
      <c r="AV428" s="503" t="str">
        <f>IF($G428="","",IF(AND($G428&gt;=30,$AT$3&lt;=AU$7),ROUND(AU428*($AP$3+#REF!),-1),""))</f>
        <v/>
      </c>
      <c r="AW428" s="503" t="s">
        <v>621</v>
      </c>
      <c r="AX428" s="503" t="str">
        <f>IF($G428="","",IF(AND($G428&gt;=30,$AT$3&lt;=AW$7),ROUND(AW428*($AP$3+#REF!),-1),""))</f>
        <v/>
      </c>
      <c r="AY428" s="503" t="s">
        <v>621</v>
      </c>
      <c r="AZ428" s="503" t="str">
        <f>IF($G428="","",IF(AND($G428&gt;=30,$AT$3&lt;=AY$7),ROUND(AY428*($AP$3+#REF!),-1),""))</f>
        <v/>
      </c>
      <c r="BA428" s="503" t="s">
        <v>621</v>
      </c>
      <c r="BB428" s="503" t="str">
        <f>IF($G428="","",IF(AND($G428&gt;=30,$AT$3&lt;=BA$7),ROUND(BA428*($AP$3+#REF!),-1),""))</f>
        <v/>
      </c>
      <c r="BC428" s="503" t="s">
        <v>621</v>
      </c>
      <c r="BD428" s="503" t="str">
        <f>IF($G428="","",IF(AND($G428&gt;=30,$AT$3&lt;=BC$7),ROUND(BC428*($AP$3+#REF!),-1),""))</f>
        <v/>
      </c>
      <c r="BE428" s="503" t="s">
        <v>621</v>
      </c>
      <c r="BF428" s="503" t="str">
        <f>IF($G428="","",IF(AND($G428&gt;=30,$AT$3&lt;=BE$7),ROUND(BE428*($AP$3+#REF!),-1),""))</f>
        <v/>
      </c>
      <c r="BG428" s="503" t="s">
        <v>621</v>
      </c>
      <c r="BH428" s="503" t="str">
        <f>IF($G428="","",IF(AND($G428&gt;=30,$AT$3&lt;=BG$7),ROUND(BG428*($AP$3+#REF!),-1),""))</f>
        <v/>
      </c>
      <c r="BI428" s="503" t="s">
        <v>621</v>
      </c>
      <c r="BJ428" s="503" t="str">
        <f>IF($G428="","",IF(AND($G428&gt;=30,$AT$3&lt;=BI$7),ROUND(BI428*($AP$3+#REF!),-1),""))</f>
        <v/>
      </c>
      <c r="BK428" s="503" t="s">
        <v>621</v>
      </c>
      <c r="BL428" s="503" t="str">
        <f>IF($G428="","",IF(AND($G428&gt;=30,$AT$3&lt;=BK$7),ROUND(BK428*($AP$3+#REF!),-1),""))</f>
        <v/>
      </c>
      <c r="BM428" s="503" t="s">
        <v>621</v>
      </c>
      <c r="BN428" s="503" t="str">
        <f>IF($G428="","",IF(AND($G428&gt;=30,$AT$3&lt;=BM$7),ROUND(BM428*($AP$3+#REF!),-1),""))</f>
        <v/>
      </c>
      <c r="BO428" s="503" t="s">
        <v>621</v>
      </c>
      <c r="BP428" s="503" t="str">
        <f>IF($G428="","",IF(AND($G428&gt;=30,$AT$3&lt;=BO$7),ROUND(BO428*($AP$3+#REF!),-1),""))</f>
        <v/>
      </c>
      <c r="BQ428" s="503" t="s">
        <v>621</v>
      </c>
      <c r="BR428" s="503" t="str">
        <f>IF($G428="","",IF(AND($G428&gt;=30,$AT$3&lt;=BQ$7),ROUND(BQ428*($AP$3+#REF!),-1),""))</f>
        <v/>
      </c>
      <c r="BS428" s="503" t="s">
        <v>621</v>
      </c>
      <c r="BT428" s="503" t="str">
        <f>IF($G428="","",IF(AND($G428&gt;=30,$AT$3&lt;=BS$7),ROUND(BS428*($AP$3+#REF!),-1),""))</f>
        <v/>
      </c>
      <c r="BU428" s="503" t="s">
        <v>621</v>
      </c>
      <c r="BV428" s="503" t="str">
        <f>IF($G428="","",IF(AND($G428&gt;=30,$AT$3&lt;=BU$7),ROUND(BU428*($AP$3+#REF!),-1),""))</f>
        <v/>
      </c>
      <c r="BW428" s="503" t="s">
        <v>621</v>
      </c>
      <c r="BX428" s="503" t="str">
        <f>IF($G428="","",IF(AND($G428&gt;=30,$AT$3&lt;=BW$7),ROUND(BW428*($AP$3+#REF!),-1),""))</f>
        <v/>
      </c>
      <c r="BY428" s="503" t="s">
        <v>621</v>
      </c>
      <c r="BZ428" s="503" t="str">
        <f>IF($G428="","",IF(AND($G428&gt;=30,$AT$3&lt;=BY$7),ROUND(BY428*($AP$3+#REF!),-1),""))</f>
        <v/>
      </c>
      <c r="CA428" s="503" t="s">
        <v>621</v>
      </c>
      <c r="CB428" s="503" t="str">
        <f>IF($G428="","",IF(AND($G428&gt;=30,$AT$3&lt;=CA$7),ROUND(CA428*($AP$3+#REF!),-1),""))</f>
        <v/>
      </c>
      <c r="CC428" s="503" t="s">
        <v>621</v>
      </c>
      <c r="CD428" s="503" t="str">
        <f>IF($G428="","",IF(AND($G428&gt;=30,$AT$3&lt;=CC$7),ROUND(CC428*($AP$3+#REF!),-1),""))</f>
        <v/>
      </c>
      <c r="CE428" s="503" t="s">
        <v>621</v>
      </c>
      <c r="CF428" s="503" t="str">
        <f>IF($G428="","",IF(AND($G428&gt;=30,$AT$3&lt;=CE$7),ROUND(CE428*($AP$3+#REF!),-1),""))</f>
        <v/>
      </c>
      <c r="CG428" s="503" t="s">
        <v>621</v>
      </c>
      <c r="CH428" s="503" t="str">
        <f>IF($G428="","",IF(AND($G428&gt;=30,$AT$3&lt;=CG$7),ROUND(CG428*($AP$3+#REF!),-1),""))</f>
        <v/>
      </c>
      <c r="CI428" s="503" t="s">
        <v>621</v>
      </c>
      <c r="CJ428" s="503" t="str">
        <f>IF($G428="","",IF(AND($G428&gt;=30,$AT$3&lt;=CI$7),ROUND(CI428*($AP$3+#REF!),-1),""))</f>
        <v/>
      </c>
      <c r="CK428" s="503" t="s">
        <v>621</v>
      </c>
      <c r="CL428" s="503" t="str">
        <f>IF($G428="","",IF(AND($G428&gt;=30,$AT$3&lt;=CK$7),ROUND(CK428*($AP$3+#REF!),-1),""))</f>
        <v/>
      </c>
      <c r="CM428" s="503" t="s">
        <v>621</v>
      </c>
      <c r="CN428" s="503" t="str">
        <f>IF($G428="","",IF(AND($G428&gt;=30,$AT$3&lt;=CM$7),ROUND(CM428*($AP$3+#REF!),-1),""))</f>
        <v/>
      </c>
      <c r="CO428" s="503" t="s">
        <v>621</v>
      </c>
      <c r="CP428" s="503" t="str">
        <f>IF($G428="","",IF(AND($G428&gt;=30,$AT$3&lt;=CO$7),ROUND(CO428*($AP$3+#REF!),-1),""))</f>
        <v/>
      </c>
      <c r="CQ428" s="503" t="s">
        <v>621</v>
      </c>
      <c r="CR428" s="503" t="str">
        <f>IF($G428="","",IF(AND($G428&gt;=30,$AT$3&lt;=CQ$7),ROUND(CQ428*($AP$3+#REF!),-1),""))</f>
        <v/>
      </c>
      <c r="CS428" s="503" t="s">
        <v>621</v>
      </c>
      <c r="CT428" s="503" t="str">
        <f>IF($G428="","",IF(AND($G428&gt;=30,$AT$3&lt;=CS$7),ROUND(CS428*($AP$3+#REF!),-1),""))</f>
        <v/>
      </c>
      <c r="CU428" s="503" t="s">
        <v>621</v>
      </c>
      <c r="CV428" s="503" t="str">
        <f>IF($G428="","",IF(AND($G428&gt;=30,$AT$3&lt;=CU$7),ROUND(CU428*($AP$3+#REF!),-1),""))</f>
        <v/>
      </c>
      <c r="CW428" s="517" t="e">
        <v>#REF!</v>
      </c>
      <c r="CX428" s="503" t="str">
        <f>IF($G428="","",IF(AND($G428&gt;=30,$AT$3&lt;=CW$7),ROUND(CW428*($AP$3+#REF!),-1),""))</f>
        <v/>
      </c>
      <c r="CY428" s="517"/>
      <c r="CZ428" s="503" t="str">
        <f>IF($G428="","",IF(AND($G428&gt;=30,$AT$3&lt;=CY$7),ROUND(CY428*($AP$3+#REF!),-1),""))</f>
        <v/>
      </c>
      <c r="DA428" s="517"/>
      <c r="DB428" s="503" t="str">
        <f>IF($G428="","",IF(AND($G428&gt;=30,$AT$3&lt;=DA$7),ROUND(DA428*($AP$3+#REF!),-1),""))</f>
        <v/>
      </c>
      <c r="DC428" s="517"/>
      <c r="DD428" s="503" t="str">
        <f>IF($G428="","",IF(AND($G428&gt;=30,$AT$3&lt;=DC$7),ROUND(DC428*($AP$3+#REF!),-1),""))</f>
        <v/>
      </c>
      <c r="DE428" s="517"/>
      <c r="DF428" s="503" t="str">
        <f>IF($G428="","",IF(AND($G428&gt;=30,$AT$3&lt;=DE$7),ROUND(DE428*($AP$3+#REF!),-1),""))</f>
        <v/>
      </c>
      <c r="DG428" s="517"/>
      <c r="DH428" s="503" t="str">
        <f>IF($G428="","",IF(AND($G428&gt;=30,$AT$3&lt;=DG$7),ROUND(DG428*($AP$3+#REF!),-1),""))</f>
        <v/>
      </c>
      <c r="DI428" s="517"/>
      <c r="DJ428" s="503" t="str">
        <f>IF($G428="","",IF(AND($G428&gt;=30,$AT$3&lt;=DI$7),ROUND(DI428*($AP$3+#REF!),-1),""))</f>
        <v/>
      </c>
      <c r="DK428" s="517"/>
      <c r="DL428" s="503" t="str">
        <f>IF($G428="","",IF(AND($G428&gt;=30,$AT$3&lt;=DK$7),ROUND(DK428*($AP$3+#REF!),-1),""))</f>
        <v/>
      </c>
      <c r="DM428" s="517"/>
      <c r="DN428" s="503" t="str">
        <f>IF($G428="","",IF(AND($G428&gt;=30,$AT$3&lt;=DM$7),ROUND(DM428*($AP$3+#REF!),-1),""))</f>
        <v/>
      </c>
      <c r="DO428" s="517"/>
      <c r="DP428" s="503" t="str">
        <f>IF($G428="","",IF(AND($G428&gt;=30,$AT$3&lt;=DO$7),ROUND(DO428*($AP$3+#REF!),-1),""))</f>
        <v/>
      </c>
      <c r="DQ428" s="517"/>
      <c r="DR428" s="503" t="str">
        <f>IF($G428="","",IF(AND($G428&gt;=30,$AT$3&lt;=DQ$7),ROUND(DQ428*($AP$3+#REF!),-1),""))</f>
        <v/>
      </c>
      <c r="DS428" s="517"/>
      <c r="DT428" s="503" t="str">
        <f>IF($G428="","",IF(AND($G428&gt;=30,$AT$3&lt;=DS$7),ROUND(DS428*($AP$3+#REF!),-1),""))</f>
        <v/>
      </c>
      <c r="DU428" s="517"/>
      <c r="DV428" s="503" t="str">
        <f>IF($G428="","",IF(AND($G428&gt;=30,$AT$3&lt;=DU$7),ROUND(DU428*($AP$3+#REF!),-1),""))</f>
        <v/>
      </c>
      <c r="DW428" s="517"/>
      <c r="DX428" s="503" t="str">
        <f>IF($G428="","",IF(AND($G428&gt;=30,$AT$3&lt;=DW$7),ROUND(DW428*($AP$3+#REF!),-1),""))</f>
        <v/>
      </c>
      <c r="DY428" s="517"/>
      <c r="DZ428" s="503" t="str">
        <f>IF($G428="","",IF(AND($G428&gt;=30,$AT$3&lt;=DY$7),ROUND(DY428*($AP$3+#REF!),-1),""))</f>
        <v/>
      </c>
      <c r="EA428" s="517"/>
      <c r="EB428" s="503" t="str">
        <f>IF($G428="","",IF(AND($G428&gt;=30,$AT$3&lt;=EA$7),ROUND(EA428*($AP$3+#REF!),-1),""))</f>
        <v/>
      </c>
      <c r="EC428" s="504" t="s">
        <v>621</v>
      </c>
      <c r="ED428" s="1125"/>
      <c r="EE428" s="325">
        <v>12</v>
      </c>
    </row>
    <row r="429" spans="1:135" ht="9.75" customHeight="1">
      <c r="A429" s="321" t="str">
        <f t="shared" si="96"/>
        <v/>
      </c>
      <c r="B429" s="567">
        <f>(ii!$D$13*12+V429)+1</f>
        <v>323</v>
      </c>
      <c r="C429" s="345">
        <f t="shared" si="100"/>
        <v>55184</v>
      </c>
      <c r="D429" s="340">
        <f t="shared" si="103"/>
        <v>2051</v>
      </c>
      <c r="E429" s="340">
        <f t="shared" si="101"/>
        <v>8.3333333333333329E-2</v>
      </c>
      <c r="F429" s="340">
        <f t="shared" si="104"/>
        <v>2051.0833333333335</v>
      </c>
      <c r="G429" s="531" t="str">
        <f>IF(OR(C429&lt;$I$2,C429&gt;$J$3),"",(ii!$D$13*12+V429+1)/12)</f>
        <v/>
      </c>
      <c r="H429" s="532"/>
      <c r="I429" s="532"/>
      <c r="J429" s="533"/>
      <c r="K429" s="553"/>
      <c r="L429" s="534"/>
      <c r="M429" s="489" t="str">
        <f t="shared" si="105"/>
        <v/>
      </c>
      <c r="N429" s="536" t="s">
        <v>621</v>
      </c>
      <c r="O429" s="490" t="str">
        <f t="shared" si="98"/>
        <v/>
      </c>
      <c r="P429" s="537"/>
      <c r="Q429" s="537"/>
      <c r="R429" s="533" t="str">
        <f t="shared" si="99"/>
        <v/>
      </c>
      <c r="S429" s="538" t="str">
        <f t="shared" si="97"/>
        <v/>
      </c>
      <c r="T429" s="538" t="str">
        <f t="shared" si="95"/>
        <v/>
      </c>
      <c r="U429" s="539" t="str">
        <f>IF(H429="","",#REF!*12+#REF!+#REF!*12+#REF!)</f>
        <v/>
      </c>
      <c r="V429" s="338">
        <f>IF(ii!$J$3&gt;gg!C429,"",IF(AND((YEAR(C429)=YEAR($I$2)),MONTH(C429)=MONTH($I$2)),ii!$B$14*12+ii!$C$14+ii!$B$15*12+ii!$C$15-1,V428+1))</f>
        <v>322</v>
      </c>
      <c r="W429" s="339">
        <f t="shared" si="102"/>
        <v>26.833333333333332</v>
      </c>
      <c r="X429" s="540" t="s">
        <v>621</v>
      </c>
      <c r="Y429" s="538" t="s">
        <v>621</v>
      </c>
      <c r="Z429" s="541">
        <f>Z417+$Z$26</f>
        <v>0.99000000000000066</v>
      </c>
      <c r="AA429" s="542" t="str">
        <f>IF(Y429="","",(Y429-Y428)/Y428)</f>
        <v/>
      </c>
      <c r="AB429" s="543" t="e">
        <f t="shared" si="108"/>
        <v>#VALUE!</v>
      </c>
      <c r="AC429" s="544" t="str">
        <f t="shared" si="106"/>
        <v/>
      </c>
      <c r="AD429" s="538" t="str">
        <f t="shared" si="107"/>
        <v/>
      </c>
      <c r="AE429" s="545" t="s">
        <v>621</v>
      </c>
      <c r="AF429" s="546" t="s">
        <v>621</v>
      </c>
      <c r="AG429" s="558" t="s">
        <v>621</v>
      </c>
      <c r="AH429" s="547" t="str">
        <f>IF($G429="","",IF(AND($G429&gt;=30,$AT$3&lt;=AG$7),ROUND(AG429*($AP$3+#REF!),-1),""))</f>
        <v/>
      </c>
      <c r="AI429" s="558" t="s">
        <v>621</v>
      </c>
      <c r="AJ429" s="547" t="str">
        <f>IF($G429="","",IF(AND($G429&gt;=30,$AT$3&lt;=AI$7),ROUND(AI429*($AP$3+#REF!),-1),""))</f>
        <v/>
      </c>
      <c r="AK429" s="560" t="s">
        <v>621</v>
      </c>
      <c r="AL429" s="547" t="str">
        <f>IF($G429="","",IF(AND($G429&gt;=30,$AT$3&lt;=AK$7),ROUND(AK429*($AP$3+#REF!),-1),""))</f>
        <v/>
      </c>
      <c r="AM429" s="560" t="s">
        <v>621</v>
      </c>
      <c r="AN429" s="547" t="str">
        <f>IF($G429="","",IF(AND($G429&gt;=30,$AT$3&lt;=AM$7),ROUND(AM429*($AP$3+#REF!),-1),""))</f>
        <v/>
      </c>
      <c r="AO429" s="547" t="e">
        <v>#REF!</v>
      </c>
      <c r="AP429" s="547" t="str">
        <f>IF($G429="","",IF(AND($G429&gt;=30,$AT$3&lt;=AO$7),ROUND(AO429*($AP$3+#REF!),-1),""))</f>
        <v/>
      </c>
      <c r="AQ429" s="547" t="s">
        <v>621</v>
      </c>
      <c r="AR429" s="547" t="str">
        <f>IF($G429="","",IF(AND($G429&gt;=30,$AT$3&lt;=AQ$7),ROUND(AQ429*($AP$3+#REF!),-1),""))</f>
        <v/>
      </c>
      <c r="AS429" s="547" t="s">
        <v>621</v>
      </c>
      <c r="AT429" s="547" t="str">
        <f>IF($G429="","",IF(AND($G429&gt;=30,$AT$3&lt;=AS$7),ROUND(AS429*($AP$3+#REF!),-1),""))</f>
        <v/>
      </c>
      <c r="AU429" s="547" t="s">
        <v>621</v>
      </c>
      <c r="AV429" s="547" t="str">
        <f>IF($G429="","",IF(AND($G429&gt;=30,$AT$3&lt;=AU$7),ROUND(AU429*($AP$3+#REF!),-1),""))</f>
        <v/>
      </c>
      <c r="AW429" s="547" t="s">
        <v>621</v>
      </c>
      <c r="AX429" s="547" t="str">
        <f>IF($G429="","",IF(AND($G429&gt;=30,$AT$3&lt;=AW$7),ROUND(AW429*($AP$3+#REF!),-1),""))</f>
        <v/>
      </c>
      <c r="AY429" s="547" t="s">
        <v>621</v>
      </c>
      <c r="AZ429" s="547" t="str">
        <f>IF($G429="","",IF(AND($G429&gt;=30,$AT$3&lt;=AY$7),ROUND(AY429*($AP$3+#REF!),-1),""))</f>
        <v/>
      </c>
      <c r="BA429" s="547" t="s">
        <v>621</v>
      </c>
      <c r="BB429" s="547" t="str">
        <f>IF($G429="","",IF(AND($G429&gt;=30,$AT$3&lt;=BA$7),ROUND(BA429*($AP$3+#REF!),-1),""))</f>
        <v/>
      </c>
      <c r="BC429" s="547" t="s">
        <v>621</v>
      </c>
      <c r="BD429" s="547" t="str">
        <f>IF($G429="","",IF(AND($G429&gt;=30,$AT$3&lt;=BC$7),ROUND(BC429*($AP$3+#REF!),-1),""))</f>
        <v/>
      </c>
      <c r="BE429" s="547" t="s">
        <v>621</v>
      </c>
      <c r="BF429" s="547" t="str">
        <f>IF($G429="","",IF(AND($G429&gt;=30,$AT$3&lt;=BE$7),ROUND(BE429*($AP$3+#REF!),-1),""))</f>
        <v/>
      </c>
      <c r="BG429" s="547" t="s">
        <v>621</v>
      </c>
      <c r="BH429" s="547" t="str">
        <f>IF($G429="","",IF(AND($G429&gt;=30,$AT$3&lt;=BG$7),ROUND(BG429*($AP$3+#REF!),-1),""))</f>
        <v/>
      </c>
      <c r="BI429" s="547" t="s">
        <v>621</v>
      </c>
      <c r="BJ429" s="547" t="str">
        <f>IF($G429="","",IF(AND($G429&gt;=30,$AT$3&lt;=BI$7),ROUND(BI429*($AP$3+#REF!),-1),""))</f>
        <v/>
      </c>
      <c r="BK429" s="547" t="s">
        <v>621</v>
      </c>
      <c r="BL429" s="547" t="str">
        <f>IF($G429="","",IF(AND($G429&gt;=30,$AT$3&lt;=BK$7),ROUND(BK429*($AP$3+#REF!),-1),""))</f>
        <v/>
      </c>
      <c r="BM429" s="547" t="s">
        <v>621</v>
      </c>
      <c r="BN429" s="547" t="str">
        <f>IF($G429="","",IF(AND($G429&gt;=30,$AT$3&lt;=BM$7),ROUND(BM429*($AP$3+#REF!),-1),""))</f>
        <v/>
      </c>
      <c r="BO429" s="547" t="s">
        <v>621</v>
      </c>
      <c r="BP429" s="547" t="str">
        <f>IF($G429="","",IF(AND($G429&gt;=30,$AT$3&lt;=BO$7),ROUND(BO429*($AP$3+#REF!),-1),""))</f>
        <v/>
      </c>
      <c r="BQ429" s="547" t="s">
        <v>621</v>
      </c>
      <c r="BR429" s="547" t="str">
        <f>IF($G429="","",IF(AND($G429&gt;=30,$AT$3&lt;=BQ$7),ROUND(BQ429*($AP$3+#REF!),-1),""))</f>
        <v/>
      </c>
      <c r="BS429" s="547" t="s">
        <v>621</v>
      </c>
      <c r="BT429" s="547" t="str">
        <f>IF($G429="","",IF(AND($G429&gt;=30,$AT$3&lt;=BS$7),ROUND(BS429*($AP$3+#REF!),-1),""))</f>
        <v/>
      </c>
      <c r="BU429" s="547" t="s">
        <v>621</v>
      </c>
      <c r="BV429" s="547" t="str">
        <f>IF($G429="","",IF(AND($G429&gt;=30,$AT$3&lt;=BU$7),ROUND(BU429*($AP$3+#REF!),-1),""))</f>
        <v/>
      </c>
      <c r="BW429" s="547" t="s">
        <v>621</v>
      </c>
      <c r="BX429" s="547" t="str">
        <f>IF($G429="","",IF(AND($G429&gt;=30,$AT$3&lt;=BW$7),ROUND(BW429*($AP$3+#REF!),-1),""))</f>
        <v/>
      </c>
      <c r="BY429" s="547" t="s">
        <v>621</v>
      </c>
      <c r="BZ429" s="547" t="str">
        <f>IF($G429="","",IF(AND($G429&gt;=30,$AT$3&lt;=BY$7),ROUND(BY429*($AP$3+#REF!),-1),""))</f>
        <v/>
      </c>
      <c r="CA429" s="547" t="s">
        <v>621</v>
      </c>
      <c r="CB429" s="547" t="str">
        <f>IF($G429="","",IF(AND($G429&gt;=30,$AT$3&lt;=CA$7),ROUND(CA429*($AP$3+#REF!),-1),""))</f>
        <v/>
      </c>
      <c r="CC429" s="547" t="s">
        <v>621</v>
      </c>
      <c r="CD429" s="547" t="str">
        <f>IF($G429="","",IF(AND($G429&gt;=30,$AT$3&lt;=CC$7),ROUND(CC429*($AP$3+#REF!),-1),""))</f>
        <v/>
      </c>
      <c r="CE429" s="547" t="s">
        <v>621</v>
      </c>
      <c r="CF429" s="547" t="str">
        <f>IF($G429="","",IF(AND($G429&gt;=30,$AT$3&lt;=CE$7),ROUND(CE429*($AP$3+#REF!),-1),""))</f>
        <v/>
      </c>
      <c r="CG429" s="547" t="s">
        <v>621</v>
      </c>
      <c r="CH429" s="547" t="str">
        <f>IF($G429="","",IF(AND($G429&gt;=30,$AT$3&lt;=CG$7),ROUND(CG429*($AP$3+#REF!),-1),""))</f>
        <v/>
      </c>
      <c r="CI429" s="547" t="s">
        <v>621</v>
      </c>
      <c r="CJ429" s="547" t="str">
        <f>IF($G429="","",IF(AND($G429&gt;=30,$AT$3&lt;=CI$7),ROUND(CI429*($AP$3+#REF!),-1),""))</f>
        <v/>
      </c>
      <c r="CK429" s="547" t="s">
        <v>621</v>
      </c>
      <c r="CL429" s="547" t="str">
        <f>IF($G429="","",IF(AND($G429&gt;=30,$AT$3&lt;=CK$7),ROUND(CK429*($AP$3+#REF!),-1),""))</f>
        <v/>
      </c>
      <c r="CM429" s="547" t="s">
        <v>621</v>
      </c>
      <c r="CN429" s="547" t="str">
        <f>IF($G429="","",IF(AND($G429&gt;=30,$AT$3&lt;=CM$7),ROUND(CM429*($AP$3+#REF!),-1),""))</f>
        <v/>
      </c>
      <c r="CO429" s="547" t="s">
        <v>621</v>
      </c>
      <c r="CP429" s="547" t="str">
        <f>IF($G429="","",IF(AND($G429&gt;=30,$AT$3&lt;=CO$7),ROUND(CO429*($AP$3+#REF!),-1),""))</f>
        <v/>
      </c>
      <c r="CQ429" s="547" t="s">
        <v>621</v>
      </c>
      <c r="CR429" s="547" t="str">
        <f>IF($G429="","",IF(AND($G429&gt;=30,$AT$3&lt;=CQ$7),ROUND(CQ429*($AP$3+#REF!),-1),""))</f>
        <v/>
      </c>
      <c r="CS429" s="547" t="s">
        <v>621</v>
      </c>
      <c r="CT429" s="547" t="str">
        <f>IF($G429="","",IF(AND($G429&gt;=30,$AT$3&lt;=CS$7),ROUND(CS429*($AP$3+#REF!),-1),""))</f>
        <v/>
      </c>
      <c r="CU429" s="547" t="s">
        <v>621</v>
      </c>
      <c r="CV429" s="547" t="str">
        <f>IF($G429="","",IF(AND($G429&gt;=30,$AT$3&lt;=CU$7),ROUND(CU429*($AP$3+#REF!),-1),""))</f>
        <v/>
      </c>
      <c r="CW429" s="547" t="s">
        <v>621</v>
      </c>
      <c r="CX429" s="547" t="str">
        <f>IF($G429="","",IF(AND($G429&gt;=30,$AT$3&lt;=CW$7),ROUND(CW429*($AP$3+#REF!),-1),""))</f>
        <v/>
      </c>
      <c r="CY429" s="533" t="e">
        <v>#REF!</v>
      </c>
      <c r="CZ429" s="547" t="str">
        <f>IF($G429="","",IF(AND($G429&gt;=30,$AT$3&lt;=CY$7),ROUND(CY429*($AP$3+#REF!),-1),""))</f>
        <v/>
      </c>
      <c r="DA429" s="547"/>
      <c r="DB429" s="547" t="str">
        <f>IF($G429="","",IF(AND($G429&gt;=30,$AT$3&lt;=DA$7),ROUND(DA429*($AP$3+#REF!),-1),""))</f>
        <v/>
      </c>
      <c r="DC429" s="547"/>
      <c r="DD429" s="547" t="str">
        <f>IF($G429="","",IF(AND($G429&gt;=30,$AT$3&lt;=DC$7),ROUND(DC429*($AP$3+#REF!),-1),""))</f>
        <v/>
      </c>
      <c r="DE429" s="547"/>
      <c r="DF429" s="547" t="str">
        <f>IF($G429="","",IF(AND($G429&gt;=30,$AT$3&lt;=DE$7),ROUND(DE429*($AP$3+#REF!),-1),""))</f>
        <v/>
      </c>
      <c r="DG429" s="547"/>
      <c r="DH429" s="547" t="str">
        <f>IF($G429="","",IF(AND($G429&gt;=30,$AT$3&lt;=DG$7),ROUND(DG429*($AP$3+#REF!),-1),""))</f>
        <v/>
      </c>
      <c r="DI429" s="547"/>
      <c r="DJ429" s="547" t="str">
        <f>IF($G429="","",IF(AND($G429&gt;=30,$AT$3&lt;=DI$7),ROUND(DI429*($AP$3+#REF!),-1),""))</f>
        <v/>
      </c>
      <c r="DK429" s="547"/>
      <c r="DL429" s="547" t="str">
        <f>IF($G429="","",IF(AND($G429&gt;=30,$AT$3&lt;=DK$7),ROUND(DK429*($AP$3+#REF!),-1),""))</f>
        <v/>
      </c>
      <c r="DM429" s="547"/>
      <c r="DN429" s="547" t="str">
        <f>IF($G429="","",IF(AND($G429&gt;=30,$AT$3&lt;=DM$7),ROUND(DM429*($AP$3+#REF!),-1),""))</f>
        <v/>
      </c>
      <c r="DO429" s="547"/>
      <c r="DP429" s="547" t="str">
        <f>IF($G429="","",IF(AND($G429&gt;=30,$AT$3&lt;=DO$7),ROUND(DO429*($AP$3+#REF!),-1),""))</f>
        <v/>
      </c>
      <c r="DQ429" s="547"/>
      <c r="DR429" s="547" t="str">
        <f>IF($G429="","",IF(AND($G429&gt;=30,$AT$3&lt;=DQ$7),ROUND(DQ429*($AP$3+#REF!),-1),""))</f>
        <v/>
      </c>
      <c r="DS429" s="547"/>
      <c r="DT429" s="547" t="str">
        <f>IF($G429="","",IF(AND($G429&gt;=30,$AT$3&lt;=DS$7),ROUND(DS429*($AP$3+#REF!),-1),""))</f>
        <v/>
      </c>
      <c r="DU429" s="547"/>
      <c r="DV429" s="547" t="str">
        <f>IF($G429="","",IF(AND($G429&gt;=30,$AT$3&lt;=DU$7),ROUND(DU429*($AP$3+#REF!),-1),""))</f>
        <v/>
      </c>
      <c r="DW429" s="547"/>
      <c r="DX429" s="547" t="str">
        <f>IF($G429="","",IF(AND($G429&gt;=30,$AT$3&lt;=DW$7),ROUND(DW429*($AP$3+#REF!),-1),""))</f>
        <v/>
      </c>
      <c r="DY429" s="547"/>
      <c r="DZ429" s="547" t="str">
        <f>IF($G429="","",IF(AND($G429&gt;=30,$AT$3&lt;=DY$7),ROUND(DY429*($AP$3+#REF!),-1),""))</f>
        <v/>
      </c>
      <c r="EA429" s="547"/>
      <c r="EB429" s="547" t="str">
        <f>IF($G429="","",IF(AND($G429&gt;=30,$AT$3&lt;=EA$7),ROUND(EA429*($AP$3+#REF!),-1),""))</f>
        <v/>
      </c>
      <c r="EC429" s="547" t="s">
        <v>621</v>
      </c>
      <c r="ED429" s="1123">
        <f>SUM(EC429:EC440)</f>
        <v>0</v>
      </c>
      <c r="EE429" s="325">
        <v>1</v>
      </c>
    </row>
    <row r="430" spans="1:135" ht="9.75" customHeight="1">
      <c r="A430" s="321" t="str">
        <f t="shared" si="96"/>
        <v/>
      </c>
      <c r="B430" s="567">
        <f>(ii!$D$13*12+V430)+1</f>
        <v>324</v>
      </c>
      <c r="C430" s="337">
        <f t="shared" si="100"/>
        <v>55212</v>
      </c>
      <c r="D430" s="484">
        <f t="shared" si="103"/>
        <v>2051</v>
      </c>
      <c r="E430" s="484">
        <f t="shared" si="101"/>
        <v>0.16666666666666666</v>
      </c>
      <c r="F430" s="484">
        <f t="shared" si="104"/>
        <v>2051.1666666666665</v>
      </c>
      <c r="G430" s="485" t="str">
        <f>IF(OR(C430&lt;$I$2,C430&gt;$J$3),"",(ii!$D$13*12+V430+1)/12)</f>
        <v/>
      </c>
      <c r="H430" s="486"/>
      <c r="I430" s="486"/>
      <c r="J430" s="487"/>
      <c r="K430" s="488"/>
      <c r="L430" s="548"/>
      <c r="M430" s="489" t="str">
        <f t="shared" si="105"/>
        <v/>
      </c>
      <c r="N430" s="490" t="s">
        <v>621</v>
      </c>
      <c r="O430" s="490" t="str">
        <f t="shared" si="98"/>
        <v/>
      </c>
      <c r="P430" s="491"/>
      <c r="Q430" s="491"/>
      <c r="R430" s="491" t="str">
        <f t="shared" si="99"/>
        <v/>
      </c>
      <c r="S430" s="528" t="str">
        <f t="shared" si="97"/>
        <v/>
      </c>
      <c r="T430" s="528" t="str">
        <f t="shared" si="95"/>
        <v/>
      </c>
      <c r="U430" s="493" t="str">
        <f>IF(H430="","",#REF!*12+#REF!+#REF!*12+#REF!)</f>
        <v/>
      </c>
      <c r="V430" s="338">
        <f>IF(ii!$J$3&gt;gg!C430,"",IF(AND((YEAR(C430)=YEAR($I$2)),MONTH(C430)=MONTH($I$2)),ii!$B$14*12+ii!$C$14+ii!$B$15*12+ii!$C$15-1,V429+1))</f>
        <v>323</v>
      </c>
      <c r="W430" s="339">
        <f t="shared" si="102"/>
        <v>26.916666666666668</v>
      </c>
      <c r="X430" s="494" t="s">
        <v>621</v>
      </c>
      <c r="Y430" s="495" t="s">
        <v>621</v>
      </c>
      <c r="Z430" s="496"/>
      <c r="AA430" s="497"/>
      <c r="AB430" s="498" t="e">
        <f t="shared" si="108"/>
        <v>#VALUE!</v>
      </c>
      <c r="AC430" s="484" t="str">
        <f t="shared" si="106"/>
        <v/>
      </c>
      <c r="AD430" s="495" t="str">
        <f t="shared" si="107"/>
        <v/>
      </c>
      <c r="AE430" s="499" t="s">
        <v>621</v>
      </c>
      <c r="AF430" s="500" t="s">
        <v>621</v>
      </c>
      <c r="AG430" s="556" t="s">
        <v>621</v>
      </c>
      <c r="AH430" s="503" t="str">
        <f>IF($G430="","",IF(AND($G430&gt;=30,$AT$3&lt;=AG$7),ROUND(AG430*($AP$3+#REF!),-1),""))</f>
        <v/>
      </c>
      <c r="AI430" s="506" t="s">
        <v>621</v>
      </c>
      <c r="AJ430" s="503" t="str">
        <f>IF($G430="","",IF(AND($G430&gt;=30,$AT$3&lt;=AI$7),ROUND(AI430*($AP$3+#REF!),-1),""))</f>
        <v/>
      </c>
      <c r="AK430" s="506" t="s">
        <v>621</v>
      </c>
      <c r="AL430" s="503" t="str">
        <f>IF($G430="","",IF(AND($G430&gt;=30,$AT$3&lt;=AK$7),ROUND(AK430*($AP$3+#REF!),-1),""))</f>
        <v/>
      </c>
      <c r="AM430" s="506" t="s">
        <v>621</v>
      </c>
      <c r="AN430" s="503" t="str">
        <f>IF($G430="","",IF(AND($G430&gt;=30,$AT$3&lt;=AM$7),ROUND(AM430*($AP$3+#REF!),-1),""))</f>
        <v/>
      </c>
      <c r="AO430" s="503" t="e">
        <f>IF(AO429="","",AO429*1.001)</f>
        <v>#REF!</v>
      </c>
      <c r="AP430" s="503" t="str">
        <f>IF($G430="","",IF(AND($G430&gt;=30,$AT$3&lt;=AO$7),ROUND(AO430*($AP$3+#REF!),-1),""))</f>
        <v/>
      </c>
      <c r="AQ430" s="503" t="s">
        <v>621</v>
      </c>
      <c r="AR430" s="503" t="str">
        <f>IF($G430="","",IF(AND($G430&gt;=30,$AT$3&lt;=AQ$7),ROUND(AQ430*($AP$3+#REF!),-1),""))</f>
        <v/>
      </c>
      <c r="AS430" s="503" t="s">
        <v>621</v>
      </c>
      <c r="AT430" s="503" t="str">
        <f>IF($G430="","",IF(AND($G430&gt;=30,$AT$3&lt;=AS$7),ROUND(AS430*($AP$3+#REF!),-1),""))</f>
        <v/>
      </c>
      <c r="AU430" s="503" t="s">
        <v>621</v>
      </c>
      <c r="AV430" s="503" t="str">
        <f>IF($G430="","",IF(AND($G430&gt;=30,$AT$3&lt;=AU$7),ROUND(AU430*($AP$3+#REF!),-1),""))</f>
        <v/>
      </c>
      <c r="AW430" s="503" t="s">
        <v>621</v>
      </c>
      <c r="AX430" s="503" t="str">
        <f>IF($G430="","",IF(AND($G430&gt;=30,$AT$3&lt;=AW$7),ROUND(AW430*($AP$3+#REF!),-1),""))</f>
        <v/>
      </c>
      <c r="AY430" s="503" t="s">
        <v>621</v>
      </c>
      <c r="AZ430" s="503" t="str">
        <f>IF($G430="","",IF(AND($G430&gt;=30,$AT$3&lt;=AY$7),ROUND(AY430*($AP$3+#REF!),-1),""))</f>
        <v/>
      </c>
      <c r="BA430" s="503" t="s">
        <v>621</v>
      </c>
      <c r="BB430" s="503" t="str">
        <f>IF($G430="","",IF(AND($G430&gt;=30,$AT$3&lt;=BA$7),ROUND(BA430*($AP$3+#REF!),-1),""))</f>
        <v/>
      </c>
      <c r="BC430" s="503" t="s">
        <v>621</v>
      </c>
      <c r="BD430" s="503" t="str">
        <f>IF($G430="","",IF(AND($G430&gt;=30,$AT$3&lt;=BC$7),ROUND(BC430*($AP$3+#REF!),-1),""))</f>
        <v/>
      </c>
      <c r="BE430" s="503" t="s">
        <v>621</v>
      </c>
      <c r="BF430" s="503" t="str">
        <f>IF($G430="","",IF(AND($G430&gt;=30,$AT$3&lt;=BE$7),ROUND(BE430*($AP$3+#REF!),-1),""))</f>
        <v/>
      </c>
      <c r="BG430" s="503" t="s">
        <v>621</v>
      </c>
      <c r="BH430" s="503" t="str">
        <f>IF($G430="","",IF(AND($G430&gt;=30,$AT$3&lt;=BG$7),ROUND(BG430*($AP$3+#REF!),-1),""))</f>
        <v/>
      </c>
      <c r="BI430" s="503" t="s">
        <v>621</v>
      </c>
      <c r="BJ430" s="503" t="str">
        <f>IF($G430="","",IF(AND($G430&gt;=30,$AT$3&lt;=BI$7),ROUND(BI430*($AP$3+#REF!),-1),""))</f>
        <v/>
      </c>
      <c r="BK430" s="503" t="s">
        <v>621</v>
      </c>
      <c r="BL430" s="503" t="str">
        <f>IF($G430="","",IF(AND($G430&gt;=30,$AT$3&lt;=BK$7),ROUND(BK430*($AP$3+#REF!),-1),""))</f>
        <v/>
      </c>
      <c r="BM430" s="503" t="s">
        <v>621</v>
      </c>
      <c r="BN430" s="503" t="str">
        <f>IF($G430="","",IF(AND($G430&gt;=30,$AT$3&lt;=BM$7),ROUND(BM430*($AP$3+#REF!),-1),""))</f>
        <v/>
      </c>
      <c r="BO430" s="503" t="s">
        <v>621</v>
      </c>
      <c r="BP430" s="503" t="str">
        <f>IF($G430="","",IF(AND($G430&gt;=30,$AT$3&lt;=BO$7),ROUND(BO430*($AP$3+#REF!),-1),""))</f>
        <v/>
      </c>
      <c r="BQ430" s="503" t="s">
        <v>621</v>
      </c>
      <c r="BR430" s="503" t="str">
        <f>IF($G430="","",IF(AND($G430&gt;=30,$AT$3&lt;=BQ$7),ROUND(BQ430*($AP$3+#REF!),-1),""))</f>
        <v/>
      </c>
      <c r="BS430" s="503" t="s">
        <v>621</v>
      </c>
      <c r="BT430" s="503" t="str">
        <f>IF($G430="","",IF(AND($G430&gt;=30,$AT$3&lt;=BS$7),ROUND(BS430*($AP$3+#REF!),-1),""))</f>
        <v/>
      </c>
      <c r="BU430" s="503" t="s">
        <v>621</v>
      </c>
      <c r="BV430" s="503" t="str">
        <f>IF($G430="","",IF(AND($G430&gt;=30,$AT$3&lt;=BU$7),ROUND(BU430*($AP$3+#REF!),-1),""))</f>
        <v/>
      </c>
      <c r="BW430" s="503" t="s">
        <v>621</v>
      </c>
      <c r="BX430" s="503" t="str">
        <f>IF($G430="","",IF(AND($G430&gt;=30,$AT$3&lt;=BW$7),ROUND(BW430*($AP$3+#REF!),-1),""))</f>
        <v/>
      </c>
      <c r="BY430" s="503" t="s">
        <v>621</v>
      </c>
      <c r="BZ430" s="503" t="str">
        <f>IF($G430="","",IF(AND($G430&gt;=30,$AT$3&lt;=BY$7),ROUND(BY430*($AP$3+#REF!),-1),""))</f>
        <v/>
      </c>
      <c r="CA430" s="503" t="s">
        <v>621</v>
      </c>
      <c r="CB430" s="503" t="str">
        <f>IF($G430="","",IF(AND($G430&gt;=30,$AT$3&lt;=CA$7),ROUND(CA430*($AP$3+#REF!),-1),""))</f>
        <v/>
      </c>
      <c r="CC430" s="503" t="s">
        <v>621</v>
      </c>
      <c r="CD430" s="503" t="str">
        <f>IF($G430="","",IF(AND($G430&gt;=30,$AT$3&lt;=CC$7),ROUND(CC430*($AP$3+#REF!),-1),""))</f>
        <v/>
      </c>
      <c r="CE430" s="503" t="s">
        <v>621</v>
      </c>
      <c r="CF430" s="503" t="str">
        <f>IF($G430="","",IF(AND($G430&gt;=30,$AT$3&lt;=CE$7),ROUND(CE430*($AP$3+#REF!),-1),""))</f>
        <v/>
      </c>
      <c r="CG430" s="503" t="s">
        <v>621</v>
      </c>
      <c r="CH430" s="503" t="str">
        <f>IF($G430="","",IF(AND($G430&gt;=30,$AT$3&lt;=CG$7),ROUND(CG430*($AP$3+#REF!),-1),""))</f>
        <v/>
      </c>
      <c r="CI430" s="503" t="s">
        <v>621</v>
      </c>
      <c r="CJ430" s="503" t="str">
        <f>IF($G430="","",IF(AND($G430&gt;=30,$AT$3&lt;=CI$7),ROUND(CI430*($AP$3+#REF!),-1),""))</f>
        <v/>
      </c>
      <c r="CK430" s="503" t="s">
        <v>621</v>
      </c>
      <c r="CL430" s="503" t="str">
        <f>IF($G430="","",IF(AND($G430&gt;=30,$AT$3&lt;=CK$7),ROUND(CK430*($AP$3+#REF!),-1),""))</f>
        <v/>
      </c>
      <c r="CM430" s="503" t="s">
        <v>621</v>
      </c>
      <c r="CN430" s="503" t="str">
        <f>IF($G430="","",IF(AND($G430&gt;=30,$AT$3&lt;=CM$7),ROUND(CM430*($AP$3+#REF!),-1),""))</f>
        <v/>
      </c>
      <c r="CO430" s="503" t="s">
        <v>621</v>
      </c>
      <c r="CP430" s="503" t="str">
        <f>IF($G430="","",IF(AND($G430&gt;=30,$AT$3&lt;=CO$7),ROUND(CO430*($AP$3+#REF!),-1),""))</f>
        <v/>
      </c>
      <c r="CQ430" s="503" t="s">
        <v>621</v>
      </c>
      <c r="CR430" s="503" t="str">
        <f>IF($G430="","",IF(AND($G430&gt;=30,$AT$3&lt;=CQ$7),ROUND(CQ430*($AP$3+#REF!),-1),""))</f>
        <v/>
      </c>
      <c r="CS430" s="503" t="s">
        <v>621</v>
      </c>
      <c r="CT430" s="503" t="str">
        <f>IF($G430="","",IF(AND($G430&gt;=30,$AT$3&lt;=CS$7),ROUND(CS430*($AP$3+#REF!),-1),""))</f>
        <v/>
      </c>
      <c r="CU430" s="503" t="s">
        <v>621</v>
      </c>
      <c r="CV430" s="503" t="str">
        <f>IF($G430="","",IF(AND($G430&gt;=30,$AT$3&lt;=CU$7),ROUND(CU430*($AP$3+#REF!),-1),""))</f>
        <v/>
      </c>
      <c r="CW430" s="503" t="s">
        <v>621</v>
      </c>
      <c r="CX430" s="503" t="str">
        <f>IF($G430="","",IF(AND($G430&gt;=30,$AT$3&lt;=CW$7),ROUND(CW430*($AP$3+#REF!),-1),""))</f>
        <v/>
      </c>
      <c r="CY430" s="517" t="e">
        <v>#REF!</v>
      </c>
      <c r="CZ430" s="503" t="str">
        <f>IF($G430="","",IF(AND($G430&gt;=30,$AT$3&lt;=CY$7),ROUND(CY430*($AP$3+#REF!),-1),""))</f>
        <v/>
      </c>
      <c r="DA430" s="517"/>
      <c r="DB430" s="503" t="str">
        <f>IF($G430="","",IF(AND($G430&gt;=30,$AT$3&lt;=DA$7),ROUND(DA430*($AP$3+#REF!),-1),""))</f>
        <v/>
      </c>
      <c r="DC430" s="517"/>
      <c r="DD430" s="503" t="str">
        <f>IF($G430="","",IF(AND($G430&gt;=30,$AT$3&lt;=DC$7),ROUND(DC430*($AP$3+#REF!),-1),""))</f>
        <v/>
      </c>
      <c r="DE430" s="517"/>
      <c r="DF430" s="503" t="str">
        <f>IF($G430="","",IF(AND($G430&gt;=30,$AT$3&lt;=DE$7),ROUND(DE430*($AP$3+#REF!),-1),""))</f>
        <v/>
      </c>
      <c r="DG430" s="517"/>
      <c r="DH430" s="503" t="str">
        <f>IF($G430="","",IF(AND($G430&gt;=30,$AT$3&lt;=DG$7),ROUND(DG430*($AP$3+#REF!),-1),""))</f>
        <v/>
      </c>
      <c r="DI430" s="517"/>
      <c r="DJ430" s="503" t="str">
        <f>IF($G430="","",IF(AND($G430&gt;=30,$AT$3&lt;=DI$7),ROUND(DI430*($AP$3+#REF!),-1),""))</f>
        <v/>
      </c>
      <c r="DK430" s="517"/>
      <c r="DL430" s="503" t="str">
        <f>IF($G430="","",IF(AND($G430&gt;=30,$AT$3&lt;=DK$7),ROUND(DK430*($AP$3+#REF!),-1),""))</f>
        <v/>
      </c>
      <c r="DM430" s="517"/>
      <c r="DN430" s="503" t="str">
        <f>IF($G430="","",IF(AND($G430&gt;=30,$AT$3&lt;=DM$7),ROUND(DM430*($AP$3+#REF!),-1),""))</f>
        <v/>
      </c>
      <c r="DO430" s="517"/>
      <c r="DP430" s="503" t="str">
        <f>IF($G430="","",IF(AND($G430&gt;=30,$AT$3&lt;=DO$7),ROUND(DO430*($AP$3+#REF!),-1),""))</f>
        <v/>
      </c>
      <c r="DQ430" s="517"/>
      <c r="DR430" s="503" t="str">
        <f>IF($G430="","",IF(AND($G430&gt;=30,$AT$3&lt;=DQ$7),ROUND(DQ430*($AP$3+#REF!),-1),""))</f>
        <v/>
      </c>
      <c r="DS430" s="517"/>
      <c r="DT430" s="503" t="str">
        <f>IF($G430="","",IF(AND($G430&gt;=30,$AT$3&lt;=DS$7),ROUND(DS430*($AP$3+#REF!),-1),""))</f>
        <v/>
      </c>
      <c r="DU430" s="517"/>
      <c r="DV430" s="503" t="str">
        <f>IF($G430="","",IF(AND($G430&gt;=30,$AT$3&lt;=DU$7),ROUND(DU430*($AP$3+#REF!),-1),""))</f>
        <v/>
      </c>
      <c r="DW430" s="517"/>
      <c r="DX430" s="503" t="str">
        <f>IF($G430="","",IF(AND($G430&gt;=30,$AT$3&lt;=DW$7),ROUND(DW430*($AP$3+#REF!),-1),""))</f>
        <v/>
      </c>
      <c r="DY430" s="517"/>
      <c r="DZ430" s="503" t="str">
        <f>IF($G430="","",IF(AND($G430&gt;=30,$AT$3&lt;=DY$7),ROUND(DY430*($AP$3+#REF!),-1),""))</f>
        <v/>
      </c>
      <c r="EA430" s="517"/>
      <c r="EB430" s="503" t="str">
        <f>IF($G430="","",IF(AND($G430&gt;=30,$AT$3&lt;=EA$7),ROUND(EA430*($AP$3+#REF!),-1),""))</f>
        <v/>
      </c>
      <c r="EC430" s="504" t="s">
        <v>621</v>
      </c>
      <c r="ED430" s="1124"/>
      <c r="EE430" s="325">
        <v>2</v>
      </c>
    </row>
    <row r="431" spans="1:135" ht="9.75" customHeight="1">
      <c r="A431" s="321" t="str">
        <f t="shared" si="96"/>
        <v/>
      </c>
      <c r="B431" s="567">
        <f>(ii!$D$13*12+V431)+1</f>
        <v>325</v>
      </c>
      <c r="C431" s="337">
        <f t="shared" si="100"/>
        <v>55243</v>
      </c>
      <c r="D431" s="484">
        <f t="shared" si="103"/>
        <v>2051</v>
      </c>
      <c r="E431" s="484">
        <f t="shared" si="101"/>
        <v>0.25</v>
      </c>
      <c r="F431" s="484">
        <f t="shared" si="104"/>
        <v>2051.25</v>
      </c>
      <c r="G431" s="485" t="str">
        <f>IF(OR(C431&lt;$I$2,C431&gt;$J$3),"",(ii!$D$13*12+V431+1)/12)</f>
        <v/>
      </c>
      <c r="H431" s="486"/>
      <c r="I431" s="486"/>
      <c r="J431" s="487"/>
      <c r="K431" s="488"/>
      <c r="L431" s="548"/>
      <c r="M431" s="489" t="str">
        <f t="shared" si="105"/>
        <v/>
      </c>
      <c r="N431" s="490" t="s">
        <v>621</v>
      </c>
      <c r="O431" s="490" t="str">
        <f t="shared" si="98"/>
        <v/>
      </c>
      <c r="P431" s="491"/>
      <c r="Q431" s="491"/>
      <c r="R431" s="491" t="str">
        <f t="shared" si="99"/>
        <v/>
      </c>
      <c r="S431" s="528" t="str">
        <f t="shared" si="97"/>
        <v/>
      </c>
      <c r="T431" s="528" t="str">
        <f t="shared" si="95"/>
        <v/>
      </c>
      <c r="U431" s="493" t="str">
        <f>IF(H431="","",#REF!*12+#REF!+#REF!*12+#REF!)</f>
        <v/>
      </c>
      <c r="V431" s="338">
        <f>IF(ii!$J$3&gt;gg!C431,"",IF(AND((YEAR(C431)=YEAR($I$2)),MONTH(C431)=MONTH($I$2)),ii!$B$14*12+ii!$C$14+ii!$B$15*12+ii!$C$15-1,V430+1))</f>
        <v>324</v>
      </c>
      <c r="W431" s="339">
        <f t="shared" si="102"/>
        <v>27</v>
      </c>
      <c r="X431" s="494" t="s">
        <v>621</v>
      </c>
      <c r="Y431" s="495" t="s">
        <v>621</v>
      </c>
      <c r="Z431" s="496"/>
      <c r="AA431" s="497"/>
      <c r="AB431" s="498" t="e">
        <f t="shared" si="108"/>
        <v>#VALUE!</v>
      </c>
      <c r="AC431" s="484" t="str">
        <f t="shared" si="106"/>
        <v/>
      </c>
      <c r="AD431" s="495" t="str">
        <f t="shared" si="107"/>
        <v/>
      </c>
      <c r="AE431" s="499" t="s">
        <v>621</v>
      </c>
      <c r="AF431" s="500" t="s">
        <v>621</v>
      </c>
      <c r="AG431" s="556" t="s">
        <v>621</v>
      </c>
      <c r="AH431" s="503" t="str">
        <f>IF($G431="","",IF(AND($G431&gt;=30,$AT$3&lt;=AG$7),ROUND(AG431*($AP$3+#REF!),-1),""))</f>
        <v/>
      </c>
      <c r="AI431" s="506" t="s">
        <v>621</v>
      </c>
      <c r="AJ431" s="503" t="str">
        <f>IF($G431="","",IF(AND($G431&gt;=30,$AT$3&lt;=AI$7),ROUND(AI431*($AP$3+#REF!),-1),""))</f>
        <v/>
      </c>
      <c r="AK431" s="506" t="s">
        <v>621</v>
      </c>
      <c r="AL431" s="503" t="str">
        <f>IF($G431="","",IF(AND($G431&gt;=30,$AT$3&lt;=AK$7),ROUND(AK431*($AP$3+#REF!),-1),""))</f>
        <v/>
      </c>
      <c r="AM431" s="506" t="s">
        <v>621</v>
      </c>
      <c r="AN431" s="503" t="str">
        <f>IF($G431="","",IF(AND($G431&gt;=30,$AT$3&lt;=AM$7),ROUND(AM431*($AP$3+#REF!),-1),""))</f>
        <v/>
      </c>
      <c r="AO431" s="503" t="e">
        <v>#REF!</v>
      </c>
      <c r="AP431" s="503" t="str">
        <f>IF($G431="","",IF(AND($G431&gt;=30,$AT$3&lt;=AO$7),ROUND(AO431*($AP$3+#REF!),-1),""))</f>
        <v/>
      </c>
      <c r="AQ431" s="503" t="s">
        <v>621</v>
      </c>
      <c r="AR431" s="503" t="str">
        <f>IF($G431="","",IF(AND($G431&gt;=30,$AT$3&lt;=AQ$7),ROUND(AQ431*($AP$3+#REF!),-1),""))</f>
        <v/>
      </c>
      <c r="AS431" s="503" t="s">
        <v>621</v>
      </c>
      <c r="AT431" s="503" t="str">
        <f>IF($G431="","",IF(AND($G431&gt;=30,$AT$3&lt;=AS$7),ROUND(AS431*($AP$3+#REF!),-1),""))</f>
        <v/>
      </c>
      <c r="AU431" s="503" t="s">
        <v>621</v>
      </c>
      <c r="AV431" s="503" t="str">
        <f>IF($G431="","",IF(AND($G431&gt;=30,$AT$3&lt;=AU$7),ROUND(AU431*($AP$3+#REF!),-1),""))</f>
        <v/>
      </c>
      <c r="AW431" s="503" t="s">
        <v>621</v>
      </c>
      <c r="AX431" s="503" t="str">
        <f>IF($G431="","",IF(AND($G431&gt;=30,$AT$3&lt;=AW$7),ROUND(AW431*($AP$3+#REF!),-1),""))</f>
        <v/>
      </c>
      <c r="AY431" s="503" t="s">
        <v>621</v>
      </c>
      <c r="AZ431" s="503" t="str">
        <f>IF($G431="","",IF(AND($G431&gt;=30,$AT$3&lt;=AY$7),ROUND(AY431*($AP$3+#REF!),-1),""))</f>
        <v/>
      </c>
      <c r="BA431" s="503" t="s">
        <v>621</v>
      </c>
      <c r="BB431" s="503" t="str">
        <f>IF($G431="","",IF(AND($G431&gt;=30,$AT$3&lt;=BA$7),ROUND(BA431*($AP$3+#REF!),-1),""))</f>
        <v/>
      </c>
      <c r="BC431" s="503" t="s">
        <v>621</v>
      </c>
      <c r="BD431" s="503" t="str">
        <f>IF($G431="","",IF(AND($G431&gt;=30,$AT$3&lt;=BC$7),ROUND(BC431*($AP$3+#REF!),-1),""))</f>
        <v/>
      </c>
      <c r="BE431" s="503" t="s">
        <v>621</v>
      </c>
      <c r="BF431" s="503" t="str">
        <f>IF($G431="","",IF(AND($G431&gt;=30,$AT$3&lt;=BE$7),ROUND(BE431*($AP$3+#REF!),-1),""))</f>
        <v/>
      </c>
      <c r="BG431" s="503" t="s">
        <v>621</v>
      </c>
      <c r="BH431" s="503" t="str">
        <f>IF($G431="","",IF(AND($G431&gt;=30,$AT$3&lt;=BG$7),ROUND(BG431*($AP$3+#REF!),-1),""))</f>
        <v/>
      </c>
      <c r="BI431" s="503" t="s">
        <v>621</v>
      </c>
      <c r="BJ431" s="503" t="str">
        <f>IF($G431="","",IF(AND($G431&gt;=30,$AT$3&lt;=BI$7),ROUND(BI431*($AP$3+#REF!),-1),""))</f>
        <v/>
      </c>
      <c r="BK431" s="503" t="s">
        <v>621</v>
      </c>
      <c r="BL431" s="503" t="str">
        <f>IF($G431="","",IF(AND($G431&gt;=30,$AT$3&lt;=BK$7),ROUND(BK431*($AP$3+#REF!),-1),""))</f>
        <v/>
      </c>
      <c r="BM431" s="503" t="s">
        <v>621</v>
      </c>
      <c r="BN431" s="503" t="str">
        <f>IF($G431="","",IF(AND($G431&gt;=30,$AT$3&lt;=BM$7),ROUND(BM431*($AP$3+#REF!),-1),""))</f>
        <v/>
      </c>
      <c r="BO431" s="503" t="s">
        <v>621</v>
      </c>
      <c r="BP431" s="503" t="str">
        <f>IF($G431="","",IF(AND($G431&gt;=30,$AT$3&lt;=BO$7),ROUND(BO431*($AP$3+#REF!),-1),""))</f>
        <v/>
      </c>
      <c r="BQ431" s="503" t="s">
        <v>621</v>
      </c>
      <c r="BR431" s="503" t="str">
        <f>IF($G431="","",IF(AND($G431&gt;=30,$AT$3&lt;=BQ$7),ROUND(BQ431*($AP$3+#REF!),-1),""))</f>
        <v/>
      </c>
      <c r="BS431" s="503" t="s">
        <v>621</v>
      </c>
      <c r="BT431" s="503" t="str">
        <f>IF($G431="","",IF(AND($G431&gt;=30,$AT$3&lt;=BS$7),ROUND(BS431*($AP$3+#REF!),-1),""))</f>
        <v/>
      </c>
      <c r="BU431" s="503" t="s">
        <v>621</v>
      </c>
      <c r="BV431" s="503" t="str">
        <f>IF($G431="","",IF(AND($G431&gt;=30,$AT$3&lt;=BU$7),ROUND(BU431*($AP$3+#REF!),-1),""))</f>
        <v/>
      </c>
      <c r="BW431" s="503" t="s">
        <v>621</v>
      </c>
      <c r="BX431" s="503" t="str">
        <f>IF($G431="","",IF(AND($G431&gt;=30,$AT$3&lt;=BW$7),ROUND(BW431*($AP$3+#REF!),-1),""))</f>
        <v/>
      </c>
      <c r="BY431" s="503" t="s">
        <v>621</v>
      </c>
      <c r="BZ431" s="503" t="str">
        <f>IF($G431="","",IF(AND($G431&gt;=30,$AT$3&lt;=BY$7),ROUND(BY431*($AP$3+#REF!),-1),""))</f>
        <v/>
      </c>
      <c r="CA431" s="503" t="s">
        <v>621</v>
      </c>
      <c r="CB431" s="503" t="str">
        <f>IF($G431="","",IF(AND($G431&gt;=30,$AT$3&lt;=CA$7),ROUND(CA431*($AP$3+#REF!),-1),""))</f>
        <v/>
      </c>
      <c r="CC431" s="503" t="s">
        <v>621</v>
      </c>
      <c r="CD431" s="503" t="str">
        <f>IF($G431="","",IF(AND($G431&gt;=30,$AT$3&lt;=CC$7),ROUND(CC431*($AP$3+#REF!),-1),""))</f>
        <v/>
      </c>
      <c r="CE431" s="503" t="s">
        <v>621</v>
      </c>
      <c r="CF431" s="503" t="str">
        <f>IF($G431="","",IF(AND($G431&gt;=30,$AT$3&lt;=CE$7),ROUND(CE431*($AP$3+#REF!),-1),""))</f>
        <v/>
      </c>
      <c r="CG431" s="503" t="s">
        <v>621</v>
      </c>
      <c r="CH431" s="503" t="str">
        <f>IF($G431="","",IF(AND($G431&gt;=30,$AT$3&lt;=CG$7),ROUND(CG431*($AP$3+#REF!),-1),""))</f>
        <v/>
      </c>
      <c r="CI431" s="503" t="s">
        <v>621</v>
      </c>
      <c r="CJ431" s="503" t="str">
        <f>IF($G431="","",IF(AND($G431&gt;=30,$AT$3&lt;=CI$7),ROUND(CI431*($AP$3+#REF!),-1),""))</f>
        <v/>
      </c>
      <c r="CK431" s="503" t="s">
        <v>621</v>
      </c>
      <c r="CL431" s="503" t="str">
        <f>IF($G431="","",IF(AND($G431&gt;=30,$AT$3&lt;=CK$7),ROUND(CK431*($AP$3+#REF!),-1),""))</f>
        <v/>
      </c>
      <c r="CM431" s="503" t="s">
        <v>621</v>
      </c>
      <c r="CN431" s="503" t="str">
        <f>IF($G431="","",IF(AND($G431&gt;=30,$AT$3&lt;=CM$7),ROUND(CM431*($AP$3+#REF!),-1),""))</f>
        <v/>
      </c>
      <c r="CO431" s="503" t="s">
        <v>621</v>
      </c>
      <c r="CP431" s="503" t="str">
        <f>IF($G431="","",IF(AND($G431&gt;=30,$AT$3&lt;=CO$7),ROUND(CO431*($AP$3+#REF!),-1),""))</f>
        <v/>
      </c>
      <c r="CQ431" s="503" t="s">
        <v>621</v>
      </c>
      <c r="CR431" s="503" t="str">
        <f>IF($G431="","",IF(AND($G431&gt;=30,$AT$3&lt;=CQ$7),ROUND(CQ431*($AP$3+#REF!),-1),""))</f>
        <v/>
      </c>
      <c r="CS431" s="503" t="s">
        <v>621</v>
      </c>
      <c r="CT431" s="503" t="str">
        <f>IF($G431="","",IF(AND($G431&gt;=30,$AT$3&lt;=CS$7),ROUND(CS431*($AP$3+#REF!),-1),""))</f>
        <v/>
      </c>
      <c r="CU431" s="503" t="s">
        <v>621</v>
      </c>
      <c r="CV431" s="503" t="str">
        <f>IF($G431="","",IF(AND($G431&gt;=30,$AT$3&lt;=CU$7),ROUND(CU431*($AP$3+#REF!),-1),""))</f>
        <v/>
      </c>
      <c r="CW431" s="503" t="s">
        <v>621</v>
      </c>
      <c r="CX431" s="503" t="str">
        <f>IF($G431="","",IF(AND($G431&gt;=30,$AT$3&lt;=CW$7),ROUND(CW431*($AP$3+#REF!),-1),""))</f>
        <v/>
      </c>
      <c r="CY431" s="517" t="e">
        <v>#REF!</v>
      </c>
      <c r="CZ431" s="503" t="str">
        <f>IF($G431="","",IF(AND($G431&gt;=30,$AT$3&lt;=CY$7),ROUND(CY431*($AP$3+#REF!),-1),""))</f>
        <v/>
      </c>
      <c r="DA431" s="517"/>
      <c r="DB431" s="503" t="str">
        <f>IF($G431="","",IF(AND($G431&gt;=30,$AT$3&lt;=DA$7),ROUND(DA431*($AP$3+#REF!),-1),""))</f>
        <v/>
      </c>
      <c r="DC431" s="517"/>
      <c r="DD431" s="503" t="str">
        <f>IF($G431="","",IF(AND($G431&gt;=30,$AT$3&lt;=DC$7),ROUND(DC431*($AP$3+#REF!),-1),""))</f>
        <v/>
      </c>
      <c r="DE431" s="517"/>
      <c r="DF431" s="503" t="str">
        <f>IF($G431="","",IF(AND($G431&gt;=30,$AT$3&lt;=DE$7),ROUND(DE431*($AP$3+#REF!),-1),""))</f>
        <v/>
      </c>
      <c r="DG431" s="517"/>
      <c r="DH431" s="503" t="str">
        <f>IF($G431="","",IF(AND($G431&gt;=30,$AT$3&lt;=DG$7),ROUND(DG431*($AP$3+#REF!),-1),""))</f>
        <v/>
      </c>
      <c r="DI431" s="517"/>
      <c r="DJ431" s="503" t="str">
        <f>IF($G431="","",IF(AND($G431&gt;=30,$AT$3&lt;=DI$7),ROUND(DI431*($AP$3+#REF!),-1),""))</f>
        <v/>
      </c>
      <c r="DK431" s="517"/>
      <c r="DL431" s="503" t="str">
        <f>IF($G431="","",IF(AND($G431&gt;=30,$AT$3&lt;=DK$7),ROUND(DK431*($AP$3+#REF!),-1),""))</f>
        <v/>
      </c>
      <c r="DM431" s="517"/>
      <c r="DN431" s="503" t="str">
        <f>IF($G431="","",IF(AND($G431&gt;=30,$AT$3&lt;=DM$7),ROUND(DM431*($AP$3+#REF!),-1),""))</f>
        <v/>
      </c>
      <c r="DO431" s="517"/>
      <c r="DP431" s="503" t="str">
        <f>IF($G431="","",IF(AND($G431&gt;=30,$AT$3&lt;=DO$7),ROUND(DO431*($AP$3+#REF!),-1),""))</f>
        <v/>
      </c>
      <c r="DQ431" s="517"/>
      <c r="DR431" s="503" t="str">
        <f>IF($G431="","",IF(AND($G431&gt;=30,$AT$3&lt;=DQ$7),ROUND(DQ431*($AP$3+#REF!),-1),""))</f>
        <v/>
      </c>
      <c r="DS431" s="517"/>
      <c r="DT431" s="503" t="str">
        <f>IF($G431="","",IF(AND($G431&gt;=30,$AT$3&lt;=DS$7),ROUND(DS431*($AP$3+#REF!),-1),""))</f>
        <v/>
      </c>
      <c r="DU431" s="517"/>
      <c r="DV431" s="503" t="str">
        <f>IF($G431="","",IF(AND($G431&gt;=30,$AT$3&lt;=DU$7),ROUND(DU431*($AP$3+#REF!),-1),""))</f>
        <v/>
      </c>
      <c r="DW431" s="517"/>
      <c r="DX431" s="503" t="str">
        <f>IF($G431="","",IF(AND($G431&gt;=30,$AT$3&lt;=DW$7),ROUND(DW431*($AP$3+#REF!),-1),""))</f>
        <v/>
      </c>
      <c r="DY431" s="517"/>
      <c r="DZ431" s="503" t="str">
        <f>IF($G431="","",IF(AND($G431&gt;=30,$AT$3&lt;=DY$7),ROUND(DY431*($AP$3+#REF!),-1),""))</f>
        <v/>
      </c>
      <c r="EA431" s="517"/>
      <c r="EB431" s="503" t="str">
        <f>IF($G431="","",IF(AND($G431&gt;=30,$AT$3&lt;=EA$7),ROUND(EA431*($AP$3+#REF!),-1),""))</f>
        <v/>
      </c>
      <c r="EC431" s="504" t="s">
        <v>621</v>
      </c>
      <c r="ED431" s="1124"/>
      <c r="EE431" s="325">
        <v>3</v>
      </c>
    </row>
    <row r="432" spans="1:135" ht="9.75" customHeight="1">
      <c r="A432" s="321" t="str">
        <f t="shared" si="96"/>
        <v/>
      </c>
      <c r="B432" s="567">
        <f>(ii!$D$13*12+V432)+1</f>
        <v>326</v>
      </c>
      <c r="C432" s="337">
        <f t="shared" si="100"/>
        <v>55273</v>
      </c>
      <c r="D432" s="484">
        <f t="shared" si="103"/>
        <v>2051</v>
      </c>
      <c r="E432" s="484">
        <f t="shared" si="101"/>
        <v>0.33333333333333331</v>
      </c>
      <c r="F432" s="484">
        <f t="shared" si="104"/>
        <v>2051.3333333333335</v>
      </c>
      <c r="G432" s="485" t="str">
        <f>IF(OR(C432&lt;$I$2,C432&gt;$J$3),"",(ii!$D$13*12+V432+1)/12)</f>
        <v/>
      </c>
      <c r="H432" s="486"/>
      <c r="I432" s="486"/>
      <c r="J432" s="487"/>
      <c r="K432" s="488"/>
      <c r="L432" s="548"/>
      <c r="M432" s="489" t="str">
        <f t="shared" si="105"/>
        <v/>
      </c>
      <c r="N432" s="490" t="s">
        <v>621</v>
      </c>
      <c r="O432" s="490" t="str">
        <f t="shared" si="98"/>
        <v/>
      </c>
      <c r="P432" s="491"/>
      <c r="Q432" s="491"/>
      <c r="R432" s="491" t="str">
        <f t="shared" si="99"/>
        <v/>
      </c>
      <c r="S432" s="528" t="str">
        <f t="shared" si="97"/>
        <v/>
      </c>
      <c r="T432" s="528" t="str">
        <f t="shared" si="95"/>
        <v/>
      </c>
      <c r="U432" s="493" t="str">
        <f>IF(H432="","",#REF!*12+#REF!+#REF!*12+#REF!)</f>
        <v/>
      </c>
      <c r="V432" s="338">
        <f>IF(ii!$J$3&gt;gg!C432,"",IF(AND((YEAR(C432)=YEAR($I$2)),MONTH(C432)=MONTH($I$2)),ii!$B$14*12+ii!$C$14+ii!$B$15*12+ii!$C$15-1,V431+1))</f>
        <v>325</v>
      </c>
      <c r="W432" s="339">
        <f t="shared" si="102"/>
        <v>27.083333333333332</v>
      </c>
      <c r="X432" s="494" t="s">
        <v>621</v>
      </c>
      <c r="Y432" s="495" t="s">
        <v>621</v>
      </c>
      <c r="Z432" s="496"/>
      <c r="AA432" s="497"/>
      <c r="AB432" s="498" t="e">
        <f t="shared" si="108"/>
        <v>#VALUE!</v>
      </c>
      <c r="AC432" s="484" t="str">
        <f t="shared" si="106"/>
        <v/>
      </c>
      <c r="AD432" s="495" t="str">
        <f t="shared" si="107"/>
        <v/>
      </c>
      <c r="AE432" s="499" t="s">
        <v>621</v>
      </c>
      <c r="AF432" s="500" t="s">
        <v>621</v>
      </c>
      <c r="AG432" s="556" t="s">
        <v>621</v>
      </c>
      <c r="AH432" s="503" t="str">
        <f>IF($G432="","",IF(AND($G432&gt;=30,$AT$3&lt;=AG$7),ROUND(AG432*($AP$3+#REF!),-1),""))</f>
        <v/>
      </c>
      <c r="AI432" s="506" t="s">
        <v>621</v>
      </c>
      <c r="AJ432" s="503" t="str">
        <f>IF($G432="","",IF(AND($G432&gt;=30,$AT$3&lt;=AI$7),ROUND(AI432*($AP$3+#REF!),-1),""))</f>
        <v/>
      </c>
      <c r="AK432" s="506" t="s">
        <v>621</v>
      </c>
      <c r="AL432" s="503" t="str">
        <f>IF($G432="","",IF(AND($G432&gt;=30,$AT$3&lt;=AK$7),ROUND(AK432*($AP$3+#REF!),-1),""))</f>
        <v/>
      </c>
      <c r="AM432" s="506" t="s">
        <v>621</v>
      </c>
      <c r="AN432" s="503" t="str">
        <f>IF($G432="","",IF(AND($G432&gt;=30,$AT$3&lt;=AM$7),ROUND(AM432*($AP$3+#REF!),-1),""))</f>
        <v/>
      </c>
      <c r="AO432" s="503" t="e">
        <v>#REF!</v>
      </c>
      <c r="AP432" s="503" t="str">
        <f>IF($G432="","",IF(AND($G432&gt;=30,$AT$3&lt;=AO$7),ROUND(AO432*($AP$3+#REF!),-1),""))</f>
        <v/>
      </c>
      <c r="AQ432" s="503" t="s">
        <v>621</v>
      </c>
      <c r="AR432" s="503" t="str">
        <f>IF($G432="","",IF(AND($G432&gt;=30,$AT$3&lt;=AQ$7),ROUND(AQ432*($AP$3+#REF!),-1),""))</f>
        <v/>
      </c>
      <c r="AS432" s="503" t="s">
        <v>621</v>
      </c>
      <c r="AT432" s="503" t="str">
        <f>IF($G432="","",IF(AND($G432&gt;=30,$AT$3&lt;=AS$7),ROUND(AS432*($AP$3+#REF!),-1),""))</f>
        <v/>
      </c>
      <c r="AU432" s="503" t="s">
        <v>621</v>
      </c>
      <c r="AV432" s="503" t="str">
        <f>IF($G432="","",IF(AND($G432&gt;=30,$AT$3&lt;=AU$7),ROUND(AU432*($AP$3+#REF!),-1),""))</f>
        <v/>
      </c>
      <c r="AW432" s="503" t="s">
        <v>621</v>
      </c>
      <c r="AX432" s="503" t="str">
        <f>IF($G432="","",IF(AND($G432&gt;=30,$AT$3&lt;=AW$7),ROUND(AW432*($AP$3+#REF!),-1),""))</f>
        <v/>
      </c>
      <c r="AY432" s="503" t="s">
        <v>621</v>
      </c>
      <c r="AZ432" s="503" t="str">
        <f>IF($G432="","",IF(AND($G432&gt;=30,$AT$3&lt;=AY$7),ROUND(AY432*($AP$3+#REF!),-1),""))</f>
        <v/>
      </c>
      <c r="BA432" s="503" t="s">
        <v>621</v>
      </c>
      <c r="BB432" s="503" t="str">
        <f>IF($G432="","",IF(AND($G432&gt;=30,$AT$3&lt;=BA$7),ROUND(BA432*($AP$3+#REF!),-1),""))</f>
        <v/>
      </c>
      <c r="BC432" s="503" t="s">
        <v>621</v>
      </c>
      <c r="BD432" s="503" t="str">
        <f>IF($G432="","",IF(AND($G432&gt;=30,$AT$3&lt;=BC$7),ROUND(BC432*($AP$3+#REF!),-1),""))</f>
        <v/>
      </c>
      <c r="BE432" s="503" t="s">
        <v>621</v>
      </c>
      <c r="BF432" s="503" t="str">
        <f>IF($G432="","",IF(AND($G432&gt;=30,$AT$3&lt;=BE$7),ROUND(BE432*($AP$3+#REF!),-1),""))</f>
        <v/>
      </c>
      <c r="BG432" s="503" t="s">
        <v>621</v>
      </c>
      <c r="BH432" s="503" t="str">
        <f>IF($G432="","",IF(AND($G432&gt;=30,$AT$3&lt;=BG$7),ROUND(BG432*($AP$3+#REF!),-1),""))</f>
        <v/>
      </c>
      <c r="BI432" s="503" t="s">
        <v>621</v>
      </c>
      <c r="BJ432" s="503" t="str">
        <f>IF($G432="","",IF(AND($G432&gt;=30,$AT$3&lt;=BI$7),ROUND(BI432*($AP$3+#REF!),-1),""))</f>
        <v/>
      </c>
      <c r="BK432" s="503" t="s">
        <v>621</v>
      </c>
      <c r="BL432" s="503" t="str">
        <f>IF($G432="","",IF(AND($G432&gt;=30,$AT$3&lt;=BK$7),ROUND(BK432*($AP$3+#REF!),-1),""))</f>
        <v/>
      </c>
      <c r="BM432" s="503" t="s">
        <v>621</v>
      </c>
      <c r="BN432" s="503" t="str">
        <f>IF($G432="","",IF(AND($G432&gt;=30,$AT$3&lt;=BM$7),ROUND(BM432*($AP$3+#REF!),-1),""))</f>
        <v/>
      </c>
      <c r="BO432" s="503" t="s">
        <v>621</v>
      </c>
      <c r="BP432" s="503" t="str">
        <f>IF($G432="","",IF(AND($G432&gt;=30,$AT$3&lt;=BO$7),ROUND(BO432*($AP$3+#REF!),-1),""))</f>
        <v/>
      </c>
      <c r="BQ432" s="503" t="s">
        <v>621</v>
      </c>
      <c r="BR432" s="503" t="str">
        <f>IF($G432="","",IF(AND($G432&gt;=30,$AT$3&lt;=BQ$7),ROUND(BQ432*($AP$3+#REF!),-1),""))</f>
        <v/>
      </c>
      <c r="BS432" s="503" t="s">
        <v>621</v>
      </c>
      <c r="BT432" s="503" t="str">
        <f>IF($G432="","",IF(AND($G432&gt;=30,$AT$3&lt;=BS$7),ROUND(BS432*($AP$3+#REF!),-1),""))</f>
        <v/>
      </c>
      <c r="BU432" s="503" t="s">
        <v>621</v>
      </c>
      <c r="BV432" s="503" t="str">
        <f>IF($G432="","",IF(AND($G432&gt;=30,$AT$3&lt;=BU$7),ROUND(BU432*($AP$3+#REF!),-1),""))</f>
        <v/>
      </c>
      <c r="BW432" s="503" t="s">
        <v>621</v>
      </c>
      <c r="BX432" s="503" t="str">
        <f>IF($G432="","",IF(AND($G432&gt;=30,$AT$3&lt;=BW$7),ROUND(BW432*($AP$3+#REF!),-1),""))</f>
        <v/>
      </c>
      <c r="BY432" s="503" t="s">
        <v>621</v>
      </c>
      <c r="BZ432" s="503" t="str">
        <f>IF($G432="","",IF(AND($G432&gt;=30,$AT$3&lt;=BY$7),ROUND(BY432*($AP$3+#REF!),-1),""))</f>
        <v/>
      </c>
      <c r="CA432" s="503" t="s">
        <v>621</v>
      </c>
      <c r="CB432" s="503" t="str">
        <f>IF($G432="","",IF(AND($G432&gt;=30,$AT$3&lt;=CA$7),ROUND(CA432*($AP$3+#REF!),-1),""))</f>
        <v/>
      </c>
      <c r="CC432" s="503" t="s">
        <v>621</v>
      </c>
      <c r="CD432" s="503" t="str">
        <f>IF($G432="","",IF(AND($G432&gt;=30,$AT$3&lt;=CC$7),ROUND(CC432*($AP$3+#REF!),-1),""))</f>
        <v/>
      </c>
      <c r="CE432" s="503" t="s">
        <v>621</v>
      </c>
      <c r="CF432" s="503" t="str">
        <f>IF($G432="","",IF(AND($G432&gt;=30,$AT$3&lt;=CE$7),ROUND(CE432*($AP$3+#REF!),-1),""))</f>
        <v/>
      </c>
      <c r="CG432" s="503" t="s">
        <v>621</v>
      </c>
      <c r="CH432" s="503" t="str">
        <f>IF($G432="","",IF(AND($G432&gt;=30,$AT$3&lt;=CG$7),ROUND(CG432*($AP$3+#REF!),-1),""))</f>
        <v/>
      </c>
      <c r="CI432" s="503" t="s">
        <v>621</v>
      </c>
      <c r="CJ432" s="503" t="str">
        <f>IF($G432="","",IF(AND($G432&gt;=30,$AT$3&lt;=CI$7),ROUND(CI432*($AP$3+#REF!),-1),""))</f>
        <v/>
      </c>
      <c r="CK432" s="503" t="s">
        <v>621</v>
      </c>
      <c r="CL432" s="503" t="str">
        <f>IF($G432="","",IF(AND($G432&gt;=30,$AT$3&lt;=CK$7),ROUND(CK432*($AP$3+#REF!),-1),""))</f>
        <v/>
      </c>
      <c r="CM432" s="503" t="s">
        <v>621</v>
      </c>
      <c r="CN432" s="503" t="str">
        <f>IF($G432="","",IF(AND($G432&gt;=30,$AT$3&lt;=CM$7),ROUND(CM432*($AP$3+#REF!),-1),""))</f>
        <v/>
      </c>
      <c r="CO432" s="503" t="s">
        <v>621</v>
      </c>
      <c r="CP432" s="503" t="str">
        <f>IF($G432="","",IF(AND($G432&gt;=30,$AT$3&lt;=CO$7),ROUND(CO432*($AP$3+#REF!),-1),""))</f>
        <v/>
      </c>
      <c r="CQ432" s="503" t="s">
        <v>621</v>
      </c>
      <c r="CR432" s="503" t="str">
        <f>IF($G432="","",IF(AND($G432&gt;=30,$AT$3&lt;=CQ$7),ROUND(CQ432*($AP$3+#REF!),-1),""))</f>
        <v/>
      </c>
      <c r="CS432" s="503" t="s">
        <v>621</v>
      </c>
      <c r="CT432" s="503" t="str">
        <f>IF($G432="","",IF(AND($G432&gt;=30,$AT$3&lt;=CS$7),ROUND(CS432*($AP$3+#REF!),-1),""))</f>
        <v/>
      </c>
      <c r="CU432" s="503" t="s">
        <v>621</v>
      </c>
      <c r="CV432" s="503" t="str">
        <f>IF($G432="","",IF(AND($G432&gt;=30,$AT$3&lt;=CU$7),ROUND(CU432*($AP$3+#REF!),-1),""))</f>
        <v/>
      </c>
      <c r="CW432" s="503" t="s">
        <v>621</v>
      </c>
      <c r="CX432" s="503" t="str">
        <f>IF($G432="","",IF(AND($G432&gt;=30,$AT$3&lt;=CW$7),ROUND(CW432*($AP$3+#REF!),-1),""))</f>
        <v/>
      </c>
      <c r="CY432" s="517" t="e">
        <v>#REF!</v>
      </c>
      <c r="CZ432" s="503" t="str">
        <f>IF($G432="","",IF(AND($G432&gt;=30,$AT$3&lt;=CY$7),ROUND(CY432*($AP$3+#REF!),-1),""))</f>
        <v/>
      </c>
      <c r="DA432" s="517"/>
      <c r="DB432" s="503" t="str">
        <f>IF($G432="","",IF(AND($G432&gt;=30,$AT$3&lt;=DA$7),ROUND(DA432*($AP$3+#REF!),-1),""))</f>
        <v/>
      </c>
      <c r="DC432" s="517"/>
      <c r="DD432" s="503" t="str">
        <f>IF($G432="","",IF(AND($G432&gt;=30,$AT$3&lt;=DC$7),ROUND(DC432*($AP$3+#REF!),-1),""))</f>
        <v/>
      </c>
      <c r="DE432" s="517"/>
      <c r="DF432" s="503" t="str">
        <f>IF($G432="","",IF(AND($G432&gt;=30,$AT$3&lt;=DE$7),ROUND(DE432*($AP$3+#REF!),-1),""))</f>
        <v/>
      </c>
      <c r="DG432" s="517"/>
      <c r="DH432" s="503" t="str">
        <f>IF($G432="","",IF(AND($G432&gt;=30,$AT$3&lt;=DG$7),ROUND(DG432*($AP$3+#REF!),-1),""))</f>
        <v/>
      </c>
      <c r="DI432" s="517"/>
      <c r="DJ432" s="503" t="str">
        <f>IF($G432="","",IF(AND($G432&gt;=30,$AT$3&lt;=DI$7),ROUND(DI432*($AP$3+#REF!),-1),""))</f>
        <v/>
      </c>
      <c r="DK432" s="517"/>
      <c r="DL432" s="503" t="str">
        <f>IF($G432="","",IF(AND($G432&gt;=30,$AT$3&lt;=DK$7),ROUND(DK432*($AP$3+#REF!),-1),""))</f>
        <v/>
      </c>
      <c r="DM432" s="517"/>
      <c r="DN432" s="503" t="str">
        <f>IF($G432="","",IF(AND($G432&gt;=30,$AT$3&lt;=DM$7),ROUND(DM432*($AP$3+#REF!),-1),""))</f>
        <v/>
      </c>
      <c r="DO432" s="517"/>
      <c r="DP432" s="503" t="str">
        <f>IF($G432="","",IF(AND($G432&gt;=30,$AT$3&lt;=DO$7),ROUND(DO432*($AP$3+#REF!),-1),""))</f>
        <v/>
      </c>
      <c r="DQ432" s="517"/>
      <c r="DR432" s="503" t="str">
        <f>IF($G432="","",IF(AND($G432&gt;=30,$AT$3&lt;=DQ$7),ROUND(DQ432*($AP$3+#REF!),-1),""))</f>
        <v/>
      </c>
      <c r="DS432" s="517"/>
      <c r="DT432" s="503" t="str">
        <f>IF($G432="","",IF(AND($G432&gt;=30,$AT$3&lt;=DS$7),ROUND(DS432*($AP$3+#REF!),-1),""))</f>
        <v/>
      </c>
      <c r="DU432" s="517"/>
      <c r="DV432" s="503" t="str">
        <f>IF($G432="","",IF(AND($G432&gt;=30,$AT$3&lt;=DU$7),ROUND(DU432*($AP$3+#REF!),-1),""))</f>
        <v/>
      </c>
      <c r="DW432" s="517"/>
      <c r="DX432" s="503" t="str">
        <f>IF($G432="","",IF(AND($G432&gt;=30,$AT$3&lt;=DW$7),ROUND(DW432*($AP$3+#REF!),-1),""))</f>
        <v/>
      </c>
      <c r="DY432" s="517"/>
      <c r="DZ432" s="503" t="str">
        <f>IF($G432="","",IF(AND($G432&gt;=30,$AT$3&lt;=DY$7),ROUND(DY432*($AP$3+#REF!),-1),""))</f>
        <v/>
      </c>
      <c r="EA432" s="517"/>
      <c r="EB432" s="503" t="str">
        <f>IF($G432="","",IF(AND($G432&gt;=30,$AT$3&lt;=EA$7),ROUND(EA432*($AP$3+#REF!),-1),""))</f>
        <v/>
      </c>
      <c r="EC432" s="504" t="s">
        <v>621</v>
      </c>
      <c r="ED432" s="1124"/>
      <c r="EE432" s="325">
        <v>4</v>
      </c>
    </row>
    <row r="433" spans="1:135" ht="9.75" customHeight="1">
      <c r="A433" s="321" t="str">
        <f t="shared" si="96"/>
        <v/>
      </c>
      <c r="B433" s="567">
        <f>(ii!$D$13*12+V433)+1</f>
        <v>327</v>
      </c>
      <c r="C433" s="337">
        <f t="shared" si="100"/>
        <v>55304</v>
      </c>
      <c r="D433" s="484">
        <f t="shared" si="103"/>
        <v>2051</v>
      </c>
      <c r="E433" s="484">
        <f t="shared" si="101"/>
        <v>0.41666666666666669</v>
      </c>
      <c r="F433" s="484">
        <f t="shared" si="104"/>
        <v>2051.4166666666665</v>
      </c>
      <c r="G433" s="485" t="str">
        <f>IF(OR(C433&lt;$I$2,C433&gt;$J$3),"",(ii!$D$13*12+V433+1)/12)</f>
        <v/>
      </c>
      <c r="H433" s="486"/>
      <c r="I433" s="486"/>
      <c r="J433" s="507"/>
      <c r="K433" s="508"/>
      <c r="L433" s="548"/>
      <c r="M433" s="489" t="str">
        <f t="shared" si="105"/>
        <v/>
      </c>
      <c r="N433" s="490" t="s">
        <v>621</v>
      </c>
      <c r="O433" s="490" t="str">
        <f t="shared" si="98"/>
        <v/>
      </c>
      <c r="P433" s="507"/>
      <c r="Q433" s="507"/>
      <c r="R433" s="491" t="str">
        <f t="shared" si="99"/>
        <v/>
      </c>
      <c r="S433" s="528" t="str">
        <f t="shared" si="97"/>
        <v/>
      </c>
      <c r="T433" s="528" t="str">
        <f t="shared" si="95"/>
        <v/>
      </c>
      <c r="U433" s="493" t="str">
        <f>IF(H433="","",#REF!*12+#REF!+#REF!*12+#REF!)</f>
        <v/>
      </c>
      <c r="V433" s="338">
        <f>IF(ii!$J$3&gt;gg!C433,"",IF(AND((YEAR(C433)=YEAR($I$2)),MONTH(C433)=MONTH($I$2)),ii!$B$14*12+ii!$C$14+ii!$B$15*12+ii!$C$15-1,V432+1))</f>
        <v>326</v>
      </c>
      <c r="W433" s="339">
        <f t="shared" si="102"/>
        <v>27.166666666666668</v>
      </c>
      <c r="X433" s="494" t="s">
        <v>621</v>
      </c>
      <c r="Y433" s="495" t="s">
        <v>621</v>
      </c>
      <c r="Z433" s="496"/>
      <c r="AA433" s="497"/>
      <c r="AB433" s="498" t="e">
        <f t="shared" si="108"/>
        <v>#VALUE!</v>
      </c>
      <c r="AC433" s="484" t="str">
        <f t="shared" si="106"/>
        <v/>
      </c>
      <c r="AD433" s="495" t="str">
        <f t="shared" si="107"/>
        <v/>
      </c>
      <c r="AE433" s="499" t="s">
        <v>621</v>
      </c>
      <c r="AF433" s="500" t="s">
        <v>621</v>
      </c>
      <c r="AG433" s="556" t="s">
        <v>621</v>
      </c>
      <c r="AH433" s="503" t="str">
        <f>IF($G433="","",IF(AND($G433&gt;=30,$AT$3&lt;=AG$7),ROUND(AG433*($AP$3+#REF!),-1),""))</f>
        <v/>
      </c>
      <c r="AI433" s="506" t="s">
        <v>621</v>
      </c>
      <c r="AJ433" s="503" t="str">
        <f>IF($G433="","",IF(AND($G433&gt;=30,$AT$3&lt;=AI$7),ROUND(AI433*($AP$3+#REF!),-1),""))</f>
        <v/>
      </c>
      <c r="AK433" s="506" t="s">
        <v>621</v>
      </c>
      <c r="AL433" s="503" t="str">
        <f>IF($G433="","",IF(AND($G433&gt;=30,$AT$3&lt;=AK$7),ROUND(AK433*($AP$3+#REF!),-1),""))</f>
        <v/>
      </c>
      <c r="AM433" s="506" t="s">
        <v>621</v>
      </c>
      <c r="AN433" s="503" t="str">
        <f>IF($G433="","",IF(AND($G433&gt;=30,$AT$3&lt;=AM$7),ROUND(AM433*($AP$3+#REF!),-1),""))</f>
        <v/>
      </c>
      <c r="AO433" s="503" t="e">
        <v>#REF!</v>
      </c>
      <c r="AP433" s="503" t="str">
        <f>IF($G433="","",IF(AND($G433&gt;=30,$AT$3&lt;=AO$7),ROUND(AO433*($AP$3+#REF!),-1),""))</f>
        <v/>
      </c>
      <c r="AQ433" s="503" t="s">
        <v>621</v>
      </c>
      <c r="AR433" s="503" t="str">
        <f>IF($G433="","",IF(AND($G433&gt;=30,$AT$3&lt;=AQ$7),ROUND(AQ433*($AP$3+#REF!),-1),""))</f>
        <v/>
      </c>
      <c r="AS433" s="503" t="s">
        <v>621</v>
      </c>
      <c r="AT433" s="503" t="str">
        <f>IF($G433="","",IF(AND($G433&gt;=30,$AT$3&lt;=AS$7),ROUND(AS433*($AP$3+#REF!),-1),""))</f>
        <v/>
      </c>
      <c r="AU433" s="503" t="s">
        <v>621</v>
      </c>
      <c r="AV433" s="503" t="str">
        <f>IF($G433="","",IF(AND($G433&gt;=30,$AT$3&lt;=AU$7),ROUND(AU433*($AP$3+#REF!),-1),""))</f>
        <v/>
      </c>
      <c r="AW433" s="503" t="s">
        <v>621</v>
      </c>
      <c r="AX433" s="503" t="str">
        <f>IF($G433="","",IF(AND($G433&gt;=30,$AT$3&lt;=AW$7),ROUND(AW433*($AP$3+#REF!),-1),""))</f>
        <v/>
      </c>
      <c r="AY433" s="503" t="s">
        <v>621</v>
      </c>
      <c r="AZ433" s="503" t="str">
        <f>IF($G433="","",IF(AND($G433&gt;=30,$AT$3&lt;=AY$7),ROUND(AY433*($AP$3+#REF!),-1),""))</f>
        <v/>
      </c>
      <c r="BA433" s="503" t="s">
        <v>621</v>
      </c>
      <c r="BB433" s="503" t="str">
        <f>IF($G433="","",IF(AND($G433&gt;=30,$AT$3&lt;=BA$7),ROUND(BA433*($AP$3+#REF!),-1),""))</f>
        <v/>
      </c>
      <c r="BC433" s="503" t="s">
        <v>621</v>
      </c>
      <c r="BD433" s="503" t="str">
        <f>IF($G433="","",IF(AND($G433&gt;=30,$AT$3&lt;=BC$7),ROUND(BC433*($AP$3+#REF!),-1),""))</f>
        <v/>
      </c>
      <c r="BE433" s="503" t="s">
        <v>621</v>
      </c>
      <c r="BF433" s="503" t="str">
        <f>IF($G433="","",IF(AND($G433&gt;=30,$AT$3&lt;=BE$7),ROUND(BE433*($AP$3+#REF!),-1),""))</f>
        <v/>
      </c>
      <c r="BG433" s="503" t="s">
        <v>621</v>
      </c>
      <c r="BH433" s="503" t="str">
        <f>IF($G433="","",IF(AND($G433&gt;=30,$AT$3&lt;=BG$7),ROUND(BG433*($AP$3+#REF!),-1),""))</f>
        <v/>
      </c>
      <c r="BI433" s="503" t="s">
        <v>621</v>
      </c>
      <c r="BJ433" s="503" t="str">
        <f>IF($G433="","",IF(AND($G433&gt;=30,$AT$3&lt;=BI$7),ROUND(BI433*($AP$3+#REF!),-1),""))</f>
        <v/>
      </c>
      <c r="BK433" s="503" t="s">
        <v>621</v>
      </c>
      <c r="BL433" s="503" t="str">
        <f>IF($G433="","",IF(AND($G433&gt;=30,$AT$3&lt;=BK$7),ROUND(BK433*($AP$3+#REF!),-1),""))</f>
        <v/>
      </c>
      <c r="BM433" s="503" t="s">
        <v>621</v>
      </c>
      <c r="BN433" s="503" t="str">
        <f>IF($G433="","",IF(AND($G433&gt;=30,$AT$3&lt;=BM$7),ROUND(BM433*($AP$3+#REF!),-1),""))</f>
        <v/>
      </c>
      <c r="BO433" s="503" t="s">
        <v>621</v>
      </c>
      <c r="BP433" s="503" t="str">
        <f>IF($G433="","",IF(AND($G433&gt;=30,$AT$3&lt;=BO$7),ROUND(BO433*($AP$3+#REF!),-1),""))</f>
        <v/>
      </c>
      <c r="BQ433" s="503" t="s">
        <v>621</v>
      </c>
      <c r="BR433" s="503" t="str">
        <f>IF($G433="","",IF(AND($G433&gt;=30,$AT$3&lt;=BQ$7),ROUND(BQ433*($AP$3+#REF!),-1),""))</f>
        <v/>
      </c>
      <c r="BS433" s="503" t="s">
        <v>621</v>
      </c>
      <c r="BT433" s="503" t="str">
        <f>IF($G433="","",IF(AND($G433&gt;=30,$AT$3&lt;=BS$7),ROUND(BS433*($AP$3+#REF!),-1),""))</f>
        <v/>
      </c>
      <c r="BU433" s="503" t="s">
        <v>621</v>
      </c>
      <c r="BV433" s="503" t="str">
        <f>IF($G433="","",IF(AND($G433&gt;=30,$AT$3&lt;=BU$7),ROUND(BU433*($AP$3+#REF!),-1),""))</f>
        <v/>
      </c>
      <c r="BW433" s="503" t="s">
        <v>621</v>
      </c>
      <c r="BX433" s="503" t="str">
        <f>IF($G433="","",IF(AND($G433&gt;=30,$AT$3&lt;=BW$7),ROUND(BW433*($AP$3+#REF!),-1),""))</f>
        <v/>
      </c>
      <c r="BY433" s="503" t="s">
        <v>621</v>
      </c>
      <c r="BZ433" s="503" t="str">
        <f>IF($G433="","",IF(AND($G433&gt;=30,$AT$3&lt;=BY$7),ROUND(BY433*($AP$3+#REF!),-1),""))</f>
        <v/>
      </c>
      <c r="CA433" s="503" t="s">
        <v>621</v>
      </c>
      <c r="CB433" s="503" t="str">
        <f>IF($G433="","",IF(AND($G433&gt;=30,$AT$3&lt;=CA$7),ROUND(CA433*($AP$3+#REF!),-1),""))</f>
        <v/>
      </c>
      <c r="CC433" s="503" t="s">
        <v>621</v>
      </c>
      <c r="CD433" s="503" t="str">
        <f>IF($G433="","",IF(AND($G433&gt;=30,$AT$3&lt;=CC$7),ROUND(CC433*($AP$3+#REF!),-1),""))</f>
        <v/>
      </c>
      <c r="CE433" s="503" t="s">
        <v>621</v>
      </c>
      <c r="CF433" s="503" t="str">
        <f>IF($G433="","",IF(AND($G433&gt;=30,$AT$3&lt;=CE$7),ROUND(CE433*($AP$3+#REF!),-1),""))</f>
        <v/>
      </c>
      <c r="CG433" s="503" t="s">
        <v>621</v>
      </c>
      <c r="CH433" s="503" t="str">
        <f>IF($G433="","",IF(AND($G433&gt;=30,$AT$3&lt;=CG$7),ROUND(CG433*($AP$3+#REF!),-1),""))</f>
        <v/>
      </c>
      <c r="CI433" s="503" t="s">
        <v>621</v>
      </c>
      <c r="CJ433" s="503" t="str">
        <f>IF($G433="","",IF(AND($G433&gt;=30,$AT$3&lt;=CI$7),ROUND(CI433*($AP$3+#REF!),-1),""))</f>
        <v/>
      </c>
      <c r="CK433" s="503" t="s">
        <v>621</v>
      </c>
      <c r="CL433" s="503" t="str">
        <f>IF($G433="","",IF(AND($G433&gt;=30,$AT$3&lt;=CK$7),ROUND(CK433*($AP$3+#REF!),-1),""))</f>
        <v/>
      </c>
      <c r="CM433" s="503" t="s">
        <v>621</v>
      </c>
      <c r="CN433" s="503" t="str">
        <f>IF($G433="","",IF(AND($G433&gt;=30,$AT$3&lt;=CM$7),ROUND(CM433*($AP$3+#REF!),-1),""))</f>
        <v/>
      </c>
      <c r="CO433" s="503" t="s">
        <v>621</v>
      </c>
      <c r="CP433" s="503" t="str">
        <f>IF($G433="","",IF(AND($G433&gt;=30,$AT$3&lt;=CO$7),ROUND(CO433*($AP$3+#REF!),-1),""))</f>
        <v/>
      </c>
      <c r="CQ433" s="503" t="s">
        <v>621</v>
      </c>
      <c r="CR433" s="503" t="str">
        <f>IF($G433="","",IF(AND($G433&gt;=30,$AT$3&lt;=CQ$7),ROUND(CQ433*($AP$3+#REF!),-1),""))</f>
        <v/>
      </c>
      <c r="CS433" s="503" t="s">
        <v>621</v>
      </c>
      <c r="CT433" s="503" t="str">
        <f>IF($G433="","",IF(AND($G433&gt;=30,$AT$3&lt;=CS$7),ROUND(CS433*($AP$3+#REF!),-1),""))</f>
        <v/>
      </c>
      <c r="CU433" s="503" t="s">
        <v>621</v>
      </c>
      <c r="CV433" s="503" t="str">
        <f>IF($G433="","",IF(AND($G433&gt;=30,$AT$3&lt;=CU$7),ROUND(CU433*($AP$3+#REF!),-1),""))</f>
        <v/>
      </c>
      <c r="CW433" s="503" t="s">
        <v>621</v>
      </c>
      <c r="CX433" s="503" t="str">
        <f>IF($G433="","",IF(AND($G433&gt;=30,$AT$3&lt;=CW$7),ROUND(CW433*($AP$3+#REF!),-1),""))</f>
        <v/>
      </c>
      <c r="CY433" s="517" t="e">
        <v>#REF!</v>
      </c>
      <c r="CZ433" s="503" t="str">
        <f>IF($G433="","",IF(AND($G433&gt;=30,$AT$3&lt;=CY$7),ROUND(CY433*($AP$3+#REF!),-1),""))</f>
        <v/>
      </c>
      <c r="DA433" s="517"/>
      <c r="DB433" s="503" t="str">
        <f>IF($G433="","",IF(AND($G433&gt;=30,$AT$3&lt;=DA$7),ROUND(DA433*($AP$3+#REF!),-1),""))</f>
        <v/>
      </c>
      <c r="DC433" s="517"/>
      <c r="DD433" s="503" t="str">
        <f>IF($G433="","",IF(AND($G433&gt;=30,$AT$3&lt;=DC$7),ROUND(DC433*($AP$3+#REF!),-1),""))</f>
        <v/>
      </c>
      <c r="DE433" s="517"/>
      <c r="DF433" s="503" t="str">
        <f>IF($G433="","",IF(AND($G433&gt;=30,$AT$3&lt;=DE$7),ROUND(DE433*($AP$3+#REF!),-1),""))</f>
        <v/>
      </c>
      <c r="DG433" s="517"/>
      <c r="DH433" s="503" t="str">
        <f>IF($G433="","",IF(AND($G433&gt;=30,$AT$3&lt;=DG$7),ROUND(DG433*($AP$3+#REF!),-1),""))</f>
        <v/>
      </c>
      <c r="DI433" s="517"/>
      <c r="DJ433" s="503" t="str">
        <f>IF($G433="","",IF(AND($G433&gt;=30,$AT$3&lt;=DI$7),ROUND(DI433*($AP$3+#REF!),-1),""))</f>
        <v/>
      </c>
      <c r="DK433" s="517"/>
      <c r="DL433" s="503" t="str">
        <f>IF($G433="","",IF(AND($G433&gt;=30,$AT$3&lt;=DK$7),ROUND(DK433*($AP$3+#REF!),-1),""))</f>
        <v/>
      </c>
      <c r="DM433" s="517"/>
      <c r="DN433" s="503" t="str">
        <f>IF($G433="","",IF(AND($G433&gt;=30,$AT$3&lt;=DM$7),ROUND(DM433*($AP$3+#REF!),-1),""))</f>
        <v/>
      </c>
      <c r="DO433" s="517"/>
      <c r="DP433" s="503" t="str">
        <f>IF($G433="","",IF(AND($G433&gt;=30,$AT$3&lt;=DO$7),ROUND(DO433*($AP$3+#REF!),-1),""))</f>
        <v/>
      </c>
      <c r="DQ433" s="517"/>
      <c r="DR433" s="503" t="str">
        <f>IF($G433="","",IF(AND($G433&gt;=30,$AT$3&lt;=DQ$7),ROUND(DQ433*($AP$3+#REF!),-1),""))</f>
        <v/>
      </c>
      <c r="DS433" s="517"/>
      <c r="DT433" s="503" t="str">
        <f>IF($G433="","",IF(AND($G433&gt;=30,$AT$3&lt;=DS$7),ROUND(DS433*($AP$3+#REF!),-1),""))</f>
        <v/>
      </c>
      <c r="DU433" s="517"/>
      <c r="DV433" s="503" t="str">
        <f>IF($G433="","",IF(AND($G433&gt;=30,$AT$3&lt;=DU$7),ROUND(DU433*($AP$3+#REF!),-1),""))</f>
        <v/>
      </c>
      <c r="DW433" s="517"/>
      <c r="DX433" s="503" t="str">
        <f>IF($G433="","",IF(AND($G433&gt;=30,$AT$3&lt;=DW$7),ROUND(DW433*($AP$3+#REF!),-1),""))</f>
        <v/>
      </c>
      <c r="DY433" s="517"/>
      <c r="DZ433" s="503" t="str">
        <f>IF($G433="","",IF(AND($G433&gt;=30,$AT$3&lt;=DY$7),ROUND(DY433*($AP$3+#REF!),-1),""))</f>
        <v/>
      </c>
      <c r="EA433" s="517"/>
      <c r="EB433" s="503" t="str">
        <f>IF($G433="","",IF(AND($G433&gt;=30,$AT$3&lt;=EA$7),ROUND(EA433*($AP$3+#REF!),-1),""))</f>
        <v/>
      </c>
      <c r="EC433" s="504" t="s">
        <v>621</v>
      </c>
      <c r="ED433" s="1124"/>
      <c r="EE433" s="325">
        <v>5</v>
      </c>
    </row>
    <row r="434" spans="1:135" ht="9.75" customHeight="1">
      <c r="A434" s="321" t="str">
        <f t="shared" si="96"/>
        <v/>
      </c>
      <c r="B434" s="567">
        <f>(ii!$D$13*12+V434)+1</f>
        <v>328</v>
      </c>
      <c r="C434" s="337">
        <f t="shared" si="100"/>
        <v>55334</v>
      </c>
      <c r="D434" s="484">
        <f t="shared" si="103"/>
        <v>2051</v>
      </c>
      <c r="E434" s="484">
        <f t="shared" si="101"/>
        <v>0.5</v>
      </c>
      <c r="F434" s="484">
        <f t="shared" si="104"/>
        <v>2051.5</v>
      </c>
      <c r="G434" s="485" t="str">
        <f>IF(OR(C434&lt;$I$2,C434&gt;$J$3),"",(ii!$D$13*12+V434+1)/12)</f>
        <v/>
      </c>
      <c r="H434" s="486"/>
      <c r="I434" s="486"/>
      <c r="J434" s="487"/>
      <c r="K434" s="488"/>
      <c r="L434" s="548"/>
      <c r="M434" s="489" t="str">
        <f t="shared" si="105"/>
        <v/>
      </c>
      <c r="N434" s="490" t="s">
        <v>621</v>
      </c>
      <c r="O434" s="490" t="str">
        <f t="shared" si="98"/>
        <v/>
      </c>
      <c r="P434" s="491"/>
      <c r="Q434" s="491"/>
      <c r="R434" s="491" t="str">
        <f t="shared" si="99"/>
        <v/>
      </c>
      <c r="S434" s="528" t="str">
        <f t="shared" si="97"/>
        <v/>
      </c>
      <c r="T434" s="528" t="str">
        <f t="shared" si="95"/>
        <v/>
      </c>
      <c r="U434" s="493" t="str">
        <f>IF(H434="","",#REF!*12+#REF!+#REF!*12+#REF!)</f>
        <v/>
      </c>
      <c r="V434" s="338">
        <f>IF(ii!$J$3&gt;gg!C434,"",IF(AND((YEAR(C434)=YEAR($I$2)),MONTH(C434)=MONTH($I$2)),ii!$B$14*12+ii!$C$14+ii!$B$15*12+ii!$C$15-1,V433+1))</f>
        <v>327</v>
      </c>
      <c r="W434" s="339">
        <f t="shared" si="102"/>
        <v>27.25</v>
      </c>
      <c r="X434" s="494" t="s">
        <v>621</v>
      </c>
      <c r="Y434" s="495" t="s">
        <v>621</v>
      </c>
      <c r="Z434" s="496"/>
      <c r="AA434" s="497"/>
      <c r="AB434" s="498" t="e">
        <f t="shared" si="108"/>
        <v>#VALUE!</v>
      </c>
      <c r="AC434" s="484" t="str">
        <f t="shared" si="106"/>
        <v/>
      </c>
      <c r="AD434" s="495" t="str">
        <f t="shared" si="107"/>
        <v/>
      </c>
      <c r="AE434" s="499" t="s">
        <v>621</v>
      </c>
      <c r="AF434" s="500" t="s">
        <v>621</v>
      </c>
      <c r="AG434" s="556" t="s">
        <v>621</v>
      </c>
      <c r="AH434" s="503" t="str">
        <f>IF($G434="","",IF(AND($G434&gt;=30,$AT$3&lt;=AG$7),ROUND(AG434*($AP$3+#REF!),-1),""))</f>
        <v/>
      </c>
      <c r="AI434" s="506" t="s">
        <v>621</v>
      </c>
      <c r="AJ434" s="503" t="str">
        <f>IF($G434="","",IF(AND($G434&gt;=30,$AT$3&lt;=AI$7),ROUND(AI434*($AP$3+#REF!),-1),""))</f>
        <v/>
      </c>
      <c r="AK434" s="506" t="s">
        <v>621</v>
      </c>
      <c r="AL434" s="503" t="str">
        <f>IF($G434="","",IF(AND($G434&gt;=30,$AT$3&lt;=AK$7),ROUND(AK434*($AP$3+#REF!),-1),""))</f>
        <v/>
      </c>
      <c r="AM434" s="506" t="s">
        <v>621</v>
      </c>
      <c r="AN434" s="503" t="str">
        <f>IF($G434="","",IF(AND($G434&gt;=30,$AT$3&lt;=AM$7),ROUND(AM434*($AP$3+#REF!),-1),""))</f>
        <v/>
      </c>
      <c r="AO434" s="503" t="e">
        <v>#REF!</v>
      </c>
      <c r="AP434" s="503" t="str">
        <f>IF($G434="","",IF(AND($G434&gt;=30,$AT$3&lt;=AO$7),ROUND(AO434*($AP$3+#REF!),-1),""))</f>
        <v/>
      </c>
      <c r="AQ434" s="503" t="s">
        <v>621</v>
      </c>
      <c r="AR434" s="503" t="str">
        <f>IF($G434="","",IF(AND($G434&gt;=30,$AT$3&lt;=AQ$7),ROUND(AQ434*($AP$3+#REF!),-1),""))</f>
        <v/>
      </c>
      <c r="AS434" s="503" t="s">
        <v>621</v>
      </c>
      <c r="AT434" s="503" t="str">
        <f>IF($G434="","",IF(AND($G434&gt;=30,$AT$3&lt;=AS$7),ROUND(AS434*($AP$3+#REF!),-1),""))</f>
        <v/>
      </c>
      <c r="AU434" s="503" t="s">
        <v>621</v>
      </c>
      <c r="AV434" s="503" t="str">
        <f>IF($G434="","",IF(AND($G434&gt;=30,$AT$3&lt;=AU$7),ROUND(AU434*($AP$3+#REF!),-1),""))</f>
        <v/>
      </c>
      <c r="AW434" s="503" t="s">
        <v>621</v>
      </c>
      <c r="AX434" s="503" t="str">
        <f>IF($G434="","",IF(AND($G434&gt;=30,$AT$3&lt;=AW$7),ROUND(AW434*($AP$3+#REF!),-1),""))</f>
        <v/>
      </c>
      <c r="AY434" s="503" t="s">
        <v>621</v>
      </c>
      <c r="AZ434" s="503" t="str">
        <f>IF($G434="","",IF(AND($G434&gt;=30,$AT$3&lt;=AY$7),ROUND(AY434*($AP$3+#REF!),-1),""))</f>
        <v/>
      </c>
      <c r="BA434" s="503" t="s">
        <v>621</v>
      </c>
      <c r="BB434" s="503" t="str">
        <f>IF($G434="","",IF(AND($G434&gt;=30,$AT$3&lt;=BA$7),ROUND(BA434*($AP$3+#REF!),-1),""))</f>
        <v/>
      </c>
      <c r="BC434" s="503" t="s">
        <v>621</v>
      </c>
      <c r="BD434" s="503" t="str">
        <f>IF($G434="","",IF(AND($G434&gt;=30,$AT$3&lt;=BC$7),ROUND(BC434*($AP$3+#REF!),-1),""))</f>
        <v/>
      </c>
      <c r="BE434" s="503" t="s">
        <v>621</v>
      </c>
      <c r="BF434" s="503" t="str">
        <f>IF($G434="","",IF(AND($G434&gt;=30,$AT$3&lt;=BE$7),ROUND(BE434*($AP$3+#REF!),-1),""))</f>
        <v/>
      </c>
      <c r="BG434" s="503" t="s">
        <v>621</v>
      </c>
      <c r="BH434" s="503" t="str">
        <f>IF($G434="","",IF(AND($G434&gt;=30,$AT$3&lt;=BG$7),ROUND(BG434*($AP$3+#REF!),-1),""))</f>
        <v/>
      </c>
      <c r="BI434" s="503" t="s">
        <v>621</v>
      </c>
      <c r="BJ434" s="503" t="str">
        <f>IF($G434="","",IF(AND($G434&gt;=30,$AT$3&lt;=BI$7),ROUND(BI434*($AP$3+#REF!),-1),""))</f>
        <v/>
      </c>
      <c r="BK434" s="503" t="s">
        <v>621</v>
      </c>
      <c r="BL434" s="503" t="str">
        <f>IF($G434="","",IF(AND($G434&gt;=30,$AT$3&lt;=BK$7),ROUND(BK434*($AP$3+#REF!),-1),""))</f>
        <v/>
      </c>
      <c r="BM434" s="503" t="s">
        <v>621</v>
      </c>
      <c r="BN434" s="503" t="str">
        <f>IF($G434="","",IF(AND($G434&gt;=30,$AT$3&lt;=BM$7),ROUND(BM434*($AP$3+#REF!),-1),""))</f>
        <v/>
      </c>
      <c r="BO434" s="503" t="s">
        <v>621</v>
      </c>
      <c r="BP434" s="503" t="str">
        <f>IF($G434="","",IF(AND($G434&gt;=30,$AT$3&lt;=BO$7),ROUND(BO434*($AP$3+#REF!),-1),""))</f>
        <v/>
      </c>
      <c r="BQ434" s="503" t="s">
        <v>621</v>
      </c>
      <c r="BR434" s="503" t="str">
        <f>IF($G434="","",IF(AND($G434&gt;=30,$AT$3&lt;=BQ$7),ROUND(BQ434*($AP$3+#REF!),-1),""))</f>
        <v/>
      </c>
      <c r="BS434" s="503" t="s">
        <v>621</v>
      </c>
      <c r="BT434" s="503" t="str">
        <f>IF($G434="","",IF(AND($G434&gt;=30,$AT$3&lt;=BS$7),ROUND(BS434*($AP$3+#REF!),-1),""))</f>
        <v/>
      </c>
      <c r="BU434" s="503" t="s">
        <v>621</v>
      </c>
      <c r="BV434" s="503" t="str">
        <f>IF($G434="","",IF(AND($G434&gt;=30,$AT$3&lt;=BU$7),ROUND(BU434*($AP$3+#REF!),-1),""))</f>
        <v/>
      </c>
      <c r="BW434" s="503" t="s">
        <v>621</v>
      </c>
      <c r="BX434" s="503" t="str">
        <f>IF($G434="","",IF(AND($G434&gt;=30,$AT$3&lt;=BW$7),ROUND(BW434*($AP$3+#REF!),-1),""))</f>
        <v/>
      </c>
      <c r="BY434" s="503" t="s">
        <v>621</v>
      </c>
      <c r="BZ434" s="503" t="str">
        <f>IF($G434="","",IF(AND($G434&gt;=30,$AT$3&lt;=BY$7),ROUND(BY434*($AP$3+#REF!),-1),""))</f>
        <v/>
      </c>
      <c r="CA434" s="503" t="s">
        <v>621</v>
      </c>
      <c r="CB434" s="503" t="str">
        <f>IF($G434="","",IF(AND($G434&gt;=30,$AT$3&lt;=CA$7),ROUND(CA434*($AP$3+#REF!),-1),""))</f>
        <v/>
      </c>
      <c r="CC434" s="503" t="s">
        <v>621</v>
      </c>
      <c r="CD434" s="503" t="str">
        <f>IF($G434="","",IF(AND($G434&gt;=30,$AT$3&lt;=CC$7),ROUND(CC434*($AP$3+#REF!),-1),""))</f>
        <v/>
      </c>
      <c r="CE434" s="503" t="s">
        <v>621</v>
      </c>
      <c r="CF434" s="503" t="str">
        <f>IF($G434="","",IF(AND($G434&gt;=30,$AT$3&lt;=CE$7),ROUND(CE434*($AP$3+#REF!),-1),""))</f>
        <v/>
      </c>
      <c r="CG434" s="503" t="s">
        <v>621</v>
      </c>
      <c r="CH434" s="503" t="str">
        <f>IF($G434="","",IF(AND($G434&gt;=30,$AT$3&lt;=CG$7),ROUND(CG434*($AP$3+#REF!),-1),""))</f>
        <v/>
      </c>
      <c r="CI434" s="503" t="s">
        <v>621</v>
      </c>
      <c r="CJ434" s="503" t="str">
        <f>IF($G434="","",IF(AND($G434&gt;=30,$AT$3&lt;=CI$7),ROUND(CI434*($AP$3+#REF!),-1),""))</f>
        <v/>
      </c>
      <c r="CK434" s="503" t="s">
        <v>621</v>
      </c>
      <c r="CL434" s="503" t="str">
        <f>IF($G434="","",IF(AND($G434&gt;=30,$AT$3&lt;=CK$7),ROUND(CK434*($AP$3+#REF!),-1),""))</f>
        <v/>
      </c>
      <c r="CM434" s="503" t="s">
        <v>621</v>
      </c>
      <c r="CN434" s="503" t="str">
        <f>IF($G434="","",IF(AND($G434&gt;=30,$AT$3&lt;=CM$7),ROUND(CM434*($AP$3+#REF!),-1),""))</f>
        <v/>
      </c>
      <c r="CO434" s="503" t="s">
        <v>621</v>
      </c>
      <c r="CP434" s="503" t="str">
        <f>IF($G434="","",IF(AND($G434&gt;=30,$AT$3&lt;=CO$7),ROUND(CO434*($AP$3+#REF!),-1),""))</f>
        <v/>
      </c>
      <c r="CQ434" s="503" t="s">
        <v>621</v>
      </c>
      <c r="CR434" s="503" t="str">
        <f>IF($G434="","",IF(AND($G434&gt;=30,$AT$3&lt;=CQ$7),ROUND(CQ434*($AP$3+#REF!),-1),""))</f>
        <v/>
      </c>
      <c r="CS434" s="503" t="s">
        <v>621</v>
      </c>
      <c r="CT434" s="503" t="str">
        <f>IF($G434="","",IF(AND($G434&gt;=30,$AT$3&lt;=CS$7),ROUND(CS434*($AP$3+#REF!),-1),""))</f>
        <v/>
      </c>
      <c r="CU434" s="503" t="s">
        <v>621</v>
      </c>
      <c r="CV434" s="503" t="str">
        <f>IF($G434="","",IF(AND($G434&gt;=30,$AT$3&lt;=CU$7),ROUND(CU434*($AP$3+#REF!),-1),""))</f>
        <v/>
      </c>
      <c r="CW434" s="503" t="s">
        <v>621</v>
      </c>
      <c r="CX434" s="503" t="str">
        <f>IF($G434="","",IF(AND($G434&gt;=30,$AT$3&lt;=CW$7),ROUND(CW434*($AP$3+#REF!),-1),""))</f>
        <v/>
      </c>
      <c r="CY434" s="517" t="e">
        <v>#REF!</v>
      </c>
      <c r="CZ434" s="503" t="str">
        <f>IF($G434="","",IF(AND($G434&gt;=30,$AT$3&lt;=CY$7),ROUND(CY434*($AP$3+#REF!),-1),""))</f>
        <v/>
      </c>
      <c r="DA434" s="517"/>
      <c r="DB434" s="503" t="str">
        <f>IF($G434="","",IF(AND($G434&gt;=30,$AT$3&lt;=DA$7),ROUND(DA434*($AP$3+#REF!),-1),""))</f>
        <v/>
      </c>
      <c r="DC434" s="517"/>
      <c r="DD434" s="503" t="str">
        <f>IF($G434="","",IF(AND($G434&gt;=30,$AT$3&lt;=DC$7),ROUND(DC434*($AP$3+#REF!),-1),""))</f>
        <v/>
      </c>
      <c r="DE434" s="517"/>
      <c r="DF434" s="503" t="str">
        <f>IF($G434="","",IF(AND($G434&gt;=30,$AT$3&lt;=DE$7),ROUND(DE434*($AP$3+#REF!),-1),""))</f>
        <v/>
      </c>
      <c r="DG434" s="517"/>
      <c r="DH434" s="503" t="str">
        <f>IF($G434="","",IF(AND($G434&gt;=30,$AT$3&lt;=DG$7),ROUND(DG434*($AP$3+#REF!),-1),""))</f>
        <v/>
      </c>
      <c r="DI434" s="517"/>
      <c r="DJ434" s="503" t="str">
        <f>IF($G434="","",IF(AND($G434&gt;=30,$AT$3&lt;=DI$7),ROUND(DI434*($AP$3+#REF!),-1),""))</f>
        <v/>
      </c>
      <c r="DK434" s="517"/>
      <c r="DL434" s="503" t="str">
        <f>IF($G434="","",IF(AND($G434&gt;=30,$AT$3&lt;=DK$7),ROUND(DK434*($AP$3+#REF!),-1),""))</f>
        <v/>
      </c>
      <c r="DM434" s="517"/>
      <c r="DN434" s="503" t="str">
        <f>IF($G434="","",IF(AND($G434&gt;=30,$AT$3&lt;=DM$7),ROUND(DM434*($AP$3+#REF!),-1),""))</f>
        <v/>
      </c>
      <c r="DO434" s="517"/>
      <c r="DP434" s="503" t="str">
        <f>IF($G434="","",IF(AND($G434&gt;=30,$AT$3&lt;=DO$7),ROUND(DO434*($AP$3+#REF!),-1),""))</f>
        <v/>
      </c>
      <c r="DQ434" s="517"/>
      <c r="DR434" s="503" t="str">
        <f>IF($G434="","",IF(AND($G434&gt;=30,$AT$3&lt;=DQ$7),ROUND(DQ434*($AP$3+#REF!),-1),""))</f>
        <v/>
      </c>
      <c r="DS434" s="517"/>
      <c r="DT434" s="503" t="str">
        <f>IF($G434="","",IF(AND($G434&gt;=30,$AT$3&lt;=DS$7),ROUND(DS434*($AP$3+#REF!),-1),""))</f>
        <v/>
      </c>
      <c r="DU434" s="517"/>
      <c r="DV434" s="503" t="str">
        <f>IF($G434="","",IF(AND($G434&gt;=30,$AT$3&lt;=DU$7),ROUND(DU434*($AP$3+#REF!),-1),""))</f>
        <v/>
      </c>
      <c r="DW434" s="517"/>
      <c r="DX434" s="503" t="str">
        <f>IF($G434="","",IF(AND($G434&gt;=30,$AT$3&lt;=DW$7),ROUND(DW434*($AP$3+#REF!),-1),""))</f>
        <v/>
      </c>
      <c r="DY434" s="517"/>
      <c r="DZ434" s="503" t="str">
        <f>IF($G434="","",IF(AND($G434&gt;=30,$AT$3&lt;=DY$7),ROUND(DY434*($AP$3+#REF!),-1),""))</f>
        <v/>
      </c>
      <c r="EA434" s="517"/>
      <c r="EB434" s="503" t="str">
        <f>IF($G434="","",IF(AND($G434&gt;=30,$AT$3&lt;=EA$7),ROUND(EA434*($AP$3+#REF!),-1),""))</f>
        <v/>
      </c>
      <c r="EC434" s="504" t="s">
        <v>621</v>
      </c>
      <c r="ED434" s="1124"/>
      <c r="EE434" s="325">
        <v>6</v>
      </c>
    </row>
    <row r="435" spans="1:135" ht="9.75" customHeight="1">
      <c r="A435" s="321" t="str">
        <f t="shared" si="96"/>
        <v/>
      </c>
      <c r="B435" s="567">
        <f>(ii!$D$13*12+V435)+1</f>
        <v>329</v>
      </c>
      <c r="C435" s="337">
        <f t="shared" si="100"/>
        <v>55365</v>
      </c>
      <c r="D435" s="484">
        <f t="shared" si="103"/>
        <v>2051</v>
      </c>
      <c r="E435" s="484">
        <f t="shared" si="101"/>
        <v>0.58333333333333337</v>
      </c>
      <c r="F435" s="484">
        <f t="shared" si="104"/>
        <v>2051.5833333333335</v>
      </c>
      <c r="G435" s="485" t="str">
        <f>IF(OR(C435&lt;$I$2,C435&gt;$J$3),"",(ii!$D$13*12+V435+1)/12)</f>
        <v/>
      </c>
      <c r="H435" s="486"/>
      <c r="I435" s="486"/>
      <c r="J435" s="487"/>
      <c r="K435" s="488"/>
      <c r="L435" s="548"/>
      <c r="M435" s="489" t="str">
        <f t="shared" si="105"/>
        <v/>
      </c>
      <c r="N435" s="490" t="s">
        <v>621</v>
      </c>
      <c r="O435" s="490" t="str">
        <f t="shared" si="98"/>
        <v/>
      </c>
      <c r="P435" s="491"/>
      <c r="Q435" s="491"/>
      <c r="R435" s="491" t="str">
        <f t="shared" si="99"/>
        <v/>
      </c>
      <c r="S435" s="528" t="str">
        <f t="shared" si="97"/>
        <v/>
      </c>
      <c r="T435" s="528" t="str">
        <f t="shared" si="95"/>
        <v/>
      </c>
      <c r="U435" s="493" t="str">
        <f>IF(H435="","",#REF!*12+#REF!+#REF!*12+#REF!)</f>
        <v/>
      </c>
      <c r="V435" s="338">
        <f>IF(ii!$J$3&gt;gg!C435,"",IF(AND((YEAR(C435)=YEAR($I$2)),MONTH(C435)=MONTH($I$2)),ii!$B$14*12+ii!$C$14+ii!$B$15*12+ii!$C$15-1,V434+1))</f>
        <v>328</v>
      </c>
      <c r="W435" s="339">
        <f t="shared" si="102"/>
        <v>27.333333333333332</v>
      </c>
      <c r="X435" s="494" t="s">
        <v>621</v>
      </c>
      <c r="Y435" s="495" t="s">
        <v>621</v>
      </c>
      <c r="Z435" s="496"/>
      <c r="AA435" s="497"/>
      <c r="AB435" s="498" t="e">
        <f t="shared" si="108"/>
        <v>#VALUE!</v>
      </c>
      <c r="AC435" s="484" t="str">
        <f t="shared" si="106"/>
        <v/>
      </c>
      <c r="AD435" s="495" t="str">
        <f t="shared" si="107"/>
        <v/>
      </c>
      <c r="AE435" s="499" t="s">
        <v>621</v>
      </c>
      <c r="AF435" s="500" t="s">
        <v>621</v>
      </c>
      <c r="AG435" s="556" t="s">
        <v>621</v>
      </c>
      <c r="AH435" s="503" t="str">
        <f>IF($G435="","",IF(AND($G435&gt;=30,$AT$3&lt;=AG$7),ROUND(AG435*($AP$3+#REF!),-1),""))</f>
        <v/>
      </c>
      <c r="AI435" s="506" t="s">
        <v>621</v>
      </c>
      <c r="AJ435" s="503" t="str">
        <f>IF($G435="","",IF(AND($G435&gt;=30,$AT$3&lt;=AI$7),ROUND(AI435*($AP$3+#REF!),-1),""))</f>
        <v/>
      </c>
      <c r="AK435" s="506" t="s">
        <v>621</v>
      </c>
      <c r="AL435" s="503" t="str">
        <f>IF($G435="","",IF(AND($G435&gt;=30,$AT$3&lt;=AK$7),ROUND(AK435*($AP$3+#REF!),-1),""))</f>
        <v/>
      </c>
      <c r="AM435" s="506" t="s">
        <v>621</v>
      </c>
      <c r="AN435" s="503" t="str">
        <f>IF($G435="","",IF(AND($G435&gt;=30,$AT$3&lt;=AM$7),ROUND(AM435*($AP$3+#REF!),-1),""))</f>
        <v/>
      </c>
      <c r="AO435" s="503" t="e">
        <v>#REF!</v>
      </c>
      <c r="AP435" s="503" t="str">
        <f>IF($G435="","",IF(AND($G435&gt;=30,$AT$3&lt;=AO$7),ROUND(AO435*($AP$3+#REF!),-1),""))</f>
        <v/>
      </c>
      <c r="AQ435" s="503" t="s">
        <v>621</v>
      </c>
      <c r="AR435" s="503" t="str">
        <f>IF($G435="","",IF(AND($G435&gt;=30,$AT$3&lt;=AQ$7),ROUND(AQ435*($AP$3+#REF!),-1),""))</f>
        <v/>
      </c>
      <c r="AS435" s="503" t="s">
        <v>621</v>
      </c>
      <c r="AT435" s="503" t="str">
        <f>IF($G435="","",IF(AND($G435&gt;=30,$AT$3&lt;=AS$7),ROUND(AS435*($AP$3+#REF!),-1),""))</f>
        <v/>
      </c>
      <c r="AU435" s="503" t="s">
        <v>621</v>
      </c>
      <c r="AV435" s="503" t="str">
        <f>IF($G435="","",IF(AND($G435&gt;=30,$AT$3&lt;=AU$7),ROUND(AU435*($AP$3+#REF!),-1),""))</f>
        <v/>
      </c>
      <c r="AW435" s="503" t="s">
        <v>621</v>
      </c>
      <c r="AX435" s="503" t="str">
        <f>IF($G435="","",IF(AND($G435&gt;=30,$AT$3&lt;=AW$7),ROUND(AW435*($AP$3+#REF!),-1),""))</f>
        <v/>
      </c>
      <c r="AY435" s="503" t="s">
        <v>621</v>
      </c>
      <c r="AZ435" s="503" t="str">
        <f>IF($G435="","",IF(AND($G435&gt;=30,$AT$3&lt;=AY$7),ROUND(AY435*($AP$3+#REF!),-1),""))</f>
        <v/>
      </c>
      <c r="BA435" s="503" t="s">
        <v>621</v>
      </c>
      <c r="BB435" s="503" t="str">
        <f>IF($G435="","",IF(AND($G435&gt;=30,$AT$3&lt;=BA$7),ROUND(BA435*($AP$3+#REF!),-1),""))</f>
        <v/>
      </c>
      <c r="BC435" s="503" t="s">
        <v>621</v>
      </c>
      <c r="BD435" s="503" t="str">
        <f>IF($G435="","",IF(AND($G435&gt;=30,$AT$3&lt;=BC$7),ROUND(BC435*($AP$3+#REF!),-1),""))</f>
        <v/>
      </c>
      <c r="BE435" s="503" t="s">
        <v>621</v>
      </c>
      <c r="BF435" s="503" t="str">
        <f>IF($G435="","",IF(AND($G435&gt;=30,$AT$3&lt;=BE$7),ROUND(BE435*($AP$3+#REF!),-1),""))</f>
        <v/>
      </c>
      <c r="BG435" s="503" t="s">
        <v>621</v>
      </c>
      <c r="BH435" s="503" t="str">
        <f>IF($G435="","",IF(AND($G435&gt;=30,$AT$3&lt;=BG$7),ROUND(BG435*($AP$3+#REF!),-1),""))</f>
        <v/>
      </c>
      <c r="BI435" s="503" t="s">
        <v>621</v>
      </c>
      <c r="BJ435" s="503" t="str">
        <f>IF($G435="","",IF(AND($G435&gt;=30,$AT$3&lt;=BI$7),ROUND(BI435*($AP$3+#REF!),-1),""))</f>
        <v/>
      </c>
      <c r="BK435" s="503" t="s">
        <v>621</v>
      </c>
      <c r="BL435" s="503" t="str">
        <f>IF($G435="","",IF(AND($G435&gt;=30,$AT$3&lt;=BK$7),ROUND(BK435*($AP$3+#REF!),-1),""))</f>
        <v/>
      </c>
      <c r="BM435" s="503" t="s">
        <v>621</v>
      </c>
      <c r="BN435" s="503" t="str">
        <f>IF($G435="","",IF(AND($G435&gt;=30,$AT$3&lt;=BM$7),ROUND(BM435*($AP$3+#REF!),-1),""))</f>
        <v/>
      </c>
      <c r="BO435" s="503" t="s">
        <v>621</v>
      </c>
      <c r="BP435" s="503" t="str">
        <f>IF($G435="","",IF(AND($G435&gt;=30,$AT$3&lt;=BO$7),ROUND(BO435*($AP$3+#REF!),-1),""))</f>
        <v/>
      </c>
      <c r="BQ435" s="503" t="s">
        <v>621</v>
      </c>
      <c r="BR435" s="503" t="str">
        <f>IF($G435="","",IF(AND($G435&gt;=30,$AT$3&lt;=BQ$7),ROUND(BQ435*($AP$3+#REF!),-1),""))</f>
        <v/>
      </c>
      <c r="BS435" s="503" t="s">
        <v>621</v>
      </c>
      <c r="BT435" s="503" t="str">
        <f>IF($G435="","",IF(AND($G435&gt;=30,$AT$3&lt;=BS$7),ROUND(BS435*($AP$3+#REF!),-1),""))</f>
        <v/>
      </c>
      <c r="BU435" s="503" t="s">
        <v>621</v>
      </c>
      <c r="BV435" s="503" t="str">
        <f>IF($G435="","",IF(AND($G435&gt;=30,$AT$3&lt;=BU$7),ROUND(BU435*($AP$3+#REF!),-1),""))</f>
        <v/>
      </c>
      <c r="BW435" s="503" t="s">
        <v>621</v>
      </c>
      <c r="BX435" s="503" t="str">
        <f>IF($G435="","",IF(AND($G435&gt;=30,$AT$3&lt;=BW$7),ROUND(BW435*($AP$3+#REF!),-1),""))</f>
        <v/>
      </c>
      <c r="BY435" s="503" t="s">
        <v>621</v>
      </c>
      <c r="BZ435" s="503" t="str">
        <f>IF($G435="","",IF(AND($G435&gt;=30,$AT$3&lt;=BY$7),ROUND(BY435*($AP$3+#REF!),-1),""))</f>
        <v/>
      </c>
      <c r="CA435" s="503" t="s">
        <v>621</v>
      </c>
      <c r="CB435" s="503" t="str">
        <f>IF($G435="","",IF(AND($G435&gt;=30,$AT$3&lt;=CA$7),ROUND(CA435*($AP$3+#REF!),-1),""))</f>
        <v/>
      </c>
      <c r="CC435" s="503" t="s">
        <v>621</v>
      </c>
      <c r="CD435" s="503" t="str">
        <f>IF($G435="","",IF(AND($G435&gt;=30,$AT$3&lt;=CC$7),ROUND(CC435*($AP$3+#REF!),-1),""))</f>
        <v/>
      </c>
      <c r="CE435" s="503" t="s">
        <v>621</v>
      </c>
      <c r="CF435" s="503" t="str">
        <f>IF($G435="","",IF(AND($G435&gt;=30,$AT$3&lt;=CE$7),ROUND(CE435*($AP$3+#REF!),-1),""))</f>
        <v/>
      </c>
      <c r="CG435" s="503" t="s">
        <v>621</v>
      </c>
      <c r="CH435" s="503" t="str">
        <f>IF($G435="","",IF(AND($G435&gt;=30,$AT$3&lt;=CG$7),ROUND(CG435*($AP$3+#REF!),-1),""))</f>
        <v/>
      </c>
      <c r="CI435" s="503" t="s">
        <v>621</v>
      </c>
      <c r="CJ435" s="503" t="str">
        <f>IF($G435="","",IF(AND($G435&gt;=30,$AT$3&lt;=CI$7),ROUND(CI435*($AP$3+#REF!),-1),""))</f>
        <v/>
      </c>
      <c r="CK435" s="503" t="s">
        <v>621</v>
      </c>
      <c r="CL435" s="503" t="str">
        <f>IF($G435="","",IF(AND($G435&gt;=30,$AT$3&lt;=CK$7),ROUND(CK435*($AP$3+#REF!),-1),""))</f>
        <v/>
      </c>
      <c r="CM435" s="503" t="s">
        <v>621</v>
      </c>
      <c r="CN435" s="503" t="str">
        <f>IF($G435="","",IF(AND($G435&gt;=30,$AT$3&lt;=CM$7),ROUND(CM435*($AP$3+#REF!),-1),""))</f>
        <v/>
      </c>
      <c r="CO435" s="503" t="s">
        <v>621</v>
      </c>
      <c r="CP435" s="503" t="str">
        <f>IF($G435="","",IF(AND($G435&gt;=30,$AT$3&lt;=CO$7),ROUND(CO435*($AP$3+#REF!),-1),""))</f>
        <v/>
      </c>
      <c r="CQ435" s="503" t="s">
        <v>621</v>
      </c>
      <c r="CR435" s="503" t="str">
        <f>IF($G435="","",IF(AND($G435&gt;=30,$AT$3&lt;=CQ$7),ROUND(CQ435*($AP$3+#REF!),-1),""))</f>
        <v/>
      </c>
      <c r="CS435" s="503" t="s">
        <v>621</v>
      </c>
      <c r="CT435" s="503" t="str">
        <f>IF($G435="","",IF(AND($G435&gt;=30,$AT$3&lt;=CS$7),ROUND(CS435*($AP$3+#REF!),-1),""))</f>
        <v/>
      </c>
      <c r="CU435" s="503" t="s">
        <v>621</v>
      </c>
      <c r="CV435" s="503" t="str">
        <f>IF($G435="","",IF(AND($G435&gt;=30,$AT$3&lt;=CU$7),ROUND(CU435*($AP$3+#REF!),-1),""))</f>
        <v/>
      </c>
      <c r="CW435" s="503" t="s">
        <v>621</v>
      </c>
      <c r="CX435" s="503" t="str">
        <f>IF($G435="","",IF(AND($G435&gt;=30,$AT$3&lt;=CW$7),ROUND(CW435*($AP$3+#REF!),-1),""))</f>
        <v/>
      </c>
      <c r="CY435" s="517" t="e">
        <v>#REF!</v>
      </c>
      <c r="CZ435" s="503" t="str">
        <f>IF($G435="","",IF(AND($G435&gt;=30,$AT$3&lt;=CY$7),ROUND(CY435*($AP$3+#REF!),-1),""))</f>
        <v/>
      </c>
      <c r="DA435" s="517"/>
      <c r="DB435" s="503" t="str">
        <f>IF($G435="","",IF(AND($G435&gt;=30,$AT$3&lt;=DA$7),ROUND(DA435*($AP$3+#REF!),-1),""))</f>
        <v/>
      </c>
      <c r="DC435" s="517"/>
      <c r="DD435" s="503" t="str">
        <f>IF($G435="","",IF(AND($G435&gt;=30,$AT$3&lt;=DC$7),ROUND(DC435*($AP$3+#REF!),-1),""))</f>
        <v/>
      </c>
      <c r="DE435" s="517"/>
      <c r="DF435" s="503" t="str">
        <f>IF($G435="","",IF(AND($G435&gt;=30,$AT$3&lt;=DE$7),ROUND(DE435*($AP$3+#REF!),-1),""))</f>
        <v/>
      </c>
      <c r="DG435" s="517"/>
      <c r="DH435" s="503" t="str">
        <f>IF($G435="","",IF(AND($G435&gt;=30,$AT$3&lt;=DG$7),ROUND(DG435*($AP$3+#REF!),-1),""))</f>
        <v/>
      </c>
      <c r="DI435" s="517"/>
      <c r="DJ435" s="503" t="str">
        <f>IF($G435="","",IF(AND($G435&gt;=30,$AT$3&lt;=DI$7),ROUND(DI435*($AP$3+#REF!),-1),""))</f>
        <v/>
      </c>
      <c r="DK435" s="517"/>
      <c r="DL435" s="503" t="str">
        <f>IF($G435="","",IF(AND($G435&gt;=30,$AT$3&lt;=DK$7),ROUND(DK435*($AP$3+#REF!),-1),""))</f>
        <v/>
      </c>
      <c r="DM435" s="517"/>
      <c r="DN435" s="503" t="str">
        <f>IF($G435="","",IF(AND($G435&gt;=30,$AT$3&lt;=DM$7),ROUND(DM435*($AP$3+#REF!),-1),""))</f>
        <v/>
      </c>
      <c r="DO435" s="517"/>
      <c r="DP435" s="503" t="str">
        <f>IF($G435="","",IF(AND($G435&gt;=30,$AT$3&lt;=DO$7),ROUND(DO435*($AP$3+#REF!),-1),""))</f>
        <v/>
      </c>
      <c r="DQ435" s="517"/>
      <c r="DR435" s="503" t="str">
        <f>IF($G435="","",IF(AND($G435&gt;=30,$AT$3&lt;=DQ$7),ROUND(DQ435*($AP$3+#REF!),-1),""))</f>
        <v/>
      </c>
      <c r="DS435" s="517"/>
      <c r="DT435" s="503" t="str">
        <f>IF($G435="","",IF(AND($G435&gt;=30,$AT$3&lt;=DS$7),ROUND(DS435*($AP$3+#REF!),-1),""))</f>
        <v/>
      </c>
      <c r="DU435" s="517"/>
      <c r="DV435" s="503" t="str">
        <f>IF($G435="","",IF(AND($G435&gt;=30,$AT$3&lt;=DU$7),ROUND(DU435*($AP$3+#REF!),-1),""))</f>
        <v/>
      </c>
      <c r="DW435" s="517"/>
      <c r="DX435" s="503" t="str">
        <f>IF($G435="","",IF(AND($G435&gt;=30,$AT$3&lt;=DW$7),ROUND(DW435*($AP$3+#REF!),-1),""))</f>
        <v/>
      </c>
      <c r="DY435" s="517"/>
      <c r="DZ435" s="503" t="str">
        <f>IF($G435="","",IF(AND($G435&gt;=30,$AT$3&lt;=DY$7),ROUND(DY435*($AP$3+#REF!),-1),""))</f>
        <v/>
      </c>
      <c r="EA435" s="517"/>
      <c r="EB435" s="503" t="str">
        <f>IF($G435="","",IF(AND($G435&gt;=30,$AT$3&lt;=EA$7),ROUND(EA435*($AP$3+#REF!),-1),""))</f>
        <v/>
      </c>
      <c r="EC435" s="504" t="s">
        <v>621</v>
      </c>
      <c r="ED435" s="1124"/>
      <c r="EE435" s="325">
        <v>7</v>
      </c>
    </row>
    <row r="436" spans="1:135" ht="9.75" customHeight="1">
      <c r="A436" s="321" t="str">
        <f t="shared" si="96"/>
        <v/>
      </c>
      <c r="B436" s="567">
        <f>(ii!$D$13*12+V436)+1</f>
        <v>330</v>
      </c>
      <c r="C436" s="337">
        <f t="shared" si="100"/>
        <v>55396</v>
      </c>
      <c r="D436" s="484">
        <f t="shared" si="103"/>
        <v>2051</v>
      </c>
      <c r="E436" s="484">
        <f t="shared" si="101"/>
        <v>0.66666666666666663</v>
      </c>
      <c r="F436" s="484">
        <f t="shared" si="104"/>
        <v>2051.6666666666665</v>
      </c>
      <c r="G436" s="485" t="str">
        <f>IF(OR(C436&lt;$I$2,C436&gt;$J$3),"",(ii!$D$13*12+V436+1)/12)</f>
        <v/>
      </c>
      <c r="H436" s="486"/>
      <c r="I436" s="486"/>
      <c r="J436" s="487"/>
      <c r="K436" s="488"/>
      <c r="L436" s="548"/>
      <c r="M436" s="489" t="str">
        <f t="shared" si="105"/>
        <v/>
      </c>
      <c r="N436" s="490" t="s">
        <v>621</v>
      </c>
      <c r="O436" s="490" t="str">
        <f t="shared" si="98"/>
        <v/>
      </c>
      <c r="P436" s="491"/>
      <c r="Q436" s="491"/>
      <c r="R436" s="491" t="str">
        <f t="shared" si="99"/>
        <v/>
      </c>
      <c r="S436" s="528" t="str">
        <f t="shared" si="97"/>
        <v/>
      </c>
      <c r="T436" s="528" t="str">
        <f t="shared" si="95"/>
        <v/>
      </c>
      <c r="U436" s="493" t="str">
        <f>IF(H436="","",#REF!*12+#REF!+#REF!*12+#REF!)</f>
        <v/>
      </c>
      <c r="V436" s="338">
        <f>IF(ii!$J$3&gt;gg!C436,"",IF(AND((YEAR(C436)=YEAR($I$2)),MONTH(C436)=MONTH($I$2)),ii!$B$14*12+ii!$C$14+ii!$B$15*12+ii!$C$15-1,V435+1))</f>
        <v>329</v>
      </c>
      <c r="W436" s="339">
        <f t="shared" si="102"/>
        <v>27.416666666666668</v>
      </c>
      <c r="X436" s="494" t="s">
        <v>621</v>
      </c>
      <c r="Y436" s="495" t="s">
        <v>621</v>
      </c>
      <c r="Z436" s="496"/>
      <c r="AA436" s="497"/>
      <c r="AB436" s="498" t="e">
        <f t="shared" si="108"/>
        <v>#VALUE!</v>
      </c>
      <c r="AC436" s="484" t="str">
        <f t="shared" si="106"/>
        <v/>
      </c>
      <c r="AD436" s="495" t="str">
        <f t="shared" si="107"/>
        <v/>
      </c>
      <c r="AE436" s="499" t="s">
        <v>621</v>
      </c>
      <c r="AF436" s="500" t="s">
        <v>621</v>
      </c>
      <c r="AG436" s="556" t="s">
        <v>621</v>
      </c>
      <c r="AH436" s="503" t="str">
        <f>IF($G436="","",IF(AND($G436&gt;=30,$AT$3&lt;=AG$7),ROUND(AG436*($AP$3+#REF!),-1),""))</f>
        <v/>
      </c>
      <c r="AI436" s="506" t="s">
        <v>621</v>
      </c>
      <c r="AJ436" s="503" t="str">
        <f>IF($G436="","",IF(AND($G436&gt;=30,$AT$3&lt;=AI$7),ROUND(AI436*($AP$3+#REF!),-1),""))</f>
        <v/>
      </c>
      <c r="AK436" s="506" t="s">
        <v>621</v>
      </c>
      <c r="AL436" s="503" t="str">
        <f>IF($G436="","",IF(AND($G436&gt;=30,$AT$3&lt;=AK$7),ROUND(AK436*($AP$3+#REF!),-1),""))</f>
        <v/>
      </c>
      <c r="AM436" s="506" t="s">
        <v>621</v>
      </c>
      <c r="AN436" s="503" t="str">
        <f>IF($G436="","",IF(AND($G436&gt;=30,$AT$3&lt;=AM$7),ROUND(AM436*($AP$3+#REF!),-1),""))</f>
        <v/>
      </c>
      <c r="AO436" s="503" t="e">
        <v>#REF!</v>
      </c>
      <c r="AP436" s="503" t="str">
        <f>IF($G436="","",IF(AND($G436&gt;=30,$AT$3&lt;=AO$7),ROUND(AO436*($AP$3+#REF!),-1),""))</f>
        <v/>
      </c>
      <c r="AQ436" s="503" t="s">
        <v>621</v>
      </c>
      <c r="AR436" s="503" t="str">
        <f>IF($G436="","",IF(AND($G436&gt;=30,$AT$3&lt;=AQ$7),ROUND(AQ436*($AP$3+#REF!),-1),""))</f>
        <v/>
      </c>
      <c r="AS436" s="503" t="s">
        <v>621</v>
      </c>
      <c r="AT436" s="503" t="str">
        <f>IF($G436="","",IF(AND($G436&gt;=30,$AT$3&lt;=AS$7),ROUND(AS436*($AP$3+#REF!),-1),""))</f>
        <v/>
      </c>
      <c r="AU436" s="503" t="s">
        <v>621</v>
      </c>
      <c r="AV436" s="503" t="str">
        <f>IF($G436="","",IF(AND($G436&gt;=30,$AT$3&lt;=AU$7),ROUND(AU436*($AP$3+#REF!),-1),""))</f>
        <v/>
      </c>
      <c r="AW436" s="503" t="s">
        <v>621</v>
      </c>
      <c r="AX436" s="503" t="str">
        <f>IF($G436="","",IF(AND($G436&gt;=30,$AT$3&lt;=AW$7),ROUND(AW436*($AP$3+#REF!),-1),""))</f>
        <v/>
      </c>
      <c r="AY436" s="503" t="s">
        <v>621</v>
      </c>
      <c r="AZ436" s="503" t="str">
        <f>IF($G436="","",IF(AND($G436&gt;=30,$AT$3&lt;=AY$7),ROUND(AY436*($AP$3+#REF!),-1),""))</f>
        <v/>
      </c>
      <c r="BA436" s="503" t="s">
        <v>621</v>
      </c>
      <c r="BB436" s="503" t="str">
        <f>IF($G436="","",IF(AND($G436&gt;=30,$AT$3&lt;=BA$7),ROUND(BA436*($AP$3+#REF!),-1),""))</f>
        <v/>
      </c>
      <c r="BC436" s="503" t="s">
        <v>621</v>
      </c>
      <c r="BD436" s="503" t="str">
        <f>IF($G436="","",IF(AND($G436&gt;=30,$AT$3&lt;=BC$7),ROUND(BC436*($AP$3+#REF!),-1),""))</f>
        <v/>
      </c>
      <c r="BE436" s="503" t="s">
        <v>621</v>
      </c>
      <c r="BF436" s="503" t="str">
        <f>IF($G436="","",IF(AND($G436&gt;=30,$AT$3&lt;=BE$7),ROUND(BE436*($AP$3+#REF!),-1),""))</f>
        <v/>
      </c>
      <c r="BG436" s="503" t="s">
        <v>621</v>
      </c>
      <c r="BH436" s="503" t="str">
        <f>IF($G436="","",IF(AND($G436&gt;=30,$AT$3&lt;=BG$7),ROUND(BG436*($AP$3+#REF!),-1),""))</f>
        <v/>
      </c>
      <c r="BI436" s="503" t="s">
        <v>621</v>
      </c>
      <c r="BJ436" s="503" t="str">
        <f>IF($G436="","",IF(AND($G436&gt;=30,$AT$3&lt;=BI$7),ROUND(BI436*($AP$3+#REF!),-1),""))</f>
        <v/>
      </c>
      <c r="BK436" s="503" t="s">
        <v>621</v>
      </c>
      <c r="BL436" s="503" t="str">
        <f>IF($G436="","",IF(AND($G436&gt;=30,$AT$3&lt;=BK$7),ROUND(BK436*($AP$3+#REF!),-1),""))</f>
        <v/>
      </c>
      <c r="BM436" s="503" t="s">
        <v>621</v>
      </c>
      <c r="BN436" s="503" t="str">
        <f>IF($G436="","",IF(AND($G436&gt;=30,$AT$3&lt;=BM$7),ROUND(BM436*($AP$3+#REF!),-1),""))</f>
        <v/>
      </c>
      <c r="BO436" s="503" t="s">
        <v>621</v>
      </c>
      <c r="BP436" s="503" t="str">
        <f>IF($G436="","",IF(AND($G436&gt;=30,$AT$3&lt;=BO$7),ROUND(BO436*($AP$3+#REF!),-1),""))</f>
        <v/>
      </c>
      <c r="BQ436" s="503" t="s">
        <v>621</v>
      </c>
      <c r="BR436" s="503" t="str">
        <f>IF($G436="","",IF(AND($G436&gt;=30,$AT$3&lt;=BQ$7),ROUND(BQ436*($AP$3+#REF!),-1),""))</f>
        <v/>
      </c>
      <c r="BS436" s="503" t="s">
        <v>621</v>
      </c>
      <c r="BT436" s="503" t="str">
        <f>IF($G436="","",IF(AND($G436&gt;=30,$AT$3&lt;=BS$7),ROUND(BS436*($AP$3+#REF!),-1),""))</f>
        <v/>
      </c>
      <c r="BU436" s="503" t="s">
        <v>621</v>
      </c>
      <c r="BV436" s="503" t="str">
        <f>IF($G436="","",IF(AND($G436&gt;=30,$AT$3&lt;=BU$7),ROUND(BU436*($AP$3+#REF!),-1),""))</f>
        <v/>
      </c>
      <c r="BW436" s="503" t="s">
        <v>621</v>
      </c>
      <c r="BX436" s="503" t="str">
        <f>IF($G436="","",IF(AND($G436&gt;=30,$AT$3&lt;=BW$7),ROUND(BW436*($AP$3+#REF!),-1),""))</f>
        <v/>
      </c>
      <c r="BY436" s="503" t="s">
        <v>621</v>
      </c>
      <c r="BZ436" s="503" t="str">
        <f>IF($G436="","",IF(AND($G436&gt;=30,$AT$3&lt;=BY$7),ROUND(BY436*($AP$3+#REF!),-1),""))</f>
        <v/>
      </c>
      <c r="CA436" s="503" t="s">
        <v>621</v>
      </c>
      <c r="CB436" s="503" t="str">
        <f>IF($G436="","",IF(AND($G436&gt;=30,$AT$3&lt;=CA$7),ROUND(CA436*($AP$3+#REF!),-1),""))</f>
        <v/>
      </c>
      <c r="CC436" s="503" t="s">
        <v>621</v>
      </c>
      <c r="CD436" s="503" t="str">
        <f>IF($G436="","",IF(AND($G436&gt;=30,$AT$3&lt;=CC$7),ROUND(CC436*($AP$3+#REF!),-1),""))</f>
        <v/>
      </c>
      <c r="CE436" s="503" t="s">
        <v>621</v>
      </c>
      <c r="CF436" s="503" t="str">
        <f>IF($G436="","",IF(AND($G436&gt;=30,$AT$3&lt;=CE$7),ROUND(CE436*($AP$3+#REF!),-1),""))</f>
        <v/>
      </c>
      <c r="CG436" s="503" t="s">
        <v>621</v>
      </c>
      <c r="CH436" s="503" t="str">
        <f>IF($G436="","",IF(AND($G436&gt;=30,$AT$3&lt;=CG$7),ROUND(CG436*($AP$3+#REF!),-1),""))</f>
        <v/>
      </c>
      <c r="CI436" s="503" t="s">
        <v>621</v>
      </c>
      <c r="CJ436" s="503" t="str">
        <f>IF($G436="","",IF(AND($G436&gt;=30,$AT$3&lt;=CI$7),ROUND(CI436*($AP$3+#REF!),-1),""))</f>
        <v/>
      </c>
      <c r="CK436" s="503" t="s">
        <v>621</v>
      </c>
      <c r="CL436" s="503" t="str">
        <f>IF($G436="","",IF(AND($G436&gt;=30,$AT$3&lt;=CK$7),ROUND(CK436*($AP$3+#REF!),-1),""))</f>
        <v/>
      </c>
      <c r="CM436" s="503" t="s">
        <v>621</v>
      </c>
      <c r="CN436" s="503" t="str">
        <f>IF($G436="","",IF(AND($G436&gt;=30,$AT$3&lt;=CM$7),ROUND(CM436*($AP$3+#REF!),-1),""))</f>
        <v/>
      </c>
      <c r="CO436" s="503" t="s">
        <v>621</v>
      </c>
      <c r="CP436" s="503" t="str">
        <f>IF($G436="","",IF(AND($G436&gt;=30,$AT$3&lt;=CO$7),ROUND(CO436*($AP$3+#REF!),-1),""))</f>
        <v/>
      </c>
      <c r="CQ436" s="503" t="s">
        <v>621</v>
      </c>
      <c r="CR436" s="503" t="str">
        <f>IF($G436="","",IF(AND($G436&gt;=30,$AT$3&lt;=CQ$7),ROUND(CQ436*($AP$3+#REF!),-1),""))</f>
        <v/>
      </c>
      <c r="CS436" s="503" t="s">
        <v>621</v>
      </c>
      <c r="CT436" s="503" t="str">
        <f>IF($G436="","",IF(AND($G436&gt;=30,$AT$3&lt;=CS$7),ROUND(CS436*($AP$3+#REF!),-1),""))</f>
        <v/>
      </c>
      <c r="CU436" s="503" t="s">
        <v>621</v>
      </c>
      <c r="CV436" s="503" t="str">
        <f>IF($G436="","",IF(AND($G436&gt;=30,$AT$3&lt;=CU$7),ROUND(CU436*($AP$3+#REF!),-1),""))</f>
        <v/>
      </c>
      <c r="CW436" s="503" t="s">
        <v>621</v>
      </c>
      <c r="CX436" s="503" t="str">
        <f>IF($G436="","",IF(AND($G436&gt;=30,$AT$3&lt;=CW$7),ROUND(CW436*($AP$3+#REF!),-1),""))</f>
        <v/>
      </c>
      <c r="CY436" s="517" t="e">
        <v>#REF!</v>
      </c>
      <c r="CZ436" s="503" t="str">
        <f>IF($G436="","",IF(AND($G436&gt;=30,$AT$3&lt;=CY$7),ROUND(CY436*($AP$3+#REF!),-1),""))</f>
        <v/>
      </c>
      <c r="DA436" s="517"/>
      <c r="DB436" s="503" t="str">
        <f>IF($G436="","",IF(AND($G436&gt;=30,$AT$3&lt;=DA$7),ROUND(DA436*($AP$3+#REF!),-1),""))</f>
        <v/>
      </c>
      <c r="DC436" s="517"/>
      <c r="DD436" s="503" t="str">
        <f>IF($G436="","",IF(AND($G436&gt;=30,$AT$3&lt;=DC$7),ROUND(DC436*($AP$3+#REF!),-1),""))</f>
        <v/>
      </c>
      <c r="DE436" s="517"/>
      <c r="DF436" s="503" t="str">
        <f>IF($G436="","",IF(AND($G436&gt;=30,$AT$3&lt;=DE$7),ROUND(DE436*($AP$3+#REF!),-1),""))</f>
        <v/>
      </c>
      <c r="DG436" s="517"/>
      <c r="DH436" s="503" t="str">
        <f>IF($G436="","",IF(AND($G436&gt;=30,$AT$3&lt;=DG$7),ROUND(DG436*($AP$3+#REF!),-1),""))</f>
        <v/>
      </c>
      <c r="DI436" s="517"/>
      <c r="DJ436" s="503" t="str">
        <f>IF($G436="","",IF(AND($G436&gt;=30,$AT$3&lt;=DI$7),ROUND(DI436*($AP$3+#REF!),-1),""))</f>
        <v/>
      </c>
      <c r="DK436" s="517"/>
      <c r="DL436" s="503" t="str">
        <f>IF($G436="","",IF(AND($G436&gt;=30,$AT$3&lt;=DK$7),ROUND(DK436*($AP$3+#REF!),-1),""))</f>
        <v/>
      </c>
      <c r="DM436" s="517"/>
      <c r="DN436" s="503" t="str">
        <f>IF($G436="","",IF(AND($G436&gt;=30,$AT$3&lt;=DM$7),ROUND(DM436*($AP$3+#REF!),-1),""))</f>
        <v/>
      </c>
      <c r="DO436" s="517"/>
      <c r="DP436" s="503" t="str">
        <f>IF($G436="","",IF(AND($G436&gt;=30,$AT$3&lt;=DO$7),ROUND(DO436*($AP$3+#REF!),-1),""))</f>
        <v/>
      </c>
      <c r="DQ436" s="517"/>
      <c r="DR436" s="503" t="str">
        <f>IF($G436="","",IF(AND($G436&gt;=30,$AT$3&lt;=DQ$7),ROUND(DQ436*($AP$3+#REF!),-1),""))</f>
        <v/>
      </c>
      <c r="DS436" s="517"/>
      <c r="DT436" s="503" t="str">
        <f>IF($G436="","",IF(AND($G436&gt;=30,$AT$3&lt;=DS$7),ROUND(DS436*($AP$3+#REF!),-1),""))</f>
        <v/>
      </c>
      <c r="DU436" s="517"/>
      <c r="DV436" s="503" t="str">
        <f>IF($G436="","",IF(AND($G436&gt;=30,$AT$3&lt;=DU$7),ROUND(DU436*($AP$3+#REF!),-1),""))</f>
        <v/>
      </c>
      <c r="DW436" s="517"/>
      <c r="DX436" s="503" t="str">
        <f>IF($G436="","",IF(AND($G436&gt;=30,$AT$3&lt;=DW$7),ROUND(DW436*($AP$3+#REF!),-1),""))</f>
        <v/>
      </c>
      <c r="DY436" s="517"/>
      <c r="DZ436" s="503" t="str">
        <f>IF($G436="","",IF(AND($G436&gt;=30,$AT$3&lt;=DY$7),ROUND(DY436*($AP$3+#REF!),-1),""))</f>
        <v/>
      </c>
      <c r="EA436" s="517"/>
      <c r="EB436" s="503" t="str">
        <f>IF($G436="","",IF(AND($G436&gt;=30,$AT$3&lt;=EA$7),ROUND(EA436*($AP$3+#REF!),-1),""))</f>
        <v/>
      </c>
      <c r="EC436" s="504" t="s">
        <v>621</v>
      </c>
      <c r="ED436" s="1124"/>
      <c r="EE436" s="325">
        <v>8</v>
      </c>
    </row>
    <row r="437" spans="1:135" ht="9.75" customHeight="1">
      <c r="A437" s="321" t="str">
        <f t="shared" si="96"/>
        <v/>
      </c>
      <c r="B437" s="567">
        <f>(ii!$D$13*12+V437)+1</f>
        <v>331</v>
      </c>
      <c r="C437" s="337">
        <f t="shared" si="100"/>
        <v>55426</v>
      </c>
      <c r="D437" s="484">
        <f t="shared" si="103"/>
        <v>2051</v>
      </c>
      <c r="E437" s="484">
        <f t="shared" si="101"/>
        <v>0.75</v>
      </c>
      <c r="F437" s="484">
        <f t="shared" si="104"/>
        <v>2051.75</v>
      </c>
      <c r="G437" s="485" t="str">
        <f>IF(OR(C437&lt;$I$2,C437&gt;$J$3),"",(ii!$D$13*12+V437+1)/12)</f>
        <v/>
      </c>
      <c r="H437" s="486"/>
      <c r="I437" s="486"/>
      <c r="J437" s="487"/>
      <c r="K437" s="488"/>
      <c r="L437" s="548"/>
      <c r="M437" s="489" t="str">
        <f t="shared" si="105"/>
        <v/>
      </c>
      <c r="N437" s="490" t="s">
        <v>621</v>
      </c>
      <c r="O437" s="490" t="str">
        <f t="shared" si="98"/>
        <v/>
      </c>
      <c r="P437" s="491"/>
      <c r="Q437" s="491"/>
      <c r="R437" s="491" t="str">
        <f t="shared" si="99"/>
        <v/>
      </c>
      <c r="S437" s="528" t="str">
        <f t="shared" si="97"/>
        <v/>
      </c>
      <c r="T437" s="528" t="str">
        <f t="shared" si="95"/>
        <v/>
      </c>
      <c r="U437" s="493" t="str">
        <f>IF(H437="","",#REF!*12+#REF!+#REF!*12+#REF!)</f>
        <v/>
      </c>
      <c r="V437" s="338">
        <f>IF(ii!$J$3&gt;gg!C437,"",IF(AND((YEAR(C437)=YEAR($I$2)),MONTH(C437)=MONTH($I$2)),ii!$B$14*12+ii!$C$14+ii!$B$15*12+ii!$C$15-1,V436+1))</f>
        <v>330</v>
      </c>
      <c r="W437" s="339">
        <f t="shared" si="102"/>
        <v>27.5</v>
      </c>
      <c r="X437" s="494" t="s">
        <v>621</v>
      </c>
      <c r="Y437" s="495" t="s">
        <v>621</v>
      </c>
      <c r="Z437" s="496"/>
      <c r="AA437" s="497"/>
      <c r="AB437" s="498" t="e">
        <f t="shared" si="108"/>
        <v>#VALUE!</v>
      </c>
      <c r="AC437" s="484" t="str">
        <f t="shared" si="106"/>
        <v/>
      </c>
      <c r="AD437" s="495" t="str">
        <f t="shared" si="107"/>
        <v/>
      </c>
      <c r="AE437" s="499" t="s">
        <v>621</v>
      </c>
      <c r="AF437" s="500" t="s">
        <v>621</v>
      </c>
      <c r="AG437" s="556" t="s">
        <v>621</v>
      </c>
      <c r="AH437" s="503" t="str">
        <f>IF($G437="","",IF(AND($G437&gt;=30,$AT$3&lt;=AG$7),ROUND(AG437*($AP$3+#REF!),-1),""))</f>
        <v/>
      </c>
      <c r="AI437" s="506" t="s">
        <v>621</v>
      </c>
      <c r="AJ437" s="503" t="str">
        <f>IF($G437="","",IF(AND($G437&gt;=30,$AT$3&lt;=AI$7),ROUND(AI437*($AP$3+#REF!),-1),""))</f>
        <v/>
      </c>
      <c r="AK437" s="506" t="s">
        <v>621</v>
      </c>
      <c r="AL437" s="503" t="str">
        <f>IF($G437="","",IF(AND($G437&gt;=30,$AT$3&lt;=AK$7),ROUND(AK437*($AP$3+#REF!),-1),""))</f>
        <v/>
      </c>
      <c r="AM437" s="506" t="s">
        <v>621</v>
      </c>
      <c r="AN437" s="503" t="str">
        <f>IF($G437="","",IF(AND($G437&gt;=30,$AT$3&lt;=AM$7),ROUND(AM437*($AP$3+#REF!),-1),""))</f>
        <v/>
      </c>
      <c r="AO437" s="503" t="e">
        <v>#REF!</v>
      </c>
      <c r="AP437" s="503" t="str">
        <f>IF($G437="","",IF(AND($G437&gt;=30,$AT$3&lt;=AO$7),ROUND(AO437*($AP$3+#REF!),-1),""))</f>
        <v/>
      </c>
      <c r="AQ437" s="503" t="s">
        <v>621</v>
      </c>
      <c r="AR437" s="503" t="str">
        <f>IF($G437="","",IF(AND($G437&gt;=30,$AT$3&lt;=AQ$7),ROUND(AQ437*($AP$3+#REF!),-1),""))</f>
        <v/>
      </c>
      <c r="AS437" s="503" t="s">
        <v>621</v>
      </c>
      <c r="AT437" s="503" t="str">
        <f>IF($G437="","",IF(AND($G437&gt;=30,$AT$3&lt;=AS$7),ROUND(AS437*($AP$3+#REF!),-1),""))</f>
        <v/>
      </c>
      <c r="AU437" s="503" t="s">
        <v>621</v>
      </c>
      <c r="AV437" s="503" t="str">
        <f>IF($G437="","",IF(AND($G437&gt;=30,$AT$3&lt;=AU$7),ROUND(AU437*($AP$3+#REF!),-1),""))</f>
        <v/>
      </c>
      <c r="AW437" s="503" t="s">
        <v>621</v>
      </c>
      <c r="AX437" s="503" t="str">
        <f>IF($G437="","",IF(AND($G437&gt;=30,$AT$3&lt;=AW$7),ROUND(AW437*($AP$3+#REF!),-1),""))</f>
        <v/>
      </c>
      <c r="AY437" s="503" t="s">
        <v>621</v>
      </c>
      <c r="AZ437" s="503" t="str">
        <f>IF($G437="","",IF(AND($G437&gt;=30,$AT$3&lt;=AY$7),ROUND(AY437*($AP$3+#REF!),-1),""))</f>
        <v/>
      </c>
      <c r="BA437" s="503" t="s">
        <v>621</v>
      </c>
      <c r="BB437" s="503" t="str">
        <f>IF($G437="","",IF(AND($G437&gt;=30,$AT$3&lt;=BA$7),ROUND(BA437*($AP$3+#REF!),-1),""))</f>
        <v/>
      </c>
      <c r="BC437" s="503" t="s">
        <v>621</v>
      </c>
      <c r="BD437" s="503" t="str">
        <f>IF($G437="","",IF(AND($G437&gt;=30,$AT$3&lt;=BC$7),ROUND(BC437*($AP$3+#REF!),-1),""))</f>
        <v/>
      </c>
      <c r="BE437" s="503" t="s">
        <v>621</v>
      </c>
      <c r="BF437" s="503" t="str">
        <f>IF($G437="","",IF(AND($G437&gt;=30,$AT$3&lt;=BE$7),ROUND(BE437*($AP$3+#REF!),-1),""))</f>
        <v/>
      </c>
      <c r="BG437" s="503" t="s">
        <v>621</v>
      </c>
      <c r="BH437" s="503" t="str">
        <f>IF($G437="","",IF(AND($G437&gt;=30,$AT$3&lt;=BG$7),ROUND(BG437*($AP$3+#REF!),-1),""))</f>
        <v/>
      </c>
      <c r="BI437" s="503" t="s">
        <v>621</v>
      </c>
      <c r="BJ437" s="503" t="str">
        <f>IF($G437="","",IF(AND($G437&gt;=30,$AT$3&lt;=BI$7),ROUND(BI437*($AP$3+#REF!),-1),""))</f>
        <v/>
      </c>
      <c r="BK437" s="503" t="s">
        <v>621</v>
      </c>
      <c r="BL437" s="503" t="str">
        <f>IF($G437="","",IF(AND($G437&gt;=30,$AT$3&lt;=BK$7),ROUND(BK437*($AP$3+#REF!),-1),""))</f>
        <v/>
      </c>
      <c r="BM437" s="503" t="s">
        <v>621</v>
      </c>
      <c r="BN437" s="503" t="str">
        <f>IF($G437="","",IF(AND($G437&gt;=30,$AT$3&lt;=BM$7),ROUND(BM437*($AP$3+#REF!),-1),""))</f>
        <v/>
      </c>
      <c r="BO437" s="503" t="s">
        <v>621</v>
      </c>
      <c r="BP437" s="503" t="str">
        <f>IF($G437="","",IF(AND($G437&gt;=30,$AT$3&lt;=BO$7),ROUND(BO437*($AP$3+#REF!),-1),""))</f>
        <v/>
      </c>
      <c r="BQ437" s="503" t="s">
        <v>621</v>
      </c>
      <c r="BR437" s="503" t="str">
        <f>IF($G437="","",IF(AND($G437&gt;=30,$AT$3&lt;=BQ$7),ROUND(BQ437*($AP$3+#REF!),-1),""))</f>
        <v/>
      </c>
      <c r="BS437" s="503" t="s">
        <v>621</v>
      </c>
      <c r="BT437" s="503" t="str">
        <f>IF($G437="","",IF(AND($G437&gt;=30,$AT$3&lt;=BS$7),ROUND(BS437*($AP$3+#REF!),-1),""))</f>
        <v/>
      </c>
      <c r="BU437" s="503" t="s">
        <v>621</v>
      </c>
      <c r="BV437" s="503" t="str">
        <f>IF($G437="","",IF(AND($G437&gt;=30,$AT$3&lt;=BU$7),ROUND(BU437*($AP$3+#REF!),-1),""))</f>
        <v/>
      </c>
      <c r="BW437" s="503" t="s">
        <v>621</v>
      </c>
      <c r="BX437" s="503" t="str">
        <f>IF($G437="","",IF(AND($G437&gt;=30,$AT$3&lt;=BW$7),ROUND(BW437*($AP$3+#REF!),-1),""))</f>
        <v/>
      </c>
      <c r="BY437" s="503" t="s">
        <v>621</v>
      </c>
      <c r="BZ437" s="503" t="str">
        <f>IF($G437="","",IF(AND($G437&gt;=30,$AT$3&lt;=BY$7),ROUND(BY437*($AP$3+#REF!),-1),""))</f>
        <v/>
      </c>
      <c r="CA437" s="503" t="s">
        <v>621</v>
      </c>
      <c r="CB437" s="503" t="str">
        <f>IF($G437="","",IF(AND($G437&gt;=30,$AT$3&lt;=CA$7),ROUND(CA437*($AP$3+#REF!),-1),""))</f>
        <v/>
      </c>
      <c r="CC437" s="503" t="s">
        <v>621</v>
      </c>
      <c r="CD437" s="503" t="str">
        <f>IF($G437="","",IF(AND($G437&gt;=30,$AT$3&lt;=CC$7),ROUND(CC437*($AP$3+#REF!),-1),""))</f>
        <v/>
      </c>
      <c r="CE437" s="503" t="s">
        <v>621</v>
      </c>
      <c r="CF437" s="503" t="str">
        <f>IF($G437="","",IF(AND($G437&gt;=30,$AT$3&lt;=CE$7),ROUND(CE437*($AP$3+#REF!),-1),""))</f>
        <v/>
      </c>
      <c r="CG437" s="503" t="s">
        <v>621</v>
      </c>
      <c r="CH437" s="503" t="str">
        <f>IF($G437="","",IF(AND($G437&gt;=30,$AT$3&lt;=CG$7),ROUND(CG437*($AP$3+#REF!),-1),""))</f>
        <v/>
      </c>
      <c r="CI437" s="503" t="s">
        <v>621</v>
      </c>
      <c r="CJ437" s="503" t="str">
        <f>IF($G437="","",IF(AND($G437&gt;=30,$AT$3&lt;=CI$7),ROUND(CI437*($AP$3+#REF!),-1),""))</f>
        <v/>
      </c>
      <c r="CK437" s="503" t="s">
        <v>621</v>
      </c>
      <c r="CL437" s="503" t="str">
        <f>IF($G437="","",IF(AND($G437&gt;=30,$AT$3&lt;=CK$7),ROUND(CK437*($AP$3+#REF!),-1),""))</f>
        <v/>
      </c>
      <c r="CM437" s="503" t="s">
        <v>621</v>
      </c>
      <c r="CN437" s="503" t="str">
        <f>IF($G437="","",IF(AND($G437&gt;=30,$AT$3&lt;=CM$7),ROUND(CM437*($AP$3+#REF!),-1),""))</f>
        <v/>
      </c>
      <c r="CO437" s="503" t="s">
        <v>621</v>
      </c>
      <c r="CP437" s="503" t="str">
        <f>IF($G437="","",IF(AND($G437&gt;=30,$AT$3&lt;=CO$7),ROUND(CO437*($AP$3+#REF!),-1),""))</f>
        <v/>
      </c>
      <c r="CQ437" s="503" t="s">
        <v>621</v>
      </c>
      <c r="CR437" s="503" t="str">
        <f>IF($G437="","",IF(AND($G437&gt;=30,$AT$3&lt;=CQ$7),ROUND(CQ437*($AP$3+#REF!),-1),""))</f>
        <v/>
      </c>
      <c r="CS437" s="503" t="s">
        <v>621</v>
      </c>
      <c r="CT437" s="503" t="str">
        <f>IF($G437="","",IF(AND($G437&gt;=30,$AT$3&lt;=CS$7),ROUND(CS437*($AP$3+#REF!),-1),""))</f>
        <v/>
      </c>
      <c r="CU437" s="503" t="s">
        <v>621</v>
      </c>
      <c r="CV437" s="503" t="str">
        <f>IF($G437="","",IF(AND($G437&gt;=30,$AT$3&lt;=CU$7),ROUND(CU437*($AP$3+#REF!),-1),""))</f>
        <v/>
      </c>
      <c r="CW437" s="503" t="s">
        <v>621</v>
      </c>
      <c r="CX437" s="503" t="str">
        <f>IF($G437="","",IF(AND($G437&gt;=30,$AT$3&lt;=CW$7),ROUND(CW437*($AP$3+#REF!),-1),""))</f>
        <v/>
      </c>
      <c r="CY437" s="517" t="e">
        <v>#REF!</v>
      </c>
      <c r="CZ437" s="503" t="str">
        <f>IF($G437="","",IF(AND($G437&gt;=30,$AT$3&lt;=CY$7),ROUND(CY437*($AP$3+#REF!),-1),""))</f>
        <v/>
      </c>
      <c r="DA437" s="517"/>
      <c r="DB437" s="503" t="str">
        <f>IF($G437="","",IF(AND($G437&gt;=30,$AT$3&lt;=DA$7),ROUND(DA437*($AP$3+#REF!),-1),""))</f>
        <v/>
      </c>
      <c r="DC437" s="517"/>
      <c r="DD437" s="503" t="str">
        <f>IF($G437="","",IF(AND($G437&gt;=30,$AT$3&lt;=DC$7),ROUND(DC437*($AP$3+#REF!),-1),""))</f>
        <v/>
      </c>
      <c r="DE437" s="517"/>
      <c r="DF437" s="503" t="str">
        <f>IF($G437="","",IF(AND($G437&gt;=30,$AT$3&lt;=DE$7),ROUND(DE437*($AP$3+#REF!),-1),""))</f>
        <v/>
      </c>
      <c r="DG437" s="517"/>
      <c r="DH437" s="503" t="str">
        <f>IF($G437="","",IF(AND($G437&gt;=30,$AT$3&lt;=DG$7),ROUND(DG437*($AP$3+#REF!),-1),""))</f>
        <v/>
      </c>
      <c r="DI437" s="517"/>
      <c r="DJ437" s="503" t="str">
        <f>IF($G437="","",IF(AND($G437&gt;=30,$AT$3&lt;=DI$7),ROUND(DI437*($AP$3+#REF!),-1),""))</f>
        <v/>
      </c>
      <c r="DK437" s="517"/>
      <c r="DL437" s="503" t="str">
        <f>IF($G437="","",IF(AND($G437&gt;=30,$AT$3&lt;=DK$7),ROUND(DK437*($AP$3+#REF!),-1),""))</f>
        <v/>
      </c>
      <c r="DM437" s="517"/>
      <c r="DN437" s="503" t="str">
        <f>IF($G437="","",IF(AND($G437&gt;=30,$AT$3&lt;=DM$7),ROUND(DM437*($AP$3+#REF!),-1),""))</f>
        <v/>
      </c>
      <c r="DO437" s="517"/>
      <c r="DP437" s="503" t="str">
        <f>IF($G437="","",IF(AND($G437&gt;=30,$AT$3&lt;=DO$7),ROUND(DO437*($AP$3+#REF!),-1),""))</f>
        <v/>
      </c>
      <c r="DQ437" s="517"/>
      <c r="DR437" s="503" t="str">
        <f>IF($G437="","",IF(AND($G437&gt;=30,$AT$3&lt;=DQ$7),ROUND(DQ437*($AP$3+#REF!),-1),""))</f>
        <v/>
      </c>
      <c r="DS437" s="517"/>
      <c r="DT437" s="503" t="str">
        <f>IF($G437="","",IF(AND($G437&gt;=30,$AT$3&lt;=DS$7),ROUND(DS437*($AP$3+#REF!),-1),""))</f>
        <v/>
      </c>
      <c r="DU437" s="517"/>
      <c r="DV437" s="503" t="str">
        <f>IF($G437="","",IF(AND($G437&gt;=30,$AT$3&lt;=DU$7),ROUND(DU437*($AP$3+#REF!),-1),""))</f>
        <v/>
      </c>
      <c r="DW437" s="517"/>
      <c r="DX437" s="503" t="str">
        <f>IF($G437="","",IF(AND($G437&gt;=30,$AT$3&lt;=DW$7),ROUND(DW437*($AP$3+#REF!),-1),""))</f>
        <v/>
      </c>
      <c r="DY437" s="517"/>
      <c r="DZ437" s="503" t="str">
        <f>IF($G437="","",IF(AND($G437&gt;=30,$AT$3&lt;=DY$7),ROUND(DY437*($AP$3+#REF!),-1),""))</f>
        <v/>
      </c>
      <c r="EA437" s="517"/>
      <c r="EB437" s="503" t="str">
        <f>IF($G437="","",IF(AND($G437&gt;=30,$AT$3&lt;=EA$7),ROUND(EA437*($AP$3+#REF!),-1),""))</f>
        <v/>
      </c>
      <c r="EC437" s="504" t="s">
        <v>621</v>
      </c>
      <c r="ED437" s="1124"/>
      <c r="EE437" s="325">
        <v>9</v>
      </c>
    </row>
    <row r="438" spans="1:135" ht="9.75" customHeight="1">
      <c r="A438" s="321" t="str">
        <f t="shared" si="96"/>
        <v/>
      </c>
      <c r="B438" s="567">
        <f>(ii!$D$13*12+V438)+1</f>
        <v>332</v>
      </c>
      <c r="C438" s="337">
        <f t="shared" si="100"/>
        <v>55457</v>
      </c>
      <c r="D438" s="484">
        <f t="shared" si="103"/>
        <v>2051</v>
      </c>
      <c r="E438" s="484">
        <f t="shared" si="101"/>
        <v>0.83333333333333337</v>
      </c>
      <c r="F438" s="484">
        <f t="shared" si="104"/>
        <v>2051.8333333333335</v>
      </c>
      <c r="G438" s="485" t="str">
        <f>IF(OR(C438&lt;$I$2,C438&gt;$J$3),"",(ii!$D$13*12+V438+1)/12)</f>
        <v/>
      </c>
      <c r="H438" s="486"/>
      <c r="I438" s="486"/>
      <c r="J438" s="487"/>
      <c r="K438" s="488"/>
      <c r="L438" s="548"/>
      <c r="M438" s="489" t="str">
        <f t="shared" si="105"/>
        <v/>
      </c>
      <c r="N438" s="490" t="s">
        <v>621</v>
      </c>
      <c r="O438" s="490" t="str">
        <f t="shared" si="98"/>
        <v/>
      </c>
      <c r="P438" s="491"/>
      <c r="Q438" s="491"/>
      <c r="R438" s="491" t="str">
        <f t="shared" si="99"/>
        <v/>
      </c>
      <c r="S438" s="528" t="str">
        <f t="shared" si="97"/>
        <v/>
      </c>
      <c r="T438" s="528" t="str">
        <f t="shared" si="95"/>
        <v/>
      </c>
      <c r="U438" s="493" t="str">
        <f>IF(H438="","",#REF!*12+#REF!+#REF!*12+#REF!)</f>
        <v/>
      </c>
      <c r="V438" s="338">
        <f>IF(ii!$J$3&gt;gg!C438,"",IF(AND((YEAR(C438)=YEAR($I$2)),MONTH(C438)=MONTH($I$2)),ii!$B$14*12+ii!$C$14+ii!$B$15*12+ii!$C$15-1,V437+1))</f>
        <v>331</v>
      </c>
      <c r="W438" s="339">
        <f t="shared" si="102"/>
        <v>27.583333333333332</v>
      </c>
      <c r="X438" s="494" t="s">
        <v>621</v>
      </c>
      <c r="Y438" s="495" t="s">
        <v>621</v>
      </c>
      <c r="Z438" s="496"/>
      <c r="AA438" s="497"/>
      <c r="AB438" s="498" t="e">
        <f t="shared" si="108"/>
        <v>#VALUE!</v>
      </c>
      <c r="AC438" s="484" t="str">
        <f t="shared" si="106"/>
        <v/>
      </c>
      <c r="AD438" s="495" t="str">
        <f t="shared" si="107"/>
        <v/>
      </c>
      <c r="AE438" s="499" t="s">
        <v>621</v>
      </c>
      <c r="AF438" s="500" t="s">
        <v>621</v>
      </c>
      <c r="AG438" s="556" t="s">
        <v>621</v>
      </c>
      <c r="AH438" s="503" t="str">
        <f>IF($G438="","",IF(AND($G438&gt;=30,$AT$3&lt;=AG$7),ROUND(AG438*($AP$3+#REF!),-1),""))</f>
        <v/>
      </c>
      <c r="AI438" s="506" t="s">
        <v>621</v>
      </c>
      <c r="AJ438" s="503" t="str">
        <f>IF($G438="","",IF(AND($G438&gt;=30,$AT$3&lt;=AI$7),ROUND(AI438*($AP$3+#REF!),-1),""))</f>
        <v/>
      </c>
      <c r="AK438" s="506" t="s">
        <v>621</v>
      </c>
      <c r="AL438" s="503" t="str">
        <f>IF($G438="","",IF(AND($G438&gt;=30,$AT$3&lt;=AK$7),ROUND(AK438*($AP$3+#REF!),-1),""))</f>
        <v/>
      </c>
      <c r="AM438" s="506" t="s">
        <v>621</v>
      </c>
      <c r="AN438" s="503" t="str">
        <f>IF($G438="","",IF(AND($G438&gt;=30,$AT$3&lt;=AM$7),ROUND(AM438*($AP$3+#REF!),-1),""))</f>
        <v/>
      </c>
      <c r="AO438" s="503" t="e">
        <v>#REF!</v>
      </c>
      <c r="AP438" s="503" t="str">
        <f>IF($G438="","",IF(AND($G438&gt;=30,$AT$3&lt;=AO$7),ROUND(AO438*($AP$3+#REF!),-1),""))</f>
        <v/>
      </c>
      <c r="AQ438" s="503" t="s">
        <v>621</v>
      </c>
      <c r="AR438" s="503" t="str">
        <f>IF($G438="","",IF(AND($G438&gt;=30,$AT$3&lt;=AQ$7),ROUND(AQ438*($AP$3+#REF!),-1),""))</f>
        <v/>
      </c>
      <c r="AS438" s="503" t="s">
        <v>621</v>
      </c>
      <c r="AT438" s="503" t="str">
        <f>IF($G438="","",IF(AND($G438&gt;=30,$AT$3&lt;=AS$7),ROUND(AS438*($AP$3+#REF!),-1),""))</f>
        <v/>
      </c>
      <c r="AU438" s="503" t="s">
        <v>621</v>
      </c>
      <c r="AV438" s="503" t="str">
        <f>IF($G438="","",IF(AND($G438&gt;=30,$AT$3&lt;=AU$7),ROUND(AU438*($AP$3+#REF!),-1),""))</f>
        <v/>
      </c>
      <c r="AW438" s="503" t="s">
        <v>621</v>
      </c>
      <c r="AX438" s="503" t="str">
        <f>IF($G438="","",IF(AND($G438&gt;=30,$AT$3&lt;=AW$7),ROUND(AW438*($AP$3+#REF!),-1),""))</f>
        <v/>
      </c>
      <c r="AY438" s="503" t="s">
        <v>621</v>
      </c>
      <c r="AZ438" s="503" t="str">
        <f>IF($G438="","",IF(AND($G438&gt;=30,$AT$3&lt;=AY$7),ROUND(AY438*($AP$3+#REF!),-1),""))</f>
        <v/>
      </c>
      <c r="BA438" s="503" t="s">
        <v>621</v>
      </c>
      <c r="BB438" s="503" t="str">
        <f>IF($G438="","",IF(AND($G438&gt;=30,$AT$3&lt;=BA$7),ROUND(BA438*($AP$3+#REF!),-1),""))</f>
        <v/>
      </c>
      <c r="BC438" s="503" t="s">
        <v>621</v>
      </c>
      <c r="BD438" s="503" t="str">
        <f>IF($G438="","",IF(AND($G438&gt;=30,$AT$3&lt;=BC$7),ROUND(BC438*($AP$3+#REF!),-1),""))</f>
        <v/>
      </c>
      <c r="BE438" s="503" t="s">
        <v>621</v>
      </c>
      <c r="BF438" s="503" t="str">
        <f>IF($G438="","",IF(AND($G438&gt;=30,$AT$3&lt;=BE$7),ROUND(BE438*($AP$3+#REF!),-1),""))</f>
        <v/>
      </c>
      <c r="BG438" s="503" t="s">
        <v>621</v>
      </c>
      <c r="BH438" s="503" t="str">
        <f>IF($G438="","",IF(AND($G438&gt;=30,$AT$3&lt;=BG$7),ROUND(BG438*($AP$3+#REF!),-1),""))</f>
        <v/>
      </c>
      <c r="BI438" s="503" t="s">
        <v>621</v>
      </c>
      <c r="BJ438" s="503" t="str">
        <f>IF($G438="","",IF(AND($G438&gt;=30,$AT$3&lt;=BI$7),ROUND(BI438*($AP$3+#REF!),-1),""))</f>
        <v/>
      </c>
      <c r="BK438" s="503" t="s">
        <v>621</v>
      </c>
      <c r="BL438" s="503" t="str">
        <f>IF($G438="","",IF(AND($G438&gt;=30,$AT$3&lt;=BK$7),ROUND(BK438*($AP$3+#REF!),-1),""))</f>
        <v/>
      </c>
      <c r="BM438" s="503" t="s">
        <v>621</v>
      </c>
      <c r="BN438" s="503" t="str">
        <f>IF($G438="","",IF(AND($G438&gt;=30,$AT$3&lt;=BM$7),ROUND(BM438*($AP$3+#REF!),-1),""))</f>
        <v/>
      </c>
      <c r="BO438" s="503" t="s">
        <v>621</v>
      </c>
      <c r="BP438" s="503" t="str">
        <f>IF($G438="","",IF(AND($G438&gt;=30,$AT$3&lt;=BO$7),ROUND(BO438*($AP$3+#REF!),-1),""))</f>
        <v/>
      </c>
      <c r="BQ438" s="503" t="s">
        <v>621</v>
      </c>
      <c r="BR438" s="503" t="str">
        <f>IF($G438="","",IF(AND($G438&gt;=30,$AT$3&lt;=BQ$7),ROUND(BQ438*($AP$3+#REF!),-1),""))</f>
        <v/>
      </c>
      <c r="BS438" s="503" t="s">
        <v>621</v>
      </c>
      <c r="BT438" s="503" t="str">
        <f>IF($G438="","",IF(AND($G438&gt;=30,$AT$3&lt;=BS$7),ROUND(BS438*($AP$3+#REF!),-1),""))</f>
        <v/>
      </c>
      <c r="BU438" s="503" t="s">
        <v>621</v>
      </c>
      <c r="BV438" s="503" t="str">
        <f>IF($G438="","",IF(AND($G438&gt;=30,$AT$3&lt;=BU$7),ROUND(BU438*($AP$3+#REF!),-1),""))</f>
        <v/>
      </c>
      <c r="BW438" s="503" t="s">
        <v>621</v>
      </c>
      <c r="BX438" s="503" t="str">
        <f>IF($G438="","",IF(AND($G438&gt;=30,$AT$3&lt;=BW$7),ROUND(BW438*($AP$3+#REF!),-1),""))</f>
        <v/>
      </c>
      <c r="BY438" s="503" t="s">
        <v>621</v>
      </c>
      <c r="BZ438" s="503" t="str">
        <f>IF($G438="","",IF(AND($G438&gt;=30,$AT$3&lt;=BY$7),ROUND(BY438*($AP$3+#REF!),-1),""))</f>
        <v/>
      </c>
      <c r="CA438" s="503" t="s">
        <v>621</v>
      </c>
      <c r="CB438" s="503" t="str">
        <f>IF($G438="","",IF(AND($G438&gt;=30,$AT$3&lt;=CA$7),ROUND(CA438*($AP$3+#REF!),-1),""))</f>
        <v/>
      </c>
      <c r="CC438" s="503" t="s">
        <v>621</v>
      </c>
      <c r="CD438" s="503" t="str">
        <f>IF($G438="","",IF(AND($G438&gt;=30,$AT$3&lt;=CC$7),ROUND(CC438*($AP$3+#REF!),-1),""))</f>
        <v/>
      </c>
      <c r="CE438" s="503" t="s">
        <v>621</v>
      </c>
      <c r="CF438" s="503" t="str">
        <f>IF($G438="","",IF(AND($G438&gt;=30,$AT$3&lt;=CE$7),ROUND(CE438*($AP$3+#REF!),-1),""))</f>
        <v/>
      </c>
      <c r="CG438" s="503" t="s">
        <v>621</v>
      </c>
      <c r="CH438" s="503" t="str">
        <f>IF($G438="","",IF(AND($G438&gt;=30,$AT$3&lt;=CG$7),ROUND(CG438*($AP$3+#REF!),-1),""))</f>
        <v/>
      </c>
      <c r="CI438" s="503" t="s">
        <v>621</v>
      </c>
      <c r="CJ438" s="503" t="str">
        <f>IF($G438="","",IF(AND($G438&gt;=30,$AT$3&lt;=CI$7),ROUND(CI438*($AP$3+#REF!),-1),""))</f>
        <v/>
      </c>
      <c r="CK438" s="503" t="s">
        <v>621</v>
      </c>
      <c r="CL438" s="503" t="str">
        <f>IF($G438="","",IF(AND($G438&gt;=30,$AT$3&lt;=CK$7),ROUND(CK438*($AP$3+#REF!),-1),""))</f>
        <v/>
      </c>
      <c r="CM438" s="503" t="s">
        <v>621</v>
      </c>
      <c r="CN438" s="503" t="str">
        <f>IF($G438="","",IF(AND($G438&gt;=30,$AT$3&lt;=CM$7),ROUND(CM438*($AP$3+#REF!),-1),""))</f>
        <v/>
      </c>
      <c r="CO438" s="503" t="s">
        <v>621</v>
      </c>
      <c r="CP438" s="503" t="str">
        <f>IF($G438="","",IF(AND($G438&gt;=30,$AT$3&lt;=CO$7),ROUND(CO438*($AP$3+#REF!),-1),""))</f>
        <v/>
      </c>
      <c r="CQ438" s="503" t="s">
        <v>621</v>
      </c>
      <c r="CR438" s="503" t="str">
        <f>IF($G438="","",IF(AND($G438&gt;=30,$AT$3&lt;=CQ$7),ROUND(CQ438*($AP$3+#REF!),-1),""))</f>
        <v/>
      </c>
      <c r="CS438" s="503" t="s">
        <v>621</v>
      </c>
      <c r="CT438" s="503" t="str">
        <f>IF($G438="","",IF(AND($G438&gt;=30,$AT$3&lt;=CS$7),ROUND(CS438*($AP$3+#REF!),-1),""))</f>
        <v/>
      </c>
      <c r="CU438" s="503" t="s">
        <v>621</v>
      </c>
      <c r="CV438" s="503" t="str">
        <f>IF($G438="","",IF(AND($G438&gt;=30,$AT$3&lt;=CU$7),ROUND(CU438*($AP$3+#REF!),-1),""))</f>
        <v/>
      </c>
      <c r="CW438" s="503" t="s">
        <v>621</v>
      </c>
      <c r="CX438" s="503" t="str">
        <f>IF($G438="","",IF(AND($G438&gt;=30,$AT$3&lt;=CW$7),ROUND(CW438*($AP$3+#REF!),-1),""))</f>
        <v/>
      </c>
      <c r="CY438" s="517" t="e">
        <v>#REF!</v>
      </c>
      <c r="CZ438" s="503" t="str">
        <f>IF($G438="","",IF(AND($G438&gt;=30,$AT$3&lt;=CY$7),ROUND(CY438*($AP$3+#REF!),-1),""))</f>
        <v/>
      </c>
      <c r="DA438" s="517"/>
      <c r="DB438" s="503" t="str">
        <f>IF($G438="","",IF(AND($G438&gt;=30,$AT$3&lt;=DA$7),ROUND(DA438*($AP$3+#REF!),-1),""))</f>
        <v/>
      </c>
      <c r="DC438" s="517"/>
      <c r="DD438" s="503" t="str">
        <f>IF($G438="","",IF(AND($G438&gt;=30,$AT$3&lt;=DC$7),ROUND(DC438*($AP$3+#REF!),-1),""))</f>
        <v/>
      </c>
      <c r="DE438" s="517"/>
      <c r="DF438" s="503" t="str">
        <f>IF($G438="","",IF(AND($G438&gt;=30,$AT$3&lt;=DE$7),ROUND(DE438*($AP$3+#REF!),-1),""))</f>
        <v/>
      </c>
      <c r="DG438" s="517"/>
      <c r="DH438" s="503" t="str">
        <f>IF($G438="","",IF(AND($G438&gt;=30,$AT$3&lt;=DG$7),ROUND(DG438*($AP$3+#REF!),-1),""))</f>
        <v/>
      </c>
      <c r="DI438" s="517"/>
      <c r="DJ438" s="503" t="str">
        <f>IF($G438="","",IF(AND($G438&gt;=30,$AT$3&lt;=DI$7),ROUND(DI438*($AP$3+#REF!),-1),""))</f>
        <v/>
      </c>
      <c r="DK438" s="517"/>
      <c r="DL438" s="503" t="str">
        <f>IF($G438="","",IF(AND($G438&gt;=30,$AT$3&lt;=DK$7),ROUND(DK438*($AP$3+#REF!),-1),""))</f>
        <v/>
      </c>
      <c r="DM438" s="517"/>
      <c r="DN438" s="503" t="str">
        <f>IF($G438="","",IF(AND($G438&gt;=30,$AT$3&lt;=DM$7),ROUND(DM438*($AP$3+#REF!),-1),""))</f>
        <v/>
      </c>
      <c r="DO438" s="517"/>
      <c r="DP438" s="503" t="str">
        <f>IF($G438="","",IF(AND($G438&gt;=30,$AT$3&lt;=DO$7),ROUND(DO438*($AP$3+#REF!),-1),""))</f>
        <v/>
      </c>
      <c r="DQ438" s="517"/>
      <c r="DR438" s="503" t="str">
        <f>IF($G438="","",IF(AND($G438&gt;=30,$AT$3&lt;=DQ$7),ROUND(DQ438*($AP$3+#REF!),-1),""))</f>
        <v/>
      </c>
      <c r="DS438" s="517"/>
      <c r="DT438" s="503" t="str">
        <f>IF($G438="","",IF(AND($G438&gt;=30,$AT$3&lt;=DS$7),ROUND(DS438*($AP$3+#REF!),-1),""))</f>
        <v/>
      </c>
      <c r="DU438" s="517"/>
      <c r="DV438" s="503" t="str">
        <f>IF($G438="","",IF(AND($G438&gt;=30,$AT$3&lt;=DU$7),ROUND(DU438*($AP$3+#REF!),-1),""))</f>
        <v/>
      </c>
      <c r="DW438" s="517"/>
      <c r="DX438" s="503" t="str">
        <f>IF($G438="","",IF(AND($G438&gt;=30,$AT$3&lt;=DW$7),ROUND(DW438*($AP$3+#REF!),-1),""))</f>
        <v/>
      </c>
      <c r="DY438" s="517"/>
      <c r="DZ438" s="503" t="str">
        <f>IF($G438="","",IF(AND($G438&gt;=30,$AT$3&lt;=DY$7),ROUND(DY438*($AP$3+#REF!),-1),""))</f>
        <v/>
      </c>
      <c r="EA438" s="517"/>
      <c r="EB438" s="503" t="str">
        <f>IF($G438="","",IF(AND($G438&gt;=30,$AT$3&lt;=EA$7),ROUND(EA438*($AP$3+#REF!),-1),""))</f>
        <v/>
      </c>
      <c r="EC438" s="504" t="s">
        <v>621</v>
      </c>
      <c r="ED438" s="1124"/>
      <c r="EE438" s="325">
        <v>10</v>
      </c>
    </row>
    <row r="439" spans="1:135" ht="9.75" customHeight="1">
      <c r="A439" s="321" t="str">
        <f t="shared" si="96"/>
        <v/>
      </c>
      <c r="B439" s="567">
        <f>(ii!$D$13*12+V439)+1</f>
        <v>333</v>
      </c>
      <c r="C439" s="337">
        <f t="shared" si="100"/>
        <v>55487</v>
      </c>
      <c r="D439" s="484">
        <f t="shared" si="103"/>
        <v>2051</v>
      </c>
      <c r="E439" s="484">
        <f t="shared" si="101"/>
        <v>0.91666666666666663</v>
      </c>
      <c r="F439" s="484">
        <f t="shared" si="104"/>
        <v>2051.9166666666665</v>
      </c>
      <c r="G439" s="485" t="str">
        <f>IF(OR(C439&lt;$I$2,C439&gt;$J$3),"",(ii!$D$13*12+V439+1)/12)</f>
        <v/>
      </c>
      <c r="H439" s="486"/>
      <c r="I439" s="486"/>
      <c r="J439" s="487"/>
      <c r="K439" s="488"/>
      <c r="L439" s="548"/>
      <c r="M439" s="489" t="str">
        <f t="shared" si="105"/>
        <v/>
      </c>
      <c r="N439" s="490" t="s">
        <v>621</v>
      </c>
      <c r="O439" s="490" t="str">
        <f t="shared" si="98"/>
        <v/>
      </c>
      <c r="P439" s="491"/>
      <c r="Q439" s="491"/>
      <c r="R439" s="491" t="str">
        <f t="shared" si="99"/>
        <v/>
      </c>
      <c r="S439" s="528" t="str">
        <f t="shared" si="97"/>
        <v/>
      </c>
      <c r="T439" s="528" t="str">
        <f t="shared" si="95"/>
        <v/>
      </c>
      <c r="U439" s="493" t="str">
        <f>IF(H439="","",#REF!*12+#REF!+#REF!*12+#REF!)</f>
        <v/>
      </c>
      <c r="V439" s="338">
        <f>IF(ii!$J$3&gt;gg!C439,"",IF(AND((YEAR(C439)=YEAR($I$2)),MONTH(C439)=MONTH($I$2)),ii!$B$14*12+ii!$C$14+ii!$B$15*12+ii!$C$15-1,V438+1))</f>
        <v>332</v>
      </c>
      <c r="W439" s="339">
        <f t="shared" si="102"/>
        <v>27.666666666666668</v>
      </c>
      <c r="X439" s="494" t="s">
        <v>621</v>
      </c>
      <c r="Y439" s="495" t="s">
        <v>621</v>
      </c>
      <c r="Z439" s="496"/>
      <c r="AA439" s="497"/>
      <c r="AB439" s="498" t="e">
        <f t="shared" si="108"/>
        <v>#VALUE!</v>
      </c>
      <c r="AC439" s="484" t="str">
        <f t="shared" si="106"/>
        <v/>
      </c>
      <c r="AD439" s="495" t="str">
        <f t="shared" si="107"/>
        <v/>
      </c>
      <c r="AE439" s="499" t="s">
        <v>621</v>
      </c>
      <c r="AF439" s="500" t="s">
        <v>621</v>
      </c>
      <c r="AG439" s="556" t="s">
        <v>621</v>
      </c>
      <c r="AH439" s="503" t="str">
        <f>IF($G439="","",IF(AND($G439&gt;=30,$AT$3&lt;=AG$7),ROUND(AG439*($AP$3+#REF!),-1),""))</f>
        <v/>
      </c>
      <c r="AI439" s="506" t="s">
        <v>621</v>
      </c>
      <c r="AJ439" s="503" t="str">
        <f>IF($G439="","",IF(AND($G439&gt;=30,$AT$3&lt;=AI$7),ROUND(AI439*($AP$3+#REF!),-1),""))</f>
        <v/>
      </c>
      <c r="AK439" s="506" t="s">
        <v>621</v>
      </c>
      <c r="AL439" s="503" t="str">
        <f>IF($G439="","",IF(AND($G439&gt;=30,$AT$3&lt;=AK$7),ROUND(AK439*($AP$3+#REF!),-1),""))</f>
        <v/>
      </c>
      <c r="AM439" s="506" t="s">
        <v>621</v>
      </c>
      <c r="AN439" s="503" t="str">
        <f>IF($G439="","",IF(AND($G439&gt;=30,$AT$3&lt;=AM$7),ROUND(AM439*($AP$3+#REF!),-1),""))</f>
        <v/>
      </c>
      <c r="AO439" s="503" t="e">
        <v>#REF!</v>
      </c>
      <c r="AP439" s="503" t="str">
        <f>IF($G439="","",IF(AND($G439&gt;=30,$AT$3&lt;=AO$7),ROUND(AO439*($AP$3+#REF!),-1),""))</f>
        <v/>
      </c>
      <c r="AQ439" s="503" t="s">
        <v>621</v>
      </c>
      <c r="AR439" s="503" t="str">
        <f>IF($G439="","",IF(AND($G439&gt;=30,$AT$3&lt;=AQ$7),ROUND(AQ439*($AP$3+#REF!),-1),""))</f>
        <v/>
      </c>
      <c r="AS439" s="503" t="s">
        <v>621</v>
      </c>
      <c r="AT439" s="503" t="str">
        <f>IF($G439="","",IF(AND($G439&gt;=30,$AT$3&lt;=AS$7),ROUND(AS439*($AP$3+#REF!),-1),""))</f>
        <v/>
      </c>
      <c r="AU439" s="503" t="s">
        <v>621</v>
      </c>
      <c r="AV439" s="503" t="str">
        <f>IF($G439="","",IF(AND($G439&gt;=30,$AT$3&lt;=AU$7),ROUND(AU439*($AP$3+#REF!),-1),""))</f>
        <v/>
      </c>
      <c r="AW439" s="503" t="s">
        <v>621</v>
      </c>
      <c r="AX439" s="503" t="str">
        <f>IF($G439="","",IF(AND($G439&gt;=30,$AT$3&lt;=AW$7),ROUND(AW439*($AP$3+#REF!),-1),""))</f>
        <v/>
      </c>
      <c r="AY439" s="503" t="s">
        <v>621</v>
      </c>
      <c r="AZ439" s="503" t="str">
        <f>IF($G439="","",IF(AND($G439&gt;=30,$AT$3&lt;=AY$7),ROUND(AY439*($AP$3+#REF!),-1),""))</f>
        <v/>
      </c>
      <c r="BA439" s="503" t="s">
        <v>621</v>
      </c>
      <c r="BB439" s="503" t="str">
        <f>IF($G439="","",IF(AND($G439&gt;=30,$AT$3&lt;=BA$7),ROUND(BA439*($AP$3+#REF!),-1),""))</f>
        <v/>
      </c>
      <c r="BC439" s="503" t="s">
        <v>621</v>
      </c>
      <c r="BD439" s="503" t="str">
        <f>IF($G439="","",IF(AND($G439&gt;=30,$AT$3&lt;=BC$7),ROUND(BC439*($AP$3+#REF!),-1),""))</f>
        <v/>
      </c>
      <c r="BE439" s="503" t="s">
        <v>621</v>
      </c>
      <c r="BF439" s="503" t="str">
        <f>IF($G439="","",IF(AND($G439&gt;=30,$AT$3&lt;=BE$7),ROUND(BE439*($AP$3+#REF!),-1),""))</f>
        <v/>
      </c>
      <c r="BG439" s="503" t="s">
        <v>621</v>
      </c>
      <c r="BH439" s="503" t="str">
        <f>IF($G439="","",IF(AND($G439&gt;=30,$AT$3&lt;=BG$7),ROUND(BG439*($AP$3+#REF!),-1),""))</f>
        <v/>
      </c>
      <c r="BI439" s="503" t="s">
        <v>621</v>
      </c>
      <c r="BJ439" s="503" t="str">
        <f>IF($G439="","",IF(AND($G439&gt;=30,$AT$3&lt;=BI$7),ROUND(BI439*($AP$3+#REF!),-1),""))</f>
        <v/>
      </c>
      <c r="BK439" s="503" t="s">
        <v>621</v>
      </c>
      <c r="BL439" s="503" t="str">
        <f>IF($G439="","",IF(AND($G439&gt;=30,$AT$3&lt;=BK$7),ROUND(BK439*($AP$3+#REF!),-1),""))</f>
        <v/>
      </c>
      <c r="BM439" s="503" t="s">
        <v>621</v>
      </c>
      <c r="BN439" s="503" t="str">
        <f>IF($G439="","",IF(AND($G439&gt;=30,$AT$3&lt;=BM$7),ROUND(BM439*($AP$3+#REF!),-1),""))</f>
        <v/>
      </c>
      <c r="BO439" s="503" t="s">
        <v>621</v>
      </c>
      <c r="BP439" s="503" t="str">
        <f>IF($G439="","",IF(AND($G439&gt;=30,$AT$3&lt;=BO$7),ROUND(BO439*($AP$3+#REF!),-1),""))</f>
        <v/>
      </c>
      <c r="BQ439" s="503" t="s">
        <v>621</v>
      </c>
      <c r="BR439" s="503" t="str">
        <f>IF($G439="","",IF(AND($G439&gt;=30,$AT$3&lt;=BQ$7),ROUND(BQ439*($AP$3+#REF!),-1),""))</f>
        <v/>
      </c>
      <c r="BS439" s="503" t="s">
        <v>621</v>
      </c>
      <c r="BT439" s="503" t="str">
        <f>IF($G439="","",IF(AND($G439&gt;=30,$AT$3&lt;=BS$7),ROUND(BS439*($AP$3+#REF!),-1),""))</f>
        <v/>
      </c>
      <c r="BU439" s="503" t="s">
        <v>621</v>
      </c>
      <c r="BV439" s="503" t="str">
        <f>IF($G439="","",IF(AND($G439&gt;=30,$AT$3&lt;=BU$7),ROUND(BU439*($AP$3+#REF!),-1),""))</f>
        <v/>
      </c>
      <c r="BW439" s="503" t="s">
        <v>621</v>
      </c>
      <c r="BX439" s="503" t="str">
        <f>IF($G439="","",IF(AND($G439&gt;=30,$AT$3&lt;=BW$7),ROUND(BW439*($AP$3+#REF!),-1),""))</f>
        <v/>
      </c>
      <c r="BY439" s="503" t="s">
        <v>621</v>
      </c>
      <c r="BZ439" s="503" t="str">
        <f>IF($G439="","",IF(AND($G439&gt;=30,$AT$3&lt;=BY$7),ROUND(BY439*($AP$3+#REF!),-1),""))</f>
        <v/>
      </c>
      <c r="CA439" s="503" t="s">
        <v>621</v>
      </c>
      <c r="CB439" s="503" t="str">
        <f>IF($G439="","",IF(AND($G439&gt;=30,$AT$3&lt;=CA$7),ROUND(CA439*($AP$3+#REF!),-1),""))</f>
        <v/>
      </c>
      <c r="CC439" s="503" t="s">
        <v>621</v>
      </c>
      <c r="CD439" s="503" t="str">
        <f>IF($G439="","",IF(AND($G439&gt;=30,$AT$3&lt;=CC$7),ROUND(CC439*($AP$3+#REF!),-1),""))</f>
        <v/>
      </c>
      <c r="CE439" s="503" t="s">
        <v>621</v>
      </c>
      <c r="CF439" s="503" t="str">
        <f>IF($G439="","",IF(AND($G439&gt;=30,$AT$3&lt;=CE$7),ROUND(CE439*($AP$3+#REF!),-1),""))</f>
        <v/>
      </c>
      <c r="CG439" s="503" t="s">
        <v>621</v>
      </c>
      <c r="CH439" s="503" t="str">
        <f>IF($G439="","",IF(AND($G439&gt;=30,$AT$3&lt;=CG$7),ROUND(CG439*($AP$3+#REF!),-1),""))</f>
        <v/>
      </c>
      <c r="CI439" s="503" t="s">
        <v>621</v>
      </c>
      <c r="CJ439" s="503" t="str">
        <f>IF($G439="","",IF(AND($G439&gt;=30,$AT$3&lt;=CI$7),ROUND(CI439*($AP$3+#REF!),-1),""))</f>
        <v/>
      </c>
      <c r="CK439" s="503" t="s">
        <v>621</v>
      </c>
      <c r="CL439" s="503" t="str">
        <f>IF($G439="","",IF(AND($G439&gt;=30,$AT$3&lt;=CK$7),ROUND(CK439*($AP$3+#REF!),-1),""))</f>
        <v/>
      </c>
      <c r="CM439" s="503" t="s">
        <v>621</v>
      </c>
      <c r="CN439" s="503" t="str">
        <f>IF($G439="","",IF(AND($G439&gt;=30,$AT$3&lt;=CM$7),ROUND(CM439*($AP$3+#REF!),-1),""))</f>
        <v/>
      </c>
      <c r="CO439" s="503" t="s">
        <v>621</v>
      </c>
      <c r="CP439" s="503" t="str">
        <f>IF($G439="","",IF(AND($G439&gt;=30,$AT$3&lt;=CO$7),ROUND(CO439*($AP$3+#REF!),-1),""))</f>
        <v/>
      </c>
      <c r="CQ439" s="503" t="s">
        <v>621</v>
      </c>
      <c r="CR439" s="503" t="str">
        <f>IF($G439="","",IF(AND($G439&gt;=30,$AT$3&lt;=CQ$7),ROUND(CQ439*($AP$3+#REF!),-1),""))</f>
        <v/>
      </c>
      <c r="CS439" s="503" t="s">
        <v>621</v>
      </c>
      <c r="CT439" s="503" t="str">
        <f>IF($G439="","",IF(AND($G439&gt;=30,$AT$3&lt;=CS$7),ROUND(CS439*($AP$3+#REF!),-1),""))</f>
        <v/>
      </c>
      <c r="CU439" s="503" t="s">
        <v>621</v>
      </c>
      <c r="CV439" s="503" t="str">
        <f>IF($G439="","",IF(AND($G439&gt;=30,$AT$3&lt;=CU$7),ROUND(CU439*($AP$3+#REF!),-1),""))</f>
        <v/>
      </c>
      <c r="CW439" s="503" t="s">
        <v>621</v>
      </c>
      <c r="CX439" s="503" t="str">
        <f>IF($G439="","",IF(AND($G439&gt;=30,$AT$3&lt;=CW$7),ROUND(CW439*($AP$3+#REF!),-1),""))</f>
        <v/>
      </c>
      <c r="CY439" s="517" t="e">
        <v>#REF!</v>
      </c>
      <c r="CZ439" s="503" t="str">
        <f>IF($G439="","",IF(AND($G439&gt;=30,$AT$3&lt;=CY$7),ROUND(CY439*($AP$3+#REF!),-1),""))</f>
        <v/>
      </c>
      <c r="DA439" s="517"/>
      <c r="DB439" s="503" t="str">
        <f>IF($G439="","",IF(AND($G439&gt;=30,$AT$3&lt;=DA$7),ROUND(DA439*($AP$3+#REF!),-1),""))</f>
        <v/>
      </c>
      <c r="DC439" s="517"/>
      <c r="DD439" s="503" t="str">
        <f>IF($G439="","",IF(AND($G439&gt;=30,$AT$3&lt;=DC$7),ROUND(DC439*($AP$3+#REF!),-1),""))</f>
        <v/>
      </c>
      <c r="DE439" s="517"/>
      <c r="DF439" s="503" t="str">
        <f>IF($G439="","",IF(AND($G439&gt;=30,$AT$3&lt;=DE$7),ROUND(DE439*($AP$3+#REF!),-1),""))</f>
        <v/>
      </c>
      <c r="DG439" s="517"/>
      <c r="DH439" s="503" t="str">
        <f>IF($G439="","",IF(AND($G439&gt;=30,$AT$3&lt;=DG$7),ROUND(DG439*($AP$3+#REF!),-1),""))</f>
        <v/>
      </c>
      <c r="DI439" s="517"/>
      <c r="DJ439" s="503" t="str">
        <f>IF($G439="","",IF(AND($G439&gt;=30,$AT$3&lt;=DI$7),ROUND(DI439*($AP$3+#REF!),-1),""))</f>
        <v/>
      </c>
      <c r="DK439" s="517"/>
      <c r="DL439" s="503" t="str">
        <f>IF($G439="","",IF(AND($G439&gt;=30,$AT$3&lt;=DK$7),ROUND(DK439*($AP$3+#REF!),-1),""))</f>
        <v/>
      </c>
      <c r="DM439" s="517"/>
      <c r="DN439" s="503" t="str">
        <f>IF($G439="","",IF(AND($G439&gt;=30,$AT$3&lt;=DM$7),ROUND(DM439*($AP$3+#REF!),-1),""))</f>
        <v/>
      </c>
      <c r="DO439" s="517"/>
      <c r="DP439" s="503" t="str">
        <f>IF($G439="","",IF(AND($G439&gt;=30,$AT$3&lt;=DO$7),ROUND(DO439*($AP$3+#REF!),-1),""))</f>
        <v/>
      </c>
      <c r="DQ439" s="517"/>
      <c r="DR439" s="503" t="str">
        <f>IF($G439="","",IF(AND($G439&gt;=30,$AT$3&lt;=DQ$7),ROUND(DQ439*($AP$3+#REF!),-1),""))</f>
        <v/>
      </c>
      <c r="DS439" s="517"/>
      <c r="DT439" s="503" t="str">
        <f>IF($G439="","",IF(AND($G439&gt;=30,$AT$3&lt;=DS$7),ROUND(DS439*($AP$3+#REF!),-1),""))</f>
        <v/>
      </c>
      <c r="DU439" s="517"/>
      <c r="DV439" s="503" t="str">
        <f>IF($G439="","",IF(AND($G439&gt;=30,$AT$3&lt;=DU$7),ROUND(DU439*($AP$3+#REF!),-1),""))</f>
        <v/>
      </c>
      <c r="DW439" s="517"/>
      <c r="DX439" s="503" t="str">
        <f>IF($G439="","",IF(AND($G439&gt;=30,$AT$3&lt;=DW$7),ROUND(DW439*($AP$3+#REF!),-1),""))</f>
        <v/>
      </c>
      <c r="DY439" s="517"/>
      <c r="DZ439" s="503" t="str">
        <f>IF($G439="","",IF(AND($G439&gt;=30,$AT$3&lt;=DY$7),ROUND(DY439*($AP$3+#REF!),-1),""))</f>
        <v/>
      </c>
      <c r="EA439" s="517"/>
      <c r="EB439" s="503" t="str">
        <f>IF($G439="","",IF(AND($G439&gt;=30,$AT$3&lt;=EA$7),ROUND(EA439*($AP$3+#REF!),-1),""))</f>
        <v/>
      </c>
      <c r="EC439" s="504" t="s">
        <v>621</v>
      </c>
      <c r="ED439" s="1124"/>
      <c r="EE439" s="325">
        <v>11</v>
      </c>
    </row>
    <row r="440" spans="1:135" ht="9.75" customHeight="1">
      <c r="A440" s="321" t="str">
        <f t="shared" si="96"/>
        <v/>
      </c>
      <c r="B440" s="567">
        <f>(ii!$D$13*12+V440)+1</f>
        <v>334</v>
      </c>
      <c r="C440" s="337">
        <f t="shared" si="100"/>
        <v>55518</v>
      </c>
      <c r="D440" s="484">
        <f t="shared" si="103"/>
        <v>2051</v>
      </c>
      <c r="E440" s="484">
        <f t="shared" si="101"/>
        <v>1</v>
      </c>
      <c r="F440" s="484">
        <f t="shared" si="104"/>
        <v>2052</v>
      </c>
      <c r="G440" s="485" t="str">
        <f>IF(OR(C440&lt;$I$2,C440&gt;$J$3),"",(ii!$D$13*12+V440+1)/12)</f>
        <v/>
      </c>
      <c r="H440" s="486"/>
      <c r="I440" s="486"/>
      <c r="J440" s="487"/>
      <c r="K440" s="488"/>
      <c r="L440" s="548"/>
      <c r="M440" s="489" t="str">
        <f t="shared" si="105"/>
        <v/>
      </c>
      <c r="N440" s="490" t="s">
        <v>621</v>
      </c>
      <c r="O440" s="490" t="str">
        <f t="shared" si="98"/>
        <v/>
      </c>
      <c r="P440" s="491"/>
      <c r="Q440" s="491"/>
      <c r="R440" s="491" t="str">
        <f t="shared" si="99"/>
        <v/>
      </c>
      <c r="S440" s="528" t="str">
        <f t="shared" si="97"/>
        <v/>
      </c>
      <c r="T440" s="528" t="str">
        <f t="shared" si="95"/>
        <v/>
      </c>
      <c r="U440" s="493" t="str">
        <f>IF(H440="","",#REF!*12+#REF!+#REF!*12+#REF!)</f>
        <v/>
      </c>
      <c r="V440" s="338">
        <f>IF(ii!$J$3&gt;gg!C440,"",IF(AND((YEAR(C440)=YEAR($I$2)),MONTH(C440)=MONTH($I$2)),ii!$B$14*12+ii!$C$14+ii!$B$15*12+ii!$C$15-1,V439+1))</f>
        <v>333</v>
      </c>
      <c r="W440" s="339">
        <f t="shared" si="102"/>
        <v>27.75</v>
      </c>
      <c r="X440" s="494" t="s">
        <v>621</v>
      </c>
      <c r="Y440" s="495" t="s">
        <v>621</v>
      </c>
      <c r="Z440" s="496"/>
      <c r="AA440" s="497"/>
      <c r="AB440" s="498" t="e">
        <f t="shared" si="108"/>
        <v>#VALUE!</v>
      </c>
      <c r="AC440" s="484" t="str">
        <f t="shared" si="106"/>
        <v/>
      </c>
      <c r="AD440" s="495" t="str">
        <f t="shared" si="107"/>
        <v/>
      </c>
      <c r="AE440" s="499" t="s">
        <v>621</v>
      </c>
      <c r="AF440" s="500" t="s">
        <v>621</v>
      </c>
      <c r="AG440" s="556" t="s">
        <v>621</v>
      </c>
      <c r="AH440" s="503" t="str">
        <f>IF($G440="","",IF(AND($G440&gt;=30,$AT$3&lt;=AG$7),ROUND(AG440*($AP$3+#REF!),-1),""))</f>
        <v/>
      </c>
      <c r="AI440" s="506" t="s">
        <v>621</v>
      </c>
      <c r="AJ440" s="503" t="str">
        <f>IF($G440="","",IF(AND($G440&gt;=30,$AT$3&lt;=AI$7),ROUND(AI440*($AP$3+#REF!),-1),""))</f>
        <v/>
      </c>
      <c r="AK440" s="506" t="s">
        <v>621</v>
      </c>
      <c r="AL440" s="503" t="str">
        <f>IF($G440="","",IF(AND($G440&gt;=30,$AT$3&lt;=AK$7),ROUND(AK440*($AP$3+#REF!),-1),""))</f>
        <v/>
      </c>
      <c r="AM440" s="506" t="s">
        <v>621</v>
      </c>
      <c r="AN440" s="503" t="str">
        <f>IF($G440="","",IF(AND($G440&gt;=30,$AT$3&lt;=AM$7),ROUND(AM440*($AP$3+#REF!),-1),""))</f>
        <v/>
      </c>
      <c r="AO440" s="503" t="e">
        <v>#REF!</v>
      </c>
      <c r="AP440" s="503" t="str">
        <f>IF($G440="","",IF(AND($G440&gt;=30,$AT$3&lt;=AO$7),ROUND(AO440*($AP$3+#REF!),-1),""))</f>
        <v/>
      </c>
      <c r="AQ440" s="503" t="s">
        <v>621</v>
      </c>
      <c r="AR440" s="503" t="str">
        <f>IF($G440="","",IF(AND($G440&gt;=30,$AT$3&lt;=AQ$7),ROUND(AQ440*($AP$3+#REF!),-1),""))</f>
        <v/>
      </c>
      <c r="AS440" s="503" t="s">
        <v>621</v>
      </c>
      <c r="AT440" s="503" t="str">
        <f>IF($G440="","",IF(AND($G440&gt;=30,$AT$3&lt;=AS$7),ROUND(AS440*($AP$3+#REF!),-1),""))</f>
        <v/>
      </c>
      <c r="AU440" s="503" t="s">
        <v>621</v>
      </c>
      <c r="AV440" s="503" t="str">
        <f>IF($G440="","",IF(AND($G440&gt;=30,$AT$3&lt;=AU$7),ROUND(AU440*($AP$3+#REF!),-1),""))</f>
        <v/>
      </c>
      <c r="AW440" s="503" t="s">
        <v>621</v>
      </c>
      <c r="AX440" s="503" t="str">
        <f>IF($G440="","",IF(AND($G440&gt;=30,$AT$3&lt;=AW$7),ROUND(AW440*($AP$3+#REF!),-1),""))</f>
        <v/>
      </c>
      <c r="AY440" s="503" t="s">
        <v>621</v>
      </c>
      <c r="AZ440" s="503" t="str">
        <f>IF($G440="","",IF(AND($G440&gt;=30,$AT$3&lt;=AY$7),ROUND(AY440*($AP$3+#REF!),-1),""))</f>
        <v/>
      </c>
      <c r="BA440" s="503" t="s">
        <v>621</v>
      </c>
      <c r="BB440" s="503" t="str">
        <f>IF($G440="","",IF(AND($G440&gt;=30,$AT$3&lt;=BA$7),ROUND(BA440*($AP$3+#REF!),-1),""))</f>
        <v/>
      </c>
      <c r="BC440" s="503" t="s">
        <v>621</v>
      </c>
      <c r="BD440" s="503" t="str">
        <f>IF($G440="","",IF(AND($G440&gt;=30,$AT$3&lt;=BC$7),ROUND(BC440*($AP$3+#REF!),-1),""))</f>
        <v/>
      </c>
      <c r="BE440" s="503" t="s">
        <v>621</v>
      </c>
      <c r="BF440" s="503" t="str">
        <f>IF($G440="","",IF(AND($G440&gt;=30,$AT$3&lt;=BE$7),ROUND(BE440*($AP$3+#REF!),-1),""))</f>
        <v/>
      </c>
      <c r="BG440" s="503" t="s">
        <v>621</v>
      </c>
      <c r="BH440" s="503" t="str">
        <f>IF($G440="","",IF(AND($G440&gt;=30,$AT$3&lt;=BG$7),ROUND(BG440*($AP$3+#REF!),-1),""))</f>
        <v/>
      </c>
      <c r="BI440" s="503" t="s">
        <v>621</v>
      </c>
      <c r="BJ440" s="503" t="str">
        <f>IF($G440="","",IF(AND($G440&gt;=30,$AT$3&lt;=BI$7),ROUND(BI440*($AP$3+#REF!),-1),""))</f>
        <v/>
      </c>
      <c r="BK440" s="503" t="s">
        <v>621</v>
      </c>
      <c r="BL440" s="503" t="str">
        <f>IF($G440="","",IF(AND($G440&gt;=30,$AT$3&lt;=BK$7),ROUND(BK440*($AP$3+#REF!),-1),""))</f>
        <v/>
      </c>
      <c r="BM440" s="503" t="s">
        <v>621</v>
      </c>
      <c r="BN440" s="503" t="str">
        <f>IF($G440="","",IF(AND($G440&gt;=30,$AT$3&lt;=BM$7),ROUND(BM440*($AP$3+#REF!),-1),""))</f>
        <v/>
      </c>
      <c r="BO440" s="503" t="s">
        <v>621</v>
      </c>
      <c r="BP440" s="503" t="str">
        <f>IF($G440="","",IF(AND($G440&gt;=30,$AT$3&lt;=BO$7),ROUND(BO440*($AP$3+#REF!),-1),""))</f>
        <v/>
      </c>
      <c r="BQ440" s="503" t="s">
        <v>621</v>
      </c>
      <c r="BR440" s="503" t="str">
        <f>IF($G440="","",IF(AND($G440&gt;=30,$AT$3&lt;=BQ$7),ROUND(BQ440*($AP$3+#REF!),-1),""))</f>
        <v/>
      </c>
      <c r="BS440" s="503" t="s">
        <v>621</v>
      </c>
      <c r="BT440" s="503" t="str">
        <f>IF($G440="","",IF(AND($G440&gt;=30,$AT$3&lt;=BS$7),ROUND(BS440*($AP$3+#REF!),-1),""))</f>
        <v/>
      </c>
      <c r="BU440" s="503" t="s">
        <v>621</v>
      </c>
      <c r="BV440" s="503" t="str">
        <f>IF($G440="","",IF(AND($G440&gt;=30,$AT$3&lt;=BU$7),ROUND(BU440*($AP$3+#REF!),-1),""))</f>
        <v/>
      </c>
      <c r="BW440" s="503" t="s">
        <v>621</v>
      </c>
      <c r="BX440" s="503" t="str">
        <f>IF($G440="","",IF(AND($G440&gt;=30,$AT$3&lt;=BW$7),ROUND(BW440*($AP$3+#REF!),-1),""))</f>
        <v/>
      </c>
      <c r="BY440" s="503" t="s">
        <v>621</v>
      </c>
      <c r="BZ440" s="503" t="str">
        <f>IF($G440="","",IF(AND($G440&gt;=30,$AT$3&lt;=BY$7),ROUND(BY440*($AP$3+#REF!),-1),""))</f>
        <v/>
      </c>
      <c r="CA440" s="503" t="s">
        <v>621</v>
      </c>
      <c r="CB440" s="503" t="str">
        <f>IF($G440="","",IF(AND($G440&gt;=30,$AT$3&lt;=CA$7),ROUND(CA440*($AP$3+#REF!),-1),""))</f>
        <v/>
      </c>
      <c r="CC440" s="503" t="s">
        <v>621</v>
      </c>
      <c r="CD440" s="503" t="str">
        <f>IF($G440="","",IF(AND($G440&gt;=30,$AT$3&lt;=CC$7),ROUND(CC440*($AP$3+#REF!),-1),""))</f>
        <v/>
      </c>
      <c r="CE440" s="503" t="s">
        <v>621</v>
      </c>
      <c r="CF440" s="503" t="str">
        <f>IF($G440="","",IF(AND($G440&gt;=30,$AT$3&lt;=CE$7),ROUND(CE440*($AP$3+#REF!),-1),""))</f>
        <v/>
      </c>
      <c r="CG440" s="503" t="s">
        <v>621</v>
      </c>
      <c r="CH440" s="503" t="str">
        <f>IF($G440="","",IF(AND($G440&gt;=30,$AT$3&lt;=CG$7),ROUND(CG440*($AP$3+#REF!),-1),""))</f>
        <v/>
      </c>
      <c r="CI440" s="503" t="s">
        <v>621</v>
      </c>
      <c r="CJ440" s="503" t="str">
        <f>IF($G440="","",IF(AND($G440&gt;=30,$AT$3&lt;=CI$7),ROUND(CI440*($AP$3+#REF!),-1),""))</f>
        <v/>
      </c>
      <c r="CK440" s="503" t="s">
        <v>621</v>
      </c>
      <c r="CL440" s="503" t="str">
        <f>IF($G440="","",IF(AND($G440&gt;=30,$AT$3&lt;=CK$7),ROUND(CK440*($AP$3+#REF!),-1),""))</f>
        <v/>
      </c>
      <c r="CM440" s="503" t="s">
        <v>621</v>
      </c>
      <c r="CN440" s="503" t="str">
        <f>IF($G440="","",IF(AND($G440&gt;=30,$AT$3&lt;=CM$7),ROUND(CM440*($AP$3+#REF!),-1),""))</f>
        <v/>
      </c>
      <c r="CO440" s="503" t="s">
        <v>621</v>
      </c>
      <c r="CP440" s="503" t="str">
        <f>IF($G440="","",IF(AND($G440&gt;=30,$AT$3&lt;=CO$7),ROUND(CO440*($AP$3+#REF!),-1),""))</f>
        <v/>
      </c>
      <c r="CQ440" s="503" t="s">
        <v>621</v>
      </c>
      <c r="CR440" s="503" t="str">
        <f>IF($G440="","",IF(AND($G440&gt;=30,$AT$3&lt;=CQ$7),ROUND(CQ440*($AP$3+#REF!),-1),""))</f>
        <v/>
      </c>
      <c r="CS440" s="503" t="s">
        <v>621</v>
      </c>
      <c r="CT440" s="503" t="str">
        <f>IF($G440="","",IF(AND($G440&gt;=30,$AT$3&lt;=CS$7),ROUND(CS440*($AP$3+#REF!),-1),""))</f>
        <v/>
      </c>
      <c r="CU440" s="503" t="s">
        <v>621</v>
      </c>
      <c r="CV440" s="503" t="str">
        <f>IF($G440="","",IF(AND($G440&gt;=30,$AT$3&lt;=CU$7),ROUND(CU440*($AP$3+#REF!),-1),""))</f>
        <v/>
      </c>
      <c r="CW440" s="503" t="s">
        <v>621</v>
      </c>
      <c r="CX440" s="503" t="str">
        <f>IF($G440="","",IF(AND($G440&gt;=30,$AT$3&lt;=CW$7),ROUND(CW440*($AP$3+#REF!),-1),""))</f>
        <v/>
      </c>
      <c r="CY440" s="517" t="e">
        <v>#REF!</v>
      </c>
      <c r="CZ440" s="503" t="str">
        <f>IF($G440="","",IF(AND($G440&gt;=30,$AT$3&lt;=CY$7),ROUND(CY440*($AP$3+#REF!),-1),""))</f>
        <v/>
      </c>
      <c r="DA440" s="517"/>
      <c r="DB440" s="503" t="str">
        <f>IF($G440="","",IF(AND($G440&gt;=30,$AT$3&lt;=DA$7),ROUND(DA440*($AP$3+#REF!),-1),""))</f>
        <v/>
      </c>
      <c r="DC440" s="517"/>
      <c r="DD440" s="503" t="str">
        <f>IF($G440="","",IF(AND($G440&gt;=30,$AT$3&lt;=DC$7),ROUND(DC440*($AP$3+#REF!),-1),""))</f>
        <v/>
      </c>
      <c r="DE440" s="517"/>
      <c r="DF440" s="503" t="str">
        <f>IF($G440="","",IF(AND($G440&gt;=30,$AT$3&lt;=DE$7),ROUND(DE440*($AP$3+#REF!),-1),""))</f>
        <v/>
      </c>
      <c r="DG440" s="517"/>
      <c r="DH440" s="503" t="str">
        <f>IF($G440="","",IF(AND($G440&gt;=30,$AT$3&lt;=DG$7),ROUND(DG440*($AP$3+#REF!),-1),""))</f>
        <v/>
      </c>
      <c r="DI440" s="517"/>
      <c r="DJ440" s="503" t="str">
        <f>IF($G440="","",IF(AND($G440&gt;=30,$AT$3&lt;=DI$7),ROUND(DI440*($AP$3+#REF!),-1),""))</f>
        <v/>
      </c>
      <c r="DK440" s="517"/>
      <c r="DL440" s="503" t="str">
        <f>IF($G440="","",IF(AND($G440&gt;=30,$AT$3&lt;=DK$7),ROUND(DK440*($AP$3+#REF!),-1),""))</f>
        <v/>
      </c>
      <c r="DM440" s="517"/>
      <c r="DN440" s="503" t="str">
        <f>IF($G440="","",IF(AND($G440&gt;=30,$AT$3&lt;=DM$7),ROUND(DM440*($AP$3+#REF!),-1),""))</f>
        <v/>
      </c>
      <c r="DO440" s="517"/>
      <c r="DP440" s="503" t="str">
        <f>IF($G440="","",IF(AND($G440&gt;=30,$AT$3&lt;=DO$7),ROUND(DO440*($AP$3+#REF!),-1),""))</f>
        <v/>
      </c>
      <c r="DQ440" s="517"/>
      <c r="DR440" s="503" t="str">
        <f>IF($G440="","",IF(AND($G440&gt;=30,$AT$3&lt;=DQ$7),ROUND(DQ440*($AP$3+#REF!),-1),""))</f>
        <v/>
      </c>
      <c r="DS440" s="517"/>
      <c r="DT440" s="503" t="str">
        <f>IF($G440="","",IF(AND($G440&gt;=30,$AT$3&lt;=DS$7),ROUND(DS440*($AP$3+#REF!),-1),""))</f>
        <v/>
      </c>
      <c r="DU440" s="517"/>
      <c r="DV440" s="503" t="str">
        <f>IF($G440="","",IF(AND($G440&gt;=30,$AT$3&lt;=DU$7),ROUND(DU440*($AP$3+#REF!),-1),""))</f>
        <v/>
      </c>
      <c r="DW440" s="517"/>
      <c r="DX440" s="503" t="str">
        <f>IF($G440="","",IF(AND($G440&gt;=30,$AT$3&lt;=DW$7),ROUND(DW440*($AP$3+#REF!),-1),""))</f>
        <v/>
      </c>
      <c r="DY440" s="517"/>
      <c r="DZ440" s="503" t="str">
        <f>IF($G440="","",IF(AND($G440&gt;=30,$AT$3&lt;=DY$7),ROUND(DY440*($AP$3+#REF!),-1),""))</f>
        <v/>
      </c>
      <c r="EA440" s="517"/>
      <c r="EB440" s="503" t="str">
        <f>IF($G440="","",IF(AND($G440&gt;=30,$AT$3&lt;=EA$7),ROUND(EA440*($AP$3+#REF!),-1),""))</f>
        <v/>
      </c>
      <c r="EC440" s="504" t="s">
        <v>621</v>
      </c>
      <c r="ED440" s="1125"/>
      <c r="EE440" s="325">
        <v>12</v>
      </c>
    </row>
    <row r="441" spans="1:135" ht="9.75" customHeight="1">
      <c r="A441" s="321" t="str">
        <f t="shared" si="96"/>
        <v/>
      </c>
      <c r="B441" s="567">
        <f>(ii!$D$13*12+V441)+1</f>
        <v>335</v>
      </c>
      <c r="C441" s="345">
        <f t="shared" si="100"/>
        <v>55549</v>
      </c>
      <c r="D441" s="340">
        <f t="shared" si="103"/>
        <v>2052</v>
      </c>
      <c r="E441" s="340">
        <f t="shared" si="101"/>
        <v>8.3333333333333329E-2</v>
      </c>
      <c r="F441" s="340">
        <f t="shared" si="104"/>
        <v>2052.0833333333335</v>
      </c>
      <c r="G441" s="531" t="str">
        <f>IF(OR(C441&lt;$I$2,C441&gt;$J$3),"",(ii!$D$13*12+V441+1)/12)</f>
        <v/>
      </c>
      <c r="H441" s="532"/>
      <c r="I441" s="532"/>
      <c r="J441" s="533"/>
      <c r="K441" s="553"/>
      <c r="L441" s="534"/>
      <c r="M441" s="489" t="str">
        <f t="shared" si="105"/>
        <v/>
      </c>
      <c r="N441" s="536" t="s">
        <v>621</v>
      </c>
      <c r="O441" s="490" t="str">
        <f t="shared" si="98"/>
        <v/>
      </c>
      <c r="P441" s="537"/>
      <c r="Q441" s="537"/>
      <c r="R441" s="533" t="str">
        <f t="shared" si="99"/>
        <v/>
      </c>
      <c r="S441" s="538" t="str">
        <f t="shared" si="97"/>
        <v/>
      </c>
      <c r="T441" s="538" t="str">
        <f t="shared" ref="T441:T504" si="109">IF(OR(S441="",S440=""),"",S441-S440)</f>
        <v/>
      </c>
      <c r="U441" s="539" t="str">
        <f>IF(H441="","",#REF!*12+#REF!+#REF!*12+#REF!)</f>
        <v/>
      </c>
      <c r="V441" s="338">
        <f>IF(ii!$J$3&gt;gg!C441,"",IF(AND((YEAR(C441)=YEAR($I$2)),MONTH(C441)=MONTH($I$2)),ii!$B$14*12+ii!$C$14+ii!$B$15*12+ii!$C$15-1,V440+1))</f>
        <v>334</v>
      </c>
      <c r="W441" s="339">
        <f t="shared" si="102"/>
        <v>27.833333333333332</v>
      </c>
      <c r="X441" s="540" t="s">
        <v>621</v>
      </c>
      <c r="Y441" s="538" t="s">
        <v>621</v>
      </c>
      <c r="Z441" s="541">
        <f>Z429+$Z$26</f>
        <v>1.0200000000000007</v>
      </c>
      <c r="AA441" s="542" t="str">
        <f>IF(Y441="","",(Y441-Y440)/Y440)</f>
        <v/>
      </c>
      <c r="AB441" s="543" t="e">
        <f t="shared" si="108"/>
        <v>#VALUE!</v>
      </c>
      <c r="AC441" s="544" t="str">
        <f t="shared" si="106"/>
        <v/>
      </c>
      <c r="AD441" s="538" t="str">
        <f t="shared" si="107"/>
        <v/>
      </c>
      <c r="AE441" s="545" t="s">
        <v>621</v>
      </c>
      <c r="AF441" s="546" t="s">
        <v>621</v>
      </c>
      <c r="AG441" s="558" t="s">
        <v>621</v>
      </c>
      <c r="AH441" s="547" t="str">
        <f>IF($G441="","",IF(AND($G441&gt;=30,$AT$3&lt;=AG$7),ROUND(AG441*($AP$3+#REF!),-1),""))</f>
        <v/>
      </c>
      <c r="AI441" s="558" t="s">
        <v>621</v>
      </c>
      <c r="AJ441" s="547" t="str">
        <f>IF($G441="","",IF(AND($G441&gt;=30,$AT$3&lt;=AI$7),ROUND(AI441*($AP$3+#REF!),-1),""))</f>
        <v/>
      </c>
      <c r="AK441" s="560" t="s">
        <v>621</v>
      </c>
      <c r="AL441" s="547" t="str">
        <f>IF($G441="","",IF(AND($G441&gt;=30,$AT$3&lt;=AK$7),ROUND(AK441*($AP$3+#REF!),-1),""))</f>
        <v/>
      </c>
      <c r="AM441" s="560" t="s">
        <v>621</v>
      </c>
      <c r="AN441" s="547" t="str">
        <f>IF($G441="","",IF(AND($G441&gt;=30,$AT$3&lt;=AM$7),ROUND(AM441*($AP$3+#REF!),-1),""))</f>
        <v/>
      </c>
      <c r="AO441" s="547" t="e">
        <v>#REF!</v>
      </c>
      <c r="AP441" s="547" t="str">
        <f>IF($G441="","",IF(AND($G441&gt;=30,$AT$3&lt;=AO$7),ROUND(AO441*($AP$3+#REF!),-1),""))</f>
        <v/>
      </c>
      <c r="AQ441" s="547" t="s">
        <v>621</v>
      </c>
      <c r="AR441" s="547" t="str">
        <f>IF($G441="","",IF(AND($G441&gt;=30,$AT$3&lt;=AQ$7),ROUND(AQ441*($AP$3+#REF!),-1),""))</f>
        <v/>
      </c>
      <c r="AS441" s="547" t="s">
        <v>621</v>
      </c>
      <c r="AT441" s="547" t="str">
        <f>IF($G441="","",IF(AND($G441&gt;=30,$AT$3&lt;=AS$7),ROUND(AS441*($AP$3+#REF!),-1),""))</f>
        <v/>
      </c>
      <c r="AU441" s="547" t="s">
        <v>621</v>
      </c>
      <c r="AV441" s="547" t="str">
        <f>IF($G441="","",IF(AND($G441&gt;=30,$AT$3&lt;=AU$7),ROUND(AU441*($AP$3+#REF!),-1),""))</f>
        <v/>
      </c>
      <c r="AW441" s="547" t="s">
        <v>621</v>
      </c>
      <c r="AX441" s="547" t="str">
        <f>IF($G441="","",IF(AND($G441&gt;=30,$AT$3&lt;=AW$7),ROUND(AW441*($AP$3+#REF!),-1),""))</f>
        <v/>
      </c>
      <c r="AY441" s="547" t="s">
        <v>621</v>
      </c>
      <c r="AZ441" s="547" t="str">
        <f>IF($G441="","",IF(AND($G441&gt;=30,$AT$3&lt;=AY$7),ROUND(AY441*($AP$3+#REF!),-1),""))</f>
        <v/>
      </c>
      <c r="BA441" s="547" t="s">
        <v>621</v>
      </c>
      <c r="BB441" s="547" t="str">
        <f>IF($G441="","",IF(AND($G441&gt;=30,$AT$3&lt;=BA$7),ROUND(BA441*($AP$3+#REF!),-1),""))</f>
        <v/>
      </c>
      <c r="BC441" s="547" t="s">
        <v>621</v>
      </c>
      <c r="BD441" s="547" t="str">
        <f>IF($G441="","",IF(AND($G441&gt;=30,$AT$3&lt;=BC$7),ROUND(BC441*($AP$3+#REF!),-1),""))</f>
        <v/>
      </c>
      <c r="BE441" s="547" t="s">
        <v>621</v>
      </c>
      <c r="BF441" s="547" t="str">
        <f>IF($G441="","",IF(AND($G441&gt;=30,$AT$3&lt;=BE$7),ROUND(BE441*($AP$3+#REF!),-1),""))</f>
        <v/>
      </c>
      <c r="BG441" s="547" t="s">
        <v>621</v>
      </c>
      <c r="BH441" s="547" t="str">
        <f>IF($G441="","",IF(AND($G441&gt;=30,$AT$3&lt;=BG$7),ROUND(BG441*($AP$3+#REF!),-1),""))</f>
        <v/>
      </c>
      <c r="BI441" s="547" t="s">
        <v>621</v>
      </c>
      <c r="BJ441" s="547" t="str">
        <f>IF($G441="","",IF(AND($G441&gt;=30,$AT$3&lt;=BI$7),ROUND(BI441*($AP$3+#REF!),-1),""))</f>
        <v/>
      </c>
      <c r="BK441" s="547" t="s">
        <v>621</v>
      </c>
      <c r="BL441" s="547" t="str">
        <f>IF($G441="","",IF(AND($G441&gt;=30,$AT$3&lt;=BK$7),ROUND(BK441*($AP$3+#REF!),-1),""))</f>
        <v/>
      </c>
      <c r="BM441" s="547" t="s">
        <v>621</v>
      </c>
      <c r="BN441" s="547" t="str">
        <f>IF($G441="","",IF(AND($G441&gt;=30,$AT$3&lt;=BM$7),ROUND(BM441*($AP$3+#REF!),-1),""))</f>
        <v/>
      </c>
      <c r="BO441" s="547" t="s">
        <v>621</v>
      </c>
      <c r="BP441" s="547" t="str">
        <f>IF($G441="","",IF(AND($G441&gt;=30,$AT$3&lt;=BO$7),ROUND(BO441*($AP$3+#REF!),-1),""))</f>
        <v/>
      </c>
      <c r="BQ441" s="547" t="s">
        <v>621</v>
      </c>
      <c r="BR441" s="547" t="str">
        <f>IF($G441="","",IF(AND($G441&gt;=30,$AT$3&lt;=BQ$7),ROUND(BQ441*($AP$3+#REF!),-1),""))</f>
        <v/>
      </c>
      <c r="BS441" s="547" t="s">
        <v>621</v>
      </c>
      <c r="BT441" s="547" t="str">
        <f>IF($G441="","",IF(AND($G441&gt;=30,$AT$3&lt;=BS$7),ROUND(BS441*($AP$3+#REF!),-1),""))</f>
        <v/>
      </c>
      <c r="BU441" s="547" t="s">
        <v>621</v>
      </c>
      <c r="BV441" s="547" t="str">
        <f>IF($G441="","",IF(AND($G441&gt;=30,$AT$3&lt;=BU$7),ROUND(BU441*($AP$3+#REF!),-1),""))</f>
        <v/>
      </c>
      <c r="BW441" s="547" t="s">
        <v>621</v>
      </c>
      <c r="BX441" s="547" t="str">
        <f>IF($G441="","",IF(AND($G441&gt;=30,$AT$3&lt;=BW$7),ROUND(BW441*($AP$3+#REF!),-1),""))</f>
        <v/>
      </c>
      <c r="BY441" s="547" t="s">
        <v>621</v>
      </c>
      <c r="BZ441" s="547" t="str">
        <f>IF($G441="","",IF(AND($G441&gt;=30,$AT$3&lt;=BY$7),ROUND(BY441*($AP$3+#REF!),-1),""))</f>
        <v/>
      </c>
      <c r="CA441" s="547" t="s">
        <v>621</v>
      </c>
      <c r="CB441" s="547" t="str">
        <f>IF($G441="","",IF(AND($G441&gt;=30,$AT$3&lt;=CA$7),ROUND(CA441*($AP$3+#REF!),-1),""))</f>
        <v/>
      </c>
      <c r="CC441" s="547" t="s">
        <v>621</v>
      </c>
      <c r="CD441" s="547" t="str">
        <f>IF($G441="","",IF(AND($G441&gt;=30,$AT$3&lt;=CC$7),ROUND(CC441*($AP$3+#REF!),-1),""))</f>
        <v/>
      </c>
      <c r="CE441" s="547" t="s">
        <v>621</v>
      </c>
      <c r="CF441" s="547" t="str">
        <f>IF($G441="","",IF(AND($G441&gt;=30,$AT$3&lt;=CE$7),ROUND(CE441*($AP$3+#REF!),-1),""))</f>
        <v/>
      </c>
      <c r="CG441" s="547" t="s">
        <v>621</v>
      </c>
      <c r="CH441" s="547" t="str">
        <f>IF($G441="","",IF(AND($G441&gt;=30,$AT$3&lt;=CG$7),ROUND(CG441*($AP$3+#REF!),-1),""))</f>
        <v/>
      </c>
      <c r="CI441" s="547" t="s">
        <v>621</v>
      </c>
      <c r="CJ441" s="547" t="str">
        <f>IF($G441="","",IF(AND($G441&gt;=30,$AT$3&lt;=CI$7),ROUND(CI441*($AP$3+#REF!),-1),""))</f>
        <v/>
      </c>
      <c r="CK441" s="547" t="s">
        <v>621</v>
      </c>
      <c r="CL441" s="547" t="str">
        <f>IF($G441="","",IF(AND($G441&gt;=30,$AT$3&lt;=CK$7),ROUND(CK441*($AP$3+#REF!),-1),""))</f>
        <v/>
      </c>
      <c r="CM441" s="547" t="s">
        <v>621</v>
      </c>
      <c r="CN441" s="547" t="str">
        <f>IF($G441="","",IF(AND($G441&gt;=30,$AT$3&lt;=CM$7),ROUND(CM441*($AP$3+#REF!),-1),""))</f>
        <v/>
      </c>
      <c r="CO441" s="547" t="s">
        <v>621</v>
      </c>
      <c r="CP441" s="547" t="str">
        <f>IF($G441="","",IF(AND($G441&gt;=30,$AT$3&lt;=CO$7),ROUND(CO441*($AP$3+#REF!),-1),""))</f>
        <v/>
      </c>
      <c r="CQ441" s="547" t="s">
        <v>621</v>
      </c>
      <c r="CR441" s="547" t="str">
        <f>IF($G441="","",IF(AND($G441&gt;=30,$AT$3&lt;=CQ$7),ROUND(CQ441*($AP$3+#REF!),-1),""))</f>
        <v/>
      </c>
      <c r="CS441" s="547" t="s">
        <v>621</v>
      </c>
      <c r="CT441" s="547" t="str">
        <f>IF($G441="","",IF(AND($G441&gt;=30,$AT$3&lt;=CS$7),ROUND(CS441*($AP$3+#REF!),-1),""))</f>
        <v/>
      </c>
      <c r="CU441" s="547" t="s">
        <v>621</v>
      </c>
      <c r="CV441" s="547" t="str">
        <f>IF($G441="","",IF(AND($G441&gt;=30,$AT$3&lt;=CU$7),ROUND(CU441*($AP$3+#REF!),-1),""))</f>
        <v/>
      </c>
      <c r="CW441" s="547" t="s">
        <v>621</v>
      </c>
      <c r="CX441" s="547" t="str">
        <f>IF($G441="","",IF(AND($G441&gt;=30,$AT$3&lt;=CW$7),ROUND(CW441*($AP$3+#REF!),-1),""))</f>
        <v/>
      </c>
      <c r="CY441" s="547" t="s">
        <v>621</v>
      </c>
      <c r="CZ441" s="547" t="str">
        <f>IF($G441="","",IF(AND($G441&gt;=30,$AT$3&lt;=CY$7),ROUND(CY441*($AP$3+#REF!),-1),""))</f>
        <v/>
      </c>
      <c r="DA441" s="533" t="e">
        <v>#REF!</v>
      </c>
      <c r="DB441" s="547" t="str">
        <f>IF($G441="","",IF(AND($G441&gt;=30,$AT$3&lt;=DA$7),ROUND(DA441*($AP$3+#REF!),-1),""))</f>
        <v/>
      </c>
      <c r="DC441" s="547"/>
      <c r="DD441" s="547" t="str">
        <f>IF($G441="","",IF(AND($G441&gt;=30,$AT$3&lt;=DC$7),ROUND(DC441*($AP$3+#REF!),-1),""))</f>
        <v/>
      </c>
      <c r="DE441" s="547"/>
      <c r="DF441" s="547" t="str">
        <f>IF($G441="","",IF(AND($G441&gt;=30,$AT$3&lt;=DE$7),ROUND(DE441*($AP$3+#REF!),-1),""))</f>
        <v/>
      </c>
      <c r="DG441" s="547"/>
      <c r="DH441" s="547" t="str">
        <f>IF($G441="","",IF(AND($G441&gt;=30,$AT$3&lt;=DG$7),ROUND(DG441*($AP$3+#REF!),-1),""))</f>
        <v/>
      </c>
      <c r="DI441" s="547"/>
      <c r="DJ441" s="547" t="str">
        <f>IF($G441="","",IF(AND($G441&gt;=30,$AT$3&lt;=DI$7),ROUND(DI441*($AP$3+#REF!),-1),""))</f>
        <v/>
      </c>
      <c r="DK441" s="547"/>
      <c r="DL441" s="547" t="str">
        <f>IF($G441="","",IF(AND($G441&gt;=30,$AT$3&lt;=DK$7),ROUND(DK441*($AP$3+#REF!),-1),""))</f>
        <v/>
      </c>
      <c r="DM441" s="547"/>
      <c r="DN441" s="547" t="str">
        <f>IF($G441="","",IF(AND($G441&gt;=30,$AT$3&lt;=DM$7),ROUND(DM441*($AP$3+#REF!),-1),""))</f>
        <v/>
      </c>
      <c r="DO441" s="547"/>
      <c r="DP441" s="547" t="str">
        <f>IF($G441="","",IF(AND($G441&gt;=30,$AT$3&lt;=DO$7),ROUND(DO441*($AP$3+#REF!),-1),""))</f>
        <v/>
      </c>
      <c r="DQ441" s="547"/>
      <c r="DR441" s="547" t="str">
        <f>IF($G441="","",IF(AND($G441&gt;=30,$AT$3&lt;=DQ$7),ROUND(DQ441*($AP$3+#REF!),-1),""))</f>
        <v/>
      </c>
      <c r="DS441" s="547"/>
      <c r="DT441" s="547" t="str">
        <f>IF($G441="","",IF(AND($G441&gt;=30,$AT$3&lt;=DS$7),ROUND(DS441*($AP$3+#REF!),-1),""))</f>
        <v/>
      </c>
      <c r="DU441" s="547"/>
      <c r="DV441" s="547" t="str">
        <f>IF($G441="","",IF(AND($G441&gt;=30,$AT$3&lt;=DU$7),ROUND(DU441*($AP$3+#REF!),-1),""))</f>
        <v/>
      </c>
      <c r="DW441" s="547"/>
      <c r="DX441" s="547" t="str">
        <f>IF($G441="","",IF(AND($G441&gt;=30,$AT$3&lt;=DW$7),ROUND(DW441*($AP$3+#REF!),-1),""))</f>
        <v/>
      </c>
      <c r="DY441" s="547"/>
      <c r="DZ441" s="547" t="str">
        <f>IF($G441="","",IF(AND($G441&gt;=30,$AT$3&lt;=DY$7),ROUND(DY441*($AP$3+#REF!),-1),""))</f>
        <v/>
      </c>
      <c r="EA441" s="547"/>
      <c r="EB441" s="547" t="str">
        <f>IF($G441="","",IF(AND($G441&gt;=30,$AT$3&lt;=EA$7),ROUND(EA441*($AP$3+#REF!),-1),""))</f>
        <v/>
      </c>
      <c r="EC441" s="547" t="s">
        <v>621</v>
      </c>
      <c r="ED441" s="1123">
        <f>SUM(EC441:EC452)</f>
        <v>0</v>
      </c>
      <c r="EE441" s="325">
        <v>1</v>
      </c>
    </row>
    <row r="442" spans="1:135" ht="9.75" customHeight="1">
      <c r="A442" s="321" t="str">
        <f t="shared" ref="A442:A505" si="110">G442</f>
        <v/>
      </c>
      <c r="B442" s="567">
        <f>(ii!$D$13*12+V442)+1</f>
        <v>336</v>
      </c>
      <c r="C442" s="337">
        <f t="shared" si="100"/>
        <v>55578</v>
      </c>
      <c r="D442" s="484">
        <f t="shared" si="103"/>
        <v>2052</v>
      </c>
      <c r="E442" s="484">
        <f t="shared" si="101"/>
        <v>0.16666666666666666</v>
      </c>
      <c r="F442" s="484">
        <f t="shared" si="104"/>
        <v>2052.1666666666665</v>
      </c>
      <c r="G442" s="485" t="str">
        <f>IF(OR(C442&lt;$I$2,C442&gt;$J$3),"",(ii!$D$13*12+V442+1)/12)</f>
        <v/>
      </c>
      <c r="H442" s="486"/>
      <c r="I442" s="486"/>
      <c r="J442" s="487"/>
      <c r="K442" s="488"/>
      <c r="L442" s="548"/>
      <c r="M442" s="489" t="str">
        <f t="shared" si="105"/>
        <v/>
      </c>
      <c r="N442" s="490" t="s">
        <v>621</v>
      </c>
      <c r="O442" s="490" t="str">
        <f t="shared" si="98"/>
        <v/>
      </c>
      <c r="P442" s="491"/>
      <c r="Q442" s="491"/>
      <c r="R442" s="491" t="str">
        <f t="shared" si="99"/>
        <v/>
      </c>
      <c r="S442" s="528" t="str">
        <f t="shared" si="97"/>
        <v/>
      </c>
      <c r="T442" s="528" t="str">
        <f t="shared" si="109"/>
        <v/>
      </c>
      <c r="U442" s="493" t="str">
        <f>IF(H442="","",#REF!*12+#REF!+#REF!*12+#REF!)</f>
        <v/>
      </c>
      <c r="V442" s="338">
        <f>IF(ii!$J$3&gt;gg!C442,"",IF(AND((YEAR(C442)=YEAR($I$2)),MONTH(C442)=MONTH($I$2)),ii!$B$14*12+ii!$C$14+ii!$B$15*12+ii!$C$15-1,V441+1))</f>
        <v>335</v>
      </c>
      <c r="W442" s="339">
        <f t="shared" si="102"/>
        <v>27.916666666666668</v>
      </c>
      <c r="X442" s="494" t="s">
        <v>621</v>
      </c>
      <c r="Y442" s="495" t="s">
        <v>621</v>
      </c>
      <c r="Z442" s="496"/>
      <c r="AA442" s="497"/>
      <c r="AB442" s="498" t="e">
        <f t="shared" si="108"/>
        <v>#VALUE!</v>
      </c>
      <c r="AC442" s="484" t="str">
        <f t="shared" si="106"/>
        <v/>
      </c>
      <c r="AD442" s="495" t="str">
        <f t="shared" si="107"/>
        <v/>
      </c>
      <c r="AE442" s="499" t="s">
        <v>621</v>
      </c>
      <c r="AF442" s="500" t="s">
        <v>621</v>
      </c>
      <c r="AG442" s="556" t="s">
        <v>621</v>
      </c>
      <c r="AH442" s="503" t="str">
        <f>IF($G442="","",IF(AND($G442&gt;=30,$AT$3&lt;=AG$7),ROUND(AG442*($AP$3+#REF!),-1),""))</f>
        <v/>
      </c>
      <c r="AI442" s="506" t="s">
        <v>621</v>
      </c>
      <c r="AJ442" s="503" t="str">
        <f>IF($G442="","",IF(AND($G442&gt;=30,$AT$3&lt;=AI$7),ROUND(AI442*($AP$3+#REF!),-1),""))</f>
        <v/>
      </c>
      <c r="AK442" s="506" t="s">
        <v>621</v>
      </c>
      <c r="AL442" s="503" t="str">
        <f>IF($G442="","",IF(AND($G442&gt;=30,$AT$3&lt;=AK$7),ROUND(AK442*($AP$3+#REF!),-1),""))</f>
        <v/>
      </c>
      <c r="AM442" s="506" t="s">
        <v>621</v>
      </c>
      <c r="AN442" s="503" t="str">
        <f>IF($G442="","",IF(AND($G442&gt;=30,$AT$3&lt;=AM$7),ROUND(AM442*($AP$3+#REF!),-1),""))</f>
        <v/>
      </c>
      <c r="AO442" s="503" t="e">
        <f>IF(AO441="","",AO441*1.001)</f>
        <v>#REF!</v>
      </c>
      <c r="AP442" s="503" t="str">
        <f>IF($G442="","",IF(AND($G442&gt;=30,$AT$3&lt;=AO$7),ROUND(AO442*($AP$3+#REF!),-1),""))</f>
        <v/>
      </c>
      <c r="AQ442" s="503" t="s">
        <v>621</v>
      </c>
      <c r="AR442" s="503" t="str">
        <f>IF($G442="","",IF(AND($G442&gt;=30,$AT$3&lt;=AQ$7),ROUND(AQ442*($AP$3+#REF!),-1),""))</f>
        <v/>
      </c>
      <c r="AS442" s="503" t="s">
        <v>621</v>
      </c>
      <c r="AT442" s="503" t="str">
        <f>IF($G442="","",IF(AND($G442&gt;=30,$AT$3&lt;=AS$7),ROUND(AS442*($AP$3+#REF!),-1),""))</f>
        <v/>
      </c>
      <c r="AU442" s="503" t="s">
        <v>621</v>
      </c>
      <c r="AV442" s="503" t="str">
        <f>IF($G442="","",IF(AND($G442&gt;=30,$AT$3&lt;=AU$7),ROUND(AU442*($AP$3+#REF!),-1),""))</f>
        <v/>
      </c>
      <c r="AW442" s="503" t="s">
        <v>621</v>
      </c>
      <c r="AX442" s="503" t="str">
        <f>IF($G442="","",IF(AND($G442&gt;=30,$AT$3&lt;=AW$7),ROUND(AW442*($AP$3+#REF!),-1),""))</f>
        <v/>
      </c>
      <c r="AY442" s="503" t="s">
        <v>621</v>
      </c>
      <c r="AZ442" s="503" t="str">
        <f>IF($G442="","",IF(AND($G442&gt;=30,$AT$3&lt;=AY$7),ROUND(AY442*($AP$3+#REF!),-1),""))</f>
        <v/>
      </c>
      <c r="BA442" s="503" t="s">
        <v>621</v>
      </c>
      <c r="BB442" s="503" t="str">
        <f>IF($G442="","",IF(AND($G442&gt;=30,$AT$3&lt;=BA$7),ROUND(BA442*($AP$3+#REF!),-1),""))</f>
        <v/>
      </c>
      <c r="BC442" s="503" t="s">
        <v>621</v>
      </c>
      <c r="BD442" s="503" t="str">
        <f>IF($G442="","",IF(AND($G442&gt;=30,$AT$3&lt;=BC$7),ROUND(BC442*($AP$3+#REF!),-1),""))</f>
        <v/>
      </c>
      <c r="BE442" s="503" t="s">
        <v>621</v>
      </c>
      <c r="BF442" s="503" t="str">
        <f>IF($G442="","",IF(AND($G442&gt;=30,$AT$3&lt;=BE$7),ROUND(BE442*($AP$3+#REF!),-1),""))</f>
        <v/>
      </c>
      <c r="BG442" s="503" t="s">
        <v>621</v>
      </c>
      <c r="BH442" s="503" t="str">
        <f>IF($G442="","",IF(AND($G442&gt;=30,$AT$3&lt;=BG$7),ROUND(BG442*($AP$3+#REF!),-1),""))</f>
        <v/>
      </c>
      <c r="BI442" s="503" t="s">
        <v>621</v>
      </c>
      <c r="BJ442" s="503" t="str">
        <f>IF($G442="","",IF(AND($G442&gt;=30,$AT$3&lt;=BI$7),ROUND(BI442*($AP$3+#REF!),-1),""))</f>
        <v/>
      </c>
      <c r="BK442" s="503" t="s">
        <v>621</v>
      </c>
      <c r="BL442" s="503" t="str">
        <f>IF($G442="","",IF(AND($G442&gt;=30,$AT$3&lt;=BK$7),ROUND(BK442*($AP$3+#REF!),-1),""))</f>
        <v/>
      </c>
      <c r="BM442" s="503" t="s">
        <v>621</v>
      </c>
      <c r="BN442" s="503" t="str">
        <f>IF($G442="","",IF(AND($G442&gt;=30,$AT$3&lt;=BM$7),ROUND(BM442*($AP$3+#REF!),-1),""))</f>
        <v/>
      </c>
      <c r="BO442" s="503" t="s">
        <v>621</v>
      </c>
      <c r="BP442" s="503" t="str">
        <f>IF($G442="","",IF(AND($G442&gt;=30,$AT$3&lt;=BO$7),ROUND(BO442*($AP$3+#REF!),-1),""))</f>
        <v/>
      </c>
      <c r="BQ442" s="503" t="s">
        <v>621</v>
      </c>
      <c r="BR442" s="503" t="str">
        <f>IF($G442="","",IF(AND($G442&gt;=30,$AT$3&lt;=BQ$7),ROUND(BQ442*($AP$3+#REF!),-1),""))</f>
        <v/>
      </c>
      <c r="BS442" s="503" t="s">
        <v>621</v>
      </c>
      <c r="BT442" s="503" t="str">
        <f>IF($G442="","",IF(AND($G442&gt;=30,$AT$3&lt;=BS$7),ROUND(BS442*($AP$3+#REF!),-1),""))</f>
        <v/>
      </c>
      <c r="BU442" s="503" t="s">
        <v>621</v>
      </c>
      <c r="BV442" s="503" t="str">
        <f>IF($G442="","",IF(AND($G442&gt;=30,$AT$3&lt;=BU$7),ROUND(BU442*($AP$3+#REF!),-1),""))</f>
        <v/>
      </c>
      <c r="BW442" s="503" t="s">
        <v>621</v>
      </c>
      <c r="BX442" s="503" t="str">
        <f>IF($G442="","",IF(AND($G442&gt;=30,$AT$3&lt;=BW$7),ROUND(BW442*($AP$3+#REF!),-1),""))</f>
        <v/>
      </c>
      <c r="BY442" s="503" t="s">
        <v>621</v>
      </c>
      <c r="BZ442" s="503" t="str">
        <f>IF($G442="","",IF(AND($G442&gt;=30,$AT$3&lt;=BY$7),ROUND(BY442*($AP$3+#REF!),-1),""))</f>
        <v/>
      </c>
      <c r="CA442" s="503" t="s">
        <v>621</v>
      </c>
      <c r="CB442" s="503" t="str">
        <f>IF($G442="","",IF(AND($G442&gt;=30,$AT$3&lt;=CA$7),ROUND(CA442*($AP$3+#REF!),-1),""))</f>
        <v/>
      </c>
      <c r="CC442" s="503" t="s">
        <v>621</v>
      </c>
      <c r="CD442" s="503" t="str">
        <f>IF($G442="","",IF(AND($G442&gt;=30,$AT$3&lt;=CC$7),ROUND(CC442*($AP$3+#REF!),-1),""))</f>
        <v/>
      </c>
      <c r="CE442" s="503" t="s">
        <v>621</v>
      </c>
      <c r="CF442" s="503" t="str">
        <f>IF($G442="","",IF(AND($G442&gt;=30,$AT$3&lt;=CE$7),ROUND(CE442*($AP$3+#REF!),-1),""))</f>
        <v/>
      </c>
      <c r="CG442" s="503" t="s">
        <v>621</v>
      </c>
      <c r="CH442" s="503" t="str">
        <f>IF($G442="","",IF(AND($G442&gt;=30,$AT$3&lt;=CG$7),ROUND(CG442*($AP$3+#REF!),-1),""))</f>
        <v/>
      </c>
      <c r="CI442" s="503" t="s">
        <v>621</v>
      </c>
      <c r="CJ442" s="503" t="str">
        <f>IF($G442="","",IF(AND($G442&gt;=30,$AT$3&lt;=CI$7),ROUND(CI442*($AP$3+#REF!),-1),""))</f>
        <v/>
      </c>
      <c r="CK442" s="503" t="s">
        <v>621</v>
      </c>
      <c r="CL442" s="503" t="str">
        <f>IF($G442="","",IF(AND($G442&gt;=30,$AT$3&lt;=CK$7),ROUND(CK442*($AP$3+#REF!),-1),""))</f>
        <v/>
      </c>
      <c r="CM442" s="503" t="s">
        <v>621</v>
      </c>
      <c r="CN442" s="503" t="str">
        <f>IF($G442="","",IF(AND($G442&gt;=30,$AT$3&lt;=CM$7),ROUND(CM442*($AP$3+#REF!),-1),""))</f>
        <v/>
      </c>
      <c r="CO442" s="503" t="s">
        <v>621</v>
      </c>
      <c r="CP442" s="503" t="str">
        <f>IF($G442="","",IF(AND($G442&gt;=30,$AT$3&lt;=CO$7),ROUND(CO442*($AP$3+#REF!),-1),""))</f>
        <v/>
      </c>
      <c r="CQ442" s="503" t="s">
        <v>621</v>
      </c>
      <c r="CR442" s="503" t="str">
        <f>IF($G442="","",IF(AND($G442&gt;=30,$AT$3&lt;=CQ$7),ROUND(CQ442*($AP$3+#REF!),-1),""))</f>
        <v/>
      </c>
      <c r="CS442" s="503" t="s">
        <v>621</v>
      </c>
      <c r="CT442" s="503" t="str">
        <f>IF($G442="","",IF(AND($G442&gt;=30,$AT$3&lt;=CS$7),ROUND(CS442*($AP$3+#REF!),-1),""))</f>
        <v/>
      </c>
      <c r="CU442" s="503" t="s">
        <v>621</v>
      </c>
      <c r="CV442" s="503" t="str">
        <f>IF($G442="","",IF(AND($G442&gt;=30,$AT$3&lt;=CU$7),ROUND(CU442*($AP$3+#REF!),-1),""))</f>
        <v/>
      </c>
      <c r="CW442" s="503" t="s">
        <v>621</v>
      </c>
      <c r="CX442" s="503" t="str">
        <f>IF($G442="","",IF(AND($G442&gt;=30,$AT$3&lt;=CW$7),ROUND(CW442*($AP$3+#REF!),-1),""))</f>
        <v/>
      </c>
      <c r="CY442" s="503" t="s">
        <v>621</v>
      </c>
      <c r="CZ442" s="503" t="str">
        <f>IF($G442="","",IF(AND($G442&gt;=30,$AT$3&lt;=CY$7),ROUND(CY442*($AP$3+#REF!),-1),""))</f>
        <v/>
      </c>
      <c r="DA442" s="517" t="e">
        <v>#REF!</v>
      </c>
      <c r="DB442" s="503" t="str">
        <f>IF($G442="","",IF(AND($G442&gt;=30,$AT$3&lt;=DA$7),ROUND(DA442*($AP$3+#REF!),-1),""))</f>
        <v/>
      </c>
      <c r="DC442" s="517"/>
      <c r="DD442" s="503" t="str">
        <f>IF($G442="","",IF(AND($G442&gt;=30,$AT$3&lt;=DC$7),ROUND(DC442*($AP$3+#REF!),-1),""))</f>
        <v/>
      </c>
      <c r="DE442" s="517"/>
      <c r="DF442" s="503" t="str">
        <f>IF($G442="","",IF(AND($G442&gt;=30,$AT$3&lt;=DE$7),ROUND(DE442*($AP$3+#REF!),-1),""))</f>
        <v/>
      </c>
      <c r="DG442" s="517"/>
      <c r="DH442" s="503" t="str">
        <f>IF($G442="","",IF(AND($G442&gt;=30,$AT$3&lt;=DG$7),ROUND(DG442*($AP$3+#REF!),-1),""))</f>
        <v/>
      </c>
      <c r="DI442" s="517"/>
      <c r="DJ442" s="503" t="str">
        <f>IF($G442="","",IF(AND($G442&gt;=30,$AT$3&lt;=DI$7),ROUND(DI442*($AP$3+#REF!),-1),""))</f>
        <v/>
      </c>
      <c r="DK442" s="517"/>
      <c r="DL442" s="503" t="str">
        <f>IF($G442="","",IF(AND($G442&gt;=30,$AT$3&lt;=DK$7),ROUND(DK442*($AP$3+#REF!),-1),""))</f>
        <v/>
      </c>
      <c r="DM442" s="517"/>
      <c r="DN442" s="503" t="str">
        <f>IF($G442="","",IF(AND($G442&gt;=30,$AT$3&lt;=DM$7),ROUND(DM442*($AP$3+#REF!),-1),""))</f>
        <v/>
      </c>
      <c r="DO442" s="517"/>
      <c r="DP442" s="503" t="str">
        <f>IF($G442="","",IF(AND($G442&gt;=30,$AT$3&lt;=DO$7),ROUND(DO442*($AP$3+#REF!),-1),""))</f>
        <v/>
      </c>
      <c r="DQ442" s="517"/>
      <c r="DR442" s="503" t="str">
        <f>IF($G442="","",IF(AND($G442&gt;=30,$AT$3&lt;=DQ$7),ROUND(DQ442*($AP$3+#REF!),-1),""))</f>
        <v/>
      </c>
      <c r="DS442" s="517"/>
      <c r="DT442" s="503" t="str">
        <f>IF($G442="","",IF(AND($G442&gt;=30,$AT$3&lt;=DS$7),ROUND(DS442*($AP$3+#REF!),-1),""))</f>
        <v/>
      </c>
      <c r="DU442" s="517"/>
      <c r="DV442" s="503" t="str">
        <f>IF($G442="","",IF(AND($G442&gt;=30,$AT$3&lt;=DU$7),ROUND(DU442*($AP$3+#REF!),-1),""))</f>
        <v/>
      </c>
      <c r="DW442" s="517"/>
      <c r="DX442" s="503" t="str">
        <f>IF($G442="","",IF(AND($G442&gt;=30,$AT$3&lt;=DW$7),ROUND(DW442*($AP$3+#REF!),-1),""))</f>
        <v/>
      </c>
      <c r="DY442" s="517"/>
      <c r="DZ442" s="503" t="str">
        <f>IF($G442="","",IF(AND($G442&gt;=30,$AT$3&lt;=DY$7),ROUND(DY442*($AP$3+#REF!),-1),""))</f>
        <v/>
      </c>
      <c r="EA442" s="517"/>
      <c r="EB442" s="503" t="str">
        <f>IF($G442="","",IF(AND($G442&gt;=30,$AT$3&lt;=EA$7),ROUND(EA442*($AP$3+#REF!),-1),""))</f>
        <v/>
      </c>
      <c r="EC442" s="504" t="s">
        <v>621</v>
      </c>
      <c r="ED442" s="1124"/>
      <c r="EE442" s="325">
        <v>2</v>
      </c>
    </row>
    <row r="443" spans="1:135" ht="9.75" customHeight="1">
      <c r="A443" s="321" t="str">
        <f t="shared" si="110"/>
        <v/>
      </c>
      <c r="B443" s="567">
        <f>(ii!$D$13*12+V443)+1</f>
        <v>337</v>
      </c>
      <c r="C443" s="337">
        <f t="shared" si="100"/>
        <v>55609</v>
      </c>
      <c r="D443" s="484">
        <f t="shared" si="103"/>
        <v>2052</v>
      </c>
      <c r="E443" s="484">
        <f t="shared" si="101"/>
        <v>0.25</v>
      </c>
      <c r="F443" s="484">
        <f t="shared" si="104"/>
        <v>2052.25</v>
      </c>
      <c r="G443" s="485" t="str">
        <f>IF(OR(C443&lt;$I$2,C443&gt;$J$3),"",(ii!$D$13*12+V443+1)/12)</f>
        <v/>
      </c>
      <c r="H443" s="486"/>
      <c r="I443" s="486"/>
      <c r="J443" s="487"/>
      <c r="K443" s="488"/>
      <c r="L443" s="548"/>
      <c r="M443" s="489" t="str">
        <f t="shared" si="105"/>
        <v/>
      </c>
      <c r="N443" s="490" t="s">
        <v>621</v>
      </c>
      <c r="O443" s="490" t="str">
        <f t="shared" si="98"/>
        <v/>
      </c>
      <c r="P443" s="491"/>
      <c r="Q443" s="491"/>
      <c r="R443" s="491" t="str">
        <f t="shared" si="99"/>
        <v/>
      </c>
      <c r="S443" s="528" t="str">
        <f t="shared" si="97"/>
        <v/>
      </c>
      <c r="T443" s="528" t="str">
        <f t="shared" si="109"/>
        <v/>
      </c>
      <c r="U443" s="493" t="str">
        <f>IF(H443="","",#REF!*12+#REF!+#REF!*12+#REF!)</f>
        <v/>
      </c>
      <c r="V443" s="338">
        <f>IF(ii!$J$3&gt;gg!C443,"",IF(AND((YEAR(C443)=YEAR($I$2)),MONTH(C443)=MONTH($I$2)),ii!$B$14*12+ii!$C$14+ii!$B$15*12+ii!$C$15-1,V442+1))</f>
        <v>336</v>
      </c>
      <c r="W443" s="339">
        <f t="shared" si="102"/>
        <v>28</v>
      </c>
      <c r="X443" s="494" t="s">
        <v>621</v>
      </c>
      <c r="Y443" s="495" t="s">
        <v>621</v>
      </c>
      <c r="Z443" s="496"/>
      <c r="AA443" s="497"/>
      <c r="AB443" s="498" t="e">
        <f t="shared" si="108"/>
        <v>#VALUE!</v>
      </c>
      <c r="AC443" s="484" t="str">
        <f t="shared" si="106"/>
        <v/>
      </c>
      <c r="AD443" s="495" t="str">
        <f t="shared" si="107"/>
        <v/>
      </c>
      <c r="AE443" s="499" t="s">
        <v>621</v>
      </c>
      <c r="AF443" s="500" t="s">
        <v>621</v>
      </c>
      <c r="AG443" s="556" t="s">
        <v>621</v>
      </c>
      <c r="AH443" s="503" t="str">
        <f>IF($G443="","",IF(AND($G443&gt;=30,$AT$3&lt;=AG$7),ROUND(AG443*($AP$3+#REF!),-1),""))</f>
        <v/>
      </c>
      <c r="AI443" s="506" t="s">
        <v>621</v>
      </c>
      <c r="AJ443" s="503" t="str">
        <f>IF($G443="","",IF(AND($G443&gt;=30,$AT$3&lt;=AI$7),ROUND(AI443*($AP$3+#REF!),-1),""))</f>
        <v/>
      </c>
      <c r="AK443" s="506" t="s">
        <v>621</v>
      </c>
      <c r="AL443" s="503" t="str">
        <f>IF($G443="","",IF(AND($G443&gt;=30,$AT$3&lt;=AK$7),ROUND(AK443*($AP$3+#REF!),-1),""))</f>
        <v/>
      </c>
      <c r="AM443" s="506" t="s">
        <v>621</v>
      </c>
      <c r="AN443" s="503" t="str">
        <f>IF($G443="","",IF(AND($G443&gt;=30,$AT$3&lt;=AM$7),ROUND(AM443*($AP$3+#REF!),-1),""))</f>
        <v/>
      </c>
      <c r="AO443" s="503" t="e">
        <v>#REF!</v>
      </c>
      <c r="AP443" s="503" t="str">
        <f>IF($G443="","",IF(AND($G443&gt;=30,$AT$3&lt;=AO$7),ROUND(AO443*($AP$3+#REF!),-1),""))</f>
        <v/>
      </c>
      <c r="AQ443" s="503" t="s">
        <v>621</v>
      </c>
      <c r="AR443" s="503" t="str">
        <f>IF($G443="","",IF(AND($G443&gt;=30,$AT$3&lt;=AQ$7),ROUND(AQ443*($AP$3+#REF!),-1),""))</f>
        <v/>
      </c>
      <c r="AS443" s="503" t="s">
        <v>621</v>
      </c>
      <c r="AT443" s="503" t="str">
        <f>IF($G443="","",IF(AND($G443&gt;=30,$AT$3&lt;=AS$7),ROUND(AS443*($AP$3+#REF!),-1),""))</f>
        <v/>
      </c>
      <c r="AU443" s="503" t="s">
        <v>621</v>
      </c>
      <c r="AV443" s="503" t="str">
        <f>IF($G443="","",IF(AND($G443&gt;=30,$AT$3&lt;=AU$7),ROUND(AU443*($AP$3+#REF!),-1),""))</f>
        <v/>
      </c>
      <c r="AW443" s="503" t="s">
        <v>621</v>
      </c>
      <c r="AX443" s="503" t="str">
        <f>IF($G443="","",IF(AND($G443&gt;=30,$AT$3&lt;=AW$7),ROUND(AW443*($AP$3+#REF!),-1),""))</f>
        <v/>
      </c>
      <c r="AY443" s="503" t="s">
        <v>621</v>
      </c>
      <c r="AZ443" s="503" t="str">
        <f>IF($G443="","",IF(AND($G443&gt;=30,$AT$3&lt;=AY$7),ROUND(AY443*($AP$3+#REF!),-1),""))</f>
        <v/>
      </c>
      <c r="BA443" s="503" t="s">
        <v>621</v>
      </c>
      <c r="BB443" s="503" t="str">
        <f>IF($G443="","",IF(AND($G443&gt;=30,$AT$3&lt;=BA$7),ROUND(BA443*($AP$3+#REF!),-1),""))</f>
        <v/>
      </c>
      <c r="BC443" s="503" t="s">
        <v>621</v>
      </c>
      <c r="BD443" s="503" t="str">
        <f>IF($G443="","",IF(AND($G443&gt;=30,$AT$3&lt;=BC$7),ROUND(BC443*($AP$3+#REF!),-1),""))</f>
        <v/>
      </c>
      <c r="BE443" s="503" t="s">
        <v>621</v>
      </c>
      <c r="BF443" s="503" t="str">
        <f>IF($G443="","",IF(AND($G443&gt;=30,$AT$3&lt;=BE$7),ROUND(BE443*($AP$3+#REF!),-1),""))</f>
        <v/>
      </c>
      <c r="BG443" s="503" t="s">
        <v>621</v>
      </c>
      <c r="BH443" s="503" t="str">
        <f>IF($G443="","",IF(AND($G443&gt;=30,$AT$3&lt;=BG$7),ROUND(BG443*($AP$3+#REF!),-1),""))</f>
        <v/>
      </c>
      <c r="BI443" s="503" t="s">
        <v>621</v>
      </c>
      <c r="BJ443" s="503" t="str">
        <f>IF($G443="","",IF(AND($G443&gt;=30,$AT$3&lt;=BI$7),ROUND(BI443*($AP$3+#REF!),-1),""))</f>
        <v/>
      </c>
      <c r="BK443" s="503" t="s">
        <v>621</v>
      </c>
      <c r="BL443" s="503" t="str">
        <f>IF($G443="","",IF(AND($G443&gt;=30,$AT$3&lt;=BK$7),ROUND(BK443*($AP$3+#REF!),-1),""))</f>
        <v/>
      </c>
      <c r="BM443" s="503" t="s">
        <v>621</v>
      </c>
      <c r="BN443" s="503" t="str">
        <f>IF($G443="","",IF(AND($G443&gt;=30,$AT$3&lt;=BM$7),ROUND(BM443*($AP$3+#REF!),-1),""))</f>
        <v/>
      </c>
      <c r="BO443" s="503" t="s">
        <v>621</v>
      </c>
      <c r="BP443" s="503" t="str">
        <f>IF($G443="","",IF(AND($G443&gt;=30,$AT$3&lt;=BO$7),ROUND(BO443*($AP$3+#REF!),-1),""))</f>
        <v/>
      </c>
      <c r="BQ443" s="503" t="s">
        <v>621</v>
      </c>
      <c r="BR443" s="503" t="str">
        <f>IF($G443="","",IF(AND($G443&gt;=30,$AT$3&lt;=BQ$7),ROUND(BQ443*($AP$3+#REF!),-1),""))</f>
        <v/>
      </c>
      <c r="BS443" s="503" t="s">
        <v>621</v>
      </c>
      <c r="BT443" s="503" t="str">
        <f>IF($G443="","",IF(AND($G443&gt;=30,$AT$3&lt;=BS$7),ROUND(BS443*($AP$3+#REF!),-1),""))</f>
        <v/>
      </c>
      <c r="BU443" s="503" t="s">
        <v>621</v>
      </c>
      <c r="BV443" s="503" t="str">
        <f>IF($G443="","",IF(AND($G443&gt;=30,$AT$3&lt;=BU$7),ROUND(BU443*($AP$3+#REF!),-1),""))</f>
        <v/>
      </c>
      <c r="BW443" s="503" t="s">
        <v>621</v>
      </c>
      <c r="BX443" s="503" t="str">
        <f>IF($G443="","",IF(AND($G443&gt;=30,$AT$3&lt;=BW$7),ROUND(BW443*($AP$3+#REF!),-1),""))</f>
        <v/>
      </c>
      <c r="BY443" s="503" t="s">
        <v>621</v>
      </c>
      <c r="BZ443" s="503" t="str">
        <f>IF($G443="","",IF(AND($G443&gt;=30,$AT$3&lt;=BY$7),ROUND(BY443*($AP$3+#REF!),-1),""))</f>
        <v/>
      </c>
      <c r="CA443" s="503" t="s">
        <v>621</v>
      </c>
      <c r="CB443" s="503" t="str">
        <f>IF($G443="","",IF(AND($G443&gt;=30,$AT$3&lt;=CA$7),ROUND(CA443*($AP$3+#REF!),-1),""))</f>
        <v/>
      </c>
      <c r="CC443" s="503" t="s">
        <v>621</v>
      </c>
      <c r="CD443" s="503" t="str">
        <f>IF($G443="","",IF(AND($G443&gt;=30,$AT$3&lt;=CC$7),ROUND(CC443*($AP$3+#REF!),-1),""))</f>
        <v/>
      </c>
      <c r="CE443" s="503" t="s">
        <v>621</v>
      </c>
      <c r="CF443" s="503" t="str">
        <f>IF($G443="","",IF(AND($G443&gt;=30,$AT$3&lt;=CE$7),ROUND(CE443*($AP$3+#REF!),-1),""))</f>
        <v/>
      </c>
      <c r="CG443" s="503" t="s">
        <v>621</v>
      </c>
      <c r="CH443" s="503" t="str">
        <f>IF($G443="","",IF(AND($G443&gt;=30,$AT$3&lt;=CG$7),ROUND(CG443*($AP$3+#REF!),-1),""))</f>
        <v/>
      </c>
      <c r="CI443" s="503" t="s">
        <v>621</v>
      </c>
      <c r="CJ443" s="503" t="str">
        <f>IF($G443="","",IF(AND($G443&gt;=30,$AT$3&lt;=CI$7),ROUND(CI443*($AP$3+#REF!),-1),""))</f>
        <v/>
      </c>
      <c r="CK443" s="503" t="s">
        <v>621</v>
      </c>
      <c r="CL443" s="503" t="str">
        <f>IF($G443="","",IF(AND($G443&gt;=30,$AT$3&lt;=CK$7),ROUND(CK443*($AP$3+#REF!),-1),""))</f>
        <v/>
      </c>
      <c r="CM443" s="503" t="s">
        <v>621</v>
      </c>
      <c r="CN443" s="503" t="str">
        <f>IF($G443="","",IF(AND($G443&gt;=30,$AT$3&lt;=CM$7),ROUND(CM443*($AP$3+#REF!),-1),""))</f>
        <v/>
      </c>
      <c r="CO443" s="503" t="s">
        <v>621</v>
      </c>
      <c r="CP443" s="503" t="str">
        <f>IF($G443="","",IF(AND($G443&gt;=30,$AT$3&lt;=CO$7),ROUND(CO443*($AP$3+#REF!),-1),""))</f>
        <v/>
      </c>
      <c r="CQ443" s="503" t="s">
        <v>621</v>
      </c>
      <c r="CR443" s="503" t="str">
        <f>IF($G443="","",IF(AND($G443&gt;=30,$AT$3&lt;=CQ$7),ROUND(CQ443*($AP$3+#REF!),-1),""))</f>
        <v/>
      </c>
      <c r="CS443" s="503" t="s">
        <v>621</v>
      </c>
      <c r="CT443" s="503" t="str">
        <f>IF($G443="","",IF(AND($G443&gt;=30,$AT$3&lt;=CS$7),ROUND(CS443*($AP$3+#REF!),-1),""))</f>
        <v/>
      </c>
      <c r="CU443" s="503" t="s">
        <v>621</v>
      </c>
      <c r="CV443" s="503" t="str">
        <f>IF($G443="","",IF(AND($G443&gt;=30,$AT$3&lt;=CU$7),ROUND(CU443*($AP$3+#REF!),-1),""))</f>
        <v/>
      </c>
      <c r="CW443" s="503" t="s">
        <v>621</v>
      </c>
      <c r="CX443" s="503" t="str">
        <f>IF($G443="","",IF(AND($G443&gt;=30,$AT$3&lt;=CW$7),ROUND(CW443*($AP$3+#REF!),-1),""))</f>
        <v/>
      </c>
      <c r="CY443" s="503" t="s">
        <v>621</v>
      </c>
      <c r="CZ443" s="503" t="str">
        <f>IF($G443="","",IF(AND($G443&gt;=30,$AT$3&lt;=CY$7),ROUND(CY443*($AP$3+#REF!),-1),""))</f>
        <v/>
      </c>
      <c r="DA443" s="517" t="e">
        <v>#REF!</v>
      </c>
      <c r="DB443" s="503" t="str">
        <f>IF($G443="","",IF(AND($G443&gt;=30,$AT$3&lt;=DA$7),ROUND(DA443*($AP$3+#REF!),-1),""))</f>
        <v/>
      </c>
      <c r="DC443" s="517"/>
      <c r="DD443" s="503" t="str">
        <f>IF($G443="","",IF(AND($G443&gt;=30,$AT$3&lt;=DC$7),ROUND(DC443*($AP$3+#REF!),-1),""))</f>
        <v/>
      </c>
      <c r="DE443" s="517"/>
      <c r="DF443" s="503" t="str">
        <f>IF($G443="","",IF(AND($G443&gt;=30,$AT$3&lt;=DE$7),ROUND(DE443*($AP$3+#REF!),-1),""))</f>
        <v/>
      </c>
      <c r="DG443" s="517"/>
      <c r="DH443" s="503" t="str">
        <f>IF($G443="","",IF(AND($G443&gt;=30,$AT$3&lt;=DG$7),ROUND(DG443*($AP$3+#REF!),-1),""))</f>
        <v/>
      </c>
      <c r="DI443" s="517"/>
      <c r="DJ443" s="503" t="str">
        <f>IF($G443="","",IF(AND($G443&gt;=30,$AT$3&lt;=DI$7),ROUND(DI443*($AP$3+#REF!),-1),""))</f>
        <v/>
      </c>
      <c r="DK443" s="517"/>
      <c r="DL443" s="503" t="str">
        <f>IF($G443="","",IF(AND($G443&gt;=30,$AT$3&lt;=DK$7),ROUND(DK443*($AP$3+#REF!),-1),""))</f>
        <v/>
      </c>
      <c r="DM443" s="517"/>
      <c r="DN443" s="503" t="str">
        <f>IF($G443="","",IF(AND($G443&gt;=30,$AT$3&lt;=DM$7),ROUND(DM443*($AP$3+#REF!),-1),""))</f>
        <v/>
      </c>
      <c r="DO443" s="517"/>
      <c r="DP443" s="503" t="str">
        <f>IF($G443="","",IF(AND($G443&gt;=30,$AT$3&lt;=DO$7),ROUND(DO443*($AP$3+#REF!),-1),""))</f>
        <v/>
      </c>
      <c r="DQ443" s="517"/>
      <c r="DR443" s="503" t="str">
        <f>IF($G443="","",IF(AND($G443&gt;=30,$AT$3&lt;=DQ$7),ROUND(DQ443*($AP$3+#REF!),-1),""))</f>
        <v/>
      </c>
      <c r="DS443" s="517"/>
      <c r="DT443" s="503" t="str">
        <f>IF($G443="","",IF(AND($G443&gt;=30,$AT$3&lt;=DS$7),ROUND(DS443*($AP$3+#REF!),-1),""))</f>
        <v/>
      </c>
      <c r="DU443" s="517"/>
      <c r="DV443" s="503" t="str">
        <f>IF($G443="","",IF(AND($G443&gt;=30,$AT$3&lt;=DU$7),ROUND(DU443*($AP$3+#REF!),-1),""))</f>
        <v/>
      </c>
      <c r="DW443" s="517"/>
      <c r="DX443" s="503" t="str">
        <f>IF($G443="","",IF(AND($G443&gt;=30,$AT$3&lt;=DW$7),ROUND(DW443*($AP$3+#REF!),-1),""))</f>
        <v/>
      </c>
      <c r="DY443" s="517"/>
      <c r="DZ443" s="503" t="str">
        <f>IF($G443="","",IF(AND($G443&gt;=30,$AT$3&lt;=DY$7),ROUND(DY443*($AP$3+#REF!),-1),""))</f>
        <v/>
      </c>
      <c r="EA443" s="517"/>
      <c r="EB443" s="503" t="str">
        <f>IF($G443="","",IF(AND($G443&gt;=30,$AT$3&lt;=EA$7),ROUND(EA443*($AP$3+#REF!),-1),""))</f>
        <v/>
      </c>
      <c r="EC443" s="504" t="s">
        <v>621</v>
      </c>
      <c r="ED443" s="1124"/>
      <c r="EE443" s="325">
        <v>3</v>
      </c>
    </row>
    <row r="444" spans="1:135" ht="9.75" customHeight="1">
      <c r="A444" s="321" t="str">
        <f t="shared" si="110"/>
        <v/>
      </c>
      <c r="B444" s="567">
        <f>(ii!$D$13*12+V444)+1</f>
        <v>338</v>
      </c>
      <c r="C444" s="337">
        <f t="shared" si="100"/>
        <v>55639</v>
      </c>
      <c r="D444" s="484">
        <f t="shared" si="103"/>
        <v>2052</v>
      </c>
      <c r="E444" s="484">
        <f t="shared" si="101"/>
        <v>0.33333333333333331</v>
      </c>
      <c r="F444" s="484">
        <f t="shared" si="104"/>
        <v>2052.3333333333335</v>
      </c>
      <c r="G444" s="485" t="str">
        <f>IF(OR(C444&lt;$I$2,C444&gt;$J$3),"",(ii!$D$13*12+V444+1)/12)</f>
        <v/>
      </c>
      <c r="H444" s="486"/>
      <c r="I444" s="486"/>
      <c r="J444" s="487"/>
      <c r="K444" s="488"/>
      <c r="L444" s="548"/>
      <c r="M444" s="489" t="str">
        <f t="shared" si="105"/>
        <v/>
      </c>
      <c r="N444" s="490" t="s">
        <v>621</v>
      </c>
      <c r="O444" s="490" t="str">
        <f t="shared" si="98"/>
        <v/>
      </c>
      <c r="P444" s="491"/>
      <c r="Q444" s="491"/>
      <c r="R444" s="491" t="str">
        <f t="shared" si="99"/>
        <v/>
      </c>
      <c r="S444" s="528" t="str">
        <f t="shared" si="97"/>
        <v/>
      </c>
      <c r="T444" s="528" t="str">
        <f t="shared" si="109"/>
        <v/>
      </c>
      <c r="U444" s="493" t="str">
        <f>IF(H444="","",#REF!*12+#REF!+#REF!*12+#REF!)</f>
        <v/>
      </c>
      <c r="V444" s="338">
        <f>IF(ii!$J$3&gt;gg!C444,"",IF(AND((YEAR(C444)=YEAR($I$2)),MONTH(C444)=MONTH($I$2)),ii!$B$14*12+ii!$C$14+ii!$B$15*12+ii!$C$15-1,V443+1))</f>
        <v>337</v>
      </c>
      <c r="W444" s="339">
        <f t="shared" si="102"/>
        <v>28.083333333333332</v>
      </c>
      <c r="X444" s="494" t="s">
        <v>621</v>
      </c>
      <c r="Y444" s="495" t="s">
        <v>621</v>
      </c>
      <c r="Z444" s="496"/>
      <c r="AA444" s="497"/>
      <c r="AB444" s="498" t="e">
        <f t="shared" si="108"/>
        <v>#VALUE!</v>
      </c>
      <c r="AC444" s="484" t="str">
        <f t="shared" si="106"/>
        <v/>
      </c>
      <c r="AD444" s="495" t="str">
        <f t="shared" si="107"/>
        <v/>
      </c>
      <c r="AE444" s="499" t="s">
        <v>621</v>
      </c>
      <c r="AF444" s="500" t="s">
        <v>621</v>
      </c>
      <c r="AG444" s="556" t="s">
        <v>621</v>
      </c>
      <c r="AH444" s="503" t="str">
        <f>IF($G444="","",IF(AND($G444&gt;=30,$AT$3&lt;=AG$7),ROUND(AG444*($AP$3+#REF!),-1),""))</f>
        <v/>
      </c>
      <c r="AI444" s="506" t="s">
        <v>621</v>
      </c>
      <c r="AJ444" s="503" t="str">
        <f>IF($G444="","",IF(AND($G444&gt;=30,$AT$3&lt;=AI$7),ROUND(AI444*($AP$3+#REF!),-1),""))</f>
        <v/>
      </c>
      <c r="AK444" s="506" t="s">
        <v>621</v>
      </c>
      <c r="AL444" s="503" t="str">
        <f>IF($G444="","",IF(AND($G444&gt;=30,$AT$3&lt;=AK$7),ROUND(AK444*($AP$3+#REF!),-1),""))</f>
        <v/>
      </c>
      <c r="AM444" s="506" t="s">
        <v>621</v>
      </c>
      <c r="AN444" s="503" t="str">
        <f>IF($G444="","",IF(AND($G444&gt;=30,$AT$3&lt;=AM$7),ROUND(AM444*($AP$3+#REF!),-1),""))</f>
        <v/>
      </c>
      <c r="AO444" s="503" t="e">
        <v>#REF!</v>
      </c>
      <c r="AP444" s="503" t="str">
        <f>IF($G444="","",IF(AND($G444&gt;=30,$AT$3&lt;=AO$7),ROUND(AO444*($AP$3+#REF!),-1),""))</f>
        <v/>
      </c>
      <c r="AQ444" s="503" t="s">
        <v>621</v>
      </c>
      <c r="AR444" s="503" t="str">
        <f>IF($G444="","",IF(AND($G444&gt;=30,$AT$3&lt;=AQ$7),ROUND(AQ444*($AP$3+#REF!),-1),""))</f>
        <v/>
      </c>
      <c r="AS444" s="503" t="s">
        <v>621</v>
      </c>
      <c r="AT444" s="503" t="str">
        <f>IF($G444="","",IF(AND($G444&gt;=30,$AT$3&lt;=AS$7),ROUND(AS444*($AP$3+#REF!),-1),""))</f>
        <v/>
      </c>
      <c r="AU444" s="503" t="s">
        <v>621</v>
      </c>
      <c r="AV444" s="503" t="str">
        <f>IF($G444="","",IF(AND($G444&gt;=30,$AT$3&lt;=AU$7),ROUND(AU444*($AP$3+#REF!),-1),""))</f>
        <v/>
      </c>
      <c r="AW444" s="503" t="s">
        <v>621</v>
      </c>
      <c r="AX444" s="503" t="str">
        <f>IF($G444="","",IF(AND($G444&gt;=30,$AT$3&lt;=AW$7),ROUND(AW444*($AP$3+#REF!),-1),""))</f>
        <v/>
      </c>
      <c r="AY444" s="503" t="s">
        <v>621</v>
      </c>
      <c r="AZ444" s="503" t="str">
        <f>IF($G444="","",IF(AND($G444&gt;=30,$AT$3&lt;=AY$7),ROUND(AY444*($AP$3+#REF!),-1),""))</f>
        <v/>
      </c>
      <c r="BA444" s="503" t="s">
        <v>621</v>
      </c>
      <c r="BB444" s="503" t="str">
        <f>IF($G444="","",IF(AND($G444&gt;=30,$AT$3&lt;=BA$7),ROUND(BA444*($AP$3+#REF!),-1),""))</f>
        <v/>
      </c>
      <c r="BC444" s="503" t="s">
        <v>621</v>
      </c>
      <c r="BD444" s="503" t="str">
        <f>IF($G444="","",IF(AND($G444&gt;=30,$AT$3&lt;=BC$7),ROUND(BC444*($AP$3+#REF!),-1),""))</f>
        <v/>
      </c>
      <c r="BE444" s="503" t="s">
        <v>621</v>
      </c>
      <c r="BF444" s="503" t="str">
        <f>IF($G444="","",IF(AND($G444&gt;=30,$AT$3&lt;=BE$7),ROUND(BE444*($AP$3+#REF!),-1),""))</f>
        <v/>
      </c>
      <c r="BG444" s="503" t="s">
        <v>621</v>
      </c>
      <c r="BH444" s="503" t="str">
        <f>IF($G444="","",IF(AND($G444&gt;=30,$AT$3&lt;=BG$7),ROUND(BG444*($AP$3+#REF!),-1),""))</f>
        <v/>
      </c>
      <c r="BI444" s="503" t="s">
        <v>621</v>
      </c>
      <c r="BJ444" s="503" t="str">
        <f>IF($G444="","",IF(AND($G444&gt;=30,$AT$3&lt;=BI$7),ROUND(BI444*($AP$3+#REF!),-1),""))</f>
        <v/>
      </c>
      <c r="BK444" s="503" t="s">
        <v>621</v>
      </c>
      <c r="BL444" s="503" t="str">
        <f>IF($G444="","",IF(AND($G444&gt;=30,$AT$3&lt;=BK$7),ROUND(BK444*($AP$3+#REF!),-1),""))</f>
        <v/>
      </c>
      <c r="BM444" s="503" t="s">
        <v>621</v>
      </c>
      <c r="BN444" s="503" t="str">
        <f>IF($G444="","",IF(AND($G444&gt;=30,$AT$3&lt;=BM$7),ROUND(BM444*($AP$3+#REF!),-1),""))</f>
        <v/>
      </c>
      <c r="BO444" s="503" t="s">
        <v>621</v>
      </c>
      <c r="BP444" s="503" t="str">
        <f>IF($G444="","",IF(AND($G444&gt;=30,$AT$3&lt;=BO$7),ROUND(BO444*($AP$3+#REF!),-1),""))</f>
        <v/>
      </c>
      <c r="BQ444" s="503" t="s">
        <v>621</v>
      </c>
      <c r="BR444" s="503" t="str">
        <f>IF($G444="","",IF(AND($G444&gt;=30,$AT$3&lt;=BQ$7),ROUND(BQ444*($AP$3+#REF!),-1),""))</f>
        <v/>
      </c>
      <c r="BS444" s="503" t="s">
        <v>621</v>
      </c>
      <c r="BT444" s="503" t="str">
        <f>IF($G444="","",IF(AND($G444&gt;=30,$AT$3&lt;=BS$7),ROUND(BS444*($AP$3+#REF!),-1),""))</f>
        <v/>
      </c>
      <c r="BU444" s="503" t="s">
        <v>621</v>
      </c>
      <c r="BV444" s="503" t="str">
        <f>IF($G444="","",IF(AND($G444&gt;=30,$AT$3&lt;=BU$7),ROUND(BU444*($AP$3+#REF!),-1),""))</f>
        <v/>
      </c>
      <c r="BW444" s="503" t="s">
        <v>621</v>
      </c>
      <c r="BX444" s="503" t="str">
        <f>IF($G444="","",IF(AND($G444&gt;=30,$AT$3&lt;=BW$7),ROUND(BW444*($AP$3+#REF!),-1),""))</f>
        <v/>
      </c>
      <c r="BY444" s="503" t="s">
        <v>621</v>
      </c>
      <c r="BZ444" s="503" t="str">
        <f>IF($G444="","",IF(AND($G444&gt;=30,$AT$3&lt;=BY$7),ROUND(BY444*($AP$3+#REF!),-1),""))</f>
        <v/>
      </c>
      <c r="CA444" s="503" t="s">
        <v>621</v>
      </c>
      <c r="CB444" s="503" t="str">
        <f>IF($G444="","",IF(AND($G444&gt;=30,$AT$3&lt;=CA$7),ROUND(CA444*($AP$3+#REF!),-1),""))</f>
        <v/>
      </c>
      <c r="CC444" s="503" t="s">
        <v>621</v>
      </c>
      <c r="CD444" s="503" t="str">
        <f>IF($G444="","",IF(AND($G444&gt;=30,$AT$3&lt;=CC$7),ROUND(CC444*($AP$3+#REF!),-1),""))</f>
        <v/>
      </c>
      <c r="CE444" s="503" t="s">
        <v>621</v>
      </c>
      <c r="CF444" s="503" t="str">
        <f>IF($G444="","",IF(AND($G444&gt;=30,$AT$3&lt;=CE$7),ROUND(CE444*($AP$3+#REF!),-1),""))</f>
        <v/>
      </c>
      <c r="CG444" s="503" t="s">
        <v>621</v>
      </c>
      <c r="CH444" s="503" t="str">
        <f>IF($G444="","",IF(AND($G444&gt;=30,$AT$3&lt;=CG$7),ROUND(CG444*($AP$3+#REF!),-1),""))</f>
        <v/>
      </c>
      <c r="CI444" s="503" t="s">
        <v>621</v>
      </c>
      <c r="CJ444" s="503" t="str">
        <f>IF($G444="","",IF(AND($G444&gt;=30,$AT$3&lt;=CI$7),ROUND(CI444*($AP$3+#REF!),-1),""))</f>
        <v/>
      </c>
      <c r="CK444" s="503" t="s">
        <v>621</v>
      </c>
      <c r="CL444" s="503" t="str">
        <f>IF($G444="","",IF(AND($G444&gt;=30,$AT$3&lt;=CK$7),ROUND(CK444*($AP$3+#REF!),-1),""))</f>
        <v/>
      </c>
      <c r="CM444" s="503" t="s">
        <v>621</v>
      </c>
      <c r="CN444" s="503" t="str">
        <f>IF($G444="","",IF(AND($G444&gt;=30,$AT$3&lt;=CM$7),ROUND(CM444*($AP$3+#REF!),-1),""))</f>
        <v/>
      </c>
      <c r="CO444" s="503" t="s">
        <v>621</v>
      </c>
      <c r="CP444" s="503" t="str">
        <f>IF($G444="","",IF(AND($G444&gt;=30,$AT$3&lt;=CO$7),ROUND(CO444*($AP$3+#REF!),-1),""))</f>
        <v/>
      </c>
      <c r="CQ444" s="503" t="s">
        <v>621</v>
      </c>
      <c r="CR444" s="503" t="str">
        <f>IF($G444="","",IF(AND($G444&gt;=30,$AT$3&lt;=CQ$7),ROUND(CQ444*($AP$3+#REF!),-1),""))</f>
        <v/>
      </c>
      <c r="CS444" s="503" t="s">
        <v>621</v>
      </c>
      <c r="CT444" s="503" t="str">
        <f>IF($G444="","",IF(AND($G444&gt;=30,$AT$3&lt;=CS$7),ROUND(CS444*($AP$3+#REF!),-1),""))</f>
        <v/>
      </c>
      <c r="CU444" s="503" t="s">
        <v>621</v>
      </c>
      <c r="CV444" s="503" t="str">
        <f>IF($G444="","",IF(AND($G444&gt;=30,$AT$3&lt;=CU$7),ROUND(CU444*($AP$3+#REF!),-1),""))</f>
        <v/>
      </c>
      <c r="CW444" s="503" t="s">
        <v>621</v>
      </c>
      <c r="CX444" s="503" t="str">
        <f>IF($G444="","",IF(AND($G444&gt;=30,$AT$3&lt;=CW$7),ROUND(CW444*($AP$3+#REF!),-1),""))</f>
        <v/>
      </c>
      <c r="CY444" s="503" t="s">
        <v>621</v>
      </c>
      <c r="CZ444" s="503" t="str">
        <f>IF($G444="","",IF(AND($G444&gt;=30,$AT$3&lt;=CY$7),ROUND(CY444*($AP$3+#REF!),-1),""))</f>
        <v/>
      </c>
      <c r="DA444" s="517" t="e">
        <v>#REF!</v>
      </c>
      <c r="DB444" s="503" t="str">
        <f>IF($G444="","",IF(AND($G444&gt;=30,$AT$3&lt;=DA$7),ROUND(DA444*($AP$3+#REF!),-1),""))</f>
        <v/>
      </c>
      <c r="DC444" s="517"/>
      <c r="DD444" s="503" t="str">
        <f>IF($G444="","",IF(AND($G444&gt;=30,$AT$3&lt;=DC$7),ROUND(DC444*($AP$3+#REF!),-1),""))</f>
        <v/>
      </c>
      <c r="DE444" s="517"/>
      <c r="DF444" s="503" t="str">
        <f>IF($G444="","",IF(AND($G444&gt;=30,$AT$3&lt;=DE$7),ROUND(DE444*($AP$3+#REF!),-1),""))</f>
        <v/>
      </c>
      <c r="DG444" s="517"/>
      <c r="DH444" s="503" t="str">
        <f>IF($G444="","",IF(AND($G444&gt;=30,$AT$3&lt;=DG$7),ROUND(DG444*($AP$3+#REF!),-1),""))</f>
        <v/>
      </c>
      <c r="DI444" s="517"/>
      <c r="DJ444" s="503" t="str">
        <f>IF($G444="","",IF(AND($G444&gt;=30,$AT$3&lt;=DI$7),ROUND(DI444*($AP$3+#REF!),-1),""))</f>
        <v/>
      </c>
      <c r="DK444" s="517"/>
      <c r="DL444" s="503" t="str">
        <f>IF($G444="","",IF(AND($G444&gt;=30,$AT$3&lt;=DK$7),ROUND(DK444*($AP$3+#REF!),-1),""))</f>
        <v/>
      </c>
      <c r="DM444" s="517"/>
      <c r="DN444" s="503" t="str">
        <f>IF($G444="","",IF(AND($G444&gt;=30,$AT$3&lt;=DM$7),ROUND(DM444*($AP$3+#REF!),-1),""))</f>
        <v/>
      </c>
      <c r="DO444" s="517"/>
      <c r="DP444" s="503" t="str">
        <f>IF($G444="","",IF(AND($G444&gt;=30,$AT$3&lt;=DO$7),ROUND(DO444*($AP$3+#REF!),-1),""))</f>
        <v/>
      </c>
      <c r="DQ444" s="517"/>
      <c r="DR444" s="503" t="str">
        <f>IF($G444="","",IF(AND($G444&gt;=30,$AT$3&lt;=DQ$7),ROUND(DQ444*($AP$3+#REF!),-1),""))</f>
        <v/>
      </c>
      <c r="DS444" s="517"/>
      <c r="DT444" s="503" t="str">
        <f>IF($G444="","",IF(AND($G444&gt;=30,$AT$3&lt;=DS$7),ROUND(DS444*($AP$3+#REF!),-1),""))</f>
        <v/>
      </c>
      <c r="DU444" s="517"/>
      <c r="DV444" s="503" t="str">
        <f>IF($G444="","",IF(AND($G444&gt;=30,$AT$3&lt;=DU$7),ROUND(DU444*($AP$3+#REF!),-1),""))</f>
        <v/>
      </c>
      <c r="DW444" s="517"/>
      <c r="DX444" s="503" t="str">
        <f>IF($G444="","",IF(AND($G444&gt;=30,$AT$3&lt;=DW$7),ROUND(DW444*($AP$3+#REF!),-1),""))</f>
        <v/>
      </c>
      <c r="DY444" s="517"/>
      <c r="DZ444" s="503" t="str">
        <f>IF($G444="","",IF(AND($G444&gt;=30,$AT$3&lt;=DY$7),ROUND(DY444*($AP$3+#REF!),-1),""))</f>
        <v/>
      </c>
      <c r="EA444" s="517"/>
      <c r="EB444" s="503" t="str">
        <f>IF($G444="","",IF(AND($G444&gt;=30,$AT$3&lt;=EA$7),ROUND(EA444*($AP$3+#REF!),-1),""))</f>
        <v/>
      </c>
      <c r="EC444" s="504" t="s">
        <v>621</v>
      </c>
      <c r="ED444" s="1124"/>
      <c r="EE444" s="325">
        <v>4</v>
      </c>
    </row>
    <row r="445" spans="1:135" ht="9.75" customHeight="1">
      <c r="A445" s="321" t="str">
        <f t="shared" si="110"/>
        <v/>
      </c>
      <c r="B445" s="567">
        <f>(ii!$D$13*12+V445)+1</f>
        <v>339</v>
      </c>
      <c r="C445" s="337">
        <f t="shared" si="100"/>
        <v>55670</v>
      </c>
      <c r="D445" s="484">
        <f t="shared" si="103"/>
        <v>2052</v>
      </c>
      <c r="E445" s="484">
        <f t="shared" si="101"/>
        <v>0.41666666666666669</v>
      </c>
      <c r="F445" s="484">
        <f t="shared" si="104"/>
        <v>2052.4166666666665</v>
      </c>
      <c r="G445" s="485" t="str">
        <f>IF(OR(C445&lt;$I$2,C445&gt;$J$3),"",(ii!$D$13*12+V445+1)/12)</f>
        <v/>
      </c>
      <c r="H445" s="486"/>
      <c r="I445" s="486"/>
      <c r="J445" s="507"/>
      <c r="K445" s="508"/>
      <c r="L445" s="548"/>
      <c r="M445" s="489" t="str">
        <f t="shared" si="105"/>
        <v/>
      </c>
      <c r="N445" s="490" t="s">
        <v>621</v>
      </c>
      <c r="O445" s="490" t="str">
        <f t="shared" si="98"/>
        <v/>
      </c>
      <c r="P445" s="507"/>
      <c r="Q445" s="507"/>
      <c r="R445" s="491" t="str">
        <f t="shared" si="99"/>
        <v/>
      </c>
      <c r="S445" s="528" t="str">
        <f t="shared" si="97"/>
        <v/>
      </c>
      <c r="T445" s="528" t="str">
        <f t="shared" si="109"/>
        <v/>
      </c>
      <c r="U445" s="493" t="str">
        <f>IF(H445="","",#REF!*12+#REF!+#REF!*12+#REF!)</f>
        <v/>
      </c>
      <c r="V445" s="338">
        <f>IF(ii!$J$3&gt;gg!C445,"",IF(AND((YEAR(C445)=YEAR($I$2)),MONTH(C445)=MONTH($I$2)),ii!$B$14*12+ii!$C$14+ii!$B$15*12+ii!$C$15-1,V444+1))</f>
        <v>338</v>
      </c>
      <c r="W445" s="339">
        <f t="shared" si="102"/>
        <v>28.166666666666668</v>
      </c>
      <c r="X445" s="494" t="s">
        <v>621</v>
      </c>
      <c r="Y445" s="495" t="s">
        <v>621</v>
      </c>
      <c r="Z445" s="496"/>
      <c r="AA445" s="497"/>
      <c r="AB445" s="498" t="e">
        <f t="shared" si="108"/>
        <v>#VALUE!</v>
      </c>
      <c r="AC445" s="484" t="str">
        <f t="shared" si="106"/>
        <v/>
      </c>
      <c r="AD445" s="495" t="str">
        <f t="shared" si="107"/>
        <v/>
      </c>
      <c r="AE445" s="499" t="s">
        <v>621</v>
      </c>
      <c r="AF445" s="500" t="s">
        <v>621</v>
      </c>
      <c r="AG445" s="556" t="s">
        <v>621</v>
      </c>
      <c r="AH445" s="503" t="str">
        <f>IF($G445="","",IF(AND($G445&gt;=30,$AT$3&lt;=AG$7),ROUND(AG445*($AP$3+#REF!),-1),""))</f>
        <v/>
      </c>
      <c r="AI445" s="506" t="s">
        <v>621</v>
      </c>
      <c r="AJ445" s="503" t="str">
        <f>IF($G445="","",IF(AND($G445&gt;=30,$AT$3&lt;=AI$7),ROUND(AI445*($AP$3+#REF!),-1),""))</f>
        <v/>
      </c>
      <c r="AK445" s="506" t="s">
        <v>621</v>
      </c>
      <c r="AL445" s="503" t="str">
        <f>IF($G445="","",IF(AND($G445&gt;=30,$AT$3&lt;=AK$7),ROUND(AK445*($AP$3+#REF!),-1),""))</f>
        <v/>
      </c>
      <c r="AM445" s="506" t="s">
        <v>621</v>
      </c>
      <c r="AN445" s="503" t="str">
        <f>IF($G445="","",IF(AND($G445&gt;=30,$AT$3&lt;=AM$7),ROUND(AM445*($AP$3+#REF!),-1),""))</f>
        <v/>
      </c>
      <c r="AO445" s="503" t="e">
        <v>#REF!</v>
      </c>
      <c r="AP445" s="503" t="str">
        <f>IF($G445="","",IF(AND($G445&gt;=30,$AT$3&lt;=AO$7),ROUND(AO445*($AP$3+#REF!),-1),""))</f>
        <v/>
      </c>
      <c r="AQ445" s="503" t="s">
        <v>621</v>
      </c>
      <c r="AR445" s="503" t="str">
        <f>IF($G445="","",IF(AND($G445&gt;=30,$AT$3&lt;=AQ$7),ROUND(AQ445*($AP$3+#REF!),-1),""))</f>
        <v/>
      </c>
      <c r="AS445" s="503" t="s">
        <v>621</v>
      </c>
      <c r="AT445" s="503" t="str">
        <f>IF($G445="","",IF(AND($G445&gt;=30,$AT$3&lt;=AS$7),ROUND(AS445*($AP$3+#REF!),-1),""))</f>
        <v/>
      </c>
      <c r="AU445" s="503" t="s">
        <v>621</v>
      </c>
      <c r="AV445" s="503" t="str">
        <f>IF($G445="","",IF(AND($G445&gt;=30,$AT$3&lt;=AU$7),ROUND(AU445*($AP$3+#REF!),-1),""))</f>
        <v/>
      </c>
      <c r="AW445" s="503" t="s">
        <v>621</v>
      </c>
      <c r="AX445" s="503" t="str">
        <f>IF($G445="","",IF(AND($G445&gt;=30,$AT$3&lt;=AW$7),ROUND(AW445*($AP$3+#REF!),-1),""))</f>
        <v/>
      </c>
      <c r="AY445" s="503" t="s">
        <v>621</v>
      </c>
      <c r="AZ445" s="503" t="str">
        <f>IF($G445="","",IF(AND($G445&gt;=30,$AT$3&lt;=AY$7),ROUND(AY445*($AP$3+#REF!),-1),""))</f>
        <v/>
      </c>
      <c r="BA445" s="503" t="s">
        <v>621</v>
      </c>
      <c r="BB445" s="503" t="str">
        <f>IF($G445="","",IF(AND($G445&gt;=30,$AT$3&lt;=BA$7),ROUND(BA445*($AP$3+#REF!),-1),""))</f>
        <v/>
      </c>
      <c r="BC445" s="503" t="s">
        <v>621</v>
      </c>
      <c r="BD445" s="503" t="str">
        <f>IF($G445="","",IF(AND($G445&gt;=30,$AT$3&lt;=BC$7),ROUND(BC445*($AP$3+#REF!),-1),""))</f>
        <v/>
      </c>
      <c r="BE445" s="503" t="s">
        <v>621</v>
      </c>
      <c r="BF445" s="503" t="str">
        <f>IF($G445="","",IF(AND($G445&gt;=30,$AT$3&lt;=BE$7),ROUND(BE445*($AP$3+#REF!),-1),""))</f>
        <v/>
      </c>
      <c r="BG445" s="503" t="s">
        <v>621</v>
      </c>
      <c r="BH445" s="503" t="str">
        <f>IF($G445="","",IF(AND($G445&gt;=30,$AT$3&lt;=BG$7),ROUND(BG445*($AP$3+#REF!),-1),""))</f>
        <v/>
      </c>
      <c r="BI445" s="503" t="s">
        <v>621</v>
      </c>
      <c r="BJ445" s="503" t="str">
        <f>IF($G445="","",IF(AND($G445&gt;=30,$AT$3&lt;=BI$7),ROUND(BI445*($AP$3+#REF!),-1),""))</f>
        <v/>
      </c>
      <c r="BK445" s="503" t="s">
        <v>621</v>
      </c>
      <c r="BL445" s="503" t="str">
        <f>IF($G445="","",IF(AND($G445&gt;=30,$AT$3&lt;=BK$7),ROUND(BK445*($AP$3+#REF!),-1),""))</f>
        <v/>
      </c>
      <c r="BM445" s="503" t="s">
        <v>621</v>
      </c>
      <c r="BN445" s="503" t="str">
        <f>IF($G445="","",IF(AND($G445&gt;=30,$AT$3&lt;=BM$7),ROUND(BM445*($AP$3+#REF!),-1),""))</f>
        <v/>
      </c>
      <c r="BO445" s="503" t="s">
        <v>621</v>
      </c>
      <c r="BP445" s="503" t="str">
        <f>IF($G445="","",IF(AND($G445&gt;=30,$AT$3&lt;=BO$7),ROUND(BO445*($AP$3+#REF!),-1),""))</f>
        <v/>
      </c>
      <c r="BQ445" s="503" t="s">
        <v>621</v>
      </c>
      <c r="BR445" s="503" t="str">
        <f>IF($G445="","",IF(AND($G445&gt;=30,$AT$3&lt;=BQ$7),ROUND(BQ445*($AP$3+#REF!),-1),""))</f>
        <v/>
      </c>
      <c r="BS445" s="503" t="s">
        <v>621</v>
      </c>
      <c r="BT445" s="503" t="str">
        <f>IF($G445="","",IF(AND($G445&gt;=30,$AT$3&lt;=BS$7),ROUND(BS445*($AP$3+#REF!),-1),""))</f>
        <v/>
      </c>
      <c r="BU445" s="503" t="s">
        <v>621</v>
      </c>
      <c r="BV445" s="503" t="str">
        <f>IF($G445="","",IF(AND($G445&gt;=30,$AT$3&lt;=BU$7),ROUND(BU445*($AP$3+#REF!),-1),""))</f>
        <v/>
      </c>
      <c r="BW445" s="503" t="s">
        <v>621</v>
      </c>
      <c r="BX445" s="503" t="str">
        <f>IF($G445="","",IF(AND($G445&gt;=30,$AT$3&lt;=BW$7),ROUND(BW445*($AP$3+#REF!),-1),""))</f>
        <v/>
      </c>
      <c r="BY445" s="503" t="s">
        <v>621</v>
      </c>
      <c r="BZ445" s="503" t="str">
        <f>IF($G445="","",IF(AND($G445&gt;=30,$AT$3&lt;=BY$7),ROUND(BY445*($AP$3+#REF!),-1),""))</f>
        <v/>
      </c>
      <c r="CA445" s="503" t="s">
        <v>621</v>
      </c>
      <c r="CB445" s="503" t="str">
        <f>IF($G445="","",IF(AND($G445&gt;=30,$AT$3&lt;=CA$7),ROUND(CA445*($AP$3+#REF!),-1),""))</f>
        <v/>
      </c>
      <c r="CC445" s="503" t="s">
        <v>621</v>
      </c>
      <c r="CD445" s="503" t="str">
        <f>IF($G445="","",IF(AND($G445&gt;=30,$AT$3&lt;=CC$7),ROUND(CC445*($AP$3+#REF!),-1),""))</f>
        <v/>
      </c>
      <c r="CE445" s="503" t="s">
        <v>621</v>
      </c>
      <c r="CF445" s="503" t="str">
        <f>IF($G445="","",IF(AND($G445&gt;=30,$AT$3&lt;=CE$7),ROUND(CE445*($AP$3+#REF!),-1),""))</f>
        <v/>
      </c>
      <c r="CG445" s="503" t="s">
        <v>621</v>
      </c>
      <c r="CH445" s="503" t="str">
        <f>IF($G445="","",IF(AND($G445&gt;=30,$AT$3&lt;=CG$7),ROUND(CG445*($AP$3+#REF!),-1),""))</f>
        <v/>
      </c>
      <c r="CI445" s="503" t="s">
        <v>621</v>
      </c>
      <c r="CJ445" s="503" t="str">
        <f>IF($G445="","",IF(AND($G445&gt;=30,$AT$3&lt;=CI$7),ROUND(CI445*($AP$3+#REF!),-1),""))</f>
        <v/>
      </c>
      <c r="CK445" s="503" t="s">
        <v>621</v>
      </c>
      <c r="CL445" s="503" t="str">
        <f>IF($G445="","",IF(AND($G445&gt;=30,$AT$3&lt;=CK$7),ROUND(CK445*($AP$3+#REF!),-1),""))</f>
        <v/>
      </c>
      <c r="CM445" s="503" t="s">
        <v>621</v>
      </c>
      <c r="CN445" s="503" t="str">
        <f>IF($G445="","",IF(AND($G445&gt;=30,$AT$3&lt;=CM$7),ROUND(CM445*($AP$3+#REF!),-1),""))</f>
        <v/>
      </c>
      <c r="CO445" s="503" t="s">
        <v>621</v>
      </c>
      <c r="CP445" s="503" t="str">
        <f>IF($G445="","",IF(AND($G445&gt;=30,$AT$3&lt;=CO$7),ROUND(CO445*($AP$3+#REF!),-1),""))</f>
        <v/>
      </c>
      <c r="CQ445" s="503" t="s">
        <v>621</v>
      </c>
      <c r="CR445" s="503" t="str">
        <f>IF($G445="","",IF(AND($G445&gt;=30,$AT$3&lt;=CQ$7),ROUND(CQ445*($AP$3+#REF!),-1),""))</f>
        <v/>
      </c>
      <c r="CS445" s="503" t="s">
        <v>621</v>
      </c>
      <c r="CT445" s="503" t="str">
        <f>IF($G445="","",IF(AND($G445&gt;=30,$AT$3&lt;=CS$7),ROUND(CS445*($AP$3+#REF!),-1),""))</f>
        <v/>
      </c>
      <c r="CU445" s="503" t="s">
        <v>621</v>
      </c>
      <c r="CV445" s="503" t="str">
        <f>IF($G445="","",IF(AND($G445&gt;=30,$AT$3&lt;=CU$7),ROUND(CU445*($AP$3+#REF!),-1),""))</f>
        <v/>
      </c>
      <c r="CW445" s="503" t="s">
        <v>621</v>
      </c>
      <c r="CX445" s="503" t="str">
        <f>IF($G445="","",IF(AND($G445&gt;=30,$AT$3&lt;=CW$7),ROUND(CW445*($AP$3+#REF!),-1),""))</f>
        <v/>
      </c>
      <c r="CY445" s="503" t="s">
        <v>621</v>
      </c>
      <c r="CZ445" s="503" t="str">
        <f>IF($G445="","",IF(AND($G445&gt;=30,$AT$3&lt;=CY$7),ROUND(CY445*($AP$3+#REF!),-1),""))</f>
        <v/>
      </c>
      <c r="DA445" s="517" t="e">
        <v>#REF!</v>
      </c>
      <c r="DB445" s="503" t="str">
        <f>IF($G445="","",IF(AND($G445&gt;=30,$AT$3&lt;=DA$7),ROUND(DA445*($AP$3+#REF!),-1),""))</f>
        <v/>
      </c>
      <c r="DC445" s="517"/>
      <c r="DD445" s="503" t="str">
        <f>IF($G445="","",IF(AND($G445&gt;=30,$AT$3&lt;=DC$7),ROUND(DC445*($AP$3+#REF!),-1),""))</f>
        <v/>
      </c>
      <c r="DE445" s="517"/>
      <c r="DF445" s="503" t="str">
        <f>IF($G445="","",IF(AND($G445&gt;=30,$AT$3&lt;=DE$7),ROUND(DE445*($AP$3+#REF!),-1),""))</f>
        <v/>
      </c>
      <c r="DG445" s="517"/>
      <c r="DH445" s="503" t="str">
        <f>IF($G445="","",IF(AND($G445&gt;=30,$AT$3&lt;=DG$7),ROUND(DG445*($AP$3+#REF!),-1),""))</f>
        <v/>
      </c>
      <c r="DI445" s="517"/>
      <c r="DJ445" s="503" t="str">
        <f>IF($G445="","",IF(AND($G445&gt;=30,$AT$3&lt;=DI$7),ROUND(DI445*($AP$3+#REF!),-1),""))</f>
        <v/>
      </c>
      <c r="DK445" s="517"/>
      <c r="DL445" s="503" t="str">
        <f>IF($G445="","",IF(AND($G445&gt;=30,$AT$3&lt;=DK$7),ROUND(DK445*($AP$3+#REF!),-1),""))</f>
        <v/>
      </c>
      <c r="DM445" s="517"/>
      <c r="DN445" s="503" t="str">
        <f>IF($G445="","",IF(AND($G445&gt;=30,$AT$3&lt;=DM$7),ROUND(DM445*($AP$3+#REF!),-1),""))</f>
        <v/>
      </c>
      <c r="DO445" s="517"/>
      <c r="DP445" s="503" t="str">
        <f>IF($G445="","",IF(AND($G445&gt;=30,$AT$3&lt;=DO$7),ROUND(DO445*($AP$3+#REF!),-1),""))</f>
        <v/>
      </c>
      <c r="DQ445" s="517"/>
      <c r="DR445" s="503" t="str">
        <f>IF($G445="","",IF(AND($G445&gt;=30,$AT$3&lt;=DQ$7),ROUND(DQ445*($AP$3+#REF!),-1),""))</f>
        <v/>
      </c>
      <c r="DS445" s="517"/>
      <c r="DT445" s="503" t="str">
        <f>IF($G445="","",IF(AND($G445&gt;=30,$AT$3&lt;=DS$7),ROUND(DS445*($AP$3+#REF!),-1),""))</f>
        <v/>
      </c>
      <c r="DU445" s="517"/>
      <c r="DV445" s="503" t="str">
        <f>IF($G445="","",IF(AND($G445&gt;=30,$AT$3&lt;=DU$7),ROUND(DU445*($AP$3+#REF!),-1),""))</f>
        <v/>
      </c>
      <c r="DW445" s="517"/>
      <c r="DX445" s="503" t="str">
        <f>IF($G445="","",IF(AND($G445&gt;=30,$AT$3&lt;=DW$7),ROUND(DW445*($AP$3+#REF!),-1),""))</f>
        <v/>
      </c>
      <c r="DY445" s="517"/>
      <c r="DZ445" s="503" t="str">
        <f>IF($G445="","",IF(AND($G445&gt;=30,$AT$3&lt;=DY$7),ROUND(DY445*($AP$3+#REF!),-1),""))</f>
        <v/>
      </c>
      <c r="EA445" s="517"/>
      <c r="EB445" s="503" t="str">
        <f>IF($G445="","",IF(AND($G445&gt;=30,$AT$3&lt;=EA$7),ROUND(EA445*($AP$3+#REF!),-1),""))</f>
        <v/>
      </c>
      <c r="EC445" s="504" t="s">
        <v>621</v>
      </c>
      <c r="ED445" s="1124"/>
      <c r="EE445" s="325">
        <v>5</v>
      </c>
    </row>
    <row r="446" spans="1:135" ht="9.75" customHeight="1">
      <c r="A446" s="321" t="str">
        <f t="shared" si="110"/>
        <v/>
      </c>
      <c r="B446" s="567">
        <f>(ii!$D$13*12+V446)+1</f>
        <v>340</v>
      </c>
      <c r="C446" s="337">
        <f t="shared" si="100"/>
        <v>55700</v>
      </c>
      <c r="D446" s="484">
        <f t="shared" si="103"/>
        <v>2052</v>
      </c>
      <c r="E446" s="484">
        <f t="shared" si="101"/>
        <v>0.5</v>
      </c>
      <c r="F446" s="484">
        <f t="shared" si="104"/>
        <v>2052.5</v>
      </c>
      <c r="G446" s="485" t="str">
        <f>IF(OR(C446&lt;$I$2,C446&gt;$J$3),"",(ii!$D$13*12+V446+1)/12)</f>
        <v/>
      </c>
      <c r="H446" s="486"/>
      <c r="I446" s="486"/>
      <c r="J446" s="487"/>
      <c r="K446" s="488"/>
      <c r="L446" s="548"/>
      <c r="M446" s="489" t="str">
        <f t="shared" si="105"/>
        <v/>
      </c>
      <c r="N446" s="490" t="s">
        <v>621</v>
      </c>
      <c r="O446" s="490" t="str">
        <f t="shared" si="98"/>
        <v/>
      </c>
      <c r="P446" s="491"/>
      <c r="Q446" s="491"/>
      <c r="R446" s="491" t="str">
        <f t="shared" si="99"/>
        <v/>
      </c>
      <c r="S446" s="528" t="str">
        <f t="shared" si="97"/>
        <v/>
      </c>
      <c r="T446" s="528" t="str">
        <f t="shared" si="109"/>
        <v/>
      </c>
      <c r="U446" s="493" t="str">
        <f>IF(H446="","",#REF!*12+#REF!+#REF!*12+#REF!)</f>
        <v/>
      </c>
      <c r="V446" s="338">
        <f>IF(ii!$J$3&gt;gg!C446,"",IF(AND((YEAR(C446)=YEAR($I$2)),MONTH(C446)=MONTH($I$2)),ii!$B$14*12+ii!$C$14+ii!$B$15*12+ii!$C$15-1,V445+1))</f>
        <v>339</v>
      </c>
      <c r="W446" s="339">
        <f t="shared" si="102"/>
        <v>28.25</v>
      </c>
      <c r="X446" s="494" t="s">
        <v>621</v>
      </c>
      <c r="Y446" s="495" t="s">
        <v>621</v>
      </c>
      <c r="Z446" s="496"/>
      <c r="AA446" s="497"/>
      <c r="AB446" s="498" t="e">
        <f t="shared" si="108"/>
        <v>#VALUE!</v>
      </c>
      <c r="AC446" s="484" t="str">
        <f t="shared" si="106"/>
        <v/>
      </c>
      <c r="AD446" s="495" t="str">
        <f t="shared" si="107"/>
        <v/>
      </c>
      <c r="AE446" s="499" t="s">
        <v>621</v>
      </c>
      <c r="AF446" s="500" t="s">
        <v>621</v>
      </c>
      <c r="AG446" s="556" t="s">
        <v>621</v>
      </c>
      <c r="AH446" s="503" t="str">
        <f>IF($G446="","",IF(AND($G446&gt;=30,$AT$3&lt;=AG$7),ROUND(AG446*($AP$3+#REF!),-1),""))</f>
        <v/>
      </c>
      <c r="AI446" s="506" t="s">
        <v>621</v>
      </c>
      <c r="AJ446" s="503" t="str">
        <f>IF($G446="","",IF(AND($G446&gt;=30,$AT$3&lt;=AI$7),ROUND(AI446*($AP$3+#REF!),-1),""))</f>
        <v/>
      </c>
      <c r="AK446" s="506" t="s">
        <v>621</v>
      </c>
      <c r="AL446" s="503" t="str">
        <f>IF($G446="","",IF(AND($G446&gt;=30,$AT$3&lt;=AK$7),ROUND(AK446*($AP$3+#REF!),-1),""))</f>
        <v/>
      </c>
      <c r="AM446" s="506" t="s">
        <v>621</v>
      </c>
      <c r="AN446" s="503" t="str">
        <f>IF($G446="","",IF(AND($G446&gt;=30,$AT$3&lt;=AM$7),ROUND(AM446*($AP$3+#REF!),-1),""))</f>
        <v/>
      </c>
      <c r="AO446" s="503" t="e">
        <v>#REF!</v>
      </c>
      <c r="AP446" s="503" t="str">
        <f>IF($G446="","",IF(AND($G446&gt;=30,$AT$3&lt;=AO$7),ROUND(AO446*($AP$3+#REF!),-1),""))</f>
        <v/>
      </c>
      <c r="AQ446" s="503" t="s">
        <v>621</v>
      </c>
      <c r="AR446" s="503" t="str">
        <f>IF($G446="","",IF(AND($G446&gt;=30,$AT$3&lt;=AQ$7),ROUND(AQ446*($AP$3+#REF!),-1),""))</f>
        <v/>
      </c>
      <c r="AS446" s="503" t="s">
        <v>621</v>
      </c>
      <c r="AT446" s="503" t="str">
        <f>IF($G446="","",IF(AND($G446&gt;=30,$AT$3&lt;=AS$7),ROUND(AS446*($AP$3+#REF!),-1),""))</f>
        <v/>
      </c>
      <c r="AU446" s="503" t="s">
        <v>621</v>
      </c>
      <c r="AV446" s="503" t="str">
        <f>IF($G446="","",IF(AND($G446&gt;=30,$AT$3&lt;=AU$7),ROUND(AU446*($AP$3+#REF!),-1),""))</f>
        <v/>
      </c>
      <c r="AW446" s="503" t="s">
        <v>621</v>
      </c>
      <c r="AX446" s="503" t="str">
        <f>IF($G446="","",IF(AND($G446&gt;=30,$AT$3&lt;=AW$7),ROUND(AW446*($AP$3+#REF!),-1),""))</f>
        <v/>
      </c>
      <c r="AY446" s="503" t="s">
        <v>621</v>
      </c>
      <c r="AZ446" s="503" t="str">
        <f>IF($G446="","",IF(AND($G446&gt;=30,$AT$3&lt;=AY$7),ROUND(AY446*($AP$3+#REF!),-1),""))</f>
        <v/>
      </c>
      <c r="BA446" s="503" t="s">
        <v>621</v>
      </c>
      <c r="BB446" s="503" t="str">
        <f>IF($G446="","",IF(AND($G446&gt;=30,$AT$3&lt;=BA$7),ROUND(BA446*($AP$3+#REF!),-1),""))</f>
        <v/>
      </c>
      <c r="BC446" s="503" t="s">
        <v>621</v>
      </c>
      <c r="BD446" s="503" t="str">
        <f>IF($G446="","",IF(AND($G446&gt;=30,$AT$3&lt;=BC$7),ROUND(BC446*($AP$3+#REF!),-1),""))</f>
        <v/>
      </c>
      <c r="BE446" s="503" t="s">
        <v>621</v>
      </c>
      <c r="BF446" s="503" t="str">
        <f>IF($G446="","",IF(AND($G446&gt;=30,$AT$3&lt;=BE$7),ROUND(BE446*($AP$3+#REF!),-1),""))</f>
        <v/>
      </c>
      <c r="BG446" s="503" t="s">
        <v>621</v>
      </c>
      <c r="BH446" s="503" t="str">
        <f>IF($G446="","",IF(AND($G446&gt;=30,$AT$3&lt;=BG$7),ROUND(BG446*($AP$3+#REF!),-1),""))</f>
        <v/>
      </c>
      <c r="BI446" s="503" t="s">
        <v>621</v>
      </c>
      <c r="BJ446" s="503" t="str">
        <f>IF($G446="","",IF(AND($G446&gt;=30,$AT$3&lt;=BI$7),ROUND(BI446*($AP$3+#REF!),-1),""))</f>
        <v/>
      </c>
      <c r="BK446" s="503" t="s">
        <v>621</v>
      </c>
      <c r="BL446" s="503" t="str">
        <f>IF($G446="","",IF(AND($G446&gt;=30,$AT$3&lt;=BK$7),ROUND(BK446*($AP$3+#REF!),-1),""))</f>
        <v/>
      </c>
      <c r="BM446" s="503" t="s">
        <v>621</v>
      </c>
      <c r="BN446" s="503" t="str">
        <f>IF($G446="","",IF(AND($G446&gt;=30,$AT$3&lt;=BM$7),ROUND(BM446*($AP$3+#REF!),-1),""))</f>
        <v/>
      </c>
      <c r="BO446" s="503" t="s">
        <v>621</v>
      </c>
      <c r="BP446" s="503" t="str">
        <f>IF($G446="","",IF(AND($G446&gt;=30,$AT$3&lt;=BO$7),ROUND(BO446*($AP$3+#REF!),-1),""))</f>
        <v/>
      </c>
      <c r="BQ446" s="503" t="s">
        <v>621</v>
      </c>
      <c r="BR446" s="503" t="str">
        <f>IF($G446="","",IF(AND($G446&gt;=30,$AT$3&lt;=BQ$7),ROUND(BQ446*($AP$3+#REF!),-1),""))</f>
        <v/>
      </c>
      <c r="BS446" s="503" t="s">
        <v>621</v>
      </c>
      <c r="BT446" s="503" t="str">
        <f>IF($G446="","",IF(AND($G446&gt;=30,$AT$3&lt;=BS$7),ROUND(BS446*($AP$3+#REF!),-1),""))</f>
        <v/>
      </c>
      <c r="BU446" s="503" t="s">
        <v>621</v>
      </c>
      <c r="BV446" s="503" t="str">
        <f>IF($G446="","",IF(AND($G446&gt;=30,$AT$3&lt;=BU$7),ROUND(BU446*($AP$3+#REF!),-1),""))</f>
        <v/>
      </c>
      <c r="BW446" s="503" t="s">
        <v>621</v>
      </c>
      <c r="BX446" s="503" t="str">
        <f>IF($G446="","",IF(AND($G446&gt;=30,$AT$3&lt;=BW$7),ROUND(BW446*($AP$3+#REF!),-1),""))</f>
        <v/>
      </c>
      <c r="BY446" s="503" t="s">
        <v>621</v>
      </c>
      <c r="BZ446" s="503" t="str">
        <f>IF($G446="","",IF(AND($G446&gt;=30,$AT$3&lt;=BY$7),ROUND(BY446*($AP$3+#REF!),-1),""))</f>
        <v/>
      </c>
      <c r="CA446" s="503" t="s">
        <v>621</v>
      </c>
      <c r="CB446" s="503" t="str">
        <f>IF($G446="","",IF(AND($G446&gt;=30,$AT$3&lt;=CA$7),ROUND(CA446*($AP$3+#REF!),-1),""))</f>
        <v/>
      </c>
      <c r="CC446" s="503" t="s">
        <v>621</v>
      </c>
      <c r="CD446" s="503" t="str">
        <f>IF($G446="","",IF(AND($G446&gt;=30,$AT$3&lt;=CC$7),ROUND(CC446*($AP$3+#REF!),-1),""))</f>
        <v/>
      </c>
      <c r="CE446" s="503" t="s">
        <v>621</v>
      </c>
      <c r="CF446" s="503" t="str">
        <f>IF($G446="","",IF(AND($G446&gt;=30,$AT$3&lt;=CE$7),ROUND(CE446*($AP$3+#REF!),-1),""))</f>
        <v/>
      </c>
      <c r="CG446" s="503" t="s">
        <v>621</v>
      </c>
      <c r="CH446" s="503" t="str">
        <f>IF($G446="","",IF(AND($G446&gt;=30,$AT$3&lt;=CG$7),ROUND(CG446*($AP$3+#REF!),-1),""))</f>
        <v/>
      </c>
      <c r="CI446" s="503" t="s">
        <v>621</v>
      </c>
      <c r="CJ446" s="503" t="str">
        <f>IF($G446="","",IF(AND($G446&gt;=30,$AT$3&lt;=CI$7),ROUND(CI446*($AP$3+#REF!),-1),""))</f>
        <v/>
      </c>
      <c r="CK446" s="503" t="s">
        <v>621</v>
      </c>
      <c r="CL446" s="503" t="str">
        <f>IF($G446="","",IF(AND($G446&gt;=30,$AT$3&lt;=CK$7),ROUND(CK446*($AP$3+#REF!),-1),""))</f>
        <v/>
      </c>
      <c r="CM446" s="503" t="s">
        <v>621</v>
      </c>
      <c r="CN446" s="503" t="str">
        <f>IF($G446="","",IF(AND($G446&gt;=30,$AT$3&lt;=CM$7),ROUND(CM446*($AP$3+#REF!),-1),""))</f>
        <v/>
      </c>
      <c r="CO446" s="503" t="s">
        <v>621</v>
      </c>
      <c r="CP446" s="503" t="str">
        <f>IF($G446="","",IF(AND($G446&gt;=30,$AT$3&lt;=CO$7),ROUND(CO446*($AP$3+#REF!),-1),""))</f>
        <v/>
      </c>
      <c r="CQ446" s="503" t="s">
        <v>621</v>
      </c>
      <c r="CR446" s="503" t="str">
        <f>IF($G446="","",IF(AND($G446&gt;=30,$AT$3&lt;=CQ$7),ROUND(CQ446*($AP$3+#REF!),-1),""))</f>
        <v/>
      </c>
      <c r="CS446" s="503" t="s">
        <v>621</v>
      </c>
      <c r="CT446" s="503" t="str">
        <f>IF($G446="","",IF(AND($G446&gt;=30,$AT$3&lt;=CS$7),ROUND(CS446*($AP$3+#REF!),-1),""))</f>
        <v/>
      </c>
      <c r="CU446" s="503" t="s">
        <v>621</v>
      </c>
      <c r="CV446" s="503" t="str">
        <f>IF($G446="","",IF(AND($G446&gt;=30,$AT$3&lt;=CU$7),ROUND(CU446*($AP$3+#REF!),-1),""))</f>
        <v/>
      </c>
      <c r="CW446" s="503" t="s">
        <v>621</v>
      </c>
      <c r="CX446" s="503" t="str">
        <f>IF($G446="","",IF(AND($G446&gt;=30,$AT$3&lt;=CW$7),ROUND(CW446*($AP$3+#REF!),-1),""))</f>
        <v/>
      </c>
      <c r="CY446" s="503" t="s">
        <v>621</v>
      </c>
      <c r="CZ446" s="503" t="str">
        <f>IF($G446="","",IF(AND($G446&gt;=30,$AT$3&lt;=CY$7),ROUND(CY446*($AP$3+#REF!),-1),""))</f>
        <v/>
      </c>
      <c r="DA446" s="517" t="e">
        <v>#REF!</v>
      </c>
      <c r="DB446" s="503" t="str">
        <f>IF($G446="","",IF(AND($G446&gt;=30,$AT$3&lt;=DA$7),ROUND(DA446*($AP$3+#REF!),-1),""))</f>
        <v/>
      </c>
      <c r="DC446" s="517"/>
      <c r="DD446" s="503" t="str">
        <f>IF($G446="","",IF(AND($G446&gt;=30,$AT$3&lt;=DC$7),ROUND(DC446*($AP$3+#REF!),-1),""))</f>
        <v/>
      </c>
      <c r="DE446" s="517"/>
      <c r="DF446" s="503" t="str">
        <f>IF($G446="","",IF(AND($G446&gt;=30,$AT$3&lt;=DE$7),ROUND(DE446*($AP$3+#REF!),-1),""))</f>
        <v/>
      </c>
      <c r="DG446" s="517"/>
      <c r="DH446" s="503" t="str">
        <f>IF($G446="","",IF(AND($G446&gt;=30,$AT$3&lt;=DG$7),ROUND(DG446*($AP$3+#REF!),-1),""))</f>
        <v/>
      </c>
      <c r="DI446" s="517"/>
      <c r="DJ446" s="503" t="str">
        <f>IF($G446="","",IF(AND($G446&gt;=30,$AT$3&lt;=DI$7),ROUND(DI446*($AP$3+#REF!),-1),""))</f>
        <v/>
      </c>
      <c r="DK446" s="517"/>
      <c r="DL446" s="503" t="str">
        <f>IF($G446="","",IF(AND($G446&gt;=30,$AT$3&lt;=DK$7),ROUND(DK446*($AP$3+#REF!),-1),""))</f>
        <v/>
      </c>
      <c r="DM446" s="517"/>
      <c r="DN446" s="503" t="str">
        <f>IF($G446="","",IF(AND($G446&gt;=30,$AT$3&lt;=DM$7),ROUND(DM446*($AP$3+#REF!),-1),""))</f>
        <v/>
      </c>
      <c r="DO446" s="517"/>
      <c r="DP446" s="503" t="str">
        <f>IF($G446="","",IF(AND($G446&gt;=30,$AT$3&lt;=DO$7),ROUND(DO446*($AP$3+#REF!),-1),""))</f>
        <v/>
      </c>
      <c r="DQ446" s="517"/>
      <c r="DR446" s="503" t="str">
        <f>IF($G446="","",IF(AND($G446&gt;=30,$AT$3&lt;=DQ$7),ROUND(DQ446*($AP$3+#REF!),-1),""))</f>
        <v/>
      </c>
      <c r="DS446" s="517"/>
      <c r="DT446" s="503" t="str">
        <f>IF($G446="","",IF(AND($G446&gt;=30,$AT$3&lt;=DS$7),ROUND(DS446*($AP$3+#REF!),-1),""))</f>
        <v/>
      </c>
      <c r="DU446" s="517"/>
      <c r="DV446" s="503" t="str">
        <f>IF($G446="","",IF(AND($G446&gt;=30,$AT$3&lt;=DU$7),ROUND(DU446*($AP$3+#REF!),-1),""))</f>
        <v/>
      </c>
      <c r="DW446" s="517"/>
      <c r="DX446" s="503" t="str">
        <f>IF($G446="","",IF(AND($G446&gt;=30,$AT$3&lt;=DW$7),ROUND(DW446*($AP$3+#REF!),-1),""))</f>
        <v/>
      </c>
      <c r="DY446" s="517"/>
      <c r="DZ446" s="503" t="str">
        <f>IF($G446="","",IF(AND($G446&gt;=30,$AT$3&lt;=DY$7),ROUND(DY446*($AP$3+#REF!),-1),""))</f>
        <v/>
      </c>
      <c r="EA446" s="517"/>
      <c r="EB446" s="503" t="str">
        <f>IF($G446="","",IF(AND($G446&gt;=30,$AT$3&lt;=EA$7),ROUND(EA446*($AP$3+#REF!),-1),""))</f>
        <v/>
      </c>
      <c r="EC446" s="504" t="s">
        <v>621</v>
      </c>
      <c r="ED446" s="1124"/>
      <c r="EE446" s="325">
        <v>6</v>
      </c>
    </row>
    <row r="447" spans="1:135" ht="9.75" customHeight="1">
      <c r="A447" s="321" t="str">
        <f t="shared" si="110"/>
        <v/>
      </c>
      <c r="B447" s="567">
        <f>(ii!$D$13*12+V447)+1</f>
        <v>341</v>
      </c>
      <c r="C447" s="337">
        <f t="shared" si="100"/>
        <v>55731</v>
      </c>
      <c r="D447" s="484">
        <f t="shared" si="103"/>
        <v>2052</v>
      </c>
      <c r="E447" s="484">
        <f t="shared" si="101"/>
        <v>0.58333333333333337</v>
      </c>
      <c r="F447" s="484">
        <f t="shared" si="104"/>
        <v>2052.5833333333335</v>
      </c>
      <c r="G447" s="485" t="str">
        <f>IF(OR(C447&lt;$I$2,C447&gt;$J$3),"",(ii!$D$13*12+V447+1)/12)</f>
        <v/>
      </c>
      <c r="H447" s="486"/>
      <c r="I447" s="486"/>
      <c r="J447" s="487"/>
      <c r="K447" s="488"/>
      <c r="L447" s="548"/>
      <c r="M447" s="489" t="str">
        <f t="shared" si="105"/>
        <v/>
      </c>
      <c r="N447" s="490" t="s">
        <v>621</v>
      </c>
      <c r="O447" s="490" t="str">
        <f t="shared" si="98"/>
        <v/>
      </c>
      <c r="P447" s="491"/>
      <c r="Q447" s="491"/>
      <c r="R447" s="491" t="str">
        <f t="shared" si="99"/>
        <v/>
      </c>
      <c r="S447" s="528" t="str">
        <f t="shared" si="97"/>
        <v/>
      </c>
      <c r="T447" s="528" t="str">
        <f t="shared" si="109"/>
        <v/>
      </c>
      <c r="U447" s="493" t="str">
        <f>IF(H447="","",#REF!*12+#REF!+#REF!*12+#REF!)</f>
        <v/>
      </c>
      <c r="V447" s="338">
        <f>IF(ii!$J$3&gt;gg!C447,"",IF(AND((YEAR(C447)=YEAR($I$2)),MONTH(C447)=MONTH($I$2)),ii!$B$14*12+ii!$C$14+ii!$B$15*12+ii!$C$15-1,V446+1))</f>
        <v>340</v>
      </c>
      <c r="W447" s="339">
        <f t="shared" si="102"/>
        <v>28.333333333333332</v>
      </c>
      <c r="X447" s="494" t="s">
        <v>621</v>
      </c>
      <c r="Y447" s="495" t="s">
        <v>621</v>
      </c>
      <c r="Z447" s="496"/>
      <c r="AA447" s="497"/>
      <c r="AB447" s="498" t="e">
        <f t="shared" si="108"/>
        <v>#VALUE!</v>
      </c>
      <c r="AC447" s="484" t="str">
        <f t="shared" si="106"/>
        <v/>
      </c>
      <c r="AD447" s="495" t="str">
        <f t="shared" si="107"/>
        <v/>
      </c>
      <c r="AE447" s="499" t="s">
        <v>621</v>
      </c>
      <c r="AF447" s="500" t="s">
        <v>621</v>
      </c>
      <c r="AG447" s="556" t="s">
        <v>621</v>
      </c>
      <c r="AH447" s="503" t="str">
        <f>IF($G447="","",IF(AND($G447&gt;=30,$AT$3&lt;=AG$7),ROUND(AG447*($AP$3+#REF!),-1),""))</f>
        <v/>
      </c>
      <c r="AI447" s="506" t="s">
        <v>621</v>
      </c>
      <c r="AJ447" s="503" t="str">
        <f>IF($G447="","",IF(AND($G447&gt;=30,$AT$3&lt;=AI$7),ROUND(AI447*($AP$3+#REF!),-1),""))</f>
        <v/>
      </c>
      <c r="AK447" s="506" t="s">
        <v>621</v>
      </c>
      <c r="AL447" s="503" t="str">
        <f>IF($G447="","",IF(AND($G447&gt;=30,$AT$3&lt;=AK$7),ROUND(AK447*($AP$3+#REF!),-1),""))</f>
        <v/>
      </c>
      <c r="AM447" s="506" t="s">
        <v>621</v>
      </c>
      <c r="AN447" s="503" t="str">
        <f>IF($G447="","",IF(AND($G447&gt;=30,$AT$3&lt;=AM$7),ROUND(AM447*($AP$3+#REF!),-1),""))</f>
        <v/>
      </c>
      <c r="AO447" s="503" t="e">
        <v>#REF!</v>
      </c>
      <c r="AP447" s="503" t="str">
        <f>IF($G447="","",IF(AND($G447&gt;=30,$AT$3&lt;=AO$7),ROUND(AO447*($AP$3+#REF!),-1),""))</f>
        <v/>
      </c>
      <c r="AQ447" s="503" t="s">
        <v>621</v>
      </c>
      <c r="AR447" s="503" t="str">
        <f>IF($G447="","",IF(AND($G447&gt;=30,$AT$3&lt;=AQ$7),ROUND(AQ447*($AP$3+#REF!),-1),""))</f>
        <v/>
      </c>
      <c r="AS447" s="503" t="s">
        <v>621</v>
      </c>
      <c r="AT447" s="503" t="str">
        <f>IF($G447="","",IF(AND($G447&gt;=30,$AT$3&lt;=AS$7),ROUND(AS447*($AP$3+#REF!),-1),""))</f>
        <v/>
      </c>
      <c r="AU447" s="503" t="s">
        <v>621</v>
      </c>
      <c r="AV447" s="503" t="str">
        <f>IF($G447="","",IF(AND($G447&gt;=30,$AT$3&lt;=AU$7),ROUND(AU447*($AP$3+#REF!),-1),""))</f>
        <v/>
      </c>
      <c r="AW447" s="503" t="s">
        <v>621</v>
      </c>
      <c r="AX447" s="503" t="str">
        <f>IF($G447="","",IF(AND($G447&gt;=30,$AT$3&lt;=AW$7),ROUND(AW447*($AP$3+#REF!),-1),""))</f>
        <v/>
      </c>
      <c r="AY447" s="503" t="s">
        <v>621</v>
      </c>
      <c r="AZ447" s="503" t="str">
        <f>IF($G447="","",IF(AND($G447&gt;=30,$AT$3&lt;=AY$7),ROUND(AY447*($AP$3+#REF!),-1),""))</f>
        <v/>
      </c>
      <c r="BA447" s="503" t="s">
        <v>621</v>
      </c>
      <c r="BB447" s="503" t="str">
        <f>IF($G447="","",IF(AND($G447&gt;=30,$AT$3&lt;=BA$7),ROUND(BA447*($AP$3+#REF!),-1),""))</f>
        <v/>
      </c>
      <c r="BC447" s="503" t="s">
        <v>621</v>
      </c>
      <c r="BD447" s="503" t="str">
        <f>IF($G447="","",IF(AND($G447&gt;=30,$AT$3&lt;=BC$7),ROUND(BC447*($AP$3+#REF!),-1),""))</f>
        <v/>
      </c>
      <c r="BE447" s="503" t="s">
        <v>621</v>
      </c>
      <c r="BF447" s="503" t="str">
        <f>IF($G447="","",IF(AND($G447&gt;=30,$AT$3&lt;=BE$7),ROUND(BE447*($AP$3+#REF!),-1),""))</f>
        <v/>
      </c>
      <c r="BG447" s="503" t="s">
        <v>621</v>
      </c>
      <c r="BH447" s="503" t="str">
        <f>IF($G447="","",IF(AND($G447&gt;=30,$AT$3&lt;=BG$7),ROUND(BG447*($AP$3+#REF!),-1),""))</f>
        <v/>
      </c>
      <c r="BI447" s="503" t="s">
        <v>621</v>
      </c>
      <c r="BJ447" s="503" t="str">
        <f>IF($G447="","",IF(AND($G447&gt;=30,$AT$3&lt;=BI$7),ROUND(BI447*($AP$3+#REF!),-1),""))</f>
        <v/>
      </c>
      <c r="BK447" s="503" t="s">
        <v>621</v>
      </c>
      <c r="BL447" s="503" t="str">
        <f>IF($G447="","",IF(AND($G447&gt;=30,$AT$3&lt;=BK$7),ROUND(BK447*($AP$3+#REF!),-1),""))</f>
        <v/>
      </c>
      <c r="BM447" s="503" t="s">
        <v>621</v>
      </c>
      <c r="BN447" s="503" t="str">
        <f>IF($G447="","",IF(AND($G447&gt;=30,$AT$3&lt;=BM$7),ROUND(BM447*($AP$3+#REF!),-1),""))</f>
        <v/>
      </c>
      <c r="BO447" s="503" t="s">
        <v>621</v>
      </c>
      <c r="BP447" s="503" t="str">
        <f>IF($G447="","",IF(AND($G447&gt;=30,$AT$3&lt;=BO$7),ROUND(BO447*($AP$3+#REF!),-1),""))</f>
        <v/>
      </c>
      <c r="BQ447" s="503" t="s">
        <v>621</v>
      </c>
      <c r="BR447" s="503" t="str">
        <f>IF($G447="","",IF(AND($G447&gt;=30,$AT$3&lt;=BQ$7),ROUND(BQ447*($AP$3+#REF!),-1),""))</f>
        <v/>
      </c>
      <c r="BS447" s="503" t="s">
        <v>621</v>
      </c>
      <c r="BT447" s="503" t="str">
        <f>IF($G447="","",IF(AND($G447&gt;=30,$AT$3&lt;=BS$7),ROUND(BS447*($AP$3+#REF!),-1),""))</f>
        <v/>
      </c>
      <c r="BU447" s="503" t="s">
        <v>621</v>
      </c>
      <c r="BV447" s="503" t="str">
        <f>IF($G447="","",IF(AND($G447&gt;=30,$AT$3&lt;=BU$7),ROUND(BU447*($AP$3+#REF!),-1),""))</f>
        <v/>
      </c>
      <c r="BW447" s="503" t="s">
        <v>621</v>
      </c>
      <c r="BX447" s="503" t="str">
        <f>IF($G447="","",IF(AND($G447&gt;=30,$AT$3&lt;=BW$7),ROUND(BW447*($AP$3+#REF!),-1),""))</f>
        <v/>
      </c>
      <c r="BY447" s="503" t="s">
        <v>621</v>
      </c>
      <c r="BZ447" s="503" t="str">
        <f>IF($G447="","",IF(AND($G447&gt;=30,$AT$3&lt;=BY$7),ROUND(BY447*($AP$3+#REF!),-1),""))</f>
        <v/>
      </c>
      <c r="CA447" s="503" t="s">
        <v>621</v>
      </c>
      <c r="CB447" s="503" t="str">
        <f>IF($G447="","",IF(AND($G447&gt;=30,$AT$3&lt;=CA$7),ROUND(CA447*($AP$3+#REF!),-1),""))</f>
        <v/>
      </c>
      <c r="CC447" s="503" t="s">
        <v>621</v>
      </c>
      <c r="CD447" s="503" t="str">
        <f>IF($G447="","",IF(AND($G447&gt;=30,$AT$3&lt;=CC$7),ROUND(CC447*($AP$3+#REF!),-1),""))</f>
        <v/>
      </c>
      <c r="CE447" s="503" t="s">
        <v>621</v>
      </c>
      <c r="CF447" s="503" t="str">
        <f>IF($G447="","",IF(AND($G447&gt;=30,$AT$3&lt;=CE$7),ROUND(CE447*($AP$3+#REF!),-1),""))</f>
        <v/>
      </c>
      <c r="CG447" s="503" t="s">
        <v>621</v>
      </c>
      <c r="CH447" s="503" t="str">
        <f>IF($G447="","",IF(AND($G447&gt;=30,$AT$3&lt;=CG$7),ROUND(CG447*($AP$3+#REF!),-1),""))</f>
        <v/>
      </c>
      <c r="CI447" s="503" t="s">
        <v>621</v>
      </c>
      <c r="CJ447" s="503" t="str">
        <f>IF($G447="","",IF(AND($G447&gt;=30,$AT$3&lt;=CI$7),ROUND(CI447*($AP$3+#REF!),-1),""))</f>
        <v/>
      </c>
      <c r="CK447" s="503" t="s">
        <v>621</v>
      </c>
      <c r="CL447" s="503" t="str">
        <f>IF($G447="","",IF(AND($G447&gt;=30,$AT$3&lt;=CK$7),ROUND(CK447*($AP$3+#REF!),-1),""))</f>
        <v/>
      </c>
      <c r="CM447" s="503" t="s">
        <v>621</v>
      </c>
      <c r="CN447" s="503" t="str">
        <f>IF($G447="","",IF(AND($G447&gt;=30,$AT$3&lt;=CM$7),ROUND(CM447*($AP$3+#REF!),-1),""))</f>
        <v/>
      </c>
      <c r="CO447" s="503" t="s">
        <v>621</v>
      </c>
      <c r="CP447" s="503" t="str">
        <f>IF($G447="","",IF(AND($G447&gt;=30,$AT$3&lt;=CO$7),ROUND(CO447*($AP$3+#REF!),-1),""))</f>
        <v/>
      </c>
      <c r="CQ447" s="503" t="s">
        <v>621</v>
      </c>
      <c r="CR447" s="503" t="str">
        <f>IF($G447="","",IF(AND($G447&gt;=30,$AT$3&lt;=CQ$7),ROUND(CQ447*($AP$3+#REF!),-1),""))</f>
        <v/>
      </c>
      <c r="CS447" s="503" t="s">
        <v>621</v>
      </c>
      <c r="CT447" s="503" t="str">
        <f>IF($G447="","",IF(AND($G447&gt;=30,$AT$3&lt;=CS$7),ROUND(CS447*($AP$3+#REF!),-1),""))</f>
        <v/>
      </c>
      <c r="CU447" s="503" t="s">
        <v>621</v>
      </c>
      <c r="CV447" s="503" t="str">
        <f>IF($G447="","",IF(AND($G447&gt;=30,$AT$3&lt;=CU$7),ROUND(CU447*($AP$3+#REF!),-1),""))</f>
        <v/>
      </c>
      <c r="CW447" s="503" t="s">
        <v>621</v>
      </c>
      <c r="CX447" s="503" t="str">
        <f>IF($G447="","",IF(AND($G447&gt;=30,$AT$3&lt;=CW$7),ROUND(CW447*($AP$3+#REF!),-1),""))</f>
        <v/>
      </c>
      <c r="CY447" s="503" t="s">
        <v>621</v>
      </c>
      <c r="CZ447" s="503" t="str">
        <f>IF($G447="","",IF(AND($G447&gt;=30,$AT$3&lt;=CY$7),ROUND(CY447*($AP$3+#REF!),-1),""))</f>
        <v/>
      </c>
      <c r="DA447" s="517" t="e">
        <v>#REF!</v>
      </c>
      <c r="DB447" s="503" t="str">
        <f>IF($G447="","",IF(AND($G447&gt;=30,$AT$3&lt;=DA$7),ROUND(DA447*($AP$3+#REF!),-1),""))</f>
        <v/>
      </c>
      <c r="DC447" s="517"/>
      <c r="DD447" s="503" t="str">
        <f>IF($G447="","",IF(AND($G447&gt;=30,$AT$3&lt;=DC$7),ROUND(DC447*($AP$3+#REF!),-1),""))</f>
        <v/>
      </c>
      <c r="DE447" s="517"/>
      <c r="DF447" s="503" t="str">
        <f>IF($G447="","",IF(AND($G447&gt;=30,$AT$3&lt;=DE$7),ROUND(DE447*($AP$3+#REF!),-1),""))</f>
        <v/>
      </c>
      <c r="DG447" s="517"/>
      <c r="DH447" s="503" t="str">
        <f>IF($G447="","",IF(AND($G447&gt;=30,$AT$3&lt;=DG$7),ROUND(DG447*($AP$3+#REF!),-1),""))</f>
        <v/>
      </c>
      <c r="DI447" s="517"/>
      <c r="DJ447" s="503" t="str">
        <f>IF($G447="","",IF(AND($G447&gt;=30,$AT$3&lt;=DI$7),ROUND(DI447*($AP$3+#REF!),-1),""))</f>
        <v/>
      </c>
      <c r="DK447" s="517"/>
      <c r="DL447" s="503" t="str">
        <f>IF($G447="","",IF(AND($G447&gt;=30,$AT$3&lt;=DK$7),ROUND(DK447*($AP$3+#REF!),-1),""))</f>
        <v/>
      </c>
      <c r="DM447" s="517"/>
      <c r="DN447" s="503" t="str">
        <f>IF($G447="","",IF(AND($G447&gt;=30,$AT$3&lt;=DM$7),ROUND(DM447*($AP$3+#REF!),-1),""))</f>
        <v/>
      </c>
      <c r="DO447" s="517"/>
      <c r="DP447" s="503" t="str">
        <f>IF($G447="","",IF(AND($G447&gt;=30,$AT$3&lt;=DO$7),ROUND(DO447*($AP$3+#REF!),-1),""))</f>
        <v/>
      </c>
      <c r="DQ447" s="517"/>
      <c r="DR447" s="503" t="str">
        <f>IF($G447="","",IF(AND($G447&gt;=30,$AT$3&lt;=DQ$7),ROUND(DQ447*($AP$3+#REF!),-1),""))</f>
        <v/>
      </c>
      <c r="DS447" s="517"/>
      <c r="DT447" s="503" t="str">
        <f>IF($G447="","",IF(AND($G447&gt;=30,$AT$3&lt;=DS$7),ROUND(DS447*($AP$3+#REF!),-1),""))</f>
        <v/>
      </c>
      <c r="DU447" s="517"/>
      <c r="DV447" s="503" t="str">
        <f>IF($G447="","",IF(AND($G447&gt;=30,$AT$3&lt;=DU$7),ROUND(DU447*($AP$3+#REF!),-1),""))</f>
        <v/>
      </c>
      <c r="DW447" s="517"/>
      <c r="DX447" s="503" t="str">
        <f>IF($G447="","",IF(AND($G447&gt;=30,$AT$3&lt;=DW$7),ROUND(DW447*($AP$3+#REF!),-1),""))</f>
        <v/>
      </c>
      <c r="DY447" s="517"/>
      <c r="DZ447" s="503" t="str">
        <f>IF($G447="","",IF(AND($G447&gt;=30,$AT$3&lt;=DY$7),ROUND(DY447*($AP$3+#REF!),-1),""))</f>
        <v/>
      </c>
      <c r="EA447" s="517"/>
      <c r="EB447" s="503" t="str">
        <f>IF($G447="","",IF(AND($G447&gt;=30,$AT$3&lt;=EA$7),ROUND(EA447*($AP$3+#REF!),-1),""))</f>
        <v/>
      </c>
      <c r="EC447" s="504" t="s">
        <v>621</v>
      </c>
      <c r="ED447" s="1124"/>
      <c r="EE447" s="325">
        <v>7</v>
      </c>
    </row>
    <row r="448" spans="1:135" ht="9.75" customHeight="1">
      <c r="A448" s="321" t="str">
        <f t="shared" si="110"/>
        <v/>
      </c>
      <c r="B448" s="567">
        <f>(ii!$D$13*12+V448)+1</f>
        <v>342</v>
      </c>
      <c r="C448" s="337">
        <f t="shared" si="100"/>
        <v>55762</v>
      </c>
      <c r="D448" s="484">
        <f t="shared" si="103"/>
        <v>2052</v>
      </c>
      <c r="E448" s="484">
        <f t="shared" si="101"/>
        <v>0.66666666666666663</v>
      </c>
      <c r="F448" s="484">
        <f t="shared" si="104"/>
        <v>2052.6666666666665</v>
      </c>
      <c r="G448" s="485" t="str">
        <f>IF(OR(C448&lt;$I$2,C448&gt;$J$3),"",(ii!$D$13*12+V448+1)/12)</f>
        <v/>
      </c>
      <c r="H448" s="486"/>
      <c r="I448" s="486"/>
      <c r="J448" s="487"/>
      <c r="K448" s="488"/>
      <c r="L448" s="548"/>
      <c r="M448" s="489" t="str">
        <f t="shared" si="105"/>
        <v/>
      </c>
      <c r="N448" s="490" t="s">
        <v>621</v>
      </c>
      <c r="O448" s="490" t="str">
        <f t="shared" si="98"/>
        <v/>
      </c>
      <c r="P448" s="491"/>
      <c r="Q448" s="491"/>
      <c r="R448" s="491" t="str">
        <f t="shared" si="99"/>
        <v/>
      </c>
      <c r="S448" s="528" t="str">
        <f t="shared" ref="S448:S511" si="111">IF(G448="","",SUM(AF448:EB448))</f>
        <v/>
      </c>
      <c r="T448" s="528" t="str">
        <f t="shared" si="109"/>
        <v/>
      </c>
      <c r="U448" s="493" t="str">
        <f>IF(H448="","",#REF!*12+#REF!+#REF!*12+#REF!)</f>
        <v/>
      </c>
      <c r="V448" s="338">
        <f>IF(ii!$J$3&gt;gg!C448,"",IF(AND((YEAR(C448)=YEAR($I$2)),MONTH(C448)=MONTH($I$2)),ii!$B$14*12+ii!$C$14+ii!$B$15*12+ii!$C$15-1,V447+1))</f>
        <v>341</v>
      </c>
      <c r="W448" s="339">
        <f t="shared" si="102"/>
        <v>28.416666666666668</v>
      </c>
      <c r="X448" s="494" t="s">
        <v>621</v>
      </c>
      <c r="Y448" s="495" t="s">
        <v>621</v>
      </c>
      <c r="Z448" s="496"/>
      <c r="AA448" s="497"/>
      <c r="AB448" s="498" t="e">
        <f t="shared" si="108"/>
        <v>#VALUE!</v>
      </c>
      <c r="AC448" s="484" t="str">
        <f t="shared" si="106"/>
        <v/>
      </c>
      <c r="AD448" s="495" t="str">
        <f t="shared" si="107"/>
        <v/>
      </c>
      <c r="AE448" s="499" t="s">
        <v>621</v>
      </c>
      <c r="AF448" s="500" t="s">
        <v>621</v>
      </c>
      <c r="AG448" s="556" t="s">
        <v>621</v>
      </c>
      <c r="AH448" s="503" t="str">
        <f>IF($G448="","",IF(AND($G448&gt;=30,$AT$3&lt;=AG$7),ROUND(AG448*($AP$3+#REF!),-1),""))</f>
        <v/>
      </c>
      <c r="AI448" s="506" t="s">
        <v>621</v>
      </c>
      <c r="AJ448" s="503" t="str">
        <f>IF($G448="","",IF(AND($G448&gt;=30,$AT$3&lt;=AI$7),ROUND(AI448*($AP$3+#REF!),-1),""))</f>
        <v/>
      </c>
      <c r="AK448" s="506" t="s">
        <v>621</v>
      </c>
      <c r="AL448" s="503" t="str">
        <f>IF($G448="","",IF(AND($G448&gt;=30,$AT$3&lt;=AK$7),ROUND(AK448*($AP$3+#REF!),-1),""))</f>
        <v/>
      </c>
      <c r="AM448" s="506" t="s">
        <v>621</v>
      </c>
      <c r="AN448" s="503" t="str">
        <f>IF($G448="","",IF(AND($G448&gt;=30,$AT$3&lt;=AM$7),ROUND(AM448*($AP$3+#REF!),-1),""))</f>
        <v/>
      </c>
      <c r="AO448" s="503" t="e">
        <v>#REF!</v>
      </c>
      <c r="AP448" s="503" t="str">
        <f>IF($G448="","",IF(AND($G448&gt;=30,$AT$3&lt;=AO$7),ROUND(AO448*($AP$3+#REF!),-1),""))</f>
        <v/>
      </c>
      <c r="AQ448" s="503" t="s">
        <v>621</v>
      </c>
      <c r="AR448" s="503" t="str">
        <f>IF($G448="","",IF(AND($G448&gt;=30,$AT$3&lt;=AQ$7),ROUND(AQ448*($AP$3+#REF!),-1),""))</f>
        <v/>
      </c>
      <c r="AS448" s="503" t="s">
        <v>621</v>
      </c>
      <c r="AT448" s="503" t="str">
        <f>IF($G448="","",IF(AND($G448&gt;=30,$AT$3&lt;=AS$7),ROUND(AS448*($AP$3+#REF!),-1),""))</f>
        <v/>
      </c>
      <c r="AU448" s="503" t="s">
        <v>621</v>
      </c>
      <c r="AV448" s="503" t="str">
        <f>IF($G448="","",IF(AND($G448&gt;=30,$AT$3&lt;=AU$7),ROUND(AU448*($AP$3+#REF!),-1),""))</f>
        <v/>
      </c>
      <c r="AW448" s="503" t="s">
        <v>621</v>
      </c>
      <c r="AX448" s="503" t="str">
        <f>IF($G448="","",IF(AND($G448&gt;=30,$AT$3&lt;=AW$7),ROUND(AW448*($AP$3+#REF!),-1),""))</f>
        <v/>
      </c>
      <c r="AY448" s="503" t="s">
        <v>621</v>
      </c>
      <c r="AZ448" s="503" t="str">
        <f>IF($G448="","",IF(AND($G448&gt;=30,$AT$3&lt;=AY$7),ROUND(AY448*($AP$3+#REF!),-1),""))</f>
        <v/>
      </c>
      <c r="BA448" s="503" t="s">
        <v>621</v>
      </c>
      <c r="BB448" s="503" t="str">
        <f>IF($G448="","",IF(AND($G448&gt;=30,$AT$3&lt;=BA$7),ROUND(BA448*($AP$3+#REF!),-1),""))</f>
        <v/>
      </c>
      <c r="BC448" s="503" t="s">
        <v>621</v>
      </c>
      <c r="BD448" s="503" t="str">
        <f>IF($G448="","",IF(AND($G448&gt;=30,$AT$3&lt;=BC$7),ROUND(BC448*($AP$3+#REF!),-1),""))</f>
        <v/>
      </c>
      <c r="BE448" s="503" t="s">
        <v>621</v>
      </c>
      <c r="BF448" s="503" t="str">
        <f>IF($G448="","",IF(AND($G448&gt;=30,$AT$3&lt;=BE$7),ROUND(BE448*($AP$3+#REF!),-1),""))</f>
        <v/>
      </c>
      <c r="BG448" s="503" t="s">
        <v>621</v>
      </c>
      <c r="BH448" s="503" t="str">
        <f>IF($G448="","",IF(AND($G448&gt;=30,$AT$3&lt;=BG$7),ROUND(BG448*($AP$3+#REF!),-1),""))</f>
        <v/>
      </c>
      <c r="BI448" s="503" t="s">
        <v>621</v>
      </c>
      <c r="BJ448" s="503" t="str">
        <f>IF($G448="","",IF(AND($G448&gt;=30,$AT$3&lt;=BI$7),ROUND(BI448*($AP$3+#REF!),-1),""))</f>
        <v/>
      </c>
      <c r="BK448" s="503" t="s">
        <v>621</v>
      </c>
      <c r="BL448" s="503" t="str">
        <f>IF($G448="","",IF(AND($G448&gt;=30,$AT$3&lt;=BK$7),ROUND(BK448*($AP$3+#REF!),-1),""))</f>
        <v/>
      </c>
      <c r="BM448" s="503" t="s">
        <v>621</v>
      </c>
      <c r="BN448" s="503" t="str">
        <f>IF($G448="","",IF(AND($G448&gt;=30,$AT$3&lt;=BM$7),ROUND(BM448*($AP$3+#REF!),-1),""))</f>
        <v/>
      </c>
      <c r="BO448" s="503" t="s">
        <v>621</v>
      </c>
      <c r="BP448" s="503" t="str">
        <f>IF($G448="","",IF(AND($G448&gt;=30,$AT$3&lt;=BO$7),ROUND(BO448*($AP$3+#REF!),-1),""))</f>
        <v/>
      </c>
      <c r="BQ448" s="503" t="s">
        <v>621</v>
      </c>
      <c r="BR448" s="503" t="str">
        <f>IF($G448="","",IF(AND($G448&gt;=30,$AT$3&lt;=BQ$7),ROUND(BQ448*($AP$3+#REF!),-1),""))</f>
        <v/>
      </c>
      <c r="BS448" s="503" t="s">
        <v>621</v>
      </c>
      <c r="BT448" s="503" t="str">
        <f>IF($G448="","",IF(AND($G448&gt;=30,$AT$3&lt;=BS$7),ROUND(BS448*($AP$3+#REF!),-1),""))</f>
        <v/>
      </c>
      <c r="BU448" s="503" t="s">
        <v>621</v>
      </c>
      <c r="BV448" s="503" t="str">
        <f>IF($G448="","",IF(AND($G448&gt;=30,$AT$3&lt;=BU$7),ROUND(BU448*($AP$3+#REF!),-1),""))</f>
        <v/>
      </c>
      <c r="BW448" s="503" t="s">
        <v>621</v>
      </c>
      <c r="BX448" s="503" t="str">
        <f>IF($G448="","",IF(AND($G448&gt;=30,$AT$3&lt;=BW$7),ROUND(BW448*($AP$3+#REF!),-1),""))</f>
        <v/>
      </c>
      <c r="BY448" s="503" t="s">
        <v>621</v>
      </c>
      <c r="BZ448" s="503" t="str">
        <f>IF($G448="","",IF(AND($G448&gt;=30,$AT$3&lt;=BY$7),ROUND(BY448*($AP$3+#REF!),-1),""))</f>
        <v/>
      </c>
      <c r="CA448" s="503" t="s">
        <v>621</v>
      </c>
      <c r="CB448" s="503" t="str">
        <f>IF($G448="","",IF(AND($G448&gt;=30,$AT$3&lt;=CA$7),ROUND(CA448*($AP$3+#REF!),-1),""))</f>
        <v/>
      </c>
      <c r="CC448" s="503" t="s">
        <v>621</v>
      </c>
      <c r="CD448" s="503" t="str">
        <f>IF($G448="","",IF(AND($G448&gt;=30,$AT$3&lt;=CC$7),ROUND(CC448*($AP$3+#REF!),-1),""))</f>
        <v/>
      </c>
      <c r="CE448" s="503" t="s">
        <v>621</v>
      </c>
      <c r="CF448" s="503" t="str">
        <f>IF($G448="","",IF(AND($G448&gt;=30,$AT$3&lt;=CE$7),ROUND(CE448*($AP$3+#REF!),-1),""))</f>
        <v/>
      </c>
      <c r="CG448" s="503" t="s">
        <v>621</v>
      </c>
      <c r="CH448" s="503" t="str">
        <f>IF($G448="","",IF(AND($G448&gt;=30,$AT$3&lt;=CG$7),ROUND(CG448*($AP$3+#REF!),-1),""))</f>
        <v/>
      </c>
      <c r="CI448" s="503" t="s">
        <v>621</v>
      </c>
      <c r="CJ448" s="503" t="str">
        <f>IF($G448="","",IF(AND($G448&gt;=30,$AT$3&lt;=CI$7),ROUND(CI448*($AP$3+#REF!),-1),""))</f>
        <v/>
      </c>
      <c r="CK448" s="503" t="s">
        <v>621</v>
      </c>
      <c r="CL448" s="503" t="str">
        <f>IF($G448="","",IF(AND($G448&gt;=30,$AT$3&lt;=CK$7),ROUND(CK448*($AP$3+#REF!),-1),""))</f>
        <v/>
      </c>
      <c r="CM448" s="503" t="s">
        <v>621</v>
      </c>
      <c r="CN448" s="503" t="str">
        <f>IF($G448="","",IF(AND($G448&gt;=30,$AT$3&lt;=CM$7),ROUND(CM448*($AP$3+#REF!),-1),""))</f>
        <v/>
      </c>
      <c r="CO448" s="503" t="s">
        <v>621</v>
      </c>
      <c r="CP448" s="503" t="str">
        <f>IF($G448="","",IF(AND($G448&gt;=30,$AT$3&lt;=CO$7),ROUND(CO448*($AP$3+#REF!),-1),""))</f>
        <v/>
      </c>
      <c r="CQ448" s="503" t="s">
        <v>621</v>
      </c>
      <c r="CR448" s="503" t="str">
        <f>IF($G448="","",IF(AND($G448&gt;=30,$AT$3&lt;=CQ$7),ROUND(CQ448*($AP$3+#REF!),-1),""))</f>
        <v/>
      </c>
      <c r="CS448" s="503" t="s">
        <v>621</v>
      </c>
      <c r="CT448" s="503" t="str">
        <f>IF($G448="","",IF(AND($G448&gt;=30,$AT$3&lt;=CS$7),ROUND(CS448*($AP$3+#REF!),-1),""))</f>
        <v/>
      </c>
      <c r="CU448" s="503" t="s">
        <v>621</v>
      </c>
      <c r="CV448" s="503" t="str">
        <f>IF($G448="","",IF(AND($G448&gt;=30,$AT$3&lt;=CU$7),ROUND(CU448*($AP$3+#REF!),-1),""))</f>
        <v/>
      </c>
      <c r="CW448" s="503" t="s">
        <v>621</v>
      </c>
      <c r="CX448" s="503" t="str">
        <f>IF($G448="","",IF(AND($G448&gt;=30,$AT$3&lt;=CW$7),ROUND(CW448*($AP$3+#REF!),-1),""))</f>
        <v/>
      </c>
      <c r="CY448" s="503" t="s">
        <v>621</v>
      </c>
      <c r="CZ448" s="503" t="str">
        <f>IF($G448="","",IF(AND($G448&gt;=30,$AT$3&lt;=CY$7),ROUND(CY448*($AP$3+#REF!),-1),""))</f>
        <v/>
      </c>
      <c r="DA448" s="517" t="e">
        <v>#REF!</v>
      </c>
      <c r="DB448" s="503" t="str">
        <f>IF($G448="","",IF(AND($G448&gt;=30,$AT$3&lt;=DA$7),ROUND(DA448*($AP$3+#REF!),-1),""))</f>
        <v/>
      </c>
      <c r="DC448" s="517"/>
      <c r="DD448" s="503" t="str">
        <f>IF($G448="","",IF(AND($G448&gt;=30,$AT$3&lt;=DC$7),ROUND(DC448*($AP$3+#REF!),-1),""))</f>
        <v/>
      </c>
      <c r="DE448" s="517"/>
      <c r="DF448" s="503" t="str">
        <f>IF($G448="","",IF(AND($G448&gt;=30,$AT$3&lt;=DE$7),ROUND(DE448*($AP$3+#REF!),-1),""))</f>
        <v/>
      </c>
      <c r="DG448" s="517"/>
      <c r="DH448" s="503" t="str">
        <f>IF($G448="","",IF(AND($G448&gt;=30,$AT$3&lt;=DG$7),ROUND(DG448*($AP$3+#REF!),-1),""))</f>
        <v/>
      </c>
      <c r="DI448" s="517"/>
      <c r="DJ448" s="503" t="str">
        <f>IF($G448="","",IF(AND($G448&gt;=30,$AT$3&lt;=DI$7),ROUND(DI448*($AP$3+#REF!),-1),""))</f>
        <v/>
      </c>
      <c r="DK448" s="517"/>
      <c r="DL448" s="503" t="str">
        <f>IF($G448="","",IF(AND($G448&gt;=30,$AT$3&lt;=DK$7),ROUND(DK448*($AP$3+#REF!),-1),""))</f>
        <v/>
      </c>
      <c r="DM448" s="517"/>
      <c r="DN448" s="503" t="str">
        <f>IF($G448="","",IF(AND($G448&gt;=30,$AT$3&lt;=DM$7),ROUND(DM448*($AP$3+#REF!),-1),""))</f>
        <v/>
      </c>
      <c r="DO448" s="517"/>
      <c r="DP448" s="503" t="str">
        <f>IF($G448="","",IF(AND($G448&gt;=30,$AT$3&lt;=DO$7),ROUND(DO448*($AP$3+#REF!),-1),""))</f>
        <v/>
      </c>
      <c r="DQ448" s="517"/>
      <c r="DR448" s="503" t="str">
        <f>IF($G448="","",IF(AND($G448&gt;=30,$AT$3&lt;=DQ$7),ROUND(DQ448*($AP$3+#REF!),-1),""))</f>
        <v/>
      </c>
      <c r="DS448" s="517"/>
      <c r="DT448" s="503" t="str">
        <f>IF($G448="","",IF(AND($G448&gt;=30,$AT$3&lt;=DS$7),ROUND(DS448*($AP$3+#REF!),-1),""))</f>
        <v/>
      </c>
      <c r="DU448" s="517"/>
      <c r="DV448" s="503" t="str">
        <f>IF($G448="","",IF(AND($G448&gt;=30,$AT$3&lt;=DU$7),ROUND(DU448*($AP$3+#REF!),-1),""))</f>
        <v/>
      </c>
      <c r="DW448" s="517"/>
      <c r="DX448" s="503" t="str">
        <f>IF($G448="","",IF(AND($G448&gt;=30,$AT$3&lt;=DW$7),ROUND(DW448*($AP$3+#REF!),-1),""))</f>
        <v/>
      </c>
      <c r="DY448" s="517"/>
      <c r="DZ448" s="503" t="str">
        <f>IF($G448="","",IF(AND($G448&gt;=30,$AT$3&lt;=DY$7),ROUND(DY448*($AP$3+#REF!),-1),""))</f>
        <v/>
      </c>
      <c r="EA448" s="517"/>
      <c r="EB448" s="503" t="str">
        <f>IF($G448="","",IF(AND($G448&gt;=30,$AT$3&lt;=EA$7),ROUND(EA448*($AP$3+#REF!),-1),""))</f>
        <v/>
      </c>
      <c r="EC448" s="504" t="s">
        <v>621</v>
      </c>
      <c r="ED448" s="1124"/>
      <c r="EE448" s="325">
        <v>8</v>
      </c>
    </row>
    <row r="449" spans="1:135" ht="9.75" customHeight="1">
      <c r="A449" s="321" t="str">
        <f t="shared" si="110"/>
        <v/>
      </c>
      <c r="B449" s="567">
        <f>(ii!$D$13*12+V449)+1</f>
        <v>343</v>
      </c>
      <c r="C449" s="337">
        <f t="shared" si="100"/>
        <v>55792</v>
      </c>
      <c r="D449" s="484">
        <f t="shared" si="103"/>
        <v>2052</v>
      </c>
      <c r="E449" s="484">
        <f t="shared" si="101"/>
        <v>0.75</v>
      </c>
      <c r="F449" s="484">
        <f t="shared" si="104"/>
        <v>2052.75</v>
      </c>
      <c r="G449" s="485" t="str">
        <f>IF(OR(C449&lt;$I$2,C449&gt;$J$3),"",(ii!$D$13*12+V449+1)/12)</f>
        <v/>
      </c>
      <c r="H449" s="486"/>
      <c r="I449" s="486"/>
      <c r="J449" s="487"/>
      <c r="K449" s="488"/>
      <c r="L449" s="548"/>
      <c r="M449" s="489" t="str">
        <f t="shared" si="105"/>
        <v/>
      </c>
      <c r="N449" s="490" t="s">
        <v>621</v>
      </c>
      <c r="O449" s="490" t="str">
        <f t="shared" si="98"/>
        <v/>
      </c>
      <c r="P449" s="491"/>
      <c r="Q449" s="491"/>
      <c r="R449" s="491" t="str">
        <f t="shared" si="99"/>
        <v/>
      </c>
      <c r="S449" s="528" t="str">
        <f t="shared" si="111"/>
        <v/>
      </c>
      <c r="T449" s="528" t="str">
        <f t="shared" si="109"/>
        <v/>
      </c>
      <c r="U449" s="493" t="str">
        <f>IF(H449="","",#REF!*12+#REF!+#REF!*12+#REF!)</f>
        <v/>
      </c>
      <c r="V449" s="338">
        <f>IF(ii!$J$3&gt;gg!C449,"",IF(AND((YEAR(C449)=YEAR($I$2)),MONTH(C449)=MONTH($I$2)),ii!$B$14*12+ii!$C$14+ii!$B$15*12+ii!$C$15-1,V448+1))</f>
        <v>342</v>
      </c>
      <c r="W449" s="339">
        <f t="shared" si="102"/>
        <v>28.5</v>
      </c>
      <c r="X449" s="494" t="s">
        <v>621</v>
      </c>
      <c r="Y449" s="495" t="s">
        <v>621</v>
      </c>
      <c r="Z449" s="496"/>
      <c r="AA449" s="497"/>
      <c r="AB449" s="498" t="e">
        <f t="shared" si="108"/>
        <v>#VALUE!</v>
      </c>
      <c r="AC449" s="484" t="str">
        <f t="shared" si="106"/>
        <v/>
      </c>
      <c r="AD449" s="495" t="str">
        <f t="shared" si="107"/>
        <v/>
      </c>
      <c r="AE449" s="499" t="s">
        <v>621</v>
      </c>
      <c r="AF449" s="500" t="s">
        <v>621</v>
      </c>
      <c r="AG449" s="556" t="s">
        <v>621</v>
      </c>
      <c r="AH449" s="503" t="str">
        <f>IF($G449="","",IF(AND($G449&gt;=30,$AT$3&lt;=AG$7),ROUND(AG449*($AP$3+#REF!),-1),""))</f>
        <v/>
      </c>
      <c r="AI449" s="506" t="s">
        <v>621</v>
      </c>
      <c r="AJ449" s="503" t="str">
        <f>IF($G449="","",IF(AND($G449&gt;=30,$AT$3&lt;=AI$7),ROUND(AI449*($AP$3+#REF!),-1),""))</f>
        <v/>
      </c>
      <c r="AK449" s="506" t="s">
        <v>621</v>
      </c>
      <c r="AL449" s="503" t="str">
        <f>IF($G449="","",IF(AND($G449&gt;=30,$AT$3&lt;=AK$7),ROUND(AK449*($AP$3+#REF!),-1),""))</f>
        <v/>
      </c>
      <c r="AM449" s="506" t="s">
        <v>621</v>
      </c>
      <c r="AN449" s="503" t="str">
        <f>IF($G449="","",IF(AND($G449&gt;=30,$AT$3&lt;=AM$7),ROUND(AM449*($AP$3+#REF!),-1),""))</f>
        <v/>
      </c>
      <c r="AO449" s="503" t="e">
        <v>#REF!</v>
      </c>
      <c r="AP449" s="503" t="str">
        <f>IF($G449="","",IF(AND($G449&gt;=30,$AT$3&lt;=AO$7),ROUND(AO449*($AP$3+#REF!),-1),""))</f>
        <v/>
      </c>
      <c r="AQ449" s="503" t="s">
        <v>621</v>
      </c>
      <c r="AR449" s="503" t="str">
        <f>IF($G449="","",IF(AND($G449&gt;=30,$AT$3&lt;=AQ$7),ROUND(AQ449*($AP$3+#REF!),-1),""))</f>
        <v/>
      </c>
      <c r="AS449" s="503" t="s">
        <v>621</v>
      </c>
      <c r="AT449" s="503" t="str">
        <f>IF($G449="","",IF(AND($G449&gt;=30,$AT$3&lt;=AS$7),ROUND(AS449*($AP$3+#REF!),-1),""))</f>
        <v/>
      </c>
      <c r="AU449" s="503" t="s">
        <v>621</v>
      </c>
      <c r="AV449" s="503" t="str">
        <f>IF($G449="","",IF(AND($G449&gt;=30,$AT$3&lt;=AU$7),ROUND(AU449*($AP$3+#REF!),-1),""))</f>
        <v/>
      </c>
      <c r="AW449" s="503" t="s">
        <v>621</v>
      </c>
      <c r="AX449" s="503" t="str">
        <f>IF($G449="","",IF(AND($G449&gt;=30,$AT$3&lt;=AW$7),ROUND(AW449*($AP$3+#REF!),-1),""))</f>
        <v/>
      </c>
      <c r="AY449" s="503" t="s">
        <v>621</v>
      </c>
      <c r="AZ449" s="503" t="str">
        <f>IF($G449="","",IF(AND($G449&gt;=30,$AT$3&lt;=AY$7),ROUND(AY449*($AP$3+#REF!),-1),""))</f>
        <v/>
      </c>
      <c r="BA449" s="503" t="s">
        <v>621</v>
      </c>
      <c r="BB449" s="503" t="str">
        <f>IF($G449="","",IF(AND($G449&gt;=30,$AT$3&lt;=BA$7),ROUND(BA449*($AP$3+#REF!),-1),""))</f>
        <v/>
      </c>
      <c r="BC449" s="503" t="s">
        <v>621</v>
      </c>
      <c r="BD449" s="503" t="str">
        <f>IF($G449="","",IF(AND($G449&gt;=30,$AT$3&lt;=BC$7),ROUND(BC449*($AP$3+#REF!),-1),""))</f>
        <v/>
      </c>
      <c r="BE449" s="503" t="s">
        <v>621</v>
      </c>
      <c r="BF449" s="503" t="str">
        <f>IF($G449="","",IF(AND($G449&gt;=30,$AT$3&lt;=BE$7),ROUND(BE449*($AP$3+#REF!),-1),""))</f>
        <v/>
      </c>
      <c r="BG449" s="503" t="s">
        <v>621</v>
      </c>
      <c r="BH449" s="503" t="str">
        <f>IF($G449="","",IF(AND($G449&gt;=30,$AT$3&lt;=BG$7),ROUND(BG449*($AP$3+#REF!),-1),""))</f>
        <v/>
      </c>
      <c r="BI449" s="503" t="s">
        <v>621</v>
      </c>
      <c r="BJ449" s="503" t="str">
        <f>IF($G449="","",IF(AND($G449&gt;=30,$AT$3&lt;=BI$7),ROUND(BI449*($AP$3+#REF!),-1),""))</f>
        <v/>
      </c>
      <c r="BK449" s="503" t="s">
        <v>621</v>
      </c>
      <c r="BL449" s="503" t="str">
        <f>IF($G449="","",IF(AND($G449&gt;=30,$AT$3&lt;=BK$7),ROUND(BK449*($AP$3+#REF!),-1),""))</f>
        <v/>
      </c>
      <c r="BM449" s="503" t="s">
        <v>621</v>
      </c>
      <c r="BN449" s="503" t="str">
        <f>IF($G449="","",IF(AND($G449&gt;=30,$AT$3&lt;=BM$7),ROUND(BM449*($AP$3+#REF!),-1),""))</f>
        <v/>
      </c>
      <c r="BO449" s="503" t="s">
        <v>621</v>
      </c>
      <c r="BP449" s="503" t="str">
        <f>IF($G449="","",IF(AND($G449&gt;=30,$AT$3&lt;=BO$7),ROUND(BO449*($AP$3+#REF!),-1),""))</f>
        <v/>
      </c>
      <c r="BQ449" s="503" t="s">
        <v>621</v>
      </c>
      <c r="BR449" s="503" t="str">
        <f>IF($G449="","",IF(AND($G449&gt;=30,$AT$3&lt;=BQ$7),ROUND(BQ449*($AP$3+#REF!),-1),""))</f>
        <v/>
      </c>
      <c r="BS449" s="503" t="s">
        <v>621</v>
      </c>
      <c r="BT449" s="503" t="str">
        <f>IF($G449="","",IF(AND($G449&gt;=30,$AT$3&lt;=BS$7),ROUND(BS449*($AP$3+#REF!),-1),""))</f>
        <v/>
      </c>
      <c r="BU449" s="503" t="s">
        <v>621</v>
      </c>
      <c r="BV449" s="503" t="str">
        <f>IF($G449="","",IF(AND($G449&gt;=30,$AT$3&lt;=BU$7),ROUND(BU449*($AP$3+#REF!),-1),""))</f>
        <v/>
      </c>
      <c r="BW449" s="503" t="s">
        <v>621</v>
      </c>
      <c r="BX449" s="503" t="str">
        <f>IF($G449="","",IF(AND($G449&gt;=30,$AT$3&lt;=BW$7),ROUND(BW449*($AP$3+#REF!),-1),""))</f>
        <v/>
      </c>
      <c r="BY449" s="503" t="s">
        <v>621</v>
      </c>
      <c r="BZ449" s="503" t="str">
        <f>IF($G449="","",IF(AND($G449&gt;=30,$AT$3&lt;=BY$7),ROUND(BY449*($AP$3+#REF!),-1),""))</f>
        <v/>
      </c>
      <c r="CA449" s="503" t="s">
        <v>621</v>
      </c>
      <c r="CB449" s="503" t="str">
        <f>IF($G449="","",IF(AND($G449&gt;=30,$AT$3&lt;=CA$7),ROUND(CA449*($AP$3+#REF!),-1),""))</f>
        <v/>
      </c>
      <c r="CC449" s="503" t="s">
        <v>621</v>
      </c>
      <c r="CD449" s="503" t="str">
        <f>IF($G449="","",IF(AND($G449&gt;=30,$AT$3&lt;=CC$7),ROUND(CC449*($AP$3+#REF!),-1),""))</f>
        <v/>
      </c>
      <c r="CE449" s="503" t="s">
        <v>621</v>
      </c>
      <c r="CF449" s="503" t="str">
        <f>IF($G449="","",IF(AND($G449&gt;=30,$AT$3&lt;=CE$7),ROUND(CE449*($AP$3+#REF!),-1),""))</f>
        <v/>
      </c>
      <c r="CG449" s="503" t="s">
        <v>621</v>
      </c>
      <c r="CH449" s="503" t="str">
        <f>IF($G449="","",IF(AND($G449&gt;=30,$AT$3&lt;=CG$7),ROUND(CG449*($AP$3+#REF!),-1),""))</f>
        <v/>
      </c>
      <c r="CI449" s="503" t="s">
        <v>621</v>
      </c>
      <c r="CJ449" s="503" t="str">
        <f>IF($G449="","",IF(AND($G449&gt;=30,$AT$3&lt;=CI$7),ROUND(CI449*($AP$3+#REF!),-1),""))</f>
        <v/>
      </c>
      <c r="CK449" s="503" t="s">
        <v>621</v>
      </c>
      <c r="CL449" s="503" t="str">
        <f>IF($G449="","",IF(AND($G449&gt;=30,$AT$3&lt;=CK$7),ROUND(CK449*($AP$3+#REF!),-1),""))</f>
        <v/>
      </c>
      <c r="CM449" s="503" t="s">
        <v>621</v>
      </c>
      <c r="CN449" s="503" t="str">
        <f>IF($G449="","",IF(AND($G449&gt;=30,$AT$3&lt;=CM$7),ROUND(CM449*($AP$3+#REF!),-1),""))</f>
        <v/>
      </c>
      <c r="CO449" s="503" t="s">
        <v>621</v>
      </c>
      <c r="CP449" s="503" t="str">
        <f>IF($G449="","",IF(AND($G449&gt;=30,$AT$3&lt;=CO$7),ROUND(CO449*($AP$3+#REF!),-1),""))</f>
        <v/>
      </c>
      <c r="CQ449" s="503" t="s">
        <v>621</v>
      </c>
      <c r="CR449" s="503" t="str">
        <f>IF($G449="","",IF(AND($G449&gt;=30,$AT$3&lt;=CQ$7),ROUND(CQ449*($AP$3+#REF!),-1),""))</f>
        <v/>
      </c>
      <c r="CS449" s="503" t="s">
        <v>621</v>
      </c>
      <c r="CT449" s="503" t="str">
        <f>IF($G449="","",IF(AND($G449&gt;=30,$AT$3&lt;=CS$7),ROUND(CS449*($AP$3+#REF!),-1),""))</f>
        <v/>
      </c>
      <c r="CU449" s="503" t="s">
        <v>621</v>
      </c>
      <c r="CV449" s="503" t="str">
        <f>IF($G449="","",IF(AND($G449&gt;=30,$AT$3&lt;=CU$7),ROUND(CU449*($AP$3+#REF!),-1),""))</f>
        <v/>
      </c>
      <c r="CW449" s="503" t="s">
        <v>621</v>
      </c>
      <c r="CX449" s="503" t="str">
        <f>IF($G449="","",IF(AND($G449&gt;=30,$AT$3&lt;=CW$7),ROUND(CW449*($AP$3+#REF!),-1),""))</f>
        <v/>
      </c>
      <c r="CY449" s="503" t="s">
        <v>621</v>
      </c>
      <c r="CZ449" s="503" t="str">
        <f>IF($G449="","",IF(AND($G449&gt;=30,$AT$3&lt;=CY$7),ROUND(CY449*($AP$3+#REF!),-1),""))</f>
        <v/>
      </c>
      <c r="DA449" s="517" t="e">
        <v>#REF!</v>
      </c>
      <c r="DB449" s="503" t="str">
        <f>IF($G449="","",IF(AND($G449&gt;=30,$AT$3&lt;=DA$7),ROUND(DA449*($AP$3+#REF!),-1),""))</f>
        <v/>
      </c>
      <c r="DC449" s="517"/>
      <c r="DD449" s="503" t="str">
        <f>IF($G449="","",IF(AND($G449&gt;=30,$AT$3&lt;=DC$7),ROUND(DC449*($AP$3+#REF!),-1),""))</f>
        <v/>
      </c>
      <c r="DE449" s="517"/>
      <c r="DF449" s="503" t="str">
        <f>IF($G449="","",IF(AND($G449&gt;=30,$AT$3&lt;=DE$7),ROUND(DE449*($AP$3+#REF!),-1),""))</f>
        <v/>
      </c>
      <c r="DG449" s="517"/>
      <c r="DH449" s="503" t="str">
        <f>IF($G449="","",IF(AND($G449&gt;=30,$AT$3&lt;=DG$7),ROUND(DG449*($AP$3+#REF!),-1),""))</f>
        <v/>
      </c>
      <c r="DI449" s="517"/>
      <c r="DJ449" s="503" t="str">
        <f>IF($G449="","",IF(AND($G449&gt;=30,$AT$3&lt;=DI$7),ROUND(DI449*($AP$3+#REF!),-1),""))</f>
        <v/>
      </c>
      <c r="DK449" s="517"/>
      <c r="DL449" s="503" t="str">
        <f>IF($G449="","",IF(AND($G449&gt;=30,$AT$3&lt;=DK$7),ROUND(DK449*($AP$3+#REF!),-1),""))</f>
        <v/>
      </c>
      <c r="DM449" s="517"/>
      <c r="DN449" s="503" t="str">
        <f>IF($G449="","",IF(AND($G449&gt;=30,$AT$3&lt;=DM$7),ROUND(DM449*($AP$3+#REF!),-1),""))</f>
        <v/>
      </c>
      <c r="DO449" s="517"/>
      <c r="DP449" s="503" t="str">
        <f>IF($G449="","",IF(AND($G449&gt;=30,$AT$3&lt;=DO$7),ROUND(DO449*($AP$3+#REF!),-1),""))</f>
        <v/>
      </c>
      <c r="DQ449" s="517"/>
      <c r="DR449" s="503" t="str">
        <f>IF($G449="","",IF(AND($G449&gt;=30,$AT$3&lt;=DQ$7),ROUND(DQ449*($AP$3+#REF!),-1),""))</f>
        <v/>
      </c>
      <c r="DS449" s="517"/>
      <c r="DT449" s="503" t="str">
        <f>IF($G449="","",IF(AND($G449&gt;=30,$AT$3&lt;=DS$7),ROUND(DS449*($AP$3+#REF!),-1),""))</f>
        <v/>
      </c>
      <c r="DU449" s="517"/>
      <c r="DV449" s="503" t="str">
        <f>IF($G449="","",IF(AND($G449&gt;=30,$AT$3&lt;=DU$7),ROUND(DU449*($AP$3+#REF!),-1),""))</f>
        <v/>
      </c>
      <c r="DW449" s="517"/>
      <c r="DX449" s="503" t="str">
        <f>IF($G449="","",IF(AND($G449&gt;=30,$AT$3&lt;=DW$7),ROUND(DW449*($AP$3+#REF!),-1),""))</f>
        <v/>
      </c>
      <c r="DY449" s="517"/>
      <c r="DZ449" s="503" t="str">
        <f>IF($G449="","",IF(AND($G449&gt;=30,$AT$3&lt;=DY$7),ROUND(DY449*($AP$3+#REF!),-1),""))</f>
        <v/>
      </c>
      <c r="EA449" s="517"/>
      <c r="EB449" s="503" t="str">
        <f>IF($G449="","",IF(AND($G449&gt;=30,$AT$3&lt;=EA$7),ROUND(EA449*($AP$3+#REF!),-1),""))</f>
        <v/>
      </c>
      <c r="EC449" s="504" t="s">
        <v>621</v>
      </c>
      <c r="ED449" s="1124"/>
      <c r="EE449" s="325">
        <v>9</v>
      </c>
    </row>
    <row r="450" spans="1:135" ht="9.75" customHeight="1">
      <c r="A450" s="321" t="str">
        <f t="shared" si="110"/>
        <v/>
      </c>
      <c r="B450" s="567">
        <f>(ii!$D$13*12+V450)+1</f>
        <v>344</v>
      </c>
      <c r="C450" s="337">
        <f t="shared" si="100"/>
        <v>55823</v>
      </c>
      <c r="D450" s="484">
        <f t="shared" si="103"/>
        <v>2052</v>
      </c>
      <c r="E450" s="484">
        <f t="shared" si="101"/>
        <v>0.83333333333333337</v>
      </c>
      <c r="F450" s="484">
        <f t="shared" si="104"/>
        <v>2052.8333333333335</v>
      </c>
      <c r="G450" s="485" t="str">
        <f>IF(OR(C450&lt;$I$2,C450&gt;$J$3),"",(ii!$D$13*12+V450+1)/12)</f>
        <v/>
      </c>
      <c r="H450" s="486"/>
      <c r="I450" s="486"/>
      <c r="J450" s="487"/>
      <c r="K450" s="488"/>
      <c r="L450" s="548"/>
      <c r="M450" s="489" t="str">
        <f t="shared" si="105"/>
        <v/>
      </c>
      <c r="N450" s="490" t="s">
        <v>621</v>
      </c>
      <c r="O450" s="490" t="str">
        <f t="shared" si="98"/>
        <v/>
      </c>
      <c r="P450" s="491"/>
      <c r="Q450" s="491"/>
      <c r="R450" s="491" t="str">
        <f t="shared" si="99"/>
        <v/>
      </c>
      <c r="S450" s="528" t="str">
        <f t="shared" si="111"/>
        <v/>
      </c>
      <c r="T450" s="528" t="str">
        <f t="shared" si="109"/>
        <v/>
      </c>
      <c r="U450" s="493" t="str">
        <f>IF(H450="","",#REF!*12+#REF!+#REF!*12+#REF!)</f>
        <v/>
      </c>
      <c r="V450" s="338">
        <f>IF(ii!$J$3&gt;gg!C450,"",IF(AND((YEAR(C450)=YEAR($I$2)),MONTH(C450)=MONTH($I$2)),ii!$B$14*12+ii!$C$14+ii!$B$15*12+ii!$C$15-1,V449+1))</f>
        <v>343</v>
      </c>
      <c r="W450" s="339">
        <f t="shared" si="102"/>
        <v>28.583333333333332</v>
      </c>
      <c r="X450" s="494" t="s">
        <v>621</v>
      </c>
      <c r="Y450" s="495" t="s">
        <v>621</v>
      </c>
      <c r="Z450" s="496"/>
      <c r="AA450" s="497"/>
      <c r="AB450" s="498" t="e">
        <f t="shared" si="108"/>
        <v>#VALUE!</v>
      </c>
      <c r="AC450" s="484" t="str">
        <f t="shared" si="106"/>
        <v/>
      </c>
      <c r="AD450" s="495" t="str">
        <f t="shared" si="107"/>
        <v/>
      </c>
      <c r="AE450" s="499" t="s">
        <v>621</v>
      </c>
      <c r="AF450" s="500" t="s">
        <v>621</v>
      </c>
      <c r="AG450" s="556" t="s">
        <v>621</v>
      </c>
      <c r="AH450" s="503" t="str">
        <f>IF($G450="","",IF(AND($G450&gt;=30,$AT$3&lt;=AG$7),ROUND(AG450*($AP$3+#REF!),-1),""))</f>
        <v/>
      </c>
      <c r="AI450" s="506" t="s">
        <v>621</v>
      </c>
      <c r="AJ450" s="503" t="str">
        <f>IF($G450="","",IF(AND($G450&gt;=30,$AT$3&lt;=AI$7),ROUND(AI450*($AP$3+#REF!),-1),""))</f>
        <v/>
      </c>
      <c r="AK450" s="506" t="s">
        <v>621</v>
      </c>
      <c r="AL450" s="503" t="str">
        <f>IF($G450="","",IF(AND($G450&gt;=30,$AT$3&lt;=AK$7),ROUND(AK450*($AP$3+#REF!),-1),""))</f>
        <v/>
      </c>
      <c r="AM450" s="506" t="s">
        <v>621</v>
      </c>
      <c r="AN450" s="503" t="str">
        <f>IF($G450="","",IF(AND($G450&gt;=30,$AT$3&lt;=AM$7),ROUND(AM450*($AP$3+#REF!),-1),""))</f>
        <v/>
      </c>
      <c r="AO450" s="503" t="e">
        <v>#REF!</v>
      </c>
      <c r="AP450" s="503" t="str">
        <f>IF($G450="","",IF(AND($G450&gt;=30,$AT$3&lt;=AO$7),ROUND(AO450*($AP$3+#REF!),-1),""))</f>
        <v/>
      </c>
      <c r="AQ450" s="503" t="s">
        <v>621</v>
      </c>
      <c r="AR450" s="503" t="str">
        <f>IF($G450="","",IF(AND($G450&gt;=30,$AT$3&lt;=AQ$7),ROUND(AQ450*($AP$3+#REF!),-1),""))</f>
        <v/>
      </c>
      <c r="AS450" s="503" t="s">
        <v>621</v>
      </c>
      <c r="AT450" s="503" t="str">
        <f>IF($G450="","",IF(AND($G450&gt;=30,$AT$3&lt;=AS$7),ROUND(AS450*($AP$3+#REF!),-1),""))</f>
        <v/>
      </c>
      <c r="AU450" s="503" t="s">
        <v>621</v>
      </c>
      <c r="AV450" s="503" t="str">
        <f>IF($G450="","",IF(AND($G450&gt;=30,$AT$3&lt;=AU$7),ROUND(AU450*($AP$3+#REF!),-1),""))</f>
        <v/>
      </c>
      <c r="AW450" s="503" t="s">
        <v>621</v>
      </c>
      <c r="AX450" s="503" t="str">
        <f>IF($G450="","",IF(AND($G450&gt;=30,$AT$3&lt;=AW$7),ROUND(AW450*($AP$3+#REF!),-1),""))</f>
        <v/>
      </c>
      <c r="AY450" s="503" t="s">
        <v>621</v>
      </c>
      <c r="AZ450" s="503" t="str">
        <f>IF($G450="","",IF(AND($G450&gt;=30,$AT$3&lt;=AY$7),ROUND(AY450*($AP$3+#REF!),-1),""))</f>
        <v/>
      </c>
      <c r="BA450" s="503" t="s">
        <v>621</v>
      </c>
      <c r="BB450" s="503" t="str">
        <f>IF($G450="","",IF(AND($G450&gt;=30,$AT$3&lt;=BA$7),ROUND(BA450*($AP$3+#REF!),-1),""))</f>
        <v/>
      </c>
      <c r="BC450" s="503" t="s">
        <v>621</v>
      </c>
      <c r="BD450" s="503" t="str">
        <f>IF($G450="","",IF(AND($G450&gt;=30,$AT$3&lt;=BC$7),ROUND(BC450*($AP$3+#REF!),-1),""))</f>
        <v/>
      </c>
      <c r="BE450" s="503" t="s">
        <v>621</v>
      </c>
      <c r="BF450" s="503" t="str">
        <f>IF($G450="","",IF(AND($G450&gt;=30,$AT$3&lt;=BE$7),ROUND(BE450*($AP$3+#REF!),-1),""))</f>
        <v/>
      </c>
      <c r="BG450" s="503" t="s">
        <v>621</v>
      </c>
      <c r="BH450" s="503" t="str">
        <f>IF($G450="","",IF(AND($G450&gt;=30,$AT$3&lt;=BG$7),ROUND(BG450*($AP$3+#REF!),-1),""))</f>
        <v/>
      </c>
      <c r="BI450" s="503" t="s">
        <v>621</v>
      </c>
      <c r="BJ450" s="503" t="str">
        <f>IF($G450="","",IF(AND($G450&gt;=30,$AT$3&lt;=BI$7),ROUND(BI450*($AP$3+#REF!),-1),""))</f>
        <v/>
      </c>
      <c r="BK450" s="503" t="s">
        <v>621</v>
      </c>
      <c r="BL450" s="503" t="str">
        <f>IF($G450="","",IF(AND($G450&gt;=30,$AT$3&lt;=BK$7),ROUND(BK450*($AP$3+#REF!),-1),""))</f>
        <v/>
      </c>
      <c r="BM450" s="503" t="s">
        <v>621</v>
      </c>
      <c r="BN450" s="503" t="str">
        <f>IF($G450="","",IF(AND($G450&gt;=30,$AT$3&lt;=BM$7),ROUND(BM450*($AP$3+#REF!),-1),""))</f>
        <v/>
      </c>
      <c r="BO450" s="503" t="s">
        <v>621</v>
      </c>
      <c r="BP450" s="503" t="str">
        <f>IF($G450="","",IF(AND($G450&gt;=30,$AT$3&lt;=BO$7),ROUND(BO450*($AP$3+#REF!),-1),""))</f>
        <v/>
      </c>
      <c r="BQ450" s="503" t="s">
        <v>621</v>
      </c>
      <c r="BR450" s="503" t="str">
        <f>IF($G450="","",IF(AND($G450&gt;=30,$AT$3&lt;=BQ$7),ROUND(BQ450*($AP$3+#REF!),-1),""))</f>
        <v/>
      </c>
      <c r="BS450" s="503" t="s">
        <v>621</v>
      </c>
      <c r="BT450" s="503" t="str">
        <f>IF($G450="","",IF(AND($G450&gt;=30,$AT$3&lt;=BS$7),ROUND(BS450*($AP$3+#REF!),-1),""))</f>
        <v/>
      </c>
      <c r="BU450" s="503" t="s">
        <v>621</v>
      </c>
      <c r="BV450" s="503" t="str">
        <f>IF($G450="","",IF(AND($G450&gt;=30,$AT$3&lt;=BU$7),ROUND(BU450*($AP$3+#REF!),-1),""))</f>
        <v/>
      </c>
      <c r="BW450" s="503" t="s">
        <v>621</v>
      </c>
      <c r="BX450" s="503" t="str">
        <f>IF($G450="","",IF(AND($G450&gt;=30,$AT$3&lt;=BW$7),ROUND(BW450*($AP$3+#REF!),-1),""))</f>
        <v/>
      </c>
      <c r="BY450" s="503" t="s">
        <v>621</v>
      </c>
      <c r="BZ450" s="503" t="str">
        <f>IF($G450="","",IF(AND($G450&gt;=30,$AT$3&lt;=BY$7),ROUND(BY450*($AP$3+#REF!),-1),""))</f>
        <v/>
      </c>
      <c r="CA450" s="503" t="s">
        <v>621</v>
      </c>
      <c r="CB450" s="503" t="str">
        <f>IF($G450="","",IF(AND($G450&gt;=30,$AT$3&lt;=CA$7),ROUND(CA450*($AP$3+#REF!),-1),""))</f>
        <v/>
      </c>
      <c r="CC450" s="503" t="s">
        <v>621</v>
      </c>
      <c r="CD450" s="503" t="str">
        <f>IF($G450="","",IF(AND($G450&gt;=30,$AT$3&lt;=CC$7),ROUND(CC450*($AP$3+#REF!),-1),""))</f>
        <v/>
      </c>
      <c r="CE450" s="503" t="s">
        <v>621</v>
      </c>
      <c r="CF450" s="503" t="str">
        <f>IF($G450="","",IF(AND($G450&gt;=30,$AT$3&lt;=CE$7),ROUND(CE450*($AP$3+#REF!),-1),""))</f>
        <v/>
      </c>
      <c r="CG450" s="503" t="s">
        <v>621</v>
      </c>
      <c r="CH450" s="503" t="str">
        <f>IF($G450="","",IF(AND($G450&gt;=30,$AT$3&lt;=CG$7),ROUND(CG450*($AP$3+#REF!),-1),""))</f>
        <v/>
      </c>
      <c r="CI450" s="503" t="s">
        <v>621</v>
      </c>
      <c r="CJ450" s="503" t="str">
        <f>IF($G450="","",IF(AND($G450&gt;=30,$AT$3&lt;=CI$7),ROUND(CI450*($AP$3+#REF!),-1),""))</f>
        <v/>
      </c>
      <c r="CK450" s="503" t="s">
        <v>621</v>
      </c>
      <c r="CL450" s="503" t="str">
        <f>IF($G450="","",IF(AND($G450&gt;=30,$AT$3&lt;=CK$7),ROUND(CK450*($AP$3+#REF!),-1),""))</f>
        <v/>
      </c>
      <c r="CM450" s="503" t="s">
        <v>621</v>
      </c>
      <c r="CN450" s="503" t="str">
        <f>IF($G450="","",IF(AND($G450&gt;=30,$AT$3&lt;=CM$7),ROUND(CM450*($AP$3+#REF!),-1),""))</f>
        <v/>
      </c>
      <c r="CO450" s="503" t="s">
        <v>621</v>
      </c>
      <c r="CP450" s="503" t="str">
        <f>IF($G450="","",IF(AND($G450&gt;=30,$AT$3&lt;=CO$7),ROUND(CO450*($AP$3+#REF!),-1),""))</f>
        <v/>
      </c>
      <c r="CQ450" s="503" t="s">
        <v>621</v>
      </c>
      <c r="CR450" s="503" t="str">
        <f>IF($G450="","",IF(AND($G450&gt;=30,$AT$3&lt;=CQ$7),ROUND(CQ450*($AP$3+#REF!),-1),""))</f>
        <v/>
      </c>
      <c r="CS450" s="503" t="s">
        <v>621</v>
      </c>
      <c r="CT450" s="503" t="str">
        <f>IF($G450="","",IF(AND($G450&gt;=30,$AT$3&lt;=CS$7),ROUND(CS450*($AP$3+#REF!),-1),""))</f>
        <v/>
      </c>
      <c r="CU450" s="503" t="s">
        <v>621</v>
      </c>
      <c r="CV450" s="503" t="str">
        <f>IF($G450="","",IF(AND($G450&gt;=30,$AT$3&lt;=CU$7),ROUND(CU450*($AP$3+#REF!),-1),""))</f>
        <v/>
      </c>
      <c r="CW450" s="503" t="s">
        <v>621</v>
      </c>
      <c r="CX450" s="503" t="str">
        <f>IF($G450="","",IF(AND($G450&gt;=30,$AT$3&lt;=CW$7),ROUND(CW450*($AP$3+#REF!),-1),""))</f>
        <v/>
      </c>
      <c r="CY450" s="503" t="s">
        <v>621</v>
      </c>
      <c r="CZ450" s="503" t="str">
        <f>IF($G450="","",IF(AND($G450&gt;=30,$AT$3&lt;=CY$7),ROUND(CY450*($AP$3+#REF!),-1),""))</f>
        <v/>
      </c>
      <c r="DA450" s="517" t="e">
        <v>#REF!</v>
      </c>
      <c r="DB450" s="503" t="str">
        <f>IF($G450="","",IF(AND($G450&gt;=30,$AT$3&lt;=DA$7),ROUND(DA450*($AP$3+#REF!),-1),""))</f>
        <v/>
      </c>
      <c r="DC450" s="517"/>
      <c r="DD450" s="503" t="str">
        <f>IF($G450="","",IF(AND($G450&gt;=30,$AT$3&lt;=DC$7),ROUND(DC450*($AP$3+#REF!),-1),""))</f>
        <v/>
      </c>
      <c r="DE450" s="517"/>
      <c r="DF450" s="503" t="str">
        <f>IF($G450="","",IF(AND($G450&gt;=30,$AT$3&lt;=DE$7),ROUND(DE450*($AP$3+#REF!),-1),""))</f>
        <v/>
      </c>
      <c r="DG450" s="517"/>
      <c r="DH450" s="503" t="str">
        <f>IF($G450="","",IF(AND($G450&gt;=30,$AT$3&lt;=DG$7),ROUND(DG450*($AP$3+#REF!),-1),""))</f>
        <v/>
      </c>
      <c r="DI450" s="517"/>
      <c r="DJ450" s="503" t="str">
        <f>IF($G450="","",IF(AND($G450&gt;=30,$AT$3&lt;=DI$7),ROUND(DI450*($AP$3+#REF!),-1),""))</f>
        <v/>
      </c>
      <c r="DK450" s="517"/>
      <c r="DL450" s="503" t="str">
        <f>IF($G450="","",IF(AND($G450&gt;=30,$AT$3&lt;=DK$7),ROUND(DK450*($AP$3+#REF!),-1),""))</f>
        <v/>
      </c>
      <c r="DM450" s="517"/>
      <c r="DN450" s="503" t="str">
        <f>IF($G450="","",IF(AND($G450&gt;=30,$AT$3&lt;=DM$7),ROUND(DM450*($AP$3+#REF!),-1),""))</f>
        <v/>
      </c>
      <c r="DO450" s="517"/>
      <c r="DP450" s="503" t="str">
        <f>IF($G450="","",IF(AND($G450&gt;=30,$AT$3&lt;=DO$7),ROUND(DO450*($AP$3+#REF!),-1),""))</f>
        <v/>
      </c>
      <c r="DQ450" s="517"/>
      <c r="DR450" s="503" t="str">
        <f>IF($G450="","",IF(AND($G450&gt;=30,$AT$3&lt;=DQ$7),ROUND(DQ450*($AP$3+#REF!),-1),""))</f>
        <v/>
      </c>
      <c r="DS450" s="517"/>
      <c r="DT450" s="503" t="str">
        <f>IF($G450="","",IF(AND($G450&gt;=30,$AT$3&lt;=DS$7),ROUND(DS450*($AP$3+#REF!),-1),""))</f>
        <v/>
      </c>
      <c r="DU450" s="517"/>
      <c r="DV450" s="503" t="str">
        <f>IF($G450="","",IF(AND($G450&gt;=30,$AT$3&lt;=DU$7),ROUND(DU450*($AP$3+#REF!),-1),""))</f>
        <v/>
      </c>
      <c r="DW450" s="517"/>
      <c r="DX450" s="503" t="str">
        <f>IF($G450="","",IF(AND($G450&gt;=30,$AT$3&lt;=DW$7),ROUND(DW450*($AP$3+#REF!),-1),""))</f>
        <v/>
      </c>
      <c r="DY450" s="517"/>
      <c r="DZ450" s="503" t="str">
        <f>IF($G450="","",IF(AND($G450&gt;=30,$AT$3&lt;=DY$7),ROUND(DY450*($AP$3+#REF!),-1),""))</f>
        <v/>
      </c>
      <c r="EA450" s="517"/>
      <c r="EB450" s="503" t="str">
        <f>IF($G450="","",IF(AND($G450&gt;=30,$AT$3&lt;=EA$7),ROUND(EA450*($AP$3+#REF!),-1),""))</f>
        <v/>
      </c>
      <c r="EC450" s="504" t="s">
        <v>621</v>
      </c>
      <c r="ED450" s="1124"/>
      <c r="EE450" s="325">
        <v>10</v>
      </c>
    </row>
    <row r="451" spans="1:135" ht="9.75" customHeight="1">
      <c r="A451" s="321" t="str">
        <f t="shared" si="110"/>
        <v/>
      </c>
      <c r="B451" s="567">
        <f>(ii!$D$13*12+V451)+1</f>
        <v>345</v>
      </c>
      <c r="C451" s="337">
        <f t="shared" si="100"/>
        <v>55853</v>
      </c>
      <c r="D451" s="484">
        <f t="shared" si="103"/>
        <v>2052</v>
      </c>
      <c r="E451" s="484">
        <f t="shared" si="101"/>
        <v>0.91666666666666663</v>
      </c>
      <c r="F451" s="484">
        <f t="shared" si="104"/>
        <v>2052.9166666666665</v>
      </c>
      <c r="G451" s="485" t="str">
        <f>IF(OR(C451&lt;$I$2,C451&gt;$J$3),"",(ii!$D$13*12+V451+1)/12)</f>
        <v/>
      </c>
      <c r="H451" s="486"/>
      <c r="I451" s="486"/>
      <c r="J451" s="487"/>
      <c r="K451" s="488"/>
      <c r="L451" s="548"/>
      <c r="M451" s="489" t="str">
        <f t="shared" si="105"/>
        <v/>
      </c>
      <c r="N451" s="490" t="s">
        <v>621</v>
      </c>
      <c r="O451" s="490" t="str">
        <f t="shared" si="98"/>
        <v/>
      </c>
      <c r="P451" s="491"/>
      <c r="Q451" s="491"/>
      <c r="R451" s="491" t="str">
        <f t="shared" si="99"/>
        <v/>
      </c>
      <c r="S451" s="528" t="str">
        <f t="shared" si="111"/>
        <v/>
      </c>
      <c r="T451" s="528" t="str">
        <f t="shared" si="109"/>
        <v/>
      </c>
      <c r="U451" s="493" t="str">
        <f>IF(H451="","",#REF!*12+#REF!+#REF!*12+#REF!)</f>
        <v/>
      </c>
      <c r="V451" s="338">
        <f>IF(ii!$J$3&gt;gg!C451,"",IF(AND((YEAR(C451)=YEAR($I$2)),MONTH(C451)=MONTH($I$2)),ii!$B$14*12+ii!$C$14+ii!$B$15*12+ii!$C$15-1,V450+1))</f>
        <v>344</v>
      </c>
      <c r="W451" s="339">
        <f t="shared" si="102"/>
        <v>28.666666666666668</v>
      </c>
      <c r="X451" s="494" t="s">
        <v>621</v>
      </c>
      <c r="Y451" s="495" t="s">
        <v>621</v>
      </c>
      <c r="Z451" s="496"/>
      <c r="AA451" s="497"/>
      <c r="AB451" s="498" t="e">
        <f t="shared" si="108"/>
        <v>#VALUE!</v>
      </c>
      <c r="AC451" s="484" t="str">
        <f t="shared" si="106"/>
        <v/>
      </c>
      <c r="AD451" s="495" t="str">
        <f t="shared" si="107"/>
        <v/>
      </c>
      <c r="AE451" s="499" t="s">
        <v>621</v>
      </c>
      <c r="AF451" s="500" t="s">
        <v>621</v>
      </c>
      <c r="AG451" s="556" t="s">
        <v>621</v>
      </c>
      <c r="AH451" s="503" t="str">
        <f>IF($G451="","",IF(AND($G451&gt;=30,$AT$3&lt;=AG$7),ROUND(AG451*($AP$3+#REF!),-1),""))</f>
        <v/>
      </c>
      <c r="AI451" s="506" t="s">
        <v>621</v>
      </c>
      <c r="AJ451" s="503" t="str">
        <f>IF($G451="","",IF(AND($G451&gt;=30,$AT$3&lt;=AI$7),ROUND(AI451*($AP$3+#REF!),-1),""))</f>
        <v/>
      </c>
      <c r="AK451" s="506" t="s">
        <v>621</v>
      </c>
      <c r="AL451" s="503" t="str">
        <f>IF($G451="","",IF(AND($G451&gt;=30,$AT$3&lt;=AK$7),ROUND(AK451*($AP$3+#REF!),-1),""))</f>
        <v/>
      </c>
      <c r="AM451" s="506" t="s">
        <v>621</v>
      </c>
      <c r="AN451" s="503" t="str">
        <f>IF($G451="","",IF(AND($G451&gt;=30,$AT$3&lt;=AM$7),ROUND(AM451*($AP$3+#REF!),-1),""))</f>
        <v/>
      </c>
      <c r="AO451" s="503" t="e">
        <v>#REF!</v>
      </c>
      <c r="AP451" s="503" t="str">
        <f>IF($G451="","",IF(AND($G451&gt;=30,$AT$3&lt;=AO$7),ROUND(AO451*($AP$3+#REF!),-1),""))</f>
        <v/>
      </c>
      <c r="AQ451" s="503" t="s">
        <v>621</v>
      </c>
      <c r="AR451" s="503" t="str">
        <f>IF($G451="","",IF(AND($G451&gt;=30,$AT$3&lt;=AQ$7),ROUND(AQ451*($AP$3+#REF!),-1),""))</f>
        <v/>
      </c>
      <c r="AS451" s="503" t="s">
        <v>621</v>
      </c>
      <c r="AT451" s="503" t="str">
        <f>IF($G451="","",IF(AND($G451&gt;=30,$AT$3&lt;=AS$7),ROUND(AS451*($AP$3+#REF!),-1),""))</f>
        <v/>
      </c>
      <c r="AU451" s="503" t="s">
        <v>621</v>
      </c>
      <c r="AV451" s="503" t="str">
        <f>IF($G451="","",IF(AND($G451&gt;=30,$AT$3&lt;=AU$7),ROUND(AU451*($AP$3+#REF!),-1),""))</f>
        <v/>
      </c>
      <c r="AW451" s="503" t="s">
        <v>621</v>
      </c>
      <c r="AX451" s="503" t="str">
        <f>IF($G451="","",IF(AND($G451&gt;=30,$AT$3&lt;=AW$7),ROUND(AW451*($AP$3+#REF!),-1),""))</f>
        <v/>
      </c>
      <c r="AY451" s="503" t="s">
        <v>621</v>
      </c>
      <c r="AZ451" s="503" t="str">
        <f>IF($G451="","",IF(AND($G451&gt;=30,$AT$3&lt;=AY$7),ROUND(AY451*($AP$3+#REF!),-1),""))</f>
        <v/>
      </c>
      <c r="BA451" s="503" t="s">
        <v>621</v>
      </c>
      <c r="BB451" s="503" t="str">
        <f>IF($G451="","",IF(AND($G451&gt;=30,$AT$3&lt;=BA$7),ROUND(BA451*($AP$3+#REF!),-1),""))</f>
        <v/>
      </c>
      <c r="BC451" s="503" t="s">
        <v>621</v>
      </c>
      <c r="BD451" s="503" t="str">
        <f>IF($G451="","",IF(AND($G451&gt;=30,$AT$3&lt;=BC$7),ROUND(BC451*($AP$3+#REF!),-1),""))</f>
        <v/>
      </c>
      <c r="BE451" s="503" t="s">
        <v>621</v>
      </c>
      <c r="BF451" s="503" t="str">
        <f>IF($G451="","",IF(AND($G451&gt;=30,$AT$3&lt;=BE$7),ROUND(BE451*($AP$3+#REF!),-1),""))</f>
        <v/>
      </c>
      <c r="BG451" s="503" t="s">
        <v>621</v>
      </c>
      <c r="BH451" s="503" t="str">
        <f>IF($G451="","",IF(AND($G451&gt;=30,$AT$3&lt;=BG$7),ROUND(BG451*($AP$3+#REF!),-1),""))</f>
        <v/>
      </c>
      <c r="BI451" s="503" t="s">
        <v>621</v>
      </c>
      <c r="BJ451" s="503" t="str">
        <f>IF($G451="","",IF(AND($G451&gt;=30,$AT$3&lt;=BI$7),ROUND(BI451*($AP$3+#REF!),-1),""))</f>
        <v/>
      </c>
      <c r="BK451" s="503" t="s">
        <v>621</v>
      </c>
      <c r="BL451" s="503" t="str">
        <f>IF($G451="","",IF(AND($G451&gt;=30,$AT$3&lt;=BK$7),ROUND(BK451*($AP$3+#REF!),-1),""))</f>
        <v/>
      </c>
      <c r="BM451" s="503" t="s">
        <v>621</v>
      </c>
      <c r="BN451" s="503" t="str">
        <f>IF($G451="","",IF(AND($G451&gt;=30,$AT$3&lt;=BM$7),ROUND(BM451*($AP$3+#REF!),-1),""))</f>
        <v/>
      </c>
      <c r="BO451" s="503" t="s">
        <v>621</v>
      </c>
      <c r="BP451" s="503" t="str">
        <f>IF($G451="","",IF(AND($G451&gt;=30,$AT$3&lt;=BO$7),ROUND(BO451*($AP$3+#REF!),-1),""))</f>
        <v/>
      </c>
      <c r="BQ451" s="503" t="s">
        <v>621</v>
      </c>
      <c r="BR451" s="503" t="str">
        <f>IF($G451="","",IF(AND($G451&gt;=30,$AT$3&lt;=BQ$7),ROUND(BQ451*($AP$3+#REF!),-1),""))</f>
        <v/>
      </c>
      <c r="BS451" s="503" t="s">
        <v>621</v>
      </c>
      <c r="BT451" s="503" t="str">
        <f>IF($G451="","",IF(AND($G451&gt;=30,$AT$3&lt;=BS$7),ROUND(BS451*($AP$3+#REF!),-1),""))</f>
        <v/>
      </c>
      <c r="BU451" s="503" t="s">
        <v>621</v>
      </c>
      <c r="BV451" s="503" t="str">
        <f>IF($G451="","",IF(AND($G451&gt;=30,$AT$3&lt;=BU$7),ROUND(BU451*($AP$3+#REF!),-1),""))</f>
        <v/>
      </c>
      <c r="BW451" s="503" t="s">
        <v>621</v>
      </c>
      <c r="BX451" s="503" t="str">
        <f>IF($G451="","",IF(AND($G451&gt;=30,$AT$3&lt;=BW$7),ROUND(BW451*($AP$3+#REF!),-1),""))</f>
        <v/>
      </c>
      <c r="BY451" s="503" t="s">
        <v>621</v>
      </c>
      <c r="BZ451" s="503" t="str">
        <f>IF($G451="","",IF(AND($G451&gt;=30,$AT$3&lt;=BY$7),ROUND(BY451*($AP$3+#REF!),-1),""))</f>
        <v/>
      </c>
      <c r="CA451" s="503" t="s">
        <v>621</v>
      </c>
      <c r="CB451" s="503" t="str">
        <f>IF($G451="","",IF(AND($G451&gt;=30,$AT$3&lt;=CA$7),ROUND(CA451*($AP$3+#REF!),-1),""))</f>
        <v/>
      </c>
      <c r="CC451" s="503" t="s">
        <v>621</v>
      </c>
      <c r="CD451" s="503" t="str">
        <f>IF($G451="","",IF(AND($G451&gt;=30,$AT$3&lt;=CC$7),ROUND(CC451*($AP$3+#REF!),-1),""))</f>
        <v/>
      </c>
      <c r="CE451" s="503" t="s">
        <v>621</v>
      </c>
      <c r="CF451" s="503" t="str">
        <f>IF($G451="","",IF(AND($G451&gt;=30,$AT$3&lt;=CE$7),ROUND(CE451*($AP$3+#REF!),-1),""))</f>
        <v/>
      </c>
      <c r="CG451" s="503" t="s">
        <v>621</v>
      </c>
      <c r="CH451" s="503" t="str">
        <f>IF($G451="","",IF(AND($G451&gt;=30,$AT$3&lt;=CG$7),ROUND(CG451*($AP$3+#REF!),-1),""))</f>
        <v/>
      </c>
      <c r="CI451" s="503" t="s">
        <v>621</v>
      </c>
      <c r="CJ451" s="503" t="str">
        <f>IF($G451="","",IF(AND($G451&gt;=30,$AT$3&lt;=CI$7),ROUND(CI451*($AP$3+#REF!),-1),""))</f>
        <v/>
      </c>
      <c r="CK451" s="503" t="s">
        <v>621</v>
      </c>
      <c r="CL451" s="503" t="str">
        <f>IF($G451="","",IF(AND($G451&gt;=30,$AT$3&lt;=CK$7),ROUND(CK451*($AP$3+#REF!),-1),""))</f>
        <v/>
      </c>
      <c r="CM451" s="503" t="s">
        <v>621</v>
      </c>
      <c r="CN451" s="503" t="str">
        <f>IF($G451="","",IF(AND($G451&gt;=30,$AT$3&lt;=CM$7),ROUND(CM451*($AP$3+#REF!),-1),""))</f>
        <v/>
      </c>
      <c r="CO451" s="503" t="s">
        <v>621</v>
      </c>
      <c r="CP451" s="503" t="str">
        <f>IF($G451="","",IF(AND($G451&gt;=30,$AT$3&lt;=CO$7),ROUND(CO451*($AP$3+#REF!),-1),""))</f>
        <v/>
      </c>
      <c r="CQ451" s="503" t="s">
        <v>621</v>
      </c>
      <c r="CR451" s="503" t="str">
        <f>IF($G451="","",IF(AND($G451&gt;=30,$AT$3&lt;=CQ$7),ROUND(CQ451*($AP$3+#REF!),-1),""))</f>
        <v/>
      </c>
      <c r="CS451" s="503" t="s">
        <v>621</v>
      </c>
      <c r="CT451" s="503" t="str">
        <f>IF($G451="","",IF(AND($G451&gt;=30,$AT$3&lt;=CS$7),ROUND(CS451*($AP$3+#REF!),-1),""))</f>
        <v/>
      </c>
      <c r="CU451" s="503" t="s">
        <v>621</v>
      </c>
      <c r="CV451" s="503" t="str">
        <f>IF($G451="","",IF(AND($G451&gt;=30,$AT$3&lt;=CU$7),ROUND(CU451*($AP$3+#REF!),-1),""))</f>
        <v/>
      </c>
      <c r="CW451" s="503" t="s">
        <v>621</v>
      </c>
      <c r="CX451" s="503" t="str">
        <f>IF($G451="","",IF(AND($G451&gt;=30,$AT$3&lt;=CW$7),ROUND(CW451*($AP$3+#REF!),-1),""))</f>
        <v/>
      </c>
      <c r="CY451" s="503" t="s">
        <v>621</v>
      </c>
      <c r="CZ451" s="503" t="str">
        <f>IF($G451="","",IF(AND($G451&gt;=30,$AT$3&lt;=CY$7),ROUND(CY451*($AP$3+#REF!),-1),""))</f>
        <v/>
      </c>
      <c r="DA451" s="517" t="e">
        <v>#REF!</v>
      </c>
      <c r="DB451" s="503" t="str">
        <f>IF($G451="","",IF(AND($G451&gt;=30,$AT$3&lt;=DA$7),ROUND(DA451*($AP$3+#REF!),-1),""))</f>
        <v/>
      </c>
      <c r="DC451" s="517"/>
      <c r="DD451" s="503" t="str">
        <f>IF($G451="","",IF(AND($G451&gt;=30,$AT$3&lt;=DC$7),ROUND(DC451*($AP$3+#REF!),-1),""))</f>
        <v/>
      </c>
      <c r="DE451" s="517"/>
      <c r="DF451" s="503" t="str">
        <f>IF($G451="","",IF(AND($G451&gt;=30,$AT$3&lt;=DE$7),ROUND(DE451*($AP$3+#REF!),-1),""))</f>
        <v/>
      </c>
      <c r="DG451" s="517"/>
      <c r="DH451" s="503" t="str">
        <f>IF($G451="","",IF(AND($G451&gt;=30,$AT$3&lt;=DG$7),ROUND(DG451*($AP$3+#REF!),-1),""))</f>
        <v/>
      </c>
      <c r="DI451" s="517"/>
      <c r="DJ451" s="503" t="str">
        <f>IF($G451="","",IF(AND($G451&gt;=30,$AT$3&lt;=DI$7),ROUND(DI451*($AP$3+#REF!),-1),""))</f>
        <v/>
      </c>
      <c r="DK451" s="517"/>
      <c r="DL451" s="503" t="str">
        <f>IF($G451="","",IF(AND($G451&gt;=30,$AT$3&lt;=DK$7),ROUND(DK451*($AP$3+#REF!),-1),""))</f>
        <v/>
      </c>
      <c r="DM451" s="517"/>
      <c r="DN451" s="503" t="str">
        <f>IF($G451="","",IF(AND($G451&gt;=30,$AT$3&lt;=DM$7),ROUND(DM451*($AP$3+#REF!),-1),""))</f>
        <v/>
      </c>
      <c r="DO451" s="517"/>
      <c r="DP451" s="503" t="str">
        <f>IF($G451="","",IF(AND($G451&gt;=30,$AT$3&lt;=DO$7),ROUND(DO451*($AP$3+#REF!),-1),""))</f>
        <v/>
      </c>
      <c r="DQ451" s="517"/>
      <c r="DR451" s="503" t="str">
        <f>IF($G451="","",IF(AND($G451&gt;=30,$AT$3&lt;=DQ$7),ROUND(DQ451*($AP$3+#REF!),-1),""))</f>
        <v/>
      </c>
      <c r="DS451" s="517"/>
      <c r="DT451" s="503" t="str">
        <f>IF($G451="","",IF(AND($G451&gt;=30,$AT$3&lt;=DS$7),ROUND(DS451*($AP$3+#REF!),-1),""))</f>
        <v/>
      </c>
      <c r="DU451" s="517"/>
      <c r="DV451" s="503" t="str">
        <f>IF($G451="","",IF(AND($G451&gt;=30,$AT$3&lt;=DU$7),ROUND(DU451*($AP$3+#REF!),-1),""))</f>
        <v/>
      </c>
      <c r="DW451" s="517"/>
      <c r="DX451" s="503" t="str">
        <f>IF($G451="","",IF(AND($G451&gt;=30,$AT$3&lt;=DW$7),ROUND(DW451*($AP$3+#REF!),-1),""))</f>
        <v/>
      </c>
      <c r="DY451" s="517"/>
      <c r="DZ451" s="503" t="str">
        <f>IF($G451="","",IF(AND($G451&gt;=30,$AT$3&lt;=DY$7),ROUND(DY451*($AP$3+#REF!),-1),""))</f>
        <v/>
      </c>
      <c r="EA451" s="517"/>
      <c r="EB451" s="503" t="str">
        <f>IF($G451="","",IF(AND($G451&gt;=30,$AT$3&lt;=EA$7),ROUND(EA451*($AP$3+#REF!),-1),""))</f>
        <v/>
      </c>
      <c r="EC451" s="504" t="s">
        <v>621</v>
      </c>
      <c r="ED451" s="1124"/>
      <c r="EE451" s="325">
        <v>11</v>
      </c>
    </row>
    <row r="452" spans="1:135" ht="9.75" customHeight="1">
      <c r="A452" s="321" t="str">
        <f t="shared" si="110"/>
        <v/>
      </c>
      <c r="B452" s="567">
        <f>(ii!$D$13*12+V452)+1</f>
        <v>346</v>
      </c>
      <c r="C452" s="337">
        <f t="shared" si="100"/>
        <v>55884</v>
      </c>
      <c r="D452" s="484">
        <f t="shared" si="103"/>
        <v>2052</v>
      </c>
      <c r="E452" s="484">
        <f t="shared" si="101"/>
        <v>1</v>
      </c>
      <c r="F452" s="484">
        <f t="shared" si="104"/>
        <v>2053</v>
      </c>
      <c r="G452" s="485" t="str">
        <f>IF(OR(C452&lt;$I$2,C452&gt;$J$3),"",(ii!$D$13*12+V452+1)/12)</f>
        <v/>
      </c>
      <c r="H452" s="486"/>
      <c r="I452" s="486"/>
      <c r="J452" s="487"/>
      <c r="K452" s="488"/>
      <c r="L452" s="548"/>
      <c r="M452" s="489" t="str">
        <f t="shared" si="105"/>
        <v/>
      </c>
      <c r="N452" s="490" t="s">
        <v>621</v>
      </c>
      <c r="O452" s="490" t="str">
        <f t="shared" si="98"/>
        <v/>
      </c>
      <c r="P452" s="491"/>
      <c r="Q452" s="491"/>
      <c r="R452" s="491" t="str">
        <f t="shared" si="99"/>
        <v/>
      </c>
      <c r="S452" s="528" t="str">
        <f t="shared" si="111"/>
        <v/>
      </c>
      <c r="T452" s="528" t="str">
        <f t="shared" si="109"/>
        <v/>
      </c>
      <c r="U452" s="493" t="str">
        <f>IF(H452="","",#REF!*12+#REF!+#REF!*12+#REF!)</f>
        <v/>
      </c>
      <c r="V452" s="338">
        <f>IF(ii!$J$3&gt;gg!C452,"",IF(AND((YEAR(C452)=YEAR($I$2)),MONTH(C452)=MONTH($I$2)),ii!$B$14*12+ii!$C$14+ii!$B$15*12+ii!$C$15-1,V451+1))</f>
        <v>345</v>
      </c>
      <c r="W452" s="339">
        <f t="shared" si="102"/>
        <v>28.75</v>
      </c>
      <c r="X452" s="494" t="s">
        <v>621</v>
      </c>
      <c r="Y452" s="495" t="s">
        <v>621</v>
      </c>
      <c r="Z452" s="496"/>
      <c r="AA452" s="497"/>
      <c r="AB452" s="498" t="e">
        <f t="shared" si="108"/>
        <v>#VALUE!</v>
      </c>
      <c r="AC452" s="484" t="str">
        <f t="shared" si="106"/>
        <v/>
      </c>
      <c r="AD452" s="495" t="str">
        <f t="shared" si="107"/>
        <v/>
      </c>
      <c r="AE452" s="499" t="s">
        <v>621</v>
      </c>
      <c r="AF452" s="500" t="s">
        <v>621</v>
      </c>
      <c r="AG452" s="556" t="s">
        <v>621</v>
      </c>
      <c r="AH452" s="503" t="str">
        <f>IF($G452="","",IF(AND($G452&gt;=30,$AT$3&lt;=AG$7),ROUND(AG452*($AP$3+#REF!),-1),""))</f>
        <v/>
      </c>
      <c r="AI452" s="506" t="s">
        <v>621</v>
      </c>
      <c r="AJ452" s="503" t="str">
        <f>IF($G452="","",IF(AND($G452&gt;=30,$AT$3&lt;=AI$7),ROUND(AI452*($AP$3+#REF!),-1),""))</f>
        <v/>
      </c>
      <c r="AK452" s="506" t="s">
        <v>621</v>
      </c>
      <c r="AL452" s="503" t="str">
        <f>IF($G452="","",IF(AND($G452&gt;=30,$AT$3&lt;=AK$7),ROUND(AK452*($AP$3+#REF!),-1),""))</f>
        <v/>
      </c>
      <c r="AM452" s="506" t="s">
        <v>621</v>
      </c>
      <c r="AN452" s="503" t="str">
        <f>IF($G452="","",IF(AND($G452&gt;=30,$AT$3&lt;=AM$7),ROUND(AM452*($AP$3+#REF!),-1),""))</f>
        <v/>
      </c>
      <c r="AO452" s="503" t="e">
        <v>#REF!</v>
      </c>
      <c r="AP452" s="503" t="str">
        <f>IF($G452="","",IF(AND($G452&gt;=30,$AT$3&lt;=AO$7),ROUND(AO452*($AP$3+#REF!),-1),""))</f>
        <v/>
      </c>
      <c r="AQ452" s="503" t="s">
        <v>621</v>
      </c>
      <c r="AR452" s="503" t="str">
        <f>IF($G452="","",IF(AND($G452&gt;=30,$AT$3&lt;=AQ$7),ROUND(AQ452*($AP$3+#REF!),-1),""))</f>
        <v/>
      </c>
      <c r="AS452" s="503" t="s">
        <v>621</v>
      </c>
      <c r="AT452" s="503" t="str">
        <f>IF($G452="","",IF(AND($G452&gt;=30,$AT$3&lt;=AS$7),ROUND(AS452*($AP$3+#REF!),-1),""))</f>
        <v/>
      </c>
      <c r="AU452" s="503" t="s">
        <v>621</v>
      </c>
      <c r="AV452" s="503" t="str">
        <f>IF($G452="","",IF(AND($G452&gt;=30,$AT$3&lt;=AU$7),ROUND(AU452*($AP$3+#REF!),-1),""))</f>
        <v/>
      </c>
      <c r="AW452" s="503" t="s">
        <v>621</v>
      </c>
      <c r="AX452" s="503" t="str">
        <f>IF($G452="","",IF(AND($G452&gt;=30,$AT$3&lt;=AW$7),ROUND(AW452*($AP$3+#REF!),-1),""))</f>
        <v/>
      </c>
      <c r="AY452" s="503" t="s">
        <v>621</v>
      </c>
      <c r="AZ452" s="503" t="str">
        <f>IF($G452="","",IF(AND($G452&gt;=30,$AT$3&lt;=AY$7),ROUND(AY452*($AP$3+#REF!),-1),""))</f>
        <v/>
      </c>
      <c r="BA452" s="503" t="s">
        <v>621</v>
      </c>
      <c r="BB452" s="503" t="str">
        <f>IF($G452="","",IF(AND($G452&gt;=30,$AT$3&lt;=BA$7),ROUND(BA452*($AP$3+#REF!),-1),""))</f>
        <v/>
      </c>
      <c r="BC452" s="503" t="s">
        <v>621</v>
      </c>
      <c r="BD452" s="503" t="str">
        <f>IF($G452="","",IF(AND($G452&gt;=30,$AT$3&lt;=BC$7),ROUND(BC452*($AP$3+#REF!),-1),""))</f>
        <v/>
      </c>
      <c r="BE452" s="503" t="s">
        <v>621</v>
      </c>
      <c r="BF452" s="503" t="str">
        <f>IF($G452="","",IF(AND($G452&gt;=30,$AT$3&lt;=BE$7),ROUND(BE452*($AP$3+#REF!),-1),""))</f>
        <v/>
      </c>
      <c r="BG452" s="503" t="s">
        <v>621</v>
      </c>
      <c r="BH452" s="503" t="str">
        <f>IF($G452="","",IF(AND($G452&gt;=30,$AT$3&lt;=BG$7),ROUND(BG452*($AP$3+#REF!),-1),""))</f>
        <v/>
      </c>
      <c r="BI452" s="503" t="s">
        <v>621</v>
      </c>
      <c r="BJ452" s="503" t="str">
        <f>IF($G452="","",IF(AND($G452&gt;=30,$AT$3&lt;=BI$7),ROUND(BI452*($AP$3+#REF!),-1),""))</f>
        <v/>
      </c>
      <c r="BK452" s="503" t="s">
        <v>621</v>
      </c>
      <c r="BL452" s="503" t="str">
        <f>IF($G452="","",IF(AND($G452&gt;=30,$AT$3&lt;=BK$7),ROUND(BK452*($AP$3+#REF!),-1),""))</f>
        <v/>
      </c>
      <c r="BM452" s="503" t="s">
        <v>621</v>
      </c>
      <c r="BN452" s="503" t="str">
        <f>IF($G452="","",IF(AND($G452&gt;=30,$AT$3&lt;=BM$7),ROUND(BM452*($AP$3+#REF!),-1),""))</f>
        <v/>
      </c>
      <c r="BO452" s="503" t="s">
        <v>621</v>
      </c>
      <c r="BP452" s="503" t="str">
        <f>IF($G452="","",IF(AND($G452&gt;=30,$AT$3&lt;=BO$7),ROUND(BO452*($AP$3+#REF!),-1),""))</f>
        <v/>
      </c>
      <c r="BQ452" s="503" t="s">
        <v>621</v>
      </c>
      <c r="BR452" s="503" t="str">
        <f>IF($G452="","",IF(AND($G452&gt;=30,$AT$3&lt;=BQ$7),ROUND(BQ452*($AP$3+#REF!),-1),""))</f>
        <v/>
      </c>
      <c r="BS452" s="503" t="s">
        <v>621</v>
      </c>
      <c r="BT452" s="503" t="str">
        <f>IF($G452="","",IF(AND($G452&gt;=30,$AT$3&lt;=BS$7),ROUND(BS452*($AP$3+#REF!),-1),""))</f>
        <v/>
      </c>
      <c r="BU452" s="503" t="s">
        <v>621</v>
      </c>
      <c r="BV452" s="503" t="str">
        <f>IF($G452="","",IF(AND($G452&gt;=30,$AT$3&lt;=BU$7),ROUND(BU452*($AP$3+#REF!),-1),""))</f>
        <v/>
      </c>
      <c r="BW452" s="503" t="s">
        <v>621</v>
      </c>
      <c r="BX452" s="503" t="str">
        <f>IF($G452="","",IF(AND($G452&gt;=30,$AT$3&lt;=BW$7),ROUND(BW452*($AP$3+#REF!),-1),""))</f>
        <v/>
      </c>
      <c r="BY452" s="503" t="s">
        <v>621</v>
      </c>
      <c r="BZ452" s="503" t="str">
        <f>IF($G452="","",IF(AND($G452&gt;=30,$AT$3&lt;=BY$7),ROUND(BY452*($AP$3+#REF!),-1),""))</f>
        <v/>
      </c>
      <c r="CA452" s="503" t="s">
        <v>621</v>
      </c>
      <c r="CB452" s="503" t="str">
        <f>IF($G452="","",IF(AND($G452&gt;=30,$AT$3&lt;=CA$7),ROUND(CA452*($AP$3+#REF!),-1),""))</f>
        <v/>
      </c>
      <c r="CC452" s="503" t="s">
        <v>621</v>
      </c>
      <c r="CD452" s="503" t="str">
        <f>IF($G452="","",IF(AND($G452&gt;=30,$AT$3&lt;=CC$7),ROUND(CC452*($AP$3+#REF!),-1),""))</f>
        <v/>
      </c>
      <c r="CE452" s="503" t="s">
        <v>621</v>
      </c>
      <c r="CF452" s="503" t="str">
        <f>IF($G452="","",IF(AND($G452&gt;=30,$AT$3&lt;=CE$7),ROUND(CE452*($AP$3+#REF!),-1),""))</f>
        <v/>
      </c>
      <c r="CG452" s="503" t="s">
        <v>621</v>
      </c>
      <c r="CH452" s="503" t="str">
        <f>IF($G452="","",IF(AND($G452&gt;=30,$AT$3&lt;=CG$7),ROUND(CG452*($AP$3+#REF!),-1),""))</f>
        <v/>
      </c>
      <c r="CI452" s="503" t="s">
        <v>621</v>
      </c>
      <c r="CJ452" s="503" t="str">
        <f>IF($G452="","",IF(AND($G452&gt;=30,$AT$3&lt;=CI$7),ROUND(CI452*($AP$3+#REF!),-1),""))</f>
        <v/>
      </c>
      <c r="CK452" s="503" t="s">
        <v>621</v>
      </c>
      <c r="CL452" s="503" t="str">
        <f>IF($G452="","",IF(AND($G452&gt;=30,$AT$3&lt;=CK$7),ROUND(CK452*($AP$3+#REF!),-1),""))</f>
        <v/>
      </c>
      <c r="CM452" s="503" t="s">
        <v>621</v>
      </c>
      <c r="CN452" s="503" t="str">
        <f>IF($G452="","",IF(AND($G452&gt;=30,$AT$3&lt;=CM$7),ROUND(CM452*($AP$3+#REF!),-1),""))</f>
        <v/>
      </c>
      <c r="CO452" s="503" t="s">
        <v>621</v>
      </c>
      <c r="CP452" s="503" t="str">
        <f>IF($G452="","",IF(AND($G452&gt;=30,$AT$3&lt;=CO$7),ROUND(CO452*($AP$3+#REF!),-1),""))</f>
        <v/>
      </c>
      <c r="CQ452" s="503" t="s">
        <v>621</v>
      </c>
      <c r="CR452" s="503" t="str">
        <f>IF($G452="","",IF(AND($G452&gt;=30,$AT$3&lt;=CQ$7),ROUND(CQ452*($AP$3+#REF!),-1),""))</f>
        <v/>
      </c>
      <c r="CS452" s="503" t="s">
        <v>621</v>
      </c>
      <c r="CT452" s="503" t="str">
        <f>IF($G452="","",IF(AND($G452&gt;=30,$AT$3&lt;=CS$7),ROUND(CS452*($AP$3+#REF!),-1),""))</f>
        <v/>
      </c>
      <c r="CU452" s="503" t="s">
        <v>621</v>
      </c>
      <c r="CV452" s="503" t="str">
        <f>IF($G452="","",IF(AND($G452&gt;=30,$AT$3&lt;=CU$7),ROUND(CU452*($AP$3+#REF!),-1),""))</f>
        <v/>
      </c>
      <c r="CW452" s="503" t="s">
        <v>621</v>
      </c>
      <c r="CX452" s="503" t="str">
        <f>IF($G452="","",IF(AND($G452&gt;=30,$AT$3&lt;=CW$7),ROUND(CW452*($AP$3+#REF!),-1),""))</f>
        <v/>
      </c>
      <c r="CY452" s="503" t="s">
        <v>621</v>
      </c>
      <c r="CZ452" s="503" t="str">
        <f>IF($G452="","",IF(AND($G452&gt;=30,$AT$3&lt;=CY$7),ROUND(CY452*($AP$3+#REF!),-1),""))</f>
        <v/>
      </c>
      <c r="DA452" s="517" t="e">
        <v>#REF!</v>
      </c>
      <c r="DB452" s="503" t="str">
        <f>IF($G452="","",IF(AND($G452&gt;=30,$AT$3&lt;=DA$7),ROUND(DA452*($AP$3+#REF!),-1),""))</f>
        <v/>
      </c>
      <c r="DC452" s="517"/>
      <c r="DD452" s="503" t="str">
        <f>IF($G452="","",IF(AND($G452&gt;=30,$AT$3&lt;=DC$7),ROUND(DC452*($AP$3+#REF!),-1),""))</f>
        <v/>
      </c>
      <c r="DE452" s="517"/>
      <c r="DF452" s="503" t="str">
        <f>IF($G452="","",IF(AND($G452&gt;=30,$AT$3&lt;=DE$7),ROUND(DE452*($AP$3+#REF!),-1),""))</f>
        <v/>
      </c>
      <c r="DG452" s="517"/>
      <c r="DH452" s="503" t="str">
        <f>IF($G452="","",IF(AND($G452&gt;=30,$AT$3&lt;=DG$7),ROUND(DG452*($AP$3+#REF!),-1),""))</f>
        <v/>
      </c>
      <c r="DI452" s="517"/>
      <c r="DJ452" s="503" t="str">
        <f>IF($G452="","",IF(AND($G452&gt;=30,$AT$3&lt;=DI$7),ROUND(DI452*($AP$3+#REF!),-1),""))</f>
        <v/>
      </c>
      <c r="DK452" s="517"/>
      <c r="DL452" s="503" t="str">
        <f>IF($G452="","",IF(AND($G452&gt;=30,$AT$3&lt;=DK$7),ROUND(DK452*($AP$3+#REF!),-1),""))</f>
        <v/>
      </c>
      <c r="DM452" s="517"/>
      <c r="DN452" s="503" t="str">
        <f>IF($G452="","",IF(AND($G452&gt;=30,$AT$3&lt;=DM$7),ROUND(DM452*($AP$3+#REF!),-1),""))</f>
        <v/>
      </c>
      <c r="DO452" s="517"/>
      <c r="DP452" s="503" t="str">
        <f>IF($G452="","",IF(AND($G452&gt;=30,$AT$3&lt;=DO$7),ROUND(DO452*($AP$3+#REF!),-1),""))</f>
        <v/>
      </c>
      <c r="DQ452" s="517"/>
      <c r="DR452" s="503" t="str">
        <f>IF($G452="","",IF(AND($G452&gt;=30,$AT$3&lt;=DQ$7),ROUND(DQ452*($AP$3+#REF!),-1),""))</f>
        <v/>
      </c>
      <c r="DS452" s="517"/>
      <c r="DT452" s="503" t="str">
        <f>IF($G452="","",IF(AND($G452&gt;=30,$AT$3&lt;=DS$7),ROUND(DS452*($AP$3+#REF!),-1),""))</f>
        <v/>
      </c>
      <c r="DU452" s="517"/>
      <c r="DV452" s="503" t="str">
        <f>IF($G452="","",IF(AND($G452&gt;=30,$AT$3&lt;=DU$7),ROUND(DU452*($AP$3+#REF!),-1),""))</f>
        <v/>
      </c>
      <c r="DW452" s="517"/>
      <c r="DX452" s="503" t="str">
        <f>IF($G452="","",IF(AND($G452&gt;=30,$AT$3&lt;=DW$7),ROUND(DW452*($AP$3+#REF!),-1),""))</f>
        <v/>
      </c>
      <c r="DY452" s="517"/>
      <c r="DZ452" s="503" t="str">
        <f>IF($G452="","",IF(AND($G452&gt;=30,$AT$3&lt;=DY$7),ROUND(DY452*($AP$3+#REF!),-1),""))</f>
        <v/>
      </c>
      <c r="EA452" s="517"/>
      <c r="EB452" s="503" t="str">
        <f>IF($G452="","",IF(AND($G452&gt;=30,$AT$3&lt;=EA$7),ROUND(EA452*($AP$3+#REF!),-1),""))</f>
        <v/>
      </c>
      <c r="EC452" s="504" t="s">
        <v>621</v>
      </c>
      <c r="ED452" s="1125"/>
      <c r="EE452" s="325">
        <v>12</v>
      </c>
    </row>
    <row r="453" spans="1:135" ht="9.75" customHeight="1">
      <c r="A453" s="321" t="str">
        <f t="shared" si="110"/>
        <v/>
      </c>
      <c r="B453" s="567">
        <f>(ii!$D$13*12+V453)+1</f>
        <v>347</v>
      </c>
      <c r="C453" s="345">
        <f t="shared" si="100"/>
        <v>55915</v>
      </c>
      <c r="D453" s="340">
        <f t="shared" si="103"/>
        <v>2053</v>
      </c>
      <c r="E453" s="340">
        <f t="shared" si="101"/>
        <v>8.3333333333333329E-2</v>
      </c>
      <c r="F453" s="340">
        <f t="shared" si="104"/>
        <v>2053.0833333333335</v>
      </c>
      <c r="G453" s="531" t="str">
        <f>IF(OR(C453&lt;$I$2,C453&gt;$J$3),"",(ii!$D$13*12+V453+1)/12)</f>
        <v/>
      </c>
      <c r="H453" s="532"/>
      <c r="I453" s="532"/>
      <c r="J453" s="533"/>
      <c r="K453" s="553"/>
      <c r="L453" s="534"/>
      <c r="M453" s="489" t="str">
        <f t="shared" si="105"/>
        <v/>
      </c>
      <c r="N453" s="536" t="s">
        <v>621</v>
      </c>
      <c r="O453" s="490" t="str">
        <f t="shared" si="98"/>
        <v/>
      </c>
      <c r="P453" s="537"/>
      <c r="Q453" s="537"/>
      <c r="R453" s="533" t="str">
        <f t="shared" si="99"/>
        <v/>
      </c>
      <c r="S453" s="538" t="str">
        <f t="shared" si="111"/>
        <v/>
      </c>
      <c r="T453" s="538" t="str">
        <f t="shared" si="109"/>
        <v/>
      </c>
      <c r="U453" s="539" t="str">
        <f>IF(H453="","",#REF!*12+#REF!+#REF!*12+#REF!)</f>
        <v/>
      </c>
      <c r="V453" s="338">
        <f>IF(ii!$J$3&gt;gg!C453,"",IF(AND((YEAR(C453)=YEAR($I$2)),MONTH(C453)=MONTH($I$2)),ii!$B$14*12+ii!$C$14+ii!$B$15*12+ii!$C$15-1,V452+1))</f>
        <v>346</v>
      </c>
      <c r="W453" s="339">
        <f t="shared" si="102"/>
        <v>28.833333333333332</v>
      </c>
      <c r="X453" s="540" t="s">
        <v>621</v>
      </c>
      <c r="Y453" s="538" t="s">
        <v>621</v>
      </c>
      <c r="Z453" s="541">
        <f>Z441+$Z$26</f>
        <v>1.0500000000000007</v>
      </c>
      <c r="AA453" s="542" t="str">
        <f>IF(Y453="","",(Y453-Y452)/Y452)</f>
        <v/>
      </c>
      <c r="AB453" s="543" t="e">
        <f t="shared" si="108"/>
        <v>#VALUE!</v>
      </c>
      <c r="AC453" s="544" t="str">
        <f t="shared" si="106"/>
        <v/>
      </c>
      <c r="AD453" s="538" t="str">
        <f t="shared" si="107"/>
        <v/>
      </c>
      <c r="AE453" s="545" t="s">
        <v>621</v>
      </c>
      <c r="AF453" s="546" t="s">
        <v>621</v>
      </c>
      <c r="AG453" s="558" t="s">
        <v>621</v>
      </c>
      <c r="AH453" s="547" t="str">
        <f>IF($G453="","",IF(AND($G453&gt;=30,$AT$3&lt;=AG$7),ROUND(AG453*($AP$3+#REF!),-1),""))</f>
        <v/>
      </c>
      <c r="AI453" s="558" t="s">
        <v>621</v>
      </c>
      <c r="AJ453" s="547" t="str">
        <f>IF($G453="","",IF(AND($G453&gt;=30,$AT$3&lt;=AI$7),ROUND(AI453*($AP$3+#REF!),-1),""))</f>
        <v/>
      </c>
      <c r="AK453" s="560" t="s">
        <v>621</v>
      </c>
      <c r="AL453" s="547" t="str">
        <f>IF($G453="","",IF(AND($G453&gt;=30,$AT$3&lt;=AK$7),ROUND(AK453*($AP$3+#REF!),-1),""))</f>
        <v/>
      </c>
      <c r="AM453" s="560" t="s">
        <v>621</v>
      </c>
      <c r="AN453" s="547" t="str">
        <f>IF($G453="","",IF(AND($G453&gt;=30,$AT$3&lt;=AM$7),ROUND(AM453*($AP$3+#REF!),-1),""))</f>
        <v/>
      </c>
      <c r="AO453" s="547" t="e">
        <v>#REF!</v>
      </c>
      <c r="AP453" s="547" t="str">
        <f>IF($G453="","",IF(AND($G453&gt;=30,$AT$3&lt;=AO$7),ROUND(AO453*($AP$3+#REF!),-1),""))</f>
        <v/>
      </c>
      <c r="AQ453" s="547" t="s">
        <v>621</v>
      </c>
      <c r="AR453" s="547" t="str">
        <f>IF($G453="","",IF(AND($G453&gt;=30,$AT$3&lt;=AQ$7),ROUND(AQ453*($AP$3+#REF!),-1),""))</f>
        <v/>
      </c>
      <c r="AS453" s="547" t="s">
        <v>621</v>
      </c>
      <c r="AT453" s="547" t="str">
        <f>IF($G453="","",IF(AND($G453&gt;=30,$AT$3&lt;=AS$7),ROUND(AS453*($AP$3+#REF!),-1),""))</f>
        <v/>
      </c>
      <c r="AU453" s="547" t="s">
        <v>621</v>
      </c>
      <c r="AV453" s="547" t="str">
        <f>IF($G453="","",IF(AND($G453&gt;=30,$AT$3&lt;=AU$7),ROUND(AU453*($AP$3+#REF!),-1),""))</f>
        <v/>
      </c>
      <c r="AW453" s="547" t="s">
        <v>621</v>
      </c>
      <c r="AX453" s="547" t="str">
        <f>IF($G453="","",IF(AND($G453&gt;=30,$AT$3&lt;=AW$7),ROUND(AW453*($AP$3+#REF!),-1),""))</f>
        <v/>
      </c>
      <c r="AY453" s="547" t="s">
        <v>621</v>
      </c>
      <c r="AZ453" s="547" t="str">
        <f>IF($G453="","",IF(AND($G453&gt;=30,$AT$3&lt;=AY$7),ROUND(AY453*($AP$3+#REF!),-1),""))</f>
        <v/>
      </c>
      <c r="BA453" s="547" t="s">
        <v>621</v>
      </c>
      <c r="BB453" s="547" t="str">
        <f>IF($G453="","",IF(AND($G453&gt;=30,$AT$3&lt;=BA$7),ROUND(BA453*($AP$3+#REF!),-1),""))</f>
        <v/>
      </c>
      <c r="BC453" s="547" t="s">
        <v>621</v>
      </c>
      <c r="BD453" s="547" t="str">
        <f>IF($G453="","",IF(AND($G453&gt;=30,$AT$3&lt;=BC$7),ROUND(BC453*($AP$3+#REF!),-1),""))</f>
        <v/>
      </c>
      <c r="BE453" s="547" t="s">
        <v>621</v>
      </c>
      <c r="BF453" s="547" t="str">
        <f>IF($G453="","",IF(AND($G453&gt;=30,$AT$3&lt;=BE$7),ROUND(BE453*($AP$3+#REF!),-1),""))</f>
        <v/>
      </c>
      <c r="BG453" s="547" t="s">
        <v>621</v>
      </c>
      <c r="BH453" s="547" t="str">
        <f>IF($G453="","",IF(AND($G453&gt;=30,$AT$3&lt;=BG$7),ROUND(BG453*($AP$3+#REF!),-1),""))</f>
        <v/>
      </c>
      <c r="BI453" s="547" t="s">
        <v>621</v>
      </c>
      <c r="BJ453" s="547" t="str">
        <f>IF($G453="","",IF(AND($G453&gt;=30,$AT$3&lt;=BI$7),ROUND(BI453*($AP$3+#REF!),-1),""))</f>
        <v/>
      </c>
      <c r="BK453" s="547" t="s">
        <v>621</v>
      </c>
      <c r="BL453" s="547" t="str">
        <f>IF($G453="","",IF(AND($G453&gt;=30,$AT$3&lt;=BK$7),ROUND(BK453*($AP$3+#REF!),-1),""))</f>
        <v/>
      </c>
      <c r="BM453" s="547" t="s">
        <v>621</v>
      </c>
      <c r="BN453" s="547" t="str">
        <f>IF($G453="","",IF(AND($G453&gt;=30,$AT$3&lt;=BM$7),ROUND(BM453*($AP$3+#REF!),-1),""))</f>
        <v/>
      </c>
      <c r="BO453" s="547" t="s">
        <v>621</v>
      </c>
      <c r="BP453" s="547" t="str">
        <f>IF($G453="","",IF(AND($G453&gt;=30,$AT$3&lt;=BO$7),ROUND(BO453*($AP$3+#REF!),-1),""))</f>
        <v/>
      </c>
      <c r="BQ453" s="547" t="s">
        <v>621</v>
      </c>
      <c r="BR453" s="547" t="str">
        <f>IF($G453="","",IF(AND($G453&gt;=30,$AT$3&lt;=BQ$7),ROUND(BQ453*($AP$3+#REF!),-1),""))</f>
        <v/>
      </c>
      <c r="BS453" s="547" t="s">
        <v>621</v>
      </c>
      <c r="BT453" s="547" t="str">
        <f>IF($G453="","",IF(AND($G453&gt;=30,$AT$3&lt;=BS$7),ROUND(BS453*($AP$3+#REF!),-1),""))</f>
        <v/>
      </c>
      <c r="BU453" s="547" t="s">
        <v>621</v>
      </c>
      <c r="BV453" s="547" t="str">
        <f>IF($G453="","",IF(AND($G453&gt;=30,$AT$3&lt;=BU$7),ROUND(BU453*($AP$3+#REF!),-1),""))</f>
        <v/>
      </c>
      <c r="BW453" s="547" t="s">
        <v>621</v>
      </c>
      <c r="BX453" s="547" t="str">
        <f>IF($G453="","",IF(AND($G453&gt;=30,$AT$3&lt;=BW$7),ROUND(BW453*($AP$3+#REF!),-1),""))</f>
        <v/>
      </c>
      <c r="BY453" s="547" t="s">
        <v>621</v>
      </c>
      <c r="BZ453" s="547" t="str">
        <f>IF($G453="","",IF(AND($G453&gt;=30,$AT$3&lt;=BY$7),ROUND(BY453*($AP$3+#REF!),-1),""))</f>
        <v/>
      </c>
      <c r="CA453" s="547" t="s">
        <v>621</v>
      </c>
      <c r="CB453" s="547" t="str">
        <f>IF($G453="","",IF(AND($G453&gt;=30,$AT$3&lt;=CA$7),ROUND(CA453*($AP$3+#REF!),-1),""))</f>
        <v/>
      </c>
      <c r="CC453" s="547" t="s">
        <v>621</v>
      </c>
      <c r="CD453" s="547" t="str">
        <f>IF($G453="","",IF(AND($G453&gt;=30,$AT$3&lt;=CC$7),ROUND(CC453*($AP$3+#REF!),-1),""))</f>
        <v/>
      </c>
      <c r="CE453" s="547" t="s">
        <v>621</v>
      </c>
      <c r="CF453" s="547" t="str">
        <f>IF($G453="","",IF(AND($G453&gt;=30,$AT$3&lt;=CE$7),ROUND(CE453*($AP$3+#REF!),-1),""))</f>
        <v/>
      </c>
      <c r="CG453" s="547" t="s">
        <v>621</v>
      </c>
      <c r="CH453" s="547" t="str">
        <f>IF($G453="","",IF(AND($G453&gt;=30,$AT$3&lt;=CG$7),ROUND(CG453*($AP$3+#REF!),-1),""))</f>
        <v/>
      </c>
      <c r="CI453" s="547" t="s">
        <v>621</v>
      </c>
      <c r="CJ453" s="547" t="str">
        <f>IF($G453="","",IF(AND($G453&gt;=30,$AT$3&lt;=CI$7),ROUND(CI453*($AP$3+#REF!),-1),""))</f>
        <v/>
      </c>
      <c r="CK453" s="547" t="s">
        <v>621</v>
      </c>
      <c r="CL453" s="547" t="str">
        <f>IF($G453="","",IF(AND($G453&gt;=30,$AT$3&lt;=CK$7),ROUND(CK453*($AP$3+#REF!),-1),""))</f>
        <v/>
      </c>
      <c r="CM453" s="547" t="s">
        <v>621</v>
      </c>
      <c r="CN453" s="547" t="str">
        <f>IF($G453="","",IF(AND($G453&gt;=30,$AT$3&lt;=CM$7),ROUND(CM453*($AP$3+#REF!),-1),""))</f>
        <v/>
      </c>
      <c r="CO453" s="547" t="s">
        <v>621</v>
      </c>
      <c r="CP453" s="547" t="str">
        <f>IF($G453="","",IF(AND($G453&gt;=30,$AT$3&lt;=CO$7),ROUND(CO453*($AP$3+#REF!),-1),""))</f>
        <v/>
      </c>
      <c r="CQ453" s="547" t="s">
        <v>621</v>
      </c>
      <c r="CR453" s="547" t="str">
        <f>IF($G453="","",IF(AND($G453&gt;=30,$AT$3&lt;=CQ$7),ROUND(CQ453*($AP$3+#REF!),-1),""))</f>
        <v/>
      </c>
      <c r="CS453" s="547" t="s">
        <v>621</v>
      </c>
      <c r="CT453" s="547" t="str">
        <f>IF($G453="","",IF(AND($G453&gt;=30,$AT$3&lt;=CS$7),ROUND(CS453*($AP$3+#REF!),-1),""))</f>
        <v/>
      </c>
      <c r="CU453" s="547" t="s">
        <v>621</v>
      </c>
      <c r="CV453" s="547" t="str">
        <f>IF($G453="","",IF(AND($G453&gt;=30,$AT$3&lt;=CU$7),ROUND(CU453*($AP$3+#REF!),-1),""))</f>
        <v/>
      </c>
      <c r="CW453" s="547" t="s">
        <v>621</v>
      </c>
      <c r="CX453" s="547" t="str">
        <f>IF($G453="","",IF(AND($G453&gt;=30,$AT$3&lt;=CW$7),ROUND(CW453*($AP$3+#REF!),-1),""))</f>
        <v/>
      </c>
      <c r="CY453" s="547" t="s">
        <v>621</v>
      </c>
      <c r="CZ453" s="547" t="str">
        <f>IF($G453="","",IF(AND($G453&gt;=30,$AT$3&lt;=CY$7),ROUND(CY453*($AP$3+#REF!),-1),""))</f>
        <v/>
      </c>
      <c r="DA453" s="547" t="s">
        <v>621</v>
      </c>
      <c r="DB453" s="547" t="str">
        <f>IF($G453="","",IF(AND($G453&gt;=30,$AT$3&lt;=DA$7),ROUND(DA453*($AP$3+#REF!),-1),""))</f>
        <v/>
      </c>
      <c r="DC453" s="533" t="e">
        <v>#REF!</v>
      </c>
      <c r="DD453" s="547" t="str">
        <f>IF($G453="","",IF(AND($G453&gt;=30,$AT$3&lt;=DC$7),ROUND(DC453*($AP$3+#REF!),-1),""))</f>
        <v/>
      </c>
      <c r="DE453" s="547"/>
      <c r="DF453" s="547" t="str">
        <f>IF($G453="","",IF(AND($G453&gt;=30,$AT$3&lt;=DE$7),ROUND(DE453*($AP$3+#REF!),-1),""))</f>
        <v/>
      </c>
      <c r="DG453" s="547"/>
      <c r="DH453" s="547" t="str">
        <f>IF($G453="","",IF(AND($G453&gt;=30,$AT$3&lt;=DG$7),ROUND(DG453*($AP$3+#REF!),-1),""))</f>
        <v/>
      </c>
      <c r="DI453" s="547"/>
      <c r="DJ453" s="547" t="str">
        <f>IF($G453="","",IF(AND($G453&gt;=30,$AT$3&lt;=DI$7),ROUND(DI453*($AP$3+#REF!),-1),""))</f>
        <v/>
      </c>
      <c r="DK453" s="547"/>
      <c r="DL453" s="547" t="str">
        <f>IF($G453="","",IF(AND($G453&gt;=30,$AT$3&lt;=DK$7),ROUND(DK453*($AP$3+#REF!),-1),""))</f>
        <v/>
      </c>
      <c r="DM453" s="547"/>
      <c r="DN453" s="547" t="str">
        <f>IF($G453="","",IF(AND($G453&gt;=30,$AT$3&lt;=DM$7),ROUND(DM453*($AP$3+#REF!),-1),""))</f>
        <v/>
      </c>
      <c r="DO453" s="547"/>
      <c r="DP453" s="547" t="str">
        <f>IF($G453="","",IF(AND($G453&gt;=30,$AT$3&lt;=DO$7),ROUND(DO453*($AP$3+#REF!),-1),""))</f>
        <v/>
      </c>
      <c r="DQ453" s="547"/>
      <c r="DR453" s="547" t="str">
        <f>IF($G453="","",IF(AND($G453&gt;=30,$AT$3&lt;=DQ$7),ROUND(DQ453*($AP$3+#REF!),-1),""))</f>
        <v/>
      </c>
      <c r="DS453" s="547"/>
      <c r="DT453" s="547" t="str">
        <f>IF($G453="","",IF(AND($G453&gt;=30,$AT$3&lt;=DS$7),ROUND(DS453*($AP$3+#REF!),-1),""))</f>
        <v/>
      </c>
      <c r="DU453" s="547"/>
      <c r="DV453" s="547" t="str">
        <f>IF($G453="","",IF(AND($G453&gt;=30,$AT$3&lt;=DU$7),ROUND(DU453*($AP$3+#REF!),-1),""))</f>
        <v/>
      </c>
      <c r="DW453" s="547"/>
      <c r="DX453" s="547" t="str">
        <f>IF($G453="","",IF(AND($G453&gt;=30,$AT$3&lt;=DW$7),ROUND(DW453*($AP$3+#REF!),-1),""))</f>
        <v/>
      </c>
      <c r="DY453" s="547"/>
      <c r="DZ453" s="547" t="str">
        <f>IF($G453="","",IF(AND($G453&gt;=30,$AT$3&lt;=DY$7),ROUND(DY453*($AP$3+#REF!),-1),""))</f>
        <v/>
      </c>
      <c r="EA453" s="547"/>
      <c r="EB453" s="547" t="str">
        <f>IF($G453="","",IF(AND($G453&gt;=30,$AT$3&lt;=EA$7),ROUND(EA453*($AP$3+#REF!),-1),""))</f>
        <v/>
      </c>
      <c r="EC453" s="547" t="s">
        <v>621</v>
      </c>
      <c r="ED453" s="1123">
        <f>SUM(EC453:EC464)</f>
        <v>0</v>
      </c>
      <c r="EE453" s="325">
        <v>1</v>
      </c>
    </row>
    <row r="454" spans="1:135" ht="9.75" customHeight="1">
      <c r="A454" s="321" t="str">
        <f t="shared" si="110"/>
        <v/>
      </c>
      <c r="B454" s="567">
        <f>(ii!$D$13*12+V454)+1</f>
        <v>348</v>
      </c>
      <c r="C454" s="337">
        <f t="shared" si="100"/>
        <v>55943</v>
      </c>
      <c r="D454" s="484">
        <f t="shared" si="103"/>
        <v>2053</v>
      </c>
      <c r="E454" s="484">
        <f t="shared" si="101"/>
        <v>0.16666666666666666</v>
      </c>
      <c r="F454" s="484">
        <f t="shared" si="104"/>
        <v>2053.1666666666665</v>
      </c>
      <c r="G454" s="485" t="str">
        <f>IF(OR(C454&lt;$I$2,C454&gt;$J$3),"",(ii!$D$13*12+V454+1)/12)</f>
        <v/>
      </c>
      <c r="H454" s="486"/>
      <c r="I454" s="486"/>
      <c r="J454" s="487"/>
      <c r="K454" s="488"/>
      <c r="L454" s="548"/>
      <c r="M454" s="489" t="str">
        <f t="shared" si="105"/>
        <v/>
      </c>
      <c r="N454" s="490" t="s">
        <v>621</v>
      </c>
      <c r="O454" s="490" t="str">
        <f t="shared" si="98"/>
        <v/>
      </c>
      <c r="P454" s="491"/>
      <c r="Q454" s="491"/>
      <c r="R454" s="491" t="str">
        <f t="shared" si="99"/>
        <v/>
      </c>
      <c r="S454" s="528" t="str">
        <f t="shared" si="111"/>
        <v/>
      </c>
      <c r="T454" s="528" t="str">
        <f t="shared" si="109"/>
        <v/>
      </c>
      <c r="U454" s="493" t="str">
        <f>IF(H454="","",#REF!*12+#REF!+#REF!*12+#REF!)</f>
        <v/>
      </c>
      <c r="V454" s="338">
        <f>IF(ii!$J$3&gt;gg!C454,"",IF(AND((YEAR(C454)=YEAR($I$2)),MONTH(C454)=MONTH($I$2)),ii!$B$14*12+ii!$C$14+ii!$B$15*12+ii!$C$15-1,V453+1))</f>
        <v>347</v>
      </c>
      <c r="W454" s="339">
        <f t="shared" si="102"/>
        <v>28.916666666666668</v>
      </c>
      <c r="X454" s="494" t="s">
        <v>621</v>
      </c>
      <c r="Y454" s="495" t="s">
        <v>621</v>
      </c>
      <c r="Z454" s="496"/>
      <c r="AA454" s="497"/>
      <c r="AB454" s="498" t="e">
        <f t="shared" si="108"/>
        <v>#VALUE!</v>
      </c>
      <c r="AC454" s="484" t="str">
        <f t="shared" si="106"/>
        <v/>
      </c>
      <c r="AD454" s="495" t="str">
        <f t="shared" si="107"/>
        <v/>
      </c>
      <c r="AE454" s="499" t="s">
        <v>621</v>
      </c>
      <c r="AF454" s="500" t="s">
        <v>621</v>
      </c>
      <c r="AG454" s="556" t="s">
        <v>621</v>
      </c>
      <c r="AH454" s="503" t="str">
        <f>IF($G454="","",IF(AND($G454&gt;=30,$AT$3&lt;=AG$7),ROUND(AG454*($AP$3+#REF!),-1),""))</f>
        <v/>
      </c>
      <c r="AI454" s="506" t="s">
        <v>621</v>
      </c>
      <c r="AJ454" s="503" t="str">
        <f>IF($G454="","",IF(AND($G454&gt;=30,$AT$3&lt;=AI$7),ROUND(AI454*($AP$3+#REF!),-1),""))</f>
        <v/>
      </c>
      <c r="AK454" s="506" t="s">
        <v>621</v>
      </c>
      <c r="AL454" s="503" t="str">
        <f>IF($G454="","",IF(AND($G454&gt;=30,$AT$3&lt;=AK$7),ROUND(AK454*($AP$3+#REF!),-1),""))</f>
        <v/>
      </c>
      <c r="AM454" s="506" t="s">
        <v>621</v>
      </c>
      <c r="AN454" s="503" t="str">
        <f>IF($G454="","",IF(AND($G454&gt;=30,$AT$3&lt;=AM$7),ROUND(AM454*($AP$3+#REF!),-1),""))</f>
        <v/>
      </c>
      <c r="AO454" s="503" t="e">
        <f>IF(AO453="","",AO453*1.001)</f>
        <v>#REF!</v>
      </c>
      <c r="AP454" s="503" t="str">
        <f>IF($G454="","",IF(AND($G454&gt;=30,$AT$3&lt;=AO$7),ROUND(AO454*($AP$3+#REF!),-1),""))</f>
        <v/>
      </c>
      <c r="AQ454" s="503" t="s">
        <v>621</v>
      </c>
      <c r="AR454" s="503" t="str">
        <f>IF($G454="","",IF(AND($G454&gt;=30,$AT$3&lt;=AQ$7),ROUND(AQ454*($AP$3+#REF!),-1),""))</f>
        <v/>
      </c>
      <c r="AS454" s="503" t="s">
        <v>621</v>
      </c>
      <c r="AT454" s="503" t="str">
        <f>IF($G454="","",IF(AND($G454&gt;=30,$AT$3&lt;=AS$7),ROUND(AS454*($AP$3+#REF!),-1),""))</f>
        <v/>
      </c>
      <c r="AU454" s="503" t="s">
        <v>621</v>
      </c>
      <c r="AV454" s="503" t="str">
        <f>IF($G454="","",IF(AND($G454&gt;=30,$AT$3&lt;=AU$7),ROUND(AU454*($AP$3+#REF!),-1),""))</f>
        <v/>
      </c>
      <c r="AW454" s="503" t="s">
        <v>621</v>
      </c>
      <c r="AX454" s="503" t="str">
        <f>IF($G454="","",IF(AND($G454&gt;=30,$AT$3&lt;=AW$7),ROUND(AW454*($AP$3+#REF!),-1),""))</f>
        <v/>
      </c>
      <c r="AY454" s="503" t="s">
        <v>621</v>
      </c>
      <c r="AZ454" s="503" t="str">
        <f>IF($G454="","",IF(AND($G454&gt;=30,$AT$3&lt;=AY$7),ROUND(AY454*($AP$3+#REF!),-1),""))</f>
        <v/>
      </c>
      <c r="BA454" s="503" t="s">
        <v>621</v>
      </c>
      <c r="BB454" s="503" t="str">
        <f>IF($G454="","",IF(AND($G454&gt;=30,$AT$3&lt;=BA$7),ROUND(BA454*($AP$3+#REF!),-1),""))</f>
        <v/>
      </c>
      <c r="BC454" s="503" t="s">
        <v>621</v>
      </c>
      <c r="BD454" s="503" t="str">
        <f>IF($G454="","",IF(AND($G454&gt;=30,$AT$3&lt;=BC$7),ROUND(BC454*($AP$3+#REF!),-1),""))</f>
        <v/>
      </c>
      <c r="BE454" s="503" t="s">
        <v>621</v>
      </c>
      <c r="BF454" s="503" t="str">
        <f>IF($G454="","",IF(AND($G454&gt;=30,$AT$3&lt;=BE$7),ROUND(BE454*($AP$3+#REF!),-1),""))</f>
        <v/>
      </c>
      <c r="BG454" s="503" t="s">
        <v>621</v>
      </c>
      <c r="BH454" s="503" t="str">
        <f>IF($G454="","",IF(AND($G454&gt;=30,$AT$3&lt;=BG$7),ROUND(BG454*($AP$3+#REF!),-1),""))</f>
        <v/>
      </c>
      <c r="BI454" s="503" t="s">
        <v>621</v>
      </c>
      <c r="BJ454" s="503" t="str">
        <f>IF($G454="","",IF(AND($G454&gt;=30,$AT$3&lt;=BI$7),ROUND(BI454*($AP$3+#REF!),-1),""))</f>
        <v/>
      </c>
      <c r="BK454" s="503" t="s">
        <v>621</v>
      </c>
      <c r="BL454" s="503" t="str">
        <f>IF($G454="","",IF(AND($G454&gt;=30,$AT$3&lt;=BK$7),ROUND(BK454*($AP$3+#REF!),-1),""))</f>
        <v/>
      </c>
      <c r="BM454" s="503" t="s">
        <v>621</v>
      </c>
      <c r="BN454" s="503" t="str">
        <f>IF($G454="","",IF(AND($G454&gt;=30,$AT$3&lt;=BM$7),ROUND(BM454*($AP$3+#REF!),-1),""))</f>
        <v/>
      </c>
      <c r="BO454" s="503" t="s">
        <v>621</v>
      </c>
      <c r="BP454" s="503" t="str">
        <f>IF($G454="","",IF(AND($G454&gt;=30,$AT$3&lt;=BO$7),ROUND(BO454*($AP$3+#REF!),-1),""))</f>
        <v/>
      </c>
      <c r="BQ454" s="503" t="s">
        <v>621</v>
      </c>
      <c r="BR454" s="503" t="str">
        <f>IF($G454="","",IF(AND($G454&gt;=30,$AT$3&lt;=BQ$7),ROUND(BQ454*($AP$3+#REF!),-1),""))</f>
        <v/>
      </c>
      <c r="BS454" s="503" t="s">
        <v>621</v>
      </c>
      <c r="BT454" s="503" t="str">
        <f>IF($G454="","",IF(AND($G454&gt;=30,$AT$3&lt;=BS$7),ROUND(BS454*($AP$3+#REF!),-1),""))</f>
        <v/>
      </c>
      <c r="BU454" s="503" t="s">
        <v>621</v>
      </c>
      <c r="BV454" s="503" t="str">
        <f>IF($G454="","",IF(AND($G454&gt;=30,$AT$3&lt;=BU$7),ROUND(BU454*($AP$3+#REF!),-1),""))</f>
        <v/>
      </c>
      <c r="BW454" s="503" t="s">
        <v>621</v>
      </c>
      <c r="BX454" s="503" t="str">
        <f>IF($G454="","",IF(AND($G454&gt;=30,$AT$3&lt;=BW$7),ROUND(BW454*($AP$3+#REF!),-1),""))</f>
        <v/>
      </c>
      <c r="BY454" s="503" t="s">
        <v>621</v>
      </c>
      <c r="BZ454" s="503" t="str">
        <f>IF($G454="","",IF(AND($G454&gt;=30,$AT$3&lt;=BY$7),ROUND(BY454*($AP$3+#REF!),-1),""))</f>
        <v/>
      </c>
      <c r="CA454" s="503" t="s">
        <v>621</v>
      </c>
      <c r="CB454" s="503" t="str">
        <f>IF($G454="","",IF(AND($G454&gt;=30,$AT$3&lt;=CA$7),ROUND(CA454*($AP$3+#REF!),-1),""))</f>
        <v/>
      </c>
      <c r="CC454" s="503" t="s">
        <v>621</v>
      </c>
      <c r="CD454" s="503" t="str">
        <f>IF($G454="","",IF(AND($G454&gt;=30,$AT$3&lt;=CC$7),ROUND(CC454*($AP$3+#REF!),-1),""))</f>
        <v/>
      </c>
      <c r="CE454" s="503" t="s">
        <v>621</v>
      </c>
      <c r="CF454" s="503" t="str">
        <f>IF($G454="","",IF(AND($G454&gt;=30,$AT$3&lt;=CE$7),ROUND(CE454*($AP$3+#REF!),-1),""))</f>
        <v/>
      </c>
      <c r="CG454" s="503" t="s">
        <v>621</v>
      </c>
      <c r="CH454" s="503" t="str">
        <f>IF($G454="","",IF(AND($G454&gt;=30,$AT$3&lt;=CG$7),ROUND(CG454*($AP$3+#REF!),-1),""))</f>
        <v/>
      </c>
      <c r="CI454" s="503" t="s">
        <v>621</v>
      </c>
      <c r="CJ454" s="503" t="str">
        <f>IF($G454="","",IF(AND($G454&gt;=30,$AT$3&lt;=CI$7),ROUND(CI454*($AP$3+#REF!),-1),""))</f>
        <v/>
      </c>
      <c r="CK454" s="503" t="s">
        <v>621</v>
      </c>
      <c r="CL454" s="503" t="str">
        <f>IF($G454="","",IF(AND($G454&gt;=30,$AT$3&lt;=CK$7),ROUND(CK454*($AP$3+#REF!),-1),""))</f>
        <v/>
      </c>
      <c r="CM454" s="503" t="s">
        <v>621</v>
      </c>
      <c r="CN454" s="503" t="str">
        <f>IF($G454="","",IF(AND($G454&gt;=30,$AT$3&lt;=CM$7),ROUND(CM454*($AP$3+#REF!),-1),""))</f>
        <v/>
      </c>
      <c r="CO454" s="503" t="s">
        <v>621</v>
      </c>
      <c r="CP454" s="503" t="str">
        <f>IF($G454="","",IF(AND($G454&gt;=30,$AT$3&lt;=CO$7),ROUND(CO454*($AP$3+#REF!),-1),""))</f>
        <v/>
      </c>
      <c r="CQ454" s="503" t="s">
        <v>621</v>
      </c>
      <c r="CR454" s="503" t="str">
        <f>IF($G454="","",IF(AND($G454&gt;=30,$AT$3&lt;=CQ$7),ROUND(CQ454*($AP$3+#REF!),-1),""))</f>
        <v/>
      </c>
      <c r="CS454" s="503" t="s">
        <v>621</v>
      </c>
      <c r="CT454" s="503" t="str">
        <f>IF($G454="","",IF(AND($G454&gt;=30,$AT$3&lt;=CS$7),ROUND(CS454*($AP$3+#REF!),-1),""))</f>
        <v/>
      </c>
      <c r="CU454" s="503" t="s">
        <v>621</v>
      </c>
      <c r="CV454" s="503" t="str">
        <f>IF($G454="","",IF(AND($G454&gt;=30,$AT$3&lt;=CU$7),ROUND(CU454*($AP$3+#REF!),-1),""))</f>
        <v/>
      </c>
      <c r="CW454" s="503" t="s">
        <v>621</v>
      </c>
      <c r="CX454" s="503" t="str">
        <f>IF($G454="","",IF(AND($G454&gt;=30,$AT$3&lt;=CW$7),ROUND(CW454*($AP$3+#REF!),-1),""))</f>
        <v/>
      </c>
      <c r="CY454" s="503" t="s">
        <v>621</v>
      </c>
      <c r="CZ454" s="503" t="str">
        <f>IF($G454="","",IF(AND($G454&gt;=30,$AT$3&lt;=CY$7),ROUND(CY454*($AP$3+#REF!),-1),""))</f>
        <v/>
      </c>
      <c r="DA454" s="503" t="s">
        <v>621</v>
      </c>
      <c r="DB454" s="503" t="str">
        <f>IF($G454="","",IF(AND($G454&gt;=30,$AT$3&lt;=DA$7),ROUND(DA454*($AP$3+#REF!),-1),""))</f>
        <v/>
      </c>
      <c r="DC454" s="517" t="e">
        <v>#REF!</v>
      </c>
      <c r="DD454" s="503" t="str">
        <f>IF($G454="","",IF(AND($G454&gt;=30,$AT$3&lt;=DC$7),ROUND(DC454*($AP$3+#REF!),-1),""))</f>
        <v/>
      </c>
      <c r="DE454" s="517"/>
      <c r="DF454" s="503" t="str">
        <f>IF($G454="","",IF(AND($G454&gt;=30,$AT$3&lt;=DE$7),ROUND(DE454*($AP$3+#REF!),-1),""))</f>
        <v/>
      </c>
      <c r="DG454" s="517"/>
      <c r="DH454" s="503" t="str">
        <f>IF($G454="","",IF(AND($G454&gt;=30,$AT$3&lt;=DG$7),ROUND(DG454*($AP$3+#REF!),-1),""))</f>
        <v/>
      </c>
      <c r="DI454" s="517"/>
      <c r="DJ454" s="503" t="str">
        <f>IF($G454="","",IF(AND($G454&gt;=30,$AT$3&lt;=DI$7),ROUND(DI454*($AP$3+#REF!),-1),""))</f>
        <v/>
      </c>
      <c r="DK454" s="517"/>
      <c r="DL454" s="503" t="str">
        <f>IF($G454="","",IF(AND($G454&gt;=30,$AT$3&lt;=DK$7),ROUND(DK454*($AP$3+#REF!),-1),""))</f>
        <v/>
      </c>
      <c r="DM454" s="517"/>
      <c r="DN454" s="503" t="str">
        <f>IF($G454="","",IF(AND($G454&gt;=30,$AT$3&lt;=DM$7),ROUND(DM454*($AP$3+#REF!),-1),""))</f>
        <v/>
      </c>
      <c r="DO454" s="517"/>
      <c r="DP454" s="503" t="str">
        <f>IF($G454="","",IF(AND($G454&gt;=30,$AT$3&lt;=DO$7),ROUND(DO454*($AP$3+#REF!),-1),""))</f>
        <v/>
      </c>
      <c r="DQ454" s="517"/>
      <c r="DR454" s="503" t="str">
        <f>IF($G454="","",IF(AND($G454&gt;=30,$AT$3&lt;=DQ$7),ROUND(DQ454*($AP$3+#REF!),-1),""))</f>
        <v/>
      </c>
      <c r="DS454" s="517"/>
      <c r="DT454" s="503" t="str">
        <f>IF($G454="","",IF(AND($G454&gt;=30,$AT$3&lt;=DS$7),ROUND(DS454*($AP$3+#REF!),-1),""))</f>
        <v/>
      </c>
      <c r="DU454" s="517"/>
      <c r="DV454" s="503" t="str">
        <f>IF($G454="","",IF(AND($G454&gt;=30,$AT$3&lt;=DU$7),ROUND(DU454*($AP$3+#REF!),-1),""))</f>
        <v/>
      </c>
      <c r="DW454" s="517"/>
      <c r="DX454" s="503" t="str">
        <f>IF($G454="","",IF(AND($G454&gt;=30,$AT$3&lt;=DW$7),ROUND(DW454*($AP$3+#REF!),-1),""))</f>
        <v/>
      </c>
      <c r="DY454" s="517"/>
      <c r="DZ454" s="503" t="str">
        <f>IF($G454="","",IF(AND($G454&gt;=30,$AT$3&lt;=DY$7),ROUND(DY454*($AP$3+#REF!),-1),""))</f>
        <v/>
      </c>
      <c r="EA454" s="517"/>
      <c r="EB454" s="503" t="str">
        <f>IF($G454="","",IF(AND($G454&gt;=30,$AT$3&lt;=EA$7),ROUND(EA454*($AP$3+#REF!),-1),""))</f>
        <v/>
      </c>
      <c r="EC454" s="504" t="s">
        <v>621</v>
      </c>
      <c r="ED454" s="1124"/>
      <c r="EE454" s="325">
        <v>2</v>
      </c>
    </row>
    <row r="455" spans="1:135" ht="9.75" customHeight="1">
      <c r="A455" s="321" t="str">
        <f t="shared" si="110"/>
        <v/>
      </c>
      <c r="B455" s="567">
        <f>(ii!$D$13*12+V455)+1</f>
        <v>349</v>
      </c>
      <c r="C455" s="337">
        <f t="shared" si="100"/>
        <v>55974</v>
      </c>
      <c r="D455" s="484">
        <f t="shared" si="103"/>
        <v>2053</v>
      </c>
      <c r="E455" s="484">
        <f t="shared" si="101"/>
        <v>0.25</v>
      </c>
      <c r="F455" s="484">
        <f t="shared" si="104"/>
        <v>2053.25</v>
      </c>
      <c r="G455" s="485" t="str">
        <f>IF(OR(C455&lt;$I$2,C455&gt;$J$3),"",(ii!$D$13*12+V455+1)/12)</f>
        <v/>
      </c>
      <c r="H455" s="486"/>
      <c r="I455" s="486"/>
      <c r="J455" s="487"/>
      <c r="K455" s="488"/>
      <c r="L455" s="548"/>
      <c r="M455" s="489" t="str">
        <f t="shared" si="105"/>
        <v/>
      </c>
      <c r="N455" s="490" t="s">
        <v>621</v>
      </c>
      <c r="O455" s="490" t="str">
        <f t="shared" si="98"/>
        <v/>
      </c>
      <c r="P455" s="491"/>
      <c r="Q455" s="491"/>
      <c r="R455" s="491" t="str">
        <f t="shared" si="99"/>
        <v/>
      </c>
      <c r="S455" s="528" t="str">
        <f t="shared" si="111"/>
        <v/>
      </c>
      <c r="T455" s="528" t="str">
        <f t="shared" si="109"/>
        <v/>
      </c>
      <c r="U455" s="493" t="str">
        <f>IF(H455="","",#REF!*12+#REF!+#REF!*12+#REF!)</f>
        <v/>
      </c>
      <c r="V455" s="338">
        <f>IF(ii!$J$3&gt;gg!C455,"",IF(AND((YEAR(C455)=YEAR($I$2)),MONTH(C455)=MONTH($I$2)),ii!$B$14*12+ii!$C$14+ii!$B$15*12+ii!$C$15-1,V454+1))</f>
        <v>348</v>
      </c>
      <c r="W455" s="339">
        <f t="shared" si="102"/>
        <v>29</v>
      </c>
      <c r="X455" s="494" t="s">
        <v>621</v>
      </c>
      <c r="Y455" s="495" t="s">
        <v>621</v>
      </c>
      <c r="Z455" s="496"/>
      <c r="AA455" s="497"/>
      <c r="AB455" s="498" t="e">
        <f t="shared" si="108"/>
        <v>#VALUE!</v>
      </c>
      <c r="AC455" s="484" t="str">
        <f t="shared" si="106"/>
        <v/>
      </c>
      <c r="AD455" s="495" t="str">
        <f t="shared" si="107"/>
        <v/>
      </c>
      <c r="AE455" s="499" t="s">
        <v>621</v>
      </c>
      <c r="AF455" s="500" t="s">
        <v>621</v>
      </c>
      <c r="AG455" s="556" t="s">
        <v>621</v>
      </c>
      <c r="AH455" s="503" t="str">
        <f>IF($G455="","",IF(AND($G455&gt;=30,$AT$3&lt;=AG$7),ROUND(AG455*($AP$3+#REF!),-1),""))</f>
        <v/>
      </c>
      <c r="AI455" s="506" t="s">
        <v>621</v>
      </c>
      <c r="AJ455" s="503" t="str">
        <f>IF($G455="","",IF(AND($G455&gt;=30,$AT$3&lt;=AI$7),ROUND(AI455*($AP$3+#REF!),-1),""))</f>
        <v/>
      </c>
      <c r="AK455" s="506" t="s">
        <v>621</v>
      </c>
      <c r="AL455" s="503" t="str">
        <f>IF($G455="","",IF(AND($G455&gt;=30,$AT$3&lt;=AK$7),ROUND(AK455*($AP$3+#REF!),-1),""))</f>
        <v/>
      </c>
      <c r="AM455" s="506" t="s">
        <v>621</v>
      </c>
      <c r="AN455" s="503" t="str">
        <f>IF($G455="","",IF(AND($G455&gt;=30,$AT$3&lt;=AM$7),ROUND(AM455*($AP$3+#REF!),-1),""))</f>
        <v/>
      </c>
      <c r="AO455" s="503" t="e">
        <v>#REF!</v>
      </c>
      <c r="AP455" s="503" t="str">
        <f>IF($G455="","",IF(AND($G455&gt;=30,$AT$3&lt;=AO$7),ROUND(AO455*($AP$3+#REF!),-1),""))</f>
        <v/>
      </c>
      <c r="AQ455" s="503" t="s">
        <v>621</v>
      </c>
      <c r="AR455" s="503" t="str">
        <f>IF($G455="","",IF(AND($G455&gt;=30,$AT$3&lt;=AQ$7),ROUND(AQ455*($AP$3+#REF!),-1),""))</f>
        <v/>
      </c>
      <c r="AS455" s="503" t="s">
        <v>621</v>
      </c>
      <c r="AT455" s="503" t="str">
        <f>IF($G455="","",IF(AND($G455&gt;=30,$AT$3&lt;=AS$7),ROUND(AS455*($AP$3+#REF!),-1),""))</f>
        <v/>
      </c>
      <c r="AU455" s="503" t="s">
        <v>621</v>
      </c>
      <c r="AV455" s="503" t="str">
        <f>IF($G455="","",IF(AND($G455&gt;=30,$AT$3&lt;=AU$7),ROUND(AU455*($AP$3+#REF!),-1),""))</f>
        <v/>
      </c>
      <c r="AW455" s="503" t="s">
        <v>621</v>
      </c>
      <c r="AX455" s="503" t="str">
        <f>IF($G455="","",IF(AND($G455&gt;=30,$AT$3&lt;=AW$7),ROUND(AW455*($AP$3+#REF!),-1),""))</f>
        <v/>
      </c>
      <c r="AY455" s="503" t="s">
        <v>621</v>
      </c>
      <c r="AZ455" s="503" t="str">
        <f>IF($G455="","",IF(AND($G455&gt;=30,$AT$3&lt;=AY$7),ROUND(AY455*($AP$3+#REF!),-1),""))</f>
        <v/>
      </c>
      <c r="BA455" s="503" t="s">
        <v>621</v>
      </c>
      <c r="BB455" s="503" t="str">
        <f>IF($G455="","",IF(AND($G455&gt;=30,$AT$3&lt;=BA$7),ROUND(BA455*($AP$3+#REF!),-1),""))</f>
        <v/>
      </c>
      <c r="BC455" s="503" t="s">
        <v>621</v>
      </c>
      <c r="BD455" s="503" t="str">
        <f>IF($G455="","",IF(AND($G455&gt;=30,$AT$3&lt;=BC$7),ROUND(BC455*($AP$3+#REF!),-1),""))</f>
        <v/>
      </c>
      <c r="BE455" s="503" t="s">
        <v>621</v>
      </c>
      <c r="BF455" s="503" t="str">
        <f>IF($G455="","",IF(AND($G455&gt;=30,$AT$3&lt;=BE$7),ROUND(BE455*($AP$3+#REF!),-1),""))</f>
        <v/>
      </c>
      <c r="BG455" s="503" t="s">
        <v>621</v>
      </c>
      <c r="BH455" s="503" t="str">
        <f>IF($G455="","",IF(AND($G455&gt;=30,$AT$3&lt;=BG$7),ROUND(BG455*($AP$3+#REF!),-1),""))</f>
        <v/>
      </c>
      <c r="BI455" s="503" t="s">
        <v>621</v>
      </c>
      <c r="BJ455" s="503" t="str">
        <f>IF($G455="","",IF(AND($G455&gt;=30,$AT$3&lt;=BI$7),ROUND(BI455*($AP$3+#REF!),-1),""))</f>
        <v/>
      </c>
      <c r="BK455" s="503" t="s">
        <v>621</v>
      </c>
      <c r="BL455" s="503" t="str">
        <f>IF($G455="","",IF(AND($G455&gt;=30,$AT$3&lt;=BK$7),ROUND(BK455*($AP$3+#REF!),-1),""))</f>
        <v/>
      </c>
      <c r="BM455" s="503" t="s">
        <v>621</v>
      </c>
      <c r="BN455" s="503" t="str">
        <f>IF($G455="","",IF(AND($G455&gt;=30,$AT$3&lt;=BM$7),ROUND(BM455*($AP$3+#REF!),-1),""))</f>
        <v/>
      </c>
      <c r="BO455" s="503" t="s">
        <v>621</v>
      </c>
      <c r="BP455" s="503" t="str">
        <f>IF($G455="","",IF(AND($G455&gt;=30,$AT$3&lt;=BO$7),ROUND(BO455*($AP$3+#REF!),-1),""))</f>
        <v/>
      </c>
      <c r="BQ455" s="503" t="s">
        <v>621</v>
      </c>
      <c r="BR455" s="503" t="str">
        <f>IF($G455="","",IF(AND($G455&gt;=30,$AT$3&lt;=BQ$7),ROUND(BQ455*($AP$3+#REF!),-1),""))</f>
        <v/>
      </c>
      <c r="BS455" s="503" t="s">
        <v>621</v>
      </c>
      <c r="BT455" s="503" t="str">
        <f>IF($G455="","",IF(AND($G455&gt;=30,$AT$3&lt;=BS$7),ROUND(BS455*($AP$3+#REF!),-1),""))</f>
        <v/>
      </c>
      <c r="BU455" s="503" t="s">
        <v>621</v>
      </c>
      <c r="BV455" s="503" t="str">
        <f>IF($G455="","",IF(AND($G455&gt;=30,$AT$3&lt;=BU$7),ROUND(BU455*($AP$3+#REF!),-1),""))</f>
        <v/>
      </c>
      <c r="BW455" s="503" t="s">
        <v>621</v>
      </c>
      <c r="BX455" s="503" t="str">
        <f>IF($G455="","",IF(AND($G455&gt;=30,$AT$3&lt;=BW$7),ROUND(BW455*($AP$3+#REF!),-1),""))</f>
        <v/>
      </c>
      <c r="BY455" s="503" t="s">
        <v>621</v>
      </c>
      <c r="BZ455" s="503" t="str">
        <f>IF($G455="","",IF(AND($G455&gt;=30,$AT$3&lt;=BY$7),ROUND(BY455*($AP$3+#REF!),-1),""))</f>
        <v/>
      </c>
      <c r="CA455" s="503" t="s">
        <v>621</v>
      </c>
      <c r="CB455" s="503" t="str">
        <f>IF($G455="","",IF(AND($G455&gt;=30,$AT$3&lt;=CA$7),ROUND(CA455*($AP$3+#REF!),-1),""))</f>
        <v/>
      </c>
      <c r="CC455" s="503" t="s">
        <v>621</v>
      </c>
      <c r="CD455" s="503" t="str">
        <f>IF($G455="","",IF(AND($G455&gt;=30,$AT$3&lt;=CC$7),ROUND(CC455*($AP$3+#REF!),-1),""))</f>
        <v/>
      </c>
      <c r="CE455" s="503" t="s">
        <v>621</v>
      </c>
      <c r="CF455" s="503" t="str">
        <f>IF($G455="","",IF(AND($G455&gt;=30,$AT$3&lt;=CE$7),ROUND(CE455*($AP$3+#REF!),-1),""))</f>
        <v/>
      </c>
      <c r="CG455" s="503" t="s">
        <v>621</v>
      </c>
      <c r="CH455" s="503" t="str">
        <f>IF($G455="","",IF(AND($G455&gt;=30,$AT$3&lt;=CG$7),ROUND(CG455*($AP$3+#REF!),-1),""))</f>
        <v/>
      </c>
      <c r="CI455" s="503" t="s">
        <v>621</v>
      </c>
      <c r="CJ455" s="503" t="str">
        <f>IF($G455="","",IF(AND($G455&gt;=30,$AT$3&lt;=CI$7),ROUND(CI455*($AP$3+#REF!),-1),""))</f>
        <v/>
      </c>
      <c r="CK455" s="503" t="s">
        <v>621</v>
      </c>
      <c r="CL455" s="503" t="str">
        <f>IF($G455="","",IF(AND($G455&gt;=30,$AT$3&lt;=CK$7),ROUND(CK455*($AP$3+#REF!),-1),""))</f>
        <v/>
      </c>
      <c r="CM455" s="503" t="s">
        <v>621</v>
      </c>
      <c r="CN455" s="503" t="str">
        <f>IF($G455="","",IF(AND($G455&gt;=30,$AT$3&lt;=CM$7),ROUND(CM455*($AP$3+#REF!),-1),""))</f>
        <v/>
      </c>
      <c r="CO455" s="503" t="s">
        <v>621</v>
      </c>
      <c r="CP455" s="503" t="str">
        <f>IF($G455="","",IF(AND($G455&gt;=30,$AT$3&lt;=CO$7),ROUND(CO455*($AP$3+#REF!),-1),""))</f>
        <v/>
      </c>
      <c r="CQ455" s="503" t="s">
        <v>621</v>
      </c>
      <c r="CR455" s="503" t="str">
        <f>IF($G455="","",IF(AND($G455&gt;=30,$AT$3&lt;=CQ$7),ROUND(CQ455*($AP$3+#REF!),-1),""))</f>
        <v/>
      </c>
      <c r="CS455" s="503" t="s">
        <v>621</v>
      </c>
      <c r="CT455" s="503" t="str">
        <f>IF($G455="","",IF(AND($G455&gt;=30,$AT$3&lt;=CS$7),ROUND(CS455*($AP$3+#REF!),-1),""))</f>
        <v/>
      </c>
      <c r="CU455" s="503" t="s">
        <v>621</v>
      </c>
      <c r="CV455" s="503" t="str">
        <f>IF($G455="","",IF(AND($G455&gt;=30,$AT$3&lt;=CU$7),ROUND(CU455*($AP$3+#REF!),-1),""))</f>
        <v/>
      </c>
      <c r="CW455" s="503" t="s">
        <v>621</v>
      </c>
      <c r="CX455" s="503" t="str">
        <f>IF($G455="","",IF(AND($G455&gt;=30,$AT$3&lt;=CW$7),ROUND(CW455*($AP$3+#REF!),-1),""))</f>
        <v/>
      </c>
      <c r="CY455" s="503" t="s">
        <v>621</v>
      </c>
      <c r="CZ455" s="503" t="str">
        <f>IF($G455="","",IF(AND($G455&gt;=30,$AT$3&lt;=CY$7),ROUND(CY455*($AP$3+#REF!),-1),""))</f>
        <v/>
      </c>
      <c r="DA455" s="503" t="s">
        <v>621</v>
      </c>
      <c r="DB455" s="503" t="str">
        <f>IF($G455="","",IF(AND($G455&gt;=30,$AT$3&lt;=DA$7),ROUND(DA455*($AP$3+#REF!),-1),""))</f>
        <v/>
      </c>
      <c r="DC455" s="517" t="e">
        <v>#REF!</v>
      </c>
      <c r="DD455" s="503" t="str">
        <f>IF($G455="","",IF(AND($G455&gt;=30,$AT$3&lt;=DC$7),ROUND(DC455*($AP$3+#REF!),-1),""))</f>
        <v/>
      </c>
      <c r="DE455" s="517"/>
      <c r="DF455" s="503" t="str">
        <f>IF($G455="","",IF(AND($G455&gt;=30,$AT$3&lt;=DE$7),ROUND(DE455*($AP$3+#REF!),-1),""))</f>
        <v/>
      </c>
      <c r="DG455" s="517"/>
      <c r="DH455" s="503" t="str">
        <f>IF($G455="","",IF(AND($G455&gt;=30,$AT$3&lt;=DG$7),ROUND(DG455*($AP$3+#REF!),-1),""))</f>
        <v/>
      </c>
      <c r="DI455" s="517"/>
      <c r="DJ455" s="503" t="str">
        <f>IF($G455="","",IF(AND($G455&gt;=30,$AT$3&lt;=DI$7),ROUND(DI455*($AP$3+#REF!),-1),""))</f>
        <v/>
      </c>
      <c r="DK455" s="517"/>
      <c r="DL455" s="503" t="str">
        <f>IF($G455="","",IF(AND($G455&gt;=30,$AT$3&lt;=DK$7),ROUND(DK455*($AP$3+#REF!),-1),""))</f>
        <v/>
      </c>
      <c r="DM455" s="517"/>
      <c r="DN455" s="503" t="str">
        <f>IF($G455="","",IF(AND($G455&gt;=30,$AT$3&lt;=DM$7),ROUND(DM455*($AP$3+#REF!),-1),""))</f>
        <v/>
      </c>
      <c r="DO455" s="517"/>
      <c r="DP455" s="503" t="str">
        <f>IF($G455="","",IF(AND($G455&gt;=30,$AT$3&lt;=DO$7),ROUND(DO455*($AP$3+#REF!),-1),""))</f>
        <v/>
      </c>
      <c r="DQ455" s="517"/>
      <c r="DR455" s="503" t="str">
        <f>IF($G455="","",IF(AND($G455&gt;=30,$AT$3&lt;=DQ$7),ROUND(DQ455*($AP$3+#REF!),-1),""))</f>
        <v/>
      </c>
      <c r="DS455" s="517"/>
      <c r="DT455" s="503" t="str">
        <f>IF($G455="","",IF(AND($G455&gt;=30,$AT$3&lt;=DS$7),ROUND(DS455*($AP$3+#REF!),-1),""))</f>
        <v/>
      </c>
      <c r="DU455" s="517"/>
      <c r="DV455" s="503" t="str">
        <f>IF($G455="","",IF(AND($G455&gt;=30,$AT$3&lt;=DU$7),ROUND(DU455*($AP$3+#REF!),-1),""))</f>
        <v/>
      </c>
      <c r="DW455" s="517"/>
      <c r="DX455" s="503" t="str">
        <f>IF($G455="","",IF(AND($G455&gt;=30,$AT$3&lt;=DW$7),ROUND(DW455*($AP$3+#REF!),-1),""))</f>
        <v/>
      </c>
      <c r="DY455" s="517"/>
      <c r="DZ455" s="503" t="str">
        <f>IF($G455="","",IF(AND($G455&gt;=30,$AT$3&lt;=DY$7),ROUND(DY455*($AP$3+#REF!),-1),""))</f>
        <v/>
      </c>
      <c r="EA455" s="517"/>
      <c r="EB455" s="503" t="str">
        <f>IF($G455="","",IF(AND($G455&gt;=30,$AT$3&lt;=EA$7),ROUND(EA455*($AP$3+#REF!),-1),""))</f>
        <v/>
      </c>
      <c r="EC455" s="504" t="s">
        <v>621</v>
      </c>
      <c r="ED455" s="1124"/>
      <c r="EE455" s="325">
        <v>3</v>
      </c>
    </row>
    <row r="456" spans="1:135" ht="9.75" customHeight="1">
      <c r="A456" s="321" t="str">
        <f t="shared" si="110"/>
        <v/>
      </c>
      <c r="B456" s="567">
        <f>(ii!$D$13*12+V456)+1</f>
        <v>350</v>
      </c>
      <c r="C456" s="337">
        <f t="shared" si="100"/>
        <v>56004</v>
      </c>
      <c r="D456" s="484">
        <f t="shared" si="103"/>
        <v>2053</v>
      </c>
      <c r="E456" s="484">
        <f t="shared" si="101"/>
        <v>0.33333333333333331</v>
      </c>
      <c r="F456" s="484">
        <f t="shared" si="104"/>
        <v>2053.3333333333335</v>
      </c>
      <c r="G456" s="485" t="str">
        <f>IF(OR(C456&lt;$I$2,C456&gt;$J$3),"",(ii!$D$13*12+V456+1)/12)</f>
        <v/>
      </c>
      <c r="H456" s="486"/>
      <c r="I456" s="486"/>
      <c r="J456" s="487"/>
      <c r="K456" s="488"/>
      <c r="L456" s="548"/>
      <c r="M456" s="489" t="str">
        <f t="shared" si="105"/>
        <v/>
      </c>
      <c r="N456" s="490" t="s">
        <v>621</v>
      </c>
      <c r="O456" s="490" t="str">
        <f t="shared" si="98"/>
        <v/>
      </c>
      <c r="P456" s="491"/>
      <c r="Q456" s="491"/>
      <c r="R456" s="491" t="str">
        <f t="shared" si="99"/>
        <v/>
      </c>
      <c r="S456" s="528" t="str">
        <f t="shared" si="111"/>
        <v/>
      </c>
      <c r="T456" s="528" t="str">
        <f t="shared" si="109"/>
        <v/>
      </c>
      <c r="U456" s="493" t="str">
        <f>IF(H456="","",#REF!*12+#REF!+#REF!*12+#REF!)</f>
        <v/>
      </c>
      <c r="V456" s="338">
        <f>IF(ii!$J$3&gt;gg!C456,"",IF(AND((YEAR(C456)=YEAR($I$2)),MONTH(C456)=MONTH($I$2)),ii!$B$14*12+ii!$C$14+ii!$B$15*12+ii!$C$15-1,V455+1))</f>
        <v>349</v>
      </c>
      <c r="W456" s="339">
        <f t="shared" si="102"/>
        <v>29.083333333333332</v>
      </c>
      <c r="X456" s="494" t="s">
        <v>621</v>
      </c>
      <c r="Y456" s="495" t="s">
        <v>621</v>
      </c>
      <c r="Z456" s="496"/>
      <c r="AA456" s="497"/>
      <c r="AB456" s="498" t="e">
        <f t="shared" si="108"/>
        <v>#VALUE!</v>
      </c>
      <c r="AC456" s="484" t="str">
        <f t="shared" si="106"/>
        <v/>
      </c>
      <c r="AD456" s="495" t="str">
        <f t="shared" si="107"/>
        <v/>
      </c>
      <c r="AE456" s="499" t="s">
        <v>621</v>
      </c>
      <c r="AF456" s="500" t="s">
        <v>621</v>
      </c>
      <c r="AG456" s="556" t="s">
        <v>621</v>
      </c>
      <c r="AH456" s="503" t="str">
        <f>IF($G456="","",IF(AND($G456&gt;=30,$AT$3&lt;=AG$7),ROUND(AG456*($AP$3+#REF!),-1),""))</f>
        <v/>
      </c>
      <c r="AI456" s="506" t="s">
        <v>621</v>
      </c>
      <c r="AJ456" s="503" t="str">
        <f>IF($G456="","",IF(AND($G456&gt;=30,$AT$3&lt;=AI$7),ROUND(AI456*($AP$3+#REF!),-1),""))</f>
        <v/>
      </c>
      <c r="AK456" s="506" t="s">
        <v>621</v>
      </c>
      <c r="AL456" s="503" t="str">
        <f>IF($G456="","",IF(AND($G456&gt;=30,$AT$3&lt;=AK$7),ROUND(AK456*($AP$3+#REF!),-1),""))</f>
        <v/>
      </c>
      <c r="AM456" s="506" t="s">
        <v>621</v>
      </c>
      <c r="AN456" s="503" t="str">
        <f>IF($G456="","",IF(AND($G456&gt;=30,$AT$3&lt;=AM$7),ROUND(AM456*($AP$3+#REF!),-1),""))</f>
        <v/>
      </c>
      <c r="AO456" s="503" t="e">
        <v>#REF!</v>
      </c>
      <c r="AP456" s="503" t="str">
        <f>IF($G456="","",IF(AND($G456&gt;=30,$AT$3&lt;=AO$7),ROUND(AO456*($AP$3+#REF!),-1),""))</f>
        <v/>
      </c>
      <c r="AQ456" s="503" t="s">
        <v>621</v>
      </c>
      <c r="AR456" s="503" t="str">
        <f>IF($G456="","",IF(AND($G456&gt;=30,$AT$3&lt;=AQ$7),ROUND(AQ456*($AP$3+#REF!),-1),""))</f>
        <v/>
      </c>
      <c r="AS456" s="503" t="s">
        <v>621</v>
      </c>
      <c r="AT456" s="503" t="str">
        <f>IF($G456="","",IF(AND($G456&gt;=30,$AT$3&lt;=AS$7),ROUND(AS456*($AP$3+#REF!),-1),""))</f>
        <v/>
      </c>
      <c r="AU456" s="503" t="s">
        <v>621</v>
      </c>
      <c r="AV456" s="503" t="str">
        <f>IF($G456="","",IF(AND($G456&gt;=30,$AT$3&lt;=AU$7),ROUND(AU456*($AP$3+#REF!),-1),""))</f>
        <v/>
      </c>
      <c r="AW456" s="503" t="s">
        <v>621</v>
      </c>
      <c r="AX456" s="503" t="str">
        <f>IF($G456="","",IF(AND($G456&gt;=30,$AT$3&lt;=AW$7),ROUND(AW456*($AP$3+#REF!),-1),""))</f>
        <v/>
      </c>
      <c r="AY456" s="503" t="s">
        <v>621</v>
      </c>
      <c r="AZ456" s="503" t="str">
        <f>IF($G456="","",IF(AND($G456&gt;=30,$AT$3&lt;=AY$7),ROUND(AY456*($AP$3+#REF!),-1),""))</f>
        <v/>
      </c>
      <c r="BA456" s="503" t="s">
        <v>621</v>
      </c>
      <c r="BB456" s="503" t="str">
        <f>IF($G456="","",IF(AND($G456&gt;=30,$AT$3&lt;=BA$7),ROUND(BA456*($AP$3+#REF!),-1),""))</f>
        <v/>
      </c>
      <c r="BC456" s="503" t="s">
        <v>621</v>
      </c>
      <c r="BD456" s="503" t="str">
        <f>IF($G456="","",IF(AND($G456&gt;=30,$AT$3&lt;=BC$7),ROUND(BC456*($AP$3+#REF!),-1),""))</f>
        <v/>
      </c>
      <c r="BE456" s="503" t="s">
        <v>621</v>
      </c>
      <c r="BF456" s="503" t="str">
        <f>IF($G456="","",IF(AND($G456&gt;=30,$AT$3&lt;=BE$7),ROUND(BE456*($AP$3+#REF!),-1),""))</f>
        <v/>
      </c>
      <c r="BG456" s="503" t="s">
        <v>621</v>
      </c>
      <c r="BH456" s="503" t="str">
        <f>IF($G456="","",IF(AND($G456&gt;=30,$AT$3&lt;=BG$7),ROUND(BG456*($AP$3+#REF!),-1),""))</f>
        <v/>
      </c>
      <c r="BI456" s="503" t="s">
        <v>621</v>
      </c>
      <c r="BJ456" s="503" t="str">
        <f>IF($G456="","",IF(AND($G456&gt;=30,$AT$3&lt;=BI$7),ROUND(BI456*($AP$3+#REF!),-1),""))</f>
        <v/>
      </c>
      <c r="BK456" s="503" t="s">
        <v>621</v>
      </c>
      <c r="BL456" s="503" t="str">
        <f>IF($G456="","",IF(AND($G456&gt;=30,$AT$3&lt;=BK$7),ROUND(BK456*($AP$3+#REF!),-1),""))</f>
        <v/>
      </c>
      <c r="BM456" s="503" t="s">
        <v>621</v>
      </c>
      <c r="BN456" s="503" t="str">
        <f>IF($G456="","",IF(AND($G456&gt;=30,$AT$3&lt;=BM$7),ROUND(BM456*($AP$3+#REF!),-1),""))</f>
        <v/>
      </c>
      <c r="BO456" s="503" t="s">
        <v>621</v>
      </c>
      <c r="BP456" s="503" t="str">
        <f>IF($G456="","",IF(AND($G456&gt;=30,$AT$3&lt;=BO$7),ROUND(BO456*($AP$3+#REF!),-1),""))</f>
        <v/>
      </c>
      <c r="BQ456" s="503" t="s">
        <v>621</v>
      </c>
      <c r="BR456" s="503" t="str">
        <f>IF($G456="","",IF(AND($G456&gt;=30,$AT$3&lt;=BQ$7),ROUND(BQ456*($AP$3+#REF!),-1),""))</f>
        <v/>
      </c>
      <c r="BS456" s="503" t="s">
        <v>621</v>
      </c>
      <c r="BT456" s="503" t="str">
        <f>IF($G456="","",IF(AND($G456&gt;=30,$AT$3&lt;=BS$7),ROUND(BS456*($AP$3+#REF!),-1),""))</f>
        <v/>
      </c>
      <c r="BU456" s="503" t="s">
        <v>621</v>
      </c>
      <c r="BV456" s="503" t="str">
        <f>IF($G456="","",IF(AND($G456&gt;=30,$AT$3&lt;=BU$7),ROUND(BU456*($AP$3+#REF!),-1),""))</f>
        <v/>
      </c>
      <c r="BW456" s="503" t="s">
        <v>621</v>
      </c>
      <c r="BX456" s="503" t="str">
        <f>IF($G456="","",IF(AND($G456&gt;=30,$AT$3&lt;=BW$7),ROUND(BW456*($AP$3+#REF!),-1),""))</f>
        <v/>
      </c>
      <c r="BY456" s="503" t="s">
        <v>621</v>
      </c>
      <c r="BZ456" s="503" t="str">
        <f>IF($G456="","",IF(AND($G456&gt;=30,$AT$3&lt;=BY$7),ROUND(BY456*($AP$3+#REF!),-1),""))</f>
        <v/>
      </c>
      <c r="CA456" s="503" t="s">
        <v>621</v>
      </c>
      <c r="CB456" s="503" t="str">
        <f>IF($G456="","",IF(AND($G456&gt;=30,$AT$3&lt;=CA$7),ROUND(CA456*($AP$3+#REF!),-1),""))</f>
        <v/>
      </c>
      <c r="CC456" s="503" t="s">
        <v>621</v>
      </c>
      <c r="CD456" s="503" t="str">
        <f>IF($G456="","",IF(AND($G456&gt;=30,$AT$3&lt;=CC$7),ROUND(CC456*($AP$3+#REF!),-1),""))</f>
        <v/>
      </c>
      <c r="CE456" s="503" t="s">
        <v>621</v>
      </c>
      <c r="CF456" s="503" t="str">
        <f>IF($G456="","",IF(AND($G456&gt;=30,$AT$3&lt;=CE$7),ROUND(CE456*($AP$3+#REF!),-1),""))</f>
        <v/>
      </c>
      <c r="CG456" s="503" t="s">
        <v>621</v>
      </c>
      <c r="CH456" s="503" t="str">
        <f>IF($G456="","",IF(AND($G456&gt;=30,$AT$3&lt;=CG$7),ROUND(CG456*($AP$3+#REF!),-1),""))</f>
        <v/>
      </c>
      <c r="CI456" s="503" t="s">
        <v>621</v>
      </c>
      <c r="CJ456" s="503" t="str">
        <f>IF($G456="","",IF(AND($G456&gt;=30,$AT$3&lt;=CI$7),ROUND(CI456*($AP$3+#REF!),-1),""))</f>
        <v/>
      </c>
      <c r="CK456" s="503" t="s">
        <v>621</v>
      </c>
      <c r="CL456" s="503" t="str">
        <f>IF($G456="","",IF(AND($G456&gt;=30,$AT$3&lt;=CK$7),ROUND(CK456*($AP$3+#REF!),-1),""))</f>
        <v/>
      </c>
      <c r="CM456" s="503" t="s">
        <v>621</v>
      </c>
      <c r="CN456" s="503" t="str">
        <f>IF($G456="","",IF(AND($G456&gt;=30,$AT$3&lt;=CM$7),ROUND(CM456*($AP$3+#REF!),-1),""))</f>
        <v/>
      </c>
      <c r="CO456" s="503" t="s">
        <v>621</v>
      </c>
      <c r="CP456" s="503" t="str">
        <f>IF($G456="","",IF(AND($G456&gt;=30,$AT$3&lt;=CO$7),ROUND(CO456*($AP$3+#REF!),-1),""))</f>
        <v/>
      </c>
      <c r="CQ456" s="503" t="s">
        <v>621</v>
      </c>
      <c r="CR456" s="503" t="str">
        <f>IF($G456="","",IF(AND($G456&gt;=30,$AT$3&lt;=CQ$7),ROUND(CQ456*($AP$3+#REF!),-1),""))</f>
        <v/>
      </c>
      <c r="CS456" s="503" t="s">
        <v>621</v>
      </c>
      <c r="CT456" s="503" t="str">
        <f>IF($G456="","",IF(AND($G456&gt;=30,$AT$3&lt;=CS$7),ROUND(CS456*($AP$3+#REF!),-1),""))</f>
        <v/>
      </c>
      <c r="CU456" s="503" t="s">
        <v>621</v>
      </c>
      <c r="CV456" s="503" t="str">
        <f>IF($G456="","",IF(AND($G456&gt;=30,$AT$3&lt;=CU$7),ROUND(CU456*($AP$3+#REF!),-1),""))</f>
        <v/>
      </c>
      <c r="CW456" s="503" t="s">
        <v>621</v>
      </c>
      <c r="CX456" s="503" t="str">
        <f>IF($G456="","",IF(AND($G456&gt;=30,$AT$3&lt;=CW$7),ROUND(CW456*($AP$3+#REF!),-1),""))</f>
        <v/>
      </c>
      <c r="CY456" s="503" t="s">
        <v>621</v>
      </c>
      <c r="CZ456" s="503" t="str">
        <f>IF($G456="","",IF(AND($G456&gt;=30,$AT$3&lt;=CY$7),ROUND(CY456*($AP$3+#REF!),-1),""))</f>
        <v/>
      </c>
      <c r="DA456" s="503" t="s">
        <v>621</v>
      </c>
      <c r="DB456" s="503" t="str">
        <f>IF($G456="","",IF(AND($G456&gt;=30,$AT$3&lt;=DA$7),ROUND(DA456*($AP$3+#REF!),-1),""))</f>
        <v/>
      </c>
      <c r="DC456" s="517" t="e">
        <v>#REF!</v>
      </c>
      <c r="DD456" s="503" t="str">
        <f>IF($G456="","",IF(AND($G456&gt;=30,$AT$3&lt;=DC$7),ROUND(DC456*($AP$3+#REF!),-1),""))</f>
        <v/>
      </c>
      <c r="DE456" s="517"/>
      <c r="DF456" s="503" t="str">
        <f>IF($G456="","",IF(AND($G456&gt;=30,$AT$3&lt;=DE$7),ROUND(DE456*($AP$3+#REF!),-1),""))</f>
        <v/>
      </c>
      <c r="DG456" s="517"/>
      <c r="DH456" s="503" t="str">
        <f>IF($G456="","",IF(AND($G456&gt;=30,$AT$3&lt;=DG$7),ROUND(DG456*($AP$3+#REF!),-1),""))</f>
        <v/>
      </c>
      <c r="DI456" s="517"/>
      <c r="DJ456" s="503" t="str">
        <f>IF($G456="","",IF(AND($G456&gt;=30,$AT$3&lt;=DI$7),ROUND(DI456*($AP$3+#REF!),-1),""))</f>
        <v/>
      </c>
      <c r="DK456" s="517"/>
      <c r="DL456" s="503" t="str">
        <f>IF($G456="","",IF(AND($G456&gt;=30,$AT$3&lt;=DK$7),ROUND(DK456*($AP$3+#REF!),-1),""))</f>
        <v/>
      </c>
      <c r="DM456" s="517"/>
      <c r="DN456" s="503" t="str">
        <f>IF($G456="","",IF(AND($G456&gt;=30,$AT$3&lt;=DM$7),ROUND(DM456*($AP$3+#REF!),-1),""))</f>
        <v/>
      </c>
      <c r="DO456" s="517"/>
      <c r="DP456" s="503" t="str">
        <f>IF($G456="","",IF(AND($G456&gt;=30,$AT$3&lt;=DO$7),ROUND(DO456*($AP$3+#REF!),-1),""))</f>
        <v/>
      </c>
      <c r="DQ456" s="517"/>
      <c r="DR456" s="503" t="str">
        <f>IF($G456="","",IF(AND($G456&gt;=30,$AT$3&lt;=DQ$7),ROUND(DQ456*($AP$3+#REF!),-1),""))</f>
        <v/>
      </c>
      <c r="DS456" s="517"/>
      <c r="DT456" s="503" t="str">
        <f>IF($G456="","",IF(AND($G456&gt;=30,$AT$3&lt;=DS$7),ROUND(DS456*($AP$3+#REF!),-1),""))</f>
        <v/>
      </c>
      <c r="DU456" s="517"/>
      <c r="DV456" s="503" t="str">
        <f>IF($G456="","",IF(AND($G456&gt;=30,$AT$3&lt;=DU$7),ROUND(DU456*($AP$3+#REF!),-1),""))</f>
        <v/>
      </c>
      <c r="DW456" s="517"/>
      <c r="DX456" s="503" t="str">
        <f>IF($G456="","",IF(AND($G456&gt;=30,$AT$3&lt;=DW$7),ROUND(DW456*($AP$3+#REF!),-1),""))</f>
        <v/>
      </c>
      <c r="DY456" s="517"/>
      <c r="DZ456" s="503" t="str">
        <f>IF($G456="","",IF(AND($G456&gt;=30,$AT$3&lt;=DY$7),ROUND(DY456*($AP$3+#REF!),-1),""))</f>
        <v/>
      </c>
      <c r="EA456" s="517"/>
      <c r="EB456" s="503" t="str">
        <f>IF($G456="","",IF(AND($G456&gt;=30,$AT$3&lt;=EA$7),ROUND(EA456*($AP$3+#REF!),-1),""))</f>
        <v/>
      </c>
      <c r="EC456" s="504" t="s">
        <v>621</v>
      </c>
      <c r="ED456" s="1124"/>
      <c r="EE456" s="325">
        <v>4</v>
      </c>
    </row>
    <row r="457" spans="1:135" ht="9.75" customHeight="1">
      <c r="A457" s="321" t="str">
        <f t="shared" si="110"/>
        <v/>
      </c>
      <c r="B457" s="567">
        <f>(ii!$D$13*12+V457)+1</f>
        <v>351</v>
      </c>
      <c r="C457" s="337">
        <f t="shared" si="100"/>
        <v>56035</v>
      </c>
      <c r="D457" s="484">
        <f t="shared" si="103"/>
        <v>2053</v>
      </c>
      <c r="E457" s="484">
        <f t="shared" si="101"/>
        <v>0.41666666666666669</v>
      </c>
      <c r="F457" s="484">
        <f t="shared" si="104"/>
        <v>2053.4166666666665</v>
      </c>
      <c r="G457" s="485" t="str">
        <f>IF(OR(C457&lt;$I$2,C457&gt;$J$3),"",(ii!$D$13*12+V457+1)/12)</f>
        <v/>
      </c>
      <c r="H457" s="486"/>
      <c r="I457" s="486"/>
      <c r="J457" s="507"/>
      <c r="K457" s="508"/>
      <c r="L457" s="548"/>
      <c r="M457" s="489" t="str">
        <f t="shared" si="105"/>
        <v/>
      </c>
      <c r="N457" s="490" t="s">
        <v>621</v>
      </c>
      <c r="O457" s="490" t="str">
        <f t="shared" ref="O457:O520" si="112">IF(OR(N457="",N456=""),"",N457-N456)</f>
        <v/>
      </c>
      <c r="P457" s="507"/>
      <c r="Q457" s="507"/>
      <c r="R457" s="491" t="str">
        <f t="shared" ref="R457:R520" si="113">IF(OR(P457="",P456=""),"",P457-P456)</f>
        <v/>
      </c>
      <c r="S457" s="528" t="str">
        <f t="shared" si="111"/>
        <v/>
      </c>
      <c r="T457" s="528" t="str">
        <f t="shared" si="109"/>
        <v/>
      </c>
      <c r="U457" s="493" t="str">
        <f>IF(H457="","",#REF!*12+#REF!+#REF!*12+#REF!)</f>
        <v/>
      </c>
      <c r="V457" s="338">
        <f>IF(ii!$J$3&gt;gg!C457,"",IF(AND((YEAR(C457)=YEAR($I$2)),MONTH(C457)=MONTH($I$2)),ii!$B$14*12+ii!$C$14+ii!$B$15*12+ii!$C$15-1,V456+1))</f>
        <v>350</v>
      </c>
      <c r="W457" s="339">
        <f t="shared" si="102"/>
        <v>29.166666666666668</v>
      </c>
      <c r="X457" s="494" t="s">
        <v>621</v>
      </c>
      <c r="Y457" s="495" t="s">
        <v>621</v>
      </c>
      <c r="Z457" s="496"/>
      <c r="AA457" s="497"/>
      <c r="AB457" s="498" t="e">
        <f t="shared" si="108"/>
        <v>#VALUE!</v>
      </c>
      <c r="AC457" s="484" t="str">
        <f t="shared" si="106"/>
        <v/>
      </c>
      <c r="AD457" s="495" t="str">
        <f t="shared" si="107"/>
        <v/>
      </c>
      <c r="AE457" s="499" t="s">
        <v>621</v>
      </c>
      <c r="AF457" s="500" t="s">
        <v>621</v>
      </c>
      <c r="AG457" s="556" t="s">
        <v>621</v>
      </c>
      <c r="AH457" s="503" t="str">
        <f>IF($G457="","",IF(AND($G457&gt;=30,$AT$3&lt;=AG$7),ROUND(AG457*($AP$3+#REF!),-1),""))</f>
        <v/>
      </c>
      <c r="AI457" s="506" t="s">
        <v>621</v>
      </c>
      <c r="AJ457" s="503" t="str">
        <f>IF($G457="","",IF(AND($G457&gt;=30,$AT$3&lt;=AI$7),ROUND(AI457*($AP$3+#REF!),-1),""))</f>
        <v/>
      </c>
      <c r="AK457" s="506" t="s">
        <v>621</v>
      </c>
      <c r="AL457" s="503" t="str">
        <f>IF($G457="","",IF(AND($G457&gt;=30,$AT$3&lt;=AK$7),ROUND(AK457*($AP$3+#REF!),-1),""))</f>
        <v/>
      </c>
      <c r="AM457" s="506" t="s">
        <v>621</v>
      </c>
      <c r="AN457" s="503" t="str">
        <f>IF($G457="","",IF(AND($G457&gt;=30,$AT$3&lt;=AM$7),ROUND(AM457*($AP$3+#REF!),-1),""))</f>
        <v/>
      </c>
      <c r="AO457" s="503" t="e">
        <v>#REF!</v>
      </c>
      <c r="AP457" s="503" t="str">
        <f>IF($G457="","",IF(AND($G457&gt;=30,$AT$3&lt;=AO$7),ROUND(AO457*($AP$3+#REF!),-1),""))</f>
        <v/>
      </c>
      <c r="AQ457" s="503" t="s">
        <v>621</v>
      </c>
      <c r="AR457" s="503" t="str">
        <f>IF($G457="","",IF(AND($G457&gt;=30,$AT$3&lt;=AQ$7),ROUND(AQ457*($AP$3+#REF!),-1),""))</f>
        <v/>
      </c>
      <c r="AS457" s="503" t="s">
        <v>621</v>
      </c>
      <c r="AT457" s="503" t="str">
        <f>IF($G457="","",IF(AND($G457&gt;=30,$AT$3&lt;=AS$7),ROUND(AS457*($AP$3+#REF!),-1),""))</f>
        <v/>
      </c>
      <c r="AU457" s="503" t="s">
        <v>621</v>
      </c>
      <c r="AV457" s="503" t="str">
        <f>IF($G457="","",IF(AND($G457&gt;=30,$AT$3&lt;=AU$7),ROUND(AU457*($AP$3+#REF!),-1),""))</f>
        <v/>
      </c>
      <c r="AW457" s="503" t="s">
        <v>621</v>
      </c>
      <c r="AX457" s="503" t="str">
        <f>IF($G457="","",IF(AND($G457&gt;=30,$AT$3&lt;=AW$7),ROUND(AW457*($AP$3+#REF!),-1),""))</f>
        <v/>
      </c>
      <c r="AY457" s="503" t="s">
        <v>621</v>
      </c>
      <c r="AZ457" s="503" t="str">
        <f>IF($G457="","",IF(AND($G457&gt;=30,$AT$3&lt;=AY$7),ROUND(AY457*($AP$3+#REF!),-1),""))</f>
        <v/>
      </c>
      <c r="BA457" s="503" t="s">
        <v>621</v>
      </c>
      <c r="BB457" s="503" t="str">
        <f>IF($G457="","",IF(AND($G457&gt;=30,$AT$3&lt;=BA$7),ROUND(BA457*($AP$3+#REF!),-1),""))</f>
        <v/>
      </c>
      <c r="BC457" s="503" t="s">
        <v>621</v>
      </c>
      <c r="BD457" s="503" t="str">
        <f>IF($G457="","",IF(AND($G457&gt;=30,$AT$3&lt;=BC$7),ROUND(BC457*($AP$3+#REF!),-1),""))</f>
        <v/>
      </c>
      <c r="BE457" s="503" t="s">
        <v>621</v>
      </c>
      <c r="BF457" s="503" t="str">
        <f>IF($G457="","",IF(AND($G457&gt;=30,$AT$3&lt;=BE$7),ROUND(BE457*($AP$3+#REF!),-1),""))</f>
        <v/>
      </c>
      <c r="BG457" s="503" t="s">
        <v>621</v>
      </c>
      <c r="BH457" s="503" t="str">
        <f>IF($G457="","",IF(AND($G457&gt;=30,$AT$3&lt;=BG$7),ROUND(BG457*($AP$3+#REF!),-1),""))</f>
        <v/>
      </c>
      <c r="BI457" s="503" t="s">
        <v>621</v>
      </c>
      <c r="BJ457" s="503" t="str">
        <f>IF($G457="","",IF(AND($G457&gt;=30,$AT$3&lt;=BI$7),ROUND(BI457*($AP$3+#REF!),-1),""))</f>
        <v/>
      </c>
      <c r="BK457" s="503" t="s">
        <v>621</v>
      </c>
      <c r="BL457" s="503" t="str">
        <f>IF($G457="","",IF(AND($G457&gt;=30,$AT$3&lt;=BK$7),ROUND(BK457*($AP$3+#REF!),-1),""))</f>
        <v/>
      </c>
      <c r="BM457" s="503" t="s">
        <v>621</v>
      </c>
      <c r="BN457" s="503" t="str">
        <f>IF($G457="","",IF(AND($G457&gt;=30,$AT$3&lt;=BM$7),ROUND(BM457*($AP$3+#REF!),-1),""))</f>
        <v/>
      </c>
      <c r="BO457" s="503" t="s">
        <v>621</v>
      </c>
      <c r="BP457" s="503" t="str">
        <f>IF($G457="","",IF(AND($G457&gt;=30,$AT$3&lt;=BO$7),ROUND(BO457*($AP$3+#REF!),-1),""))</f>
        <v/>
      </c>
      <c r="BQ457" s="503" t="s">
        <v>621</v>
      </c>
      <c r="BR457" s="503" t="str">
        <f>IF($G457="","",IF(AND($G457&gt;=30,$AT$3&lt;=BQ$7),ROUND(BQ457*($AP$3+#REF!),-1),""))</f>
        <v/>
      </c>
      <c r="BS457" s="503" t="s">
        <v>621</v>
      </c>
      <c r="BT457" s="503" t="str">
        <f>IF($G457="","",IF(AND($G457&gt;=30,$AT$3&lt;=BS$7),ROUND(BS457*($AP$3+#REF!),-1),""))</f>
        <v/>
      </c>
      <c r="BU457" s="503" t="s">
        <v>621</v>
      </c>
      <c r="BV457" s="503" t="str">
        <f>IF($G457="","",IF(AND($G457&gt;=30,$AT$3&lt;=BU$7),ROUND(BU457*($AP$3+#REF!),-1),""))</f>
        <v/>
      </c>
      <c r="BW457" s="503" t="s">
        <v>621</v>
      </c>
      <c r="BX457" s="503" t="str">
        <f>IF($G457="","",IF(AND($G457&gt;=30,$AT$3&lt;=BW$7),ROUND(BW457*($AP$3+#REF!),-1),""))</f>
        <v/>
      </c>
      <c r="BY457" s="503" t="s">
        <v>621</v>
      </c>
      <c r="BZ457" s="503" t="str">
        <f>IF($G457="","",IF(AND($G457&gt;=30,$AT$3&lt;=BY$7),ROUND(BY457*($AP$3+#REF!),-1),""))</f>
        <v/>
      </c>
      <c r="CA457" s="503" t="s">
        <v>621</v>
      </c>
      <c r="CB457" s="503" t="str">
        <f>IF($G457="","",IF(AND($G457&gt;=30,$AT$3&lt;=CA$7),ROUND(CA457*($AP$3+#REF!),-1),""))</f>
        <v/>
      </c>
      <c r="CC457" s="503" t="s">
        <v>621</v>
      </c>
      <c r="CD457" s="503" t="str">
        <f>IF($G457="","",IF(AND($G457&gt;=30,$AT$3&lt;=CC$7),ROUND(CC457*($AP$3+#REF!),-1),""))</f>
        <v/>
      </c>
      <c r="CE457" s="503" t="s">
        <v>621</v>
      </c>
      <c r="CF457" s="503" t="str">
        <f>IF($G457="","",IF(AND($G457&gt;=30,$AT$3&lt;=CE$7),ROUND(CE457*($AP$3+#REF!),-1),""))</f>
        <v/>
      </c>
      <c r="CG457" s="503" t="s">
        <v>621</v>
      </c>
      <c r="CH457" s="503" t="str">
        <f>IF($G457="","",IF(AND($G457&gt;=30,$AT$3&lt;=CG$7),ROUND(CG457*($AP$3+#REF!),-1),""))</f>
        <v/>
      </c>
      <c r="CI457" s="503" t="s">
        <v>621</v>
      </c>
      <c r="CJ457" s="503" t="str">
        <f>IF($G457="","",IF(AND($G457&gt;=30,$AT$3&lt;=CI$7),ROUND(CI457*($AP$3+#REF!),-1),""))</f>
        <v/>
      </c>
      <c r="CK457" s="503" t="s">
        <v>621</v>
      </c>
      <c r="CL457" s="503" t="str">
        <f>IF($G457="","",IF(AND($G457&gt;=30,$AT$3&lt;=CK$7),ROUND(CK457*($AP$3+#REF!),-1),""))</f>
        <v/>
      </c>
      <c r="CM457" s="503" t="s">
        <v>621</v>
      </c>
      <c r="CN457" s="503" t="str">
        <f>IF($G457="","",IF(AND($G457&gt;=30,$AT$3&lt;=CM$7),ROUND(CM457*($AP$3+#REF!),-1),""))</f>
        <v/>
      </c>
      <c r="CO457" s="503" t="s">
        <v>621</v>
      </c>
      <c r="CP457" s="503" t="str">
        <f>IF($G457="","",IF(AND($G457&gt;=30,$AT$3&lt;=CO$7),ROUND(CO457*($AP$3+#REF!),-1),""))</f>
        <v/>
      </c>
      <c r="CQ457" s="503" t="s">
        <v>621</v>
      </c>
      <c r="CR457" s="503" t="str">
        <f>IF($G457="","",IF(AND($G457&gt;=30,$AT$3&lt;=CQ$7),ROUND(CQ457*($AP$3+#REF!),-1),""))</f>
        <v/>
      </c>
      <c r="CS457" s="503" t="s">
        <v>621</v>
      </c>
      <c r="CT457" s="503" t="str">
        <f>IF($G457="","",IF(AND($G457&gt;=30,$AT$3&lt;=CS$7),ROUND(CS457*($AP$3+#REF!),-1),""))</f>
        <v/>
      </c>
      <c r="CU457" s="503" t="s">
        <v>621</v>
      </c>
      <c r="CV457" s="503" t="str">
        <f>IF($G457="","",IF(AND($G457&gt;=30,$AT$3&lt;=CU$7),ROUND(CU457*($AP$3+#REF!),-1),""))</f>
        <v/>
      </c>
      <c r="CW457" s="503" t="s">
        <v>621</v>
      </c>
      <c r="CX457" s="503" t="str">
        <f>IF($G457="","",IF(AND($G457&gt;=30,$AT$3&lt;=CW$7),ROUND(CW457*($AP$3+#REF!),-1),""))</f>
        <v/>
      </c>
      <c r="CY457" s="503" t="s">
        <v>621</v>
      </c>
      <c r="CZ457" s="503" t="str">
        <f>IF($G457="","",IF(AND($G457&gt;=30,$AT$3&lt;=CY$7),ROUND(CY457*($AP$3+#REF!),-1),""))</f>
        <v/>
      </c>
      <c r="DA457" s="503" t="s">
        <v>621</v>
      </c>
      <c r="DB457" s="503" t="str">
        <f>IF($G457="","",IF(AND($G457&gt;=30,$AT$3&lt;=DA$7),ROUND(DA457*($AP$3+#REF!),-1),""))</f>
        <v/>
      </c>
      <c r="DC457" s="517" t="e">
        <v>#REF!</v>
      </c>
      <c r="DD457" s="503" t="str">
        <f>IF($G457="","",IF(AND($G457&gt;=30,$AT$3&lt;=DC$7),ROUND(DC457*($AP$3+#REF!),-1),""))</f>
        <v/>
      </c>
      <c r="DE457" s="517"/>
      <c r="DF457" s="503" t="str">
        <f>IF($G457="","",IF(AND($G457&gt;=30,$AT$3&lt;=DE$7),ROUND(DE457*($AP$3+#REF!),-1),""))</f>
        <v/>
      </c>
      <c r="DG457" s="517"/>
      <c r="DH457" s="503" t="str">
        <f>IF($G457="","",IF(AND($G457&gt;=30,$AT$3&lt;=DG$7),ROUND(DG457*($AP$3+#REF!),-1),""))</f>
        <v/>
      </c>
      <c r="DI457" s="517"/>
      <c r="DJ457" s="503" t="str">
        <f>IF($G457="","",IF(AND($G457&gt;=30,$AT$3&lt;=DI$7),ROUND(DI457*($AP$3+#REF!),-1),""))</f>
        <v/>
      </c>
      <c r="DK457" s="517"/>
      <c r="DL457" s="503" t="str">
        <f>IF($G457="","",IF(AND($G457&gt;=30,$AT$3&lt;=DK$7),ROUND(DK457*($AP$3+#REF!),-1),""))</f>
        <v/>
      </c>
      <c r="DM457" s="517"/>
      <c r="DN457" s="503" t="str">
        <f>IF($G457="","",IF(AND($G457&gt;=30,$AT$3&lt;=DM$7),ROUND(DM457*($AP$3+#REF!),-1),""))</f>
        <v/>
      </c>
      <c r="DO457" s="517"/>
      <c r="DP457" s="503" t="str">
        <f>IF($G457="","",IF(AND($G457&gt;=30,$AT$3&lt;=DO$7),ROUND(DO457*($AP$3+#REF!),-1),""))</f>
        <v/>
      </c>
      <c r="DQ457" s="517"/>
      <c r="DR457" s="503" t="str">
        <f>IF($G457="","",IF(AND($G457&gt;=30,$AT$3&lt;=DQ$7),ROUND(DQ457*($AP$3+#REF!),-1),""))</f>
        <v/>
      </c>
      <c r="DS457" s="517"/>
      <c r="DT457" s="503" t="str">
        <f>IF($G457="","",IF(AND($G457&gt;=30,$AT$3&lt;=DS$7),ROUND(DS457*($AP$3+#REF!),-1),""))</f>
        <v/>
      </c>
      <c r="DU457" s="517"/>
      <c r="DV457" s="503" t="str">
        <f>IF($G457="","",IF(AND($G457&gt;=30,$AT$3&lt;=DU$7),ROUND(DU457*($AP$3+#REF!),-1),""))</f>
        <v/>
      </c>
      <c r="DW457" s="517"/>
      <c r="DX457" s="503" t="str">
        <f>IF($G457="","",IF(AND($G457&gt;=30,$AT$3&lt;=DW$7),ROUND(DW457*($AP$3+#REF!),-1),""))</f>
        <v/>
      </c>
      <c r="DY457" s="517"/>
      <c r="DZ457" s="503" t="str">
        <f>IF($G457="","",IF(AND($G457&gt;=30,$AT$3&lt;=DY$7),ROUND(DY457*($AP$3+#REF!),-1),""))</f>
        <v/>
      </c>
      <c r="EA457" s="517"/>
      <c r="EB457" s="503" t="str">
        <f>IF($G457="","",IF(AND($G457&gt;=30,$AT$3&lt;=EA$7),ROUND(EA457*($AP$3+#REF!),-1),""))</f>
        <v/>
      </c>
      <c r="EC457" s="504" t="s">
        <v>621</v>
      </c>
      <c r="ED457" s="1124"/>
      <c r="EE457" s="325">
        <v>5</v>
      </c>
    </row>
    <row r="458" spans="1:135" ht="9.75" customHeight="1">
      <c r="A458" s="321" t="str">
        <f t="shared" si="110"/>
        <v/>
      </c>
      <c r="B458" s="567">
        <f>(ii!$D$13*12+V458)+1</f>
        <v>352</v>
      </c>
      <c r="C458" s="337">
        <f t="shared" si="100"/>
        <v>56065</v>
      </c>
      <c r="D458" s="484">
        <f t="shared" si="103"/>
        <v>2053</v>
      </c>
      <c r="E458" s="484">
        <f t="shared" si="101"/>
        <v>0.5</v>
      </c>
      <c r="F458" s="484">
        <f t="shared" si="104"/>
        <v>2053.5</v>
      </c>
      <c r="G458" s="485" t="str">
        <f>IF(OR(C458&lt;$I$2,C458&gt;$J$3),"",(ii!$D$13*12+V458+1)/12)</f>
        <v/>
      </c>
      <c r="H458" s="486"/>
      <c r="I458" s="486"/>
      <c r="J458" s="487"/>
      <c r="K458" s="488"/>
      <c r="L458" s="548"/>
      <c r="M458" s="489" t="str">
        <f t="shared" si="105"/>
        <v/>
      </c>
      <c r="N458" s="490" t="s">
        <v>621</v>
      </c>
      <c r="O458" s="490" t="str">
        <f t="shared" si="112"/>
        <v/>
      </c>
      <c r="P458" s="491"/>
      <c r="Q458" s="491"/>
      <c r="R458" s="491" t="str">
        <f t="shared" si="113"/>
        <v/>
      </c>
      <c r="S458" s="528" t="str">
        <f t="shared" si="111"/>
        <v/>
      </c>
      <c r="T458" s="528" t="str">
        <f t="shared" si="109"/>
        <v/>
      </c>
      <c r="U458" s="493" t="str">
        <f>IF(H458="","",#REF!*12+#REF!+#REF!*12+#REF!)</f>
        <v/>
      </c>
      <c r="V458" s="338">
        <f>IF(ii!$J$3&gt;gg!C458,"",IF(AND((YEAR(C458)=YEAR($I$2)),MONTH(C458)=MONTH($I$2)),ii!$B$14*12+ii!$C$14+ii!$B$15*12+ii!$C$15-1,V457+1))</f>
        <v>351</v>
      </c>
      <c r="W458" s="339">
        <f t="shared" si="102"/>
        <v>29.25</v>
      </c>
      <c r="X458" s="494" t="s">
        <v>621</v>
      </c>
      <c r="Y458" s="495" t="s">
        <v>621</v>
      </c>
      <c r="Z458" s="496"/>
      <c r="AA458" s="497"/>
      <c r="AB458" s="498" t="e">
        <f t="shared" si="108"/>
        <v>#VALUE!</v>
      </c>
      <c r="AC458" s="484" t="str">
        <f t="shared" si="106"/>
        <v/>
      </c>
      <c r="AD458" s="495" t="str">
        <f t="shared" si="107"/>
        <v/>
      </c>
      <c r="AE458" s="499" t="s">
        <v>621</v>
      </c>
      <c r="AF458" s="500" t="s">
        <v>621</v>
      </c>
      <c r="AG458" s="556" t="s">
        <v>621</v>
      </c>
      <c r="AH458" s="503" t="str">
        <f>IF($G458="","",IF(AND($G458&gt;=30,$AT$3&lt;=AG$7),ROUND(AG458*($AP$3+#REF!),-1),""))</f>
        <v/>
      </c>
      <c r="AI458" s="506" t="s">
        <v>621</v>
      </c>
      <c r="AJ458" s="503" t="str">
        <f>IF($G458="","",IF(AND($G458&gt;=30,$AT$3&lt;=AI$7),ROUND(AI458*($AP$3+#REF!),-1),""))</f>
        <v/>
      </c>
      <c r="AK458" s="506" t="s">
        <v>621</v>
      </c>
      <c r="AL458" s="503" t="str">
        <f>IF($G458="","",IF(AND($G458&gt;=30,$AT$3&lt;=AK$7),ROUND(AK458*($AP$3+#REF!),-1),""))</f>
        <v/>
      </c>
      <c r="AM458" s="506" t="s">
        <v>621</v>
      </c>
      <c r="AN458" s="503" t="str">
        <f>IF($G458="","",IF(AND($G458&gt;=30,$AT$3&lt;=AM$7),ROUND(AM458*($AP$3+#REF!),-1),""))</f>
        <v/>
      </c>
      <c r="AO458" s="503" t="e">
        <v>#REF!</v>
      </c>
      <c r="AP458" s="503" t="str">
        <f>IF($G458="","",IF(AND($G458&gt;=30,$AT$3&lt;=AO$7),ROUND(AO458*($AP$3+#REF!),-1),""))</f>
        <v/>
      </c>
      <c r="AQ458" s="503" t="s">
        <v>621</v>
      </c>
      <c r="AR458" s="503" t="str">
        <f>IF($G458="","",IF(AND($G458&gt;=30,$AT$3&lt;=AQ$7),ROUND(AQ458*($AP$3+#REF!),-1),""))</f>
        <v/>
      </c>
      <c r="AS458" s="503" t="s">
        <v>621</v>
      </c>
      <c r="AT458" s="503" t="str">
        <f>IF($G458="","",IF(AND($G458&gt;=30,$AT$3&lt;=AS$7),ROUND(AS458*($AP$3+#REF!),-1),""))</f>
        <v/>
      </c>
      <c r="AU458" s="503" t="s">
        <v>621</v>
      </c>
      <c r="AV458" s="503" t="str">
        <f>IF($G458="","",IF(AND($G458&gt;=30,$AT$3&lt;=AU$7),ROUND(AU458*($AP$3+#REF!),-1),""))</f>
        <v/>
      </c>
      <c r="AW458" s="503" t="s">
        <v>621</v>
      </c>
      <c r="AX458" s="503" t="str">
        <f>IF($G458="","",IF(AND($G458&gt;=30,$AT$3&lt;=AW$7),ROUND(AW458*($AP$3+#REF!),-1),""))</f>
        <v/>
      </c>
      <c r="AY458" s="503" t="s">
        <v>621</v>
      </c>
      <c r="AZ458" s="503" t="str">
        <f>IF($G458="","",IF(AND($G458&gt;=30,$AT$3&lt;=AY$7),ROUND(AY458*($AP$3+#REF!),-1),""))</f>
        <v/>
      </c>
      <c r="BA458" s="503" t="s">
        <v>621</v>
      </c>
      <c r="BB458" s="503" t="str">
        <f>IF($G458="","",IF(AND($G458&gt;=30,$AT$3&lt;=BA$7),ROUND(BA458*($AP$3+#REF!),-1),""))</f>
        <v/>
      </c>
      <c r="BC458" s="503" t="s">
        <v>621</v>
      </c>
      <c r="BD458" s="503" t="str">
        <f>IF($G458="","",IF(AND($G458&gt;=30,$AT$3&lt;=BC$7),ROUND(BC458*($AP$3+#REF!),-1),""))</f>
        <v/>
      </c>
      <c r="BE458" s="503" t="s">
        <v>621</v>
      </c>
      <c r="BF458" s="503" t="str">
        <f>IF($G458="","",IF(AND($G458&gt;=30,$AT$3&lt;=BE$7),ROUND(BE458*($AP$3+#REF!),-1),""))</f>
        <v/>
      </c>
      <c r="BG458" s="503" t="s">
        <v>621</v>
      </c>
      <c r="BH458" s="503" t="str">
        <f>IF($G458="","",IF(AND($G458&gt;=30,$AT$3&lt;=BG$7),ROUND(BG458*($AP$3+#REF!),-1),""))</f>
        <v/>
      </c>
      <c r="BI458" s="503" t="s">
        <v>621</v>
      </c>
      <c r="BJ458" s="503" t="str">
        <f>IF($G458="","",IF(AND($G458&gt;=30,$AT$3&lt;=BI$7),ROUND(BI458*($AP$3+#REF!),-1),""))</f>
        <v/>
      </c>
      <c r="BK458" s="503" t="s">
        <v>621</v>
      </c>
      <c r="BL458" s="503" t="str">
        <f>IF($G458="","",IF(AND($G458&gt;=30,$AT$3&lt;=BK$7),ROUND(BK458*($AP$3+#REF!),-1),""))</f>
        <v/>
      </c>
      <c r="BM458" s="503" t="s">
        <v>621</v>
      </c>
      <c r="BN458" s="503" t="str">
        <f>IF($G458="","",IF(AND($G458&gt;=30,$AT$3&lt;=BM$7),ROUND(BM458*($AP$3+#REF!),-1),""))</f>
        <v/>
      </c>
      <c r="BO458" s="503" t="s">
        <v>621</v>
      </c>
      <c r="BP458" s="503" t="str">
        <f>IF($G458="","",IF(AND($G458&gt;=30,$AT$3&lt;=BO$7),ROUND(BO458*($AP$3+#REF!),-1),""))</f>
        <v/>
      </c>
      <c r="BQ458" s="503" t="s">
        <v>621</v>
      </c>
      <c r="BR458" s="503" t="str">
        <f>IF($G458="","",IF(AND($G458&gt;=30,$AT$3&lt;=BQ$7),ROUND(BQ458*($AP$3+#REF!),-1),""))</f>
        <v/>
      </c>
      <c r="BS458" s="503" t="s">
        <v>621</v>
      </c>
      <c r="BT458" s="503" t="str">
        <f>IF($G458="","",IF(AND($G458&gt;=30,$AT$3&lt;=BS$7),ROUND(BS458*($AP$3+#REF!),-1),""))</f>
        <v/>
      </c>
      <c r="BU458" s="503" t="s">
        <v>621</v>
      </c>
      <c r="BV458" s="503" t="str">
        <f>IF($G458="","",IF(AND($G458&gt;=30,$AT$3&lt;=BU$7),ROUND(BU458*($AP$3+#REF!),-1),""))</f>
        <v/>
      </c>
      <c r="BW458" s="503" t="s">
        <v>621</v>
      </c>
      <c r="BX458" s="503" t="str">
        <f>IF($G458="","",IF(AND($G458&gt;=30,$AT$3&lt;=BW$7),ROUND(BW458*($AP$3+#REF!),-1),""))</f>
        <v/>
      </c>
      <c r="BY458" s="503" t="s">
        <v>621</v>
      </c>
      <c r="BZ458" s="503" t="str">
        <f>IF($G458="","",IF(AND($G458&gt;=30,$AT$3&lt;=BY$7),ROUND(BY458*($AP$3+#REF!),-1),""))</f>
        <v/>
      </c>
      <c r="CA458" s="503" t="s">
        <v>621</v>
      </c>
      <c r="CB458" s="503" t="str">
        <f>IF($G458="","",IF(AND($G458&gt;=30,$AT$3&lt;=CA$7),ROUND(CA458*($AP$3+#REF!),-1),""))</f>
        <v/>
      </c>
      <c r="CC458" s="503" t="s">
        <v>621</v>
      </c>
      <c r="CD458" s="503" t="str">
        <f>IF($G458="","",IF(AND($G458&gt;=30,$AT$3&lt;=CC$7),ROUND(CC458*($AP$3+#REF!),-1),""))</f>
        <v/>
      </c>
      <c r="CE458" s="503" t="s">
        <v>621</v>
      </c>
      <c r="CF458" s="503" t="str">
        <f>IF($G458="","",IF(AND($G458&gt;=30,$AT$3&lt;=CE$7),ROUND(CE458*($AP$3+#REF!),-1),""))</f>
        <v/>
      </c>
      <c r="CG458" s="503" t="s">
        <v>621</v>
      </c>
      <c r="CH458" s="503" t="str">
        <f>IF($G458="","",IF(AND($G458&gt;=30,$AT$3&lt;=CG$7),ROUND(CG458*($AP$3+#REF!),-1),""))</f>
        <v/>
      </c>
      <c r="CI458" s="503" t="s">
        <v>621</v>
      </c>
      <c r="CJ458" s="503" t="str">
        <f>IF($G458="","",IF(AND($G458&gt;=30,$AT$3&lt;=CI$7),ROUND(CI458*($AP$3+#REF!),-1),""))</f>
        <v/>
      </c>
      <c r="CK458" s="503" t="s">
        <v>621</v>
      </c>
      <c r="CL458" s="503" t="str">
        <f>IF($G458="","",IF(AND($G458&gt;=30,$AT$3&lt;=CK$7),ROUND(CK458*($AP$3+#REF!),-1),""))</f>
        <v/>
      </c>
      <c r="CM458" s="503" t="s">
        <v>621</v>
      </c>
      <c r="CN458" s="503" t="str">
        <f>IF($G458="","",IF(AND($G458&gt;=30,$AT$3&lt;=CM$7),ROUND(CM458*($AP$3+#REF!),-1),""))</f>
        <v/>
      </c>
      <c r="CO458" s="503" t="s">
        <v>621</v>
      </c>
      <c r="CP458" s="503" t="str">
        <f>IF($G458="","",IF(AND($G458&gt;=30,$AT$3&lt;=CO$7),ROUND(CO458*($AP$3+#REF!),-1),""))</f>
        <v/>
      </c>
      <c r="CQ458" s="503" t="s">
        <v>621</v>
      </c>
      <c r="CR458" s="503" t="str">
        <f>IF($G458="","",IF(AND($G458&gt;=30,$AT$3&lt;=CQ$7),ROUND(CQ458*($AP$3+#REF!),-1),""))</f>
        <v/>
      </c>
      <c r="CS458" s="503" t="s">
        <v>621</v>
      </c>
      <c r="CT458" s="503" t="str">
        <f>IF($G458="","",IF(AND($G458&gt;=30,$AT$3&lt;=CS$7),ROUND(CS458*($AP$3+#REF!),-1),""))</f>
        <v/>
      </c>
      <c r="CU458" s="503" t="s">
        <v>621</v>
      </c>
      <c r="CV458" s="503" t="str">
        <f>IF($G458="","",IF(AND($G458&gt;=30,$AT$3&lt;=CU$7),ROUND(CU458*($AP$3+#REF!),-1),""))</f>
        <v/>
      </c>
      <c r="CW458" s="503" t="s">
        <v>621</v>
      </c>
      <c r="CX458" s="503" t="str">
        <f>IF($G458="","",IF(AND($G458&gt;=30,$AT$3&lt;=CW$7),ROUND(CW458*($AP$3+#REF!),-1),""))</f>
        <v/>
      </c>
      <c r="CY458" s="503" t="s">
        <v>621</v>
      </c>
      <c r="CZ458" s="503" t="str">
        <f>IF($G458="","",IF(AND($G458&gt;=30,$AT$3&lt;=CY$7),ROUND(CY458*($AP$3+#REF!),-1),""))</f>
        <v/>
      </c>
      <c r="DA458" s="503" t="s">
        <v>621</v>
      </c>
      <c r="DB458" s="503" t="str">
        <f>IF($G458="","",IF(AND($G458&gt;=30,$AT$3&lt;=DA$7),ROUND(DA458*($AP$3+#REF!),-1),""))</f>
        <v/>
      </c>
      <c r="DC458" s="517" t="e">
        <v>#REF!</v>
      </c>
      <c r="DD458" s="503" t="str">
        <f>IF($G458="","",IF(AND($G458&gt;=30,$AT$3&lt;=DC$7),ROUND(DC458*($AP$3+#REF!),-1),""))</f>
        <v/>
      </c>
      <c r="DE458" s="517"/>
      <c r="DF458" s="503" t="str">
        <f>IF($G458="","",IF(AND($G458&gt;=30,$AT$3&lt;=DE$7),ROUND(DE458*($AP$3+#REF!),-1),""))</f>
        <v/>
      </c>
      <c r="DG458" s="517"/>
      <c r="DH458" s="503" t="str">
        <f>IF($G458="","",IF(AND($G458&gt;=30,$AT$3&lt;=DG$7),ROUND(DG458*($AP$3+#REF!),-1),""))</f>
        <v/>
      </c>
      <c r="DI458" s="517"/>
      <c r="DJ458" s="503" t="str">
        <f>IF($G458="","",IF(AND($G458&gt;=30,$AT$3&lt;=DI$7),ROUND(DI458*($AP$3+#REF!),-1),""))</f>
        <v/>
      </c>
      <c r="DK458" s="517"/>
      <c r="DL458" s="503" t="str">
        <f>IF($G458="","",IF(AND($G458&gt;=30,$AT$3&lt;=DK$7),ROUND(DK458*($AP$3+#REF!),-1),""))</f>
        <v/>
      </c>
      <c r="DM458" s="517"/>
      <c r="DN458" s="503" t="str">
        <f>IF($G458="","",IF(AND($G458&gt;=30,$AT$3&lt;=DM$7),ROUND(DM458*($AP$3+#REF!),-1),""))</f>
        <v/>
      </c>
      <c r="DO458" s="517"/>
      <c r="DP458" s="503" t="str">
        <f>IF($G458="","",IF(AND($G458&gt;=30,$AT$3&lt;=DO$7),ROUND(DO458*($AP$3+#REF!),-1),""))</f>
        <v/>
      </c>
      <c r="DQ458" s="517"/>
      <c r="DR458" s="503" t="str">
        <f>IF($G458="","",IF(AND($G458&gt;=30,$AT$3&lt;=DQ$7),ROUND(DQ458*($AP$3+#REF!),-1),""))</f>
        <v/>
      </c>
      <c r="DS458" s="517"/>
      <c r="DT458" s="503" t="str">
        <f>IF($G458="","",IF(AND($G458&gt;=30,$AT$3&lt;=DS$7),ROUND(DS458*($AP$3+#REF!),-1),""))</f>
        <v/>
      </c>
      <c r="DU458" s="517"/>
      <c r="DV458" s="503" t="str">
        <f>IF($G458="","",IF(AND($G458&gt;=30,$AT$3&lt;=DU$7),ROUND(DU458*($AP$3+#REF!),-1),""))</f>
        <v/>
      </c>
      <c r="DW458" s="517"/>
      <c r="DX458" s="503" t="str">
        <f>IF($G458="","",IF(AND($G458&gt;=30,$AT$3&lt;=DW$7),ROUND(DW458*($AP$3+#REF!),-1),""))</f>
        <v/>
      </c>
      <c r="DY458" s="517"/>
      <c r="DZ458" s="503" t="str">
        <f>IF($G458="","",IF(AND($G458&gt;=30,$AT$3&lt;=DY$7),ROUND(DY458*($AP$3+#REF!),-1),""))</f>
        <v/>
      </c>
      <c r="EA458" s="517"/>
      <c r="EB458" s="503" t="str">
        <f>IF($G458="","",IF(AND($G458&gt;=30,$AT$3&lt;=EA$7),ROUND(EA458*($AP$3+#REF!),-1),""))</f>
        <v/>
      </c>
      <c r="EC458" s="504" t="s">
        <v>621</v>
      </c>
      <c r="ED458" s="1124"/>
      <c r="EE458" s="325">
        <v>6</v>
      </c>
    </row>
    <row r="459" spans="1:135" ht="9.75" customHeight="1">
      <c r="A459" s="321" t="str">
        <f t="shared" si="110"/>
        <v/>
      </c>
      <c r="B459" s="567">
        <f>(ii!$D$13*12+V459)+1</f>
        <v>353</v>
      </c>
      <c r="C459" s="337">
        <f t="shared" ref="C459:C522" si="114">EOMONTH(C458,1)</f>
        <v>56096</v>
      </c>
      <c r="D459" s="484">
        <f t="shared" si="103"/>
        <v>2053</v>
      </c>
      <c r="E459" s="484">
        <f t="shared" si="101"/>
        <v>0.58333333333333337</v>
      </c>
      <c r="F459" s="484">
        <f t="shared" si="104"/>
        <v>2053.5833333333335</v>
      </c>
      <c r="G459" s="485" t="str">
        <f>IF(OR(C459&lt;$I$2,C459&gt;$J$3),"",(ii!$D$13*12+V459+1)/12)</f>
        <v/>
      </c>
      <c r="H459" s="486"/>
      <c r="I459" s="486"/>
      <c r="J459" s="487"/>
      <c r="K459" s="488"/>
      <c r="L459" s="548"/>
      <c r="M459" s="489" t="str">
        <f t="shared" si="105"/>
        <v/>
      </c>
      <c r="N459" s="490" t="s">
        <v>621</v>
      </c>
      <c r="O459" s="490" t="str">
        <f t="shared" si="112"/>
        <v/>
      </c>
      <c r="P459" s="491"/>
      <c r="Q459" s="491"/>
      <c r="R459" s="491" t="str">
        <f t="shared" si="113"/>
        <v/>
      </c>
      <c r="S459" s="528" t="str">
        <f t="shared" si="111"/>
        <v/>
      </c>
      <c r="T459" s="528" t="str">
        <f t="shared" si="109"/>
        <v/>
      </c>
      <c r="U459" s="493" t="str">
        <f>IF(H459="","",#REF!*12+#REF!+#REF!*12+#REF!)</f>
        <v/>
      </c>
      <c r="V459" s="338">
        <f>IF(ii!$J$3&gt;gg!C459,"",IF(AND((YEAR(C459)=YEAR($I$2)),MONTH(C459)=MONTH($I$2)),ii!$B$14*12+ii!$C$14+ii!$B$15*12+ii!$C$15-1,V458+1))</f>
        <v>352</v>
      </c>
      <c r="W459" s="339">
        <f t="shared" si="102"/>
        <v>29.333333333333332</v>
      </c>
      <c r="X459" s="494" t="s">
        <v>621</v>
      </c>
      <c r="Y459" s="495" t="s">
        <v>621</v>
      </c>
      <c r="Z459" s="496"/>
      <c r="AA459" s="497"/>
      <c r="AB459" s="498" t="e">
        <f t="shared" si="108"/>
        <v>#VALUE!</v>
      </c>
      <c r="AC459" s="484" t="str">
        <f t="shared" si="106"/>
        <v/>
      </c>
      <c r="AD459" s="495" t="str">
        <f t="shared" si="107"/>
        <v/>
      </c>
      <c r="AE459" s="499" t="s">
        <v>621</v>
      </c>
      <c r="AF459" s="500" t="s">
        <v>621</v>
      </c>
      <c r="AG459" s="556" t="s">
        <v>621</v>
      </c>
      <c r="AH459" s="503" t="str">
        <f>IF($G459="","",IF(AND($G459&gt;=30,$AT$3&lt;=AG$7),ROUND(AG459*($AP$3+#REF!),-1),""))</f>
        <v/>
      </c>
      <c r="AI459" s="506" t="s">
        <v>621</v>
      </c>
      <c r="AJ459" s="503" t="str">
        <f>IF($G459="","",IF(AND($G459&gt;=30,$AT$3&lt;=AI$7),ROUND(AI459*($AP$3+#REF!),-1),""))</f>
        <v/>
      </c>
      <c r="AK459" s="506" t="s">
        <v>621</v>
      </c>
      <c r="AL459" s="503" t="str">
        <f>IF($G459="","",IF(AND($G459&gt;=30,$AT$3&lt;=AK$7),ROUND(AK459*($AP$3+#REF!),-1),""))</f>
        <v/>
      </c>
      <c r="AM459" s="506" t="s">
        <v>621</v>
      </c>
      <c r="AN459" s="503" t="str">
        <f>IF($G459="","",IF(AND($G459&gt;=30,$AT$3&lt;=AM$7),ROUND(AM459*($AP$3+#REF!),-1),""))</f>
        <v/>
      </c>
      <c r="AO459" s="503" t="e">
        <v>#REF!</v>
      </c>
      <c r="AP459" s="503" t="str">
        <f>IF($G459="","",IF(AND($G459&gt;=30,$AT$3&lt;=AO$7),ROUND(AO459*($AP$3+#REF!),-1),""))</f>
        <v/>
      </c>
      <c r="AQ459" s="503" t="s">
        <v>621</v>
      </c>
      <c r="AR459" s="503" t="str">
        <f>IF($G459="","",IF(AND($G459&gt;=30,$AT$3&lt;=AQ$7),ROUND(AQ459*($AP$3+#REF!),-1),""))</f>
        <v/>
      </c>
      <c r="AS459" s="503" t="s">
        <v>621</v>
      </c>
      <c r="AT459" s="503" t="str">
        <f>IF($G459="","",IF(AND($G459&gt;=30,$AT$3&lt;=AS$7),ROUND(AS459*($AP$3+#REF!),-1),""))</f>
        <v/>
      </c>
      <c r="AU459" s="503" t="s">
        <v>621</v>
      </c>
      <c r="AV459" s="503" t="str">
        <f>IF($G459="","",IF(AND($G459&gt;=30,$AT$3&lt;=AU$7),ROUND(AU459*($AP$3+#REF!),-1),""))</f>
        <v/>
      </c>
      <c r="AW459" s="503" t="s">
        <v>621</v>
      </c>
      <c r="AX459" s="503" t="str">
        <f>IF($G459="","",IF(AND($G459&gt;=30,$AT$3&lt;=AW$7),ROUND(AW459*($AP$3+#REF!),-1),""))</f>
        <v/>
      </c>
      <c r="AY459" s="503" t="s">
        <v>621</v>
      </c>
      <c r="AZ459" s="503" t="str">
        <f>IF($G459="","",IF(AND($G459&gt;=30,$AT$3&lt;=AY$7),ROUND(AY459*($AP$3+#REF!),-1),""))</f>
        <v/>
      </c>
      <c r="BA459" s="503" t="s">
        <v>621</v>
      </c>
      <c r="BB459" s="503" t="str">
        <f>IF($G459="","",IF(AND($G459&gt;=30,$AT$3&lt;=BA$7),ROUND(BA459*($AP$3+#REF!),-1),""))</f>
        <v/>
      </c>
      <c r="BC459" s="503" t="s">
        <v>621</v>
      </c>
      <c r="BD459" s="503" t="str">
        <f>IF($G459="","",IF(AND($G459&gt;=30,$AT$3&lt;=BC$7),ROUND(BC459*($AP$3+#REF!),-1),""))</f>
        <v/>
      </c>
      <c r="BE459" s="503" t="s">
        <v>621</v>
      </c>
      <c r="BF459" s="503" t="str">
        <f>IF($G459="","",IF(AND($G459&gt;=30,$AT$3&lt;=BE$7),ROUND(BE459*($AP$3+#REF!),-1),""))</f>
        <v/>
      </c>
      <c r="BG459" s="503" t="s">
        <v>621</v>
      </c>
      <c r="BH459" s="503" t="str">
        <f>IF($G459="","",IF(AND($G459&gt;=30,$AT$3&lt;=BG$7),ROUND(BG459*($AP$3+#REF!),-1),""))</f>
        <v/>
      </c>
      <c r="BI459" s="503" t="s">
        <v>621</v>
      </c>
      <c r="BJ459" s="503" t="str">
        <f>IF($G459="","",IF(AND($G459&gt;=30,$AT$3&lt;=BI$7),ROUND(BI459*($AP$3+#REF!),-1),""))</f>
        <v/>
      </c>
      <c r="BK459" s="503" t="s">
        <v>621</v>
      </c>
      <c r="BL459" s="503" t="str">
        <f>IF($G459="","",IF(AND($G459&gt;=30,$AT$3&lt;=BK$7),ROUND(BK459*($AP$3+#REF!),-1),""))</f>
        <v/>
      </c>
      <c r="BM459" s="503" t="s">
        <v>621</v>
      </c>
      <c r="BN459" s="503" t="str">
        <f>IF($G459="","",IF(AND($G459&gt;=30,$AT$3&lt;=BM$7),ROUND(BM459*($AP$3+#REF!),-1),""))</f>
        <v/>
      </c>
      <c r="BO459" s="503" t="s">
        <v>621</v>
      </c>
      <c r="BP459" s="503" t="str">
        <f>IF($G459="","",IF(AND($G459&gt;=30,$AT$3&lt;=BO$7),ROUND(BO459*($AP$3+#REF!),-1),""))</f>
        <v/>
      </c>
      <c r="BQ459" s="503" t="s">
        <v>621</v>
      </c>
      <c r="BR459" s="503" t="str">
        <f>IF($G459="","",IF(AND($G459&gt;=30,$AT$3&lt;=BQ$7),ROUND(BQ459*($AP$3+#REF!),-1),""))</f>
        <v/>
      </c>
      <c r="BS459" s="503" t="s">
        <v>621</v>
      </c>
      <c r="BT459" s="503" t="str">
        <f>IF($G459="","",IF(AND($G459&gt;=30,$AT$3&lt;=BS$7),ROUND(BS459*($AP$3+#REF!),-1),""))</f>
        <v/>
      </c>
      <c r="BU459" s="503" t="s">
        <v>621</v>
      </c>
      <c r="BV459" s="503" t="str">
        <f>IF($G459="","",IF(AND($G459&gt;=30,$AT$3&lt;=BU$7),ROUND(BU459*($AP$3+#REF!),-1),""))</f>
        <v/>
      </c>
      <c r="BW459" s="503" t="s">
        <v>621</v>
      </c>
      <c r="BX459" s="503" t="str">
        <f>IF($G459="","",IF(AND($G459&gt;=30,$AT$3&lt;=BW$7),ROUND(BW459*($AP$3+#REF!),-1),""))</f>
        <v/>
      </c>
      <c r="BY459" s="503" t="s">
        <v>621</v>
      </c>
      <c r="BZ459" s="503" t="str">
        <f>IF($G459="","",IF(AND($G459&gt;=30,$AT$3&lt;=BY$7),ROUND(BY459*($AP$3+#REF!),-1),""))</f>
        <v/>
      </c>
      <c r="CA459" s="503" t="s">
        <v>621</v>
      </c>
      <c r="CB459" s="503" t="str">
        <f>IF($G459="","",IF(AND($G459&gt;=30,$AT$3&lt;=CA$7),ROUND(CA459*($AP$3+#REF!),-1),""))</f>
        <v/>
      </c>
      <c r="CC459" s="503" t="s">
        <v>621</v>
      </c>
      <c r="CD459" s="503" t="str">
        <f>IF($G459="","",IF(AND($G459&gt;=30,$AT$3&lt;=CC$7),ROUND(CC459*($AP$3+#REF!),-1),""))</f>
        <v/>
      </c>
      <c r="CE459" s="503" t="s">
        <v>621</v>
      </c>
      <c r="CF459" s="503" t="str">
        <f>IF($G459="","",IF(AND($G459&gt;=30,$AT$3&lt;=CE$7),ROUND(CE459*($AP$3+#REF!),-1),""))</f>
        <v/>
      </c>
      <c r="CG459" s="503" t="s">
        <v>621</v>
      </c>
      <c r="CH459" s="503" t="str">
        <f>IF($G459="","",IF(AND($G459&gt;=30,$AT$3&lt;=CG$7),ROUND(CG459*($AP$3+#REF!),-1),""))</f>
        <v/>
      </c>
      <c r="CI459" s="503" t="s">
        <v>621</v>
      </c>
      <c r="CJ459" s="503" t="str">
        <f>IF($G459="","",IF(AND($G459&gt;=30,$AT$3&lt;=CI$7),ROUND(CI459*($AP$3+#REF!),-1),""))</f>
        <v/>
      </c>
      <c r="CK459" s="503" t="s">
        <v>621</v>
      </c>
      <c r="CL459" s="503" t="str">
        <f>IF($G459="","",IF(AND($G459&gt;=30,$AT$3&lt;=CK$7),ROUND(CK459*($AP$3+#REF!),-1),""))</f>
        <v/>
      </c>
      <c r="CM459" s="503" t="s">
        <v>621</v>
      </c>
      <c r="CN459" s="503" t="str">
        <f>IF($G459="","",IF(AND($G459&gt;=30,$AT$3&lt;=CM$7),ROUND(CM459*($AP$3+#REF!),-1),""))</f>
        <v/>
      </c>
      <c r="CO459" s="503" t="s">
        <v>621</v>
      </c>
      <c r="CP459" s="503" t="str">
        <f>IF($G459="","",IF(AND($G459&gt;=30,$AT$3&lt;=CO$7),ROUND(CO459*($AP$3+#REF!),-1),""))</f>
        <v/>
      </c>
      <c r="CQ459" s="503" t="s">
        <v>621</v>
      </c>
      <c r="CR459" s="503" t="str">
        <f>IF($G459="","",IF(AND($G459&gt;=30,$AT$3&lt;=CQ$7),ROUND(CQ459*($AP$3+#REF!),-1),""))</f>
        <v/>
      </c>
      <c r="CS459" s="503" t="s">
        <v>621</v>
      </c>
      <c r="CT459" s="503" t="str">
        <f>IF($G459="","",IF(AND($G459&gt;=30,$AT$3&lt;=CS$7),ROUND(CS459*($AP$3+#REF!),-1),""))</f>
        <v/>
      </c>
      <c r="CU459" s="503" t="s">
        <v>621</v>
      </c>
      <c r="CV459" s="503" t="str">
        <f>IF($G459="","",IF(AND($G459&gt;=30,$AT$3&lt;=CU$7),ROUND(CU459*($AP$3+#REF!),-1),""))</f>
        <v/>
      </c>
      <c r="CW459" s="503" t="s">
        <v>621</v>
      </c>
      <c r="CX459" s="503" t="str">
        <f>IF($G459="","",IF(AND($G459&gt;=30,$AT$3&lt;=CW$7),ROUND(CW459*($AP$3+#REF!),-1),""))</f>
        <v/>
      </c>
      <c r="CY459" s="503" t="s">
        <v>621</v>
      </c>
      <c r="CZ459" s="503" t="str">
        <f>IF($G459="","",IF(AND($G459&gt;=30,$AT$3&lt;=CY$7),ROUND(CY459*($AP$3+#REF!),-1),""))</f>
        <v/>
      </c>
      <c r="DA459" s="503" t="s">
        <v>621</v>
      </c>
      <c r="DB459" s="503" t="str">
        <f>IF($G459="","",IF(AND($G459&gt;=30,$AT$3&lt;=DA$7),ROUND(DA459*($AP$3+#REF!),-1),""))</f>
        <v/>
      </c>
      <c r="DC459" s="517" t="e">
        <v>#REF!</v>
      </c>
      <c r="DD459" s="503" t="str">
        <f>IF($G459="","",IF(AND($G459&gt;=30,$AT$3&lt;=DC$7),ROUND(DC459*($AP$3+#REF!),-1),""))</f>
        <v/>
      </c>
      <c r="DE459" s="517"/>
      <c r="DF459" s="503" t="str">
        <f>IF($G459="","",IF(AND($G459&gt;=30,$AT$3&lt;=DE$7),ROUND(DE459*($AP$3+#REF!),-1),""))</f>
        <v/>
      </c>
      <c r="DG459" s="517"/>
      <c r="DH459" s="503" t="str">
        <f>IF($G459="","",IF(AND($G459&gt;=30,$AT$3&lt;=DG$7),ROUND(DG459*($AP$3+#REF!),-1),""))</f>
        <v/>
      </c>
      <c r="DI459" s="517"/>
      <c r="DJ459" s="503" t="str">
        <f>IF($G459="","",IF(AND($G459&gt;=30,$AT$3&lt;=DI$7),ROUND(DI459*($AP$3+#REF!),-1),""))</f>
        <v/>
      </c>
      <c r="DK459" s="517"/>
      <c r="DL459" s="503" t="str">
        <f>IF($G459="","",IF(AND($G459&gt;=30,$AT$3&lt;=DK$7),ROUND(DK459*($AP$3+#REF!),-1),""))</f>
        <v/>
      </c>
      <c r="DM459" s="517"/>
      <c r="DN459" s="503" t="str">
        <f>IF($G459="","",IF(AND($G459&gt;=30,$AT$3&lt;=DM$7),ROUND(DM459*($AP$3+#REF!),-1),""))</f>
        <v/>
      </c>
      <c r="DO459" s="517"/>
      <c r="DP459" s="503" t="str">
        <f>IF($G459="","",IF(AND($G459&gt;=30,$AT$3&lt;=DO$7),ROUND(DO459*($AP$3+#REF!),-1),""))</f>
        <v/>
      </c>
      <c r="DQ459" s="517"/>
      <c r="DR459" s="503" t="str">
        <f>IF($G459="","",IF(AND($G459&gt;=30,$AT$3&lt;=DQ$7),ROUND(DQ459*($AP$3+#REF!),-1),""))</f>
        <v/>
      </c>
      <c r="DS459" s="517"/>
      <c r="DT459" s="503" t="str">
        <f>IF($G459="","",IF(AND($G459&gt;=30,$AT$3&lt;=DS$7),ROUND(DS459*($AP$3+#REF!),-1),""))</f>
        <v/>
      </c>
      <c r="DU459" s="517"/>
      <c r="DV459" s="503" t="str">
        <f>IF($G459="","",IF(AND($G459&gt;=30,$AT$3&lt;=DU$7),ROUND(DU459*($AP$3+#REF!),-1),""))</f>
        <v/>
      </c>
      <c r="DW459" s="517"/>
      <c r="DX459" s="503" t="str">
        <f>IF($G459="","",IF(AND($G459&gt;=30,$AT$3&lt;=DW$7),ROUND(DW459*($AP$3+#REF!),-1),""))</f>
        <v/>
      </c>
      <c r="DY459" s="517"/>
      <c r="DZ459" s="503" t="str">
        <f>IF($G459="","",IF(AND($G459&gt;=30,$AT$3&lt;=DY$7),ROUND(DY459*($AP$3+#REF!),-1),""))</f>
        <v/>
      </c>
      <c r="EA459" s="517"/>
      <c r="EB459" s="503" t="str">
        <f>IF($G459="","",IF(AND($G459&gt;=30,$AT$3&lt;=EA$7),ROUND(EA459*($AP$3+#REF!),-1),""))</f>
        <v/>
      </c>
      <c r="EC459" s="504" t="s">
        <v>621</v>
      </c>
      <c r="ED459" s="1124"/>
      <c r="EE459" s="325">
        <v>7</v>
      </c>
    </row>
    <row r="460" spans="1:135" ht="9.75" customHeight="1">
      <c r="A460" s="321" t="str">
        <f t="shared" si="110"/>
        <v/>
      </c>
      <c r="B460" s="567">
        <f>(ii!$D$13*12+V460)+1</f>
        <v>354</v>
      </c>
      <c r="C460" s="337">
        <f t="shared" si="114"/>
        <v>56127</v>
      </c>
      <c r="D460" s="484">
        <f t="shared" si="103"/>
        <v>2053</v>
      </c>
      <c r="E460" s="484">
        <f t="shared" si="101"/>
        <v>0.66666666666666663</v>
      </c>
      <c r="F460" s="484">
        <f t="shared" si="104"/>
        <v>2053.6666666666665</v>
      </c>
      <c r="G460" s="485" t="str">
        <f>IF(OR(C460&lt;$I$2,C460&gt;$J$3),"",(ii!$D$13*12+V460+1)/12)</f>
        <v/>
      </c>
      <c r="H460" s="486"/>
      <c r="I460" s="486"/>
      <c r="J460" s="487"/>
      <c r="K460" s="488"/>
      <c r="L460" s="548"/>
      <c r="M460" s="489" t="str">
        <f t="shared" si="105"/>
        <v/>
      </c>
      <c r="N460" s="490" t="s">
        <v>621</v>
      </c>
      <c r="O460" s="490" t="str">
        <f t="shared" si="112"/>
        <v/>
      </c>
      <c r="P460" s="491"/>
      <c r="Q460" s="491"/>
      <c r="R460" s="491" t="str">
        <f t="shared" si="113"/>
        <v/>
      </c>
      <c r="S460" s="528" t="str">
        <f t="shared" si="111"/>
        <v/>
      </c>
      <c r="T460" s="528" t="str">
        <f t="shared" si="109"/>
        <v/>
      </c>
      <c r="U460" s="493" t="str">
        <f>IF(H460="","",#REF!*12+#REF!+#REF!*12+#REF!)</f>
        <v/>
      </c>
      <c r="V460" s="338">
        <f>IF(ii!$J$3&gt;gg!C460,"",IF(AND((YEAR(C460)=YEAR($I$2)),MONTH(C460)=MONTH($I$2)),ii!$B$14*12+ii!$C$14+ii!$B$15*12+ii!$C$15-1,V459+1))</f>
        <v>353</v>
      </c>
      <c r="W460" s="339">
        <f t="shared" si="102"/>
        <v>29.416666666666668</v>
      </c>
      <c r="X460" s="494" t="s">
        <v>621</v>
      </c>
      <c r="Y460" s="495" t="s">
        <v>621</v>
      </c>
      <c r="Z460" s="496"/>
      <c r="AA460" s="497"/>
      <c r="AB460" s="498" t="e">
        <f t="shared" si="108"/>
        <v>#VALUE!</v>
      </c>
      <c r="AC460" s="484" t="str">
        <f t="shared" si="106"/>
        <v/>
      </c>
      <c r="AD460" s="495" t="str">
        <f t="shared" si="107"/>
        <v/>
      </c>
      <c r="AE460" s="499" t="s">
        <v>621</v>
      </c>
      <c r="AF460" s="500" t="s">
        <v>621</v>
      </c>
      <c r="AG460" s="556" t="s">
        <v>621</v>
      </c>
      <c r="AH460" s="503" t="str">
        <f>IF($G460="","",IF(AND($G460&gt;=30,$AT$3&lt;=AG$7),ROUND(AG460*($AP$3+#REF!),-1),""))</f>
        <v/>
      </c>
      <c r="AI460" s="506" t="s">
        <v>621</v>
      </c>
      <c r="AJ460" s="503" t="str">
        <f>IF($G460="","",IF(AND($G460&gt;=30,$AT$3&lt;=AI$7),ROUND(AI460*($AP$3+#REF!),-1),""))</f>
        <v/>
      </c>
      <c r="AK460" s="506" t="s">
        <v>621</v>
      </c>
      <c r="AL460" s="503" t="str">
        <f>IF($G460="","",IF(AND($G460&gt;=30,$AT$3&lt;=AK$7),ROUND(AK460*($AP$3+#REF!),-1),""))</f>
        <v/>
      </c>
      <c r="AM460" s="506" t="s">
        <v>621</v>
      </c>
      <c r="AN460" s="503" t="str">
        <f>IF($G460="","",IF(AND($G460&gt;=30,$AT$3&lt;=AM$7),ROUND(AM460*($AP$3+#REF!),-1),""))</f>
        <v/>
      </c>
      <c r="AO460" s="503" t="e">
        <v>#REF!</v>
      </c>
      <c r="AP460" s="503" t="str">
        <f>IF($G460="","",IF(AND($G460&gt;=30,$AT$3&lt;=AO$7),ROUND(AO460*($AP$3+#REF!),-1),""))</f>
        <v/>
      </c>
      <c r="AQ460" s="503" t="s">
        <v>621</v>
      </c>
      <c r="AR460" s="503" t="str">
        <f>IF($G460="","",IF(AND($G460&gt;=30,$AT$3&lt;=AQ$7),ROUND(AQ460*($AP$3+#REF!),-1),""))</f>
        <v/>
      </c>
      <c r="AS460" s="503" t="s">
        <v>621</v>
      </c>
      <c r="AT460" s="503" t="str">
        <f>IF($G460="","",IF(AND($G460&gt;=30,$AT$3&lt;=AS$7),ROUND(AS460*($AP$3+#REF!),-1),""))</f>
        <v/>
      </c>
      <c r="AU460" s="503" t="s">
        <v>621</v>
      </c>
      <c r="AV460" s="503" t="str">
        <f>IF($G460="","",IF(AND($G460&gt;=30,$AT$3&lt;=AU$7),ROUND(AU460*($AP$3+#REF!),-1),""))</f>
        <v/>
      </c>
      <c r="AW460" s="503" t="s">
        <v>621</v>
      </c>
      <c r="AX460" s="503" t="str">
        <f>IF($G460="","",IF(AND($G460&gt;=30,$AT$3&lt;=AW$7),ROUND(AW460*($AP$3+#REF!),-1),""))</f>
        <v/>
      </c>
      <c r="AY460" s="503" t="s">
        <v>621</v>
      </c>
      <c r="AZ460" s="503" t="str">
        <f>IF($G460="","",IF(AND($G460&gt;=30,$AT$3&lt;=AY$7),ROUND(AY460*($AP$3+#REF!),-1),""))</f>
        <v/>
      </c>
      <c r="BA460" s="503" t="s">
        <v>621</v>
      </c>
      <c r="BB460" s="503" t="str">
        <f>IF($G460="","",IF(AND($G460&gt;=30,$AT$3&lt;=BA$7),ROUND(BA460*($AP$3+#REF!),-1),""))</f>
        <v/>
      </c>
      <c r="BC460" s="503" t="s">
        <v>621</v>
      </c>
      <c r="BD460" s="503" t="str">
        <f>IF($G460="","",IF(AND($G460&gt;=30,$AT$3&lt;=BC$7),ROUND(BC460*($AP$3+#REF!),-1),""))</f>
        <v/>
      </c>
      <c r="BE460" s="503" t="s">
        <v>621</v>
      </c>
      <c r="BF460" s="503" t="str">
        <f>IF($G460="","",IF(AND($G460&gt;=30,$AT$3&lt;=BE$7),ROUND(BE460*($AP$3+#REF!),-1),""))</f>
        <v/>
      </c>
      <c r="BG460" s="503" t="s">
        <v>621</v>
      </c>
      <c r="BH460" s="503" t="str">
        <f>IF($G460="","",IF(AND($G460&gt;=30,$AT$3&lt;=BG$7),ROUND(BG460*($AP$3+#REF!),-1),""))</f>
        <v/>
      </c>
      <c r="BI460" s="503" t="s">
        <v>621</v>
      </c>
      <c r="BJ460" s="503" t="str">
        <f>IF($G460="","",IF(AND($G460&gt;=30,$AT$3&lt;=BI$7),ROUND(BI460*($AP$3+#REF!),-1),""))</f>
        <v/>
      </c>
      <c r="BK460" s="503" t="s">
        <v>621</v>
      </c>
      <c r="BL460" s="503" t="str">
        <f>IF($G460="","",IF(AND($G460&gt;=30,$AT$3&lt;=BK$7),ROUND(BK460*($AP$3+#REF!),-1),""))</f>
        <v/>
      </c>
      <c r="BM460" s="503" t="s">
        <v>621</v>
      </c>
      <c r="BN460" s="503" t="str">
        <f>IF($G460="","",IF(AND($G460&gt;=30,$AT$3&lt;=BM$7),ROUND(BM460*($AP$3+#REF!),-1),""))</f>
        <v/>
      </c>
      <c r="BO460" s="503" t="s">
        <v>621</v>
      </c>
      <c r="BP460" s="503" t="str">
        <f>IF($G460="","",IF(AND($G460&gt;=30,$AT$3&lt;=BO$7),ROUND(BO460*($AP$3+#REF!),-1),""))</f>
        <v/>
      </c>
      <c r="BQ460" s="503" t="s">
        <v>621</v>
      </c>
      <c r="BR460" s="503" t="str">
        <f>IF($G460="","",IF(AND($G460&gt;=30,$AT$3&lt;=BQ$7),ROUND(BQ460*($AP$3+#REF!),-1),""))</f>
        <v/>
      </c>
      <c r="BS460" s="503" t="s">
        <v>621</v>
      </c>
      <c r="BT460" s="503" t="str">
        <f>IF($G460="","",IF(AND($G460&gt;=30,$AT$3&lt;=BS$7),ROUND(BS460*($AP$3+#REF!),-1),""))</f>
        <v/>
      </c>
      <c r="BU460" s="503" t="s">
        <v>621</v>
      </c>
      <c r="BV460" s="503" t="str">
        <f>IF($G460="","",IF(AND($G460&gt;=30,$AT$3&lt;=BU$7),ROUND(BU460*($AP$3+#REF!),-1),""))</f>
        <v/>
      </c>
      <c r="BW460" s="503" t="s">
        <v>621</v>
      </c>
      <c r="BX460" s="503" t="str">
        <f>IF($G460="","",IF(AND($G460&gt;=30,$AT$3&lt;=BW$7),ROUND(BW460*($AP$3+#REF!),-1),""))</f>
        <v/>
      </c>
      <c r="BY460" s="503" t="s">
        <v>621</v>
      </c>
      <c r="BZ460" s="503" t="str">
        <f>IF($G460="","",IF(AND($G460&gt;=30,$AT$3&lt;=BY$7),ROUND(BY460*($AP$3+#REF!),-1),""))</f>
        <v/>
      </c>
      <c r="CA460" s="503" t="s">
        <v>621</v>
      </c>
      <c r="CB460" s="503" t="str">
        <f>IF($G460="","",IF(AND($G460&gt;=30,$AT$3&lt;=CA$7),ROUND(CA460*($AP$3+#REF!),-1),""))</f>
        <v/>
      </c>
      <c r="CC460" s="503" t="s">
        <v>621</v>
      </c>
      <c r="CD460" s="503" t="str">
        <f>IF($G460="","",IF(AND($G460&gt;=30,$AT$3&lt;=CC$7),ROUND(CC460*($AP$3+#REF!),-1),""))</f>
        <v/>
      </c>
      <c r="CE460" s="503" t="s">
        <v>621</v>
      </c>
      <c r="CF460" s="503" t="str">
        <f>IF($G460="","",IF(AND($G460&gt;=30,$AT$3&lt;=CE$7),ROUND(CE460*($AP$3+#REF!),-1),""))</f>
        <v/>
      </c>
      <c r="CG460" s="503" t="s">
        <v>621</v>
      </c>
      <c r="CH460" s="503" t="str">
        <f>IF($G460="","",IF(AND($G460&gt;=30,$AT$3&lt;=CG$7),ROUND(CG460*($AP$3+#REF!),-1),""))</f>
        <v/>
      </c>
      <c r="CI460" s="503" t="s">
        <v>621</v>
      </c>
      <c r="CJ460" s="503" t="str">
        <f>IF($G460="","",IF(AND($G460&gt;=30,$AT$3&lt;=CI$7),ROUND(CI460*($AP$3+#REF!),-1),""))</f>
        <v/>
      </c>
      <c r="CK460" s="503" t="s">
        <v>621</v>
      </c>
      <c r="CL460" s="503" t="str">
        <f>IF($G460="","",IF(AND($G460&gt;=30,$AT$3&lt;=CK$7),ROUND(CK460*($AP$3+#REF!),-1),""))</f>
        <v/>
      </c>
      <c r="CM460" s="503" t="s">
        <v>621</v>
      </c>
      <c r="CN460" s="503" t="str">
        <f>IF($G460="","",IF(AND($G460&gt;=30,$AT$3&lt;=CM$7),ROUND(CM460*($AP$3+#REF!),-1),""))</f>
        <v/>
      </c>
      <c r="CO460" s="503" t="s">
        <v>621</v>
      </c>
      <c r="CP460" s="503" t="str">
        <f>IF($G460="","",IF(AND($G460&gt;=30,$AT$3&lt;=CO$7),ROUND(CO460*($AP$3+#REF!),-1),""))</f>
        <v/>
      </c>
      <c r="CQ460" s="503" t="s">
        <v>621</v>
      </c>
      <c r="CR460" s="503" t="str">
        <f>IF($G460="","",IF(AND($G460&gt;=30,$AT$3&lt;=CQ$7),ROUND(CQ460*($AP$3+#REF!),-1),""))</f>
        <v/>
      </c>
      <c r="CS460" s="503" t="s">
        <v>621</v>
      </c>
      <c r="CT460" s="503" t="str">
        <f>IF($G460="","",IF(AND($G460&gt;=30,$AT$3&lt;=CS$7),ROUND(CS460*($AP$3+#REF!),-1),""))</f>
        <v/>
      </c>
      <c r="CU460" s="503" t="s">
        <v>621</v>
      </c>
      <c r="CV460" s="503" t="str">
        <f>IF($G460="","",IF(AND($G460&gt;=30,$AT$3&lt;=CU$7),ROUND(CU460*($AP$3+#REF!),-1),""))</f>
        <v/>
      </c>
      <c r="CW460" s="503" t="s">
        <v>621</v>
      </c>
      <c r="CX460" s="503" t="str">
        <f>IF($G460="","",IF(AND($G460&gt;=30,$AT$3&lt;=CW$7),ROUND(CW460*($AP$3+#REF!),-1),""))</f>
        <v/>
      </c>
      <c r="CY460" s="503" t="s">
        <v>621</v>
      </c>
      <c r="CZ460" s="503" t="str">
        <f>IF($G460="","",IF(AND($G460&gt;=30,$AT$3&lt;=CY$7),ROUND(CY460*($AP$3+#REF!),-1),""))</f>
        <v/>
      </c>
      <c r="DA460" s="503" t="s">
        <v>621</v>
      </c>
      <c r="DB460" s="503" t="str">
        <f>IF($G460="","",IF(AND($G460&gt;=30,$AT$3&lt;=DA$7),ROUND(DA460*($AP$3+#REF!),-1),""))</f>
        <v/>
      </c>
      <c r="DC460" s="517" t="e">
        <v>#REF!</v>
      </c>
      <c r="DD460" s="503" t="str">
        <f>IF($G460="","",IF(AND($G460&gt;=30,$AT$3&lt;=DC$7),ROUND(DC460*($AP$3+#REF!),-1),""))</f>
        <v/>
      </c>
      <c r="DE460" s="517"/>
      <c r="DF460" s="503" t="str">
        <f>IF($G460="","",IF(AND($G460&gt;=30,$AT$3&lt;=DE$7),ROUND(DE460*($AP$3+#REF!),-1),""))</f>
        <v/>
      </c>
      <c r="DG460" s="517"/>
      <c r="DH460" s="503" t="str">
        <f>IF($G460="","",IF(AND($G460&gt;=30,$AT$3&lt;=DG$7),ROUND(DG460*($AP$3+#REF!),-1),""))</f>
        <v/>
      </c>
      <c r="DI460" s="517"/>
      <c r="DJ460" s="503" t="str">
        <f>IF($G460="","",IF(AND($G460&gt;=30,$AT$3&lt;=DI$7),ROUND(DI460*($AP$3+#REF!),-1),""))</f>
        <v/>
      </c>
      <c r="DK460" s="517"/>
      <c r="DL460" s="503" t="str">
        <f>IF($G460="","",IF(AND($G460&gt;=30,$AT$3&lt;=DK$7),ROUND(DK460*($AP$3+#REF!),-1),""))</f>
        <v/>
      </c>
      <c r="DM460" s="517"/>
      <c r="DN460" s="503" t="str">
        <f>IF($G460="","",IF(AND($G460&gt;=30,$AT$3&lt;=DM$7),ROUND(DM460*($AP$3+#REF!),-1),""))</f>
        <v/>
      </c>
      <c r="DO460" s="517"/>
      <c r="DP460" s="503" t="str">
        <f>IF($G460="","",IF(AND($G460&gt;=30,$AT$3&lt;=DO$7),ROUND(DO460*($AP$3+#REF!),-1),""))</f>
        <v/>
      </c>
      <c r="DQ460" s="517"/>
      <c r="DR460" s="503" t="str">
        <f>IF($G460="","",IF(AND($G460&gt;=30,$AT$3&lt;=DQ$7),ROUND(DQ460*($AP$3+#REF!),-1),""))</f>
        <v/>
      </c>
      <c r="DS460" s="517"/>
      <c r="DT460" s="503" t="str">
        <f>IF($G460="","",IF(AND($G460&gt;=30,$AT$3&lt;=DS$7),ROUND(DS460*($AP$3+#REF!),-1),""))</f>
        <v/>
      </c>
      <c r="DU460" s="517"/>
      <c r="DV460" s="503" t="str">
        <f>IF($G460="","",IF(AND($G460&gt;=30,$AT$3&lt;=DU$7),ROUND(DU460*($AP$3+#REF!),-1),""))</f>
        <v/>
      </c>
      <c r="DW460" s="517"/>
      <c r="DX460" s="503" t="str">
        <f>IF($G460="","",IF(AND($G460&gt;=30,$AT$3&lt;=DW$7),ROUND(DW460*($AP$3+#REF!),-1),""))</f>
        <v/>
      </c>
      <c r="DY460" s="517"/>
      <c r="DZ460" s="503" t="str">
        <f>IF($G460="","",IF(AND($G460&gt;=30,$AT$3&lt;=DY$7),ROUND(DY460*($AP$3+#REF!),-1),""))</f>
        <v/>
      </c>
      <c r="EA460" s="517"/>
      <c r="EB460" s="503" t="str">
        <f>IF($G460="","",IF(AND($G460&gt;=30,$AT$3&lt;=EA$7),ROUND(EA460*($AP$3+#REF!),-1),""))</f>
        <v/>
      </c>
      <c r="EC460" s="504" t="s">
        <v>621</v>
      </c>
      <c r="ED460" s="1124"/>
      <c r="EE460" s="325">
        <v>8</v>
      </c>
    </row>
    <row r="461" spans="1:135" ht="9.75" customHeight="1">
      <c r="A461" s="321" t="str">
        <f t="shared" si="110"/>
        <v/>
      </c>
      <c r="B461" s="567">
        <f>(ii!$D$13*12+V461)+1</f>
        <v>355</v>
      </c>
      <c r="C461" s="337">
        <f t="shared" si="114"/>
        <v>56157</v>
      </c>
      <c r="D461" s="484">
        <f t="shared" si="103"/>
        <v>2053</v>
      </c>
      <c r="E461" s="484">
        <f t="shared" si="101"/>
        <v>0.75</v>
      </c>
      <c r="F461" s="484">
        <f t="shared" si="104"/>
        <v>2053.75</v>
      </c>
      <c r="G461" s="485" t="str">
        <f>IF(OR(C461&lt;$I$2,C461&gt;$J$3),"",(ii!$D$13*12+V461+1)/12)</f>
        <v/>
      </c>
      <c r="H461" s="486"/>
      <c r="I461" s="486"/>
      <c r="J461" s="487"/>
      <c r="K461" s="488"/>
      <c r="L461" s="548"/>
      <c r="M461" s="489" t="str">
        <f t="shared" si="105"/>
        <v/>
      </c>
      <c r="N461" s="490" t="s">
        <v>621</v>
      </c>
      <c r="O461" s="490" t="str">
        <f t="shared" si="112"/>
        <v/>
      </c>
      <c r="P461" s="491"/>
      <c r="Q461" s="491"/>
      <c r="R461" s="491" t="str">
        <f t="shared" si="113"/>
        <v/>
      </c>
      <c r="S461" s="528" t="str">
        <f t="shared" si="111"/>
        <v/>
      </c>
      <c r="T461" s="528" t="str">
        <f t="shared" si="109"/>
        <v/>
      </c>
      <c r="U461" s="493" t="str">
        <f>IF(H461="","",#REF!*12+#REF!+#REF!*12+#REF!)</f>
        <v/>
      </c>
      <c r="V461" s="338">
        <f>IF(ii!$J$3&gt;gg!C461,"",IF(AND((YEAR(C461)=YEAR($I$2)),MONTH(C461)=MONTH($I$2)),ii!$B$14*12+ii!$C$14+ii!$B$15*12+ii!$C$15-1,V460+1))</f>
        <v>354</v>
      </c>
      <c r="W461" s="339">
        <f t="shared" si="102"/>
        <v>29.5</v>
      </c>
      <c r="X461" s="494" t="s">
        <v>621</v>
      </c>
      <c r="Y461" s="495" t="s">
        <v>621</v>
      </c>
      <c r="Z461" s="496"/>
      <c r="AA461" s="497"/>
      <c r="AB461" s="498" t="e">
        <f t="shared" si="108"/>
        <v>#VALUE!</v>
      </c>
      <c r="AC461" s="484" t="str">
        <f t="shared" si="106"/>
        <v/>
      </c>
      <c r="AD461" s="495" t="str">
        <f t="shared" si="107"/>
        <v/>
      </c>
      <c r="AE461" s="499" t="s">
        <v>621</v>
      </c>
      <c r="AF461" s="500" t="s">
        <v>621</v>
      </c>
      <c r="AG461" s="556" t="s">
        <v>621</v>
      </c>
      <c r="AH461" s="503" t="str">
        <f>IF($G461="","",IF(AND($G461&gt;=30,$AT$3&lt;=AG$7),ROUND(AG461*($AP$3+#REF!),-1),""))</f>
        <v/>
      </c>
      <c r="AI461" s="506" t="s">
        <v>621</v>
      </c>
      <c r="AJ461" s="503" t="str">
        <f>IF($G461="","",IF(AND($G461&gt;=30,$AT$3&lt;=AI$7),ROUND(AI461*($AP$3+#REF!),-1),""))</f>
        <v/>
      </c>
      <c r="AK461" s="506" t="s">
        <v>621</v>
      </c>
      <c r="AL461" s="503" t="str">
        <f>IF($G461="","",IF(AND($G461&gt;=30,$AT$3&lt;=AK$7),ROUND(AK461*($AP$3+#REF!),-1),""))</f>
        <v/>
      </c>
      <c r="AM461" s="506" t="s">
        <v>621</v>
      </c>
      <c r="AN461" s="503" t="str">
        <f>IF($G461="","",IF(AND($G461&gt;=30,$AT$3&lt;=AM$7),ROUND(AM461*($AP$3+#REF!),-1),""))</f>
        <v/>
      </c>
      <c r="AO461" s="503" t="e">
        <v>#REF!</v>
      </c>
      <c r="AP461" s="503" t="str">
        <f>IF($G461="","",IF(AND($G461&gt;=30,$AT$3&lt;=AO$7),ROUND(AO461*($AP$3+#REF!),-1),""))</f>
        <v/>
      </c>
      <c r="AQ461" s="503" t="s">
        <v>621</v>
      </c>
      <c r="AR461" s="503" t="str">
        <f>IF($G461="","",IF(AND($G461&gt;=30,$AT$3&lt;=AQ$7),ROUND(AQ461*($AP$3+#REF!),-1),""))</f>
        <v/>
      </c>
      <c r="AS461" s="503" t="s">
        <v>621</v>
      </c>
      <c r="AT461" s="503" t="str">
        <f>IF($G461="","",IF(AND($G461&gt;=30,$AT$3&lt;=AS$7),ROUND(AS461*($AP$3+#REF!),-1),""))</f>
        <v/>
      </c>
      <c r="AU461" s="503" t="s">
        <v>621</v>
      </c>
      <c r="AV461" s="503" t="str">
        <f>IF($G461="","",IF(AND($G461&gt;=30,$AT$3&lt;=AU$7),ROUND(AU461*($AP$3+#REF!),-1),""))</f>
        <v/>
      </c>
      <c r="AW461" s="503" t="s">
        <v>621</v>
      </c>
      <c r="AX461" s="503" t="str">
        <f>IF($G461="","",IF(AND($G461&gt;=30,$AT$3&lt;=AW$7),ROUND(AW461*($AP$3+#REF!),-1),""))</f>
        <v/>
      </c>
      <c r="AY461" s="503" t="s">
        <v>621</v>
      </c>
      <c r="AZ461" s="503" t="str">
        <f>IF($G461="","",IF(AND($G461&gt;=30,$AT$3&lt;=AY$7),ROUND(AY461*($AP$3+#REF!),-1),""))</f>
        <v/>
      </c>
      <c r="BA461" s="503" t="s">
        <v>621</v>
      </c>
      <c r="BB461" s="503" t="str">
        <f>IF($G461="","",IF(AND($G461&gt;=30,$AT$3&lt;=BA$7),ROUND(BA461*($AP$3+#REF!),-1),""))</f>
        <v/>
      </c>
      <c r="BC461" s="503" t="s">
        <v>621</v>
      </c>
      <c r="BD461" s="503" t="str">
        <f>IF($G461="","",IF(AND($G461&gt;=30,$AT$3&lt;=BC$7),ROUND(BC461*($AP$3+#REF!),-1),""))</f>
        <v/>
      </c>
      <c r="BE461" s="503" t="s">
        <v>621</v>
      </c>
      <c r="BF461" s="503" t="str">
        <f>IF($G461="","",IF(AND($G461&gt;=30,$AT$3&lt;=BE$7),ROUND(BE461*($AP$3+#REF!),-1),""))</f>
        <v/>
      </c>
      <c r="BG461" s="503" t="s">
        <v>621</v>
      </c>
      <c r="BH461" s="503" t="str">
        <f>IF($G461="","",IF(AND($G461&gt;=30,$AT$3&lt;=BG$7),ROUND(BG461*($AP$3+#REF!),-1),""))</f>
        <v/>
      </c>
      <c r="BI461" s="503" t="s">
        <v>621</v>
      </c>
      <c r="BJ461" s="503" t="str">
        <f>IF($G461="","",IF(AND($G461&gt;=30,$AT$3&lt;=BI$7),ROUND(BI461*($AP$3+#REF!),-1),""))</f>
        <v/>
      </c>
      <c r="BK461" s="503" t="s">
        <v>621</v>
      </c>
      <c r="BL461" s="503" t="str">
        <f>IF($G461="","",IF(AND($G461&gt;=30,$AT$3&lt;=BK$7),ROUND(BK461*($AP$3+#REF!),-1),""))</f>
        <v/>
      </c>
      <c r="BM461" s="503" t="s">
        <v>621</v>
      </c>
      <c r="BN461" s="503" t="str">
        <f>IF($G461="","",IF(AND($G461&gt;=30,$AT$3&lt;=BM$7),ROUND(BM461*($AP$3+#REF!),-1),""))</f>
        <v/>
      </c>
      <c r="BO461" s="503" t="s">
        <v>621</v>
      </c>
      <c r="BP461" s="503" t="str">
        <f>IF($G461="","",IF(AND($G461&gt;=30,$AT$3&lt;=BO$7),ROUND(BO461*($AP$3+#REF!),-1),""))</f>
        <v/>
      </c>
      <c r="BQ461" s="503" t="s">
        <v>621</v>
      </c>
      <c r="BR461" s="503" t="str">
        <f>IF($G461="","",IF(AND($G461&gt;=30,$AT$3&lt;=BQ$7),ROUND(BQ461*($AP$3+#REF!),-1),""))</f>
        <v/>
      </c>
      <c r="BS461" s="503" t="s">
        <v>621</v>
      </c>
      <c r="BT461" s="503" t="str">
        <f>IF($G461="","",IF(AND($G461&gt;=30,$AT$3&lt;=BS$7),ROUND(BS461*($AP$3+#REF!),-1),""))</f>
        <v/>
      </c>
      <c r="BU461" s="503" t="s">
        <v>621</v>
      </c>
      <c r="BV461" s="503" t="str">
        <f>IF($G461="","",IF(AND($G461&gt;=30,$AT$3&lt;=BU$7),ROUND(BU461*($AP$3+#REF!),-1),""))</f>
        <v/>
      </c>
      <c r="BW461" s="503" t="s">
        <v>621</v>
      </c>
      <c r="BX461" s="503" t="str">
        <f>IF($G461="","",IF(AND($G461&gt;=30,$AT$3&lt;=BW$7),ROUND(BW461*($AP$3+#REF!),-1),""))</f>
        <v/>
      </c>
      <c r="BY461" s="503" t="s">
        <v>621</v>
      </c>
      <c r="BZ461" s="503" t="str">
        <f>IF($G461="","",IF(AND($G461&gt;=30,$AT$3&lt;=BY$7),ROUND(BY461*($AP$3+#REF!),-1),""))</f>
        <v/>
      </c>
      <c r="CA461" s="503" t="s">
        <v>621</v>
      </c>
      <c r="CB461" s="503" t="str">
        <f>IF($G461="","",IF(AND($G461&gt;=30,$AT$3&lt;=CA$7),ROUND(CA461*($AP$3+#REF!),-1),""))</f>
        <v/>
      </c>
      <c r="CC461" s="503" t="s">
        <v>621</v>
      </c>
      <c r="CD461" s="503" t="str">
        <f>IF($G461="","",IF(AND($G461&gt;=30,$AT$3&lt;=CC$7),ROUND(CC461*($AP$3+#REF!),-1),""))</f>
        <v/>
      </c>
      <c r="CE461" s="503" t="s">
        <v>621</v>
      </c>
      <c r="CF461" s="503" t="str">
        <f>IF($G461="","",IF(AND($G461&gt;=30,$AT$3&lt;=CE$7),ROUND(CE461*($AP$3+#REF!),-1),""))</f>
        <v/>
      </c>
      <c r="CG461" s="503" t="s">
        <v>621</v>
      </c>
      <c r="CH461" s="503" t="str">
        <f>IF($G461="","",IF(AND($G461&gt;=30,$AT$3&lt;=CG$7),ROUND(CG461*($AP$3+#REF!),-1),""))</f>
        <v/>
      </c>
      <c r="CI461" s="503" t="s">
        <v>621</v>
      </c>
      <c r="CJ461" s="503" t="str">
        <f>IF($G461="","",IF(AND($G461&gt;=30,$AT$3&lt;=CI$7),ROUND(CI461*($AP$3+#REF!),-1),""))</f>
        <v/>
      </c>
      <c r="CK461" s="503" t="s">
        <v>621</v>
      </c>
      <c r="CL461" s="503" t="str">
        <f>IF($G461="","",IF(AND($G461&gt;=30,$AT$3&lt;=CK$7),ROUND(CK461*($AP$3+#REF!),-1),""))</f>
        <v/>
      </c>
      <c r="CM461" s="503" t="s">
        <v>621</v>
      </c>
      <c r="CN461" s="503" t="str">
        <f>IF($G461="","",IF(AND($G461&gt;=30,$AT$3&lt;=CM$7),ROUND(CM461*($AP$3+#REF!),-1),""))</f>
        <v/>
      </c>
      <c r="CO461" s="503" t="s">
        <v>621</v>
      </c>
      <c r="CP461" s="503" t="str">
        <f>IF($G461="","",IF(AND($G461&gt;=30,$AT$3&lt;=CO$7),ROUND(CO461*($AP$3+#REF!),-1),""))</f>
        <v/>
      </c>
      <c r="CQ461" s="503" t="s">
        <v>621</v>
      </c>
      <c r="CR461" s="503" t="str">
        <f>IF($G461="","",IF(AND($G461&gt;=30,$AT$3&lt;=CQ$7),ROUND(CQ461*($AP$3+#REF!),-1),""))</f>
        <v/>
      </c>
      <c r="CS461" s="503" t="s">
        <v>621</v>
      </c>
      <c r="CT461" s="503" t="str">
        <f>IF($G461="","",IF(AND($G461&gt;=30,$AT$3&lt;=CS$7),ROUND(CS461*($AP$3+#REF!),-1),""))</f>
        <v/>
      </c>
      <c r="CU461" s="503" t="s">
        <v>621</v>
      </c>
      <c r="CV461" s="503" t="str">
        <f>IF($G461="","",IF(AND($G461&gt;=30,$AT$3&lt;=CU$7),ROUND(CU461*($AP$3+#REF!),-1),""))</f>
        <v/>
      </c>
      <c r="CW461" s="503" t="s">
        <v>621</v>
      </c>
      <c r="CX461" s="503" t="str">
        <f>IF($G461="","",IF(AND($G461&gt;=30,$AT$3&lt;=CW$7),ROUND(CW461*($AP$3+#REF!),-1),""))</f>
        <v/>
      </c>
      <c r="CY461" s="503" t="s">
        <v>621</v>
      </c>
      <c r="CZ461" s="503" t="str">
        <f>IF($G461="","",IF(AND($G461&gt;=30,$AT$3&lt;=CY$7),ROUND(CY461*($AP$3+#REF!),-1),""))</f>
        <v/>
      </c>
      <c r="DA461" s="503" t="s">
        <v>621</v>
      </c>
      <c r="DB461" s="503" t="str">
        <f>IF($G461="","",IF(AND($G461&gt;=30,$AT$3&lt;=DA$7),ROUND(DA461*($AP$3+#REF!),-1),""))</f>
        <v/>
      </c>
      <c r="DC461" s="517" t="e">
        <v>#REF!</v>
      </c>
      <c r="DD461" s="503" t="str">
        <f>IF($G461="","",IF(AND($G461&gt;=30,$AT$3&lt;=DC$7),ROUND(DC461*($AP$3+#REF!),-1),""))</f>
        <v/>
      </c>
      <c r="DE461" s="517"/>
      <c r="DF461" s="503" t="str">
        <f>IF($G461="","",IF(AND($G461&gt;=30,$AT$3&lt;=DE$7),ROUND(DE461*($AP$3+#REF!),-1),""))</f>
        <v/>
      </c>
      <c r="DG461" s="517"/>
      <c r="DH461" s="503" t="str">
        <f>IF($G461="","",IF(AND($G461&gt;=30,$AT$3&lt;=DG$7),ROUND(DG461*($AP$3+#REF!),-1),""))</f>
        <v/>
      </c>
      <c r="DI461" s="517"/>
      <c r="DJ461" s="503" t="str">
        <f>IF($G461="","",IF(AND($G461&gt;=30,$AT$3&lt;=DI$7),ROUND(DI461*($AP$3+#REF!),-1),""))</f>
        <v/>
      </c>
      <c r="DK461" s="517"/>
      <c r="DL461" s="503" t="str">
        <f>IF($G461="","",IF(AND($G461&gt;=30,$AT$3&lt;=DK$7),ROUND(DK461*($AP$3+#REF!),-1),""))</f>
        <v/>
      </c>
      <c r="DM461" s="517"/>
      <c r="DN461" s="503" t="str">
        <f>IF($G461="","",IF(AND($G461&gt;=30,$AT$3&lt;=DM$7),ROUND(DM461*($AP$3+#REF!),-1),""))</f>
        <v/>
      </c>
      <c r="DO461" s="517"/>
      <c r="DP461" s="503" t="str">
        <f>IF($G461="","",IF(AND($G461&gt;=30,$AT$3&lt;=DO$7),ROUND(DO461*($AP$3+#REF!),-1),""))</f>
        <v/>
      </c>
      <c r="DQ461" s="517"/>
      <c r="DR461" s="503" t="str">
        <f>IF($G461="","",IF(AND($G461&gt;=30,$AT$3&lt;=DQ$7),ROUND(DQ461*($AP$3+#REF!),-1),""))</f>
        <v/>
      </c>
      <c r="DS461" s="517"/>
      <c r="DT461" s="503" t="str">
        <f>IF($G461="","",IF(AND($G461&gt;=30,$AT$3&lt;=DS$7),ROUND(DS461*($AP$3+#REF!),-1),""))</f>
        <v/>
      </c>
      <c r="DU461" s="517"/>
      <c r="DV461" s="503" t="str">
        <f>IF($G461="","",IF(AND($G461&gt;=30,$AT$3&lt;=DU$7),ROUND(DU461*($AP$3+#REF!),-1),""))</f>
        <v/>
      </c>
      <c r="DW461" s="517"/>
      <c r="DX461" s="503" t="str">
        <f>IF($G461="","",IF(AND($G461&gt;=30,$AT$3&lt;=DW$7),ROUND(DW461*($AP$3+#REF!),-1),""))</f>
        <v/>
      </c>
      <c r="DY461" s="517"/>
      <c r="DZ461" s="503" t="str">
        <f>IF($G461="","",IF(AND($G461&gt;=30,$AT$3&lt;=DY$7),ROUND(DY461*($AP$3+#REF!),-1),""))</f>
        <v/>
      </c>
      <c r="EA461" s="517"/>
      <c r="EB461" s="503" t="str">
        <f>IF($G461="","",IF(AND($G461&gt;=30,$AT$3&lt;=EA$7),ROUND(EA461*($AP$3+#REF!),-1),""))</f>
        <v/>
      </c>
      <c r="EC461" s="504" t="s">
        <v>621</v>
      </c>
      <c r="ED461" s="1124"/>
      <c r="EE461" s="325">
        <v>9</v>
      </c>
    </row>
    <row r="462" spans="1:135" ht="9.75" customHeight="1">
      <c r="A462" s="321" t="str">
        <f t="shared" si="110"/>
        <v/>
      </c>
      <c r="B462" s="567">
        <f>(ii!$D$13*12+V462)+1</f>
        <v>356</v>
      </c>
      <c r="C462" s="337">
        <f t="shared" si="114"/>
        <v>56188</v>
      </c>
      <c r="D462" s="484">
        <f t="shared" si="103"/>
        <v>2053</v>
      </c>
      <c r="E462" s="484">
        <f t="shared" ref="E462:E525" si="115">MONTH(C462)/12</f>
        <v>0.83333333333333337</v>
      </c>
      <c r="F462" s="484">
        <f t="shared" si="104"/>
        <v>2053.8333333333335</v>
      </c>
      <c r="G462" s="485" t="str">
        <f>IF(OR(C462&lt;$I$2,C462&gt;$J$3),"",(ii!$D$13*12+V462+1)/12)</f>
        <v/>
      </c>
      <c r="H462" s="486"/>
      <c r="I462" s="486"/>
      <c r="J462" s="487"/>
      <c r="K462" s="488"/>
      <c r="L462" s="548"/>
      <c r="M462" s="489" t="str">
        <f t="shared" si="105"/>
        <v/>
      </c>
      <c r="N462" s="490" t="s">
        <v>621</v>
      </c>
      <c r="O462" s="490" t="str">
        <f t="shared" si="112"/>
        <v/>
      </c>
      <c r="P462" s="491"/>
      <c r="Q462" s="491"/>
      <c r="R462" s="491" t="str">
        <f t="shared" si="113"/>
        <v/>
      </c>
      <c r="S462" s="528" t="str">
        <f t="shared" si="111"/>
        <v/>
      </c>
      <c r="T462" s="528" t="str">
        <f t="shared" si="109"/>
        <v/>
      </c>
      <c r="U462" s="493" t="str">
        <f>IF(H462="","",#REF!*12+#REF!+#REF!*12+#REF!)</f>
        <v/>
      </c>
      <c r="V462" s="338">
        <f>IF(ii!$J$3&gt;gg!C462,"",IF(AND((YEAR(C462)=YEAR($I$2)),MONTH(C462)=MONTH($I$2)),ii!$B$14*12+ii!$C$14+ii!$B$15*12+ii!$C$15-1,V461+1))</f>
        <v>355</v>
      </c>
      <c r="W462" s="339">
        <f t="shared" si="102"/>
        <v>29.583333333333332</v>
      </c>
      <c r="X462" s="494" t="s">
        <v>621</v>
      </c>
      <c r="Y462" s="495" t="s">
        <v>621</v>
      </c>
      <c r="Z462" s="496"/>
      <c r="AA462" s="497"/>
      <c r="AB462" s="498" t="e">
        <f t="shared" si="108"/>
        <v>#VALUE!</v>
      </c>
      <c r="AC462" s="484" t="str">
        <f t="shared" si="106"/>
        <v/>
      </c>
      <c r="AD462" s="495" t="str">
        <f t="shared" si="107"/>
        <v/>
      </c>
      <c r="AE462" s="499" t="s">
        <v>621</v>
      </c>
      <c r="AF462" s="500" t="s">
        <v>621</v>
      </c>
      <c r="AG462" s="556" t="s">
        <v>621</v>
      </c>
      <c r="AH462" s="503" t="str">
        <f>IF($G462="","",IF(AND($G462&gt;=30,$AT$3&lt;=AG$7),ROUND(AG462*($AP$3+#REF!),-1),""))</f>
        <v/>
      </c>
      <c r="AI462" s="506" t="s">
        <v>621</v>
      </c>
      <c r="AJ462" s="503" t="str">
        <f>IF($G462="","",IF(AND($G462&gt;=30,$AT$3&lt;=AI$7),ROUND(AI462*($AP$3+#REF!),-1),""))</f>
        <v/>
      </c>
      <c r="AK462" s="506" t="s">
        <v>621</v>
      </c>
      <c r="AL462" s="503" t="str">
        <f>IF($G462="","",IF(AND($G462&gt;=30,$AT$3&lt;=AK$7),ROUND(AK462*($AP$3+#REF!),-1),""))</f>
        <v/>
      </c>
      <c r="AM462" s="506" t="s">
        <v>621</v>
      </c>
      <c r="AN462" s="503" t="str">
        <f>IF($G462="","",IF(AND($G462&gt;=30,$AT$3&lt;=AM$7),ROUND(AM462*($AP$3+#REF!),-1),""))</f>
        <v/>
      </c>
      <c r="AO462" s="503" t="e">
        <v>#REF!</v>
      </c>
      <c r="AP462" s="503" t="str">
        <f>IF($G462="","",IF(AND($G462&gt;=30,$AT$3&lt;=AO$7),ROUND(AO462*($AP$3+#REF!),-1),""))</f>
        <v/>
      </c>
      <c r="AQ462" s="503" t="s">
        <v>621</v>
      </c>
      <c r="AR462" s="503" t="str">
        <f>IF($G462="","",IF(AND($G462&gt;=30,$AT$3&lt;=AQ$7),ROUND(AQ462*($AP$3+#REF!),-1),""))</f>
        <v/>
      </c>
      <c r="AS462" s="503" t="s">
        <v>621</v>
      </c>
      <c r="AT462" s="503" t="str">
        <f>IF($G462="","",IF(AND($G462&gt;=30,$AT$3&lt;=AS$7),ROUND(AS462*($AP$3+#REF!),-1),""))</f>
        <v/>
      </c>
      <c r="AU462" s="503" t="s">
        <v>621</v>
      </c>
      <c r="AV462" s="503" t="str">
        <f>IF($G462="","",IF(AND($G462&gt;=30,$AT$3&lt;=AU$7),ROUND(AU462*($AP$3+#REF!),-1),""))</f>
        <v/>
      </c>
      <c r="AW462" s="503" t="s">
        <v>621</v>
      </c>
      <c r="AX462" s="503" t="str">
        <f>IF($G462="","",IF(AND($G462&gt;=30,$AT$3&lt;=AW$7),ROUND(AW462*($AP$3+#REF!),-1),""))</f>
        <v/>
      </c>
      <c r="AY462" s="503" t="s">
        <v>621</v>
      </c>
      <c r="AZ462" s="503" t="str">
        <f>IF($G462="","",IF(AND($G462&gt;=30,$AT$3&lt;=AY$7),ROUND(AY462*($AP$3+#REF!),-1),""))</f>
        <v/>
      </c>
      <c r="BA462" s="503" t="s">
        <v>621</v>
      </c>
      <c r="BB462" s="503" t="str">
        <f>IF($G462="","",IF(AND($G462&gt;=30,$AT$3&lt;=BA$7),ROUND(BA462*($AP$3+#REF!),-1),""))</f>
        <v/>
      </c>
      <c r="BC462" s="503" t="s">
        <v>621</v>
      </c>
      <c r="BD462" s="503" t="str">
        <f>IF($G462="","",IF(AND($G462&gt;=30,$AT$3&lt;=BC$7),ROUND(BC462*($AP$3+#REF!),-1),""))</f>
        <v/>
      </c>
      <c r="BE462" s="503" t="s">
        <v>621</v>
      </c>
      <c r="BF462" s="503" t="str">
        <f>IF($G462="","",IF(AND($G462&gt;=30,$AT$3&lt;=BE$7),ROUND(BE462*($AP$3+#REF!),-1),""))</f>
        <v/>
      </c>
      <c r="BG462" s="503" t="s">
        <v>621</v>
      </c>
      <c r="BH462" s="503" t="str">
        <f>IF($G462="","",IF(AND($G462&gt;=30,$AT$3&lt;=BG$7),ROUND(BG462*($AP$3+#REF!),-1),""))</f>
        <v/>
      </c>
      <c r="BI462" s="503" t="s">
        <v>621</v>
      </c>
      <c r="BJ462" s="503" t="str">
        <f>IF($G462="","",IF(AND($G462&gt;=30,$AT$3&lt;=BI$7),ROUND(BI462*($AP$3+#REF!),-1),""))</f>
        <v/>
      </c>
      <c r="BK462" s="503" t="s">
        <v>621</v>
      </c>
      <c r="BL462" s="503" t="str">
        <f>IF($G462="","",IF(AND($G462&gt;=30,$AT$3&lt;=BK$7),ROUND(BK462*($AP$3+#REF!),-1),""))</f>
        <v/>
      </c>
      <c r="BM462" s="503" t="s">
        <v>621</v>
      </c>
      <c r="BN462" s="503" t="str">
        <f>IF($G462="","",IF(AND($G462&gt;=30,$AT$3&lt;=BM$7),ROUND(BM462*($AP$3+#REF!),-1),""))</f>
        <v/>
      </c>
      <c r="BO462" s="503" t="s">
        <v>621</v>
      </c>
      <c r="BP462" s="503" t="str">
        <f>IF($G462="","",IF(AND($G462&gt;=30,$AT$3&lt;=BO$7),ROUND(BO462*($AP$3+#REF!),-1),""))</f>
        <v/>
      </c>
      <c r="BQ462" s="503" t="s">
        <v>621</v>
      </c>
      <c r="BR462" s="503" t="str">
        <f>IF($G462="","",IF(AND($G462&gt;=30,$AT$3&lt;=BQ$7),ROUND(BQ462*($AP$3+#REF!),-1),""))</f>
        <v/>
      </c>
      <c r="BS462" s="503" t="s">
        <v>621</v>
      </c>
      <c r="BT462" s="503" t="str">
        <f>IF($G462="","",IF(AND($G462&gt;=30,$AT$3&lt;=BS$7),ROUND(BS462*($AP$3+#REF!),-1),""))</f>
        <v/>
      </c>
      <c r="BU462" s="503" t="s">
        <v>621</v>
      </c>
      <c r="BV462" s="503" t="str">
        <f>IF($G462="","",IF(AND($G462&gt;=30,$AT$3&lt;=BU$7),ROUND(BU462*($AP$3+#REF!),-1),""))</f>
        <v/>
      </c>
      <c r="BW462" s="503" t="s">
        <v>621</v>
      </c>
      <c r="BX462" s="503" t="str">
        <f>IF($G462="","",IF(AND($G462&gt;=30,$AT$3&lt;=BW$7),ROUND(BW462*($AP$3+#REF!),-1),""))</f>
        <v/>
      </c>
      <c r="BY462" s="503" t="s">
        <v>621</v>
      </c>
      <c r="BZ462" s="503" t="str">
        <f>IF($G462="","",IF(AND($G462&gt;=30,$AT$3&lt;=BY$7),ROUND(BY462*($AP$3+#REF!),-1),""))</f>
        <v/>
      </c>
      <c r="CA462" s="503" t="s">
        <v>621</v>
      </c>
      <c r="CB462" s="503" t="str">
        <f>IF($G462="","",IF(AND($G462&gt;=30,$AT$3&lt;=CA$7),ROUND(CA462*($AP$3+#REF!),-1),""))</f>
        <v/>
      </c>
      <c r="CC462" s="503" t="s">
        <v>621</v>
      </c>
      <c r="CD462" s="503" t="str">
        <f>IF($G462="","",IF(AND($G462&gt;=30,$AT$3&lt;=CC$7),ROUND(CC462*($AP$3+#REF!),-1),""))</f>
        <v/>
      </c>
      <c r="CE462" s="503" t="s">
        <v>621</v>
      </c>
      <c r="CF462" s="503" t="str">
        <f>IF($G462="","",IF(AND($G462&gt;=30,$AT$3&lt;=CE$7),ROUND(CE462*($AP$3+#REF!),-1),""))</f>
        <v/>
      </c>
      <c r="CG462" s="503" t="s">
        <v>621</v>
      </c>
      <c r="CH462" s="503" t="str">
        <f>IF($G462="","",IF(AND($G462&gt;=30,$AT$3&lt;=CG$7),ROUND(CG462*($AP$3+#REF!),-1),""))</f>
        <v/>
      </c>
      <c r="CI462" s="503" t="s">
        <v>621</v>
      </c>
      <c r="CJ462" s="503" t="str">
        <f>IF($G462="","",IF(AND($G462&gt;=30,$AT$3&lt;=CI$7),ROUND(CI462*($AP$3+#REF!),-1),""))</f>
        <v/>
      </c>
      <c r="CK462" s="503" t="s">
        <v>621</v>
      </c>
      <c r="CL462" s="503" t="str">
        <f>IF($G462="","",IF(AND($G462&gt;=30,$AT$3&lt;=CK$7),ROUND(CK462*($AP$3+#REF!),-1),""))</f>
        <v/>
      </c>
      <c r="CM462" s="503" t="s">
        <v>621</v>
      </c>
      <c r="CN462" s="503" t="str">
        <f>IF($G462="","",IF(AND($G462&gt;=30,$AT$3&lt;=CM$7),ROUND(CM462*($AP$3+#REF!),-1),""))</f>
        <v/>
      </c>
      <c r="CO462" s="503" t="s">
        <v>621</v>
      </c>
      <c r="CP462" s="503" t="str">
        <f>IF($G462="","",IF(AND($G462&gt;=30,$AT$3&lt;=CO$7),ROUND(CO462*($AP$3+#REF!),-1),""))</f>
        <v/>
      </c>
      <c r="CQ462" s="503" t="s">
        <v>621</v>
      </c>
      <c r="CR462" s="503" t="str">
        <f>IF($G462="","",IF(AND($G462&gt;=30,$AT$3&lt;=CQ$7),ROUND(CQ462*($AP$3+#REF!),-1),""))</f>
        <v/>
      </c>
      <c r="CS462" s="503" t="s">
        <v>621</v>
      </c>
      <c r="CT462" s="503" t="str">
        <f>IF($G462="","",IF(AND($G462&gt;=30,$AT$3&lt;=CS$7),ROUND(CS462*($AP$3+#REF!),-1),""))</f>
        <v/>
      </c>
      <c r="CU462" s="503" t="s">
        <v>621</v>
      </c>
      <c r="CV462" s="503" t="str">
        <f>IF($G462="","",IF(AND($G462&gt;=30,$AT$3&lt;=CU$7),ROUND(CU462*($AP$3+#REF!),-1),""))</f>
        <v/>
      </c>
      <c r="CW462" s="503" t="s">
        <v>621</v>
      </c>
      <c r="CX462" s="503" t="str">
        <f>IF($G462="","",IF(AND($G462&gt;=30,$AT$3&lt;=CW$7),ROUND(CW462*($AP$3+#REF!),-1),""))</f>
        <v/>
      </c>
      <c r="CY462" s="503" t="s">
        <v>621</v>
      </c>
      <c r="CZ462" s="503" t="str">
        <f>IF($G462="","",IF(AND($G462&gt;=30,$AT$3&lt;=CY$7),ROUND(CY462*($AP$3+#REF!),-1),""))</f>
        <v/>
      </c>
      <c r="DA462" s="503" t="s">
        <v>621</v>
      </c>
      <c r="DB462" s="503" t="str">
        <f>IF($G462="","",IF(AND($G462&gt;=30,$AT$3&lt;=DA$7),ROUND(DA462*($AP$3+#REF!),-1),""))</f>
        <v/>
      </c>
      <c r="DC462" s="517" t="e">
        <v>#REF!</v>
      </c>
      <c r="DD462" s="503" t="str">
        <f>IF($G462="","",IF(AND($G462&gt;=30,$AT$3&lt;=DC$7),ROUND(DC462*($AP$3+#REF!),-1),""))</f>
        <v/>
      </c>
      <c r="DE462" s="517"/>
      <c r="DF462" s="503" t="str">
        <f>IF($G462="","",IF(AND($G462&gt;=30,$AT$3&lt;=DE$7),ROUND(DE462*($AP$3+#REF!),-1),""))</f>
        <v/>
      </c>
      <c r="DG462" s="517"/>
      <c r="DH462" s="503" t="str">
        <f>IF($G462="","",IF(AND($G462&gt;=30,$AT$3&lt;=DG$7),ROUND(DG462*($AP$3+#REF!),-1),""))</f>
        <v/>
      </c>
      <c r="DI462" s="517"/>
      <c r="DJ462" s="503" t="str">
        <f>IF($G462="","",IF(AND($G462&gt;=30,$AT$3&lt;=DI$7),ROUND(DI462*($AP$3+#REF!),-1),""))</f>
        <v/>
      </c>
      <c r="DK462" s="517"/>
      <c r="DL462" s="503" t="str">
        <f>IF($G462="","",IF(AND($G462&gt;=30,$AT$3&lt;=DK$7),ROUND(DK462*($AP$3+#REF!),-1),""))</f>
        <v/>
      </c>
      <c r="DM462" s="517"/>
      <c r="DN462" s="503" t="str">
        <f>IF($G462="","",IF(AND($G462&gt;=30,$AT$3&lt;=DM$7),ROUND(DM462*($AP$3+#REF!),-1),""))</f>
        <v/>
      </c>
      <c r="DO462" s="517"/>
      <c r="DP462" s="503" t="str">
        <f>IF($G462="","",IF(AND($G462&gt;=30,$AT$3&lt;=DO$7),ROUND(DO462*($AP$3+#REF!),-1),""))</f>
        <v/>
      </c>
      <c r="DQ462" s="517"/>
      <c r="DR462" s="503" t="str">
        <f>IF($G462="","",IF(AND($G462&gt;=30,$AT$3&lt;=DQ$7),ROUND(DQ462*($AP$3+#REF!),-1),""))</f>
        <v/>
      </c>
      <c r="DS462" s="517"/>
      <c r="DT462" s="503" t="str">
        <f>IF($G462="","",IF(AND($G462&gt;=30,$AT$3&lt;=DS$7),ROUND(DS462*($AP$3+#REF!),-1),""))</f>
        <v/>
      </c>
      <c r="DU462" s="517"/>
      <c r="DV462" s="503" t="str">
        <f>IF($G462="","",IF(AND($G462&gt;=30,$AT$3&lt;=DU$7),ROUND(DU462*($AP$3+#REF!),-1),""))</f>
        <v/>
      </c>
      <c r="DW462" s="517"/>
      <c r="DX462" s="503" t="str">
        <f>IF($G462="","",IF(AND($G462&gt;=30,$AT$3&lt;=DW$7),ROUND(DW462*($AP$3+#REF!),-1),""))</f>
        <v/>
      </c>
      <c r="DY462" s="517"/>
      <c r="DZ462" s="503" t="str">
        <f>IF($G462="","",IF(AND($G462&gt;=30,$AT$3&lt;=DY$7),ROUND(DY462*($AP$3+#REF!),-1),""))</f>
        <v/>
      </c>
      <c r="EA462" s="517"/>
      <c r="EB462" s="503" t="str">
        <f>IF($G462="","",IF(AND($G462&gt;=30,$AT$3&lt;=EA$7),ROUND(EA462*($AP$3+#REF!),-1),""))</f>
        <v/>
      </c>
      <c r="EC462" s="504" t="s">
        <v>621</v>
      </c>
      <c r="ED462" s="1124"/>
      <c r="EE462" s="325">
        <v>10</v>
      </c>
    </row>
    <row r="463" spans="1:135" ht="9.75" customHeight="1">
      <c r="A463" s="321" t="str">
        <f t="shared" si="110"/>
        <v/>
      </c>
      <c r="B463" s="567">
        <f>(ii!$D$13*12+V463)+1</f>
        <v>357</v>
      </c>
      <c r="C463" s="337">
        <f t="shared" si="114"/>
        <v>56218</v>
      </c>
      <c r="D463" s="484">
        <f t="shared" si="103"/>
        <v>2053</v>
      </c>
      <c r="E463" s="484">
        <f t="shared" si="115"/>
        <v>0.91666666666666663</v>
      </c>
      <c r="F463" s="484">
        <f t="shared" si="104"/>
        <v>2053.9166666666665</v>
      </c>
      <c r="G463" s="485" t="str">
        <f>IF(OR(C463&lt;$I$2,C463&gt;$J$3),"",(ii!$D$13*12+V463+1)/12)</f>
        <v/>
      </c>
      <c r="H463" s="486"/>
      <c r="I463" s="486"/>
      <c r="J463" s="487"/>
      <c r="K463" s="488"/>
      <c r="L463" s="548"/>
      <c r="M463" s="489" t="str">
        <f t="shared" si="105"/>
        <v/>
      </c>
      <c r="N463" s="490" t="s">
        <v>621</v>
      </c>
      <c r="O463" s="490" t="str">
        <f t="shared" si="112"/>
        <v/>
      </c>
      <c r="P463" s="491"/>
      <c r="Q463" s="491"/>
      <c r="R463" s="491" t="str">
        <f t="shared" si="113"/>
        <v/>
      </c>
      <c r="S463" s="528" t="str">
        <f t="shared" si="111"/>
        <v/>
      </c>
      <c r="T463" s="528" t="str">
        <f t="shared" si="109"/>
        <v/>
      </c>
      <c r="U463" s="493" t="str">
        <f>IF(H463="","",#REF!*12+#REF!+#REF!*12+#REF!)</f>
        <v/>
      </c>
      <c r="V463" s="338">
        <f>IF(ii!$J$3&gt;gg!C463,"",IF(AND((YEAR(C463)=YEAR($I$2)),MONTH(C463)=MONTH($I$2)),ii!$B$14*12+ii!$C$14+ii!$B$15*12+ii!$C$15-1,V462+1))</f>
        <v>356</v>
      </c>
      <c r="W463" s="339">
        <f t="shared" si="102"/>
        <v>29.666666666666668</v>
      </c>
      <c r="X463" s="494" t="s">
        <v>621</v>
      </c>
      <c r="Y463" s="495" t="s">
        <v>621</v>
      </c>
      <c r="Z463" s="496"/>
      <c r="AA463" s="497"/>
      <c r="AB463" s="498" t="e">
        <f t="shared" si="108"/>
        <v>#VALUE!</v>
      </c>
      <c r="AC463" s="484" t="str">
        <f t="shared" si="106"/>
        <v/>
      </c>
      <c r="AD463" s="495" t="str">
        <f t="shared" si="107"/>
        <v/>
      </c>
      <c r="AE463" s="499" t="s">
        <v>621</v>
      </c>
      <c r="AF463" s="500" t="s">
        <v>621</v>
      </c>
      <c r="AG463" s="556" t="s">
        <v>621</v>
      </c>
      <c r="AH463" s="503" t="str">
        <f>IF($G463="","",IF(AND($G463&gt;=30,$AT$3&lt;=AG$7),ROUND(AG463*($AP$3+#REF!),-1),""))</f>
        <v/>
      </c>
      <c r="AI463" s="506" t="s">
        <v>621</v>
      </c>
      <c r="AJ463" s="503" t="str">
        <f>IF($G463="","",IF(AND($G463&gt;=30,$AT$3&lt;=AI$7),ROUND(AI463*($AP$3+#REF!),-1),""))</f>
        <v/>
      </c>
      <c r="AK463" s="506" t="s">
        <v>621</v>
      </c>
      <c r="AL463" s="503" t="str">
        <f>IF($G463="","",IF(AND($G463&gt;=30,$AT$3&lt;=AK$7),ROUND(AK463*($AP$3+#REF!),-1),""))</f>
        <v/>
      </c>
      <c r="AM463" s="506" t="s">
        <v>621</v>
      </c>
      <c r="AN463" s="503" t="str">
        <f>IF($G463="","",IF(AND($G463&gt;=30,$AT$3&lt;=AM$7),ROUND(AM463*($AP$3+#REF!),-1),""))</f>
        <v/>
      </c>
      <c r="AO463" s="503" t="e">
        <v>#REF!</v>
      </c>
      <c r="AP463" s="503" t="str">
        <f>IF($G463="","",IF(AND($G463&gt;=30,$AT$3&lt;=AO$7),ROUND(AO463*($AP$3+#REF!),-1),""))</f>
        <v/>
      </c>
      <c r="AQ463" s="503" t="s">
        <v>621</v>
      </c>
      <c r="AR463" s="503" t="str">
        <f>IF($G463="","",IF(AND($G463&gt;=30,$AT$3&lt;=AQ$7),ROUND(AQ463*($AP$3+#REF!),-1),""))</f>
        <v/>
      </c>
      <c r="AS463" s="503" t="s">
        <v>621</v>
      </c>
      <c r="AT463" s="503" t="str">
        <f>IF($G463="","",IF(AND($G463&gt;=30,$AT$3&lt;=AS$7),ROUND(AS463*($AP$3+#REF!),-1),""))</f>
        <v/>
      </c>
      <c r="AU463" s="503" t="s">
        <v>621</v>
      </c>
      <c r="AV463" s="503" t="str">
        <f>IF($G463="","",IF(AND($G463&gt;=30,$AT$3&lt;=AU$7),ROUND(AU463*($AP$3+#REF!),-1),""))</f>
        <v/>
      </c>
      <c r="AW463" s="503" t="s">
        <v>621</v>
      </c>
      <c r="AX463" s="503" t="str">
        <f>IF($G463="","",IF(AND($G463&gt;=30,$AT$3&lt;=AW$7),ROUND(AW463*($AP$3+#REF!),-1),""))</f>
        <v/>
      </c>
      <c r="AY463" s="503" t="s">
        <v>621</v>
      </c>
      <c r="AZ463" s="503" t="str">
        <f>IF($G463="","",IF(AND($G463&gt;=30,$AT$3&lt;=AY$7),ROUND(AY463*($AP$3+#REF!),-1),""))</f>
        <v/>
      </c>
      <c r="BA463" s="503" t="s">
        <v>621</v>
      </c>
      <c r="BB463" s="503" t="str">
        <f>IF($G463="","",IF(AND($G463&gt;=30,$AT$3&lt;=BA$7),ROUND(BA463*($AP$3+#REF!),-1),""))</f>
        <v/>
      </c>
      <c r="BC463" s="503" t="s">
        <v>621</v>
      </c>
      <c r="BD463" s="503" t="str">
        <f>IF($G463="","",IF(AND($G463&gt;=30,$AT$3&lt;=BC$7),ROUND(BC463*($AP$3+#REF!),-1),""))</f>
        <v/>
      </c>
      <c r="BE463" s="503" t="s">
        <v>621</v>
      </c>
      <c r="BF463" s="503" t="str">
        <f>IF($G463="","",IF(AND($G463&gt;=30,$AT$3&lt;=BE$7),ROUND(BE463*($AP$3+#REF!),-1),""))</f>
        <v/>
      </c>
      <c r="BG463" s="503" t="s">
        <v>621</v>
      </c>
      <c r="BH463" s="503" t="str">
        <f>IF($G463="","",IF(AND($G463&gt;=30,$AT$3&lt;=BG$7),ROUND(BG463*($AP$3+#REF!),-1),""))</f>
        <v/>
      </c>
      <c r="BI463" s="503" t="s">
        <v>621</v>
      </c>
      <c r="BJ463" s="503" t="str">
        <f>IF($G463="","",IF(AND($G463&gt;=30,$AT$3&lt;=BI$7),ROUND(BI463*($AP$3+#REF!),-1),""))</f>
        <v/>
      </c>
      <c r="BK463" s="503" t="s">
        <v>621</v>
      </c>
      <c r="BL463" s="503" t="str">
        <f>IF($G463="","",IF(AND($G463&gt;=30,$AT$3&lt;=BK$7),ROUND(BK463*($AP$3+#REF!),-1),""))</f>
        <v/>
      </c>
      <c r="BM463" s="503" t="s">
        <v>621</v>
      </c>
      <c r="BN463" s="503" t="str">
        <f>IF($G463="","",IF(AND($G463&gt;=30,$AT$3&lt;=BM$7),ROUND(BM463*($AP$3+#REF!),-1),""))</f>
        <v/>
      </c>
      <c r="BO463" s="503" t="s">
        <v>621</v>
      </c>
      <c r="BP463" s="503" t="str">
        <f>IF($G463="","",IF(AND($G463&gt;=30,$AT$3&lt;=BO$7),ROUND(BO463*($AP$3+#REF!),-1),""))</f>
        <v/>
      </c>
      <c r="BQ463" s="503" t="s">
        <v>621</v>
      </c>
      <c r="BR463" s="503" t="str">
        <f>IF($G463="","",IF(AND($G463&gt;=30,$AT$3&lt;=BQ$7),ROUND(BQ463*($AP$3+#REF!),-1),""))</f>
        <v/>
      </c>
      <c r="BS463" s="503" t="s">
        <v>621</v>
      </c>
      <c r="BT463" s="503" t="str">
        <f>IF($G463="","",IF(AND($G463&gt;=30,$AT$3&lt;=BS$7),ROUND(BS463*($AP$3+#REF!),-1),""))</f>
        <v/>
      </c>
      <c r="BU463" s="503" t="s">
        <v>621</v>
      </c>
      <c r="BV463" s="503" t="str">
        <f>IF($G463="","",IF(AND($G463&gt;=30,$AT$3&lt;=BU$7),ROUND(BU463*($AP$3+#REF!),-1),""))</f>
        <v/>
      </c>
      <c r="BW463" s="503" t="s">
        <v>621</v>
      </c>
      <c r="BX463" s="503" t="str">
        <f>IF($G463="","",IF(AND($G463&gt;=30,$AT$3&lt;=BW$7),ROUND(BW463*($AP$3+#REF!),-1),""))</f>
        <v/>
      </c>
      <c r="BY463" s="503" t="s">
        <v>621</v>
      </c>
      <c r="BZ463" s="503" t="str">
        <f>IF($G463="","",IF(AND($G463&gt;=30,$AT$3&lt;=BY$7),ROUND(BY463*($AP$3+#REF!),-1),""))</f>
        <v/>
      </c>
      <c r="CA463" s="503" t="s">
        <v>621</v>
      </c>
      <c r="CB463" s="503" t="str">
        <f>IF($G463="","",IF(AND($G463&gt;=30,$AT$3&lt;=CA$7),ROUND(CA463*($AP$3+#REF!),-1),""))</f>
        <v/>
      </c>
      <c r="CC463" s="503" t="s">
        <v>621</v>
      </c>
      <c r="CD463" s="503" t="str">
        <f>IF($G463="","",IF(AND($G463&gt;=30,$AT$3&lt;=CC$7),ROUND(CC463*($AP$3+#REF!),-1),""))</f>
        <v/>
      </c>
      <c r="CE463" s="503" t="s">
        <v>621</v>
      </c>
      <c r="CF463" s="503" t="str">
        <f>IF($G463="","",IF(AND($G463&gt;=30,$AT$3&lt;=CE$7),ROUND(CE463*($AP$3+#REF!),-1),""))</f>
        <v/>
      </c>
      <c r="CG463" s="503" t="s">
        <v>621</v>
      </c>
      <c r="CH463" s="503" t="str">
        <f>IF($G463="","",IF(AND($G463&gt;=30,$AT$3&lt;=CG$7),ROUND(CG463*($AP$3+#REF!),-1),""))</f>
        <v/>
      </c>
      <c r="CI463" s="503" t="s">
        <v>621</v>
      </c>
      <c r="CJ463" s="503" t="str">
        <f>IF($G463="","",IF(AND($G463&gt;=30,$AT$3&lt;=CI$7),ROUND(CI463*($AP$3+#REF!),-1),""))</f>
        <v/>
      </c>
      <c r="CK463" s="503" t="s">
        <v>621</v>
      </c>
      <c r="CL463" s="503" t="str">
        <f>IF($G463="","",IF(AND($G463&gt;=30,$AT$3&lt;=CK$7),ROUND(CK463*($AP$3+#REF!),-1),""))</f>
        <v/>
      </c>
      <c r="CM463" s="503" t="s">
        <v>621</v>
      </c>
      <c r="CN463" s="503" t="str">
        <f>IF($G463="","",IF(AND($G463&gt;=30,$AT$3&lt;=CM$7),ROUND(CM463*($AP$3+#REF!),-1),""))</f>
        <v/>
      </c>
      <c r="CO463" s="503" t="s">
        <v>621</v>
      </c>
      <c r="CP463" s="503" t="str">
        <f>IF($G463="","",IF(AND($G463&gt;=30,$AT$3&lt;=CO$7),ROUND(CO463*($AP$3+#REF!),-1),""))</f>
        <v/>
      </c>
      <c r="CQ463" s="503" t="s">
        <v>621</v>
      </c>
      <c r="CR463" s="503" t="str">
        <f>IF($G463="","",IF(AND($G463&gt;=30,$AT$3&lt;=CQ$7),ROUND(CQ463*($AP$3+#REF!),-1),""))</f>
        <v/>
      </c>
      <c r="CS463" s="503" t="s">
        <v>621</v>
      </c>
      <c r="CT463" s="503" t="str">
        <f>IF($G463="","",IF(AND($G463&gt;=30,$AT$3&lt;=CS$7),ROUND(CS463*($AP$3+#REF!),-1),""))</f>
        <v/>
      </c>
      <c r="CU463" s="503" t="s">
        <v>621</v>
      </c>
      <c r="CV463" s="503" t="str">
        <f>IF($G463="","",IF(AND($G463&gt;=30,$AT$3&lt;=CU$7),ROUND(CU463*($AP$3+#REF!),-1),""))</f>
        <v/>
      </c>
      <c r="CW463" s="503" t="s">
        <v>621</v>
      </c>
      <c r="CX463" s="503" t="str">
        <f>IF($G463="","",IF(AND($G463&gt;=30,$AT$3&lt;=CW$7),ROUND(CW463*($AP$3+#REF!),-1),""))</f>
        <v/>
      </c>
      <c r="CY463" s="503" t="s">
        <v>621</v>
      </c>
      <c r="CZ463" s="503" t="str">
        <f>IF($G463="","",IF(AND($G463&gt;=30,$AT$3&lt;=CY$7),ROUND(CY463*($AP$3+#REF!),-1),""))</f>
        <v/>
      </c>
      <c r="DA463" s="503" t="s">
        <v>621</v>
      </c>
      <c r="DB463" s="503" t="str">
        <f>IF($G463="","",IF(AND($G463&gt;=30,$AT$3&lt;=DA$7),ROUND(DA463*($AP$3+#REF!),-1),""))</f>
        <v/>
      </c>
      <c r="DC463" s="517" t="e">
        <v>#REF!</v>
      </c>
      <c r="DD463" s="503" t="str">
        <f>IF($G463="","",IF(AND($G463&gt;=30,$AT$3&lt;=DC$7),ROUND(DC463*($AP$3+#REF!),-1),""))</f>
        <v/>
      </c>
      <c r="DE463" s="517"/>
      <c r="DF463" s="503" t="str">
        <f>IF($G463="","",IF(AND($G463&gt;=30,$AT$3&lt;=DE$7),ROUND(DE463*($AP$3+#REF!),-1),""))</f>
        <v/>
      </c>
      <c r="DG463" s="517"/>
      <c r="DH463" s="503" t="str">
        <f>IF($G463="","",IF(AND($G463&gt;=30,$AT$3&lt;=DG$7),ROUND(DG463*($AP$3+#REF!),-1),""))</f>
        <v/>
      </c>
      <c r="DI463" s="517"/>
      <c r="DJ463" s="503" t="str">
        <f>IF($G463="","",IF(AND($G463&gt;=30,$AT$3&lt;=DI$7),ROUND(DI463*($AP$3+#REF!),-1),""))</f>
        <v/>
      </c>
      <c r="DK463" s="517"/>
      <c r="DL463" s="503" t="str">
        <f>IF($G463="","",IF(AND($G463&gt;=30,$AT$3&lt;=DK$7),ROUND(DK463*($AP$3+#REF!),-1),""))</f>
        <v/>
      </c>
      <c r="DM463" s="517"/>
      <c r="DN463" s="503" t="str">
        <f>IF($G463="","",IF(AND($G463&gt;=30,$AT$3&lt;=DM$7),ROUND(DM463*($AP$3+#REF!),-1),""))</f>
        <v/>
      </c>
      <c r="DO463" s="517"/>
      <c r="DP463" s="503" t="str">
        <f>IF($G463="","",IF(AND($G463&gt;=30,$AT$3&lt;=DO$7),ROUND(DO463*($AP$3+#REF!),-1),""))</f>
        <v/>
      </c>
      <c r="DQ463" s="517"/>
      <c r="DR463" s="503" t="str">
        <f>IF($G463="","",IF(AND($G463&gt;=30,$AT$3&lt;=DQ$7),ROUND(DQ463*($AP$3+#REF!),-1),""))</f>
        <v/>
      </c>
      <c r="DS463" s="517"/>
      <c r="DT463" s="503" t="str">
        <f>IF($G463="","",IF(AND($G463&gt;=30,$AT$3&lt;=DS$7),ROUND(DS463*($AP$3+#REF!),-1),""))</f>
        <v/>
      </c>
      <c r="DU463" s="517"/>
      <c r="DV463" s="503" t="str">
        <f>IF($G463="","",IF(AND($G463&gt;=30,$AT$3&lt;=DU$7),ROUND(DU463*($AP$3+#REF!),-1),""))</f>
        <v/>
      </c>
      <c r="DW463" s="517"/>
      <c r="DX463" s="503" t="str">
        <f>IF($G463="","",IF(AND($G463&gt;=30,$AT$3&lt;=DW$7),ROUND(DW463*($AP$3+#REF!),-1),""))</f>
        <v/>
      </c>
      <c r="DY463" s="517"/>
      <c r="DZ463" s="503" t="str">
        <f>IF($G463="","",IF(AND($G463&gt;=30,$AT$3&lt;=DY$7),ROUND(DY463*($AP$3+#REF!),-1),""))</f>
        <v/>
      </c>
      <c r="EA463" s="517"/>
      <c r="EB463" s="503" t="str">
        <f>IF($G463="","",IF(AND($G463&gt;=30,$AT$3&lt;=EA$7),ROUND(EA463*($AP$3+#REF!),-1),""))</f>
        <v/>
      </c>
      <c r="EC463" s="504" t="s">
        <v>621</v>
      </c>
      <c r="ED463" s="1124"/>
      <c r="EE463" s="325">
        <v>11</v>
      </c>
    </row>
    <row r="464" spans="1:135" ht="9.75" customHeight="1">
      <c r="A464" s="321" t="str">
        <f t="shared" si="110"/>
        <v/>
      </c>
      <c r="B464" s="567">
        <f>(ii!$D$13*12+V464)+1</f>
        <v>358</v>
      </c>
      <c r="C464" s="337">
        <f t="shared" si="114"/>
        <v>56249</v>
      </c>
      <c r="D464" s="484">
        <f t="shared" si="103"/>
        <v>2053</v>
      </c>
      <c r="E464" s="484">
        <f t="shared" si="115"/>
        <v>1</v>
      </c>
      <c r="F464" s="484">
        <f t="shared" si="104"/>
        <v>2054</v>
      </c>
      <c r="G464" s="485" t="str">
        <f>IF(OR(C464&lt;$I$2,C464&gt;$J$3),"",(ii!$D$13*12+V464+1)/12)</f>
        <v/>
      </c>
      <c r="H464" s="486"/>
      <c r="I464" s="486"/>
      <c r="J464" s="487"/>
      <c r="K464" s="488"/>
      <c r="L464" s="548"/>
      <c r="M464" s="489" t="str">
        <f t="shared" si="105"/>
        <v/>
      </c>
      <c r="N464" s="490" t="s">
        <v>621</v>
      </c>
      <c r="O464" s="490" t="str">
        <f t="shared" si="112"/>
        <v/>
      </c>
      <c r="P464" s="491"/>
      <c r="Q464" s="491"/>
      <c r="R464" s="491" t="str">
        <f t="shared" si="113"/>
        <v/>
      </c>
      <c r="S464" s="528" t="str">
        <f t="shared" si="111"/>
        <v/>
      </c>
      <c r="T464" s="528" t="str">
        <f t="shared" si="109"/>
        <v/>
      </c>
      <c r="U464" s="493" t="str">
        <f>IF(H464="","",#REF!*12+#REF!+#REF!*12+#REF!)</f>
        <v/>
      </c>
      <c r="V464" s="338">
        <f>IF(ii!$J$3&gt;gg!C464,"",IF(AND((YEAR(C464)=YEAR($I$2)),MONTH(C464)=MONTH($I$2)),ii!$B$14*12+ii!$C$14+ii!$B$15*12+ii!$C$15-1,V463+1))</f>
        <v>357</v>
      </c>
      <c r="W464" s="339">
        <f t="shared" si="102"/>
        <v>29.75</v>
      </c>
      <c r="X464" s="494" t="s">
        <v>621</v>
      </c>
      <c r="Y464" s="495" t="s">
        <v>621</v>
      </c>
      <c r="Z464" s="496"/>
      <c r="AA464" s="497"/>
      <c r="AB464" s="498" t="e">
        <f t="shared" si="108"/>
        <v>#VALUE!</v>
      </c>
      <c r="AC464" s="484" t="str">
        <f t="shared" si="106"/>
        <v/>
      </c>
      <c r="AD464" s="495" t="str">
        <f t="shared" si="107"/>
        <v/>
      </c>
      <c r="AE464" s="499" t="s">
        <v>621</v>
      </c>
      <c r="AF464" s="500" t="s">
        <v>621</v>
      </c>
      <c r="AG464" s="556" t="s">
        <v>621</v>
      </c>
      <c r="AH464" s="503" t="str">
        <f>IF($G464="","",IF(AND($G464&gt;=30,$AT$3&lt;=AG$7),ROUND(AG464*($AP$3+#REF!),-1),""))</f>
        <v/>
      </c>
      <c r="AI464" s="506" t="s">
        <v>621</v>
      </c>
      <c r="AJ464" s="503" t="str">
        <f>IF($G464="","",IF(AND($G464&gt;=30,$AT$3&lt;=AI$7),ROUND(AI464*($AP$3+#REF!),-1),""))</f>
        <v/>
      </c>
      <c r="AK464" s="506" t="s">
        <v>621</v>
      </c>
      <c r="AL464" s="503" t="str">
        <f>IF($G464="","",IF(AND($G464&gt;=30,$AT$3&lt;=AK$7),ROUND(AK464*($AP$3+#REF!),-1),""))</f>
        <v/>
      </c>
      <c r="AM464" s="506" t="s">
        <v>621</v>
      </c>
      <c r="AN464" s="503" t="str">
        <f>IF($G464="","",IF(AND($G464&gt;=30,$AT$3&lt;=AM$7),ROUND(AM464*($AP$3+#REF!),-1),""))</f>
        <v/>
      </c>
      <c r="AO464" s="503" t="e">
        <v>#REF!</v>
      </c>
      <c r="AP464" s="503" t="str">
        <f>IF($G464="","",IF(AND($G464&gt;=30,$AT$3&lt;=AO$7),ROUND(AO464*($AP$3+#REF!),-1),""))</f>
        <v/>
      </c>
      <c r="AQ464" s="503" t="s">
        <v>621</v>
      </c>
      <c r="AR464" s="503" t="str">
        <f>IF($G464="","",IF(AND($G464&gt;=30,$AT$3&lt;=AQ$7),ROUND(AQ464*($AP$3+#REF!),-1),""))</f>
        <v/>
      </c>
      <c r="AS464" s="503" t="s">
        <v>621</v>
      </c>
      <c r="AT464" s="503" t="str">
        <f>IF($G464="","",IF(AND($G464&gt;=30,$AT$3&lt;=AS$7),ROUND(AS464*($AP$3+#REF!),-1),""))</f>
        <v/>
      </c>
      <c r="AU464" s="503" t="s">
        <v>621</v>
      </c>
      <c r="AV464" s="503" t="str">
        <f>IF($G464="","",IF(AND($G464&gt;=30,$AT$3&lt;=AU$7),ROUND(AU464*($AP$3+#REF!),-1),""))</f>
        <v/>
      </c>
      <c r="AW464" s="503" t="s">
        <v>621</v>
      </c>
      <c r="AX464" s="503" t="str">
        <f>IF($G464="","",IF(AND($G464&gt;=30,$AT$3&lt;=AW$7),ROUND(AW464*($AP$3+#REF!),-1),""))</f>
        <v/>
      </c>
      <c r="AY464" s="503" t="s">
        <v>621</v>
      </c>
      <c r="AZ464" s="503" t="str">
        <f>IF($G464="","",IF(AND($G464&gt;=30,$AT$3&lt;=AY$7),ROUND(AY464*($AP$3+#REF!),-1),""))</f>
        <v/>
      </c>
      <c r="BA464" s="503" t="s">
        <v>621</v>
      </c>
      <c r="BB464" s="503" t="str">
        <f>IF($G464="","",IF(AND($G464&gt;=30,$AT$3&lt;=BA$7),ROUND(BA464*($AP$3+#REF!),-1),""))</f>
        <v/>
      </c>
      <c r="BC464" s="503" t="s">
        <v>621</v>
      </c>
      <c r="BD464" s="503" t="str">
        <f>IF($G464="","",IF(AND($G464&gt;=30,$AT$3&lt;=BC$7),ROUND(BC464*($AP$3+#REF!),-1),""))</f>
        <v/>
      </c>
      <c r="BE464" s="503" t="s">
        <v>621</v>
      </c>
      <c r="BF464" s="503" t="str">
        <f>IF($G464="","",IF(AND($G464&gt;=30,$AT$3&lt;=BE$7),ROUND(BE464*($AP$3+#REF!),-1),""))</f>
        <v/>
      </c>
      <c r="BG464" s="503" t="s">
        <v>621</v>
      </c>
      <c r="BH464" s="503" t="str">
        <f>IF($G464="","",IF(AND($G464&gt;=30,$AT$3&lt;=BG$7),ROUND(BG464*($AP$3+#REF!),-1),""))</f>
        <v/>
      </c>
      <c r="BI464" s="503" t="s">
        <v>621</v>
      </c>
      <c r="BJ464" s="503" t="str">
        <f>IF($G464="","",IF(AND($G464&gt;=30,$AT$3&lt;=BI$7),ROUND(BI464*($AP$3+#REF!),-1),""))</f>
        <v/>
      </c>
      <c r="BK464" s="503" t="s">
        <v>621</v>
      </c>
      <c r="BL464" s="503" t="str">
        <f>IF($G464="","",IF(AND($G464&gt;=30,$AT$3&lt;=BK$7),ROUND(BK464*($AP$3+#REF!),-1),""))</f>
        <v/>
      </c>
      <c r="BM464" s="503" t="s">
        <v>621</v>
      </c>
      <c r="BN464" s="503" t="str">
        <f>IF($G464="","",IF(AND($G464&gt;=30,$AT$3&lt;=BM$7),ROUND(BM464*($AP$3+#REF!),-1),""))</f>
        <v/>
      </c>
      <c r="BO464" s="503" t="s">
        <v>621</v>
      </c>
      <c r="BP464" s="503" t="str">
        <f>IF($G464="","",IF(AND($G464&gt;=30,$AT$3&lt;=BO$7),ROUND(BO464*($AP$3+#REF!),-1),""))</f>
        <v/>
      </c>
      <c r="BQ464" s="503" t="s">
        <v>621</v>
      </c>
      <c r="BR464" s="503" t="str">
        <f>IF($G464="","",IF(AND($G464&gt;=30,$AT$3&lt;=BQ$7),ROUND(BQ464*($AP$3+#REF!),-1),""))</f>
        <v/>
      </c>
      <c r="BS464" s="503" t="s">
        <v>621</v>
      </c>
      <c r="BT464" s="503" t="str">
        <f>IF($G464="","",IF(AND($G464&gt;=30,$AT$3&lt;=BS$7),ROUND(BS464*($AP$3+#REF!),-1),""))</f>
        <v/>
      </c>
      <c r="BU464" s="503" t="s">
        <v>621</v>
      </c>
      <c r="BV464" s="503" t="str">
        <f>IF($G464="","",IF(AND($G464&gt;=30,$AT$3&lt;=BU$7),ROUND(BU464*($AP$3+#REF!),-1),""))</f>
        <v/>
      </c>
      <c r="BW464" s="503" t="s">
        <v>621</v>
      </c>
      <c r="BX464" s="503" t="str">
        <f>IF($G464="","",IF(AND($G464&gt;=30,$AT$3&lt;=BW$7),ROUND(BW464*($AP$3+#REF!),-1),""))</f>
        <v/>
      </c>
      <c r="BY464" s="503" t="s">
        <v>621</v>
      </c>
      <c r="BZ464" s="503" t="str">
        <f>IF($G464="","",IF(AND($G464&gt;=30,$AT$3&lt;=BY$7),ROUND(BY464*($AP$3+#REF!),-1),""))</f>
        <v/>
      </c>
      <c r="CA464" s="503" t="s">
        <v>621</v>
      </c>
      <c r="CB464" s="503" t="str">
        <f>IF($G464="","",IF(AND($G464&gt;=30,$AT$3&lt;=CA$7),ROUND(CA464*($AP$3+#REF!),-1),""))</f>
        <v/>
      </c>
      <c r="CC464" s="503" t="s">
        <v>621</v>
      </c>
      <c r="CD464" s="503" t="str">
        <f>IF($G464="","",IF(AND($G464&gt;=30,$AT$3&lt;=CC$7),ROUND(CC464*($AP$3+#REF!),-1),""))</f>
        <v/>
      </c>
      <c r="CE464" s="503" t="s">
        <v>621</v>
      </c>
      <c r="CF464" s="503" t="str">
        <f>IF($G464="","",IF(AND($G464&gt;=30,$AT$3&lt;=CE$7),ROUND(CE464*($AP$3+#REF!),-1),""))</f>
        <v/>
      </c>
      <c r="CG464" s="503" t="s">
        <v>621</v>
      </c>
      <c r="CH464" s="503" t="str">
        <f>IF($G464="","",IF(AND($G464&gt;=30,$AT$3&lt;=CG$7),ROUND(CG464*($AP$3+#REF!),-1),""))</f>
        <v/>
      </c>
      <c r="CI464" s="503" t="s">
        <v>621</v>
      </c>
      <c r="CJ464" s="503" t="str">
        <f>IF($G464="","",IF(AND($G464&gt;=30,$AT$3&lt;=CI$7),ROUND(CI464*($AP$3+#REF!),-1),""))</f>
        <v/>
      </c>
      <c r="CK464" s="503" t="s">
        <v>621</v>
      </c>
      <c r="CL464" s="503" t="str">
        <f>IF($G464="","",IF(AND($G464&gt;=30,$AT$3&lt;=CK$7),ROUND(CK464*($AP$3+#REF!),-1),""))</f>
        <v/>
      </c>
      <c r="CM464" s="503" t="s">
        <v>621</v>
      </c>
      <c r="CN464" s="503" t="str">
        <f>IF($G464="","",IF(AND($G464&gt;=30,$AT$3&lt;=CM$7),ROUND(CM464*($AP$3+#REF!),-1),""))</f>
        <v/>
      </c>
      <c r="CO464" s="503" t="s">
        <v>621</v>
      </c>
      <c r="CP464" s="503" t="str">
        <f>IF($G464="","",IF(AND($G464&gt;=30,$AT$3&lt;=CO$7),ROUND(CO464*($AP$3+#REF!),-1),""))</f>
        <v/>
      </c>
      <c r="CQ464" s="503" t="s">
        <v>621</v>
      </c>
      <c r="CR464" s="503" t="str">
        <f>IF($G464="","",IF(AND($G464&gt;=30,$AT$3&lt;=CQ$7),ROUND(CQ464*($AP$3+#REF!),-1),""))</f>
        <v/>
      </c>
      <c r="CS464" s="503" t="s">
        <v>621</v>
      </c>
      <c r="CT464" s="503" t="str">
        <f>IF($G464="","",IF(AND($G464&gt;=30,$AT$3&lt;=CS$7),ROUND(CS464*($AP$3+#REF!),-1),""))</f>
        <v/>
      </c>
      <c r="CU464" s="503" t="s">
        <v>621</v>
      </c>
      <c r="CV464" s="503" t="str">
        <f>IF($G464="","",IF(AND($G464&gt;=30,$AT$3&lt;=CU$7),ROUND(CU464*($AP$3+#REF!),-1),""))</f>
        <v/>
      </c>
      <c r="CW464" s="503" t="s">
        <v>621</v>
      </c>
      <c r="CX464" s="503" t="str">
        <f>IF($G464="","",IF(AND($G464&gt;=30,$AT$3&lt;=CW$7),ROUND(CW464*($AP$3+#REF!),-1),""))</f>
        <v/>
      </c>
      <c r="CY464" s="503" t="s">
        <v>621</v>
      </c>
      <c r="CZ464" s="503" t="str">
        <f>IF($G464="","",IF(AND($G464&gt;=30,$AT$3&lt;=CY$7),ROUND(CY464*($AP$3+#REF!),-1),""))</f>
        <v/>
      </c>
      <c r="DA464" s="503" t="s">
        <v>621</v>
      </c>
      <c r="DB464" s="503" t="str">
        <f>IF($G464="","",IF(AND($G464&gt;=30,$AT$3&lt;=DA$7),ROUND(DA464*($AP$3+#REF!),-1),""))</f>
        <v/>
      </c>
      <c r="DC464" s="517" t="e">
        <v>#REF!</v>
      </c>
      <c r="DD464" s="503" t="str">
        <f>IF($G464="","",IF(AND($G464&gt;=30,$AT$3&lt;=DC$7),ROUND(DC464*($AP$3+#REF!),-1),""))</f>
        <v/>
      </c>
      <c r="DE464" s="517"/>
      <c r="DF464" s="503" t="str">
        <f>IF($G464="","",IF(AND($G464&gt;=30,$AT$3&lt;=DE$7),ROUND(DE464*($AP$3+#REF!),-1),""))</f>
        <v/>
      </c>
      <c r="DG464" s="517"/>
      <c r="DH464" s="503" t="str">
        <f>IF($G464="","",IF(AND($G464&gt;=30,$AT$3&lt;=DG$7),ROUND(DG464*($AP$3+#REF!),-1),""))</f>
        <v/>
      </c>
      <c r="DI464" s="517"/>
      <c r="DJ464" s="503" t="str">
        <f>IF($G464="","",IF(AND($G464&gt;=30,$AT$3&lt;=DI$7),ROUND(DI464*($AP$3+#REF!),-1),""))</f>
        <v/>
      </c>
      <c r="DK464" s="517"/>
      <c r="DL464" s="503" t="str">
        <f>IF($G464="","",IF(AND($G464&gt;=30,$AT$3&lt;=DK$7),ROUND(DK464*($AP$3+#REF!),-1),""))</f>
        <v/>
      </c>
      <c r="DM464" s="517"/>
      <c r="DN464" s="503" t="str">
        <f>IF($G464="","",IF(AND($G464&gt;=30,$AT$3&lt;=DM$7),ROUND(DM464*($AP$3+#REF!),-1),""))</f>
        <v/>
      </c>
      <c r="DO464" s="517"/>
      <c r="DP464" s="503" t="str">
        <f>IF($G464="","",IF(AND($G464&gt;=30,$AT$3&lt;=DO$7),ROUND(DO464*($AP$3+#REF!),-1),""))</f>
        <v/>
      </c>
      <c r="DQ464" s="517"/>
      <c r="DR464" s="503" t="str">
        <f>IF($G464="","",IF(AND($G464&gt;=30,$AT$3&lt;=DQ$7),ROUND(DQ464*($AP$3+#REF!),-1),""))</f>
        <v/>
      </c>
      <c r="DS464" s="517"/>
      <c r="DT464" s="503" t="str">
        <f>IF($G464="","",IF(AND($G464&gt;=30,$AT$3&lt;=DS$7),ROUND(DS464*($AP$3+#REF!),-1),""))</f>
        <v/>
      </c>
      <c r="DU464" s="517"/>
      <c r="DV464" s="503" t="str">
        <f>IF($G464="","",IF(AND($G464&gt;=30,$AT$3&lt;=DU$7),ROUND(DU464*($AP$3+#REF!),-1),""))</f>
        <v/>
      </c>
      <c r="DW464" s="517"/>
      <c r="DX464" s="503" t="str">
        <f>IF($G464="","",IF(AND($G464&gt;=30,$AT$3&lt;=DW$7),ROUND(DW464*($AP$3+#REF!),-1),""))</f>
        <v/>
      </c>
      <c r="DY464" s="517"/>
      <c r="DZ464" s="503" t="str">
        <f>IF($G464="","",IF(AND($G464&gt;=30,$AT$3&lt;=DY$7),ROUND(DY464*($AP$3+#REF!),-1),""))</f>
        <v/>
      </c>
      <c r="EA464" s="517"/>
      <c r="EB464" s="503" t="str">
        <f>IF($G464="","",IF(AND($G464&gt;=30,$AT$3&lt;=EA$7),ROUND(EA464*($AP$3+#REF!),-1),""))</f>
        <v/>
      </c>
      <c r="EC464" s="504" t="s">
        <v>621</v>
      </c>
      <c r="ED464" s="1125"/>
      <c r="EE464" s="325">
        <v>12</v>
      </c>
    </row>
    <row r="465" spans="1:135" ht="9.75" customHeight="1">
      <c r="A465" s="321" t="str">
        <f t="shared" si="110"/>
        <v/>
      </c>
      <c r="B465" s="567">
        <f>(ii!$D$13*12+V465)+1</f>
        <v>359</v>
      </c>
      <c r="C465" s="345">
        <f t="shared" si="114"/>
        <v>56280</v>
      </c>
      <c r="D465" s="340">
        <f t="shared" si="103"/>
        <v>2054</v>
      </c>
      <c r="E465" s="340">
        <f t="shared" si="115"/>
        <v>8.3333333333333329E-2</v>
      </c>
      <c r="F465" s="340">
        <f t="shared" si="104"/>
        <v>2054.0833333333335</v>
      </c>
      <c r="G465" s="531" t="str">
        <f>IF(OR(C465&lt;$I$2,C465&gt;$J$3),"",(ii!$D$13*12+V465+1)/12)</f>
        <v/>
      </c>
      <c r="H465" s="532"/>
      <c r="I465" s="532"/>
      <c r="J465" s="533"/>
      <c r="K465" s="553"/>
      <c r="L465" s="534"/>
      <c r="M465" s="489" t="str">
        <f t="shared" si="105"/>
        <v/>
      </c>
      <c r="N465" s="536" t="s">
        <v>621</v>
      </c>
      <c r="O465" s="490" t="str">
        <f t="shared" si="112"/>
        <v/>
      </c>
      <c r="P465" s="537"/>
      <c r="Q465" s="537"/>
      <c r="R465" s="533" t="str">
        <f t="shared" si="113"/>
        <v/>
      </c>
      <c r="S465" s="538" t="str">
        <f t="shared" si="111"/>
        <v/>
      </c>
      <c r="T465" s="538" t="str">
        <f t="shared" si="109"/>
        <v/>
      </c>
      <c r="U465" s="539" t="str">
        <f>IF(H465="","",#REF!*12+#REF!+#REF!*12+#REF!)</f>
        <v/>
      </c>
      <c r="V465" s="338">
        <f>IF(ii!$J$3&gt;gg!C465,"",IF(AND((YEAR(C465)=YEAR($I$2)),MONTH(C465)=MONTH($I$2)),ii!$B$14*12+ii!$C$14+ii!$B$15*12+ii!$C$15-1,V464+1))</f>
        <v>358</v>
      </c>
      <c r="W465" s="339">
        <f t="shared" si="102"/>
        <v>29.833333333333332</v>
      </c>
      <c r="X465" s="540" t="s">
        <v>621</v>
      </c>
      <c r="Y465" s="538" t="s">
        <v>621</v>
      </c>
      <c r="Z465" s="541">
        <f>Z453+$Z$26</f>
        <v>1.0800000000000007</v>
      </c>
      <c r="AA465" s="542" t="str">
        <f>IF(Y465="","",(Y465-Y464)/Y464)</f>
        <v/>
      </c>
      <c r="AB465" s="543" t="e">
        <f t="shared" si="108"/>
        <v>#VALUE!</v>
      </c>
      <c r="AC465" s="544" t="str">
        <f t="shared" si="106"/>
        <v/>
      </c>
      <c r="AD465" s="538" t="str">
        <f t="shared" si="107"/>
        <v/>
      </c>
      <c r="AE465" s="545" t="s">
        <v>621</v>
      </c>
      <c r="AF465" s="546" t="s">
        <v>621</v>
      </c>
      <c r="AG465" s="558" t="s">
        <v>621</v>
      </c>
      <c r="AH465" s="547" t="str">
        <f>IF($G465="","",IF(AND($G465&gt;=30,$AT$3&lt;=AG$7),ROUND(AG465*($AP$3+#REF!),-1),""))</f>
        <v/>
      </c>
      <c r="AI465" s="558" t="s">
        <v>621</v>
      </c>
      <c r="AJ465" s="547" t="str">
        <f>IF($G465="","",IF(AND($G465&gt;=30,$AT$3&lt;=AI$7),ROUND(AI465*($AP$3+#REF!),-1),""))</f>
        <v/>
      </c>
      <c r="AK465" s="560" t="s">
        <v>621</v>
      </c>
      <c r="AL465" s="547" t="str">
        <f>IF($G465="","",IF(AND($G465&gt;=30,$AT$3&lt;=AK$7),ROUND(AK465*($AP$3+#REF!),-1),""))</f>
        <v/>
      </c>
      <c r="AM465" s="560" t="s">
        <v>621</v>
      </c>
      <c r="AN465" s="547" t="str">
        <f>IF($G465="","",IF(AND($G465&gt;=30,$AT$3&lt;=AM$7),ROUND(AM465*($AP$3+#REF!),-1),""))</f>
        <v/>
      </c>
      <c r="AO465" s="547" t="e">
        <v>#REF!</v>
      </c>
      <c r="AP465" s="547" t="str">
        <f>IF($G465="","",IF(AND($G465&gt;=30,$AT$3&lt;=AO$7),ROUND(AO465*($AP$3+#REF!),-1),""))</f>
        <v/>
      </c>
      <c r="AQ465" s="547" t="s">
        <v>621</v>
      </c>
      <c r="AR465" s="547" t="str">
        <f>IF($G465="","",IF(AND($G465&gt;=30,$AT$3&lt;=AQ$7),ROUND(AQ465*($AP$3+#REF!),-1),""))</f>
        <v/>
      </c>
      <c r="AS465" s="547" t="s">
        <v>621</v>
      </c>
      <c r="AT465" s="547" t="str">
        <f>IF($G465="","",IF(AND($G465&gt;=30,$AT$3&lt;=AS$7),ROUND(AS465*($AP$3+#REF!),-1),""))</f>
        <v/>
      </c>
      <c r="AU465" s="547" t="s">
        <v>621</v>
      </c>
      <c r="AV465" s="547" t="str">
        <f>IF($G465="","",IF(AND($G465&gt;=30,$AT$3&lt;=AU$7),ROUND(AU465*($AP$3+#REF!),-1),""))</f>
        <v/>
      </c>
      <c r="AW465" s="547" t="s">
        <v>621</v>
      </c>
      <c r="AX465" s="547" t="str">
        <f>IF($G465="","",IF(AND($G465&gt;=30,$AT$3&lt;=AW$7),ROUND(AW465*($AP$3+#REF!),-1),""))</f>
        <v/>
      </c>
      <c r="AY465" s="547" t="s">
        <v>621</v>
      </c>
      <c r="AZ465" s="547" t="str">
        <f>IF($G465="","",IF(AND($G465&gt;=30,$AT$3&lt;=AY$7),ROUND(AY465*($AP$3+#REF!),-1),""))</f>
        <v/>
      </c>
      <c r="BA465" s="547" t="s">
        <v>621</v>
      </c>
      <c r="BB465" s="547" t="str">
        <f>IF($G465="","",IF(AND($G465&gt;=30,$AT$3&lt;=BA$7),ROUND(BA465*($AP$3+#REF!),-1),""))</f>
        <v/>
      </c>
      <c r="BC465" s="547" t="s">
        <v>621</v>
      </c>
      <c r="BD465" s="547" t="str">
        <f>IF($G465="","",IF(AND($G465&gt;=30,$AT$3&lt;=BC$7),ROUND(BC465*($AP$3+#REF!),-1),""))</f>
        <v/>
      </c>
      <c r="BE465" s="547" t="s">
        <v>621</v>
      </c>
      <c r="BF465" s="547" t="str">
        <f>IF($G465="","",IF(AND($G465&gt;=30,$AT$3&lt;=BE$7),ROUND(BE465*($AP$3+#REF!),-1),""))</f>
        <v/>
      </c>
      <c r="BG465" s="547" t="s">
        <v>621</v>
      </c>
      <c r="BH465" s="547" t="str">
        <f>IF($G465="","",IF(AND($G465&gt;=30,$AT$3&lt;=BG$7),ROUND(BG465*($AP$3+#REF!),-1),""))</f>
        <v/>
      </c>
      <c r="BI465" s="547" t="s">
        <v>621</v>
      </c>
      <c r="BJ465" s="547" t="str">
        <f>IF($G465="","",IF(AND($G465&gt;=30,$AT$3&lt;=BI$7),ROUND(BI465*($AP$3+#REF!),-1),""))</f>
        <v/>
      </c>
      <c r="BK465" s="547" t="s">
        <v>621</v>
      </c>
      <c r="BL465" s="547" t="str">
        <f>IF($G465="","",IF(AND($G465&gt;=30,$AT$3&lt;=BK$7),ROUND(BK465*($AP$3+#REF!),-1),""))</f>
        <v/>
      </c>
      <c r="BM465" s="547" t="s">
        <v>621</v>
      </c>
      <c r="BN465" s="547" t="str">
        <f>IF($G465="","",IF(AND($G465&gt;=30,$AT$3&lt;=BM$7),ROUND(BM465*($AP$3+#REF!),-1),""))</f>
        <v/>
      </c>
      <c r="BO465" s="547" t="s">
        <v>621</v>
      </c>
      <c r="BP465" s="547" t="str">
        <f>IF($G465="","",IF(AND($G465&gt;=30,$AT$3&lt;=BO$7),ROUND(BO465*($AP$3+#REF!),-1),""))</f>
        <v/>
      </c>
      <c r="BQ465" s="547" t="s">
        <v>621</v>
      </c>
      <c r="BR465" s="547" t="str">
        <f>IF($G465="","",IF(AND($G465&gt;=30,$AT$3&lt;=BQ$7),ROUND(BQ465*($AP$3+#REF!),-1),""))</f>
        <v/>
      </c>
      <c r="BS465" s="547" t="s">
        <v>621</v>
      </c>
      <c r="BT465" s="547" t="str">
        <f>IF($G465="","",IF(AND($G465&gt;=30,$AT$3&lt;=BS$7),ROUND(BS465*($AP$3+#REF!),-1),""))</f>
        <v/>
      </c>
      <c r="BU465" s="547" t="s">
        <v>621</v>
      </c>
      <c r="BV465" s="547" t="str">
        <f>IF($G465="","",IF(AND($G465&gt;=30,$AT$3&lt;=BU$7),ROUND(BU465*($AP$3+#REF!),-1),""))</f>
        <v/>
      </c>
      <c r="BW465" s="547" t="s">
        <v>621</v>
      </c>
      <c r="BX465" s="547" t="str">
        <f>IF($G465="","",IF(AND($G465&gt;=30,$AT$3&lt;=BW$7),ROUND(BW465*($AP$3+#REF!),-1),""))</f>
        <v/>
      </c>
      <c r="BY465" s="547" t="s">
        <v>621</v>
      </c>
      <c r="BZ465" s="547" t="str">
        <f>IF($G465="","",IF(AND($G465&gt;=30,$AT$3&lt;=BY$7),ROUND(BY465*($AP$3+#REF!),-1),""))</f>
        <v/>
      </c>
      <c r="CA465" s="547" t="s">
        <v>621</v>
      </c>
      <c r="CB465" s="547" t="str">
        <f>IF($G465="","",IF(AND($G465&gt;=30,$AT$3&lt;=CA$7),ROUND(CA465*($AP$3+#REF!),-1),""))</f>
        <v/>
      </c>
      <c r="CC465" s="547" t="s">
        <v>621</v>
      </c>
      <c r="CD465" s="547" t="str">
        <f>IF($G465="","",IF(AND($G465&gt;=30,$AT$3&lt;=CC$7),ROUND(CC465*($AP$3+#REF!),-1),""))</f>
        <v/>
      </c>
      <c r="CE465" s="547" t="s">
        <v>621</v>
      </c>
      <c r="CF465" s="547" t="str">
        <f>IF($G465="","",IF(AND($G465&gt;=30,$AT$3&lt;=CE$7),ROUND(CE465*($AP$3+#REF!),-1),""))</f>
        <v/>
      </c>
      <c r="CG465" s="547" t="s">
        <v>621</v>
      </c>
      <c r="CH465" s="547" t="str">
        <f>IF($G465="","",IF(AND($G465&gt;=30,$AT$3&lt;=CG$7),ROUND(CG465*($AP$3+#REF!),-1),""))</f>
        <v/>
      </c>
      <c r="CI465" s="547" t="s">
        <v>621</v>
      </c>
      <c r="CJ465" s="547" t="str">
        <f>IF($G465="","",IF(AND($G465&gt;=30,$AT$3&lt;=CI$7),ROUND(CI465*($AP$3+#REF!),-1),""))</f>
        <v/>
      </c>
      <c r="CK465" s="547" t="s">
        <v>621</v>
      </c>
      <c r="CL465" s="547" t="str">
        <f>IF($G465="","",IF(AND($G465&gt;=30,$AT$3&lt;=CK$7),ROUND(CK465*($AP$3+#REF!),-1),""))</f>
        <v/>
      </c>
      <c r="CM465" s="547" t="s">
        <v>621</v>
      </c>
      <c r="CN465" s="547" t="str">
        <f>IF($G465="","",IF(AND($G465&gt;=30,$AT$3&lt;=CM$7),ROUND(CM465*($AP$3+#REF!),-1),""))</f>
        <v/>
      </c>
      <c r="CO465" s="547" t="s">
        <v>621</v>
      </c>
      <c r="CP465" s="547" t="str">
        <f>IF($G465="","",IF(AND($G465&gt;=30,$AT$3&lt;=CO$7),ROUND(CO465*($AP$3+#REF!),-1),""))</f>
        <v/>
      </c>
      <c r="CQ465" s="547" t="s">
        <v>621</v>
      </c>
      <c r="CR465" s="547" t="str">
        <f>IF($G465="","",IF(AND($G465&gt;=30,$AT$3&lt;=CQ$7),ROUND(CQ465*($AP$3+#REF!),-1),""))</f>
        <v/>
      </c>
      <c r="CS465" s="547" t="s">
        <v>621</v>
      </c>
      <c r="CT465" s="547" t="str">
        <f>IF($G465="","",IF(AND($G465&gt;=30,$AT$3&lt;=CS$7),ROUND(CS465*($AP$3+#REF!),-1),""))</f>
        <v/>
      </c>
      <c r="CU465" s="547" t="s">
        <v>621</v>
      </c>
      <c r="CV465" s="547" t="str">
        <f>IF($G465="","",IF(AND($G465&gt;=30,$AT$3&lt;=CU$7),ROUND(CU465*($AP$3+#REF!),-1),""))</f>
        <v/>
      </c>
      <c r="CW465" s="547" t="s">
        <v>621</v>
      </c>
      <c r="CX465" s="547" t="str">
        <f>IF($G465="","",IF(AND($G465&gt;=30,$AT$3&lt;=CW$7),ROUND(CW465*($AP$3+#REF!),-1),""))</f>
        <v/>
      </c>
      <c r="CY465" s="547" t="s">
        <v>621</v>
      </c>
      <c r="CZ465" s="547" t="str">
        <f>IF($G465="","",IF(AND($G465&gt;=30,$AT$3&lt;=CY$7),ROUND(CY465*($AP$3+#REF!),-1),""))</f>
        <v/>
      </c>
      <c r="DA465" s="547" t="s">
        <v>621</v>
      </c>
      <c r="DB465" s="547" t="str">
        <f>IF($G465="","",IF(AND($G465&gt;=30,$AT$3&lt;=DA$7),ROUND(DA465*($AP$3+#REF!),-1),""))</f>
        <v/>
      </c>
      <c r="DC465" s="547" t="s">
        <v>621</v>
      </c>
      <c r="DD465" s="547" t="str">
        <f>IF($G465="","",IF(AND($G465&gt;=30,$AT$3&lt;=DC$7),ROUND(DC465*($AP$3+#REF!),-1),""))</f>
        <v/>
      </c>
      <c r="DE465" s="533" t="e">
        <v>#REF!</v>
      </c>
      <c r="DF465" s="547" t="str">
        <f>IF($G465="","",IF(AND($G465&gt;=30,$AT$3&lt;=DE$7),ROUND(DE465*($AP$3+#REF!),-1),""))</f>
        <v/>
      </c>
      <c r="DG465" s="547"/>
      <c r="DH465" s="547" t="str">
        <f>IF($G465="","",IF(AND($G465&gt;=30,$AT$3&lt;=DG$7),ROUND(DG465*($AP$3+#REF!),-1),""))</f>
        <v/>
      </c>
      <c r="DI465" s="547"/>
      <c r="DJ465" s="547" t="str">
        <f>IF($G465="","",IF(AND($G465&gt;=30,$AT$3&lt;=DI$7),ROUND(DI465*($AP$3+#REF!),-1),""))</f>
        <v/>
      </c>
      <c r="DK465" s="547"/>
      <c r="DL465" s="547" t="str">
        <f>IF($G465="","",IF(AND($G465&gt;=30,$AT$3&lt;=DK$7),ROUND(DK465*($AP$3+#REF!),-1),""))</f>
        <v/>
      </c>
      <c r="DM465" s="547"/>
      <c r="DN465" s="547" t="str">
        <f>IF($G465="","",IF(AND($G465&gt;=30,$AT$3&lt;=DM$7),ROUND(DM465*($AP$3+#REF!),-1),""))</f>
        <v/>
      </c>
      <c r="DO465" s="547"/>
      <c r="DP465" s="547" t="str">
        <f>IF($G465="","",IF(AND($G465&gt;=30,$AT$3&lt;=DO$7),ROUND(DO465*($AP$3+#REF!),-1),""))</f>
        <v/>
      </c>
      <c r="DQ465" s="547"/>
      <c r="DR465" s="547" t="str">
        <f>IF($G465="","",IF(AND($G465&gt;=30,$AT$3&lt;=DQ$7),ROUND(DQ465*($AP$3+#REF!),-1),""))</f>
        <v/>
      </c>
      <c r="DS465" s="547"/>
      <c r="DT465" s="547" t="str">
        <f>IF($G465="","",IF(AND($G465&gt;=30,$AT$3&lt;=DS$7),ROUND(DS465*($AP$3+#REF!),-1),""))</f>
        <v/>
      </c>
      <c r="DU465" s="547"/>
      <c r="DV465" s="547" t="str">
        <f>IF($G465="","",IF(AND($G465&gt;=30,$AT$3&lt;=DU$7),ROUND(DU465*($AP$3+#REF!),-1),""))</f>
        <v/>
      </c>
      <c r="DW465" s="547"/>
      <c r="DX465" s="547" t="str">
        <f>IF($G465="","",IF(AND($G465&gt;=30,$AT$3&lt;=DW$7),ROUND(DW465*($AP$3+#REF!),-1),""))</f>
        <v/>
      </c>
      <c r="DY465" s="547"/>
      <c r="DZ465" s="547" t="str">
        <f>IF($G465="","",IF(AND($G465&gt;=30,$AT$3&lt;=DY$7),ROUND(DY465*($AP$3+#REF!),-1),""))</f>
        <v/>
      </c>
      <c r="EA465" s="547"/>
      <c r="EB465" s="547" t="str">
        <f>IF($G465="","",IF(AND($G465&gt;=30,$AT$3&lt;=EA$7),ROUND(EA465*($AP$3+#REF!),-1),""))</f>
        <v/>
      </c>
      <c r="EC465" s="547" t="s">
        <v>621</v>
      </c>
      <c r="ED465" s="1126">
        <f>SUM(EC465:EC476)</f>
        <v>0</v>
      </c>
      <c r="EE465" s="325">
        <v>1</v>
      </c>
    </row>
    <row r="466" spans="1:135" ht="9.75" customHeight="1">
      <c r="A466" s="321" t="str">
        <f t="shared" si="110"/>
        <v/>
      </c>
      <c r="B466" s="567">
        <f>(ii!$D$13*12+V466)+1</f>
        <v>360</v>
      </c>
      <c r="C466" s="337">
        <f t="shared" si="114"/>
        <v>56308</v>
      </c>
      <c r="D466" s="484">
        <f t="shared" si="103"/>
        <v>2054</v>
      </c>
      <c r="E466" s="484">
        <f t="shared" si="115"/>
        <v>0.16666666666666666</v>
      </c>
      <c r="F466" s="484">
        <f t="shared" si="104"/>
        <v>2054.1666666666665</v>
      </c>
      <c r="G466" s="485" t="str">
        <f>IF(OR(C466&lt;$I$2,C466&gt;$J$3),"",(ii!$D$13*12+V466+1)/12)</f>
        <v/>
      </c>
      <c r="H466" s="486"/>
      <c r="I466" s="486"/>
      <c r="J466" s="487"/>
      <c r="K466" s="488"/>
      <c r="L466" s="548"/>
      <c r="M466" s="489" t="str">
        <f t="shared" si="105"/>
        <v/>
      </c>
      <c r="N466" s="490" t="s">
        <v>621</v>
      </c>
      <c r="O466" s="490" t="str">
        <f t="shared" si="112"/>
        <v/>
      </c>
      <c r="P466" s="491"/>
      <c r="Q466" s="491"/>
      <c r="R466" s="491" t="str">
        <f t="shared" si="113"/>
        <v/>
      </c>
      <c r="S466" s="528" t="str">
        <f t="shared" si="111"/>
        <v/>
      </c>
      <c r="T466" s="528" t="str">
        <f t="shared" si="109"/>
        <v/>
      </c>
      <c r="U466" s="493" t="str">
        <f>IF(H466="","",#REF!*12+#REF!+#REF!*12+#REF!)</f>
        <v/>
      </c>
      <c r="V466" s="338">
        <f>IF(ii!$J$3&gt;gg!C466,"",IF(AND((YEAR(C466)=YEAR($I$2)),MONTH(C466)=MONTH($I$2)),ii!$B$14*12+ii!$C$14+ii!$B$15*12+ii!$C$15-1,V465+1))</f>
        <v>359</v>
      </c>
      <c r="W466" s="339">
        <f t="shared" si="102"/>
        <v>29.916666666666668</v>
      </c>
      <c r="X466" s="494" t="s">
        <v>621</v>
      </c>
      <c r="Y466" s="495" t="s">
        <v>621</v>
      </c>
      <c r="Z466" s="496"/>
      <c r="AA466" s="497"/>
      <c r="AB466" s="498" t="e">
        <f t="shared" si="108"/>
        <v>#VALUE!</v>
      </c>
      <c r="AC466" s="484" t="str">
        <f t="shared" si="106"/>
        <v/>
      </c>
      <c r="AD466" s="495" t="str">
        <f t="shared" si="107"/>
        <v/>
      </c>
      <c r="AE466" s="499" t="s">
        <v>621</v>
      </c>
      <c r="AF466" s="500" t="s">
        <v>621</v>
      </c>
      <c r="AG466" s="556" t="s">
        <v>621</v>
      </c>
      <c r="AH466" s="503" t="str">
        <f>IF($G466="","",IF(AND($G466&gt;=30,$AT$3&lt;=AG$7),ROUND(AG466*($AP$3+#REF!),-1),""))</f>
        <v/>
      </c>
      <c r="AI466" s="506" t="s">
        <v>621</v>
      </c>
      <c r="AJ466" s="503" t="str">
        <f>IF($G466="","",IF(AND($G466&gt;=30,$AT$3&lt;=AI$7),ROUND(AI466*($AP$3+#REF!),-1),""))</f>
        <v/>
      </c>
      <c r="AK466" s="506" t="s">
        <v>621</v>
      </c>
      <c r="AL466" s="503" t="str">
        <f>IF($G466="","",IF(AND($G466&gt;=30,$AT$3&lt;=AK$7),ROUND(AK466*($AP$3+#REF!),-1),""))</f>
        <v/>
      </c>
      <c r="AM466" s="506" t="s">
        <v>621</v>
      </c>
      <c r="AN466" s="503" t="str">
        <f>IF($G466="","",IF(AND($G466&gt;=30,$AT$3&lt;=AM$7),ROUND(AM466*($AP$3+#REF!),-1),""))</f>
        <v/>
      </c>
      <c r="AO466" s="503" t="e">
        <f>IF(AO465="","",AO465*1.001)</f>
        <v>#REF!</v>
      </c>
      <c r="AP466" s="503" t="str">
        <f>IF($G466="","",IF(AND($G466&gt;=30,$AT$3&lt;=AO$7),ROUND(AO466*($AP$3+#REF!),-1),""))</f>
        <v/>
      </c>
      <c r="AQ466" s="503" t="s">
        <v>621</v>
      </c>
      <c r="AR466" s="503" t="str">
        <f>IF($G466="","",IF(AND($G466&gt;=30,$AT$3&lt;=AQ$7),ROUND(AQ466*($AP$3+#REF!),-1),""))</f>
        <v/>
      </c>
      <c r="AS466" s="503" t="s">
        <v>621</v>
      </c>
      <c r="AT466" s="503" t="str">
        <f>IF($G466="","",IF(AND($G466&gt;=30,$AT$3&lt;=AS$7),ROUND(AS466*($AP$3+#REF!),-1),""))</f>
        <v/>
      </c>
      <c r="AU466" s="503" t="s">
        <v>621</v>
      </c>
      <c r="AV466" s="503" t="str">
        <f>IF($G466="","",IF(AND($G466&gt;=30,$AT$3&lt;=AU$7),ROUND(AU466*($AP$3+#REF!),-1),""))</f>
        <v/>
      </c>
      <c r="AW466" s="503" t="s">
        <v>621</v>
      </c>
      <c r="AX466" s="503" t="str">
        <f>IF($G466="","",IF(AND($G466&gt;=30,$AT$3&lt;=AW$7),ROUND(AW466*($AP$3+#REF!),-1),""))</f>
        <v/>
      </c>
      <c r="AY466" s="503" t="s">
        <v>621</v>
      </c>
      <c r="AZ466" s="503" t="str">
        <f>IF($G466="","",IF(AND($G466&gt;=30,$AT$3&lt;=AY$7),ROUND(AY466*($AP$3+#REF!),-1),""))</f>
        <v/>
      </c>
      <c r="BA466" s="503" t="s">
        <v>621</v>
      </c>
      <c r="BB466" s="503" t="str">
        <f>IF($G466="","",IF(AND($G466&gt;=30,$AT$3&lt;=BA$7),ROUND(BA466*($AP$3+#REF!),-1),""))</f>
        <v/>
      </c>
      <c r="BC466" s="503" t="s">
        <v>621</v>
      </c>
      <c r="BD466" s="503" t="str">
        <f>IF($G466="","",IF(AND($G466&gt;=30,$AT$3&lt;=BC$7),ROUND(BC466*($AP$3+#REF!),-1),""))</f>
        <v/>
      </c>
      <c r="BE466" s="503" t="s">
        <v>621</v>
      </c>
      <c r="BF466" s="503" t="str">
        <f>IF($G466="","",IF(AND($G466&gt;=30,$AT$3&lt;=BE$7),ROUND(BE466*($AP$3+#REF!),-1),""))</f>
        <v/>
      </c>
      <c r="BG466" s="503" t="s">
        <v>621</v>
      </c>
      <c r="BH466" s="503" t="str">
        <f>IF($G466="","",IF(AND($G466&gt;=30,$AT$3&lt;=BG$7),ROUND(BG466*($AP$3+#REF!),-1),""))</f>
        <v/>
      </c>
      <c r="BI466" s="503" t="s">
        <v>621</v>
      </c>
      <c r="BJ466" s="503" t="str">
        <f>IF($G466="","",IF(AND($G466&gt;=30,$AT$3&lt;=BI$7),ROUND(BI466*($AP$3+#REF!),-1),""))</f>
        <v/>
      </c>
      <c r="BK466" s="503" t="s">
        <v>621</v>
      </c>
      <c r="BL466" s="503" t="str">
        <f>IF($G466="","",IF(AND($G466&gt;=30,$AT$3&lt;=BK$7),ROUND(BK466*($AP$3+#REF!),-1),""))</f>
        <v/>
      </c>
      <c r="BM466" s="503" t="s">
        <v>621</v>
      </c>
      <c r="BN466" s="503" t="str">
        <f>IF($G466="","",IF(AND($G466&gt;=30,$AT$3&lt;=BM$7),ROUND(BM466*($AP$3+#REF!),-1),""))</f>
        <v/>
      </c>
      <c r="BO466" s="503" t="s">
        <v>621</v>
      </c>
      <c r="BP466" s="503" t="str">
        <f>IF($G466="","",IF(AND($G466&gt;=30,$AT$3&lt;=BO$7),ROUND(BO466*($AP$3+#REF!),-1),""))</f>
        <v/>
      </c>
      <c r="BQ466" s="503" t="s">
        <v>621</v>
      </c>
      <c r="BR466" s="503" t="str">
        <f>IF($G466="","",IF(AND($G466&gt;=30,$AT$3&lt;=BQ$7),ROUND(BQ466*($AP$3+#REF!),-1),""))</f>
        <v/>
      </c>
      <c r="BS466" s="503" t="s">
        <v>621</v>
      </c>
      <c r="BT466" s="503" t="str">
        <f>IF($G466="","",IF(AND($G466&gt;=30,$AT$3&lt;=BS$7),ROUND(BS466*($AP$3+#REF!),-1),""))</f>
        <v/>
      </c>
      <c r="BU466" s="503" t="s">
        <v>621</v>
      </c>
      <c r="BV466" s="503" t="str">
        <f>IF($G466="","",IF(AND($G466&gt;=30,$AT$3&lt;=BU$7),ROUND(BU466*($AP$3+#REF!),-1),""))</f>
        <v/>
      </c>
      <c r="BW466" s="503" t="s">
        <v>621</v>
      </c>
      <c r="BX466" s="503" t="str">
        <f>IF($G466="","",IF(AND($G466&gt;=30,$AT$3&lt;=BW$7),ROUND(BW466*($AP$3+#REF!),-1),""))</f>
        <v/>
      </c>
      <c r="BY466" s="503" t="s">
        <v>621</v>
      </c>
      <c r="BZ466" s="503" t="str">
        <f>IF($G466="","",IF(AND($G466&gt;=30,$AT$3&lt;=BY$7),ROUND(BY466*($AP$3+#REF!),-1),""))</f>
        <v/>
      </c>
      <c r="CA466" s="503" t="s">
        <v>621</v>
      </c>
      <c r="CB466" s="503" t="str">
        <f>IF($G466="","",IF(AND($G466&gt;=30,$AT$3&lt;=CA$7),ROUND(CA466*($AP$3+#REF!),-1),""))</f>
        <v/>
      </c>
      <c r="CC466" s="503" t="s">
        <v>621</v>
      </c>
      <c r="CD466" s="503" t="str">
        <f>IF($G466="","",IF(AND($G466&gt;=30,$AT$3&lt;=CC$7),ROUND(CC466*($AP$3+#REF!),-1),""))</f>
        <v/>
      </c>
      <c r="CE466" s="503" t="s">
        <v>621</v>
      </c>
      <c r="CF466" s="503" t="str">
        <f>IF($G466="","",IF(AND($G466&gt;=30,$AT$3&lt;=CE$7),ROUND(CE466*($AP$3+#REF!),-1),""))</f>
        <v/>
      </c>
      <c r="CG466" s="503" t="s">
        <v>621</v>
      </c>
      <c r="CH466" s="503" t="str">
        <f>IF($G466="","",IF(AND($G466&gt;=30,$AT$3&lt;=CG$7),ROUND(CG466*($AP$3+#REF!),-1),""))</f>
        <v/>
      </c>
      <c r="CI466" s="503" t="s">
        <v>621</v>
      </c>
      <c r="CJ466" s="503" t="str">
        <f>IF($G466="","",IF(AND($G466&gt;=30,$AT$3&lt;=CI$7),ROUND(CI466*($AP$3+#REF!),-1),""))</f>
        <v/>
      </c>
      <c r="CK466" s="503" t="s">
        <v>621</v>
      </c>
      <c r="CL466" s="503" t="str">
        <f>IF($G466="","",IF(AND($G466&gt;=30,$AT$3&lt;=CK$7),ROUND(CK466*($AP$3+#REF!),-1),""))</f>
        <v/>
      </c>
      <c r="CM466" s="503" t="s">
        <v>621</v>
      </c>
      <c r="CN466" s="503" t="str">
        <f>IF($G466="","",IF(AND($G466&gt;=30,$AT$3&lt;=CM$7),ROUND(CM466*($AP$3+#REF!),-1),""))</f>
        <v/>
      </c>
      <c r="CO466" s="503" t="s">
        <v>621</v>
      </c>
      <c r="CP466" s="503" t="str">
        <f>IF($G466="","",IF(AND($G466&gt;=30,$AT$3&lt;=CO$7),ROUND(CO466*($AP$3+#REF!),-1),""))</f>
        <v/>
      </c>
      <c r="CQ466" s="503" t="s">
        <v>621</v>
      </c>
      <c r="CR466" s="503" t="str">
        <f>IF($G466="","",IF(AND($G466&gt;=30,$AT$3&lt;=CQ$7),ROUND(CQ466*($AP$3+#REF!),-1),""))</f>
        <v/>
      </c>
      <c r="CS466" s="503" t="s">
        <v>621</v>
      </c>
      <c r="CT466" s="503" t="str">
        <f>IF($G466="","",IF(AND($G466&gt;=30,$AT$3&lt;=CS$7),ROUND(CS466*($AP$3+#REF!),-1),""))</f>
        <v/>
      </c>
      <c r="CU466" s="503" t="s">
        <v>621</v>
      </c>
      <c r="CV466" s="503" t="str">
        <f>IF($G466="","",IF(AND($G466&gt;=30,$AT$3&lt;=CU$7),ROUND(CU466*($AP$3+#REF!),-1),""))</f>
        <v/>
      </c>
      <c r="CW466" s="503" t="s">
        <v>621</v>
      </c>
      <c r="CX466" s="503" t="str">
        <f>IF($G466="","",IF(AND($G466&gt;=30,$AT$3&lt;=CW$7),ROUND(CW466*($AP$3+#REF!),-1),""))</f>
        <v/>
      </c>
      <c r="CY466" s="503" t="s">
        <v>621</v>
      </c>
      <c r="CZ466" s="503" t="str">
        <f>IF($G466="","",IF(AND($G466&gt;=30,$AT$3&lt;=CY$7),ROUND(CY466*($AP$3+#REF!),-1),""))</f>
        <v/>
      </c>
      <c r="DA466" s="503" t="s">
        <v>621</v>
      </c>
      <c r="DB466" s="503" t="str">
        <f>IF($G466="","",IF(AND($G466&gt;=30,$AT$3&lt;=DA$7),ROUND(DA466*($AP$3+#REF!),-1),""))</f>
        <v/>
      </c>
      <c r="DC466" s="503" t="s">
        <v>621</v>
      </c>
      <c r="DD466" s="503" t="str">
        <f>IF($G466="","",IF(AND($G466&gt;=30,$AT$3&lt;=DC$7),ROUND(DC466*($AP$3+#REF!),-1),""))</f>
        <v/>
      </c>
      <c r="DE466" s="517" t="e">
        <v>#REF!</v>
      </c>
      <c r="DF466" s="503" t="str">
        <f>IF($G466="","",IF(AND($G466&gt;=30,$AT$3&lt;=DE$7),ROUND(DE466*($AP$3+#REF!),-1),""))</f>
        <v/>
      </c>
      <c r="DG466" s="517"/>
      <c r="DH466" s="503" t="str">
        <f>IF($G466="","",IF(AND($G466&gt;=30,$AT$3&lt;=DG$7),ROUND(DG466*($AP$3+#REF!),-1),""))</f>
        <v/>
      </c>
      <c r="DI466" s="517"/>
      <c r="DJ466" s="503" t="str">
        <f>IF($G466="","",IF(AND($G466&gt;=30,$AT$3&lt;=DI$7),ROUND(DI466*($AP$3+#REF!),-1),""))</f>
        <v/>
      </c>
      <c r="DK466" s="517"/>
      <c r="DL466" s="503" t="str">
        <f>IF($G466="","",IF(AND($G466&gt;=30,$AT$3&lt;=DK$7),ROUND(DK466*($AP$3+#REF!),-1),""))</f>
        <v/>
      </c>
      <c r="DM466" s="517"/>
      <c r="DN466" s="503" t="str">
        <f>IF($G466="","",IF(AND($G466&gt;=30,$AT$3&lt;=DM$7),ROUND(DM466*($AP$3+#REF!),-1),""))</f>
        <v/>
      </c>
      <c r="DO466" s="517"/>
      <c r="DP466" s="503" t="str">
        <f>IF($G466="","",IF(AND($G466&gt;=30,$AT$3&lt;=DO$7),ROUND(DO466*($AP$3+#REF!),-1),""))</f>
        <v/>
      </c>
      <c r="DQ466" s="517"/>
      <c r="DR466" s="503" t="str">
        <f>IF($G466="","",IF(AND($G466&gt;=30,$AT$3&lt;=DQ$7),ROUND(DQ466*($AP$3+#REF!),-1),""))</f>
        <v/>
      </c>
      <c r="DS466" s="517"/>
      <c r="DT466" s="503" t="str">
        <f>IF($G466="","",IF(AND($G466&gt;=30,$AT$3&lt;=DS$7),ROUND(DS466*($AP$3+#REF!),-1),""))</f>
        <v/>
      </c>
      <c r="DU466" s="517"/>
      <c r="DV466" s="503" t="str">
        <f>IF($G466="","",IF(AND($G466&gt;=30,$AT$3&lt;=DU$7),ROUND(DU466*($AP$3+#REF!),-1),""))</f>
        <v/>
      </c>
      <c r="DW466" s="517"/>
      <c r="DX466" s="503" t="str">
        <f>IF($G466="","",IF(AND($G466&gt;=30,$AT$3&lt;=DW$7),ROUND(DW466*($AP$3+#REF!),-1),""))</f>
        <v/>
      </c>
      <c r="DY466" s="517"/>
      <c r="DZ466" s="503" t="str">
        <f>IF($G466="","",IF(AND($G466&gt;=30,$AT$3&lt;=DY$7),ROUND(DY466*($AP$3+#REF!),-1),""))</f>
        <v/>
      </c>
      <c r="EA466" s="517"/>
      <c r="EB466" s="503" t="str">
        <f>IF($G466="","",IF(AND($G466&gt;=30,$AT$3&lt;=EA$7),ROUND(EA466*($AP$3+#REF!),-1),""))</f>
        <v/>
      </c>
      <c r="EC466" s="504" t="s">
        <v>621</v>
      </c>
      <c r="ED466" s="1126"/>
      <c r="EE466" s="325">
        <v>2</v>
      </c>
    </row>
    <row r="467" spans="1:135" ht="9.75" customHeight="1">
      <c r="A467" s="321" t="str">
        <f t="shared" si="110"/>
        <v/>
      </c>
      <c r="B467" s="567">
        <f>(ii!$D$13*12+V467)+1</f>
        <v>361</v>
      </c>
      <c r="C467" s="337">
        <f t="shared" si="114"/>
        <v>56339</v>
      </c>
      <c r="D467" s="484">
        <f t="shared" si="103"/>
        <v>2054</v>
      </c>
      <c r="E467" s="484">
        <f t="shared" si="115"/>
        <v>0.25</v>
      </c>
      <c r="F467" s="484">
        <f t="shared" si="104"/>
        <v>2054.25</v>
      </c>
      <c r="G467" s="485" t="str">
        <f>IF(OR(C467&lt;$I$2,C467&gt;$J$3),"",(ii!$D$13*12+V467+1)/12)</f>
        <v/>
      </c>
      <c r="H467" s="486"/>
      <c r="I467" s="486"/>
      <c r="J467" s="487"/>
      <c r="K467" s="488"/>
      <c r="L467" s="548"/>
      <c r="M467" s="489" t="str">
        <f t="shared" si="105"/>
        <v/>
      </c>
      <c r="N467" s="490" t="s">
        <v>621</v>
      </c>
      <c r="O467" s="490" t="str">
        <f t="shared" si="112"/>
        <v/>
      </c>
      <c r="P467" s="491"/>
      <c r="Q467" s="491"/>
      <c r="R467" s="491" t="str">
        <f t="shared" si="113"/>
        <v/>
      </c>
      <c r="S467" s="528" t="str">
        <f t="shared" si="111"/>
        <v/>
      </c>
      <c r="T467" s="528" t="str">
        <f t="shared" si="109"/>
        <v/>
      </c>
      <c r="U467" s="493" t="str">
        <f>IF(H467="","",#REF!*12+#REF!+#REF!*12+#REF!)</f>
        <v/>
      </c>
      <c r="V467" s="338">
        <f>IF(ii!$J$3&gt;gg!C467,"",IF(AND((YEAR(C467)=YEAR($I$2)),MONTH(C467)=MONTH($I$2)),ii!$B$14*12+ii!$C$14+ii!$B$15*12+ii!$C$15-1,V466+1))</f>
        <v>360</v>
      </c>
      <c r="W467" s="339">
        <f t="shared" ref="W467:W530" si="116">IF(V468="","",(V468-1)/12)</f>
        <v>30</v>
      </c>
      <c r="X467" s="494" t="s">
        <v>621</v>
      </c>
      <c r="Y467" s="495" t="s">
        <v>621</v>
      </c>
      <c r="Z467" s="496"/>
      <c r="AA467" s="497"/>
      <c r="AB467" s="498" t="e">
        <f t="shared" si="108"/>
        <v>#VALUE!</v>
      </c>
      <c r="AC467" s="484" t="str">
        <f t="shared" si="106"/>
        <v/>
      </c>
      <c r="AD467" s="495" t="str">
        <f t="shared" si="107"/>
        <v/>
      </c>
      <c r="AE467" s="499" t="s">
        <v>621</v>
      </c>
      <c r="AF467" s="500" t="s">
        <v>621</v>
      </c>
      <c r="AG467" s="556" t="s">
        <v>621</v>
      </c>
      <c r="AH467" s="503" t="str">
        <f>IF($G467="","",IF(AND($G467&gt;=30,$AT$3&lt;=AG$7),ROUND(AG467*($AP$3+#REF!),-1),""))</f>
        <v/>
      </c>
      <c r="AI467" s="506" t="s">
        <v>621</v>
      </c>
      <c r="AJ467" s="503" t="str">
        <f>IF($G467="","",IF(AND($G467&gt;=30,$AT$3&lt;=AI$7),ROUND(AI467*($AP$3+#REF!),-1),""))</f>
        <v/>
      </c>
      <c r="AK467" s="506" t="s">
        <v>621</v>
      </c>
      <c r="AL467" s="503" t="str">
        <f>IF($G467="","",IF(AND($G467&gt;=30,$AT$3&lt;=AK$7),ROUND(AK467*($AP$3+#REF!),-1),""))</f>
        <v/>
      </c>
      <c r="AM467" s="506" t="s">
        <v>621</v>
      </c>
      <c r="AN467" s="503" t="str">
        <f>IF($G467="","",IF(AND($G467&gt;=30,$AT$3&lt;=AM$7),ROUND(AM467*($AP$3+#REF!),-1),""))</f>
        <v/>
      </c>
      <c r="AO467" s="503" t="e">
        <v>#REF!</v>
      </c>
      <c r="AP467" s="503" t="str">
        <f>IF($G467="","",IF(AND($G467&gt;=30,$AT$3&lt;=AO$7),ROUND(AO467*($AP$3+#REF!),-1),""))</f>
        <v/>
      </c>
      <c r="AQ467" s="503" t="s">
        <v>621</v>
      </c>
      <c r="AR467" s="503" t="str">
        <f>IF($G467="","",IF(AND($G467&gt;=30,$AT$3&lt;=AQ$7),ROUND(AQ467*($AP$3+#REF!),-1),""))</f>
        <v/>
      </c>
      <c r="AS467" s="503" t="s">
        <v>621</v>
      </c>
      <c r="AT467" s="503" t="str">
        <f>IF($G467="","",IF(AND($G467&gt;=30,$AT$3&lt;=AS$7),ROUND(AS467*($AP$3+#REF!),-1),""))</f>
        <v/>
      </c>
      <c r="AU467" s="503" t="s">
        <v>621</v>
      </c>
      <c r="AV467" s="503" t="str">
        <f>IF($G467="","",IF(AND($G467&gt;=30,$AT$3&lt;=AU$7),ROUND(AU467*($AP$3+#REF!),-1),""))</f>
        <v/>
      </c>
      <c r="AW467" s="503" t="s">
        <v>621</v>
      </c>
      <c r="AX467" s="503" t="str">
        <f>IF($G467="","",IF(AND($G467&gt;=30,$AT$3&lt;=AW$7),ROUND(AW467*($AP$3+#REF!),-1),""))</f>
        <v/>
      </c>
      <c r="AY467" s="503" t="s">
        <v>621</v>
      </c>
      <c r="AZ467" s="503" t="str">
        <f>IF($G467="","",IF(AND($G467&gt;=30,$AT$3&lt;=AY$7),ROUND(AY467*($AP$3+#REF!),-1),""))</f>
        <v/>
      </c>
      <c r="BA467" s="503" t="s">
        <v>621</v>
      </c>
      <c r="BB467" s="503" t="str">
        <f>IF($G467="","",IF(AND($G467&gt;=30,$AT$3&lt;=BA$7),ROUND(BA467*($AP$3+#REF!),-1),""))</f>
        <v/>
      </c>
      <c r="BC467" s="503" t="s">
        <v>621</v>
      </c>
      <c r="BD467" s="503" t="str">
        <f>IF($G467="","",IF(AND($G467&gt;=30,$AT$3&lt;=BC$7),ROUND(BC467*($AP$3+#REF!),-1),""))</f>
        <v/>
      </c>
      <c r="BE467" s="503" t="s">
        <v>621</v>
      </c>
      <c r="BF467" s="503" t="str">
        <f>IF($G467="","",IF(AND($G467&gt;=30,$AT$3&lt;=BE$7),ROUND(BE467*($AP$3+#REF!),-1),""))</f>
        <v/>
      </c>
      <c r="BG467" s="503" t="s">
        <v>621</v>
      </c>
      <c r="BH467" s="503" t="str">
        <f>IF($G467="","",IF(AND($G467&gt;=30,$AT$3&lt;=BG$7),ROUND(BG467*($AP$3+#REF!),-1),""))</f>
        <v/>
      </c>
      <c r="BI467" s="503" t="s">
        <v>621</v>
      </c>
      <c r="BJ467" s="503" t="str">
        <f>IF($G467="","",IF(AND($G467&gt;=30,$AT$3&lt;=BI$7),ROUND(BI467*($AP$3+#REF!),-1),""))</f>
        <v/>
      </c>
      <c r="BK467" s="503" t="s">
        <v>621</v>
      </c>
      <c r="BL467" s="503" t="str">
        <f>IF($G467="","",IF(AND($G467&gt;=30,$AT$3&lt;=BK$7),ROUND(BK467*($AP$3+#REF!),-1),""))</f>
        <v/>
      </c>
      <c r="BM467" s="503" t="s">
        <v>621</v>
      </c>
      <c r="BN467" s="503" t="str">
        <f>IF($G467="","",IF(AND($G467&gt;=30,$AT$3&lt;=BM$7),ROUND(BM467*($AP$3+#REF!),-1),""))</f>
        <v/>
      </c>
      <c r="BO467" s="503" t="s">
        <v>621</v>
      </c>
      <c r="BP467" s="503" t="str">
        <f>IF($G467="","",IF(AND($G467&gt;=30,$AT$3&lt;=BO$7),ROUND(BO467*($AP$3+#REF!),-1),""))</f>
        <v/>
      </c>
      <c r="BQ467" s="503" t="s">
        <v>621</v>
      </c>
      <c r="BR467" s="503" t="str">
        <f>IF($G467="","",IF(AND($G467&gt;=30,$AT$3&lt;=BQ$7),ROUND(BQ467*($AP$3+#REF!),-1),""))</f>
        <v/>
      </c>
      <c r="BS467" s="503" t="s">
        <v>621</v>
      </c>
      <c r="BT467" s="503" t="str">
        <f>IF($G467="","",IF(AND($G467&gt;=30,$AT$3&lt;=BS$7),ROUND(BS467*($AP$3+#REF!),-1),""))</f>
        <v/>
      </c>
      <c r="BU467" s="503" t="s">
        <v>621</v>
      </c>
      <c r="BV467" s="503" t="str">
        <f>IF($G467="","",IF(AND($G467&gt;=30,$AT$3&lt;=BU$7),ROUND(BU467*($AP$3+#REF!),-1),""))</f>
        <v/>
      </c>
      <c r="BW467" s="503" t="s">
        <v>621</v>
      </c>
      <c r="BX467" s="503" t="str">
        <f>IF($G467="","",IF(AND($G467&gt;=30,$AT$3&lt;=BW$7),ROUND(BW467*($AP$3+#REF!),-1),""))</f>
        <v/>
      </c>
      <c r="BY467" s="503" t="s">
        <v>621</v>
      </c>
      <c r="BZ467" s="503" t="str">
        <f>IF($G467="","",IF(AND($G467&gt;=30,$AT$3&lt;=BY$7),ROUND(BY467*($AP$3+#REF!),-1),""))</f>
        <v/>
      </c>
      <c r="CA467" s="503" t="s">
        <v>621</v>
      </c>
      <c r="CB467" s="503" t="str">
        <f>IF($G467="","",IF(AND($G467&gt;=30,$AT$3&lt;=CA$7),ROUND(CA467*($AP$3+#REF!),-1),""))</f>
        <v/>
      </c>
      <c r="CC467" s="503" t="s">
        <v>621</v>
      </c>
      <c r="CD467" s="503" t="str">
        <f>IF($G467="","",IF(AND($G467&gt;=30,$AT$3&lt;=CC$7),ROUND(CC467*($AP$3+#REF!),-1),""))</f>
        <v/>
      </c>
      <c r="CE467" s="503" t="s">
        <v>621</v>
      </c>
      <c r="CF467" s="503" t="str">
        <f>IF($G467="","",IF(AND($G467&gt;=30,$AT$3&lt;=CE$7),ROUND(CE467*($AP$3+#REF!),-1),""))</f>
        <v/>
      </c>
      <c r="CG467" s="503" t="s">
        <v>621</v>
      </c>
      <c r="CH467" s="503" t="str">
        <f>IF($G467="","",IF(AND($G467&gt;=30,$AT$3&lt;=CG$7),ROUND(CG467*($AP$3+#REF!),-1),""))</f>
        <v/>
      </c>
      <c r="CI467" s="503" t="s">
        <v>621</v>
      </c>
      <c r="CJ467" s="503" t="str">
        <f>IF($G467="","",IF(AND($G467&gt;=30,$AT$3&lt;=CI$7),ROUND(CI467*($AP$3+#REF!),-1),""))</f>
        <v/>
      </c>
      <c r="CK467" s="503" t="s">
        <v>621</v>
      </c>
      <c r="CL467" s="503" t="str">
        <f>IF($G467="","",IF(AND($G467&gt;=30,$AT$3&lt;=CK$7),ROUND(CK467*($AP$3+#REF!),-1),""))</f>
        <v/>
      </c>
      <c r="CM467" s="503" t="s">
        <v>621</v>
      </c>
      <c r="CN467" s="503" t="str">
        <f>IF($G467="","",IF(AND($G467&gt;=30,$AT$3&lt;=CM$7),ROUND(CM467*($AP$3+#REF!),-1),""))</f>
        <v/>
      </c>
      <c r="CO467" s="503" t="s">
        <v>621</v>
      </c>
      <c r="CP467" s="503" t="str">
        <f>IF($G467="","",IF(AND($G467&gt;=30,$AT$3&lt;=CO$7),ROUND(CO467*($AP$3+#REF!),-1),""))</f>
        <v/>
      </c>
      <c r="CQ467" s="503" t="s">
        <v>621</v>
      </c>
      <c r="CR467" s="503" t="str">
        <f>IF($G467="","",IF(AND($G467&gt;=30,$AT$3&lt;=CQ$7),ROUND(CQ467*($AP$3+#REF!),-1),""))</f>
        <v/>
      </c>
      <c r="CS467" s="503" t="s">
        <v>621</v>
      </c>
      <c r="CT467" s="503" t="str">
        <f>IF($G467="","",IF(AND($G467&gt;=30,$AT$3&lt;=CS$7),ROUND(CS467*($AP$3+#REF!),-1),""))</f>
        <v/>
      </c>
      <c r="CU467" s="503" t="s">
        <v>621</v>
      </c>
      <c r="CV467" s="503" t="str">
        <f>IF($G467="","",IF(AND($G467&gt;=30,$AT$3&lt;=CU$7),ROUND(CU467*($AP$3+#REF!),-1),""))</f>
        <v/>
      </c>
      <c r="CW467" s="503" t="s">
        <v>621</v>
      </c>
      <c r="CX467" s="503" t="str">
        <f>IF($G467="","",IF(AND($G467&gt;=30,$AT$3&lt;=CW$7),ROUND(CW467*($AP$3+#REF!),-1),""))</f>
        <v/>
      </c>
      <c r="CY467" s="503" t="s">
        <v>621</v>
      </c>
      <c r="CZ467" s="503" t="str">
        <f>IF($G467="","",IF(AND($G467&gt;=30,$AT$3&lt;=CY$7),ROUND(CY467*($AP$3+#REF!),-1),""))</f>
        <v/>
      </c>
      <c r="DA467" s="503" t="s">
        <v>621</v>
      </c>
      <c r="DB467" s="503" t="str">
        <f>IF($G467="","",IF(AND($G467&gt;=30,$AT$3&lt;=DA$7),ROUND(DA467*($AP$3+#REF!),-1),""))</f>
        <v/>
      </c>
      <c r="DC467" s="503" t="s">
        <v>621</v>
      </c>
      <c r="DD467" s="503" t="str">
        <f>IF($G467="","",IF(AND($G467&gt;=30,$AT$3&lt;=DC$7),ROUND(DC467*($AP$3+#REF!),-1),""))</f>
        <v/>
      </c>
      <c r="DE467" s="517" t="e">
        <v>#REF!</v>
      </c>
      <c r="DF467" s="503" t="str">
        <f>IF($G467="","",IF(AND($G467&gt;=30,$AT$3&lt;=DE$7),ROUND(DE467*($AP$3+#REF!),-1),""))</f>
        <v/>
      </c>
      <c r="DG467" s="517"/>
      <c r="DH467" s="503" t="str">
        <f>IF($G467="","",IF(AND($G467&gt;=30,$AT$3&lt;=DG$7),ROUND(DG467*($AP$3+#REF!),-1),""))</f>
        <v/>
      </c>
      <c r="DI467" s="517"/>
      <c r="DJ467" s="503" t="str">
        <f>IF($G467="","",IF(AND($G467&gt;=30,$AT$3&lt;=DI$7),ROUND(DI467*($AP$3+#REF!),-1),""))</f>
        <v/>
      </c>
      <c r="DK467" s="517"/>
      <c r="DL467" s="503" t="str">
        <f>IF($G467="","",IF(AND($G467&gt;=30,$AT$3&lt;=DK$7),ROUND(DK467*($AP$3+#REF!),-1),""))</f>
        <v/>
      </c>
      <c r="DM467" s="517"/>
      <c r="DN467" s="503" t="str">
        <f>IF($G467="","",IF(AND($G467&gt;=30,$AT$3&lt;=DM$7),ROUND(DM467*($AP$3+#REF!),-1),""))</f>
        <v/>
      </c>
      <c r="DO467" s="517"/>
      <c r="DP467" s="503" t="str">
        <f>IF($G467="","",IF(AND($G467&gt;=30,$AT$3&lt;=DO$7),ROUND(DO467*($AP$3+#REF!),-1),""))</f>
        <v/>
      </c>
      <c r="DQ467" s="517"/>
      <c r="DR467" s="503" t="str">
        <f>IF($G467="","",IF(AND($G467&gt;=30,$AT$3&lt;=DQ$7),ROUND(DQ467*($AP$3+#REF!),-1),""))</f>
        <v/>
      </c>
      <c r="DS467" s="517"/>
      <c r="DT467" s="503" t="str">
        <f>IF($G467="","",IF(AND($G467&gt;=30,$AT$3&lt;=DS$7),ROUND(DS467*($AP$3+#REF!),-1),""))</f>
        <v/>
      </c>
      <c r="DU467" s="517"/>
      <c r="DV467" s="503" t="str">
        <f>IF($G467="","",IF(AND($G467&gt;=30,$AT$3&lt;=DU$7),ROUND(DU467*($AP$3+#REF!),-1),""))</f>
        <v/>
      </c>
      <c r="DW467" s="517"/>
      <c r="DX467" s="503" t="str">
        <f>IF($G467="","",IF(AND($G467&gt;=30,$AT$3&lt;=DW$7),ROUND(DW467*($AP$3+#REF!),-1),""))</f>
        <v/>
      </c>
      <c r="DY467" s="517"/>
      <c r="DZ467" s="503" t="str">
        <f>IF($G467="","",IF(AND($G467&gt;=30,$AT$3&lt;=DY$7),ROUND(DY467*($AP$3+#REF!),-1),""))</f>
        <v/>
      </c>
      <c r="EA467" s="517"/>
      <c r="EB467" s="503" t="str">
        <f>IF($G467="","",IF(AND($G467&gt;=30,$AT$3&lt;=EA$7),ROUND(EA467*($AP$3+#REF!),-1),""))</f>
        <v/>
      </c>
      <c r="EC467" s="504" t="s">
        <v>621</v>
      </c>
      <c r="ED467" s="1126"/>
      <c r="EE467" s="325">
        <v>3</v>
      </c>
    </row>
    <row r="468" spans="1:135" ht="9.75" customHeight="1">
      <c r="A468" s="321" t="str">
        <f t="shared" si="110"/>
        <v/>
      </c>
      <c r="B468" s="567">
        <f>(ii!$D$13*12+V468)+1</f>
        <v>362</v>
      </c>
      <c r="C468" s="337">
        <f t="shared" si="114"/>
        <v>56369</v>
      </c>
      <c r="D468" s="484">
        <f t="shared" si="103"/>
        <v>2054</v>
      </c>
      <c r="E468" s="484">
        <f t="shared" si="115"/>
        <v>0.33333333333333331</v>
      </c>
      <c r="F468" s="484">
        <f t="shared" si="104"/>
        <v>2054.3333333333335</v>
      </c>
      <c r="G468" s="485" t="str">
        <f>IF(OR(C468&lt;$I$2,C468&gt;$J$3),"",(ii!$D$13*12+V468+1)/12)</f>
        <v/>
      </c>
      <c r="H468" s="486"/>
      <c r="I468" s="486"/>
      <c r="J468" s="487"/>
      <c r="K468" s="488"/>
      <c r="L468" s="548"/>
      <c r="M468" s="489" t="str">
        <f t="shared" si="105"/>
        <v/>
      </c>
      <c r="N468" s="490" t="s">
        <v>621</v>
      </c>
      <c r="O468" s="490" t="str">
        <f t="shared" si="112"/>
        <v/>
      </c>
      <c r="P468" s="491"/>
      <c r="Q468" s="491"/>
      <c r="R468" s="491" t="str">
        <f t="shared" si="113"/>
        <v/>
      </c>
      <c r="S468" s="528" t="str">
        <f t="shared" si="111"/>
        <v/>
      </c>
      <c r="T468" s="528" t="str">
        <f t="shared" si="109"/>
        <v/>
      </c>
      <c r="U468" s="493" t="str">
        <f>IF(H468="","",#REF!*12+#REF!+#REF!*12+#REF!)</f>
        <v/>
      </c>
      <c r="V468" s="338">
        <f>IF(ii!$J$3&gt;gg!C468,"",IF(AND((YEAR(C468)=YEAR($I$2)),MONTH(C468)=MONTH($I$2)),ii!$B$14*12+ii!$C$14+ii!$B$15*12+ii!$C$15-1,V467+1))</f>
        <v>361</v>
      </c>
      <c r="W468" s="339">
        <f t="shared" si="116"/>
        <v>30.083333333333332</v>
      </c>
      <c r="X468" s="494" t="s">
        <v>621</v>
      </c>
      <c r="Y468" s="495" t="s">
        <v>621</v>
      </c>
      <c r="Z468" s="496"/>
      <c r="AA468" s="497"/>
      <c r="AB468" s="498" t="e">
        <f t="shared" si="108"/>
        <v>#VALUE!</v>
      </c>
      <c r="AC468" s="484" t="str">
        <f t="shared" si="106"/>
        <v/>
      </c>
      <c r="AD468" s="495" t="str">
        <f t="shared" si="107"/>
        <v/>
      </c>
      <c r="AE468" s="499" t="s">
        <v>621</v>
      </c>
      <c r="AF468" s="500" t="s">
        <v>621</v>
      </c>
      <c r="AG468" s="556" t="s">
        <v>621</v>
      </c>
      <c r="AH468" s="503" t="str">
        <f>IF($G468="","",IF(AND($G468&gt;=30,$AT$3&lt;=AG$7),ROUND(AG468*($AP$3+#REF!),-1),""))</f>
        <v/>
      </c>
      <c r="AI468" s="506" t="s">
        <v>621</v>
      </c>
      <c r="AJ468" s="503" t="str">
        <f>IF($G468="","",IF(AND($G468&gt;=30,$AT$3&lt;=AI$7),ROUND(AI468*($AP$3+#REF!),-1),""))</f>
        <v/>
      </c>
      <c r="AK468" s="506" t="s">
        <v>621</v>
      </c>
      <c r="AL468" s="503" t="str">
        <f>IF($G468="","",IF(AND($G468&gt;=30,$AT$3&lt;=AK$7),ROUND(AK468*($AP$3+#REF!),-1),""))</f>
        <v/>
      </c>
      <c r="AM468" s="506" t="s">
        <v>621</v>
      </c>
      <c r="AN468" s="503" t="str">
        <f>IF($G468="","",IF(AND($G468&gt;=30,$AT$3&lt;=AM$7),ROUND(AM468*($AP$3+#REF!),-1),""))</f>
        <v/>
      </c>
      <c r="AO468" s="503" t="e">
        <v>#REF!</v>
      </c>
      <c r="AP468" s="503" t="str">
        <f>IF($G468="","",IF(AND($G468&gt;=30,$AT$3&lt;=AO$7),ROUND(AO468*($AP$3+#REF!),-1),""))</f>
        <v/>
      </c>
      <c r="AQ468" s="503" t="s">
        <v>621</v>
      </c>
      <c r="AR468" s="503" t="str">
        <f>IF($G468="","",IF(AND($G468&gt;=30,$AT$3&lt;=AQ$7),ROUND(AQ468*($AP$3+#REF!),-1),""))</f>
        <v/>
      </c>
      <c r="AS468" s="503" t="s">
        <v>621</v>
      </c>
      <c r="AT468" s="503" t="str">
        <f>IF($G468="","",IF(AND($G468&gt;=30,$AT$3&lt;=AS$7),ROUND(AS468*($AP$3+#REF!),-1),""))</f>
        <v/>
      </c>
      <c r="AU468" s="503" t="s">
        <v>621</v>
      </c>
      <c r="AV468" s="503" t="str">
        <f>IF($G468="","",IF(AND($G468&gt;=30,$AT$3&lt;=AU$7),ROUND(AU468*($AP$3+#REF!),-1),""))</f>
        <v/>
      </c>
      <c r="AW468" s="503" t="s">
        <v>621</v>
      </c>
      <c r="AX468" s="503" t="str">
        <f>IF($G468="","",IF(AND($G468&gt;=30,$AT$3&lt;=AW$7),ROUND(AW468*($AP$3+#REF!),-1),""))</f>
        <v/>
      </c>
      <c r="AY468" s="503" t="s">
        <v>621</v>
      </c>
      <c r="AZ468" s="503" t="str">
        <f>IF($G468="","",IF(AND($G468&gt;=30,$AT$3&lt;=AY$7),ROUND(AY468*($AP$3+#REF!),-1),""))</f>
        <v/>
      </c>
      <c r="BA468" s="503" t="s">
        <v>621</v>
      </c>
      <c r="BB468" s="503" t="str">
        <f>IF($G468="","",IF(AND($G468&gt;=30,$AT$3&lt;=BA$7),ROUND(BA468*($AP$3+#REF!),-1),""))</f>
        <v/>
      </c>
      <c r="BC468" s="503" t="s">
        <v>621</v>
      </c>
      <c r="BD468" s="503" t="str">
        <f>IF($G468="","",IF(AND($G468&gt;=30,$AT$3&lt;=BC$7),ROUND(BC468*($AP$3+#REF!),-1),""))</f>
        <v/>
      </c>
      <c r="BE468" s="503" t="s">
        <v>621</v>
      </c>
      <c r="BF468" s="503" t="str">
        <f>IF($G468="","",IF(AND($G468&gt;=30,$AT$3&lt;=BE$7),ROUND(BE468*($AP$3+#REF!),-1),""))</f>
        <v/>
      </c>
      <c r="BG468" s="503" t="s">
        <v>621</v>
      </c>
      <c r="BH468" s="503" t="str">
        <f>IF($G468="","",IF(AND($G468&gt;=30,$AT$3&lt;=BG$7),ROUND(BG468*($AP$3+#REF!),-1),""))</f>
        <v/>
      </c>
      <c r="BI468" s="503" t="s">
        <v>621</v>
      </c>
      <c r="BJ468" s="503" t="str">
        <f>IF($G468="","",IF(AND($G468&gt;=30,$AT$3&lt;=BI$7),ROUND(BI468*($AP$3+#REF!),-1),""))</f>
        <v/>
      </c>
      <c r="BK468" s="503" t="s">
        <v>621</v>
      </c>
      <c r="BL468" s="503" t="str">
        <f>IF($G468="","",IF(AND($G468&gt;=30,$AT$3&lt;=BK$7),ROUND(BK468*($AP$3+#REF!),-1),""))</f>
        <v/>
      </c>
      <c r="BM468" s="503" t="s">
        <v>621</v>
      </c>
      <c r="BN468" s="503" t="str">
        <f>IF($G468="","",IF(AND($G468&gt;=30,$AT$3&lt;=BM$7),ROUND(BM468*($AP$3+#REF!),-1),""))</f>
        <v/>
      </c>
      <c r="BO468" s="503" t="s">
        <v>621</v>
      </c>
      <c r="BP468" s="503" t="str">
        <f>IF($G468="","",IF(AND($G468&gt;=30,$AT$3&lt;=BO$7),ROUND(BO468*($AP$3+#REF!),-1),""))</f>
        <v/>
      </c>
      <c r="BQ468" s="503" t="s">
        <v>621</v>
      </c>
      <c r="BR468" s="503" t="str">
        <f>IF($G468="","",IF(AND($G468&gt;=30,$AT$3&lt;=BQ$7),ROUND(BQ468*($AP$3+#REF!),-1),""))</f>
        <v/>
      </c>
      <c r="BS468" s="503" t="s">
        <v>621</v>
      </c>
      <c r="BT468" s="503" t="str">
        <f>IF($G468="","",IF(AND($G468&gt;=30,$AT$3&lt;=BS$7),ROUND(BS468*($AP$3+#REF!),-1),""))</f>
        <v/>
      </c>
      <c r="BU468" s="503" t="s">
        <v>621</v>
      </c>
      <c r="BV468" s="503" t="str">
        <f>IF($G468="","",IF(AND($G468&gt;=30,$AT$3&lt;=BU$7),ROUND(BU468*($AP$3+#REF!),-1),""))</f>
        <v/>
      </c>
      <c r="BW468" s="503" t="s">
        <v>621</v>
      </c>
      <c r="BX468" s="503" t="str">
        <f>IF($G468="","",IF(AND($G468&gt;=30,$AT$3&lt;=BW$7),ROUND(BW468*($AP$3+#REF!),-1),""))</f>
        <v/>
      </c>
      <c r="BY468" s="503" t="s">
        <v>621</v>
      </c>
      <c r="BZ468" s="503" t="str">
        <f>IF($G468="","",IF(AND($G468&gt;=30,$AT$3&lt;=BY$7),ROUND(BY468*($AP$3+#REF!),-1),""))</f>
        <v/>
      </c>
      <c r="CA468" s="503" t="s">
        <v>621</v>
      </c>
      <c r="CB468" s="503" t="str">
        <f>IF($G468="","",IF(AND($G468&gt;=30,$AT$3&lt;=CA$7),ROUND(CA468*($AP$3+#REF!),-1),""))</f>
        <v/>
      </c>
      <c r="CC468" s="503" t="s">
        <v>621</v>
      </c>
      <c r="CD468" s="503" t="str">
        <f>IF($G468="","",IF(AND($G468&gt;=30,$AT$3&lt;=CC$7),ROUND(CC468*($AP$3+#REF!),-1),""))</f>
        <v/>
      </c>
      <c r="CE468" s="503" t="s">
        <v>621</v>
      </c>
      <c r="CF468" s="503" t="str">
        <f>IF($G468="","",IF(AND($G468&gt;=30,$AT$3&lt;=CE$7),ROUND(CE468*($AP$3+#REF!),-1),""))</f>
        <v/>
      </c>
      <c r="CG468" s="503" t="s">
        <v>621</v>
      </c>
      <c r="CH468" s="503" t="str">
        <f>IF($G468="","",IF(AND($G468&gt;=30,$AT$3&lt;=CG$7),ROUND(CG468*($AP$3+#REF!),-1),""))</f>
        <v/>
      </c>
      <c r="CI468" s="503" t="s">
        <v>621</v>
      </c>
      <c r="CJ468" s="503" t="str">
        <f>IF($G468="","",IF(AND($G468&gt;=30,$AT$3&lt;=CI$7),ROUND(CI468*($AP$3+#REF!),-1),""))</f>
        <v/>
      </c>
      <c r="CK468" s="503" t="s">
        <v>621</v>
      </c>
      <c r="CL468" s="503" t="str">
        <f>IF($G468="","",IF(AND($G468&gt;=30,$AT$3&lt;=CK$7),ROUND(CK468*($AP$3+#REF!),-1),""))</f>
        <v/>
      </c>
      <c r="CM468" s="503" t="s">
        <v>621</v>
      </c>
      <c r="CN468" s="503" t="str">
        <f>IF($G468="","",IF(AND($G468&gt;=30,$AT$3&lt;=CM$7),ROUND(CM468*($AP$3+#REF!),-1),""))</f>
        <v/>
      </c>
      <c r="CO468" s="503" t="s">
        <v>621</v>
      </c>
      <c r="CP468" s="503" t="str">
        <f>IF($G468="","",IF(AND($G468&gt;=30,$AT$3&lt;=CO$7),ROUND(CO468*($AP$3+#REF!),-1),""))</f>
        <v/>
      </c>
      <c r="CQ468" s="503" t="s">
        <v>621</v>
      </c>
      <c r="CR468" s="503" t="str">
        <f>IF($G468="","",IF(AND($G468&gt;=30,$AT$3&lt;=CQ$7),ROUND(CQ468*($AP$3+#REF!),-1),""))</f>
        <v/>
      </c>
      <c r="CS468" s="503" t="s">
        <v>621</v>
      </c>
      <c r="CT468" s="503" t="str">
        <f>IF($G468="","",IF(AND($G468&gt;=30,$AT$3&lt;=CS$7),ROUND(CS468*($AP$3+#REF!),-1),""))</f>
        <v/>
      </c>
      <c r="CU468" s="503" t="s">
        <v>621</v>
      </c>
      <c r="CV468" s="503" t="str">
        <f>IF($G468="","",IF(AND($G468&gt;=30,$AT$3&lt;=CU$7),ROUND(CU468*($AP$3+#REF!),-1),""))</f>
        <v/>
      </c>
      <c r="CW468" s="503" t="s">
        <v>621</v>
      </c>
      <c r="CX468" s="503" t="str">
        <f>IF($G468="","",IF(AND($G468&gt;=30,$AT$3&lt;=CW$7),ROUND(CW468*($AP$3+#REF!),-1),""))</f>
        <v/>
      </c>
      <c r="CY468" s="503" t="s">
        <v>621</v>
      </c>
      <c r="CZ468" s="503" t="str">
        <f>IF($G468="","",IF(AND($G468&gt;=30,$AT$3&lt;=CY$7),ROUND(CY468*($AP$3+#REF!),-1),""))</f>
        <v/>
      </c>
      <c r="DA468" s="503" t="s">
        <v>621</v>
      </c>
      <c r="DB468" s="503" t="str">
        <f>IF($G468="","",IF(AND($G468&gt;=30,$AT$3&lt;=DA$7),ROUND(DA468*($AP$3+#REF!),-1),""))</f>
        <v/>
      </c>
      <c r="DC468" s="503" t="s">
        <v>621</v>
      </c>
      <c r="DD468" s="503" t="str">
        <f>IF($G468="","",IF(AND($G468&gt;=30,$AT$3&lt;=DC$7),ROUND(DC468*($AP$3+#REF!),-1),""))</f>
        <v/>
      </c>
      <c r="DE468" s="517" t="e">
        <v>#REF!</v>
      </c>
      <c r="DF468" s="503" t="str">
        <f>IF($G468="","",IF(AND($G468&gt;=30,$AT$3&lt;=DE$7),ROUND(DE468*($AP$3+#REF!),-1),""))</f>
        <v/>
      </c>
      <c r="DG468" s="517"/>
      <c r="DH468" s="503" t="str">
        <f>IF($G468="","",IF(AND($G468&gt;=30,$AT$3&lt;=DG$7),ROUND(DG468*($AP$3+#REF!),-1),""))</f>
        <v/>
      </c>
      <c r="DI468" s="517"/>
      <c r="DJ468" s="503" t="str">
        <f>IF($G468="","",IF(AND($G468&gt;=30,$AT$3&lt;=DI$7),ROUND(DI468*($AP$3+#REF!),-1),""))</f>
        <v/>
      </c>
      <c r="DK468" s="517"/>
      <c r="DL468" s="503" t="str">
        <f>IF($G468="","",IF(AND($G468&gt;=30,$AT$3&lt;=DK$7),ROUND(DK468*($AP$3+#REF!),-1),""))</f>
        <v/>
      </c>
      <c r="DM468" s="517"/>
      <c r="DN468" s="503" t="str">
        <f>IF($G468="","",IF(AND($G468&gt;=30,$AT$3&lt;=DM$7),ROUND(DM468*($AP$3+#REF!),-1),""))</f>
        <v/>
      </c>
      <c r="DO468" s="517"/>
      <c r="DP468" s="503" t="str">
        <f>IF($G468="","",IF(AND($G468&gt;=30,$AT$3&lt;=DO$7),ROUND(DO468*($AP$3+#REF!),-1),""))</f>
        <v/>
      </c>
      <c r="DQ468" s="517"/>
      <c r="DR468" s="503" t="str">
        <f>IF($G468="","",IF(AND($G468&gt;=30,$AT$3&lt;=DQ$7),ROUND(DQ468*($AP$3+#REF!),-1),""))</f>
        <v/>
      </c>
      <c r="DS468" s="517"/>
      <c r="DT468" s="503" t="str">
        <f>IF($G468="","",IF(AND($G468&gt;=30,$AT$3&lt;=DS$7),ROUND(DS468*($AP$3+#REF!),-1),""))</f>
        <v/>
      </c>
      <c r="DU468" s="517"/>
      <c r="DV468" s="503" t="str">
        <f>IF($G468="","",IF(AND($G468&gt;=30,$AT$3&lt;=DU$7),ROUND(DU468*($AP$3+#REF!),-1),""))</f>
        <v/>
      </c>
      <c r="DW468" s="517"/>
      <c r="DX468" s="503" t="str">
        <f>IF($G468="","",IF(AND($G468&gt;=30,$AT$3&lt;=DW$7),ROUND(DW468*($AP$3+#REF!),-1),""))</f>
        <v/>
      </c>
      <c r="DY468" s="517"/>
      <c r="DZ468" s="503" t="str">
        <f>IF($G468="","",IF(AND($G468&gt;=30,$AT$3&lt;=DY$7),ROUND(DY468*($AP$3+#REF!),-1),""))</f>
        <v/>
      </c>
      <c r="EA468" s="517"/>
      <c r="EB468" s="503" t="str">
        <f>IF($G468="","",IF(AND($G468&gt;=30,$AT$3&lt;=EA$7),ROUND(EA468*($AP$3+#REF!),-1),""))</f>
        <v/>
      </c>
      <c r="EC468" s="504" t="s">
        <v>621</v>
      </c>
      <c r="ED468" s="1126"/>
      <c r="EE468" s="325">
        <v>4</v>
      </c>
    </row>
    <row r="469" spans="1:135" ht="9.75" customHeight="1">
      <c r="A469" s="321" t="str">
        <f t="shared" si="110"/>
        <v/>
      </c>
      <c r="B469" s="567">
        <f>(ii!$D$13*12+V469)+1</f>
        <v>363</v>
      </c>
      <c r="C469" s="337">
        <f t="shared" si="114"/>
        <v>56400</v>
      </c>
      <c r="D469" s="484">
        <f t="shared" si="103"/>
        <v>2054</v>
      </c>
      <c r="E469" s="484">
        <f t="shared" si="115"/>
        <v>0.41666666666666669</v>
      </c>
      <c r="F469" s="484">
        <f t="shared" si="104"/>
        <v>2054.4166666666665</v>
      </c>
      <c r="G469" s="485" t="str">
        <f>IF(OR(C469&lt;$I$2,C469&gt;$J$3),"",(ii!$D$13*12+V469+1)/12)</f>
        <v/>
      </c>
      <c r="H469" s="486"/>
      <c r="I469" s="486"/>
      <c r="J469" s="507"/>
      <c r="K469" s="508"/>
      <c r="L469" s="548"/>
      <c r="M469" s="489" t="str">
        <f t="shared" si="105"/>
        <v/>
      </c>
      <c r="N469" s="490" t="s">
        <v>621</v>
      </c>
      <c r="O469" s="490" t="str">
        <f t="shared" si="112"/>
        <v/>
      </c>
      <c r="P469" s="507"/>
      <c r="Q469" s="507"/>
      <c r="R469" s="491" t="str">
        <f t="shared" si="113"/>
        <v/>
      </c>
      <c r="S469" s="528" t="str">
        <f t="shared" si="111"/>
        <v/>
      </c>
      <c r="T469" s="528" t="str">
        <f t="shared" si="109"/>
        <v/>
      </c>
      <c r="U469" s="493" t="str">
        <f>IF(H469="","",#REF!*12+#REF!+#REF!*12+#REF!)</f>
        <v/>
      </c>
      <c r="V469" s="338">
        <f>IF(ii!$J$3&gt;gg!C469,"",IF(AND((YEAR(C469)=YEAR($I$2)),MONTH(C469)=MONTH($I$2)),ii!$B$14*12+ii!$C$14+ii!$B$15*12+ii!$C$15-1,V468+1))</f>
        <v>362</v>
      </c>
      <c r="W469" s="339">
        <f t="shared" si="116"/>
        <v>30.166666666666668</v>
      </c>
      <c r="X469" s="494" t="s">
        <v>621</v>
      </c>
      <c r="Y469" s="495" t="s">
        <v>621</v>
      </c>
      <c r="Z469" s="496"/>
      <c r="AA469" s="497"/>
      <c r="AB469" s="498" t="e">
        <f t="shared" si="108"/>
        <v>#VALUE!</v>
      </c>
      <c r="AC469" s="484" t="str">
        <f t="shared" si="106"/>
        <v/>
      </c>
      <c r="AD469" s="495" t="str">
        <f t="shared" si="107"/>
        <v/>
      </c>
      <c r="AE469" s="499" t="s">
        <v>621</v>
      </c>
      <c r="AF469" s="500" t="s">
        <v>621</v>
      </c>
      <c r="AG469" s="556" t="s">
        <v>621</v>
      </c>
      <c r="AH469" s="503" t="str">
        <f>IF($G469="","",IF(AND($G469&gt;=30,$AT$3&lt;=AG$7),ROUND(AG469*($AP$3+#REF!),-1),""))</f>
        <v/>
      </c>
      <c r="AI469" s="506" t="s">
        <v>621</v>
      </c>
      <c r="AJ469" s="503" t="str">
        <f>IF($G469="","",IF(AND($G469&gt;=30,$AT$3&lt;=AI$7),ROUND(AI469*($AP$3+#REF!),-1),""))</f>
        <v/>
      </c>
      <c r="AK469" s="506" t="s">
        <v>621</v>
      </c>
      <c r="AL469" s="503" t="str">
        <f>IF($G469="","",IF(AND($G469&gt;=30,$AT$3&lt;=AK$7),ROUND(AK469*($AP$3+#REF!),-1),""))</f>
        <v/>
      </c>
      <c r="AM469" s="506" t="s">
        <v>621</v>
      </c>
      <c r="AN469" s="503" t="str">
        <f>IF($G469="","",IF(AND($G469&gt;=30,$AT$3&lt;=AM$7),ROUND(AM469*($AP$3+#REF!),-1),""))</f>
        <v/>
      </c>
      <c r="AO469" s="503" t="e">
        <v>#REF!</v>
      </c>
      <c r="AP469" s="503" t="str">
        <f>IF($G469="","",IF(AND($G469&gt;=30,$AT$3&lt;=AO$7),ROUND(AO469*($AP$3+#REF!),-1),""))</f>
        <v/>
      </c>
      <c r="AQ469" s="503" t="s">
        <v>621</v>
      </c>
      <c r="AR469" s="503" t="str">
        <f>IF($G469="","",IF(AND($G469&gt;=30,$AT$3&lt;=AQ$7),ROUND(AQ469*($AP$3+#REF!),-1),""))</f>
        <v/>
      </c>
      <c r="AS469" s="503" t="s">
        <v>621</v>
      </c>
      <c r="AT469" s="503" t="str">
        <f>IF($G469="","",IF(AND($G469&gt;=30,$AT$3&lt;=AS$7),ROUND(AS469*($AP$3+#REF!),-1),""))</f>
        <v/>
      </c>
      <c r="AU469" s="503" t="s">
        <v>621</v>
      </c>
      <c r="AV469" s="503" t="str">
        <f>IF($G469="","",IF(AND($G469&gt;=30,$AT$3&lt;=AU$7),ROUND(AU469*($AP$3+#REF!),-1),""))</f>
        <v/>
      </c>
      <c r="AW469" s="503" t="s">
        <v>621</v>
      </c>
      <c r="AX469" s="503" t="str">
        <f>IF($G469="","",IF(AND($G469&gt;=30,$AT$3&lt;=AW$7),ROUND(AW469*($AP$3+#REF!),-1),""))</f>
        <v/>
      </c>
      <c r="AY469" s="503" t="s">
        <v>621</v>
      </c>
      <c r="AZ469" s="503" t="str">
        <f>IF($G469="","",IF(AND($G469&gt;=30,$AT$3&lt;=AY$7),ROUND(AY469*($AP$3+#REF!),-1),""))</f>
        <v/>
      </c>
      <c r="BA469" s="503" t="s">
        <v>621</v>
      </c>
      <c r="BB469" s="503" t="str">
        <f>IF($G469="","",IF(AND($G469&gt;=30,$AT$3&lt;=BA$7),ROUND(BA469*($AP$3+#REF!),-1),""))</f>
        <v/>
      </c>
      <c r="BC469" s="503" t="s">
        <v>621</v>
      </c>
      <c r="BD469" s="503" t="str">
        <f>IF($G469="","",IF(AND($G469&gt;=30,$AT$3&lt;=BC$7),ROUND(BC469*($AP$3+#REF!),-1),""))</f>
        <v/>
      </c>
      <c r="BE469" s="503" t="s">
        <v>621</v>
      </c>
      <c r="BF469" s="503" t="str">
        <f>IF($G469="","",IF(AND($G469&gt;=30,$AT$3&lt;=BE$7),ROUND(BE469*($AP$3+#REF!),-1),""))</f>
        <v/>
      </c>
      <c r="BG469" s="503" t="s">
        <v>621</v>
      </c>
      <c r="BH469" s="503" t="str">
        <f>IF($G469="","",IF(AND($G469&gt;=30,$AT$3&lt;=BG$7),ROUND(BG469*($AP$3+#REF!),-1),""))</f>
        <v/>
      </c>
      <c r="BI469" s="503" t="s">
        <v>621</v>
      </c>
      <c r="BJ469" s="503" t="str">
        <f>IF($G469="","",IF(AND($G469&gt;=30,$AT$3&lt;=BI$7),ROUND(BI469*($AP$3+#REF!),-1),""))</f>
        <v/>
      </c>
      <c r="BK469" s="503" t="s">
        <v>621</v>
      </c>
      <c r="BL469" s="503" t="str">
        <f>IF($G469="","",IF(AND($G469&gt;=30,$AT$3&lt;=BK$7),ROUND(BK469*($AP$3+#REF!),-1),""))</f>
        <v/>
      </c>
      <c r="BM469" s="503" t="s">
        <v>621</v>
      </c>
      <c r="BN469" s="503" t="str">
        <f>IF($G469="","",IF(AND($G469&gt;=30,$AT$3&lt;=BM$7),ROUND(BM469*($AP$3+#REF!),-1),""))</f>
        <v/>
      </c>
      <c r="BO469" s="503" t="s">
        <v>621</v>
      </c>
      <c r="BP469" s="503" t="str">
        <f>IF($G469="","",IF(AND($G469&gt;=30,$AT$3&lt;=BO$7),ROUND(BO469*($AP$3+#REF!),-1),""))</f>
        <v/>
      </c>
      <c r="BQ469" s="503" t="s">
        <v>621</v>
      </c>
      <c r="BR469" s="503" t="str">
        <f>IF($G469="","",IF(AND($G469&gt;=30,$AT$3&lt;=BQ$7),ROUND(BQ469*($AP$3+#REF!),-1),""))</f>
        <v/>
      </c>
      <c r="BS469" s="503" t="s">
        <v>621</v>
      </c>
      <c r="BT469" s="503" t="str">
        <f>IF($G469="","",IF(AND($G469&gt;=30,$AT$3&lt;=BS$7),ROUND(BS469*($AP$3+#REF!),-1),""))</f>
        <v/>
      </c>
      <c r="BU469" s="503" t="s">
        <v>621</v>
      </c>
      <c r="BV469" s="503" t="str">
        <f>IF($G469="","",IF(AND($G469&gt;=30,$AT$3&lt;=BU$7),ROUND(BU469*($AP$3+#REF!),-1),""))</f>
        <v/>
      </c>
      <c r="BW469" s="503" t="s">
        <v>621</v>
      </c>
      <c r="BX469" s="503" t="str">
        <f>IF($G469="","",IF(AND($G469&gt;=30,$AT$3&lt;=BW$7),ROUND(BW469*($AP$3+#REF!),-1),""))</f>
        <v/>
      </c>
      <c r="BY469" s="503" t="s">
        <v>621</v>
      </c>
      <c r="BZ469" s="503" t="str">
        <f>IF($G469="","",IF(AND($G469&gt;=30,$AT$3&lt;=BY$7),ROUND(BY469*($AP$3+#REF!),-1),""))</f>
        <v/>
      </c>
      <c r="CA469" s="503" t="s">
        <v>621</v>
      </c>
      <c r="CB469" s="503" t="str">
        <f>IF($G469="","",IF(AND($G469&gt;=30,$AT$3&lt;=CA$7),ROUND(CA469*($AP$3+#REF!),-1),""))</f>
        <v/>
      </c>
      <c r="CC469" s="503" t="s">
        <v>621</v>
      </c>
      <c r="CD469" s="503" t="str">
        <f>IF($G469="","",IF(AND($G469&gt;=30,$AT$3&lt;=CC$7),ROUND(CC469*($AP$3+#REF!),-1),""))</f>
        <v/>
      </c>
      <c r="CE469" s="503" t="s">
        <v>621</v>
      </c>
      <c r="CF469" s="503" t="str">
        <f>IF($G469="","",IF(AND($G469&gt;=30,$AT$3&lt;=CE$7),ROUND(CE469*($AP$3+#REF!),-1),""))</f>
        <v/>
      </c>
      <c r="CG469" s="503" t="s">
        <v>621</v>
      </c>
      <c r="CH469" s="503" t="str">
        <f>IF($G469="","",IF(AND($G469&gt;=30,$AT$3&lt;=CG$7),ROUND(CG469*($AP$3+#REF!),-1),""))</f>
        <v/>
      </c>
      <c r="CI469" s="503" t="s">
        <v>621</v>
      </c>
      <c r="CJ469" s="503" t="str">
        <f>IF($G469="","",IF(AND($G469&gt;=30,$AT$3&lt;=CI$7),ROUND(CI469*($AP$3+#REF!),-1),""))</f>
        <v/>
      </c>
      <c r="CK469" s="503" t="s">
        <v>621</v>
      </c>
      <c r="CL469" s="503" t="str">
        <f>IF($G469="","",IF(AND($G469&gt;=30,$AT$3&lt;=CK$7),ROUND(CK469*($AP$3+#REF!),-1),""))</f>
        <v/>
      </c>
      <c r="CM469" s="503" t="s">
        <v>621</v>
      </c>
      <c r="CN469" s="503" t="str">
        <f>IF($G469="","",IF(AND($G469&gt;=30,$AT$3&lt;=CM$7),ROUND(CM469*($AP$3+#REF!),-1),""))</f>
        <v/>
      </c>
      <c r="CO469" s="503" t="s">
        <v>621</v>
      </c>
      <c r="CP469" s="503" t="str">
        <f>IF($G469="","",IF(AND($G469&gt;=30,$AT$3&lt;=CO$7),ROUND(CO469*($AP$3+#REF!),-1),""))</f>
        <v/>
      </c>
      <c r="CQ469" s="503" t="s">
        <v>621</v>
      </c>
      <c r="CR469" s="503" t="str">
        <f>IF($G469="","",IF(AND($G469&gt;=30,$AT$3&lt;=CQ$7),ROUND(CQ469*($AP$3+#REF!),-1),""))</f>
        <v/>
      </c>
      <c r="CS469" s="503" t="s">
        <v>621</v>
      </c>
      <c r="CT469" s="503" t="str">
        <f>IF($G469="","",IF(AND($G469&gt;=30,$AT$3&lt;=CS$7),ROUND(CS469*($AP$3+#REF!),-1),""))</f>
        <v/>
      </c>
      <c r="CU469" s="503" t="s">
        <v>621</v>
      </c>
      <c r="CV469" s="503" t="str">
        <f>IF($G469="","",IF(AND($G469&gt;=30,$AT$3&lt;=CU$7),ROUND(CU469*($AP$3+#REF!),-1),""))</f>
        <v/>
      </c>
      <c r="CW469" s="503" t="s">
        <v>621</v>
      </c>
      <c r="CX469" s="503" t="str">
        <f>IF($G469="","",IF(AND($G469&gt;=30,$AT$3&lt;=CW$7),ROUND(CW469*($AP$3+#REF!),-1),""))</f>
        <v/>
      </c>
      <c r="CY469" s="503" t="s">
        <v>621</v>
      </c>
      <c r="CZ469" s="503" t="str">
        <f>IF($G469="","",IF(AND($G469&gt;=30,$AT$3&lt;=CY$7),ROUND(CY469*($AP$3+#REF!),-1),""))</f>
        <v/>
      </c>
      <c r="DA469" s="503" t="s">
        <v>621</v>
      </c>
      <c r="DB469" s="503" t="str">
        <f>IF($G469="","",IF(AND($G469&gt;=30,$AT$3&lt;=DA$7),ROUND(DA469*($AP$3+#REF!),-1),""))</f>
        <v/>
      </c>
      <c r="DC469" s="503" t="s">
        <v>621</v>
      </c>
      <c r="DD469" s="503" t="str">
        <f>IF($G469="","",IF(AND($G469&gt;=30,$AT$3&lt;=DC$7),ROUND(DC469*($AP$3+#REF!),-1),""))</f>
        <v/>
      </c>
      <c r="DE469" s="517" t="e">
        <v>#REF!</v>
      </c>
      <c r="DF469" s="503" t="str">
        <f>IF($G469="","",IF(AND($G469&gt;=30,$AT$3&lt;=DE$7),ROUND(DE469*($AP$3+#REF!),-1),""))</f>
        <v/>
      </c>
      <c r="DG469" s="517"/>
      <c r="DH469" s="503" t="str">
        <f>IF($G469="","",IF(AND($G469&gt;=30,$AT$3&lt;=DG$7),ROUND(DG469*($AP$3+#REF!),-1),""))</f>
        <v/>
      </c>
      <c r="DI469" s="517"/>
      <c r="DJ469" s="503" t="str">
        <f>IF($G469="","",IF(AND($G469&gt;=30,$AT$3&lt;=DI$7),ROUND(DI469*($AP$3+#REF!),-1),""))</f>
        <v/>
      </c>
      <c r="DK469" s="517"/>
      <c r="DL469" s="503" t="str">
        <f>IF($G469="","",IF(AND($G469&gt;=30,$AT$3&lt;=DK$7),ROUND(DK469*($AP$3+#REF!),-1),""))</f>
        <v/>
      </c>
      <c r="DM469" s="517"/>
      <c r="DN469" s="503" t="str">
        <f>IF($G469="","",IF(AND($G469&gt;=30,$AT$3&lt;=DM$7),ROUND(DM469*($AP$3+#REF!),-1),""))</f>
        <v/>
      </c>
      <c r="DO469" s="517"/>
      <c r="DP469" s="503" t="str">
        <f>IF($G469="","",IF(AND($G469&gt;=30,$AT$3&lt;=DO$7),ROUND(DO469*($AP$3+#REF!),-1),""))</f>
        <v/>
      </c>
      <c r="DQ469" s="517"/>
      <c r="DR469" s="503" t="str">
        <f>IF($G469="","",IF(AND($G469&gt;=30,$AT$3&lt;=DQ$7),ROUND(DQ469*($AP$3+#REF!),-1),""))</f>
        <v/>
      </c>
      <c r="DS469" s="517"/>
      <c r="DT469" s="503" t="str">
        <f>IF($G469="","",IF(AND($G469&gt;=30,$AT$3&lt;=DS$7),ROUND(DS469*($AP$3+#REF!),-1),""))</f>
        <v/>
      </c>
      <c r="DU469" s="517"/>
      <c r="DV469" s="503" t="str">
        <f>IF($G469="","",IF(AND($G469&gt;=30,$AT$3&lt;=DU$7),ROUND(DU469*($AP$3+#REF!),-1),""))</f>
        <v/>
      </c>
      <c r="DW469" s="517"/>
      <c r="DX469" s="503" t="str">
        <f>IF($G469="","",IF(AND($G469&gt;=30,$AT$3&lt;=DW$7),ROUND(DW469*($AP$3+#REF!),-1),""))</f>
        <v/>
      </c>
      <c r="DY469" s="517"/>
      <c r="DZ469" s="503" t="str">
        <f>IF($G469="","",IF(AND($G469&gt;=30,$AT$3&lt;=DY$7),ROUND(DY469*($AP$3+#REF!),-1),""))</f>
        <v/>
      </c>
      <c r="EA469" s="517"/>
      <c r="EB469" s="503" t="str">
        <f>IF($G469="","",IF(AND($G469&gt;=30,$AT$3&lt;=EA$7),ROUND(EA469*($AP$3+#REF!),-1),""))</f>
        <v/>
      </c>
      <c r="EC469" s="504" t="s">
        <v>621</v>
      </c>
      <c r="ED469" s="1126"/>
      <c r="EE469" s="325">
        <v>5</v>
      </c>
    </row>
    <row r="470" spans="1:135" ht="9.75" customHeight="1">
      <c r="A470" s="321" t="str">
        <f t="shared" si="110"/>
        <v/>
      </c>
      <c r="B470" s="567">
        <f>(ii!$D$13*12+V470)+1</f>
        <v>364</v>
      </c>
      <c r="C470" s="337">
        <f t="shared" si="114"/>
        <v>56430</v>
      </c>
      <c r="D470" s="484">
        <f t="shared" si="103"/>
        <v>2054</v>
      </c>
      <c r="E470" s="484">
        <f t="shared" si="115"/>
        <v>0.5</v>
      </c>
      <c r="F470" s="484">
        <f t="shared" si="104"/>
        <v>2054.5</v>
      </c>
      <c r="G470" s="485" t="str">
        <f>IF(OR(C470&lt;$I$2,C470&gt;$J$3),"",(ii!$D$13*12+V470+1)/12)</f>
        <v/>
      </c>
      <c r="H470" s="486"/>
      <c r="I470" s="486"/>
      <c r="J470" s="487"/>
      <c r="K470" s="488"/>
      <c r="L470" s="548"/>
      <c r="M470" s="489" t="str">
        <f t="shared" si="105"/>
        <v/>
      </c>
      <c r="N470" s="490" t="s">
        <v>621</v>
      </c>
      <c r="O470" s="490" t="str">
        <f t="shared" si="112"/>
        <v/>
      </c>
      <c r="P470" s="491"/>
      <c r="Q470" s="491"/>
      <c r="R470" s="491" t="str">
        <f t="shared" si="113"/>
        <v/>
      </c>
      <c r="S470" s="528" t="str">
        <f t="shared" si="111"/>
        <v/>
      </c>
      <c r="T470" s="528" t="str">
        <f t="shared" si="109"/>
        <v/>
      </c>
      <c r="U470" s="493" t="str">
        <f>IF(H470="","",#REF!*12+#REF!+#REF!*12+#REF!)</f>
        <v/>
      </c>
      <c r="V470" s="338">
        <f>IF(ii!$J$3&gt;gg!C470,"",IF(AND((YEAR(C470)=YEAR($I$2)),MONTH(C470)=MONTH($I$2)),ii!$B$14*12+ii!$C$14+ii!$B$15*12+ii!$C$15-1,V469+1))</f>
        <v>363</v>
      </c>
      <c r="W470" s="339">
        <f t="shared" si="116"/>
        <v>30.25</v>
      </c>
      <c r="X470" s="494" t="s">
        <v>621</v>
      </c>
      <c r="Y470" s="495" t="s">
        <v>621</v>
      </c>
      <c r="Z470" s="496"/>
      <c r="AA470" s="497"/>
      <c r="AB470" s="498" t="e">
        <f t="shared" si="108"/>
        <v>#VALUE!</v>
      </c>
      <c r="AC470" s="484" t="str">
        <f t="shared" si="106"/>
        <v/>
      </c>
      <c r="AD470" s="495" t="str">
        <f t="shared" si="107"/>
        <v/>
      </c>
      <c r="AE470" s="499" t="s">
        <v>621</v>
      </c>
      <c r="AF470" s="500" t="s">
        <v>621</v>
      </c>
      <c r="AG470" s="556" t="s">
        <v>621</v>
      </c>
      <c r="AH470" s="503" t="str">
        <f>IF($G470="","",IF(AND($G470&gt;=30,$AT$3&lt;=AG$7),ROUND(AG470*($AP$3+#REF!),-1),""))</f>
        <v/>
      </c>
      <c r="AI470" s="506" t="s">
        <v>621</v>
      </c>
      <c r="AJ470" s="503" t="str">
        <f>IF($G470="","",IF(AND($G470&gt;=30,$AT$3&lt;=AI$7),ROUND(AI470*($AP$3+#REF!),-1),""))</f>
        <v/>
      </c>
      <c r="AK470" s="506" t="s">
        <v>621</v>
      </c>
      <c r="AL470" s="503" t="str">
        <f>IF($G470="","",IF(AND($G470&gt;=30,$AT$3&lt;=AK$7),ROUND(AK470*($AP$3+#REF!),-1),""))</f>
        <v/>
      </c>
      <c r="AM470" s="506" t="s">
        <v>621</v>
      </c>
      <c r="AN470" s="503" t="str">
        <f>IF($G470="","",IF(AND($G470&gt;=30,$AT$3&lt;=AM$7),ROUND(AM470*($AP$3+#REF!),-1),""))</f>
        <v/>
      </c>
      <c r="AO470" s="503" t="e">
        <v>#REF!</v>
      </c>
      <c r="AP470" s="503" t="str">
        <f>IF($G470="","",IF(AND($G470&gt;=30,$AT$3&lt;=AO$7),ROUND(AO470*($AP$3+#REF!),-1),""))</f>
        <v/>
      </c>
      <c r="AQ470" s="503" t="s">
        <v>621</v>
      </c>
      <c r="AR470" s="503" t="str">
        <f>IF($G470="","",IF(AND($G470&gt;=30,$AT$3&lt;=AQ$7),ROUND(AQ470*($AP$3+#REF!),-1),""))</f>
        <v/>
      </c>
      <c r="AS470" s="503" t="s">
        <v>621</v>
      </c>
      <c r="AT470" s="503" t="str">
        <f>IF($G470="","",IF(AND($G470&gt;=30,$AT$3&lt;=AS$7),ROUND(AS470*($AP$3+#REF!),-1),""))</f>
        <v/>
      </c>
      <c r="AU470" s="503" t="s">
        <v>621</v>
      </c>
      <c r="AV470" s="503" t="str">
        <f>IF($G470="","",IF(AND($G470&gt;=30,$AT$3&lt;=AU$7),ROUND(AU470*($AP$3+#REF!),-1),""))</f>
        <v/>
      </c>
      <c r="AW470" s="503" t="s">
        <v>621</v>
      </c>
      <c r="AX470" s="503" t="str">
        <f>IF($G470="","",IF(AND($G470&gt;=30,$AT$3&lt;=AW$7),ROUND(AW470*($AP$3+#REF!),-1),""))</f>
        <v/>
      </c>
      <c r="AY470" s="503" t="s">
        <v>621</v>
      </c>
      <c r="AZ470" s="503" t="str">
        <f>IF($G470="","",IF(AND($G470&gt;=30,$AT$3&lt;=AY$7),ROUND(AY470*($AP$3+#REF!),-1),""))</f>
        <v/>
      </c>
      <c r="BA470" s="503" t="s">
        <v>621</v>
      </c>
      <c r="BB470" s="503" t="str">
        <f>IF($G470="","",IF(AND($G470&gt;=30,$AT$3&lt;=BA$7),ROUND(BA470*($AP$3+#REF!),-1),""))</f>
        <v/>
      </c>
      <c r="BC470" s="503" t="s">
        <v>621</v>
      </c>
      <c r="BD470" s="503" t="str">
        <f>IF($G470="","",IF(AND($G470&gt;=30,$AT$3&lt;=BC$7),ROUND(BC470*($AP$3+#REF!),-1),""))</f>
        <v/>
      </c>
      <c r="BE470" s="503" t="s">
        <v>621</v>
      </c>
      <c r="BF470" s="503" t="str">
        <f>IF($G470="","",IF(AND($G470&gt;=30,$AT$3&lt;=BE$7),ROUND(BE470*($AP$3+#REF!),-1),""))</f>
        <v/>
      </c>
      <c r="BG470" s="503" t="s">
        <v>621</v>
      </c>
      <c r="BH470" s="503" t="str">
        <f>IF($G470="","",IF(AND($G470&gt;=30,$AT$3&lt;=BG$7),ROUND(BG470*($AP$3+#REF!),-1),""))</f>
        <v/>
      </c>
      <c r="BI470" s="503" t="s">
        <v>621</v>
      </c>
      <c r="BJ470" s="503" t="str">
        <f>IF($G470="","",IF(AND($G470&gt;=30,$AT$3&lt;=BI$7),ROUND(BI470*($AP$3+#REF!),-1),""))</f>
        <v/>
      </c>
      <c r="BK470" s="503" t="s">
        <v>621</v>
      </c>
      <c r="BL470" s="503" t="str">
        <f>IF($G470="","",IF(AND($G470&gt;=30,$AT$3&lt;=BK$7),ROUND(BK470*($AP$3+#REF!),-1),""))</f>
        <v/>
      </c>
      <c r="BM470" s="503" t="s">
        <v>621</v>
      </c>
      <c r="BN470" s="503" t="str">
        <f>IF($G470="","",IF(AND($G470&gt;=30,$AT$3&lt;=BM$7),ROUND(BM470*($AP$3+#REF!),-1),""))</f>
        <v/>
      </c>
      <c r="BO470" s="503" t="s">
        <v>621</v>
      </c>
      <c r="BP470" s="503" t="str">
        <f>IF($G470="","",IF(AND($G470&gt;=30,$AT$3&lt;=BO$7),ROUND(BO470*($AP$3+#REF!),-1),""))</f>
        <v/>
      </c>
      <c r="BQ470" s="503" t="s">
        <v>621</v>
      </c>
      <c r="BR470" s="503" t="str">
        <f>IF($G470="","",IF(AND($G470&gt;=30,$AT$3&lt;=BQ$7),ROUND(BQ470*($AP$3+#REF!),-1),""))</f>
        <v/>
      </c>
      <c r="BS470" s="503" t="s">
        <v>621</v>
      </c>
      <c r="BT470" s="503" t="str">
        <f>IF($G470="","",IF(AND($G470&gt;=30,$AT$3&lt;=BS$7),ROUND(BS470*($AP$3+#REF!),-1),""))</f>
        <v/>
      </c>
      <c r="BU470" s="503" t="s">
        <v>621</v>
      </c>
      <c r="BV470" s="503" t="str">
        <f>IF($G470="","",IF(AND($G470&gt;=30,$AT$3&lt;=BU$7),ROUND(BU470*($AP$3+#REF!),-1),""))</f>
        <v/>
      </c>
      <c r="BW470" s="503" t="s">
        <v>621</v>
      </c>
      <c r="BX470" s="503" t="str">
        <f>IF($G470="","",IF(AND($G470&gt;=30,$AT$3&lt;=BW$7),ROUND(BW470*($AP$3+#REF!),-1),""))</f>
        <v/>
      </c>
      <c r="BY470" s="503" t="s">
        <v>621</v>
      </c>
      <c r="BZ470" s="503" t="str">
        <f>IF($G470="","",IF(AND($G470&gt;=30,$AT$3&lt;=BY$7),ROUND(BY470*($AP$3+#REF!),-1),""))</f>
        <v/>
      </c>
      <c r="CA470" s="503" t="s">
        <v>621</v>
      </c>
      <c r="CB470" s="503" t="str">
        <f>IF($G470="","",IF(AND($G470&gt;=30,$AT$3&lt;=CA$7),ROUND(CA470*($AP$3+#REF!),-1),""))</f>
        <v/>
      </c>
      <c r="CC470" s="503" t="s">
        <v>621</v>
      </c>
      <c r="CD470" s="503" t="str">
        <f>IF($G470="","",IF(AND($G470&gt;=30,$AT$3&lt;=CC$7),ROUND(CC470*($AP$3+#REF!),-1),""))</f>
        <v/>
      </c>
      <c r="CE470" s="503" t="s">
        <v>621</v>
      </c>
      <c r="CF470" s="503" t="str">
        <f>IF($G470="","",IF(AND($G470&gt;=30,$AT$3&lt;=CE$7),ROUND(CE470*($AP$3+#REF!),-1),""))</f>
        <v/>
      </c>
      <c r="CG470" s="503" t="s">
        <v>621</v>
      </c>
      <c r="CH470" s="503" t="str">
        <f>IF($G470="","",IF(AND($G470&gt;=30,$AT$3&lt;=CG$7),ROUND(CG470*($AP$3+#REF!),-1),""))</f>
        <v/>
      </c>
      <c r="CI470" s="503" t="s">
        <v>621</v>
      </c>
      <c r="CJ470" s="503" t="str">
        <f>IF($G470="","",IF(AND($G470&gt;=30,$AT$3&lt;=CI$7),ROUND(CI470*($AP$3+#REF!),-1),""))</f>
        <v/>
      </c>
      <c r="CK470" s="503" t="s">
        <v>621</v>
      </c>
      <c r="CL470" s="503" t="str">
        <f>IF($G470="","",IF(AND($G470&gt;=30,$AT$3&lt;=CK$7),ROUND(CK470*($AP$3+#REF!),-1),""))</f>
        <v/>
      </c>
      <c r="CM470" s="503" t="s">
        <v>621</v>
      </c>
      <c r="CN470" s="503" t="str">
        <f>IF($G470="","",IF(AND($G470&gt;=30,$AT$3&lt;=CM$7),ROUND(CM470*($AP$3+#REF!),-1),""))</f>
        <v/>
      </c>
      <c r="CO470" s="503" t="s">
        <v>621</v>
      </c>
      <c r="CP470" s="503" t="str">
        <f>IF($G470="","",IF(AND($G470&gt;=30,$AT$3&lt;=CO$7),ROUND(CO470*($AP$3+#REF!),-1),""))</f>
        <v/>
      </c>
      <c r="CQ470" s="503" t="s">
        <v>621</v>
      </c>
      <c r="CR470" s="503" t="str">
        <f>IF($G470="","",IF(AND($G470&gt;=30,$AT$3&lt;=CQ$7),ROUND(CQ470*($AP$3+#REF!),-1),""))</f>
        <v/>
      </c>
      <c r="CS470" s="503" t="s">
        <v>621</v>
      </c>
      <c r="CT470" s="503" t="str">
        <f>IF($G470="","",IF(AND($G470&gt;=30,$AT$3&lt;=CS$7),ROUND(CS470*($AP$3+#REF!),-1),""))</f>
        <v/>
      </c>
      <c r="CU470" s="503" t="s">
        <v>621</v>
      </c>
      <c r="CV470" s="503" t="str">
        <f>IF($G470="","",IF(AND($G470&gt;=30,$AT$3&lt;=CU$7),ROUND(CU470*($AP$3+#REF!),-1),""))</f>
        <v/>
      </c>
      <c r="CW470" s="503" t="s">
        <v>621</v>
      </c>
      <c r="CX470" s="503" t="str">
        <f>IF($G470="","",IF(AND($G470&gt;=30,$AT$3&lt;=CW$7),ROUND(CW470*($AP$3+#REF!),-1),""))</f>
        <v/>
      </c>
      <c r="CY470" s="503" t="s">
        <v>621</v>
      </c>
      <c r="CZ470" s="503" t="str">
        <f>IF($G470="","",IF(AND($G470&gt;=30,$AT$3&lt;=CY$7),ROUND(CY470*($AP$3+#REF!),-1),""))</f>
        <v/>
      </c>
      <c r="DA470" s="503" t="s">
        <v>621</v>
      </c>
      <c r="DB470" s="503" t="str">
        <f>IF($G470="","",IF(AND($G470&gt;=30,$AT$3&lt;=DA$7),ROUND(DA470*($AP$3+#REF!),-1),""))</f>
        <v/>
      </c>
      <c r="DC470" s="503" t="s">
        <v>621</v>
      </c>
      <c r="DD470" s="503" t="str">
        <f>IF($G470="","",IF(AND($G470&gt;=30,$AT$3&lt;=DC$7),ROUND(DC470*($AP$3+#REF!),-1),""))</f>
        <v/>
      </c>
      <c r="DE470" s="517" t="e">
        <v>#REF!</v>
      </c>
      <c r="DF470" s="503" t="str">
        <f>IF($G470="","",IF(AND($G470&gt;=30,$AT$3&lt;=DE$7),ROUND(DE470*($AP$3+#REF!),-1),""))</f>
        <v/>
      </c>
      <c r="DG470" s="517"/>
      <c r="DH470" s="503" t="str">
        <f>IF($G470="","",IF(AND($G470&gt;=30,$AT$3&lt;=DG$7),ROUND(DG470*($AP$3+#REF!),-1),""))</f>
        <v/>
      </c>
      <c r="DI470" s="517"/>
      <c r="DJ470" s="503" t="str">
        <f>IF($G470="","",IF(AND($G470&gt;=30,$AT$3&lt;=DI$7),ROUND(DI470*($AP$3+#REF!),-1),""))</f>
        <v/>
      </c>
      <c r="DK470" s="517"/>
      <c r="DL470" s="503" t="str">
        <f>IF($G470="","",IF(AND($G470&gt;=30,$AT$3&lt;=DK$7),ROUND(DK470*($AP$3+#REF!),-1),""))</f>
        <v/>
      </c>
      <c r="DM470" s="517"/>
      <c r="DN470" s="503" t="str">
        <f>IF($G470="","",IF(AND($G470&gt;=30,$AT$3&lt;=DM$7),ROUND(DM470*($AP$3+#REF!),-1),""))</f>
        <v/>
      </c>
      <c r="DO470" s="517"/>
      <c r="DP470" s="503" t="str">
        <f>IF($G470="","",IF(AND($G470&gt;=30,$AT$3&lt;=DO$7),ROUND(DO470*($AP$3+#REF!),-1),""))</f>
        <v/>
      </c>
      <c r="DQ470" s="517"/>
      <c r="DR470" s="503" t="str">
        <f>IF($G470="","",IF(AND($G470&gt;=30,$AT$3&lt;=DQ$7),ROUND(DQ470*($AP$3+#REF!),-1),""))</f>
        <v/>
      </c>
      <c r="DS470" s="517"/>
      <c r="DT470" s="503" t="str">
        <f>IF($G470="","",IF(AND($G470&gt;=30,$AT$3&lt;=DS$7),ROUND(DS470*($AP$3+#REF!),-1),""))</f>
        <v/>
      </c>
      <c r="DU470" s="517"/>
      <c r="DV470" s="503" t="str">
        <f>IF($G470="","",IF(AND($G470&gt;=30,$AT$3&lt;=DU$7),ROUND(DU470*($AP$3+#REF!),-1),""))</f>
        <v/>
      </c>
      <c r="DW470" s="517"/>
      <c r="DX470" s="503" t="str">
        <f>IF($G470="","",IF(AND($G470&gt;=30,$AT$3&lt;=DW$7),ROUND(DW470*($AP$3+#REF!),-1),""))</f>
        <v/>
      </c>
      <c r="DY470" s="517"/>
      <c r="DZ470" s="503" t="str">
        <f>IF($G470="","",IF(AND($G470&gt;=30,$AT$3&lt;=DY$7),ROUND(DY470*($AP$3+#REF!),-1),""))</f>
        <v/>
      </c>
      <c r="EA470" s="517"/>
      <c r="EB470" s="503" t="str">
        <f>IF($G470="","",IF(AND($G470&gt;=30,$AT$3&lt;=EA$7),ROUND(EA470*($AP$3+#REF!),-1),""))</f>
        <v/>
      </c>
      <c r="EC470" s="504" t="s">
        <v>621</v>
      </c>
      <c r="ED470" s="1126"/>
      <c r="EE470" s="325">
        <v>6</v>
      </c>
    </row>
    <row r="471" spans="1:135" ht="9.75" customHeight="1">
      <c r="A471" s="321" t="str">
        <f t="shared" si="110"/>
        <v/>
      </c>
      <c r="B471" s="567">
        <f>(ii!$D$13*12+V471)+1</f>
        <v>365</v>
      </c>
      <c r="C471" s="337">
        <f t="shared" si="114"/>
        <v>56461</v>
      </c>
      <c r="D471" s="484">
        <f t="shared" si="103"/>
        <v>2054</v>
      </c>
      <c r="E471" s="484">
        <f t="shared" si="115"/>
        <v>0.58333333333333337</v>
      </c>
      <c r="F471" s="484">
        <f t="shared" si="104"/>
        <v>2054.5833333333335</v>
      </c>
      <c r="G471" s="485" t="str">
        <f>IF(OR(C471&lt;$I$2,C471&gt;$J$3),"",(ii!$D$13*12+V471+1)/12)</f>
        <v/>
      </c>
      <c r="H471" s="486"/>
      <c r="I471" s="486"/>
      <c r="J471" s="487"/>
      <c r="K471" s="488"/>
      <c r="L471" s="548"/>
      <c r="M471" s="489" t="str">
        <f t="shared" si="105"/>
        <v/>
      </c>
      <c r="N471" s="490" t="s">
        <v>621</v>
      </c>
      <c r="O471" s="490" t="str">
        <f t="shared" si="112"/>
        <v/>
      </c>
      <c r="P471" s="491"/>
      <c r="Q471" s="491"/>
      <c r="R471" s="491" t="str">
        <f t="shared" si="113"/>
        <v/>
      </c>
      <c r="S471" s="528" t="str">
        <f t="shared" si="111"/>
        <v/>
      </c>
      <c r="T471" s="528" t="str">
        <f t="shared" si="109"/>
        <v/>
      </c>
      <c r="U471" s="493" t="str">
        <f>IF(H471="","",#REF!*12+#REF!+#REF!*12+#REF!)</f>
        <v/>
      </c>
      <c r="V471" s="338">
        <f>IF(ii!$J$3&gt;gg!C471,"",IF(AND((YEAR(C471)=YEAR($I$2)),MONTH(C471)=MONTH($I$2)),ii!$B$14*12+ii!$C$14+ii!$B$15*12+ii!$C$15-1,V470+1))</f>
        <v>364</v>
      </c>
      <c r="W471" s="339">
        <f t="shared" si="116"/>
        <v>30.333333333333332</v>
      </c>
      <c r="X471" s="494" t="s">
        <v>621</v>
      </c>
      <c r="Y471" s="495" t="s">
        <v>621</v>
      </c>
      <c r="Z471" s="496"/>
      <c r="AA471" s="497"/>
      <c r="AB471" s="498" t="e">
        <f t="shared" si="108"/>
        <v>#VALUE!</v>
      </c>
      <c r="AC471" s="484" t="str">
        <f t="shared" si="106"/>
        <v/>
      </c>
      <c r="AD471" s="495" t="str">
        <f t="shared" si="107"/>
        <v/>
      </c>
      <c r="AE471" s="499" t="s">
        <v>621</v>
      </c>
      <c r="AF471" s="500" t="s">
        <v>621</v>
      </c>
      <c r="AG471" s="556" t="s">
        <v>621</v>
      </c>
      <c r="AH471" s="503" t="str">
        <f>IF($G471="","",IF(AND($G471&gt;=30,$AT$3&lt;=AG$7),ROUND(AG471*($AP$3+#REF!),-1),""))</f>
        <v/>
      </c>
      <c r="AI471" s="506" t="s">
        <v>621</v>
      </c>
      <c r="AJ471" s="503" t="str">
        <f>IF($G471="","",IF(AND($G471&gt;=30,$AT$3&lt;=AI$7),ROUND(AI471*($AP$3+#REF!),-1),""))</f>
        <v/>
      </c>
      <c r="AK471" s="506" t="s">
        <v>621</v>
      </c>
      <c r="AL471" s="503" t="str">
        <f>IF($G471="","",IF(AND($G471&gt;=30,$AT$3&lt;=AK$7),ROUND(AK471*($AP$3+#REF!),-1),""))</f>
        <v/>
      </c>
      <c r="AM471" s="506" t="s">
        <v>621</v>
      </c>
      <c r="AN471" s="503" t="str">
        <f>IF($G471="","",IF(AND($G471&gt;=30,$AT$3&lt;=AM$7),ROUND(AM471*($AP$3+#REF!),-1),""))</f>
        <v/>
      </c>
      <c r="AO471" s="503" t="e">
        <v>#REF!</v>
      </c>
      <c r="AP471" s="503" t="str">
        <f>IF($G471="","",IF(AND($G471&gt;=30,$AT$3&lt;=AO$7),ROUND(AO471*($AP$3+#REF!),-1),""))</f>
        <v/>
      </c>
      <c r="AQ471" s="503" t="s">
        <v>621</v>
      </c>
      <c r="AR471" s="503" t="str">
        <f>IF($G471="","",IF(AND($G471&gt;=30,$AT$3&lt;=AQ$7),ROUND(AQ471*($AP$3+#REF!),-1),""))</f>
        <v/>
      </c>
      <c r="AS471" s="503" t="s">
        <v>621</v>
      </c>
      <c r="AT471" s="503" t="str">
        <f>IF($G471="","",IF(AND($G471&gt;=30,$AT$3&lt;=AS$7),ROUND(AS471*($AP$3+#REF!),-1),""))</f>
        <v/>
      </c>
      <c r="AU471" s="503" t="s">
        <v>621</v>
      </c>
      <c r="AV471" s="503" t="str">
        <f>IF($G471="","",IF(AND($G471&gt;=30,$AT$3&lt;=AU$7),ROUND(AU471*($AP$3+#REF!),-1),""))</f>
        <v/>
      </c>
      <c r="AW471" s="503" t="s">
        <v>621</v>
      </c>
      <c r="AX471" s="503" t="str">
        <f>IF($G471="","",IF(AND($G471&gt;=30,$AT$3&lt;=AW$7),ROUND(AW471*($AP$3+#REF!),-1),""))</f>
        <v/>
      </c>
      <c r="AY471" s="503" t="s">
        <v>621</v>
      </c>
      <c r="AZ471" s="503" t="str">
        <f>IF($G471="","",IF(AND($G471&gt;=30,$AT$3&lt;=AY$7),ROUND(AY471*($AP$3+#REF!),-1),""))</f>
        <v/>
      </c>
      <c r="BA471" s="503" t="s">
        <v>621</v>
      </c>
      <c r="BB471" s="503" t="str">
        <f>IF($G471="","",IF(AND($G471&gt;=30,$AT$3&lt;=BA$7),ROUND(BA471*($AP$3+#REF!),-1),""))</f>
        <v/>
      </c>
      <c r="BC471" s="503" t="s">
        <v>621</v>
      </c>
      <c r="BD471" s="503" t="str">
        <f>IF($G471="","",IF(AND($G471&gt;=30,$AT$3&lt;=BC$7),ROUND(BC471*($AP$3+#REF!),-1),""))</f>
        <v/>
      </c>
      <c r="BE471" s="503" t="s">
        <v>621</v>
      </c>
      <c r="BF471" s="503" t="str">
        <f>IF($G471="","",IF(AND($G471&gt;=30,$AT$3&lt;=BE$7),ROUND(BE471*($AP$3+#REF!),-1),""))</f>
        <v/>
      </c>
      <c r="BG471" s="503" t="s">
        <v>621</v>
      </c>
      <c r="BH471" s="503" t="str">
        <f>IF($G471="","",IF(AND($G471&gt;=30,$AT$3&lt;=BG$7),ROUND(BG471*($AP$3+#REF!),-1),""))</f>
        <v/>
      </c>
      <c r="BI471" s="503" t="s">
        <v>621</v>
      </c>
      <c r="BJ471" s="503" t="str">
        <f>IF($G471="","",IF(AND($G471&gt;=30,$AT$3&lt;=BI$7),ROUND(BI471*($AP$3+#REF!),-1),""))</f>
        <v/>
      </c>
      <c r="BK471" s="503" t="s">
        <v>621</v>
      </c>
      <c r="BL471" s="503" t="str">
        <f>IF($G471="","",IF(AND($G471&gt;=30,$AT$3&lt;=BK$7),ROUND(BK471*($AP$3+#REF!),-1),""))</f>
        <v/>
      </c>
      <c r="BM471" s="503" t="s">
        <v>621</v>
      </c>
      <c r="BN471" s="503" t="str">
        <f>IF($G471="","",IF(AND($G471&gt;=30,$AT$3&lt;=BM$7),ROUND(BM471*($AP$3+#REF!),-1),""))</f>
        <v/>
      </c>
      <c r="BO471" s="503" t="s">
        <v>621</v>
      </c>
      <c r="BP471" s="503" t="str">
        <f>IF($G471="","",IF(AND($G471&gt;=30,$AT$3&lt;=BO$7),ROUND(BO471*($AP$3+#REF!),-1),""))</f>
        <v/>
      </c>
      <c r="BQ471" s="503" t="s">
        <v>621</v>
      </c>
      <c r="BR471" s="503" t="str">
        <f>IF($G471="","",IF(AND($G471&gt;=30,$AT$3&lt;=BQ$7),ROUND(BQ471*($AP$3+#REF!),-1),""))</f>
        <v/>
      </c>
      <c r="BS471" s="503" t="s">
        <v>621</v>
      </c>
      <c r="BT471" s="503" t="str">
        <f>IF($G471="","",IF(AND($G471&gt;=30,$AT$3&lt;=BS$7),ROUND(BS471*($AP$3+#REF!),-1),""))</f>
        <v/>
      </c>
      <c r="BU471" s="503" t="s">
        <v>621</v>
      </c>
      <c r="BV471" s="503" t="str">
        <f>IF($G471="","",IF(AND($G471&gt;=30,$AT$3&lt;=BU$7),ROUND(BU471*($AP$3+#REF!),-1),""))</f>
        <v/>
      </c>
      <c r="BW471" s="503" t="s">
        <v>621</v>
      </c>
      <c r="BX471" s="503" t="str">
        <f>IF($G471="","",IF(AND($G471&gt;=30,$AT$3&lt;=BW$7),ROUND(BW471*($AP$3+#REF!),-1),""))</f>
        <v/>
      </c>
      <c r="BY471" s="503" t="s">
        <v>621</v>
      </c>
      <c r="BZ471" s="503" t="str">
        <f>IF($G471="","",IF(AND($G471&gt;=30,$AT$3&lt;=BY$7),ROUND(BY471*($AP$3+#REF!),-1),""))</f>
        <v/>
      </c>
      <c r="CA471" s="503" t="s">
        <v>621</v>
      </c>
      <c r="CB471" s="503" t="str">
        <f>IF($G471="","",IF(AND($G471&gt;=30,$AT$3&lt;=CA$7),ROUND(CA471*($AP$3+#REF!),-1),""))</f>
        <v/>
      </c>
      <c r="CC471" s="503" t="s">
        <v>621</v>
      </c>
      <c r="CD471" s="503" t="str">
        <f>IF($G471="","",IF(AND($G471&gt;=30,$AT$3&lt;=CC$7),ROUND(CC471*($AP$3+#REF!),-1),""))</f>
        <v/>
      </c>
      <c r="CE471" s="503" t="s">
        <v>621</v>
      </c>
      <c r="CF471" s="503" t="str">
        <f>IF($G471="","",IF(AND($G471&gt;=30,$AT$3&lt;=CE$7),ROUND(CE471*($AP$3+#REF!),-1),""))</f>
        <v/>
      </c>
      <c r="CG471" s="503" t="s">
        <v>621</v>
      </c>
      <c r="CH471" s="503" t="str">
        <f>IF($G471="","",IF(AND($G471&gt;=30,$AT$3&lt;=CG$7),ROUND(CG471*($AP$3+#REF!),-1),""))</f>
        <v/>
      </c>
      <c r="CI471" s="503" t="s">
        <v>621</v>
      </c>
      <c r="CJ471" s="503" t="str">
        <f>IF($G471="","",IF(AND($G471&gt;=30,$AT$3&lt;=CI$7),ROUND(CI471*($AP$3+#REF!),-1),""))</f>
        <v/>
      </c>
      <c r="CK471" s="503" t="s">
        <v>621</v>
      </c>
      <c r="CL471" s="503" t="str">
        <f>IF($G471="","",IF(AND($G471&gt;=30,$AT$3&lt;=CK$7),ROUND(CK471*($AP$3+#REF!),-1),""))</f>
        <v/>
      </c>
      <c r="CM471" s="503" t="s">
        <v>621</v>
      </c>
      <c r="CN471" s="503" t="str">
        <f>IF($G471="","",IF(AND($G471&gt;=30,$AT$3&lt;=CM$7),ROUND(CM471*($AP$3+#REF!),-1),""))</f>
        <v/>
      </c>
      <c r="CO471" s="503" t="s">
        <v>621</v>
      </c>
      <c r="CP471" s="503" t="str">
        <f>IF($G471="","",IF(AND($G471&gt;=30,$AT$3&lt;=CO$7),ROUND(CO471*($AP$3+#REF!),-1),""))</f>
        <v/>
      </c>
      <c r="CQ471" s="503" t="s">
        <v>621</v>
      </c>
      <c r="CR471" s="503" t="str">
        <f>IF($G471="","",IF(AND($G471&gt;=30,$AT$3&lt;=CQ$7),ROUND(CQ471*($AP$3+#REF!),-1),""))</f>
        <v/>
      </c>
      <c r="CS471" s="503" t="s">
        <v>621</v>
      </c>
      <c r="CT471" s="503" t="str">
        <f>IF($G471="","",IF(AND($G471&gt;=30,$AT$3&lt;=CS$7),ROUND(CS471*($AP$3+#REF!),-1),""))</f>
        <v/>
      </c>
      <c r="CU471" s="503" t="s">
        <v>621</v>
      </c>
      <c r="CV471" s="503" t="str">
        <f>IF($G471="","",IF(AND($G471&gt;=30,$AT$3&lt;=CU$7),ROUND(CU471*($AP$3+#REF!),-1),""))</f>
        <v/>
      </c>
      <c r="CW471" s="503" t="s">
        <v>621</v>
      </c>
      <c r="CX471" s="503" t="str">
        <f>IF($G471="","",IF(AND($G471&gt;=30,$AT$3&lt;=CW$7),ROUND(CW471*($AP$3+#REF!),-1),""))</f>
        <v/>
      </c>
      <c r="CY471" s="503" t="s">
        <v>621</v>
      </c>
      <c r="CZ471" s="503" t="str">
        <f>IF($G471="","",IF(AND($G471&gt;=30,$AT$3&lt;=CY$7),ROUND(CY471*($AP$3+#REF!),-1),""))</f>
        <v/>
      </c>
      <c r="DA471" s="503" t="s">
        <v>621</v>
      </c>
      <c r="DB471" s="503" t="str">
        <f>IF($G471="","",IF(AND($G471&gt;=30,$AT$3&lt;=DA$7),ROUND(DA471*($AP$3+#REF!),-1),""))</f>
        <v/>
      </c>
      <c r="DC471" s="503" t="s">
        <v>621</v>
      </c>
      <c r="DD471" s="503" t="str">
        <f>IF($G471="","",IF(AND($G471&gt;=30,$AT$3&lt;=DC$7),ROUND(DC471*($AP$3+#REF!),-1),""))</f>
        <v/>
      </c>
      <c r="DE471" s="517" t="e">
        <v>#REF!</v>
      </c>
      <c r="DF471" s="503" t="str">
        <f>IF($G471="","",IF(AND($G471&gt;=30,$AT$3&lt;=DE$7),ROUND(DE471*($AP$3+#REF!),-1),""))</f>
        <v/>
      </c>
      <c r="DG471" s="517"/>
      <c r="DH471" s="503" t="str">
        <f>IF($G471="","",IF(AND($G471&gt;=30,$AT$3&lt;=DG$7),ROUND(DG471*($AP$3+#REF!),-1),""))</f>
        <v/>
      </c>
      <c r="DI471" s="517"/>
      <c r="DJ471" s="503" t="str">
        <f>IF($G471="","",IF(AND($G471&gt;=30,$AT$3&lt;=DI$7),ROUND(DI471*($AP$3+#REF!),-1),""))</f>
        <v/>
      </c>
      <c r="DK471" s="517"/>
      <c r="DL471" s="503" t="str">
        <f>IF($G471="","",IF(AND($G471&gt;=30,$AT$3&lt;=DK$7),ROUND(DK471*($AP$3+#REF!),-1),""))</f>
        <v/>
      </c>
      <c r="DM471" s="517"/>
      <c r="DN471" s="503" t="str">
        <f>IF($G471="","",IF(AND($G471&gt;=30,$AT$3&lt;=DM$7),ROUND(DM471*($AP$3+#REF!),-1),""))</f>
        <v/>
      </c>
      <c r="DO471" s="517"/>
      <c r="DP471" s="503" t="str">
        <f>IF($G471="","",IF(AND($G471&gt;=30,$AT$3&lt;=DO$7),ROUND(DO471*($AP$3+#REF!),-1),""))</f>
        <v/>
      </c>
      <c r="DQ471" s="517"/>
      <c r="DR471" s="503" t="str">
        <f>IF($G471="","",IF(AND($G471&gt;=30,$AT$3&lt;=DQ$7),ROUND(DQ471*($AP$3+#REF!),-1),""))</f>
        <v/>
      </c>
      <c r="DS471" s="517"/>
      <c r="DT471" s="503" t="str">
        <f>IF($G471="","",IF(AND($G471&gt;=30,$AT$3&lt;=DS$7),ROUND(DS471*($AP$3+#REF!),-1),""))</f>
        <v/>
      </c>
      <c r="DU471" s="517"/>
      <c r="DV471" s="503" t="str">
        <f>IF($G471="","",IF(AND($G471&gt;=30,$AT$3&lt;=DU$7),ROUND(DU471*($AP$3+#REF!),-1),""))</f>
        <v/>
      </c>
      <c r="DW471" s="517"/>
      <c r="DX471" s="503" t="str">
        <f>IF($G471="","",IF(AND($G471&gt;=30,$AT$3&lt;=DW$7),ROUND(DW471*($AP$3+#REF!),-1),""))</f>
        <v/>
      </c>
      <c r="DY471" s="517"/>
      <c r="DZ471" s="503" t="str">
        <f>IF($G471="","",IF(AND($G471&gt;=30,$AT$3&lt;=DY$7),ROUND(DY471*($AP$3+#REF!),-1),""))</f>
        <v/>
      </c>
      <c r="EA471" s="517"/>
      <c r="EB471" s="503" t="str">
        <f>IF($G471="","",IF(AND($G471&gt;=30,$AT$3&lt;=EA$7),ROUND(EA471*($AP$3+#REF!),-1),""))</f>
        <v/>
      </c>
      <c r="EC471" s="504" t="s">
        <v>621</v>
      </c>
      <c r="ED471" s="1126"/>
      <c r="EE471" s="325">
        <v>7</v>
      </c>
    </row>
    <row r="472" spans="1:135" ht="9.75" customHeight="1">
      <c r="A472" s="321" t="str">
        <f t="shared" si="110"/>
        <v/>
      </c>
      <c r="B472" s="567">
        <f>(ii!$D$13*12+V472)+1</f>
        <v>366</v>
      </c>
      <c r="C472" s="337">
        <f t="shared" si="114"/>
        <v>56492</v>
      </c>
      <c r="D472" s="484">
        <f t="shared" si="103"/>
        <v>2054</v>
      </c>
      <c r="E472" s="484">
        <f t="shared" si="115"/>
        <v>0.66666666666666663</v>
      </c>
      <c r="F472" s="484">
        <f t="shared" si="104"/>
        <v>2054.6666666666665</v>
      </c>
      <c r="G472" s="485" t="str">
        <f>IF(OR(C472&lt;$I$2,C472&gt;$J$3),"",(ii!$D$13*12+V472+1)/12)</f>
        <v/>
      </c>
      <c r="H472" s="486"/>
      <c r="I472" s="486"/>
      <c r="J472" s="487"/>
      <c r="K472" s="488"/>
      <c r="L472" s="548"/>
      <c r="M472" s="489" t="str">
        <f t="shared" si="105"/>
        <v/>
      </c>
      <c r="N472" s="490" t="s">
        <v>621</v>
      </c>
      <c r="O472" s="490" t="str">
        <f t="shared" si="112"/>
        <v/>
      </c>
      <c r="P472" s="491"/>
      <c r="Q472" s="491"/>
      <c r="R472" s="491" t="str">
        <f t="shared" si="113"/>
        <v/>
      </c>
      <c r="S472" s="528" t="str">
        <f t="shared" si="111"/>
        <v/>
      </c>
      <c r="T472" s="528" t="str">
        <f t="shared" si="109"/>
        <v/>
      </c>
      <c r="U472" s="493" t="str">
        <f>IF(H472="","",#REF!*12+#REF!+#REF!*12+#REF!)</f>
        <v/>
      </c>
      <c r="V472" s="338">
        <f>IF(ii!$J$3&gt;gg!C472,"",IF(AND((YEAR(C472)=YEAR($I$2)),MONTH(C472)=MONTH($I$2)),ii!$B$14*12+ii!$C$14+ii!$B$15*12+ii!$C$15-1,V471+1))</f>
        <v>365</v>
      </c>
      <c r="W472" s="339">
        <f t="shared" si="116"/>
        <v>30.416666666666668</v>
      </c>
      <c r="X472" s="494" t="s">
        <v>621</v>
      </c>
      <c r="Y472" s="495" t="s">
        <v>621</v>
      </c>
      <c r="Z472" s="496"/>
      <c r="AA472" s="497"/>
      <c r="AB472" s="498" t="e">
        <f t="shared" si="108"/>
        <v>#VALUE!</v>
      </c>
      <c r="AC472" s="484" t="str">
        <f t="shared" si="106"/>
        <v/>
      </c>
      <c r="AD472" s="495" t="str">
        <f t="shared" si="107"/>
        <v/>
      </c>
      <c r="AE472" s="499" t="s">
        <v>621</v>
      </c>
      <c r="AF472" s="500" t="s">
        <v>621</v>
      </c>
      <c r="AG472" s="556" t="s">
        <v>621</v>
      </c>
      <c r="AH472" s="503" t="str">
        <f>IF($G472="","",IF(AND($G472&gt;=30,$AT$3&lt;=AG$7),ROUND(AG472*($AP$3+#REF!),-1),""))</f>
        <v/>
      </c>
      <c r="AI472" s="506" t="s">
        <v>621</v>
      </c>
      <c r="AJ472" s="503" t="str">
        <f>IF($G472="","",IF(AND($G472&gt;=30,$AT$3&lt;=AI$7),ROUND(AI472*($AP$3+#REF!),-1),""))</f>
        <v/>
      </c>
      <c r="AK472" s="506" t="s">
        <v>621</v>
      </c>
      <c r="AL472" s="503" t="str">
        <f>IF($G472="","",IF(AND($G472&gt;=30,$AT$3&lt;=AK$7),ROUND(AK472*($AP$3+#REF!),-1),""))</f>
        <v/>
      </c>
      <c r="AM472" s="506" t="s">
        <v>621</v>
      </c>
      <c r="AN472" s="503" t="str">
        <f>IF($G472="","",IF(AND($G472&gt;=30,$AT$3&lt;=AM$7),ROUND(AM472*($AP$3+#REF!),-1),""))</f>
        <v/>
      </c>
      <c r="AO472" s="503" t="e">
        <v>#REF!</v>
      </c>
      <c r="AP472" s="503" t="str">
        <f>IF($G472="","",IF(AND($G472&gt;=30,$AT$3&lt;=AO$7),ROUND(AO472*($AP$3+#REF!),-1),""))</f>
        <v/>
      </c>
      <c r="AQ472" s="503" t="s">
        <v>621</v>
      </c>
      <c r="AR472" s="503" t="str">
        <f>IF($G472="","",IF(AND($G472&gt;=30,$AT$3&lt;=AQ$7),ROUND(AQ472*($AP$3+#REF!),-1),""))</f>
        <v/>
      </c>
      <c r="AS472" s="503" t="s">
        <v>621</v>
      </c>
      <c r="AT472" s="503" t="str">
        <f>IF($G472="","",IF(AND($G472&gt;=30,$AT$3&lt;=AS$7),ROUND(AS472*($AP$3+#REF!),-1),""))</f>
        <v/>
      </c>
      <c r="AU472" s="503" t="s">
        <v>621</v>
      </c>
      <c r="AV472" s="503" t="str">
        <f>IF($G472="","",IF(AND($G472&gt;=30,$AT$3&lt;=AU$7),ROUND(AU472*($AP$3+#REF!),-1),""))</f>
        <v/>
      </c>
      <c r="AW472" s="503" t="s">
        <v>621</v>
      </c>
      <c r="AX472" s="503" t="str">
        <f>IF($G472="","",IF(AND($G472&gt;=30,$AT$3&lt;=AW$7),ROUND(AW472*($AP$3+#REF!),-1),""))</f>
        <v/>
      </c>
      <c r="AY472" s="503" t="s">
        <v>621</v>
      </c>
      <c r="AZ472" s="503" t="str">
        <f>IF($G472="","",IF(AND($G472&gt;=30,$AT$3&lt;=AY$7),ROUND(AY472*($AP$3+#REF!),-1),""))</f>
        <v/>
      </c>
      <c r="BA472" s="503" t="s">
        <v>621</v>
      </c>
      <c r="BB472" s="503" t="str">
        <f>IF($G472="","",IF(AND($G472&gt;=30,$AT$3&lt;=BA$7),ROUND(BA472*($AP$3+#REF!),-1),""))</f>
        <v/>
      </c>
      <c r="BC472" s="503" t="s">
        <v>621</v>
      </c>
      <c r="BD472" s="503" t="str">
        <f>IF($G472="","",IF(AND($G472&gt;=30,$AT$3&lt;=BC$7),ROUND(BC472*($AP$3+#REF!),-1),""))</f>
        <v/>
      </c>
      <c r="BE472" s="503" t="s">
        <v>621</v>
      </c>
      <c r="BF472" s="503" t="str">
        <f>IF($G472="","",IF(AND($G472&gt;=30,$AT$3&lt;=BE$7),ROUND(BE472*($AP$3+#REF!),-1),""))</f>
        <v/>
      </c>
      <c r="BG472" s="503" t="s">
        <v>621</v>
      </c>
      <c r="BH472" s="503" t="str">
        <f>IF($G472="","",IF(AND($G472&gt;=30,$AT$3&lt;=BG$7),ROUND(BG472*($AP$3+#REF!),-1),""))</f>
        <v/>
      </c>
      <c r="BI472" s="503" t="s">
        <v>621</v>
      </c>
      <c r="BJ472" s="503" t="str">
        <f>IF($G472="","",IF(AND($G472&gt;=30,$AT$3&lt;=BI$7),ROUND(BI472*($AP$3+#REF!),-1),""))</f>
        <v/>
      </c>
      <c r="BK472" s="503" t="s">
        <v>621</v>
      </c>
      <c r="BL472" s="503" t="str">
        <f>IF($G472="","",IF(AND($G472&gt;=30,$AT$3&lt;=BK$7),ROUND(BK472*($AP$3+#REF!),-1),""))</f>
        <v/>
      </c>
      <c r="BM472" s="503" t="s">
        <v>621</v>
      </c>
      <c r="BN472" s="503" t="str">
        <f>IF($G472="","",IF(AND($G472&gt;=30,$AT$3&lt;=BM$7),ROUND(BM472*($AP$3+#REF!),-1),""))</f>
        <v/>
      </c>
      <c r="BO472" s="503" t="s">
        <v>621</v>
      </c>
      <c r="BP472" s="503" t="str">
        <f>IF($G472="","",IF(AND($G472&gt;=30,$AT$3&lt;=BO$7),ROUND(BO472*($AP$3+#REF!),-1),""))</f>
        <v/>
      </c>
      <c r="BQ472" s="503" t="s">
        <v>621</v>
      </c>
      <c r="BR472" s="503" t="str">
        <f>IF($G472="","",IF(AND($G472&gt;=30,$AT$3&lt;=BQ$7),ROUND(BQ472*($AP$3+#REF!),-1),""))</f>
        <v/>
      </c>
      <c r="BS472" s="503" t="s">
        <v>621</v>
      </c>
      <c r="BT472" s="503" t="str">
        <f>IF($G472="","",IF(AND($G472&gt;=30,$AT$3&lt;=BS$7),ROUND(BS472*($AP$3+#REF!),-1),""))</f>
        <v/>
      </c>
      <c r="BU472" s="503" t="s">
        <v>621</v>
      </c>
      <c r="BV472" s="503" t="str">
        <f>IF($G472="","",IF(AND($G472&gt;=30,$AT$3&lt;=BU$7),ROUND(BU472*($AP$3+#REF!),-1),""))</f>
        <v/>
      </c>
      <c r="BW472" s="503" t="s">
        <v>621</v>
      </c>
      <c r="BX472" s="503" t="str">
        <f>IF($G472="","",IF(AND($G472&gt;=30,$AT$3&lt;=BW$7),ROUND(BW472*($AP$3+#REF!),-1),""))</f>
        <v/>
      </c>
      <c r="BY472" s="503" t="s">
        <v>621</v>
      </c>
      <c r="BZ472" s="503" t="str">
        <f>IF($G472="","",IF(AND($G472&gt;=30,$AT$3&lt;=BY$7),ROUND(BY472*($AP$3+#REF!),-1),""))</f>
        <v/>
      </c>
      <c r="CA472" s="503" t="s">
        <v>621</v>
      </c>
      <c r="CB472" s="503" t="str">
        <f>IF($G472="","",IF(AND($G472&gt;=30,$AT$3&lt;=CA$7),ROUND(CA472*($AP$3+#REF!),-1),""))</f>
        <v/>
      </c>
      <c r="CC472" s="503" t="s">
        <v>621</v>
      </c>
      <c r="CD472" s="503" t="str">
        <f>IF($G472="","",IF(AND($G472&gt;=30,$AT$3&lt;=CC$7),ROUND(CC472*($AP$3+#REF!),-1),""))</f>
        <v/>
      </c>
      <c r="CE472" s="503" t="s">
        <v>621</v>
      </c>
      <c r="CF472" s="503" t="str">
        <f>IF($G472="","",IF(AND($G472&gt;=30,$AT$3&lt;=CE$7),ROUND(CE472*($AP$3+#REF!),-1),""))</f>
        <v/>
      </c>
      <c r="CG472" s="503" t="s">
        <v>621</v>
      </c>
      <c r="CH472" s="503" t="str">
        <f>IF($G472="","",IF(AND($G472&gt;=30,$AT$3&lt;=CG$7),ROUND(CG472*($AP$3+#REF!),-1),""))</f>
        <v/>
      </c>
      <c r="CI472" s="503" t="s">
        <v>621</v>
      </c>
      <c r="CJ472" s="503" t="str">
        <f>IF($G472="","",IF(AND($G472&gt;=30,$AT$3&lt;=CI$7),ROUND(CI472*($AP$3+#REF!),-1),""))</f>
        <v/>
      </c>
      <c r="CK472" s="503" t="s">
        <v>621</v>
      </c>
      <c r="CL472" s="503" t="str">
        <f>IF($G472="","",IF(AND($G472&gt;=30,$AT$3&lt;=CK$7),ROUND(CK472*($AP$3+#REF!),-1),""))</f>
        <v/>
      </c>
      <c r="CM472" s="503" t="s">
        <v>621</v>
      </c>
      <c r="CN472" s="503" t="str">
        <f>IF($G472="","",IF(AND($G472&gt;=30,$AT$3&lt;=CM$7),ROUND(CM472*($AP$3+#REF!),-1),""))</f>
        <v/>
      </c>
      <c r="CO472" s="503" t="s">
        <v>621</v>
      </c>
      <c r="CP472" s="503" t="str">
        <f>IF($G472="","",IF(AND($G472&gt;=30,$AT$3&lt;=CO$7),ROUND(CO472*($AP$3+#REF!),-1),""))</f>
        <v/>
      </c>
      <c r="CQ472" s="503" t="s">
        <v>621</v>
      </c>
      <c r="CR472" s="503" t="str">
        <f>IF($G472="","",IF(AND($G472&gt;=30,$AT$3&lt;=CQ$7),ROUND(CQ472*($AP$3+#REF!),-1),""))</f>
        <v/>
      </c>
      <c r="CS472" s="503" t="s">
        <v>621</v>
      </c>
      <c r="CT472" s="503" t="str">
        <f>IF($G472="","",IF(AND($G472&gt;=30,$AT$3&lt;=CS$7),ROUND(CS472*($AP$3+#REF!),-1),""))</f>
        <v/>
      </c>
      <c r="CU472" s="503" t="s">
        <v>621</v>
      </c>
      <c r="CV472" s="503" t="str">
        <f>IF($G472="","",IF(AND($G472&gt;=30,$AT$3&lt;=CU$7),ROUND(CU472*($AP$3+#REF!),-1),""))</f>
        <v/>
      </c>
      <c r="CW472" s="503" t="s">
        <v>621</v>
      </c>
      <c r="CX472" s="503" t="str">
        <f>IF($G472="","",IF(AND($G472&gt;=30,$AT$3&lt;=CW$7),ROUND(CW472*($AP$3+#REF!),-1),""))</f>
        <v/>
      </c>
      <c r="CY472" s="503" t="s">
        <v>621</v>
      </c>
      <c r="CZ472" s="503" t="str">
        <f>IF($G472="","",IF(AND($G472&gt;=30,$AT$3&lt;=CY$7),ROUND(CY472*($AP$3+#REF!),-1),""))</f>
        <v/>
      </c>
      <c r="DA472" s="503" t="s">
        <v>621</v>
      </c>
      <c r="DB472" s="503" t="str">
        <f>IF($G472="","",IF(AND($G472&gt;=30,$AT$3&lt;=DA$7),ROUND(DA472*($AP$3+#REF!),-1),""))</f>
        <v/>
      </c>
      <c r="DC472" s="503" t="s">
        <v>621</v>
      </c>
      <c r="DD472" s="503" t="str">
        <f>IF($G472="","",IF(AND($G472&gt;=30,$AT$3&lt;=DC$7),ROUND(DC472*($AP$3+#REF!),-1),""))</f>
        <v/>
      </c>
      <c r="DE472" s="517" t="e">
        <v>#REF!</v>
      </c>
      <c r="DF472" s="503" t="str">
        <f>IF($G472="","",IF(AND($G472&gt;=30,$AT$3&lt;=DE$7),ROUND(DE472*($AP$3+#REF!),-1),""))</f>
        <v/>
      </c>
      <c r="DG472" s="517"/>
      <c r="DH472" s="503" t="str">
        <f>IF($G472="","",IF(AND($G472&gt;=30,$AT$3&lt;=DG$7),ROUND(DG472*($AP$3+#REF!),-1),""))</f>
        <v/>
      </c>
      <c r="DI472" s="517"/>
      <c r="DJ472" s="503" t="str">
        <f>IF($G472="","",IF(AND($G472&gt;=30,$AT$3&lt;=DI$7),ROUND(DI472*($AP$3+#REF!),-1),""))</f>
        <v/>
      </c>
      <c r="DK472" s="517"/>
      <c r="DL472" s="503" t="str">
        <f>IF($G472="","",IF(AND($G472&gt;=30,$AT$3&lt;=DK$7),ROUND(DK472*($AP$3+#REF!),-1),""))</f>
        <v/>
      </c>
      <c r="DM472" s="517"/>
      <c r="DN472" s="503" t="str">
        <f>IF($G472="","",IF(AND($G472&gt;=30,$AT$3&lt;=DM$7),ROUND(DM472*($AP$3+#REF!),-1),""))</f>
        <v/>
      </c>
      <c r="DO472" s="517"/>
      <c r="DP472" s="503" t="str">
        <f>IF($G472="","",IF(AND($G472&gt;=30,$AT$3&lt;=DO$7),ROUND(DO472*($AP$3+#REF!),-1),""))</f>
        <v/>
      </c>
      <c r="DQ472" s="517"/>
      <c r="DR472" s="503" t="str">
        <f>IF($G472="","",IF(AND($G472&gt;=30,$AT$3&lt;=DQ$7),ROUND(DQ472*($AP$3+#REF!),-1),""))</f>
        <v/>
      </c>
      <c r="DS472" s="517"/>
      <c r="DT472" s="503" t="str">
        <f>IF($G472="","",IF(AND($G472&gt;=30,$AT$3&lt;=DS$7),ROUND(DS472*($AP$3+#REF!),-1),""))</f>
        <v/>
      </c>
      <c r="DU472" s="517"/>
      <c r="DV472" s="503" t="str">
        <f>IF($G472="","",IF(AND($G472&gt;=30,$AT$3&lt;=DU$7),ROUND(DU472*($AP$3+#REF!),-1),""))</f>
        <v/>
      </c>
      <c r="DW472" s="517"/>
      <c r="DX472" s="503" t="str">
        <f>IF($G472="","",IF(AND($G472&gt;=30,$AT$3&lt;=DW$7),ROUND(DW472*($AP$3+#REF!),-1),""))</f>
        <v/>
      </c>
      <c r="DY472" s="517"/>
      <c r="DZ472" s="503" t="str">
        <f>IF($G472="","",IF(AND($G472&gt;=30,$AT$3&lt;=DY$7),ROUND(DY472*($AP$3+#REF!),-1),""))</f>
        <v/>
      </c>
      <c r="EA472" s="517"/>
      <c r="EB472" s="503" t="str">
        <f>IF($G472="","",IF(AND($G472&gt;=30,$AT$3&lt;=EA$7),ROUND(EA472*($AP$3+#REF!),-1),""))</f>
        <v/>
      </c>
      <c r="EC472" s="504" t="s">
        <v>621</v>
      </c>
      <c r="ED472" s="1126"/>
      <c r="EE472" s="325">
        <v>8</v>
      </c>
    </row>
    <row r="473" spans="1:135" ht="9.75" customHeight="1">
      <c r="A473" s="321" t="str">
        <f t="shared" si="110"/>
        <v/>
      </c>
      <c r="B473" s="567">
        <f>(ii!$D$13*12+V473)+1</f>
        <v>367</v>
      </c>
      <c r="C473" s="337">
        <f t="shared" si="114"/>
        <v>56522</v>
      </c>
      <c r="D473" s="484">
        <f t="shared" si="103"/>
        <v>2054</v>
      </c>
      <c r="E473" s="484">
        <f t="shared" si="115"/>
        <v>0.75</v>
      </c>
      <c r="F473" s="484">
        <f t="shared" si="104"/>
        <v>2054.75</v>
      </c>
      <c r="G473" s="485" t="str">
        <f>IF(OR(C473&lt;$I$2,C473&gt;$J$3),"",(ii!$D$13*12+V473+1)/12)</f>
        <v/>
      </c>
      <c r="H473" s="486"/>
      <c r="I473" s="486"/>
      <c r="J473" s="487"/>
      <c r="K473" s="488"/>
      <c r="L473" s="548"/>
      <c r="M473" s="489" t="str">
        <f t="shared" si="105"/>
        <v/>
      </c>
      <c r="N473" s="490" t="s">
        <v>621</v>
      </c>
      <c r="O473" s="490" t="str">
        <f t="shared" si="112"/>
        <v/>
      </c>
      <c r="P473" s="491"/>
      <c r="Q473" s="491"/>
      <c r="R473" s="491" t="str">
        <f t="shared" si="113"/>
        <v/>
      </c>
      <c r="S473" s="528" t="str">
        <f t="shared" si="111"/>
        <v/>
      </c>
      <c r="T473" s="528" t="str">
        <f t="shared" si="109"/>
        <v/>
      </c>
      <c r="U473" s="493" t="str">
        <f>IF(H473="","",#REF!*12+#REF!+#REF!*12+#REF!)</f>
        <v/>
      </c>
      <c r="V473" s="338">
        <f>IF(ii!$J$3&gt;gg!C473,"",IF(AND((YEAR(C473)=YEAR($I$2)),MONTH(C473)=MONTH($I$2)),ii!$B$14*12+ii!$C$14+ii!$B$15*12+ii!$C$15-1,V472+1))</f>
        <v>366</v>
      </c>
      <c r="W473" s="339">
        <f t="shared" si="116"/>
        <v>30.5</v>
      </c>
      <c r="X473" s="494" t="s">
        <v>621</v>
      </c>
      <c r="Y473" s="495" t="s">
        <v>621</v>
      </c>
      <c r="Z473" s="496"/>
      <c r="AA473" s="497"/>
      <c r="AB473" s="498" t="e">
        <f t="shared" si="108"/>
        <v>#VALUE!</v>
      </c>
      <c r="AC473" s="484" t="str">
        <f t="shared" si="106"/>
        <v/>
      </c>
      <c r="AD473" s="495" t="str">
        <f t="shared" si="107"/>
        <v/>
      </c>
      <c r="AE473" s="499" t="s">
        <v>621</v>
      </c>
      <c r="AF473" s="500" t="s">
        <v>621</v>
      </c>
      <c r="AG473" s="556" t="s">
        <v>621</v>
      </c>
      <c r="AH473" s="503" t="str">
        <f>IF($G473="","",IF(AND($G473&gt;=30,$AT$3&lt;=AG$7),ROUND(AG473*($AP$3+#REF!),-1),""))</f>
        <v/>
      </c>
      <c r="AI473" s="506" t="s">
        <v>621</v>
      </c>
      <c r="AJ473" s="503" t="str">
        <f>IF($G473="","",IF(AND($G473&gt;=30,$AT$3&lt;=AI$7),ROUND(AI473*($AP$3+#REF!),-1),""))</f>
        <v/>
      </c>
      <c r="AK473" s="506" t="s">
        <v>621</v>
      </c>
      <c r="AL473" s="503" t="str">
        <f>IF($G473="","",IF(AND($G473&gt;=30,$AT$3&lt;=AK$7),ROUND(AK473*($AP$3+#REF!),-1),""))</f>
        <v/>
      </c>
      <c r="AM473" s="506" t="s">
        <v>621</v>
      </c>
      <c r="AN473" s="503" t="str">
        <f>IF($G473="","",IF(AND($G473&gt;=30,$AT$3&lt;=AM$7),ROUND(AM473*($AP$3+#REF!),-1),""))</f>
        <v/>
      </c>
      <c r="AO473" s="503" t="e">
        <v>#REF!</v>
      </c>
      <c r="AP473" s="503" t="str">
        <f>IF($G473="","",IF(AND($G473&gt;=30,$AT$3&lt;=AO$7),ROUND(AO473*($AP$3+#REF!),-1),""))</f>
        <v/>
      </c>
      <c r="AQ473" s="503" t="s">
        <v>621</v>
      </c>
      <c r="AR473" s="503" t="str">
        <f>IF($G473="","",IF(AND($G473&gt;=30,$AT$3&lt;=AQ$7),ROUND(AQ473*($AP$3+#REF!),-1),""))</f>
        <v/>
      </c>
      <c r="AS473" s="503" t="s">
        <v>621</v>
      </c>
      <c r="AT473" s="503" t="str">
        <f>IF($G473="","",IF(AND($G473&gt;=30,$AT$3&lt;=AS$7),ROUND(AS473*($AP$3+#REF!),-1),""))</f>
        <v/>
      </c>
      <c r="AU473" s="503" t="s">
        <v>621</v>
      </c>
      <c r="AV473" s="503" t="str">
        <f>IF($G473="","",IF(AND($G473&gt;=30,$AT$3&lt;=AU$7),ROUND(AU473*($AP$3+#REF!),-1),""))</f>
        <v/>
      </c>
      <c r="AW473" s="503" t="s">
        <v>621</v>
      </c>
      <c r="AX473" s="503" t="str">
        <f>IF($G473="","",IF(AND($G473&gt;=30,$AT$3&lt;=AW$7),ROUND(AW473*($AP$3+#REF!),-1),""))</f>
        <v/>
      </c>
      <c r="AY473" s="503" t="s">
        <v>621</v>
      </c>
      <c r="AZ473" s="503" t="str">
        <f>IF($G473="","",IF(AND($G473&gt;=30,$AT$3&lt;=AY$7),ROUND(AY473*($AP$3+#REF!),-1),""))</f>
        <v/>
      </c>
      <c r="BA473" s="503" t="s">
        <v>621</v>
      </c>
      <c r="BB473" s="503" t="str">
        <f>IF($G473="","",IF(AND($G473&gt;=30,$AT$3&lt;=BA$7),ROUND(BA473*($AP$3+#REF!),-1),""))</f>
        <v/>
      </c>
      <c r="BC473" s="503" t="s">
        <v>621</v>
      </c>
      <c r="BD473" s="503" t="str">
        <f>IF($G473="","",IF(AND($G473&gt;=30,$AT$3&lt;=BC$7),ROUND(BC473*($AP$3+#REF!),-1),""))</f>
        <v/>
      </c>
      <c r="BE473" s="503" t="s">
        <v>621</v>
      </c>
      <c r="BF473" s="503" t="str">
        <f>IF($G473="","",IF(AND($G473&gt;=30,$AT$3&lt;=BE$7),ROUND(BE473*($AP$3+#REF!),-1),""))</f>
        <v/>
      </c>
      <c r="BG473" s="503" t="s">
        <v>621</v>
      </c>
      <c r="BH473" s="503" t="str">
        <f>IF($G473="","",IF(AND($G473&gt;=30,$AT$3&lt;=BG$7),ROUND(BG473*($AP$3+#REF!),-1),""))</f>
        <v/>
      </c>
      <c r="BI473" s="503" t="s">
        <v>621</v>
      </c>
      <c r="BJ473" s="503" t="str">
        <f>IF($G473="","",IF(AND($G473&gt;=30,$AT$3&lt;=BI$7),ROUND(BI473*($AP$3+#REF!),-1),""))</f>
        <v/>
      </c>
      <c r="BK473" s="503" t="s">
        <v>621</v>
      </c>
      <c r="BL473" s="503" t="str">
        <f>IF($G473="","",IF(AND($G473&gt;=30,$AT$3&lt;=BK$7),ROUND(BK473*($AP$3+#REF!),-1),""))</f>
        <v/>
      </c>
      <c r="BM473" s="503" t="s">
        <v>621</v>
      </c>
      <c r="BN473" s="503" t="str">
        <f>IF($G473="","",IF(AND($G473&gt;=30,$AT$3&lt;=BM$7),ROUND(BM473*($AP$3+#REF!),-1),""))</f>
        <v/>
      </c>
      <c r="BO473" s="503" t="s">
        <v>621</v>
      </c>
      <c r="BP473" s="503" t="str">
        <f>IF($G473="","",IF(AND($G473&gt;=30,$AT$3&lt;=BO$7),ROUND(BO473*($AP$3+#REF!),-1),""))</f>
        <v/>
      </c>
      <c r="BQ473" s="503" t="s">
        <v>621</v>
      </c>
      <c r="BR473" s="503" t="str">
        <f>IF($G473="","",IF(AND($G473&gt;=30,$AT$3&lt;=BQ$7),ROUND(BQ473*($AP$3+#REF!),-1),""))</f>
        <v/>
      </c>
      <c r="BS473" s="503" t="s">
        <v>621</v>
      </c>
      <c r="BT473" s="503" t="str">
        <f>IF($G473="","",IF(AND($G473&gt;=30,$AT$3&lt;=BS$7),ROUND(BS473*($AP$3+#REF!),-1),""))</f>
        <v/>
      </c>
      <c r="BU473" s="503" t="s">
        <v>621</v>
      </c>
      <c r="BV473" s="503" t="str">
        <f>IF($G473="","",IF(AND($G473&gt;=30,$AT$3&lt;=BU$7),ROUND(BU473*($AP$3+#REF!),-1),""))</f>
        <v/>
      </c>
      <c r="BW473" s="503" t="s">
        <v>621</v>
      </c>
      <c r="BX473" s="503" t="str">
        <f>IF($G473="","",IF(AND($G473&gt;=30,$AT$3&lt;=BW$7),ROUND(BW473*($AP$3+#REF!),-1),""))</f>
        <v/>
      </c>
      <c r="BY473" s="503" t="s">
        <v>621</v>
      </c>
      <c r="BZ473" s="503" t="str">
        <f>IF($G473="","",IF(AND($G473&gt;=30,$AT$3&lt;=BY$7),ROUND(BY473*($AP$3+#REF!),-1),""))</f>
        <v/>
      </c>
      <c r="CA473" s="503" t="s">
        <v>621</v>
      </c>
      <c r="CB473" s="503" t="str">
        <f>IF($G473="","",IF(AND($G473&gt;=30,$AT$3&lt;=CA$7),ROUND(CA473*($AP$3+#REF!),-1),""))</f>
        <v/>
      </c>
      <c r="CC473" s="503" t="s">
        <v>621</v>
      </c>
      <c r="CD473" s="503" t="str">
        <f>IF($G473="","",IF(AND($G473&gt;=30,$AT$3&lt;=CC$7),ROUND(CC473*($AP$3+#REF!),-1),""))</f>
        <v/>
      </c>
      <c r="CE473" s="503" t="s">
        <v>621</v>
      </c>
      <c r="CF473" s="503" t="str">
        <f>IF($G473="","",IF(AND($G473&gt;=30,$AT$3&lt;=CE$7),ROUND(CE473*($AP$3+#REF!),-1),""))</f>
        <v/>
      </c>
      <c r="CG473" s="503" t="s">
        <v>621</v>
      </c>
      <c r="CH473" s="503" t="str">
        <f>IF($G473="","",IF(AND($G473&gt;=30,$AT$3&lt;=CG$7),ROUND(CG473*($AP$3+#REF!),-1),""))</f>
        <v/>
      </c>
      <c r="CI473" s="503" t="s">
        <v>621</v>
      </c>
      <c r="CJ473" s="503" t="str">
        <f>IF($G473="","",IF(AND($G473&gt;=30,$AT$3&lt;=CI$7),ROUND(CI473*($AP$3+#REF!),-1),""))</f>
        <v/>
      </c>
      <c r="CK473" s="503" t="s">
        <v>621</v>
      </c>
      <c r="CL473" s="503" t="str">
        <f>IF($G473="","",IF(AND($G473&gt;=30,$AT$3&lt;=CK$7),ROUND(CK473*($AP$3+#REF!),-1),""))</f>
        <v/>
      </c>
      <c r="CM473" s="503" t="s">
        <v>621</v>
      </c>
      <c r="CN473" s="503" t="str">
        <f>IF($G473="","",IF(AND($G473&gt;=30,$AT$3&lt;=CM$7),ROUND(CM473*($AP$3+#REF!),-1),""))</f>
        <v/>
      </c>
      <c r="CO473" s="503" t="s">
        <v>621</v>
      </c>
      <c r="CP473" s="503" t="str">
        <f>IF($G473="","",IF(AND($G473&gt;=30,$AT$3&lt;=CO$7),ROUND(CO473*($AP$3+#REF!),-1),""))</f>
        <v/>
      </c>
      <c r="CQ473" s="503" t="s">
        <v>621</v>
      </c>
      <c r="CR473" s="503" t="str">
        <f>IF($G473="","",IF(AND($G473&gt;=30,$AT$3&lt;=CQ$7),ROUND(CQ473*($AP$3+#REF!),-1),""))</f>
        <v/>
      </c>
      <c r="CS473" s="503" t="s">
        <v>621</v>
      </c>
      <c r="CT473" s="503" t="str">
        <f>IF($G473="","",IF(AND($G473&gt;=30,$AT$3&lt;=CS$7),ROUND(CS473*($AP$3+#REF!),-1),""))</f>
        <v/>
      </c>
      <c r="CU473" s="503" t="s">
        <v>621</v>
      </c>
      <c r="CV473" s="503" t="str">
        <f>IF($G473="","",IF(AND($G473&gt;=30,$AT$3&lt;=CU$7),ROUND(CU473*($AP$3+#REF!),-1),""))</f>
        <v/>
      </c>
      <c r="CW473" s="503" t="s">
        <v>621</v>
      </c>
      <c r="CX473" s="503" t="str">
        <f>IF($G473="","",IF(AND($G473&gt;=30,$AT$3&lt;=CW$7),ROUND(CW473*($AP$3+#REF!),-1),""))</f>
        <v/>
      </c>
      <c r="CY473" s="503" t="s">
        <v>621</v>
      </c>
      <c r="CZ473" s="503" t="str">
        <f>IF($G473="","",IF(AND($G473&gt;=30,$AT$3&lt;=CY$7),ROUND(CY473*($AP$3+#REF!),-1),""))</f>
        <v/>
      </c>
      <c r="DA473" s="503" t="s">
        <v>621</v>
      </c>
      <c r="DB473" s="503" t="str">
        <f>IF($G473="","",IF(AND($G473&gt;=30,$AT$3&lt;=DA$7),ROUND(DA473*($AP$3+#REF!),-1),""))</f>
        <v/>
      </c>
      <c r="DC473" s="503" t="s">
        <v>621</v>
      </c>
      <c r="DD473" s="503" t="str">
        <f>IF($G473="","",IF(AND($G473&gt;=30,$AT$3&lt;=DC$7),ROUND(DC473*($AP$3+#REF!),-1),""))</f>
        <v/>
      </c>
      <c r="DE473" s="517" t="e">
        <v>#REF!</v>
      </c>
      <c r="DF473" s="503" t="str">
        <f>IF($G473="","",IF(AND($G473&gt;=30,$AT$3&lt;=DE$7),ROUND(DE473*($AP$3+#REF!),-1),""))</f>
        <v/>
      </c>
      <c r="DG473" s="517"/>
      <c r="DH473" s="503" t="str">
        <f>IF($G473="","",IF(AND($G473&gt;=30,$AT$3&lt;=DG$7),ROUND(DG473*($AP$3+#REF!),-1),""))</f>
        <v/>
      </c>
      <c r="DI473" s="517"/>
      <c r="DJ473" s="503" t="str">
        <f>IF($G473="","",IF(AND($G473&gt;=30,$AT$3&lt;=DI$7),ROUND(DI473*($AP$3+#REF!),-1),""))</f>
        <v/>
      </c>
      <c r="DK473" s="517"/>
      <c r="DL473" s="503" t="str">
        <f>IF($G473="","",IF(AND($G473&gt;=30,$AT$3&lt;=DK$7),ROUND(DK473*($AP$3+#REF!),-1),""))</f>
        <v/>
      </c>
      <c r="DM473" s="517"/>
      <c r="DN473" s="503" t="str">
        <f>IF($G473="","",IF(AND($G473&gt;=30,$AT$3&lt;=DM$7),ROUND(DM473*($AP$3+#REF!),-1),""))</f>
        <v/>
      </c>
      <c r="DO473" s="517"/>
      <c r="DP473" s="503" t="str">
        <f>IF($G473="","",IF(AND($G473&gt;=30,$AT$3&lt;=DO$7),ROUND(DO473*($AP$3+#REF!),-1),""))</f>
        <v/>
      </c>
      <c r="DQ473" s="517"/>
      <c r="DR473" s="503" t="str">
        <f>IF($G473="","",IF(AND($G473&gt;=30,$AT$3&lt;=DQ$7),ROUND(DQ473*($AP$3+#REF!),-1),""))</f>
        <v/>
      </c>
      <c r="DS473" s="517"/>
      <c r="DT473" s="503" t="str">
        <f>IF($G473="","",IF(AND($G473&gt;=30,$AT$3&lt;=DS$7),ROUND(DS473*($AP$3+#REF!),-1),""))</f>
        <v/>
      </c>
      <c r="DU473" s="517"/>
      <c r="DV473" s="503" t="str">
        <f>IF($G473="","",IF(AND($G473&gt;=30,$AT$3&lt;=DU$7),ROUND(DU473*($AP$3+#REF!),-1),""))</f>
        <v/>
      </c>
      <c r="DW473" s="517"/>
      <c r="DX473" s="503" t="str">
        <f>IF($G473="","",IF(AND($G473&gt;=30,$AT$3&lt;=DW$7),ROUND(DW473*($AP$3+#REF!),-1),""))</f>
        <v/>
      </c>
      <c r="DY473" s="517"/>
      <c r="DZ473" s="503" t="str">
        <f>IF($G473="","",IF(AND($G473&gt;=30,$AT$3&lt;=DY$7),ROUND(DY473*($AP$3+#REF!),-1),""))</f>
        <v/>
      </c>
      <c r="EA473" s="517"/>
      <c r="EB473" s="503" t="str">
        <f>IF($G473="","",IF(AND($G473&gt;=30,$AT$3&lt;=EA$7),ROUND(EA473*($AP$3+#REF!),-1),""))</f>
        <v/>
      </c>
      <c r="EC473" s="504" t="s">
        <v>621</v>
      </c>
      <c r="ED473" s="1126"/>
      <c r="EE473" s="325">
        <v>9</v>
      </c>
    </row>
    <row r="474" spans="1:135" ht="9.75" customHeight="1">
      <c r="A474" s="321" t="str">
        <f t="shared" si="110"/>
        <v/>
      </c>
      <c r="B474" s="567">
        <f>(ii!$D$13*12+V474)+1</f>
        <v>368</v>
      </c>
      <c r="C474" s="337">
        <f t="shared" si="114"/>
        <v>56553</v>
      </c>
      <c r="D474" s="484">
        <f t="shared" ref="D474:D537" si="117">YEAR(C474)</f>
        <v>2054</v>
      </c>
      <c r="E474" s="484">
        <f t="shared" si="115"/>
        <v>0.83333333333333337</v>
      </c>
      <c r="F474" s="484">
        <f t="shared" ref="F474:F537" si="118">D474+E474</f>
        <v>2054.8333333333335</v>
      </c>
      <c r="G474" s="485" t="str">
        <f>IF(OR(C474&lt;$I$2,C474&gt;$J$3),"",(ii!$D$13*12+V474+1)/12)</f>
        <v/>
      </c>
      <c r="H474" s="486"/>
      <c r="I474" s="486"/>
      <c r="J474" s="487"/>
      <c r="K474" s="488"/>
      <c r="L474" s="548"/>
      <c r="M474" s="489" t="str">
        <f t="shared" ref="M474:M537" si="119">IF(K474="","",IF(OR(J472=0,J471=0,J472=""),"",(J474-J473)/J473))</f>
        <v/>
      </c>
      <c r="N474" s="490" t="s">
        <v>621</v>
      </c>
      <c r="O474" s="490" t="str">
        <f t="shared" si="112"/>
        <v/>
      </c>
      <c r="P474" s="491"/>
      <c r="Q474" s="491"/>
      <c r="R474" s="491" t="str">
        <f t="shared" si="113"/>
        <v/>
      </c>
      <c r="S474" s="528" t="str">
        <f t="shared" si="111"/>
        <v/>
      </c>
      <c r="T474" s="528" t="str">
        <f t="shared" si="109"/>
        <v/>
      </c>
      <c r="U474" s="493" t="str">
        <f>IF(H474="","",#REF!*12+#REF!+#REF!*12+#REF!)</f>
        <v/>
      </c>
      <c r="V474" s="338">
        <f>IF(ii!$J$3&gt;gg!C474,"",IF(AND((YEAR(C474)=YEAR($I$2)),MONTH(C474)=MONTH($I$2)),ii!$B$14*12+ii!$C$14+ii!$B$15*12+ii!$C$15-1,V473+1))</f>
        <v>367</v>
      </c>
      <c r="W474" s="339">
        <f t="shared" si="116"/>
        <v>30.583333333333332</v>
      </c>
      <c r="X474" s="494" t="s">
        <v>621</v>
      </c>
      <c r="Y474" s="495" t="s">
        <v>621</v>
      </c>
      <c r="Z474" s="496"/>
      <c r="AA474" s="497"/>
      <c r="AB474" s="498" t="e">
        <f t="shared" si="108"/>
        <v>#VALUE!</v>
      </c>
      <c r="AC474" s="484" t="str">
        <f t="shared" si="106"/>
        <v/>
      </c>
      <c r="AD474" s="495" t="str">
        <f t="shared" si="107"/>
        <v/>
      </c>
      <c r="AE474" s="499" t="s">
        <v>621</v>
      </c>
      <c r="AF474" s="500" t="s">
        <v>621</v>
      </c>
      <c r="AG474" s="556" t="s">
        <v>621</v>
      </c>
      <c r="AH474" s="503" t="str">
        <f>IF($G474="","",IF(AND($G474&gt;=30,$AT$3&lt;=AG$7),ROUND(AG474*($AP$3+#REF!),-1),""))</f>
        <v/>
      </c>
      <c r="AI474" s="506" t="s">
        <v>621</v>
      </c>
      <c r="AJ474" s="503" t="str">
        <f>IF($G474="","",IF(AND($G474&gt;=30,$AT$3&lt;=AI$7),ROUND(AI474*($AP$3+#REF!),-1),""))</f>
        <v/>
      </c>
      <c r="AK474" s="506" t="s">
        <v>621</v>
      </c>
      <c r="AL474" s="503" t="str">
        <f>IF($G474="","",IF(AND($G474&gt;=30,$AT$3&lt;=AK$7),ROUND(AK474*($AP$3+#REF!),-1),""))</f>
        <v/>
      </c>
      <c r="AM474" s="506" t="s">
        <v>621</v>
      </c>
      <c r="AN474" s="503" t="str">
        <f>IF($G474="","",IF(AND($G474&gt;=30,$AT$3&lt;=AM$7),ROUND(AM474*($AP$3+#REF!),-1),""))</f>
        <v/>
      </c>
      <c r="AO474" s="503" t="e">
        <v>#REF!</v>
      </c>
      <c r="AP474" s="503" t="str">
        <f>IF($G474="","",IF(AND($G474&gt;=30,$AT$3&lt;=AO$7),ROUND(AO474*($AP$3+#REF!),-1),""))</f>
        <v/>
      </c>
      <c r="AQ474" s="503" t="s">
        <v>621</v>
      </c>
      <c r="AR474" s="503" t="str">
        <f>IF($G474="","",IF(AND($G474&gt;=30,$AT$3&lt;=AQ$7),ROUND(AQ474*($AP$3+#REF!),-1),""))</f>
        <v/>
      </c>
      <c r="AS474" s="503" t="s">
        <v>621</v>
      </c>
      <c r="AT474" s="503" t="str">
        <f>IF($G474="","",IF(AND($G474&gt;=30,$AT$3&lt;=AS$7),ROUND(AS474*($AP$3+#REF!),-1),""))</f>
        <v/>
      </c>
      <c r="AU474" s="503" t="s">
        <v>621</v>
      </c>
      <c r="AV474" s="503" t="str">
        <f>IF($G474="","",IF(AND($G474&gt;=30,$AT$3&lt;=AU$7),ROUND(AU474*($AP$3+#REF!),-1),""))</f>
        <v/>
      </c>
      <c r="AW474" s="503" t="s">
        <v>621</v>
      </c>
      <c r="AX474" s="503" t="str">
        <f>IF($G474="","",IF(AND($G474&gt;=30,$AT$3&lt;=AW$7),ROUND(AW474*($AP$3+#REF!),-1),""))</f>
        <v/>
      </c>
      <c r="AY474" s="503" t="s">
        <v>621</v>
      </c>
      <c r="AZ474" s="503" t="str">
        <f>IF($G474="","",IF(AND($G474&gt;=30,$AT$3&lt;=AY$7),ROUND(AY474*($AP$3+#REF!),-1),""))</f>
        <v/>
      </c>
      <c r="BA474" s="503" t="s">
        <v>621</v>
      </c>
      <c r="BB474" s="503" t="str">
        <f>IF($G474="","",IF(AND($G474&gt;=30,$AT$3&lt;=BA$7),ROUND(BA474*($AP$3+#REF!),-1),""))</f>
        <v/>
      </c>
      <c r="BC474" s="503" t="s">
        <v>621</v>
      </c>
      <c r="BD474" s="503" t="str">
        <f>IF($G474="","",IF(AND($G474&gt;=30,$AT$3&lt;=BC$7),ROUND(BC474*($AP$3+#REF!),-1),""))</f>
        <v/>
      </c>
      <c r="BE474" s="503" t="s">
        <v>621</v>
      </c>
      <c r="BF474" s="503" t="str">
        <f>IF($G474="","",IF(AND($G474&gt;=30,$AT$3&lt;=BE$7),ROUND(BE474*($AP$3+#REF!),-1),""))</f>
        <v/>
      </c>
      <c r="BG474" s="503" t="s">
        <v>621</v>
      </c>
      <c r="BH474" s="503" t="str">
        <f>IF($G474="","",IF(AND($G474&gt;=30,$AT$3&lt;=BG$7),ROUND(BG474*($AP$3+#REF!),-1),""))</f>
        <v/>
      </c>
      <c r="BI474" s="503" t="s">
        <v>621</v>
      </c>
      <c r="BJ474" s="503" t="str">
        <f>IF($G474="","",IF(AND($G474&gt;=30,$AT$3&lt;=BI$7),ROUND(BI474*($AP$3+#REF!),-1),""))</f>
        <v/>
      </c>
      <c r="BK474" s="503" t="s">
        <v>621</v>
      </c>
      <c r="BL474" s="503" t="str">
        <f>IF($G474="","",IF(AND($G474&gt;=30,$AT$3&lt;=BK$7),ROUND(BK474*($AP$3+#REF!),-1),""))</f>
        <v/>
      </c>
      <c r="BM474" s="503" t="s">
        <v>621</v>
      </c>
      <c r="BN474" s="503" t="str">
        <f>IF($G474="","",IF(AND($G474&gt;=30,$AT$3&lt;=BM$7),ROUND(BM474*($AP$3+#REF!),-1),""))</f>
        <v/>
      </c>
      <c r="BO474" s="503" t="s">
        <v>621</v>
      </c>
      <c r="BP474" s="503" t="str">
        <f>IF($G474="","",IF(AND($G474&gt;=30,$AT$3&lt;=BO$7),ROUND(BO474*($AP$3+#REF!),-1),""))</f>
        <v/>
      </c>
      <c r="BQ474" s="503" t="s">
        <v>621</v>
      </c>
      <c r="BR474" s="503" t="str">
        <f>IF($G474="","",IF(AND($G474&gt;=30,$AT$3&lt;=BQ$7),ROUND(BQ474*($AP$3+#REF!),-1),""))</f>
        <v/>
      </c>
      <c r="BS474" s="503" t="s">
        <v>621</v>
      </c>
      <c r="BT474" s="503" t="str">
        <f>IF($G474="","",IF(AND($G474&gt;=30,$AT$3&lt;=BS$7),ROUND(BS474*($AP$3+#REF!),-1),""))</f>
        <v/>
      </c>
      <c r="BU474" s="503" t="s">
        <v>621</v>
      </c>
      <c r="BV474" s="503" t="str">
        <f>IF($G474="","",IF(AND($G474&gt;=30,$AT$3&lt;=BU$7),ROUND(BU474*($AP$3+#REF!),-1),""))</f>
        <v/>
      </c>
      <c r="BW474" s="503" t="s">
        <v>621</v>
      </c>
      <c r="BX474" s="503" t="str">
        <f>IF($G474="","",IF(AND($G474&gt;=30,$AT$3&lt;=BW$7),ROUND(BW474*($AP$3+#REF!),-1),""))</f>
        <v/>
      </c>
      <c r="BY474" s="503" t="s">
        <v>621</v>
      </c>
      <c r="BZ474" s="503" t="str">
        <f>IF($G474="","",IF(AND($G474&gt;=30,$AT$3&lt;=BY$7),ROUND(BY474*($AP$3+#REF!),-1),""))</f>
        <v/>
      </c>
      <c r="CA474" s="503" t="s">
        <v>621</v>
      </c>
      <c r="CB474" s="503" t="str">
        <f>IF($G474="","",IF(AND($G474&gt;=30,$AT$3&lt;=CA$7),ROUND(CA474*($AP$3+#REF!),-1),""))</f>
        <v/>
      </c>
      <c r="CC474" s="503" t="s">
        <v>621</v>
      </c>
      <c r="CD474" s="503" t="str">
        <f>IF($G474="","",IF(AND($G474&gt;=30,$AT$3&lt;=CC$7),ROUND(CC474*($AP$3+#REF!),-1),""))</f>
        <v/>
      </c>
      <c r="CE474" s="503" t="s">
        <v>621</v>
      </c>
      <c r="CF474" s="503" t="str">
        <f>IF($G474="","",IF(AND($G474&gt;=30,$AT$3&lt;=CE$7),ROUND(CE474*($AP$3+#REF!),-1),""))</f>
        <v/>
      </c>
      <c r="CG474" s="503" t="s">
        <v>621</v>
      </c>
      <c r="CH474" s="503" t="str">
        <f>IF($G474="","",IF(AND($G474&gt;=30,$AT$3&lt;=CG$7),ROUND(CG474*($AP$3+#REF!),-1),""))</f>
        <v/>
      </c>
      <c r="CI474" s="503" t="s">
        <v>621</v>
      </c>
      <c r="CJ474" s="503" t="str">
        <f>IF($G474="","",IF(AND($G474&gt;=30,$AT$3&lt;=CI$7),ROUND(CI474*($AP$3+#REF!),-1),""))</f>
        <v/>
      </c>
      <c r="CK474" s="503" t="s">
        <v>621</v>
      </c>
      <c r="CL474" s="503" t="str">
        <f>IF($G474="","",IF(AND($G474&gt;=30,$AT$3&lt;=CK$7),ROUND(CK474*($AP$3+#REF!),-1),""))</f>
        <v/>
      </c>
      <c r="CM474" s="503" t="s">
        <v>621</v>
      </c>
      <c r="CN474" s="503" t="str">
        <f>IF($G474="","",IF(AND($G474&gt;=30,$AT$3&lt;=CM$7),ROUND(CM474*($AP$3+#REF!),-1),""))</f>
        <v/>
      </c>
      <c r="CO474" s="503" t="s">
        <v>621</v>
      </c>
      <c r="CP474" s="503" t="str">
        <f>IF($G474="","",IF(AND($G474&gt;=30,$AT$3&lt;=CO$7),ROUND(CO474*($AP$3+#REF!),-1),""))</f>
        <v/>
      </c>
      <c r="CQ474" s="503" t="s">
        <v>621</v>
      </c>
      <c r="CR474" s="503" t="str">
        <f>IF($G474="","",IF(AND($G474&gt;=30,$AT$3&lt;=CQ$7),ROUND(CQ474*($AP$3+#REF!),-1),""))</f>
        <v/>
      </c>
      <c r="CS474" s="503" t="s">
        <v>621</v>
      </c>
      <c r="CT474" s="503" t="str">
        <f>IF($G474="","",IF(AND($G474&gt;=30,$AT$3&lt;=CS$7),ROUND(CS474*($AP$3+#REF!),-1),""))</f>
        <v/>
      </c>
      <c r="CU474" s="503" t="s">
        <v>621</v>
      </c>
      <c r="CV474" s="503" t="str">
        <f>IF($G474="","",IF(AND($G474&gt;=30,$AT$3&lt;=CU$7),ROUND(CU474*($AP$3+#REF!),-1),""))</f>
        <v/>
      </c>
      <c r="CW474" s="503" t="s">
        <v>621</v>
      </c>
      <c r="CX474" s="503" t="str">
        <f>IF($G474="","",IF(AND($G474&gt;=30,$AT$3&lt;=CW$7),ROUND(CW474*($AP$3+#REF!),-1),""))</f>
        <v/>
      </c>
      <c r="CY474" s="503" t="s">
        <v>621</v>
      </c>
      <c r="CZ474" s="503" t="str">
        <f>IF($G474="","",IF(AND($G474&gt;=30,$AT$3&lt;=CY$7),ROUND(CY474*($AP$3+#REF!),-1),""))</f>
        <v/>
      </c>
      <c r="DA474" s="503" t="s">
        <v>621</v>
      </c>
      <c r="DB474" s="503" t="str">
        <f>IF($G474="","",IF(AND($G474&gt;=30,$AT$3&lt;=DA$7),ROUND(DA474*($AP$3+#REF!),-1),""))</f>
        <v/>
      </c>
      <c r="DC474" s="503" t="s">
        <v>621</v>
      </c>
      <c r="DD474" s="503" t="str">
        <f>IF($G474="","",IF(AND($G474&gt;=30,$AT$3&lt;=DC$7),ROUND(DC474*($AP$3+#REF!),-1),""))</f>
        <v/>
      </c>
      <c r="DE474" s="517" t="e">
        <v>#REF!</v>
      </c>
      <c r="DF474" s="503" t="str">
        <f>IF($G474="","",IF(AND($G474&gt;=30,$AT$3&lt;=DE$7),ROUND(DE474*($AP$3+#REF!),-1),""))</f>
        <v/>
      </c>
      <c r="DG474" s="517"/>
      <c r="DH474" s="503" t="str">
        <f>IF($G474="","",IF(AND($G474&gt;=30,$AT$3&lt;=DG$7),ROUND(DG474*($AP$3+#REF!),-1),""))</f>
        <v/>
      </c>
      <c r="DI474" s="517"/>
      <c r="DJ474" s="503" t="str">
        <f>IF($G474="","",IF(AND($G474&gt;=30,$AT$3&lt;=DI$7),ROUND(DI474*($AP$3+#REF!),-1),""))</f>
        <v/>
      </c>
      <c r="DK474" s="517"/>
      <c r="DL474" s="503" t="str">
        <f>IF($G474="","",IF(AND($G474&gt;=30,$AT$3&lt;=DK$7),ROUND(DK474*($AP$3+#REF!),-1),""))</f>
        <v/>
      </c>
      <c r="DM474" s="517"/>
      <c r="DN474" s="503" t="str">
        <f>IF($G474="","",IF(AND($G474&gt;=30,$AT$3&lt;=DM$7),ROUND(DM474*($AP$3+#REF!),-1),""))</f>
        <v/>
      </c>
      <c r="DO474" s="517"/>
      <c r="DP474" s="503" t="str">
        <f>IF($G474="","",IF(AND($G474&gt;=30,$AT$3&lt;=DO$7),ROUND(DO474*($AP$3+#REF!),-1),""))</f>
        <v/>
      </c>
      <c r="DQ474" s="517"/>
      <c r="DR474" s="503" t="str">
        <f>IF($G474="","",IF(AND($G474&gt;=30,$AT$3&lt;=DQ$7),ROUND(DQ474*($AP$3+#REF!),-1),""))</f>
        <v/>
      </c>
      <c r="DS474" s="517"/>
      <c r="DT474" s="503" t="str">
        <f>IF($G474="","",IF(AND($G474&gt;=30,$AT$3&lt;=DS$7),ROUND(DS474*($AP$3+#REF!),-1),""))</f>
        <v/>
      </c>
      <c r="DU474" s="517"/>
      <c r="DV474" s="503" t="str">
        <f>IF($G474="","",IF(AND($G474&gt;=30,$AT$3&lt;=DU$7),ROUND(DU474*($AP$3+#REF!),-1),""))</f>
        <v/>
      </c>
      <c r="DW474" s="517"/>
      <c r="DX474" s="503" t="str">
        <f>IF($G474="","",IF(AND($G474&gt;=30,$AT$3&lt;=DW$7),ROUND(DW474*($AP$3+#REF!),-1),""))</f>
        <v/>
      </c>
      <c r="DY474" s="517"/>
      <c r="DZ474" s="503" t="str">
        <f>IF($G474="","",IF(AND($G474&gt;=30,$AT$3&lt;=DY$7),ROUND(DY474*($AP$3+#REF!),-1),""))</f>
        <v/>
      </c>
      <c r="EA474" s="517"/>
      <c r="EB474" s="503" t="str">
        <f>IF($G474="","",IF(AND($G474&gt;=30,$AT$3&lt;=EA$7),ROUND(EA474*($AP$3+#REF!),-1),""))</f>
        <v/>
      </c>
      <c r="EC474" s="504" t="s">
        <v>621</v>
      </c>
      <c r="ED474" s="1126"/>
      <c r="EE474" s="325">
        <v>10</v>
      </c>
    </row>
    <row r="475" spans="1:135" ht="9.75" customHeight="1">
      <c r="A475" s="321" t="str">
        <f t="shared" si="110"/>
        <v/>
      </c>
      <c r="B475" s="567">
        <f>(ii!$D$13*12+V475)+1</f>
        <v>369</v>
      </c>
      <c r="C475" s="337">
        <f t="shared" si="114"/>
        <v>56583</v>
      </c>
      <c r="D475" s="484">
        <f t="shared" si="117"/>
        <v>2054</v>
      </c>
      <c r="E475" s="484">
        <f t="shared" si="115"/>
        <v>0.91666666666666663</v>
      </c>
      <c r="F475" s="484">
        <f t="shared" si="118"/>
        <v>2054.9166666666665</v>
      </c>
      <c r="G475" s="485" t="str">
        <f>IF(OR(C475&lt;$I$2,C475&gt;$J$3),"",(ii!$D$13*12+V475+1)/12)</f>
        <v/>
      </c>
      <c r="H475" s="486"/>
      <c r="I475" s="486"/>
      <c r="J475" s="487"/>
      <c r="K475" s="488"/>
      <c r="L475" s="548"/>
      <c r="M475" s="489" t="str">
        <f t="shared" si="119"/>
        <v/>
      </c>
      <c r="N475" s="490" t="s">
        <v>621</v>
      </c>
      <c r="O475" s="490" t="str">
        <f t="shared" si="112"/>
        <v/>
      </c>
      <c r="P475" s="491"/>
      <c r="Q475" s="491"/>
      <c r="R475" s="491" t="str">
        <f t="shared" si="113"/>
        <v/>
      </c>
      <c r="S475" s="528" t="str">
        <f t="shared" si="111"/>
        <v/>
      </c>
      <c r="T475" s="528" t="str">
        <f t="shared" si="109"/>
        <v/>
      </c>
      <c r="U475" s="493" t="str">
        <f>IF(H475="","",#REF!*12+#REF!+#REF!*12+#REF!)</f>
        <v/>
      </c>
      <c r="V475" s="338">
        <f>IF(ii!$J$3&gt;gg!C475,"",IF(AND((YEAR(C475)=YEAR($I$2)),MONTH(C475)=MONTH($I$2)),ii!$B$14*12+ii!$C$14+ii!$B$15*12+ii!$C$15-1,V474+1))</f>
        <v>368</v>
      </c>
      <c r="W475" s="339">
        <f t="shared" si="116"/>
        <v>30.666666666666668</v>
      </c>
      <c r="X475" s="494" t="s">
        <v>621</v>
      </c>
      <c r="Y475" s="495" t="s">
        <v>621</v>
      </c>
      <c r="Z475" s="496"/>
      <c r="AA475" s="497"/>
      <c r="AB475" s="498" t="e">
        <f t="shared" si="108"/>
        <v>#VALUE!</v>
      </c>
      <c r="AC475" s="484" t="str">
        <f t="shared" ref="AC475:AC538" si="120">IF(OR(C475&lt;$I$2,C475&gt;$J$3),"",IF(AB475&lt;0.3,300,IF(AND(AB475&gt;=0.3,AB475&lt;0.4),216.67,IF(AND(AB475&gt;=0.4,AB475&lt;0.5),175,IF(AND(AB475&gt;=0.5,AB475&lt;0.6),150,IF(AND(AB475&gt;=0.6,AB475&lt;0.7),133.33,IF(AND(AB475&gt;=0.7,AB475&lt;0.8),121.43,IF(AND(AB475&gt;=0.8,AB475&lt;0.9),112.5,IF(AND(AB475&gt;=0.9,AB475&lt;1),105.56,IF(AND(AB475&gt;=1,AB475&lt;1.1),100,IF(AND(AB475&gt;=1.1,AB475&lt;1.2),95.45,IF(AND(AB475&gt;=1.2,AB475&lt;1.3),91.67,IF(AND(AB475&gt;=1.3,AB475&lt;1.4),88.46,IF(AND(AB475&gt;=1.4,AB475&lt;1.5),85.71,IF(AND(AB475&gt;=1.5,AB475&lt;1.6),83.33,IF(AB475&gt;=1.6,81.25,"???"))))))))))))))))</f>
        <v/>
      </c>
      <c r="AD475" s="495" t="str">
        <f t="shared" ref="AD475:AD538" si="121">IF(AC475="","",P475*AC475%)</f>
        <v/>
      </c>
      <c r="AE475" s="499" t="s">
        <v>621</v>
      </c>
      <c r="AF475" s="500" t="s">
        <v>621</v>
      </c>
      <c r="AG475" s="556" t="s">
        <v>621</v>
      </c>
      <c r="AH475" s="503" t="str">
        <f>IF($G475="","",IF(AND($G475&gt;=30,$AT$3&lt;=AG$7),ROUND(AG475*($AP$3+#REF!),-1),""))</f>
        <v/>
      </c>
      <c r="AI475" s="506" t="s">
        <v>621</v>
      </c>
      <c r="AJ475" s="503" t="str">
        <f>IF($G475="","",IF(AND($G475&gt;=30,$AT$3&lt;=AI$7),ROUND(AI475*($AP$3+#REF!),-1),""))</f>
        <v/>
      </c>
      <c r="AK475" s="506" t="s">
        <v>621</v>
      </c>
      <c r="AL475" s="503" t="str">
        <f>IF($G475="","",IF(AND($G475&gt;=30,$AT$3&lt;=AK$7),ROUND(AK475*($AP$3+#REF!),-1),""))</f>
        <v/>
      </c>
      <c r="AM475" s="506" t="s">
        <v>621</v>
      </c>
      <c r="AN475" s="503" t="str">
        <f>IF($G475="","",IF(AND($G475&gt;=30,$AT$3&lt;=AM$7),ROUND(AM475*($AP$3+#REF!),-1),""))</f>
        <v/>
      </c>
      <c r="AO475" s="503" t="e">
        <v>#REF!</v>
      </c>
      <c r="AP475" s="503" t="str">
        <f>IF($G475="","",IF(AND($G475&gt;=30,$AT$3&lt;=AO$7),ROUND(AO475*($AP$3+#REF!),-1),""))</f>
        <v/>
      </c>
      <c r="AQ475" s="503" t="s">
        <v>621</v>
      </c>
      <c r="AR475" s="503" t="str">
        <f>IF($G475="","",IF(AND($G475&gt;=30,$AT$3&lt;=AQ$7),ROUND(AQ475*($AP$3+#REF!),-1),""))</f>
        <v/>
      </c>
      <c r="AS475" s="503" t="s">
        <v>621</v>
      </c>
      <c r="AT475" s="503" t="str">
        <f>IF($G475="","",IF(AND($G475&gt;=30,$AT$3&lt;=AS$7),ROUND(AS475*($AP$3+#REF!),-1),""))</f>
        <v/>
      </c>
      <c r="AU475" s="503" t="s">
        <v>621</v>
      </c>
      <c r="AV475" s="503" t="str">
        <f>IF($G475="","",IF(AND($G475&gt;=30,$AT$3&lt;=AU$7),ROUND(AU475*($AP$3+#REF!),-1),""))</f>
        <v/>
      </c>
      <c r="AW475" s="503" t="s">
        <v>621</v>
      </c>
      <c r="AX475" s="503" t="str">
        <f>IF($G475="","",IF(AND($G475&gt;=30,$AT$3&lt;=AW$7),ROUND(AW475*($AP$3+#REF!),-1),""))</f>
        <v/>
      </c>
      <c r="AY475" s="503" t="s">
        <v>621</v>
      </c>
      <c r="AZ475" s="503" t="str">
        <f>IF($G475="","",IF(AND($G475&gt;=30,$AT$3&lt;=AY$7),ROUND(AY475*($AP$3+#REF!),-1),""))</f>
        <v/>
      </c>
      <c r="BA475" s="503" t="s">
        <v>621</v>
      </c>
      <c r="BB475" s="503" t="str">
        <f>IF($G475="","",IF(AND($G475&gt;=30,$AT$3&lt;=BA$7),ROUND(BA475*($AP$3+#REF!),-1),""))</f>
        <v/>
      </c>
      <c r="BC475" s="503" t="s">
        <v>621</v>
      </c>
      <c r="BD475" s="503" t="str">
        <f>IF($G475="","",IF(AND($G475&gt;=30,$AT$3&lt;=BC$7),ROUND(BC475*($AP$3+#REF!),-1),""))</f>
        <v/>
      </c>
      <c r="BE475" s="503" t="s">
        <v>621</v>
      </c>
      <c r="BF475" s="503" t="str">
        <f>IF($G475="","",IF(AND($G475&gt;=30,$AT$3&lt;=BE$7),ROUND(BE475*($AP$3+#REF!),-1),""))</f>
        <v/>
      </c>
      <c r="BG475" s="503" t="s">
        <v>621</v>
      </c>
      <c r="BH475" s="503" t="str">
        <f>IF($G475="","",IF(AND($G475&gt;=30,$AT$3&lt;=BG$7),ROUND(BG475*($AP$3+#REF!),-1),""))</f>
        <v/>
      </c>
      <c r="BI475" s="503" t="s">
        <v>621</v>
      </c>
      <c r="BJ475" s="503" t="str">
        <f>IF($G475="","",IF(AND($G475&gt;=30,$AT$3&lt;=BI$7),ROUND(BI475*($AP$3+#REF!),-1),""))</f>
        <v/>
      </c>
      <c r="BK475" s="503" t="s">
        <v>621</v>
      </c>
      <c r="BL475" s="503" t="str">
        <f>IF($G475="","",IF(AND($G475&gt;=30,$AT$3&lt;=BK$7),ROUND(BK475*($AP$3+#REF!),-1),""))</f>
        <v/>
      </c>
      <c r="BM475" s="503" t="s">
        <v>621</v>
      </c>
      <c r="BN475" s="503" t="str">
        <f>IF($G475="","",IF(AND($G475&gt;=30,$AT$3&lt;=BM$7),ROUND(BM475*($AP$3+#REF!),-1),""))</f>
        <v/>
      </c>
      <c r="BO475" s="503" t="s">
        <v>621</v>
      </c>
      <c r="BP475" s="503" t="str">
        <f>IF($G475="","",IF(AND($G475&gt;=30,$AT$3&lt;=BO$7),ROUND(BO475*($AP$3+#REF!),-1),""))</f>
        <v/>
      </c>
      <c r="BQ475" s="503" t="s">
        <v>621</v>
      </c>
      <c r="BR475" s="503" t="str">
        <f>IF($G475="","",IF(AND($G475&gt;=30,$AT$3&lt;=BQ$7),ROUND(BQ475*($AP$3+#REF!),-1),""))</f>
        <v/>
      </c>
      <c r="BS475" s="503" t="s">
        <v>621</v>
      </c>
      <c r="BT475" s="503" t="str">
        <f>IF($G475="","",IF(AND($G475&gt;=30,$AT$3&lt;=BS$7),ROUND(BS475*($AP$3+#REF!),-1),""))</f>
        <v/>
      </c>
      <c r="BU475" s="503" t="s">
        <v>621</v>
      </c>
      <c r="BV475" s="503" t="str">
        <f>IF($G475="","",IF(AND($G475&gt;=30,$AT$3&lt;=BU$7),ROUND(BU475*($AP$3+#REF!),-1),""))</f>
        <v/>
      </c>
      <c r="BW475" s="503" t="s">
        <v>621</v>
      </c>
      <c r="BX475" s="503" t="str">
        <f>IF($G475="","",IF(AND($G475&gt;=30,$AT$3&lt;=BW$7),ROUND(BW475*($AP$3+#REF!),-1),""))</f>
        <v/>
      </c>
      <c r="BY475" s="503" t="s">
        <v>621</v>
      </c>
      <c r="BZ475" s="503" t="str">
        <f>IF($G475="","",IF(AND($G475&gt;=30,$AT$3&lt;=BY$7),ROUND(BY475*($AP$3+#REF!),-1),""))</f>
        <v/>
      </c>
      <c r="CA475" s="503" t="s">
        <v>621</v>
      </c>
      <c r="CB475" s="503" t="str">
        <f>IF($G475="","",IF(AND($G475&gt;=30,$AT$3&lt;=CA$7),ROUND(CA475*($AP$3+#REF!),-1),""))</f>
        <v/>
      </c>
      <c r="CC475" s="503" t="s">
        <v>621</v>
      </c>
      <c r="CD475" s="503" t="str">
        <f>IF($G475="","",IF(AND($G475&gt;=30,$AT$3&lt;=CC$7),ROUND(CC475*($AP$3+#REF!),-1),""))</f>
        <v/>
      </c>
      <c r="CE475" s="503" t="s">
        <v>621</v>
      </c>
      <c r="CF475" s="503" t="str">
        <f>IF($G475="","",IF(AND($G475&gt;=30,$AT$3&lt;=CE$7),ROUND(CE475*($AP$3+#REF!),-1),""))</f>
        <v/>
      </c>
      <c r="CG475" s="503" t="s">
        <v>621</v>
      </c>
      <c r="CH475" s="503" t="str">
        <f>IF($G475="","",IF(AND($G475&gt;=30,$AT$3&lt;=CG$7),ROUND(CG475*($AP$3+#REF!),-1),""))</f>
        <v/>
      </c>
      <c r="CI475" s="503" t="s">
        <v>621</v>
      </c>
      <c r="CJ475" s="503" t="str">
        <f>IF($G475="","",IF(AND($G475&gt;=30,$AT$3&lt;=CI$7),ROUND(CI475*($AP$3+#REF!),-1),""))</f>
        <v/>
      </c>
      <c r="CK475" s="503" t="s">
        <v>621</v>
      </c>
      <c r="CL475" s="503" t="str">
        <f>IF($G475="","",IF(AND($G475&gt;=30,$AT$3&lt;=CK$7),ROUND(CK475*($AP$3+#REF!),-1),""))</f>
        <v/>
      </c>
      <c r="CM475" s="503" t="s">
        <v>621</v>
      </c>
      <c r="CN475" s="503" t="str">
        <f>IF($G475="","",IF(AND($G475&gt;=30,$AT$3&lt;=CM$7),ROUND(CM475*($AP$3+#REF!),-1),""))</f>
        <v/>
      </c>
      <c r="CO475" s="503" t="s">
        <v>621</v>
      </c>
      <c r="CP475" s="503" t="str">
        <f>IF($G475="","",IF(AND($G475&gt;=30,$AT$3&lt;=CO$7),ROUND(CO475*($AP$3+#REF!),-1),""))</f>
        <v/>
      </c>
      <c r="CQ475" s="503" t="s">
        <v>621</v>
      </c>
      <c r="CR475" s="503" t="str">
        <f>IF($G475="","",IF(AND($G475&gt;=30,$AT$3&lt;=CQ$7),ROUND(CQ475*($AP$3+#REF!),-1),""))</f>
        <v/>
      </c>
      <c r="CS475" s="503" t="s">
        <v>621</v>
      </c>
      <c r="CT475" s="503" t="str">
        <f>IF($G475="","",IF(AND($G475&gt;=30,$AT$3&lt;=CS$7),ROUND(CS475*($AP$3+#REF!),-1),""))</f>
        <v/>
      </c>
      <c r="CU475" s="503" t="s">
        <v>621</v>
      </c>
      <c r="CV475" s="503" t="str">
        <f>IF($G475="","",IF(AND($G475&gt;=30,$AT$3&lt;=CU$7),ROUND(CU475*($AP$3+#REF!),-1),""))</f>
        <v/>
      </c>
      <c r="CW475" s="503" t="s">
        <v>621</v>
      </c>
      <c r="CX475" s="503" t="str">
        <f>IF($G475="","",IF(AND($G475&gt;=30,$AT$3&lt;=CW$7),ROUND(CW475*($AP$3+#REF!),-1),""))</f>
        <v/>
      </c>
      <c r="CY475" s="503" t="s">
        <v>621</v>
      </c>
      <c r="CZ475" s="503" t="str">
        <f>IF($G475="","",IF(AND($G475&gt;=30,$AT$3&lt;=CY$7),ROUND(CY475*($AP$3+#REF!),-1),""))</f>
        <v/>
      </c>
      <c r="DA475" s="503" t="s">
        <v>621</v>
      </c>
      <c r="DB475" s="503" t="str">
        <f>IF($G475="","",IF(AND($G475&gt;=30,$AT$3&lt;=DA$7),ROUND(DA475*($AP$3+#REF!),-1),""))</f>
        <v/>
      </c>
      <c r="DC475" s="503" t="s">
        <v>621</v>
      </c>
      <c r="DD475" s="503" t="str">
        <f>IF($G475="","",IF(AND($G475&gt;=30,$AT$3&lt;=DC$7),ROUND(DC475*($AP$3+#REF!),-1),""))</f>
        <v/>
      </c>
      <c r="DE475" s="517" t="e">
        <v>#REF!</v>
      </c>
      <c r="DF475" s="503" t="str">
        <f>IF($G475="","",IF(AND($G475&gt;=30,$AT$3&lt;=DE$7),ROUND(DE475*($AP$3+#REF!),-1),""))</f>
        <v/>
      </c>
      <c r="DG475" s="517"/>
      <c r="DH475" s="503" t="str">
        <f>IF($G475="","",IF(AND($G475&gt;=30,$AT$3&lt;=DG$7),ROUND(DG475*($AP$3+#REF!),-1),""))</f>
        <v/>
      </c>
      <c r="DI475" s="517"/>
      <c r="DJ475" s="503" t="str">
        <f>IF($G475="","",IF(AND($G475&gt;=30,$AT$3&lt;=DI$7),ROUND(DI475*($AP$3+#REF!),-1),""))</f>
        <v/>
      </c>
      <c r="DK475" s="517"/>
      <c r="DL475" s="503" t="str">
        <f>IF($G475="","",IF(AND($G475&gt;=30,$AT$3&lt;=DK$7),ROUND(DK475*($AP$3+#REF!),-1),""))</f>
        <v/>
      </c>
      <c r="DM475" s="517"/>
      <c r="DN475" s="503" t="str">
        <f>IF($G475="","",IF(AND($G475&gt;=30,$AT$3&lt;=DM$7),ROUND(DM475*($AP$3+#REF!),-1),""))</f>
        <v/>
      </c>
      <c r="DO475" s="517"/>
      <c r="DP475" s="503" t="str">
        <f>IF($G475="","",IF(AND($G475&gt;=30,$AT$3&lt;=DO$7),ROUND(DO475*($AP$3+#REF!),-1),""))</f>
        <v/>
      </c>
      <c r="DQ475" s="517"/>
      <c r="DR475" s="503" t="str">
        <f>IF($G475="","",IF(AND($G475&gt;=30,$AT$3&lt;=DQ$7),ROUND(DQ475*($AP$3+#REF!),-1),""))</f>
        <v/>
      </c>
      <c r="DS475" s="517"/>
      <c r="DT475" s="503" t="str">
        <f>IF($G475="","",IF(AND($G475&gt;=30,$AT$3&lt;=DS$7),ROUND(DS475*($AP$3+#REF!),-1),""))</f>
        <v/>
      </c>
      <c r="DU475" s="517"/>
      <c r="DV475" s="503" t="str">
        <f>IF($G475="","",IF(AND($G475&gt;=30,$AT$3&lt;=DU$7),ROUND(DU475*($AP$3+#REF!),-1),""))</f>
        <v/>
      </c>
      <c r="DW475" s="517"/>
      <c r="DX475" s="503" t="str">
        <f>IF($G475="","",IF(AND($G475&gt;=30,$AT$3&lt;=DW$7),ROUND(DW475*($AP$3+#REF!),-1),""))</f>
        <v/>
      </c>
      <c r="DY475" s="517"/>
      <c r="DZ475" s="503" t="str">
        <f>IF($G475="","",IF(AND($G475&gt;=30,$AT$3&lt;=DY$7),ROUND(DY475*($AP$3+#REF!),-1),""))</f>
        <v/>
      </c>
      <c r="EA475" s="517"/>
      <c r="EB475" s="503" t="str">
        <f>IF($G475="","",IF(AND($G475&gt;=30,$AT$3&lt;=EA$7),ROUND(EA475*($AP$3+#REF!),-1),""))</f>
        <v/>
      </c>
      <c r="EC475" s="504" t="s">
        <v>621</v>
      </c>
      <c r="ED475" s="1126"/>
      <c r="EE475" s="325">
        <v>11</v>
      </c>
    </row>
    <row r="476" spans="1:135" ht="9.75" customHeight="1">
      <c r="A476" s="321" t="str">
        <f t="shared" si="110"/>
        <v/>
      </c>
      <c r="B476" s="567">
        <f>(ii!$D$13*12+V476)+1</f>
        <v>370</v>
      </c>
      <c r="C476" s="337">
        <f t="shared" si="114"/>
        <v>56614</v>
      </c>
      <c r="D476" s="484">
        <f t="shared" si="117"/>
        <v>2054</v>
      </c>
      <c r="E476" s="484">
        <f t="shared" si="115"/>
        <v>1</v>
      </c>
      <c r="F476" s="484">
        <f t="shared" si="118"/>
        <v>2055</v>
      </c>
      <c r="G476" s="485" t="str">
        <f>IF(OR(C476&lt;$I$2,C476&gt;$J$3),"",(ii!$D$13*12+V476+1)/12)</f>
        <v/>
      </c>
      <c r="H476" s="486"/>
      <c r="I476" s="486"/>
      <c r="J476" s="487"/>
      <c r="K476" s="488"/>
      <c r="L476" s="548"/>
      <c r="M476" s="489" t="str">
        <f t="shared" si="119"/>
        <v/>
      </c>
      <c r="N476" s="490" t="s">
        <v>621</v>
      </c>
      <c r="O476" s="490" t="str">
        <f t="shared" si="112"/>
        <v/>
      </c>
      <c r="P476" s="491"/>
      <c r="Q476" s="491"/>
      <c r="R476" s="491" t="str">
        <f t="shared" si="113"/>
        <v/>
      </c>
      <c r="S476" s="528" t="str">
        <f t="shared" si="111"/>
        <v/>
      </c>
      <c r="T476" s="528" t="str">
        <f t="shared" si="109"/>
        <v/>
      </c>
      <c r="U476" s="493" t="str">
        <f>IF(H476="","",#REF!*12+#REF!+#REF!*12+#REF!)</f>
        <v/>
      </c>
      <c r="V476" s="338">
        <f>IF(ii!$J$3&gt;gg!C476,"",IF(AND((YEAR(C476)=YEAR($I$2)),MONTH(C476)=MONTH($I$2)),ii!$B$14*12+ii!$C$14+ii!$B$15*12+ii!$C$15-1,V475+1))</f>
        <v>369</v>
      </c>
      <c r="W476" s="339">
        <f t="shared" si="116"/>
        <v>30.75</v>
      </c>
      <c r="X476" s="494" t="s">
        <v>621</v>
      </c>
      <c r="Y476" s="495" t="s">
        <v>621</v>
      </c>
      <c r="Z476" s="496"/>
      <c r="AA476" s="497"/>
      <c r="AB476" s="498" t="e">
        <f t="shared" si="108"/>
        <v>#VALUE!</v>
      </c>
      <c r="AC476" s="484" t="str">
        <f t="shared" si="120"/>
        <v/>
      </c>
      <c r="AD476" s="495" t="str">
        <f t="shared" si="121"/>
        <v/>
      </c>
      <c r="AE476" s="499" t="s">
        <v>621</v>
      </c>
      <c r="AF476" s="500" t="s">
        <v>621</v>
      </c>
      <c r="AG476" s="556" t="s">
        <v>621</v>
      </c>
      <c r="AH476" s="503" t="str">
        <f>IF($G476="","",IF(AND($G476&gt;=30,$AT$3&lt;=AG$7),ROUND(AG476*($AP$3+#REF!),-1),""))</f>
        <v/>
      </c>
      <c r="AI476" s="506" t="s">
        <v>621</v>
      </c>
      <c r="AJ476" s="503" t="str">
        <f>IF($G476="","",IF(AND($G476&gt;=30,$AT$3&lt;=AI$7),ROUND(AI476*($AP$3+#REF!),-1),""))</f>
        <v/>
      </c>
      <c r="AK476" s="506" t="s">
        <v>621</v>
      </c>
      <c r="AL476" s="503" t="str">
        <f>IF($G476="","",IF(AND($G476&gt;=30,$AT$3&lt;=AK$7),ROUND(AK476*($AP$3+#REF!),-1),""))</f>
        <v/>
      </c>
      <c r="AM476" s="506" t="s">
        <v>621</v>
      </c>
      <c r="AN476" s="503" t="str">
        <f>IF($G476="","",IF(AND($G476&gt;=30,$AT$3&lt;=AM$7),ROUND(AM476*($AP$3+#REF!),-1),""))</f>
        <v/>
      </c>
      <c r="AO476" s="503" t="e">
        <v>#REF!</v>
      </c>
      <c r="AP476" s="503" t="str">
        <f>IF($G476="","",IF(AND($G476&gt;=30,$AT$3&lt;=AO$7),ROUND(AO476*($AP$3+#REF!),-1),""))</f>
        <v/>
      </c>
      <c r="AQ476" s="503" t="s">
        <v>621</v>
      </c>
      <c r="AR476" s="503" t="str">
        <f>IF($G476="","",IF(AND($G476&gt;=30,$AT$3&lt;=AQ$7),ROUND(AQ476*($AP$3+#REF!),-1),""))</f>
        <v/>
      </c>
      <c r="AS476" s="503" t="s">
        <v>621</v>
      </c>
      <c r="AT476" s="503" t="str">
        <f>IF($G476="","",IF(AND($G476&gt;=30,$AT$3&lt;=AS$7),ROUND(AS476*($AP$3+#REF!),-1),""))</f>
        <v/>
      </c>
      <c r="AU476" s="503" t="s">
        <v>621</v>
      </c>
      <c r="AV476" s="503" t="str">
        <f>IF($G476="","",IF(AND($G476&gt;=30,$AT$3&lt;=AU$7),ROUND(AU476*($AP$3+#REF!),-1),""))</f>
        <v/>
      </c>
      <c r="AW476" s="503" t="s">
        <v>621</v>
      </c>
      <c r="AX476" s="503" t="str">
        <f>IF($G476="","",IF(AND($G476&gt;=30,$AT$3&lt;=AW$7),ROUND(AW476*($AP$3+#REF!),-1),""))</f>
        <v/>
      </c>
      <c r="AY476" s="503" t="s">
        <v>621</v>
      </c>
      <c r="AZ476" s="503" t="str">
        <f>IF($G476="","",IF(AND($G476&gt;=30,$AT$3&lt;=AY$7),ROUND(AY476*($AP$3+#REF!),-1),""))</f>
        <v/>
      </c>
      <c r="BA476" s="503" t="s">
        <v>621</v>
      </c>
      <c r="BB476" s="503" t="str">
        <f>IF($G476="","",IF(AND($G476&gt;=30,$AT$3&lt;=BA$7),ROUND(BA476*($AP$3+#REF!),-1),""))</f>
        <v/>
      </c>
      <c r="BC476" s="503" t="s">
        <v>621</v>
      </c>
      <c r="BD476" s="503" t="str">
        <f>IF($G476="","",IF(AND($G476&gt;=30,$AT$3&lt;=BC$7),ROUND(BC476*($AP$3+#REF!),-1),""))</f>
        <v/>
      </c>
      <c r="BE476" s="503" t="s">
        <v>621</v>
      </c>
      <c r="BF476" s="503" t="str">
        <f>IF($G476="","",IF(AND($G476&gt;=30,$AT$3&lt;=BE$7),ROUND(BE476*($AP$3+#REF!),-1),""))</f>
        <v/>
      </c>
      <c r="BG476" s="503" t="s">
        <v>621</v>
      </c>
      <c r="BH476" s="503" t="str">
        <f>IF($G476="","",IF(AND($G476&gt;=30,$AT$3&lt;=BG$7),ROUND(BG476*($AP$3+#REF!),-1),""))</f>
        <v/>
      </c>
      <c r="BI476" s="503" t="s">
        <v>621</v>
      </c>
      <c r="BJ476" s="503" t="str">
        <f>IF($G476="","",IF(AND($G476&gt;=30,$AT$3&lt;=BI$7),ROUND(BI476*($AP$3+#REF!),-1),""))</f>
        <v/>
      </c>
      <c r="BK476" s="503" t="s">
        <v>621</v>
      </c>
      <c r="BL476" s="503" t="str">
        <f>IF($G476="","",IF(AND($G476&gt;=30,$AT$3&lt;=BK$7),ROUND(BK476*($AP$3+#REF!),-1),""))</f>
        <v/>
      </c>
      <c r="BM476" s="503" t="s">
        <v>621</v>
      </c>
      <c r="BN476" s="503" t="str">
        <f>IF($G476="","",IF(AND($G476&gt;=30,$AT$3&lt;=BM$7),ROUND(BM476*($AP$3+#REF!),-1),""))</f>
        <v/>
      </c>
      <c r="BO476" s="503" t="s">
        <v>621</v>
      </c>
      <c r="BP476" s="503" t="str">
        <f>IF($G476="","",IF(AND($G476&gt;=30,$AT$3&lt;=BO$7),ROUND(BO476*($AP$3+#REF!),-1),""))</f>
        <v/>
      </c>
      <c r="BQ476" s="503" t="s">
        <v>621</v>
      </c>
      <c r="BR476" s="503" t="str">
        <f>IF($G476="","",IF(AND($G476&gt;=30,$AT$3&lt;=BQ$7),ROUND(BQ476*($AP$3+#REF!),-1),""))</f>
        <v/>
      </c>
      <c r="BS476" s="503" t="s">
        <v>621</v>
      </c>
      <c r="BT476" s="503" t="str">
        <f>IF($G476="","",IF(AND($G476&gt;=30,$AT$3&lt;=BS$7),ROUND(BS476*($AP$3+#REF!),-1),""))</f>
        <v/>
      </c>
      <c r="BU476" s="503" t="s">
        <v>621</v>
      </c>
      <c r="BV476" s="503" t="str">
        <f>IF($G476="","",IF(AND($G476&gt;=30,$AT$3&lt;=BU$7),ROUND(BU476*($AP$3+#REF!),-1),""))</f>
        <v/>
      </c>
      <c r="BW476" s="503" t="s">
        <v>621</v>
      </c>
      <c r="BX476" s="503" t="str">
        <f>IF($G476="","",IF(AND($G476&gt;=30,$AT$3&lt;=BW$7),ROUND(BW476*($AP$3+#REF!),-1),""))</f>
        <v/>
      </c>
      <c r="BY476" s="503" t="s">
        <v>621</v>
      </c>
      <c r="BZ476" s="503" t="str">
        <f>IF($G476="","",IF(AND($G476&gt;=30,$AT$3&lt;=BY$7),ROUND(BY476*($AP$3+#REF!),-1),""))</f>
        <v/>
      </c>
      <c r="CA476" s="503" t="s">
        <v>621</v>
      </c>
      <c r="CB476" s="503" t="str">
        <f>IF($G476="","",IF(AND($G476&gt;=30,$AT$3&lt;=CA$7),ROUND(CA476*($AP$3+#REF!),-1),""))</f>
        <v/>
      </c>
      <c r="CC476" s="503" t="s">
        <v>621</v>
      </c>
      <c r="CD476" s="503" t="str">
        <f>IF($G476="","",IF(AND($G476&gt;=30,$AT$3&lt;=CC$7),ROUND(CC476*($AP$3+#REF!),-1),""))</f>
        <v/>
      </c>
      <c r="CE476" s="503" t="s">
        <v>621</v>
      </c>
      <c r="CF476" s="503" t="str">
        <f>IF($G476="","",IF(AND($G476&gt;=30,$AT$3&lt;=CE$7),ROUND(CE476*($AP$3+#REF!),-1),""))</f>
        <v/>
      </c>
      <c r="CG476" s="503" t="s">
        <v>621</v>
      </c>
      <c r="CH476" s="503" t="str">
        <f>IF($G476="","",IF(AND($G476&gt;=30,$AT$3&lt;=CG$7),ROUND(CG476*($AP$3+#REF!),-1),""))</f>
        <v/>
      </c>
      <c r="CI476" s="503" t="s">
        <v>621</v>
      </c>
      <c r="CJ476" s="503" t="str">
        <f>IF($G476="","",IF(AND($G476&gt;=30,$AT$3&lt;=CI$7),ROUND(CI476*($AP$3+#REF!),-1),""))</f>
        <v/>
      </c>
      <c r="CK476" s="503" t="s">
        <v>621</v>
      </c>
      <c r="CL476" s="503" t="str">
        <f>IF($G476="","",IF(AND($G476&gt;=30,$AT$3&lt;=CK$7),ROUND(CK476*($AP$3+#REF!),-1),""))</f>
        <v/>
      </c>
      <c r="CM476" s="503" t="s">
        <v>621</v>
      </c>
      <c r="CN476" s="503" t="str">
        <f>IF($G476="","",IF(AND($G476&gt;=30,$AT$3&lt;=CM$7),ROUND(CM476*($AP$3+#REF!),-1),""))</f>
        <v/>
      </c>
      <c r="CO476" s="503" t="s">
        <v>621</v>
      </c>
      <c r="CP476" s="503" t="str">
        <f>IF($G476="","",IF(AND($G476&gt;=30,$AT$3&lt;=CO$7),ROUND(CO476*($AP$3+#REF!),-1),""))</f>
        <v/>
      </c>
      <c r="CQ476" s="503" t="s">
        <v>621</v>
      </c>
      <c r="CR476" s="503" t="str">
        <f>IF($G476="","",IF(AND($G476&gt;=30,$AT$3&lt;=CQ$7),ROUND(CQ476*($AP$3+#REF!),-1),""))</f>
        <v/>
      </c>
      <c r="CS476" s="503" t="s">
        <v>621</v>
      </c>
      <c r="CT476" s="503" t="str">
        <f>IF($G476="","",IF(AND($G476&gt;=30,$AT$3&lt;=CS$7),ROUND(CS476*($AP$3+#REF!),-1),""))</f>
        <v/>
      </c>
      <c r="CU476" s="503" t="s">
        <v>621</v>
      </c>
      <c r="CV476" s="503" t="str">
        <f>IF($G476="","",IF(AND($G476&gt;=30,$AT$3&lt;=CU$7),ROUND(CU476*($AP$3+#REF!),-1),""))</f>
        <v/>
      </c>
      <c r="CW476" s="503" t="s">
        <v>621</v>
      </c>
      <c r="CX476" s="503" t="str">
        <f>IF($G476="","",IF(AND($G476&gt;=30,$AT$3&lt;=CW$7),ROUND(CW476*($AP$3+#REF!),-1),""))</f>
        <v/>
      </c>
      <c r="CY476" s="503" t="s">
        <v>621</v>
      </c>
      <c r="CZ476" s="503" t="str">
        <f>IF($G476="","",IF(AND($G476&gt;=30,$AT$3&lt;=CY$7),ROUND(CY476*($AP$3+#REF!),-1),""))</f>
        <v/>
      </c>
      <c r="DA476" s="503" t="s">
        <v>621</v>
      </c>
      <c r="DB476" s="503" t="str">
        <f>IF($G476="","",IF(AND($G476&gt;=30,$AT$3&lt;=DA$7),ROUND(DA476*($AP$3+#REF!),-1),""))</f>
        <v/>
      </c>
      <c r="DC476" s="503" t="s">
        <v>621</v>
      </c>
      <c r="DD476" s="503" t="str">
        <f>IF($G476="","",IF(AND($G476&gt;=30,$AT$3&lt;=DC$7),ROUND(DC476*($AP$3+#REF!),-1),""))</f>
        <v/>
      </c>
      <c r="DE476" s="517" t="e">
        <v>#REF!</v>
      </c>
      <c r="DF476" s="503" t="str">
        <f>IF($G476="","",IF(AND($G476&gt;=30,$AT$3&lt;=DE$7),ROUND(DE476*($AP$3+#REF!),-1),""))</f>
        <v/>
      </c>
      <c r="DG476" s="517"/>
      <c r="DH476" s="503" t="str">
        <f>IF($G476="","",IF(AND($G476&gt;=30,$AT$3&lt;=DG$7),ROUND(DG476*($AP$3+#REF!),-1),""))</f>
        <v/>
      </c>
      <c r="DI476" s="517"/>
      <c r="DJ476" s="503" t="str">
        <f>IF($G476="","",IF(AND($G476&gt;=30,$AT$3&lt;=DI$7),ROUND(DI476*($AP$3+#REF!),-1),""))</f>
        <v/>
      </c>
      <c r="DK476" s="517"/>
      <c r="DL476" s="503" t="str">
        <f>IF($G476="","",IF(AND($G476&gt;=30,$AT$3&lt;=DK$7),ROUND(DK476*($AP$3+#REF!),-1),""))</f>
        <v/>
      </c>
      <c r="DM476" s="517"/>
      <c r="DN476" s="503" t="str">
        <f>IF($G476="","",IF(AND($G476&gt;=30,$AT$3&lt;=DM$7),ROUND(DM476*($AP$3+#REF!),-1),""))</f>
        <v/>
      </c>
      <c r="DO476" s="517"/>
      <c r="DP476" s="503" t="str">
        <f>IF($G476="","",IF(AND($G476&gt;=30,$AT$3&lt;=DO$7),ROUND(DO476*($AP$3+#REF!),-1),""))</f>
        <v/>
      </c>
      <c r="DQ476" s="517"/>
      <c r="DR476" s="503" t="str">
        <f>IF($G476="","",IF(AND($G476&gt;=30,$AT$3&lt;=DQ$7),ROUND(DQ476*($AP$3+#REF!),-1),""))</f>
        <v/>
      </c>
      <c r="DS476" s="517"/>
      <c r="DT476" s="503" t="str">
        <f>IF($G476="","",IF(AND($G476&gt;=30,$AT$3&lt;=DS$7),ROUND(DS476*($AP$3+#REF!),-1),""))</f>
        <v/>
      </c>
      <c r="DU476" s="517"/>
      <c r="DV476" s="503" t="str">
        <f>IF($G476="","",IF(AND($G476&gt;=30,$AT$3&lt;=DU$7),ROUND(DU476*($AP$3+#REF!),-1),""))</f>
        <v/>
      </c>
      <c r="DW476" s="517"/>
      <c r="DX476" s="503" t="str">
        <f>IF($G476="","",IF(AND($G476&gt;=30,$AT$3&lt;=DW$7),ROUND(DW476*($AP$3+#REF!),-1),""))</f>
        <v/>
      </c>
      <c r="DY476" s="517"/>
      <c r="DZ476" s="503" t="str">
        <f>IF($G476="","",IF(AND($G476&gt;=30,$AT$3&lt;=DY$7),ROUND(DY476*($AP$3+#REF!),-1),""))</f>
        <v/>
      </c>
      <c r="EA476" s="517"/>
      <c r="EB476" s="503" t="str">
        <f>IF($G476="","",IF(AND($G476&gt;=30,$AT$3&lt;=EA$7),ROUND(EA476*($AP$3+#REF!),-1),""))</f>
        <v/>
      </c>
      <c r="EC476" s="504" t="s">
        <v>621</v>
      </c>
      <c r="ED476" s="1126"/>
      <c r="EE476" s="325">
        <v>12</v>
      </c>
    </row>
    <row r="477" spans="1:135" ht="9.75" customHeight="1">
      <c r="A477" s="321" t="str">
        <f t="shared" si="110"/>
        <v/>
      </c>
      <c r="B477" s="567">
        <f>(ii!$D$13*12+V477)+1</f>
        <v>371</v>
      </c>
      <c r="C477" s="345">
        <f t="shared" si="114"/>
        <v>56645</v>
      </c>
      <c r="D477" s="340">
        <f t="shared" si="117"/>
        <v>2055</v>
      </c>
      <c r="E477" s="340">
        <f t="shared" si="115"/>
        <v>8.3333333333333329E-2</v>
      </c>
      <c r="F477" s="340">
        <f t="shared" si="118"/>
        <v>2055.0833333333335</v>
      </c>
      <c r="G477" s="531" t="str">
        <f>IF(OR(C477&lt;$I$2,C477&gt;$J$3),"",(ii!$D$13*12+V477+1)/12)</f>
        <v/>
      </c>
      <c r="H477" s="532"/>
      <c r="I477" s="532"/>
      <c r="J477" s="533"/>
      <c r="K477" s="553"/>
      <c r="L477" s="534"/>
      <c r="M477" s="489" t="str">
        <f t="shared" si="119"/>
        <v/>
      </c>
      <c r="N477" s="536" t="s">
        <v>621</v>
      </c>
      <c r="O477" s="490" t="str">
        <f t="shared" si="112"/>
        <v/>
      </c>
      <c r="P477" s="537"/>
      <c r="Q477" s="537"/>
      <c r="R477" s="533" t="str">
        <f t="shared" si="113"/>
        <v/>
      </c>
      <c r="S477" s="538" t="str">
        <f t="shared" si="111"/>
        <v/>
      </c>
      <c r="T477" s="538" t="str">
        <f t="shared" si="109"/>
        <v/>
      </c>
      <c r="U477" s="539" t="str">
        <f>IF(H477="","",#REF!*12+#REF!+#REF!*12+#REF!)</f>
        <v/>
      </c>
      <c r="V477" s="338">
        <f>IF(ii!$J$3&gt;gg!C477,"",IF(AND((YEAR(C477)=YEAR($I$2)),MONTH(C477)=MONTH($I$2)),ii!$B$14*12+ii!$C$14+ii!$B$15*12+ii!$C$15-1,V476+1))</f>
        <v>370</v>
      </c>
      <c r="W477" s="339">
        <f t="shared" si="116"/>
        <v>30.833333333333332</v>
      </c>
      <c r="X477" s="540" t="s">
        <v>621</v>
      </c>
      <c r="Y477" s="538" t="s">
        <v>621</v>
      </c>
      <c r="Z477" s="541">
        <f>Z465+$Z$26</f>
        <v>1.1100000000000008</v>
      </c>
      <c r="AA477" s="542" t="str">
        <f>IF(Y477="","",(Y477-Y476)/Y476)</f>
        <v/>
      </c>
      <c r="AB477" s="543" t="e">
        <f t="shared" si="108"/>
        <v>#VALUE!</v>
      </c>
      <c r="AC477" s="544" t="str">
        <f t="shared" si="120"/>
        <v/>
      </c>
      <c r="AD477" s="538" t="str">
        <f t="shared" si="121"/>
        <v/>
      </c>
      <c r="AE477" s="545" t="s">
        <v>621</v>
      </c>
      <c r="AF477" s="546" t="s">
        <v>621</v>
      </c>
      <c r="AG477" s="558" t="s">
        <v>621</v>
      </c>
      <c r="AH477" s="547" t="str">
        <f>IF($G477="","",IF(AND($G477&gt;=30,$AT$3&lt;=AG$7),ROUND(AG477*($AP$3+#REF!),-1),""))</f>
        <v/>
      </c>
      <c r="AI477" s="558" t="s">
        <v>621</v>
      </c>
      <c r="AJ477" s="547" t="str">
        <f>IF($G477="","",IF(AND($G477&gt;=30,$AT$3&lt;=AI$7),ROUND(AI477*($AP$3+#REF!),-1),""))</f>
        <v/>
      </c>
      <c r="AK477" s="560" t="s">
        <v>621</v>
      </c>
      <c r="AL477" s="547" t="str">
        <f>IF($G477="","",IF(AND($G477&gt;=30,$AT$3&lt;=AK$7),ROUND(AK477*($AP$3+#REF!),-1),""))</f>
        <v/>
      </c>
      <c r="AM477" s="560" t="s">
        <v>621</v>
      </c>
      <c r="AN477" s="547" t="str">
        <f>IF($G477="","",IF(AND($G477&gt;=30,$AT$3&lt;=AM$7),ROUND(AM477*($AP$3+#REF!),-1),""))</f>
        <v/>
      </c>
      <c r="AO477" s="547" t="e">
        <v>#REF!</v>
      </c>
      <c r="AP477" s="547" t="str">
        <f>IF($G477="","",IF(AND($G477&gt;=30,$AT$3&lt;=AO$7),ROUND(AO477*($AP$3+#REF!),-1),""))</f>
        <v/>
      </c>
      <c r="AQ477" s="547" t="s">
        <v>621</v>
      </c>
      <c r="AR477" s="547" t="str">
        <f>IF($G477="","",IF(AND($G477&gt;=30,$AT$3&lt;=AQ$7),ROUND(AQ477*($AP$3+#REF!),-1),""))</f>
        <v/>
      </c>
      <c r="AS477" s="547" t="s">
        <v>621</v>
      </c>
      <c r="AT477" s="547" t="str">
        <f>IF($G477="","",IF(AND($G477&gt;=30,$AT$3&lt;=AS$7),ROUND(AS477*($AP$3+#REF!),-1),""))</f>
        <v/>
      </c>
      <c r="AU477" s="547" t="s">
        <v>621</v>
      </c>
      <c r="AV477" s="547" t="str">
        <f>IF($G477="","",IF(AND($G477&gt;=30,$AT$3&lt;=AU$7),ROUND(AU477*($AP$3+#REF!),-1),""))</f>
        <v/>
      </c>
      <c r="AW477" s="547" t="s">
        <v>621</v>
      </c>
      <c r="AX477" s="547" t="str">
        <f>IF($G477="","",IF(AND($G477&gt;=30,$AT$3&lt;=AW$7),ROUND(AW477*($AP$3+#REF!),-1),""))</f>
        <v/>
      </c>
      <c r="AY477" s="547" t="s">
        <v>621</v>
      </c>
      <c r="AZ477" s="547" t="str">
        <f>IF($G477="","",IF(AND($G477&gt;=30,$AT$3&lt;=AY$7),ROUND(AY477*($AP$3+#REF!),-1),""))</f>
        <v/>
      </c>
      <c r="BA477" s="547" t="s">
        <v>621</v>
      </c>
      <c r="BB477" s="547" t="str">
        <f>IF($G477="","",IF(AND($G477&gt;=30,$AT$3&lt;=BA$7),ROUND(BA477*($AP$3+#REF!),-1),""))</f>
        <v/>
      </c>
      <c r="BC477" s="547" t="s">
        <v>621</v>
      </c>
      <c r="BD477" s="547" t="str">
        <f>IF($G477="","",IF(AND($G477&gt;=30,$AT$3&lt;=BC$7),ROUND(BC477*($AP$3+#REF!),-1),""))</f>
        <v/>
      </c>
      <c r="BE477" s="547" t="s">
        <v>621</v>
      </c>
      <c r="BF477" s="547" t="str">
        <f>IF($G477="","",IF(AND($G477&gt;=30,$AT$3&lt;=BE$7),ROUND(BE477*($AP$3+#REF!),-1),""))</f>
        <v/>
      </c>
      <c r="BG477" s="547" t="s">
        <v>621</v>
      </c>
      <c r="BH477" s="547" t="str">
        <f>IF($G477="","",IF(AND($G477&gt;=30,$AT$3&lt;=BG$7),ROUND(BG477*($AP$3+#REF!),-1),""))</f>
        <v/>
      </c>
      <c r="BI477" s="547" t="s">
        <v>621</v>
      </c>
      <c r="BJ477" s="547" t="str">
        <f>IF($G477="","",IF(AND($G477&gt;=30,$AT$3&lt;=BI$7),ROUND(BI477*($AP$3+#REF!),-1),""))</f>
        <v/>
      </c>
      <c r="BK477" s="547" t="s">
        <v>621</v>
      </c>
      <c r="BL477" s="547" t="str">
        <f>IF($G477="","",IF(AND($G477&gt;=30,$AT$3&lt;=BK$7),ROUND(BK477*($AP$3+#REF!),-1),""))</f>
        <v/>
      </c>
      <c r="BM477" s="547" t="s">
        <v>621</v>
      </c>
      <c r="BN477" s="547" t="str">
        <f>IF($G477="","",IF(AND($G477&gt;=30,$AT$3&lt;=BM$7),ROUND(BM477*($AP$3+#REF!),-1),""))</f>
        <v/>
      </c>
      <c r="BO477" s="547" t="s">
        <v>621</v>
      </c>
      <c r="BP477" s="547" t="str">
        <f>IF($G477="","",IF(AND($G477&gt;=30,$AT$3&lt;=BO$7),ROUND(BO477*($AP$3+#REF!),-1),""))</f>
        <v/>
      </c>
      <c r="BQ477" s="547" t="s">
        <v>621</v>
      </c>
      <c r="BR477" s="547" t="str">
        <f>IF($G477="","",IF(AND($G477&gt;=30,$AT$3&lt;=BQ$7),ROUND(BQ477*($AP$3+#REF!),-1),""))</f>
        <v/>
      </c>
      <c r="BS477" s="547" t="s">
        <v>621</v>
      </c>
      <c r="BT477" s="547" t="str">
        <f>IF($G477="","",IF(AND($G477&gt;=30,$AT$3&lt;=BS$7),ROUND(BS477*($AP$3+#REF!),-1),""))</f>
        <v/>
      </c>
      <c r="BU477" s="547" t="s">
        <v>621</v>
      </c>
      <c r="BV477" s="547" t="str">
        <f>IF($G477="","",IF(AND($G477&gt;=30,$AT$3&lt;=BU$7),ROUND(BU477*($AP$3+#REF!),-1),""))</f>
        <v/>
      </c>
      <c r="BW477" s="547" t="s">
        <v>621</v>
      </c>
      <c r="BX477" s="547" t="str">
        <f>IF($G477="","",IF(AND($G477&gt;=30,$AT$3&lt;=BW$7),ROUND(BW477*($AP$3+#REF!),-1),""))</f>
        <v/>
      </c>
      <c r="BY477" s="547" t="s">
        <v>621</v>
      </c>
      <c r="BZ477" s="547" t="str">
        <f>IF($G477="","",IF(AND($G477&gt;=30,$AT$3&lt;=BY$7),ROUND(BY477*($AP$3+#REF!),-1),""))</f>
        <v/>
      </c>
      <c r="CA477" s="547" t="s">
        <v>621</v>
      </c>
      <c r="CB477" s="547" t="str">
        <f>IF($G477="","",IF(AND($G477&gt;=30,$AT$3&lt;=CA$7),ROUND(CA477*($AP$3+#REF!),-1),""))</f>
        <v/>
      </c>
      <c r="CC477" s="547" t="s">
        <v>621</v>
      </c>
      <c r="CD477" s="547" t="str">
        <f>IF($G477="","",IF(AND($G477&gt;=30,$AT$3&lt;=CC$7),ROUND(CC477*($AP$3+#REF!),-1),""))</f>
        <v/>
      </c>
      <c r="CE477" s="547" t="s">
        <v>621</v>
      </c>
      <c r="CF477" s="547" t="str">
        <f>IF($G477="","",IF(AND($G477&gt;=30,$AT$3&lt;=CE$7),ROUND(CE477*($AP$3+#REF!),-1),""))</f>
        <v/>
      </c>
      <c r="CG477" s="547" t="s">
        <v>621</v>
      </c>
      <c r="CH477" s="547" t="str">
        <f>IF($G477="","",IF(AND($G477&gt;=30,$AT$3&lt;=CG$7),ROUND(CG477*($AP$3+#REF!),-1),""))</f>
        <v/>
      </c>
      <c r="CI477" s="547" t="s">
        <v>621</v>
      </c>
      <c r="CJ477" s="547" t="str">
        <f>IF($G477="","",IF(AND($G477&gt;=30,$AT$3&lt;=CI$7),ROUND(CI477*($AP$3+#REF!),-1),""))</f>
        <v/>
      </c>
      <c r="CK477" s="547" t="s">
        <v>621</v>
      </c>
      <c r="CL477" s="547" t="str">
        <f>IF($G477="","",IF(AND($G477&gt;=30,$AT$3&lt;=CK$7),ROUND(CK477*($AP$3+#REF!),-1),""))</f>
        <v/>
      </c>
      <c r="CM477" s="547" t="s">
        <v>621</v>
      </c>
      <c r="CN477" s="547" t="str">
        <f>IF($G477="","",IF(AND($G477&gt;=30,$AT$3&lt;=CM$7),ROUND(CM477*($AP$3+#REF!),-1),""))</f>
        <v/>
      </c>
      <c r="CO477" s="547" t="s">
        <v>621</v>
      </c>
      <c r="CP477" s="547" t="str">
        <f>IF($G477="","",IF(AND($G477&gt;=30,$AT$3&lt;=CO$7),ROUND(CO477*($AP$3+#REF!),-1),""))</f>
        <v/>
      </c>
      <c r="CQ477" s="547" t="s">
        <v>621</v>
      </c>
      <c r="CR477" s="547" t="str">
        <f>IF($G477="","",IF(AND($G477&gt;=30,$AT$3&lt;=CQ$7),ROUND(CQ477*($AP$3+#REF!),-1),""))</f>
        <v/>
      </c>
      <c r="CS477" s="547" t="s">
        <v>621</v>
      </c>
      <c r="CT477" s="547" t="str">
        <f>IF($G477="","",IF(AND($G477&gt;=30,$AT$3&lt;=CS$7),ROUND(CS477*($AP$3+#REF!),-1),""))</f>
        <v/>
      </c>
      <c r="CU477" s="547" t="s">
        <v>621</v>
      </c>
      <c r="CV477" s="547" t="str">
        <f>IF($G477="","",IF(AND($G477&gt;=30,$AT$3&lt;=CU$7),ROUND(CU477*($AP$3+#REF!),-1),""))</f>
        <v/>
      </c>
      <c r="CW477" s="547" t="s">
        <v>621</v>
      </c>
      <c r="CX477" s="547" t="str">
        <f>IF($G477="","",IF(AND($G477&gt;=30,$AT$3&lt;=CW$7),ROUND(CW477*($AP$3+#REF!),-1),""))</f>
        <v/>
      </c>
      <c r="CY477" s="547" t="s">
        <v>621</v>
      </c>
      <c r="CZ477" s="547" t="str">
        <f>IF($G477="","",IF(AND($G477&gt;=30,$AT$3&lt;=CY$7),ROUND(CY477*($AP$3+#REF!),-1),""))</f>
        <v/>
      </c>
      <c r="DA477" s="547" t="s">
        <v>621</v>
      </c>
      <c r="DB477" s="547" t="str">
        <f>IF($G477="","",IF(AND($G477&gt;=30,$AT$3&lt;=DA$7),ROUND(DA477*($AP$3+#REF!),-1),""))</f>
        <v/>
      </c>
      <c r="DC477" s="547" t="s">
        <v>621</v>
      </c>
      <c r="DD477" s="547" t="str">
        <f>IF($G477="","",IF(AND($G477&gt;=30,$AT$3&lt;=DC$7),ROUND(DC477*($AP$3+#REF!),-1),""))</f>
        <v/>
      </c>
      <c r="DE477" s="547" t="s">
        <v>621</v>
      </c>
      <c r="DF477" s="547" t="str">
        <f>IF($G477="","",IF(AND($G477&gt;=30,$AT$3&lt;=DE$7),ROUND(DE477*($AP$3+#REF!),-1),""))</f>
        <v/>
      </c>
      <c r="DG477" s="533" t="e">
        <v>#REF!</v>
      </c>
      <c r="DH477" s="547" t="str">
        <f>IF($G477="","",IF(AND($G477&gt;=30,$AT$3&lt;=DG$7),ROUND(DG477*($AP$3+#REF!),-1),""))</f>
        <v/>
      </c>
      <c r="DI477" s="547"/>
      <c r="DJ477" s="547" t="str">
        <f>IF($G477="","",IF(AND($G477&gt;=30,$AT$3&lt;=DI$7),ROUND(DI477*($AP$3+#REF!),-1),""))</f>
        <v/>
      </c>
      <c r="DK477" s="547"/>
      <c r="DL477" s="547" t="str">
        <f>IF($G477="","",IF(AND($G477&gt;=30,$AT$3&lt;=DK$7),ROUND(DK477*($AP$3+#REF!),-1),""))</f>
        <v/>
      </c>
      <c r="DM477" s="547"/>
      <c r="DN477" s="547" t="str">
        <f>IF($G477="","",IF(AND($G477&gt;=30,$AT$3&lt;=DM$7),ROUND(DM477*($AP$3+#REF!),-1),""))</f>
        <v/>
      </c>
      <c r="DO477" s="547"/>
      <c r="DP477" s="547" t="str">
        <f>IF($G477="","",IF(AND($G477&gt;=30,$AT$3&lt;=DO$7),ROUND(DO477*($AP$3+#REF!),-1),""))</f>
        <v/>
      </c>
      <c r="DQ477" s="547"/>
      <c r="DR477" s="547" t="str">
        <f>IF($G477="","",IF(AND($G477&gt;=30,$AT$3&lt;=DQ$7),ROUND(DQ477*($AP$3+#REF!),-1),""))</f>
        <v/>
      </c>
      <c r="DS477" s="547"/>
      <c r="DT477" s="547" t="str">
        <f>IF($G477="","",IF(AND($G477&gt;=30,$AT$3&lt;=DS$7),ROUND(DS477*($AP$3+#REF!),-1),""))</f>
        <v/>
      </c>
      <c r="DU477" s="547"/>
      <c r="DV477" s="547" t="str">
        <f>IF($G477="","",IF(AND($G477&gt;=30,$AT$3&lt;=DU$7),ROUND(DU477*($AP$3+#REF!),-1),""))</f>
        <v/>
      </c>
      <c r="DW477" s="547"/>
      <c r="DX477" s="547" t="str">
        <f>IF($G477="","",IF(AND($G477&gt;=30,$AT$3&lt;=DW$7),ROUND(DW477*($AP$3+#REF!),-1),""))</f>
        <v/>
      </c>
      <c r="DY477" s="547"/>
      <c r="DZ477" s="547" t="str">
        <f>IF($G477="","",IF(AND($G477&gt;=30,$AT$3&lt;=DY$7),ROUND(DY477*($AP$3+#REF!),-1),""))</f>
        <v/>
      </c>
      <c r="EA477" s="547"/>
      <c r="EB477" s="547" t="str">
        <f>IF($G477="","",IF(AND($G477&gt;=30,$AT$3&lt;=EA$7),ROUND(EA477*($AP$3+#REF!),-1),""))</f>
        <v/>
      </c>
      <c r="EC477" s="547"/>
      <c r="ED477" s="436"/>
      <c r="EE477" s="394"/>
    </row>
    <row r="478" spans="1:135" ht="9.75" customHeight="1">
      <c r="A478" s="321" t="str">
        <f t="shared" si="110"/>
        <v/>
      </c>
      <c r="B478" s="568">
        <f>(ii!$D$13*12+V478)+1</f>
        <v>372</v>
      </c>
      <c r="C478" s="337">
        <f t="shared" si="114"/>
        <v>56673</v>
      </c>
      <c r="D478" s="484">
        <f t="shared" si="117"/>
        <v>2055</v>
      </c>
      <c r="E478" s="484">
        <f t="shared" si="115"/>
        <v>0.16666666666666666</v>
      </c>
      <c r="F478" s="484">
        <f t="shared" si="118"/>
        <v>2055.1666666666665</v>
      </c>
      <c r="G478" s="485" t="str">
        <f>IF(OR(C478&lt;$I$2,C478&gt;$J$3),"",(ii!$D$13*12+V478+1)/12)</f>
        <v/>
      </c>
      <c r="H478" s="486"/>
      <c r="I478" s="486"/>
      <c r="J478" s="487"/>
      <c r="K478" s="488"/>
      <c r="L478" s="548"/>
      <c r="M478" s="489" t="str">
        <f t="shared" si="119"/>
        <v/>
      </c>
      <c r="N478" s="490" t="s">
        <v>621</v>
      </c>
      <c r="O478" s="490" t="str">
        <f t="shared" si="112"/>
        <v/>
      </c>
      <c r="P478" s="491"/>
      <c r="Q478" s="491"/>
      <c r="R478" s="491" t="str">
        <f t="shared" si="113"/>
        <v/>
      </c>
      <c r="S478" s="528" t="str">
        <f t="shared" si="111"/>
        <v/>
      </c>
      <c r="T478" s="528" t="str">
        <f t="shared" si="109"/>
        <v/>
      </c>
      <c r="U478" s="493" t="str">
        <f>IF(H478="","",#REF!*12+#REF!+#REF!*12+#REF!)</f>
        <v/>
      </c>
      <c r="V478" s="338">
        <f>IF(ii!$J$3&gt;gg!C478,"",IF(AND((YEAR(C478)=YEAR($I$2)),MONTH(C478)=MONTH($I$2)),ii!$B$14*12+ii!$C$14+ii!$B$15*12+ii!$C$15-1,V477+1))</f>
        <v>371</v>
      </c>
      <c r="W478" s="339">
        <f t="shared" si="116"/>
        <v>30.916666666666668</v>
      </c>
      <c r="X478" s="494" t="s">
        <v>621</v>
      </c>
      <c r="Y478" s="495" t="s">
        <v>621</v>
      </c>
      <c r="Z478" s="496"/>
      <c r="AA478" s="497"/>
      <c r="AB478" s="498" t="e">
        <f t="shared" ref="AB478:AB541" si="122">IF(F478&lt;$I$3,"",IF(F478&gt;$F$3,"",(P478/Y478)))</f>
        <v>#VALUE!</v>
      </c>
      <c r="AC478" s="484" t="str">
        <f t="shared" si="120"/>
        <v/>
      </c>
      <c r="AD478" s="495" t="str">
        <f t="shared" si="121"/>
        <v/>
      </c>
      <c r="AE478" s="499" t="s">
        <v>621</v>
      </c>
      <c r="AF478" s="500" t="s">
        <v>621</v>
      </c>
      <c r="AG478" s="556" t="s">
        <v>621</v>
      </c>
      <c r="AH478" s="503" t="str">
        <f>IF($G478="","",IF(AND($G478&gt;=30,$AT$3&lt;=AG$7),ROUND(AG478*($AP$3+#REF!),-1),""))</f>
        <v/>
      </c>
      <c r="AI478" s="506" t="s">
        <v>621</v>
      </c>
      <c r="AJ478" s="503" t="str">
        <f>IF($G478="","",IF(AND($G478&gt;=30,$AT$3&lt;=AI$7),ROUND(AI478*($AP$3+#REF!),-1),""))</f>
        <v/>
      </c>
      <c r="AK478" s="506" t="s">
        <v>621</v>
      </c>
      <c r="AL478" s="503" t="str">
        <f>IF($G478="","",IF(AND($G478&gt;=30,$AT$3&lt;=AK$7),ROUND(AK478*($AP$3+#REF!),-1),""))</f>
        <v/>
      </c>
      <c r="AM478" s="506" t="s">
        <v>621</v>
      </c>
      <c r="AN478" s="503" t="str">
        <f>IF($G478="","",IF(AND($G478&gt;=30,$AT$3&lt;=AM$7),ROUND(AM478*($AP$3+#REF!),-1),""))</f>
        <v/>
      </c>
      <c r="AO478" s="503" t="e">
        <f>IF(AO477="","",AO477*1.001)</f>
        <v>#REF!</v>
      </c>
      <c r="AP478" s="503" t="str">
        <f>IF($G478="","",IF(AND($G478&gt;=30,$AT$3&lt;=AO$7),ROUND(AO478*($AP$3+#REF!),-1),""))</f>
        <v/>
      </c>
      <c r="AQ478" s="503" t="s">
        <v>621</v>
      </c>
      <c r="AR478" s="503" t="str">
        <f>IF($G478="","",IF(AND($G478&gt;=30,$AT$3&lt;=AQ$7),ROUND(AQ478*($AP$3+#REF!),-1),""))</f>
        <v/>
      </c>
      <c r="AS478" s="503" t="s">
        <v>621</v>
      </c>
      <c r="AT478" s="503" t="str">
        <f>IF($G478="","",IF(AND($G478&gt;=30,$AT$3&lt;=AS$7),ROUND(AS478*($AP$3+#REF!),-1),""))</f>
        <v/>
      </c>
      <c r="AU478" s="503" t="s">
        <v>621</v>
      </c>
      <c r="AV478" s="503" t="str">
        <f>IF($G478="","",IF(AND($G478&gt;=30,$AT$3&lt;=AU$7),ROUND(AU478*($AP$3+#REF!),-1),""))</f>
        <v/>
      </c>
      <c r="AW478" s="503" t="s">
        <v>621</v>
      </c>
      <c r="AX478" s="503" t="str">
        <f>IF($G478="","",IF(AND($G478&gt;=30,$AT$3&lt;=AW$7),ROUND(AW478*($AP$3+#REF!),-1),""))</f>
        <v/>
      </c>
      <c r="AY478" s="503" t="s">
        <v>621</v>
      </c>
      <c r="AZ478" s="503" t="str">
        <f>IF($G478="","",IF(AND($G478&gt;=30,$AT$3&lt;=AY$7),ROUND(AY478*($AP$3+#REF!),-1),""))</f>
        <v/>
      </c>
      <c r="BA478" s="503" t="s">
        <v>621</v>
      </c>
      <c r="BB478" s="503" t="str">
        <f>IF($G478="","",IF(AND($G478&gt;=30,$AT$3&lt;=BA$7),ROUND(BA478*($AP$3+#REF!),-1),""))</f>
        <v/>
      </c>
      <c r="BC478" s="503" t="s">
        <v>621</v>
      </c>
      <c r="BD478" s="503" t="str">
        <f>IF($G478="","",IF(AND($G478&gt;=30,$AT$3&lt;=BC$7),ROUND(BC478*($AP$3+#REF!),-1),""))</f>
        <v/>
      </c>
      <c r="BE478" s="503" t="s">
        <v>621</v>
      </c>
      <c r="BF478" s="503" t="str">
        <f>IF($G478="","",IF(AND($G478&gt;=30,$AT$3&lt;=BE$7),ROUND(BE478*($AP$3+#REF!),-1),""))</f>
        <v/>
      </c>
      <c r="BG478" s="503" t="s">
        <v>621</v>
      </c>
      <c r="BH478" s="503" t="str">
        <f>IF($G478="","",IF(AND($G478&gt;=30,$AT$3&lt;=BG$7),ROUND(BG478*($AP$3+#REF!),-1),""))</f>
        <v/>
      </c>
      <c r="BI478" s="503" t="s">
        <v>621</v>
      </c>
      <c r="BJ478" s="503" t="str">
        <f>IF($G478="","",IF(AND($G478&gt;=30,$AT$3&lt;=BI$7),ROUND(BI478*($AP$3+#REF!),-1),""))</f>
        <v/>
      </c>
      <c r="BK478" s="503" t="s">
        <v>621</v>
      </c>
      <c r="BL478" s="503" t="str">
        <f>IF($G478="","",IF(AND($G478&gt;=30,$AT$3&lt;=BK$7),ROUND(BK478*($AP$3+#REF!),-1),""))</f>
        <v/>
      </c>
      <c r="BM478" s="503" t="s">
        <v>621</v>
      </c>
      <c r="BN478" s="503" t="str">
        <f>IF($G478="","",IF(AND($G478&gt;=30,$AT$3&lt;=BM$7),ROUND(BM478*($AP$3+#REF!),-1),""))</f>
        <v/>
      </c>
      <c r="BO478" s="503" t="s">
        <v>621</v>
      </c>
      <c r="BP478" s="503" t="str">
        <f>IF($G478="","",IF(AND($G478&gt;=30,$AT$3&lt;=BO$7),ROUND(BO478*($AP$3+#REF!),-1),""))</f>
        <v/>
      </c>
      <c r="BQ478" s="503" t="s">
        <v>621</v>
      </c>
      <c r="BR478" s="503" t="str">
        <f>IF($G478="","",IF(AND($G478&gt;=30,$AT$3&lt;=BQ$7),ROUND(BQ478*($AP$3+#REF!),-1),""))</f>
        <v/>
      </c>
      <c r="BS478" s="503" t="s">
        <v>621</v>
      </c>
      <c r="BT478" s="503" t="str">
        <f>IF($G478="","",IF(AND($G478&gt;=30,$AT$3&lt;=BS$7),ROUND(BS478*($AP$3+#REF!),-1),""))</f>
        <v/>
      </c>
      <c r="BU478" s="503" t="s">
        <v>621</v>
      </c>
      <c r="BV478" s="503" t="str">
        <f>IF($G478="","",IF(AND($G478&gt;=30,$AT$3&lt;=BU$7),ROUND(BU478*($AP$3+#REF!),-1),""))</f>
        <v/>
      </c>
      <c r="BW478" s="503" t="s">
        <v>621</v>
      </c>
      <c r="BX478" s="503" t="str">
        <f>IF($G478="","",IF(AND($G478&gt;=30,$AT$3&lt;=BW$7),ROUND(BW478*($AP$3+#REF!),-1),""))</f>
        <v/>
      </c>
      <c r="BY478" s="503" t="s">
        <v>621</v>
      </c>
      <c r="BZ478" s="503" t="str">
        <f>IF($G478="","",IF(AND($G478&gt;=30,$AT$3&lt;=BY$7),ROUND(BY478*($AP$3+#REF!),-1),""))</f>
        <v/>
      </c>
      <c r="CA478" s="503" t="s">
        <v>621</v>
      </c>
      <c r="CB478" s="503" t="str">
        <f>IF($G478="","",IF(AND($G478&gt;=30,$AT$3&lt;=CA$7),ROUND(CA478*($AP$3+#REF!),-1),""))</f>
        <v/>
      </c>
      <c r="CC478" s="503" t="s">
        <v>621</v>
      </c>
      <c r="CD478" s="503" t="str">
        <f>IF($G478="","",IF(AND($G478&gt;=30,$AT$3&lt;=CC$7),ROUND(CC478*($AP$3+#REF!),-1),""))</f>
        <v/>
      </c>
      <c r="CE478" s="503" t="s">
        <v>621</v>
      </c>
      <c r="CF478" s="503" t="str">
        <f>IF($G478="","",IF(AND($G478&gt;=30,$AT$3&lt;=CE$7),ROUND(CE478*($AP$3+#REF!),-1),""))</f>
        <v/>
      </c>
      <c r="CG478" s="503" t="s">
        <v>621</v>
      </c>
      <c r="CH478" s="503" t="str">
        <f>IF($G478="","",IF(AND($G478&gt;=30,$AT$3&lt;=CG$7),ROUND(CG478*($AP$3+#REF!),-1),""))</f>
        <v/>
      </c>
      <c r="CI478" s="503" t="s">
        <v>621</v>
      </c>
      <c r="CJ478" s="503" t="str">
        <f>IF($G478="","",IF(AND($G478&gt;=30,$AT$3&lt;=CI$7),ROUND(CI478*($AP$3+#REF!),-1),""))</f>
        <v/>
      </c>
      <c r="CK478" s="503" t="s">
        <v>621</v>
      </c>
      <c r="CL478" s="503" t="str">
        <f>IF($G478="","",IF(AND($G478&gt;=30,$AT$3&lt;=CK$7),ROUND(CK478*($AP$3+#REF!),-1),""))</f>
        <v/>
      </c>
      <c r="CM478" s="503" t="s">
        <v>621</v>
      </c>
      <c r="CN478" s="503" t="str">
        <f>IF($G478="","",IF(AND($G478&gt;=30,$AT$3&lt;=CM$7),ROUND(CM478*($AP$3+#REF!),-1),""))</f>
        <v/>
      </c>
      <c r="CO478" s="503" t="s">
        <v>621</v>
      </c>
      <c r="CP478" s="503" t="str">
        <f>IF($G478="","",IF(AND($G478&gt;=30,$AT$3&lt;=CO$7),ROUND(CO478*($AP$3+#REF!),-1),""))</f>
        <v/>
      </c>
      <c r="CQ478" s="503" t="s">
        <v>621</v>
      </c>
      <c r="CR478" s="503" t="str">
        <f>IF($G478="","",IF(AND($G478&gt;=30,$AT$3&lt;=CQ$7),ROUND(CQ478*($AP$3+#REF!),-1),""))</f>
        <v/>
      </c>
      <c r="CS478" s="503" t="s">
        <v>621</v>
      </c>
      <c r="CT478" s="503" t="str">
        <f>IF($G478="","",IF(AND($G478&gt;=30,$AT$3&lt;=CS$7),ROUND(CS478*($AP$3+#REF!),-1),""))</f>
        <v/>
      </c>
      <c r="CU478" s="503" t="s">
        <v>621</v>
      </c>
      <c r="CV478" s="503" t="str">
        <f>IF($G478="","",IF(AND($G478&gt;=30,$AT$3&lt;=CU$7),ROUND(CU478*($AP$3+#REF!),-1),""))</f>
        <v/>
      </c>
      <c r="CW478" s="503" t="s">
        <v>621</v>
      </c>
      <c r="CX478" s="503" t="str">
        <f>IF($G478="","",IF(AND($G478&gt;=30,$AT$3&lt;=CW$7),ROUND(CW478*($AP$3+#REF!),-1),""))</f>
        <v/>
      </c>
      <c r="CY478" s="503" t="s">
        <v>621</v>
      </c>
      <c r="CZ478" s="503" t="str">
        <f>IF($G478="","",IF(AND($G478&gt;=30,$AT$3&lt;=CY$7),ROUND(CY478*($AP$3+#REF!),-1),""))</f>
        <v/>
      </c>
      <c r="DA478" s="503" t="s">
        <v>621</v>
      </c>
      <c r="DB478" s="503" t="str">
        <f>IF($G478="","",IF(AND($G478&gt;=30,$AT$3&lt;=DA$7),ROUND(DA478*($AP$3+#REF!),-1),""))</f>
        <v/>
      </c>
      <c r="DC478" s="503" t="s">
        <v>621</v>
      </c>
      <c r="DD478" s="503" t="str">
        <f>IF($G478="","",IF(AND($G478&gt;=30,$AT$3&lt;=DC$7),ROUND(DC478*($AP$3+#REF!),-1),""))</f>
        <v/>
      </c>
      <c r="DE478" s="503" t="s">
        <v>621</v>
      </c>
      <c r="DF478" s="503" t="str">
        <f>IF($G478="","",IF(AND($G478&gt;=30,$AT$3&lt;=DE$7),ROUND(DE478*($AP$3+#REF!),-1),""))</f>
        <v/>
      </c>
      <c r="DG478" s="517" t="e">
        <v>#REF!</v>
      </c>
      <c r="DH478" s="503" t="str">
        <f>IF($G478="","",IF(AND($G478&gt;=30,$AT$3&lt;=DG$7),ROUND(DG478*($AP$3+#REF!),-1),""))</f>
        <v/>
      </c>
      <c r="DI478" s="517"/>
      <c r="DJ478" s="503" t="str">
        <f>IF($G478="","",IF(AND($G478&gt;=30,$AT$3&lt;=DI$7),ROUND(DI478*($AP$3+#REF!),-1),""))</f>
        <v/>
      </c>
      <c r="DK478" s="517"/>
      <c r="DL478" s="503" t="str">
        <f>IF($G478="","",IF(AND($G478&gt;=30,$AT$3&lt;=DK$7),ROUND(DK478*($AP$3+#REF!),-1),""))</f>
        <v/>
      </c>
      <c r="DM478" s="517"/>
      <c r="DN478" s="503" t="str">
        <f>IF($G478="","",IF(AND($G478&gt;=30,$AT$3&lt;=DM$7),ROUND(DM478*($AP$3+#REF!),-1),""))</f>
        <v/>
      </c>
      <c r="DO478" s="517"/>
      <c r="DP478" s="503" t="str">
        <f>IF($G478="","",IF(AND($G478&gt;=30,$AT$3&lt;=DO$7),ROUND(DO478*($AP$3+#REF!),-1),""))</f>
        <v/>
      </c>
      <c r="DQ478" s="517"/>
      <c r="DR478" s="503" t="str">
        <f>IF($G478="","",IF(AND($G478&gt;=30,$AT$3&lt;=DQ$7),ROUND(DQ478*($AP$3+#REF!),-1),""))</f>
        <v/>
      </c>
      <c r="DS478" s="517"/>
      <c r="DT478" s="503" t="str">
        <f>IF($G478="","",IF(AND($G478&gt;=30,$AT$3&lt;=DS$7),ROUND(DS478*($AP$3+#REF!),-1),""))</f>
        <v/>
      </c>
      <c r="DU478" s="517"/>
      <c r="DV478" s="503" t="str">
        <f>IF($G478="","",IF(AND($G478&gt;=30,$AT$3&lt;=DU$7),ROUND(DU478*($AP$3+#REF!),-1),""))</f>
        <v/>
      </c>
      <c r="DW478" s="517"/>
      <c r="DX478" s="503" t="str">
        <f>IF($G478="","",IF(AND($G478&gt;=30,$AT$3&lt;=DW$7),ROUND(DW478*($AP$3+#REF!),-1),""))</f>
        <v/>
      </c>
      <c r="DY478" s="517"/>
      <c r="DZ478" s="503" t="str">
        <f>IF($G478="","",IF(AND($G478&gt;=30,$AT$3&lt;=DY$7),ROUND(DY478*($AP$3+#REF!),-1),""))</f>
        <v/>
      </c>
      <c r="EA478" s="517"/>
      <c r="EB478" s="503" t="str">
        <f>IF($G478="","",IF(AND($G478&gt;=30,$AT$3&lt;=EA$7),ROUND(EA478*($AP$3+#REF!),-1),""))</f>
        <v/>
      </c>
      <c r="EC478" s="436"/>
      <c r="ED478" s="436"/>
      <c r="EE478" s="394"/>
    </row>
    <row r="479" spans="1:135" ht="9.75" customHeight="1">
      <c r="A479" s="321" t="str">
        <f t="shared" si="110"/>
        <v/>
      </c>
      <c r="B479" s="567">
        <f>(ii!$D$13*12+V479)+1</f>
        <v>373</v>
      </c>
      <c r="C479" s="337">
        <f t="shared" si="114"/>
        <v>56704</v>
      </c>
      <c r="D479" s="484">
        <f t="shared" si="117"/>
        <v>2055</v>
      </c>
      <c r="E479" s="484">
        <f t="shared" si="115"/>
        <v>0.25</v>
      </c>
      <c r="F479" s="484">
        <f t="shared" si="118"/>
        <v>2055.25</v>
      </c>
      <c r="G479" s="485" t="str">
        <f>IF(OR(C479&lt;$I$2,C479&gt;$J$3),"",(ii!$D$13*12+V479+1)/12)</f>
        <v/>
      </c>
      <c r="H479" s="486"/>
      <c r="I479" s="486"/>
      <c r="J479" s="487"/>
      <c r="K479" s="488"/>
      <c r="L479" s="548"/>
      <c r="M479" s="489" t="str">
        <f t="shared" si="119"/>
        <v/>
      </c>
      <c r="N479" s="490" t="s">
        <v>621</v>
      </c>
      <c r="O479" s="490" t="str">
        <f t="shared" si="112"/>
        <v/>
      </c>
      <c r="P479" s="491"/>
      <c r="Q479" s="491"/>
      <c r="R479" s="491" t="str">
        <f t="shared" si="113"/>
        <v/>
      </c>
      <c r="S479" s="528" t="str">
        <f t="shared" si="111"/>
        <v/>
      </c>
      <c r="T479" s="528" t="str">
        <f t="shared" si="109"/>
        <v/>
      </c>
      <c r="U479" s="493" t="str">
        <f>IF(H479="","",#REF!*12+#REF!+#REF!*12+#REF!)</f>
        <v/>
      </c>
      <c r="V479" s="338">
        <f>IF(ii!$J$3&gt;gg!C479,"",IF(AND((YEAR(C479)=YEAR($I$2)),MONTH(C479)=MONTH($I$2)),ii!$B$14*12+ii!$C$14+ii!$B$15*12+ii!$C$15-1,V478+1))</f>
        <v>372</v>
      </c>
      <c r="W479" s="339">
        <f t="shared" si="116"/>
        <v>31</v>
      </c>
      <c r="X479" s="494" t="s">
        <v>621</v>
      </c>
      <c r="Y479" s="495" t="s">
        <v>621</v>
      </c>
      <c r="Z479" s="496"/>
      <c r="AA479" s="497"/>
      <c r="AB479" s="498" t="e">
        <f t="shared" si="122"/>
        <v>#VALUE!</v>
      </c>
      <c r="AC479" s="484" t="str">
        <f t="shared" si="120"/>
        <v/>
      </c>
      <c r="AD479" s="495" t="str">
        <f t="shared" si="121"/>
        <v/>
      </c>
      <c r="AE479" s="499" t="s">
        <v>621</v>
      </c>
      <c r="AF479" s="500" t="s">
        <v>621</v>
      </c>
      <c r="AG479" s="556" t="s">
        <v>621</v>
      </c>
      <c r="AH479" s="503" t="str">
        <f>IF($G479="","",IF(AND($G479&gt;=30,$AT$3&lt;=AG$7),ROUND(AG479*($AP$3+#REF!),-1),""))</f>
        <v/>
      </c>
      <c r="AI479" s="506" t="s">
        <v>621</v>
      </c>
      <c r="AJ479" s="503" t="str">
        <f>IF($G479="","",IF(AND($G479&gt;=30,$AT$3&lt;=AI$7),ROUND(AI479*($AP$3+#REF!),-1),""))</f>
        <v/>
      </c>
      <c r="AK479" s="506" t="s">
        <v>621</v>
      </c>
      <c r="AL479" s="503" t="str">
        <f>IF($G479="","",IF(AND($G479&gt;=30,$AT$3&lt;=AK$7),ROUND(AK479*($AP$3+#REF!),-1),""))</f>
        <v/>
      </c>
      <c r="AM479" s="506" t="s">
        <v>621</v>
      </c>
      <c r="AN479" s="503" t="str">
        <f>IF($G479="","",IF(AND($G479&gt;=30,$AT$3&lt;=AM$7),ROUND(AM479*($AP$3+#REF!),-1),""))</f>
        <v/>
      </c>
      <c r="AO479" s="503" t="e">
        <v>#REF!</v>
      </c>
      <c r="AP479" s="503" t="str">
        <f>IF($G479="","",IF(AND($G479&gt;=30,$AT$3&lt;=AO$7),ROUND(AO479*($AP$3+#REF!),-1),""))</f>
        <v/>
      </c>
      <c r="AQ479" s="503" t="s">
        <v>621</v>
      </c>
      <c r="AR479" s="503" t="str">
        <f>IF($G479="","",IF(AND($G479&gt;=30,$AT$3&lt;=AQ$7),ROUND(AQ479*($AP$3+#REF!),-1),""))</f>
        <v/>
      </c>
      <c r="AS479" s="503" t="s">
        <v>621</v>
      </c>
      <c r="AT479" s="503" t="str">
        <f>IF($G479="","",IF(AND($G479&gt;=30,$AT$3&lt;=AS$7),ROUND(AS479*($AP$3+#REF!),-1),""))</f>
        <v/>
      </c>
      <c r="AU479" s="503" t="s">
        <v>621</v>
      </c>
      <c r="AV479" s="503" t="str">
        <f>IF($G479="","",IF(AND($G479&gt;=30,$AT$3&lt;=AU$7),ROUND(AU479*($AP$3+#REF!),-1),""))</f>
        <v/>
      </c>
      <c r="AW479" s="503" t="s">
        <v>621</v>
      </c>
      <c r="AX479" s="503" t="str">
        <f>IF($G479="","",IF(AND($G479&gt;=30,$AT$3&lt;=AW$7),ROUND(AW479*($AP$3+#REF!),-1),""))</f>
        <v/>
      </c>
      <c r="AY479" s="503" t="s">
        <v>621</v>
      </c>
      <c r="AZ479" s="503" t="str">
        <f>IF($G479="","",IF(AND($G479&gt;=30,$AT$3&lt;=AY$7),ROUND(AY479*($AP$3+#REF!),-1),""))</f>
        <v/>
      </c>
      <c r="BA479" s="503" t="s">
        <v>621</v>
      </c>
      <c r="BB479" s="503" t="str">
        <f>IF($G479="","",IF(AND($G479&gt;=30,$AT$3&lt;=BA$7),ROUND(BA479*($AP$3+#REF!),-1),""))</f>
        <v/>
      </c>
      <c r="BC479" s="503" t="s">
        <v>621</v>
      </c>
      <c r="BD479" s="503" t="str">
        <f>IF($G479="","",IF(AND($G479&gt;=30,$AT$3&lt;=BC$7),ROUND(BC479*($AP$3+#REF!),-1),""))</f>
        <v/>
      </c>
      <c r="BE479" s="503" t="s">
        <v>621</v>
      </c>
      <c r="BF479" s="503" t="str">
        <f>IF($G479="","",IF(AND($G479&gt;=30,$AT$3&lt;=BE$7),ROUND(BE479*($AP$3+#REF!),-1),""))</f>
        <v/>
      </c>
      <c r="BG479" s="503" t="s">
        <v>621</v>
      </c>
      <c r="BH479" s="503" t="str">
        <f>IF($G479="","",IF(AND($G479&gt;=30,$AT$3&lt;=BG$7),ROUND(BG479*($AP$3+#REF!),-1),""))</f>
        <v/>
      </c>
      <c r="BI479" s="503" t="s">
        <v>621</v>
      </c>
      <c r="BJ479" s="503" t="str">
        <f>IF($G479="","",IF(AND($G479&gt;=30,$AT$3&lt;=BI$7),ROUND(BI479*($AP$3+#REF!),-1),""))</f>
        <v/>
      </c>
      <c r="BK479" s="503" t="s">
        <v>621</v>
      </c>
      <c r="BL479" s="503" t="str">
        <f>IF($G479="","",IF(AND($G479&gt;=30,$AT$3&lt;=BK$7),ROUND(BK479*($AP$3+#REF!),-1),""))</f>
        <v/>
      </c>
      <c r="BM479" s="503" t="s">
        <v>621</v>
      </c>
      <c r="BN479" s="503" t="str">
        <f>IF($G479="","",IF(AND($G479&gt;=30,$AT$3&lt;=BM$7),ROUND(BM479*($AP$3+#REF!),-1),""))</f>
        <v/>
      </c>
      <c r="BO479" s="503" t="s">
        <v>621</v>
      </c>
      <c r="BP479" s="503" t="str">
        <f>IF($G479="","",IF(AND($G479&gt;=30,$AT$3&lt;=BO$7),ROUND(BO479*($AP$3+#REF!),-1),""))</f>
        <v/>
      </c>
      <c r="BQ479" s="503" t="s">
        <v>621</v>
      </c>
      <c r="BR479" s="503" t="str">
        <f>IF($G479="","",IF(AND($G479&gt;=30,$AT$3&lt;=BQ$7),ROUND(BQ479*($AP$3+#REF!),-1),""))</f>
        <v/>
      </c>
      <c r="BS479" s="503" t="s">
        <v>621</v>
      </c>
      <c r="BT479" s="503" t="str">
        <f>IF($G479="","",IF(AND($G479&gt;=30,$AT$3&lt;=BS$7),ROUND(BS479*($AP$3+#REF!),-1),""))</f>
        <v/>
      </c>
      <c r="BU479" s="503" t="s">
        <v>621</v>
      </c>
      <c r="BV479" s="503" t="str">
        <f>IF($G479="","",IF(AND($G479&gt;=30,$AT$3&lt;=BU$7),ROUND(BU479*($AP$3+#REF!),-1),""))</f>
        <v/>
      </c>
      <c r="BW479" s="503" t="s">
        <v>621</v>
      </c>
      <c r="BX479" s="503" t="str">
        <f>IF($G479="","",IF(AND($G479&gt;=30,$AT$3&lt;=BW$7),ROUND(BW479*($AP$3+#REF!),-1),""))</f>
        <v/>
      </c>
      <c r="BY479" s="503" t="s">
        <v>621</v>
      </c>
      <c r="BZ479" s="503" t="str">
        <f>IF($G479="","",IF(AND($G479&gt;=30,$AT$3&lt;=BY$7),ROUND(BY479*($AP$3+#REF!),-1),""))</f>
        <v/>
      </c>
      <c r="CA479" s="503" t="s">
        <v>621</v>
      </c>
      <c r="CB479" s="503" t="str">
        <f>IF($G479="","",IF(AND($G479&gt;=30,$AT$3&lt;=CA$7),ROUND(CA479*($AP$3+#REF!),-1),""))</f>
        <v/>
      </c>
      <c r="CC479" s="503" t="s">
        <v>621</v>
      </c>
      <c r="CD479" s="503" t="str">
        <f>IF($G479="","",IF(AND($G479&gt;=30,$AT$3&lt;=CC$7),ROUND(CC479*($AP$3+#REF!),-1),""))</f>
        <v/>
      </c>
      <c r="CE479" s="503" t="s">
        <v>621</v>
      </c>
      <c r="CF479" s="503" t="str">
        <f>IF($G479="","",IF(AND($G479&gt;=30,$AT$3&lt;=CE$7),ROUND(CE479*($AP$3+#REF!),-1),""))</f>
        <v/>
      </c>
      <c r="CG479" s="503" t="s">
        <v>621</v>
      </c>
      <c r="CH479" s="503" t="str">
        <f>IF($G479="","",IF(AND($G479&gt;=30,$AT$3&lt;=CG$7),ROUND(CG479*($AP$3+#REF!),-1),""))</f>
        <v/>
      </c>
      <c r="CI479" s="503" t="s">
        <v>621</v>
      </c>
      <c r="CJ479" s="503" t="str">
        <f>IF($G479="","",IF(AND($G479&gt;=30,$AT$3&lt;=CI$7),ROUND(CI479*($AP$3+#REF!),-1),""))</f>
        <v/>
      </c>
      <c r="CK479" s="503" t="s">
        <v>621</v>
      </c>
      <c r="CL479" s="503" t="str">
        <f>IF($G479="","",IF(AND($G479&gt;=30,$AT$3&lt;=CK$7),ROUND(CK479*($AP$3+#REF!),-1),""))</f>
        <v/>
      </c>
      <c r="CM479" s="503" t="s">
        <v>621</v>
      </c>
      <c r="CN479" s="503" t="str">
        <f>IF($G479="","",IF(AND($G479&gt;=30,$AT$3&lt;=CM$7),ROUND(CM479*($AP$3+#REF!),-1),""))</f>
        <v/>
      </c>
      <c r="CO479" s="503" t="s">
        <v>621</v>
      </c>
      <c r="CP479" s="503" t="str">
        <f>IF($G479="","",IF(AND($G479&gt;=30,$AT$3&lt;=CO$7),ROUND(CO479*($AP$3+#REF!),-1),""))</f>
        <v/>
      </c>
      <c r="CQ479" s="503" t="s">
        <v>621</v>
      </c>
      <c r="CR479" s="503" t="str">
        <f>IF($G479="","",IF(AND($G479&gt;=30,$AT$3&lt;=CQ$7),ROUND(CQ479*($AP$3+#REF!),-1),""))</f>
        <v/>
      </c>
      <c r="CS479" s="503" t="s">
        <v>621</v>
      </c>
      <c r="CT479" s="503" t="str">
        <f>IF($G479="","",IF(AND($G479&gt;=30,$AT$3&lt;=CS$7),ROUND(CS479*($AP$3+#REF!),-1),""))</f>
        <v/>
      </c>
      <c r="CU479" s="503" t="s">
        <v>621</v>
      </c>
      <c r="CV479" s="503" t="str">
        <f>IF($G479="","",IF(AND($G479&gt;=30,$AT$3&lt;=CU$7),ROUND(CU479*($AP$3+#REF!),-1),""))</f>
        <v/>
      </c>
      <c r="CW479" s="503" t="s">
        <v>621</v>
      </c>
      <c r="CX479" s="503" t="str">
        <f>IF($G479="","",IF(AND($G479&gt;=30,$AT$3&lt;=CW$7),ROUND(CW479*($AP$3+#REF!),-1),""))</f>
        <v/>
      </c>
      <c r="CY479" s="503" t="s">
        <v>621</v>
      </c>
      <c r="CZ479" s="503" t="str">
        <f>IF($G479="","",IF(AND($G479&gt;=30,$AT$3&lt;=CY$7),ROUND(CY479*($AP$3+#REF!),-1),""))</f>
        <v/>
      </c>
      <c r="DA479" s="503" t="s">
        <v>621</v>
      </c>
      <c r="DB479" s="503" t="str">
        <f>IF($G479="","",IF(AND($G479&gt;=30,$AT$3&lt;=DA$7),ROUND(DA479*($AP$3+#REF!),-1),""))</f>
        <v/>
      </c>
      <c r="DC479" s="503" t="s">
        <v>621</v>
      </c>
      <c r="DD479" s="503" t="str">
        <f>IF($G479="","",IF(AND($G479&gt;=30,$AT$3&lt;=DC$7),ROUND(DC479*($AP$3+#REF!),-1),""))</f>
        <v/>
      </c>
      <c r="DE479" s="503" t="s">
        <v>621</v>
      </c>
      <c r="DF479" s="503" t="str">
        <f>IF($G479="","",IF(AND($G479&gt;=30,$AT$3&lt;=DE$7),ROUND(DE479*($AP$3+#REF!),-1),""))</f>
        <v/>
      </c>
      <c r="DG479" s="517" t="e">
        <v>#REF!</v>
      </c>
      <c r="DH479" s="503" t="str">
        <f>IF($G479="","",IF(AND($G479&gt;=30,$AT$3&lt;=DG$7),ROUND(DG479*($AP$3+#REF!),-1),""))</f>
        <v/>
      </c>
      <c r="DI479" s="517"/>
      <c r="DJ479" s="503" t="str">
        <f>IF($G479="","",IF(AND($G479&gt;=30,$AT$3&lt;=DI$7),ROUND(DI479*($AP$3+#REF!),-1),""))</f>
        <v/>
      </c>
      <c r="DK479" s="517"/>
      <c r="DL479" s="503" t="str">
        <f>IF($G479="","",IF(AND($G479&gt;=30,$AT$3&lt;=DK$7),ROUND(DK479*($AP$3+#REF!),-1),""))</f>
        <v/>
      </c>
      <c r="DM479" s="517"/>
      <c r="DN479" s="503" t="str">
        <f>IF($G479="","",IF(AND($G479&gt;=30,$AT$3&lt;=DM$7),ROUND(DM479*($AP$3+#REF!),-1),""))</f>
        <v/>
      </c>
      <c r="DO479" s="517"/>
      <c r="DP479" s="503" t="str">
        <f>IF($G479="","",IF(AND($G479&gt;=30,$AT$3&lt;=DO$7),ROUND(DO479*($AP$3+#REF!),-1),""))</f>
        <v/>
      </c>
      <c r="DQ479" s="517"/>
      <c r="DR479" s="503" t="str">
        <f>IF($G479="","",IF(AND($G479&gt;=30,$AT$3&lt;=DQ$7),ROUND(DQ479*($AP$3+#REF!),-1),""))</f>
        <v/>
      </c>
      <c r="DS479" s="517"/>
      <c r="DT479" s="503" t="str">
        <f>IF($G479="","",IF(AND($G479&gt;=30,$AT$3&lt;=DS$7),ROUND(DS479*($AP$3+#REF!),-1),""))</f>
        <v/>
      </c>
      <c r="DU479" s="517"/>
      <c r="DV479" s="503" t="str">
        <f>IF($G479="","",IF(AND($G479&gt;=30,$AT$3&lt;=DU$7),ROUND(DU479*($AP$3+#REF!),-1),""))</f>
        <v/>
      </c>
      <c r="DW479" s="517"/>
      <c r="DX479" s="503" t="str">
        <f>IF($G479="","",IF(AND($G479&gt;=30,$AT$3&lt;=DW$7),ROUND(DW479*($AP$3+#REF!),-1),""))</f>
        <v/>
      </c>
      <c r="DY479" s="517"/>
      <c r="DZ479" s="503" t="str">
        <f>IF($G479="","",IF(AND($G479&gt;=30,$AT$3&lt;=DY$7),ROUND(DY479*($AP$3+#REF!),-1),""))</f>
        <v/>
      </c>
      <c r="EA479" s="517"/>
      <c r="EB479" s="503" t="str">
        <f>IF($G479="","",IF(AND($G479&gt;=30,$AT$3&lt;=EA$7),ROUND(EA479*($AP$3+#REF!),-1),""))</f>
        <v/>
      </c>
      <c r="EC479" s="436"/>
      <c r="ED479" s="436"/>
      <c r="EE479" s="394"/>
    </row>
    <row r="480" spans="1:135" ht="9.75" customHeight="1">
      <c r="A480" s="321" t="str">
        <f t="shared" si="110"/>
        <v/>
      </c>
      <c r="B480" s="567">
        <f>(ii!$D$13*12+V480)+1</f>
        <v>374</v>
      </c>
      <c r="C480" s="337">
        <f t="shared" si="114"/>
        <v>56734</v>
      </c>
      <c r="D480" s="484">
        <f t="shared" si="117"/>
        <v>2055</v>
      </c>
      <c r="E480" s="484">
        <f t="shared" si="115"/>
        <v>0.33333333333333331</v>
      </c>
      <c r="F480" s="484">
        <f t="shared" si="118"/>
        <v>2055.3333333333335</v>
      </c>
      <c r="G480" s="485" t="str">
        <f>IF(OR(C480&lt;$I$2,C480&gt;$J$3),"",(ii!$D$13*12+V480+1)/12)</f>
        <v/>
      </c>
      <c r="H480" s="486"/>
      <c r="I480" s="486"/>
      <c r="J480" s="487"/>
      <c r="K480" s="488"/>
      <c r="L480" s="548"/>
      <c r="M480" s="489" t="str">
        <f t="shared" si="119"/>
        <v/>
      </c>
      <c r="N480" s="490" t="s">
        <v>621</v>
      </c>
      <c r="O480" s="490" t="str">
        <f t="shared" si="112"/>
        <v/>
      </c>
      <c r="P480" s="491"/>
      <c r="Q480" s="491"/>
      <c r="R480" s="491" t="str">
        <f t="shared" si="113"/>
        <v/>
      </c>
      <c r="S480" s="528" t="str">
        <f t="shared" si="111"/>
        <v/>
      </c>
      <c r="T480" s="528" t="str">
        <f t="shared" si="109"/>
        <v/>
      </c>
      <c r="U480" s="493" t="str">
        <f>IF(H480="","",#REF!*12+#REF!+#REF!*12+#REF!)</f>
        <v/>
      </c>
      <c r="V480" s="338">
        <f>IF(ii!$J$3&gt;gg!C480,"",IF(AND((YEAR(C480)=YEAR($I$2)),MONTH(C480)=MONTH($I$2)),ii!$B$14*12+ii!$C$14+ii!$B$15*12+ii!$C$15-1,V479+1))</f>
        <v>373</v>
      </c>
      <c r="W480" s="339">
        <f t="shared" si="116"/>
        <v>31.083333333333332</v>
      </c>
      <c r="X480" s="494" t="s">
        <v>621</v>
      </c>
      <c r="Y480" s="495" t="s">
        <v>621</v>
      </c>
      <c r="Z480" s="496"/>
      <c r="AA480" s="497"/>
      <c r="AB480" s="498" t="e">
        <f t="shared" si="122"/>
        <v>#VALUE!</v>
      </c>
      <c r="AC480" s="484" t="str">
        <f t="shared" si="120"/>
        <v/>
      </c>
      <c r="AD480" s="495" t="str">
        <f t="shared" si="121"/>
        <v/>
      </c>
      <c r="AE480" s="499" t="s">
        <v>621</v>
      </c>
      <c r="AF480" s="500" t="s">
        <v>621</v>
      </c>
      <c r="AG480" s="556" t="s">
        <v>621</v>
      </c>
      <c r="AH480" s="503" t="str">
        <f>IF($G480="","",IF(AND($G480&gt;=30,$AT$3&lt;=AG$7),ROUND(AG480*($AP$3+#REF!),-1),""))</f>
        <v/>
      </c>
      <c r="AI480" s="506" t="s">
        <v>621</v>
      </c>
      <c r="AJ480" s="503" t="str">
        <f>IF($G480="","",IF(AND($G480&gt;=30,$AT$3&lt;=AI$7),ROUND(AI480*($AP$3+#REF!),-1),""))</f>
        <v/>
      </c>
      <c r="AK480" s="506" t="s">
        <v>621</v>
      </c>
      <c r="AL480" s="503" t="str">
        <f>IF($G480="","",IF(AND($G480&gt;=30,$AT$3&lt;=AK$7),ROUND(AK480*($AP$3+#REF!),-1),""))</f>
        <v/>
      </c>
      <c r="AM480" s="506" t="s">
        <v>621</v>
      </c>
      <c r="AN480" s="503" t="str">
        <f>IF($G480="","",IF(AND($G480&gt;=30,$AT$3&lt;=AM$7),ROUND(AM480*($AP$3+#REF!),-1),""))</f>
        <v/>
      </c>
      <c r="AO480" s="503" t="e">
        <v>#REF!</v>
      </c>
      <c r="AP480" s="503" t="str">
        <f>IF($G480="","",IF(AND($G480&gt;=30,$AT$3&lt;=AO$7),ROUND(AO480*($AP$3+#REF!),-1),""))</f>
        <v/>
      </c>
      <c r="AQ480" s="503" t="s">
        <v>621</v>
      </c>
      <c r="AR480" s="503" t="str">
        <f>IF($G480="","",IF(AND($G480&gt;=30,$AT$3&lt;=AQ$7),ROUND(AQ480*($AP$3+#REF!),-1),""))</f>
        <v/>
      </c>
      <c r="AS480" s="503" t="s">
        <v>621</v>
      </c>
      <c r="AT480" s="503" t="str">
        <f>IF($G480="","",IF(AND($G480&gt;=30,$AT$3&lt;=AS$7),ROUND(AS480*($AP$3+#REF!),-1),""))</f>
        <v/>
      </c>
      <c r="AU480" s="503" t="s">
        <v>621</v>
      </c>
      <c r="AV480" s="503" t="str">
        <f>IF($G480="","",IF(AND($G480&gt;=30,$AT$3&lt;=AU$7),ROUND(AU480*($AP$3+#REF!),-1),""))</f>
        <v/>
      </c>
      <c r="AW480" s="503" t="s">
        <v>621</v>
      </c>
      <c r="AX480" s="503" t="str">
        <f>IF($G480="","",IF(AND($G480&gt;=30,$AT$3&lt;=AW$7),ROUND(AW480*($AP$3+#REF!),-1),""))</f>
        <v/>
      </c>
      <c r="AY480" s="503" t="s">
        <v>621</v>
      </c>
      <c r="AZ480" s="503" t="str">
        <f>IF($G480="","",IF(AND($G480&gt;=30,$AT$3&lt;=AY$7),ROUND(AY480*($AP$3+#REF!),-1),""))</f>
        <v/>
      </c>
      <c r="BA480" s="503" t="s">
        <v>621</v>
      </c>
      <c r="BB480" s="503" t="str">
        <f>IF($G480="","",IF(AND($G480&gt;=30,$AT$3&lt;=BA$7),ROUND(BA480*($AP$3+#REF!),-1),""))</f>
        <v/>
      </c>
      <c r="BC480" s="503" t="s">
        <v>621</v>
      </c>
      <c r="BD480" s="503" t="str">
        <f>IF($G480="","",IF(AND($G480&gt;=30,$AT$3&lt;=BC$7),ROUND(BC480*($AP$3+#REF!),-1),""))</f>
        <v/>
      </c>
      <c r="BE480" s="503" t="s">
        <v>621</v>
      </c>
      <c r="BF480" s="503" t="str">
        <f>IF($G480="","",IF(AND($G480&gt;=30,$AT$3&lt;=BE$7),ROUND(BE480*($AP$3+#REF!),-1),""))</f>
        <v/>
      </c>
      <c r="BG480" s="503" t="s">
        <v>621</v>
      </c>
      <c r="BH480" s="503" t="str">
        <f>IF($G480="","",IF(AND($G480&gt;=30,$AT$3&lt;=BG$7),ROUND(BG480*($AP$3+#REF!),-1),""))</f>
        <v/>
      </c>
      <c r="BI480" s="503" t="s">
        <v>621</v>
      </c>
      <c r="BJ480" s="503" t="str">
        <f>IF($G480="","",IF(AND($G480&gt;=30,$AT$3&lt;=BI$7),ROUND(BI480*($AP$3+#REF!),-1),""))</f>
        <v/>
      </c>
      <c r="BK480" s="503" t="s">
        <v>621</v>
      </c>
      <c r="BL480" s="503" t="str">
        <f>IF($G480="","",IF(AND($G480&gt;=30,$AT$3&lt;=BK$7),ROUND(BK480*($AP$3+#REF!),-1),""))</f>
        <v/>
      </c>
      <c r="BM480" s="503" t="s">
        <v>621</v>
      </c>
      <c r="BN480" s="503" t="str">
        <f>IF($G480="","",IF(AND($G480&gt;=30,$AT$3&lt;=BM$7),ROUND(BM480*($AP$3+#REF!),-1),""))</f>
        <v/>
      </c>
      <c r="BO480" s="503" t="s">
        <v>621</v>
      </c>
      <c r="BP480" s="503" t="str">
        <f>IF($G480="","",IF(AND($G480&gt;=30,$AT$3&lt;=BO$7),ROUND(BO480*($AP$3+#REF!),-1),""))</f>
        <v/>
      </c>
      <c r="BQ480" s="503" t="s">
        <v>621</v>
      </c>
      <c r="BR480" s="503" t="str">
        <f>IF($G480="","",IF(AND($G480&gt;=30,$AT$3&lt;=BQ$7),ROUND(BQ480*($AP$3+#REF!),-1),""))</f>
        <v/>
      </c>
      <c r="BS480" s="503" t="s">
        <v>621</v>
      </c>
      <c r="BT480" s="503" t="str">
        <f>IF($G480="","",IF(AND($G480&gt;=30,$AT$3&lt;=BS$7),ROUND(BS480*($AP$3+#REF!),-1),""))</f>
        <v/>
      </c>
      <c r="BU480" s="503" t="s">
        <v>621</v>
      </c>
      <c r="BV480" s="503" t="str">
        <f>IF($G480="","",IF(AND($G480&gt;=30,$AT$3&lt;=BU$7),ROUND(BU480*($AP$3+#REF!),-1),""))</f>
        <v/>
      </c>
      <c r="BW480" s="503" t="s">
        <v>621</v>
      </c>
      <c r="BX480" s="503" t="str">
        <f>IF($G480="","",IF(AND($G480&gt;=30,$AT$3&lt;=BW$7),ROUND(BW480*($AP$3+#REF!),-1),""))</f>
        <v/>
      </c>
      <c r="BY480" s="503" t="s">
        <v>621</v>
      </c>
      <c r="BZ480" s="503" t="str">
        <f>IF($G480="","",IF(AND($G480&gt;=30,$AT$3&lt;=BY$7),ROUND(BY480*($AP$3+#REF!),-1),""))</f>
        <v/>
      </c>
      <c r="CA480" s="503" t="s">
        <v>621</v>
      </c>
      <c r="CB480" s="503" t="str">
        <f>IF($G480="","",IF(AND($G480&gt;=30,$AT$3&lt;=CA$7),ROUND(CA480*($AP$3+#REF!),-1),""))</f>
        <v/>
      </c>
      <c r="CC480" s="503" t="s">
        <v>621</v>
      </c>
      <c r="CD480" s="503" t="str">
        <f>IF($G480="","",IF(AND($G480&gt;=30,$AT$3&lt;=CC$7),ROUND(CC480*($AP$3+#REF!),-1),""))</f>
        <v/>
      </c>
      <c r="CE480" s="503" t="s">
        <v>621</v>
      </c>
      <c r="CF480" s="503" t="str">
        <f>IF($G480="","",IF(AND($G480&gt;=30,$AT$3&lt;=CE$7),ROUND(CE480*($AP$3+#REF!),-1),""))</f>
        <v/>
      </c>
      <c r="CG480" s="503" t="s">
        <v>621</v>
      </c>
      <c r="CH480" s="503" t="str">
        <f>IF($G480="","",IF(AND($G480&gt;=30,$AT$3&lt;=CG$7),ROUND(CG480*($AP$3+#REF!),-1),""))</f>
        <v/>
      </c>
      <c r="CI480" s="503" t="s">
        <v>621</v>
      </c>
      <c r="CJ480" s="503" t="str">
        <f>IF($G480="","",IF(AND($G480&gt;=30,$AT$3&lt;=CI$7),ROUND(CI480*($AP$3+#REF!),-1),""))</f>
        <v/>
      </c>
      <c r="CK480" s="503" t="s">
        <v>621</v>
      </c>
      <c r="CL480" s="503" t="str">
        <f>IF($G480="","",IF(AND($G480&gt;=30,$AT$3&lt;=CK$7),ROUND(CK480*($AP$3+#REF!),-1),""))</f>
        <v/>
      </c>
      <c r="CM480" s="503" t="s">
        <v>621</v>
      </c>
      <c r="CN480" s="503" t="str">
        <f>IF($G480="","",IF(AND($G480&gt;=30,$AT$3&lt;=CM$7),ROUND(CM480*($AP$3+#REF!),-1),""))</f>
        <v/>
      </c>
      <c r="CO480" s="503" t="s">
        <v>621</v>
      </c>
      <c r="CP480" s="503" t="str">
        <f>IF($G480="","",IF(AND($G480&gt;=30,$AT$3&lt;=CO$7),ROUND(CO480*($AP$3+#REF!),-1),""))</f>
        <v/>
      </c>
      <c r="CQ480" s="503" t="s">
        <v>621</v>
      </c>
      <c r="CR480" s="503" t="str">
        <f>IF($G480="","",IF(AND($G480&gt;=30,$AT$3&lt;=CQ$7),ROUND(CQ480*($AP$3+#REF!),-1),""))</f>
        <v/>
      </c>
      <c r="CS480" s="503" t="s">
        <v>621</v>
      </c>
      <c r="CT480" s="503" t="str">
        <f>IF($G480="","",IF(AND($G480&gt;=30,$AT$3&lt;=CS$7),ROUND(CS480*($AP$3+#REF!),-1),""))</f>
        <v/>
      </c>
      <c r="CU480" s="503" t="s">
        <v>621</v>
      </c>
      <c r="CV480" s="503" t="str">
        <f>IF($G480="","",IF(AND($G480&gt;=30,$AT$3&lt;=CU$7),ROUND(CU480*($AP$3+#REF!),-1),""))</f>
        <v/>
      </c>
      <c r="CW480" s="503" t="s">
        <v>621</v>
      </c>
      <c r="CX480" s="503" t="str">
        <f>IF($G480="","",IF(AND($G480&gt;=30,$AT$3&lt;=CW$7),ROUND(CW480*($AP$3+#REF!),-1),""))</f>
        <v/>
      </c>
      <c r="CY480" s="503" t="s">
        <v>621</v>
      </c>
      <c r="CZ480" s="503" t="str">
        <f>IF($G480="","",IF(AND($G480&gt;=30,$AT$3&lt;=CY$7),ROUND(CY480*($AP$3+#REF!),-1),""))</f>
        <v/>
      </c>
      <c r="DA480" s="503" t="s">
        <v>621</v>
      </c>
      <c r="DB480" s="503" t="str">
        <f>IF($G480="","",IF(AND($G480&gt;=30,$AT$3&lt;=DA$7),ROUND(DA480*($AP$3+#REF!),-1),""))</f>
        <v/>
      </c>
      <c r="DC480" s="503" t="s">
        <v>621</v>
      </c>
      <c r="DD480" s="503" t="str">
        <f>IF($G480="","",IF(AND($G480&gt;=30,$AT$3&lt;=DC$7),ROUND(DC480*($AP$3+#REF!),-1),""))</f>
        <v/>
      </c>
      <c r="DE480" s="503" t="s">
        <v>621</v>
      </c>
      <c r="DF480" s="503" t="str">
        <f>IF($G480="","",IF(AND($G480&gt;=30,$AT$3&lt;=DE$7),ROUND(DE480*($AP$3+#REF!),-1),""))</f>
        <v/>
      </c>
      <c r="DG480" s="517" t="e">
        <v>#REF!</v>
      </c>
      <c r="DH480" s="503" t="str">
        <f>IF($G480="","",IF(AND($G480&gt;=30,$AT$3&lt;=DG$7),ROUND(DG480*($AP$3+#REF!),-1),""))</f>
        <v/>
      </c>
      <c r="DI480" s="517"/>
      <c r="DJ480" s="503" t="str">
        <f>IF($G480="","",IF(AND($G480&gt;=30,$AT$3&lt;=DI$7),ROUND(DI480*($AP$3+#REF!),-1),""))</f>
        <v/>
      </c>
      <c r="DK480" s="517"/>
      <c r="DL480" s="503" t="str">
        <f>IF($G480="","",IF(AND($G480&gt;=30,$AT$3&lt;=DK$7),ROUND(DK480*($AP$3+#REF!),-1),""))</f>
        <v/>
      </c>
      <c r="DM480" s="517"/>
      <c r="DN480" s="503" t="str">
        <f>IF($G480="","",IF(AND($G480&gt;=30,$AT$3&lt;=DM$7),ROUND(DM480*($AP$3+#REF!),-1),""))</f>
        <v/>
      </c>
      <c r="DO480" s="517"/>
      <c r="DP480" s="503" t="str">
        <f>IF($G480="","",IF(AND($G480&gt;=30,$AT$3&lt;=DO$7),ROUND(DO480*($AP$3+#REF!),-1),""))</f>
        <v/>
      </c>
      <c r="DQ480" s="517"/>
      <c r="DR480" s="503" t="str">
        <f>IF($G480="","",IF(AND($G480&gt;=30,$AT$3&lt;=DQ$7),ROUND(DQ480*($AP$3+#REF!),-1),""))</f>
        <v/>
      </c>
      <c r="DS480" s="517"/>
      <c r="DT480" s="503" t="str">
        <f>IF($G480="","",IF(AND($G480&gt;=30,$AT$3&lt;=DS$7),ROUND(DS480*($AP$3+#REF!),-1),""))</f>
        <v/>
      </c>
      <c r="DU480" s="517"/>
      <c r="DV480" s="503" t="str">
        <f>IF($G480="","",IF(AND($G480&gt;=30,$AT$3&lt;=DU$7),ROUND(DU480*($AP$3+#REF!),-1),""))</f>
        <v/>
      </c>
      <c r="DW480" s="517"/>
      <c r="DX480" s="503" t="str">
        <f>IF($G480="","",IF(AND($G480&gt;=30,$AT$3&lt;=DW$7),ROUND(DW480*($AP$3+#REF!),-1),""))</f>
        <v/>
      </c>
      <c r="DY480" s="517"/>
      <c r="DZ480" s="503" t="str">
        <f>IF($G480="","",IF(AND($G480&gt;=30,$AT$3&lt;=DY$7),ROUND(DY480*($AP$3+#REF!),-1),""))</f>
        <v/>
      </c>
      <c r="EA480" s="517"/>
      <c r="EB480" s="503" t="str">
        <f>IF($G480="","",IF(AND($G480&gt;=30,$AT$3&lt;=EA$7),ROUND(EA480*($AP$3+#REF!),-1),""))</f>
        <v/>
      </c>
      <c r="EC480" s="436"/>
      <c r="ED480" s="436"/>
      <c r="EE480" s="394"/>
    </row>
    <row r="481" spans="1:135" ht="9.75" customHeight="1">
      <c r="A481" s="321" t="str">
        <f t="shared" si="110"/>
        <v/>
      </c>
      <c r="B481" s="567">
        <f>(ii!$D$13*12+V481)+1</f>
        <v>375</v>
      </c>
      <c r="C481" s="337">
        <f t="shared" si="114"/>
        <v>56765</v>
      </c>
      <c r="D481" s="484">
        <f t="shared" si="117"/>
        <v>2055</v>
      </c>
      <c r="E481" s="484">
        <f t="shared" si="115"/>
        <v>0.41666666666666669</v>
      </c>
      <c r="F481" s="484">
        <f t="shared" si="118"/>
        <v>2055.4166666666665</v>
      </c>
      <c r="G481" s="485" t="str">
        <f>IF(OR(C481&lt;$I$2,C481&gt;$J$3),"",(ii!$D$13*12+V481+1)/12)</f>
        <v/>
      </c>
      <c r="H481" s="486"/>
      <c r="I481" s="486"/>
      <c r="J481" s="507"/>
      <c r="K481" s="508"/>
      <c r="L481" s="548"/>
      <c r="M481" s="489" t="str">
        <f t="shared" si="119"/>
        <v/>
      </c>
      <c r="N481" s="490" t="s">
        <v>621</v>
      </c>
      <c r="O481" s="490" t="str">
        <f t="shared" si="112"/>
        <v/>
      </c>
      <c r="P481" s="507"/>
      <c r="Q481" s="507"/>
      <c r="R481" s="491" t="str">
        <f t="shared" si="113"/>
        <v/>
      </c>
      <c r="S481" s="528" t="str">
        <f t="shared" si="111"/>
        <v/>
      </c>
      <c r="T481" s="528" t="str">
        <f t="shared" si="109"/>
        <v/>
      </c>
      <c r="U481" s="493" t="str">
        <f>IF(H481="","",#REF!*12+#REF!+#REF!*12+#REF!)</f>
        <v/>
      </c>
      <c r="V481" s="338">
        <f>IF(ii!$J$3&gt;gg!C481,"",IF(AND((YEAR(C481)=YEAR($I$2)),MONTH(C481)=MONTH($I$2)),ii!$B$14*12+ii!$C$14+ii!$B$15*12+ii!$C$15-1,V480+1))</f>
        <v>374</v>
      </c>
      <c r="W481" s="339">
        <f t="shared" si="116"/>
        <v>31.166666666666668</v>
      </c>
      <c r="X481" s="494" t="s">
        <v>621</v>
      </c>
      <c r="Y481" s="495" t="s">
        <v>621</v>
      </c>
      <c r="Z481" s="496"/>
      <c r="AA481" s="497"/>
      <c r="AB481" s="498" t="e">
        <f t="shared" si="122"/>
        <v>#VALUE!</v>
      </c>
      <c r="AC481" s="484" t="str">
        <f t="shared" si="120"/>
        <v/>
      </c>
      <c r="AD481" s="495" t="str">
        <f t="shared" si="121"/>
        <v/>
      </c>
      <c r="AE481" s="499" t="s">
        <v>621</v>
      </c>
      <c r="AF481" s="500" t="s">
        <v>621</v>
      </c>
      <c r="AG481" s="556" t="s">
        <v>621</v>
      </c>
      <c r="AH481" s="503" t="str">
        <f>IF($G481="","",IF(AND($G481&gt;=30,$AT$3&lt;=AG$7),ROUND(AG481*($AP$3+#REF!),-1),""))</f>
        <v/>
      </c>
      <c r="AI481" s="506" t="s">
        <v>621</v>
      </c>
      <c r="AJ481" s="503" t="str">
        <f>IF($G481="","",IF(AND($G481&gt;=30,$AT$3&lt;=AI$7),ROUND(AI481*($AP$3+#REF!),-1),""))</f>
        <v/>
      </c>
      <c r="AK481" s="506" t="s">
        <v>621</v>
      </c>
      <c r="AL481" s="503" t="str">
        <f>IF($G481="","",IF(AND($G481&gt;=30,$AT$3&lt;=AK$7),ROUND(AK481*($AP$3+#REF!),-1),""))</f>
        <v/>
      </c>
      <c r="AM481" s="506" t="s">
        <v>621</v>
      </c>
      <c r="AN481" s="503" t="str">
        <f>IF($G481="","",IF(AND($G481&gt;=30,$AT$3&lt;=AM$7),ROUND(AM481*($AP$3+#REF!),-1),""))</f>
        <v/>
      </c>
      <c r="AO481" s="503" t="e">
        <v>#REF!</v>
      </c>
      <c r="AP481" s="503" t="str">
        <f>IF($G481="","",IF(AND($G481&gt;=30,$AT$3&lt;=AO$7),ROUND(AO481*($AP$3+#REF!),-1),""))</f>
        <v/>
      </c>
      <c r="AQ481" s="503" t="s">
        <v>621</v>
      </c>
      <c r="AR481" s="503" t="str">
        <f>IF($G481="","",IF(AND($G481&gt;=30,$AT$3&lt;=AQ$7),ROUND(AQ481*($AP$3+#REF!),-1),""))</f>
        <v/>
      </c>
      <c r="AS481" s="503" t="s">
        <v>621</v>
      </c>
      <c r="AT481" s="503" t="str">
        <f>IF($G481="","",IF(AND($G481&gt;=30,$AT$3&lt;=AS$7),ROUND(AS481*($AP$3+#REF!),-1),""))</f>
        <v/>
      </c>
      <c r="AU481" s="503" t="s">
        <v>621</v>
      </c>
      <c r="AV481" s="503" t="str">
        <f>IF($G481="","",IF(AND($G481&gt;=30,$AT$3&lt;=AU$7),ROUND(AU481*($AP$3+#REF!),-1),""))</f>
        <v/>
      </c>
      <c r="AW481" s="503" t="s">
        <v>621</v>
      </c>
      <c r="AX481" s="503" t="str">
        <f>IF($G481="","",IF(AND($G481&gt;=30,$AT$3&lt;=AW$7),ROUND(AW481*($AP$3+#REF!),-1),""))</f>
        <v/>
      </c>
      <c r="AY481" s="503" t="s">
        <v>621</v>
      </c>
      <c r="AZ481" s="503" t="str">
        <f>IF($G481="","",IF(AND($G481&gt;=30,$AT$3&lt;=AY$7),ROUND(AY481*($AP$3+#REF!),-1),""))</f>
        <v/>
      </c>
      <c r="BA481" s="503" t="s">
        <v>621</v>
      </c>
      <c r="BB481" s="503" t="str">
        <f>IF($G481="","",IF(AND($G481&gt;=30,$AT$3&lt;=BA$7),ROUND(BA481*($AP$3+#REF!),-1),""))</f>
        <v/>
      </c>
      <c r="BC481" s="503" t="s">
        <v>621</v>
      </c>
      <c r="BD481" s="503" t="str">
        <f>IF($G481="","",IF(AND($G481&gt;=30,$AT$3&lt;=BC$7),ROUND(BC481*($AP$3+#REF!),-1),""))</f>
        <v/>
      </c>
      <c r="BE481" s="503" t="s">
        <v>621</v>
      </c>
      <c r="BF481" s="503" t="str">
        <f>IF($G481="","",IF(AND($G481&gt;=30,$AT$3&lt;=BE$7),ROUND(BE481*($AP$3+#REF!),-1),""))</f>
        <v/>
      </c>
      <c r="BG481" s="503" t="s">
        <v>621</v>
      </c>
      <c r="BH481" s="503" t="str">
        <f>IF($G481="","",IF(AND($G481&gt;=30,$AT$3&lt;=BG$7),ROUND(BG481*($AP$3+#REF!),-1),""))</f>
        <v/>
      </c>
      <c r="BI481" s="503" t="s">
        <v>621</v>
      </c>
      <c r="BJ481" s="503" t="str">
        <f>IF($G481="","",IF(AND($G481&gt;=30,$AT$3&lt;=BI$7),ROUND(BI481*($AP$3+#REF!),-1),""))</f>
        <v/>
      </c>
      <c r="BK481" s="503" t="s">
        <v>621</v>
      </c>
      <c r="BL481" s="503" t="str">
        <f>IF($G481="","",IF(AND($G481&gt;=30,$AT$3&lt;=BK$7),ROUND(BK481*($AP$3+#REF!),-1),""))</f>
        <v/>
      </c>
      <c r="BM481" s="503" t="s">
        <v>621</v>
      </c>
      <c r="BN481" s="503" t="str">
        <f>IF($G481="","",IF(AND($G481&gt;=30,$AT$3&lt;=BM$7),ROUND(BM481*($AP$3+#REF!),-1),""))</f>
        <v/>
      </c>
      <c r="BO481" s="503" t="s">
        <v>621</v>
      </c>
      <c r="BP481" s="503" t="str">
        <f>IF($G481="","",IF(AND($G481&gt;=30,$AT$3&lt;=BO$7),ROUND(BO481*($AP$3+#REF!),-1),""))</f>
        <v/>
      </c>
      <c r="BQ481" s="503" t="s">
        <v>621</v>
      </c>
      <c r="BR481" s="503" t="str">
        <f>IF($G481="","",IF(AND($G481&gt;=30,$AT$3&lt;=BQ$7),ROUND(BQ481*($AP$3+#REF!),-1),""))</f>
        <v/>
      </c>
      <c r="BS481" s="503" t="s">
        <v>621</v>
      </c>
      <c r="BT481" s="503" t="str">
        <f>IF($G481="","",IF(AND($G481&gt;=30,$AT$3&lt;=BS$7),ROUND(BS481*($AP$3+#REF!),-1),""))</f>
        <v/>
      </c>
      <c r="BU481" s="503" t="s">
        <v>621</v>
      </c>
      <c r="BV481" s="503" t="str">
        <f>IF($G481="","",IF(AND($G481&gt;=30,$AT$3&lt;=BU$7),ROUND(BU481*($AP$3+#REF!),-1),""))</f>
        <v/>
      </c>
      <c r="BW481" s="503" t="s">
        <v>621</v>
      </c>
      <c r="BX481" s="503" t="str">
        <f>IF($G481="","",IF(AND($G481&gt;=30,$AT$3&lt;=BW$7),ROUND(BW481*($AP$3+#REF!),-1),""))</f>
        <v/>
      </c>
      <c r="BY481" s="503" t="s">
        <v>621</v>
      </c>
      <c r="BZ481" s="503" t="str">
        <f>IF($G481="","",IF(AND($G481&gt;=30,$AT$3&lt;=BY$7),ROUND(BY481*($AP$3+#REF!),-1),""))</f>
        <v/>
      </c>
      <c r="CA481" s="503" t="s">
        <v>621</v>
      </c>
      <c r="CB481" s="503" t="str">
        <f>IF($G481="","",IF(AND($G481&gt;=30,$AT$3&lt;=CA$7),ROUND(CA481*($AP$3+#REF!),-1),""))</f>
        <v/>
      </c>
      <c r="CC481" s="503" t="s">
        <v>621</v>
      </c>
      <c r="CD481" s="503" t="str">
        <f>IF($G481="","",IF(AND($G481&gt;=30,$AT$3&lt;=CC$7),ROUND(CC481*($AP$3+#REF!),-1),""))</f>
        <v/>
      </c>
      <c r="CE481" s="503" t="s">
        <v>621</v>
      </c>
      <c r="CF481" s="503" t="str">
        <f>IF($G481="","",IF(AND($G481&gt;=30,$AT$3&lt;=CE$7),ROUND(CE481*($AP$3+#REF!),-1),""))</f>
        <v/>
      </c>
      <c r="CG481" s="503" t="s">
        <v>621</v>
      </c>
      <c r="CH481" s="503" t="str">
        <f>IF($G481="","",IF(AND($G481&gt;=30,$AT$3&lt;=CG$7),ROUND(CG481*($AP$3+#REF!),-1),""))</f>
        <v/>
      </c>
      <c r="CI481" s="503" t="s">
        <v>621</v>
      </c>
      <c r="CJ481" s="503" t="str">
        <f>IF($G481="","",IF(AND($G481&gt;=30,$AT$3&lt;=CI$7),ROUND(CI481*($AP$3+#REF!),-1),""))</f>
        <v/>
      </c>
      <c r="CK481" s="503" t="s">
        <v>621</v>
      </c>
      <c r="CL481" s="503" t="str">
        <f>IF($G481="","",IF(AND($G481&gt;=30,$AT$3&lt;=CK$7),ROUND(CK481*($AP$3+#REF!),-1),""))</f>
        <v/>
      </c>
      <c r="CM481" s="503" t="s">
        <v>621</v>
      </c>
      <c r="CN481" s="503" t="str">
        <f>IF($G481="","",IF(AND($G481&gt;=30,$AT$3&lt;=CM$7),ROUND(CM481*($AP$3+#REF!),-1),""))</f>
        <v/>
      </c>
      <c r="CO481" s="503" t="s">
        <v>621</v>
      </c>
      <c r="CP481" s="503" t="str">
        <f>IF($G481="","",IF(AND($G481&gt;=30,$AT$3&lt;=CO$7),ROUND(CO481*($AP$3+#REF!),-1),""))</f>
        <v/>
      </c>
      <c r="CQ481" s="503" t="s">
        <v>621</v>
      </c>
      <c r="CR481" s="503" t="str">
        <f>IF($G481="","",IF(AND($G481&gt;=30,$AT$3&lt;=CQ$7),ROUND(CQ481*($AP$3+#REF!),-1),""))</f>
        <v/>
      </c>
      <c r="CS481" s="503" t="s">
        <v>621</v>
      </c>
      <c r="CT481" s="503" t="str">
        <f>IF($G481="","",IF(AND($G481&gt;=30,$AT$3&lt;=CS$7),ROUND(CS481*($AP$3+#REF!),-1),""))</f>
        <v/>
      </c>
      <c r="CU481" s="503" t="s">
        <v>621</v>
      </c>
      <c r="CV481" s="503" t="str">
        <f>IF($G481="","",IF(AND($G481&gt;=30,$AT$3&lt;=CU$7),ROUND(CU481*($AP$3+#REF!),-1),""))</f>
        <v/>
      </c>
      <c r="CW481" s="503" t="s">
        <v>621</v>
      </c>
      <c r="CX481" s="503" t="str">
        <f>IF($G481="","",IF(AND($G481&gt;=30,$AT$3&lt;=CW$7),ROUND(CW481*($AP$3+#REF!),-1),""))</f>
        <v/>
      </c>
      <c r="CY481" s="503" t="s">
        <v>621</v>
      </c>
      <c r="CZ481" s="503" t="str">
        <f>IF($G481="","",IF(AND($G481&gt;=30,$AT$3&lt;=CY$7),ROUND(CY481*($AP$3+#REF!),-1),""))</f>
        <v/>
      </c>
      <c r="DA481" s="503" t="s">
        <v>621</v>
      </c>
      <c r="DB481" s="503" t="str">
        <f>IF($G481="","",IF(AND($G481&gt;=30,$AT$3&lt;=DA$7),ROUND(DA481*($AP$3+#REF!),-1),""))</f>
        <v/>
      </c>
      <c r="DC481" s="503" t="s">
        <v>621</v>
      </c>
      <c r="DD481" s="503" t="str">
        <f>IF($G481="","",IF(AND($G481&gt;=30,$AT$3&lt;=DC$7),ROUND(DC481*($AP$3+#REF!),-1),""))</f>
        <v/>
      </c>
      <c r="DE481" s="503" t="s">
        <v>621</v>
      </c>
      <c r="DF481" s="503" t="str">
        <f>IF($G481="","",IF(AND($G481&gt;=30,$AT$3&lt;=DE$7),ROUND(DE481*($AP$3+#REF!),-1),""))</f>
        <v/>
      </c>
      <c r="DG481" s="517" t="e">
        <v>#REF!</v>
      </c>
      <c r="DH481" s="503" t="str">
        <f>IF($G481="","",IF(AND($G481&gt;=30,$AT$3&lt;=DG$7),ROUND(DG481*($AP$3+#REF!),-1),""))</f>
        <v/>
      </c>
      <c r="DI481" s="517"/>
      <c r="DJ481" s="503" t="str">
        <f>IF($G481="","",IF(AND($G481&gt;=30,$AT$3&lt;=DI$7),ROUND(DI481*($AP$3+#REF!),-1),""))</f>
        <v/>
      </c>
      <c r="DK481" s="517"/>
      <c r="DL481" s="503" t="str">
        <f>IF($G481="","",IF(AND($G481&gt;=30,$AT$3&lt;=DK$7),ROUND(DK481*($AP$3+#REF!),-1),""))</f>
        <v/>
      </c>
      <c r="DM481" s="517"/>
      <c r="DN481" s="503" t="str">
        <f>IF($G481="","",IF(AND($G481&gt;=30,$AT$3&lt;=DM$7),ROUND(DM481*($AP$3+#REF!),-1),""))</f>
        <v/>
      </c>
      <c r="DO481" s="517"/>
      <c r="DP481" s="503" t="str">
        <f>IF($G481="","",IF(AND($G481&gt;=30,$AT$3&lt;=DO$7),ROUND(DO481*($AP$3+#REF!),-1),""))</f>
        <v/>
      </c>
      <c r="DQ481" s="517"/>
      <c r="DR481" s="503" t="str">
        <f>IF($G481="","",IF(AND($G481&gt;=30,$AT$3&lt;=DQ$7),ROUND(DQ481*($AP$3+#REF!),-1),""))</f>
        <v/>
      </c>
      <c r="DS481" s="517"/>
      <c r="DT481" s="503" t="str">
        <f>IF($G481="","",IF(AND($G481&gt;=30,$AT$3&lt;=DS$7),ROUND(DS481*($AP$3+#REF!),-1),""))</f>
        <v/>
      </c>
      <c r="DU481" s="517"/>
      <c r="DV481" s="503" t="str">
        <f>IF($G481="","",IF(AND($G481&gt;=30,$AT$3&lt;=DU$7),ROUND(DU481*($AP$3+#REF!),-1),""))</f>
        <v/>
      </c>
      <c r="DW481" s="517"/>
      <c r="DX481" s="503" t="str">
        <f>IF($G481="","",IF(AND($G481&gt;=30,$AT$3&lt;=DW$7),ROUND(DW481*($AP$3+#REF!),-1),""))</f>
        <v/>
      </c>
      <c r="DY481" s="517"/>
      <c r="DZ481" s="503" t="str">
        <f>IF($G481="","",IF(AND($G481&gt;=30,$AT$3&lt;=DY$7),ROUND(DY481*($AP$3+#REF!),-1),""))</f>
        <v/>
      </c>
      <c r="EA481" s="517"/>
      <c r="EB481" s="503" t="str">
        <f>IF($G481="","",IF(AND($G481&gt;=30,$AT$3&lt;=EA$7),ROUND(EA481*($AP$3+#REF!),-1),""))</f>
        <v/>
      </c>
      <c r="EC481" s="436"/>
      <c r="ED481" s="436"/>
      <c r="EE481" s="394"/>
    </row>
    <row r="482" spans="1:135" ht="9.75" customHeight="1">
      <c r="A482" s="321" t="str">
        <f t="shared" si="110"/>
        <v/>
      </c>
      <c r="B482" s="567">
        <f>(ii!$D$13*12+V482)+1</f>
        <v>376</v>
      </c>
      <c r="C482" s="337">
        <f t="shared" si="114"/>
        <v>56795</v>
      </c>
      <c r="D482" s="484">
        <f t="shared" si="117"/>
        <v>2055</v>
      </c>
      <c r="E482" s="484">
        <f t="shared" si="115"/>
        <v>0.5</v>
      </c>
      <c r="F482" s="484">
        <f t="shared" si="118"/>
        <v>2055.5</v>
      </c>
      <c r="G482" s="485" t="str">
        <f>IF(OR(C482&lt;$I$2,C482&gt;$J$3),"",(ii!$D$13*12+V482+1)/12)</f>
        <v/>
      </c>
      <c r="H482" s="486"/>
      <c r="I482" s="486"/>
      <c r="J482" s="487"/>
      <c r="K482" s="488"/>
      <c r="L482" s="548"/>
      <c r="M482" s="489" t="str">
        <f t="shared" si="119"/>
        <v/>
      </c>
      <c r="N482" s="490" t="s">
        <v>621</v>
      </c>
      <c r="O482" s="490" t="str">
        <f t="shared" si="112"/>
        <v/>
      </c>
      <c r="P482" s="491"/>
      <c r="Q482" s="491"/>
      <c r="R482" s="491" t="str">
        <f t="shared" si="113"/>
        <v/>
      </c>
      <c r="S482" s="528" t="str">
        <f t="shared" si="111"/>
        <v/>
      </c>
      <c r="T482" s="528" t="str">
        <f t="shared" si="109"/>
        <v/>
      </c>
      <c r="U482" s="493" t="str">
        <f>IF(H482="","",#REF!*12+#REF!+#REF!*12+#REF!)</f>
        <v/>
      </c>
      <c r="V482" s="338">
        <f>IF(ii!$J$3&gt;gg!C482,"",IF(AND((YEAR(C482)=YEAR($I$2)),MONTH(C482)=MONTH($I$2)),ii!$B$14*12+ii!$C$14+ii!$B$15*12+ii!$C$15-1,V481+1))</f>
        <v>375</v>
      </c>
      <c r="W482" s="339">
        <f t="shared" si="116"/>
        <v>31.25</v>
      </c>
      <c r="X482" s="494" t="s">
        <v>621</v>
      </c>
      <c r="Y482" s="495" t="s">
        <v>621</v>
      </c>
      <c r="Z482" s="496"/>
      <c r="AA482" s="497"/>
      <c r="AB482" s="498" t="e">
        <f t="shared" si="122"/>
        <v>#VALUE!</v>
      </c>
      <c r="AC482" s="484" t="str">
        <f t="shared" si="120"/>
        <v/>
      </c>
      <c r="AD482" s="495" t="str">
        <f t="shared" si="121"/>
        <v/>
      </c>
      <c r="AE482" s="499" t="s">
        <v>621</v>
      </c>
      <c r="AF482" s="500" t="s">
        <v>621</v>
      </c>
      <c r="AG482" s="556" t="s">
        <v>621</v>
      </c>
      <c r="AH482" s="503" t="str">
        <f>IF($G482="","",IF(AND($G482&gt;=30,$AT$3&lt;=AG$7),ROUND(AG482*($AP$3+#REF!),-1),""))</f>
        <v/>
      </c>
      <c r="AI482" s="506" t="s">
        <v>621</v>
      </c>
      <c r="AJ482" s="503" t="str">
        <f>IF($G482="","",IF(AND($G482&gt;=30,$AT$3&lt;=AI$7),ROUND(AI482*($AP$3+#REF!),-1),""))</f>
        <v/>
      </c>
      <c r="AK482" s="506" t="s">
        <v>621</v>
      </c>
      <c r="AL482" s="503" t="str">
        <f>IF($G482="","",IF(AND($G482&gt;=30,$AT$3&lt;=AK$7),ROUND(AK482*($AP$3+#REF!),-1),""))</f>
        <v/>
      </c>
      <c r="AM482" s="506" t="s">
        <v>621</v>
      </c>
      <c r="AN482" s="503" t="str">
        <f>IF($G482="","",IF(AND($G482&gt;=30,$AT$3&lt;=AM$7),ROUND(AM482*($AP$3+#REF!),-1),""))</f>
        <v/>
      </c>
      <c r="AO482" s="503" t="e">
        <v>#REF!</v>
      </c>
      <c r="AP482" s="503" t="str">
        <f>IF($G482="","",IF(AND($G482&gt;=30,$AT$3&lt;=AO$7),ROUND(AO482*($AP$3+#REF!),-1),""))</f>
        <v/>
      </c>
      <c r="AQ482" s="503" t="s">
        <v>621</v>
      </c>
      <c r="AR482" s="503" t="str">
        <f>IF($G482="","",IF(AND($G482&gt;=30,$AT$3&lt;=AQ$7),ROUND(AQ482*($AP$3+#REF!),-1),""))</f>
        <v/>
      </c>
      <c r="AS482" s="503" t="s">
        <v>621</v>
      </c>
      <c r="AT482" s="503" t="str">
        <f>IF($G482="","",IF(AND($G482&gt;=30,$AT$3&lt;=AS$7),ROUND(AS482*($AP$3+#REF!),-1),""))</f>
        <v/>
      </c>
      <c r="AU482" s="503" t="s">
        <v>621</v>
      </c>
      <c r="AV482" s="503" t="str">
        <f>IF($G482="","",IF(AND($G482&gt;=30,$AT$3&lt;=AU$7),ROUND(AU482*($AP$3+#REF!),-1),""))</f>
        <v/>
      </c>
      <c r="AW482" s="503" t="s">
        <v>621</v>
      </c>
      <c r="AX482" s="503" t="str">
        <f>IF($G482="","",IF(AND($G482&gt;=30,$AT$3&lt;=AW$7),ROUND(AW482*($AP$3+#REF!),-1),""))</f>
        <v/>
      </c>
      <c r="AY482" s="503" t="s">
        <v>621</v>
      </c>
      <c r="AZ482" s="503" t="str">
        <f>IF($G482="","",IF(AND($G482&gt;=30,$AT$3&lt;=AY$7),ROUND(AY482*($AP$3+#REF!),-1),""))</f>
        <v/>
      </c>
      <c r="BA482" s="503" t="s">
        <v>621</v>
      </c>
      <c r="BB482" s="503" t="str">
        <f>IF($G482="","",IF(AND($G482&gt;=30,$AT$3&lt;=BA$7),ROUND(BA482*($AP$3+#REF!),-1),""))</f>
        <v/>
      </c>
      <c r="BC482" s="503" t="s">
        <v>621</v>
      </c>
      <c r="BD482" s="503" t="str">
        <f>IF($G482="","",IF(AND($G482&gt;=30,$AT$3&lt;=BC$7),ROUND(BC482*($AP$3+#REF!),-1),""))</f>
        <v/>
      </c>
      <c r="BE482" s="503" t="s">
        <v>621</v>
      </c>
      <c r="BF482" s="503" t="str">
        <f>IF($G482="","",IF(AND($G482&gt;=30,$AT$3&lt;=BE$7),ROUND(BE482*($AP$3+#REF!),-1),""))</f>
        <v/>
      </c>
      <c r="BG482" s="503" t="s">
        <v>621</v>
      </c>
      <c r="BH482" s="503" t="str">
        <f>IF($G482="","",IF(AND($G482&gt;=30,$AT$3&lt;=BG$7),ROUND(BG482*($AP$3+#REF!),-1),""))</f>
        <v/>
      </c>
      <c r="BI482" s="503" t="s">
        <v>621</v>
      </c>
      <c r="BJ482" s="503" t="str">
        <f>IF($G482="","",IF(AND($G482&gt;=30,$AT$3&lt;=BI$7),ROUND(BI482*($AP$3+#REF!),-1),""))</f>
        <v/>
      </c>
      <c r="BK482" s="503" t="s">
        <v>621</v>
      </c>
      <c r="BL482" s="503" t="str">
        <f>IF($G482="","",IF(AND($G482&gt;=30,$AT$3&lt;=BK$7),ROUND(BK482*($AP$3+#REF!),-1),""))</f>
        <v/>
      </c>
      <c r="BM482" s="503" t="s">
        <v>621</v>
      </c>
      <c r="BN482" s="503" t="str">
        <f>IF($G482="","",IF(AND($G482&gt;=30,$AT$3&lt;=BM$7),ROUND(BM482*($AP$3+#REF!),-1),""))</f>
        <v/>
      </c>
      <c r="BO482" s="503" t="s">
        <v>621</v>
      </c>
      <c r="BP482" s="503" t="str">
        <f>IF($G482="","",IF(AND($G482&gt;=30,$AT$3&lt;=BO$7),ROUND(BO482*($AP$3+#REF!),-1),""))</f>
        <v/>
      </c>
      <c r="BQ482" s="503" t="s">
        <v>621</v>
      </c>
      <c r="BR482" s="503" t="str">
        <f>IF($G482="","",IF(AND($G482&gt;=30,$AT$3&lt;=BQ$7),ROUND(BQ482*($AP$3+#REF!),-1),""))</f>
        <v/>
      </c>
      <c r="BS482" s="503" t="s">
        <v>621</v>
      </c>
      <c r="BT482" s="503" t="str">
        <f>IF($G482="","",IF(AND($G482&gt;=30,$AT$3&lt;=BS$7),ROUND(BS482*($AP$3+#REF!),-1),""))</f>
        <v/>
      </c>
      <c r="BU482" s="503" t="s">
        <v>621</v>
      </c>
      <c r="BV482" s="503" t="str">
        <f>IF($G482="","",IF(AND($G482&gt;=30,$AT$3&lt;=BU$7),ROUND(BU482*($AP$3+#REF!),-1),""))</f>
        <v/>
      </c>
      <c r="BW482" s="503" t="s">
        <v>621</v>
      </c>
      <c r="BX482" s="503" t="str">
        <f>IF($G482="","",IF(AND($G482&gt;=30,$AT$3&lt;=BW$7),ROUND(BW482*($AP$3+#REF!),-1),""))</f>
        <v/>
      </c>
      <c r="BY482" s="503" t="s">
        <v>621</v>
      </c>
      <c r="BZ482" s="503" t="str">
        <f>IF($G482="","",IF(AND($G482&gt;=30,$AT$3&lt;=BY$7),ROUND(BY482*($AP$3+#REF!),-1),""))</f>
        <v/>
      </c>
      <c r="CA482" s="503" t="s">
        <v>621</v>
      </c>
      <c r="CB482" s="503" t="str">
        <f>IF($G482="","",IF(AND($G482&gt;=30,$AT$3&lt;=CA$7),ROUND(CA482*($AP$3+#REF!),-1),""))</f>
        <v/>
      </c>
      <c r="CC482" s="503" t="s">
        <v>621</v>
      </c>
      <c r="CD482" s="503" t="str">
        <f>IF($G482="","",IF(AND($G482&gt;=30,$AT$3&lt;=CC$7),ROUND(CC482*($AP$3+#REF!),-1),""))</f>
        <v/>
      </c>
      <c r="CE482" s="503" t="s">
        <v>621</v>
      </c>
      <c r="CF482" s="503" t="str">
        <f>IF($G482="","",IF(AND($G482&gt;=30,$AT$3&lt;=CE$7),ROUND(CE482*($AP$3+#REF!),-1),""))</f>
        <v/>
      </c>
      <c r="CG482" s="503" t="s">
        <v>621</v>
      </c>
      <c r="CH482" s="503" t="str">
        <f>IF($G482="","",IF(AND($G482&gt;=30,$AT$3&lt;=CG$7),ROUND(CG482*($AP$3+#REF!),-1),""))</f>
        <v/>
      </c>
      <c r="CI482" s="503" t="s">
        <v>621</v>
      </c>
      <c r="CJ482" s="503" t="str">
        <f>IF($G482="","",IF(AND($G482&gt;=30,$AT$3&lt;=CI$7),ROUND(CI482*($AP$3+#REF!),-1),""))</f>
        <v/>
      </c>
      <c r="CK482" s="503" t="s">
        <v>621</v>
      </c>
      <c r="CL482" s="503" t="str">
        <f>IF($G482="","",IF(AND($G482&gt;=30,$AT$3&lt;=CK$7),ROUND(CK482*($AP$3+#REF!),-1),""))</f>
        <v/>
      </c>
      <c r="CM482" s="503" t="s">
        <v>621</v>
      </c>
      <c r="CN482" s="503" t="str">
        <f>IF($G482="","",IF(AND($G482&gt;=30,$AT$3&lt;=CM$7),ROUND(CM482*($AP$3+#REF!),-1),""))</f>
        <v/>
      </c>
      <c r="CO482" s="503" t="s">
        <v>621</v>
      </c>
      <c r="CP482" s="503" t="str">
        <f>IF($G482="","",IF(AND($G482&gt;=30,$AT$3&lt;=CO$7),ROUND(CO482*($AP$3+#REF!),-1),""))</f>
        <v/>
      </c>
      <c r="CQ482" s="503" t="s">
        <v>621</v>
      </c>
      <c r="CR482" s="503" t="str">
        <f>IF($G482="","",IF(AND($G482&gt;=30,$AT$3&lt;=CQ$7),ROUND(CQ482*($AP$3+#REF!),-1),""))</f>
        <v/>
      </c>
      <c r="CS482" s="503" t="s">
        <v>621</v>
      </c>
      <c r="CT482" s="503" t="str">
        <f>IF($G482="","",IF(AND($G482&gt;=30,$AT$3&lt;=CS$7),ROUND(CS482*($AP$3+#REF!),-1),""))</f>
        <v/>
      </c>
      <c r="CU482" s="503" t="s">
        <v>621</v>
      </c>
      <c r="CV482" s="503" t="str">
        <f>IF($G482="","",IF(AND($G482&gt;=30,$AT$3&lt;=CU$7),ROUND(CU482*($AP$3+#REF!),-1),""))</f>
        <v/>
      </c>
      <c r="CW482" s="503" t="s">
        <v>621</v>
      </c>
      <c r="CX482" s="503" t="str">
        <f>IF($G482="","",IF(AND($G482&gt;=30,$AT$3&lt;=CW$7),ROUND(CW482*($AP$3+#REF!),-1),""))</f>
        <v/>
      </c>
      <c r="CY482" s="503" t="s">
        <v>621</v>
      </c>
      <c r="CZ482" s="503" t="str">
        <f>IF($G482="","",IF(AND($G482&gt;=30,$AT$3&lt;=CY$7),ROUND(CY482*($AP$3+#REF!),-1),""))</f>
        <v/>
      </c>
      <c r="DA482" s="503" t="s">
        <v>621</v>
      </c>
      <c r="DB482" s="503" t="str">
        <f>IF($G482="","",IF(AND($G482&gt;=30,$AT$3&lt;=DA$7),ROUND(DA482*($AP$3+#REF!),-1),""))</f>
        <v/>
      </c>
      <c r="DC482" s="503" t="s">
        <v>621</v>
      </c>
      <c r="DD482" s="503" t="str">
        <f>IF($G482="","",IF(AND($G482&gt;=30,$AT$3&lt;=DC$7),ROUND(DC482*($AP$3+#REF!),-1),""))</f>
        <v/>
      </c>
      <c r="DE482" s="503" t="s">
        <v>621</v>
      </c>
      <c r="DF482" s="503" t="str">
        <f>IF($G482="","",IF(AND($G482&gt;=30,$AT$3&lt;=DE$7),ROUND(DE482*($AP$3+#REF!),-1),""))</f>
        <v/>
      </c>
      <c r="DG482" s="517" t="e">
        <v>#REF!</v>
      </c>
      <c r="DH482" s="503" t="str">
        <f>IF($G482="","",IF(AND($G482&gt;=30,$AT$3&lt;=DG$7),ROUND(DG482*($AP$3+#REF!),-1),""))</f>
        <v/>
      </c>
      <c r="DI482" s="517"/>
      <c r="DJ482" s="503" t="str">
        <f>IF($G482="","",IF(AND($G482&gt;=30,$AT$3&lt;=DI$7),ROUND(DI482*($AP$3+#REF!),-1),""))</f>
        <v/>
      </c>
      <c r="DK482" s="517"/>
      <c r="DL482" s="503" t="str">
        <f>IF($G482="","",IF(AND($G482&gt;=30,$AT$3&lt;=DK$7),ROUND(DK482*($AP$3+#REF!),-1),""))</f>
        <v/>
      </c>
      <c r="DM482" s="517"/>
      <c r="DN482" s="503" t="str">
        <f>IF($G482="","",IF(AND($G482&gt;=30,$AT$3&lt;=DM$7),ROUND(DM482*($AP$3+#REF!),-1),""))</f>
        <v/>
      </c>
      <c r="DO482" s="517"/>
      <c r="DP482" s="503" t="str">
        <f>IF($G482="","",IF(AND($G482&gt;=30,$AT$3&lt;=DO$7),ROUND(DO482*($AP$3+#REF!),-1),""))</f>
        <v/>
      </c>
      <c r="DQ482" s="517"/>
      <c r="DR482" s="503" t="str">
        <f>IF($G482="","",IF(AND($G482&gt;=30,$AT$3&lt;=DQ$7),ROUND(DQ482*($AP$3+#REF!),-1),""))</f>
        <v/>
      </c>
      <c r="DS482" s="517"/>
      <c r="DT482" s="503" t="str">
        <f>IF($G482="","",IF(AND($G482&gt;=30,$AT$3&lt;=DS$7),ROUND(DS482*($AP$3+#REF!),-1),""))</f>
        <v/>
      </c>
      <c r="DU482" s="517"/>
      <c r="DV482" s="503" t="str">
        <f>IF($G482="","",IF(AND($G482&gt;=30,$AT$3&lt;=DU$7),ROUND(DU482*($AP$3+#REF!),-1),""))</f>
        <v/>
      </c>
      <c r="DW482" s="517"/>
      <c r="DX482" s="503" t="str">
        <f>IF($G482="","",IF(AND($G482&gt;=30,$AT$3&lt;=DW$7),ROUND(DW482*($AP$3+#REF!),-1),""))</f>
        <v/>
      </c>
      <c r="DY482" s="517"/>
      <c r="DZ482" s="503" t="str">
        <f>IF($G482="","",IF(AND($G482&gt;=30,$AT$3&lt;=DY$7),ROUND(DY482*($AP$3+#REF!),-1),""))</f>
        <v/>
      </c>
      <c r="EA482" s="517"/>
      <c r="EB482" s="503" t="str">
        <f>IF($G482="","",IF(AND($G482&gt;=30,$AT$3&lt;=EA$7),ROUND(EA482*($AP$3+#REF!),-1),""))</f>
        <v/>
      </c>
      <c r="EC482" s="436"/>
      <c r="ED482" s="436"/>
      <c r="EE482" s="394"/>
    </row>
    <row r="483" spans="1:135" ht="9.75" customHeight="1">
      <c r="A483" s="321" t="str">
        <f t="shared" si="110"/>
        <v/>
      </c>
      <c r="B483" s="567">
        <f>(ii!$D$13*12+V483)+1</f>
        <v>377</v>
      </c>
      <c r="C483" s="337">
        <f t="shared" si="114"/>
        <v>56826</v>
      </c>
      <c r="D483" s="484">
        <f t="shared" si="117"/>
        <v>2055</v>
      </c>
      <c r="E483" s="484">
        <f t="shared" si="115"/>
        <v>0.58333333333333337</v>
      </c>
      <c r="F483" s="484">
        <f t="shared" si="118"/>
        <v>2055.5833333333335</v>
      </c>
      <c r="G483" s="485" t="str">
        <f>IF(OR(C483&lt;$I$2,C483&gt;$J$3),"",(ii!$D$13*12+V483+1)/12)</f>
        <v/>
      </c>
      <c r="H483" s="486"/>
      <c r="I483" s="486"/>
      <c r="J483" s="487"/>
      <c r="K483" s="488"/>
      <c r="L483" s="548"/>
      <c r="M483" s="489" t="str">
        <f t="shared" si="119"/>
        <v/>
      </c>
      <c r="N483" s="490" t="s">
        <v>621</v>
      </c>
      <c r="O483" s="490" t="str">
        <f t="shared" si="112"/>
        <v/>
      </c>
      <c r="P483" s="491"/>
      <c r="Q483" s="491"/>
      <c r="R483" s="491" t="str">
        <f t="shared" si="113"/>
        <v/>
      </c>
      <c r="S483" s="528" t="str">
        <f t="shared" si="111"/>
        <v/>
      </c>
      <c r="T483" s="528" t="str">
        <f t="shared" si="109"/>
        <v/>
      </c>
      <c r="U483" s="493" t="str">
        <f>IF(H483="","",#REF!*12+#REF!+#REF!*12+#REF!)</f>
        <v/>
      </c>
      <c r="V483" s="338">
        <f>IF(ii!$J$3&gt;gg!C483,"",IF(AND((YEAR(C483)=YEAR($I$2)),MONTH(C483)=MONTH($I$2)),ii!$B$14*12+ii!$C$14+ii!$B$15*12+ii!$C$15-1,V482+1))</f>
        <v>376</v>
      </c>
      <c r="W483" s="339">
        <f t="shared" si="116"/>
        <v>31.333333333333332</v>
      </c>
      <c r="X483" s="494" t="s">
        <v>621</v>
      </c>
      <c r="Y483" s="495" t="s">
        <v>621</v>
      </c>
      <c r="Z483" s="496"/>
      <c r="AA483" s="497"/>
      <c r="AB483" s="498" t="e">
        <f t="shared" si="122"/>
        <v>#VALUE!</v>
      </c>
      <c r="AC483" s="484" t="str">
        <f t="shared" si="120"/>
        <v/>
      </c>
      <c r="AD483" s="495" t="str">
        <f t="shared" si="121"/>
        <v/>
      </c>
      <c r="AE483" s="499" t="s">
        <v>621</v>
      </c>
      <c r="AF483" s="500" t="s">
        <v>621</v>
      </c>
      <c r="AG483" s="556" t="s">
        <v>621</v>
      </c>
      <c r="AH483" s="503" t="str">
        <f>IF($G483="","",IF(AND($G483&gt;=30,$AT$3&lt;=AG$7),ROUND(AG483*($AP$3+#REF!),-1),""))</f>
        <v/>
      </c>
      <c r="AI483" s="506" t="s">
        <v>621</v>
      </c>
      <c r="AJ483" s="503" t="str">
        <f>IF($G483="","",IF(AND($G483&gt;=30,$AT$3&lt;=AI$7),ROUND(AI483*($AP$3+#REF!),-1),""))</f>
        <v/>
      </c>
      <c r="AK483" s="506" t="s">
        <v>621</v>
      </c>
      <c r="AL483" s="503" t="str">
        <f>IF($G483="","",IF(AND($G483&gt;=30,$AT$3&lt;=AK$7),ROUND(AK483*($AP$3+#REF!),-1),""))</f>
        <v/>
      </c>
      <c r="AM483" s="506" t="s">
        <v>621</v>
      </c>
      <c r="AN483" s="503" t="str">
        <f>IF($G483="","",IF(AND($G483&gt;=30,$AT$3&lt;=AM$7),ROUND(AM483*($AP$3+#REF!),-1),""))</f>
        <v/>
      </c>
      <c r="AO483" s="503" t="e">
        <v>#REF!</v>
      </c>
      <c r="AP483" s="503" t="str">
        <f>IF($G483="","",IF(AND($G483&gt;=30,$AT$3&lt;=AO$7),ROUND(AO483*($AP$3+#REF!),-1),""))</f>
        <v/>
      </c>
      <c r="AQ483" s="503" t="s">
        <v>621</v>
      </c>
      <c r="AR483" s="503" t="str">
        <f>IF($G483="","",IF(AND($G483&gt;=30,$AT$3&lt;=AQ$7),ROUND(AQ483*($AP$3+#REF!),-1),""))</f>
        <v/>
      </c>
      <c r="AS483" s="503" t="s">
        <v>621</v>
      </c>
      <c r="AT483" s="503" t="str">
        <f>IF($G483="","",IF(AND($G483&gt;=30,$AT$3&lt;=AS$7),ROUND(AS483*($AP$3+#REF!),-1),""))</f>
        <v/>
      </c>
      <c r="AU483" s="503" t="s">
        <v>621</v>
      </c>
      <c r="AV483" s="503" t="str">
        <f>IF($G483="","",IF(AND($G483&gt;=30,$AT$3&lt;=AU$7),ROUND(AU483*($AP$3+#REF!),-1),""))</f>
        <v/>
      </c>
      <c r="AW483" s="503" t="s">
        <v>621</v>
      </c>
      <c r="AX483" s="503" t="str">
        <f>IF($G483="","",IF(AND($G483&gt;=30,$AT$3&lt;=AW$7),ROUND(AW483*($AP$3+#REF!),-1),""))</f>
        <v/>
      </c>
      <c r="AY483" s="503" t="s">
        <v>621</v>
      </c>
      <c r="AZ483" s="503" t="str">
        <f>IF($G483="","",IF(AND($G483&gt;=30,$AT$3&lt;=AY$7),ROUND(AY483*($AP$3+#REF!),-1),""))</f>
        <v/>
      </c>
      <c r="BA483" s="503" t="s">
        <v>621</v>
      </c>
      <c r="BB483" s="503" t="str">
        <f>IF($G483="","",IF(AND($G483&gt;=30,$AT$3&lt;=BA$7),ROUND(BA483*($AP$3+#REF!),-1),""))</f>
        <v/>
      </c>
      <c r="BC483" s="503" t="s">
        <v>621</v>
      </c>
      <c r="BD483" s="503" t="str">
        <f>IF($G483="","",IF(AND($G483&gt;=30,$AT$3&lt;=BC$7),ROUND(BC483*($AP$3+#REF!),-1),""))</f>
        <v/>
      </c>
      <c r="BE483" s="503" t="s">
        <v>621</v>
      </c>
      <c r="BF483" s="503" t="str">
        <f>IF($G483="","",IF(AND($G483&gt;=30,$AT$3&lt;=BE$7),ROUND(BE483*($AP$3+#REF!),-1),""))</f>
        <v/>
      </c>
      <c r="BG483" s="503" t="s">
        <v>621</v>
      </c>
      <c r="BH483" s="503" t="str">
        <f>IF($G483="","",IF(AND($G483&gt;=30,$AT$3&lt;=BG$7),ROUND(BG483*($AP$3+#REF!),-1),""))</f>
        <v/>
      </c>
      <c r="BI483" s="503" t="s">
        <v>621</v>
      </c>
      <c r="BJ483" s="503" t="str">
        <f>IF($G483="","",IF(AND($G483&gt;=30,$AT$3&lt;=BI$7),ROUND(BI483*($AP$3+#REF!),-1),""))</f>
        <v/>
      </c>
      <c r="BK483" s="503" t="s">
        <v>621</v>
      </c>
      <c r="BL483" s="503" t="str">
        <f>IF($G483="","",IF(AND($G483&gt;=30,$AT$3&lt;=BK$7),ROUND(BK483*($AP$3+#REF!),-1),""))</f>
        <v/>
      </c>
      <c r="BM483" s="503" t="s">
        <v>621</v>
      </c>
      <c r="BN483" s="503" t="str">
        <f>IF($G483="","",IF(AND($G483&gt;=30,$AT$3&lt;=BM$7),ROUND(BM483*($AP$3+#REF!),-1),""))</f>
        <v/>
      </c>
      <c r="BO483" s="503" t="s">
        <v>621</v>
      </c>
      <c r="BP483" s="503" t="str">
        <f>IF($G483="","",IF(AND($G483&gt;=30,$AT$3&lt;=BO$7),ROUND(BO483*($AP$3+#REF!),-1),""))</f>
        <v/>
      </c>
      <c r="BQ483" s="503" t="s">
        <v>621</v>
      </c>
      <c r="BR483" s="503" t="str">
        <f>IF($G483="","",IF(AND($G483&gt;=30,$AT$3&lt;=BQ$7),ROUND(BQ483*($AP$3+#REF!),-1),""))</f>
        <v/>
      </c>
      <c r="BS483" s="503" t="s">
        <v>621</v>
      </c>
      <c r="BT483" s="503" t="str">
        <f>IF($G483="","",IF(AND($G483&gt;=30,$AT$3&lt;=BS$7),ROUND(BS483*($AP$3+#REF!),-1),""))</f>
        <v/>
      </c>
      <c r="BU483" s="503" t="s">
        <v>621</v>
      </c>
      <c r="BV483" s="503" t="str">
        <f>IF($G483="","",IF(AND($G483&gt;=30,$AT$3&lt;=BU$7),ROUND(BU483*($AP$3+#REF!),-1),""))</f>
        <v/>
      </c>
      <c r="BW483" s="503" t="s">
        <v>621</v>
      </c>
      <c r="BX483" s="503" t="str">
        <f>IF($G483="","",IF(AND($G483&gt;=30,$AT$3&lt;=BW$7),ROUND(BW483*($AP$3+#REF!),-1),""))</f>
        <v/>
      </c>
      <c r="BY483" s="503" t="s">
        <v>621</v>
      </c>
      <c r="BZ483" s="503" t="str">
        <f>IF($G483="","",IF(AND($G483&gt;=30,$AT$3&lt;=BY$7),ROUND(BY483*($AP$3+#REF!),-1),""))</f>
        <v/>
      </c>
      <c r="CA483" s="503" t="s">
        <v>621</v>
      </c>
      <c r="CB483" s="503" t="str">
        <f>IF($G483="","",IF(AND($G483&gt;=30,$AT$3&lt;=CA$7),ROUND(CA483*($AP$3+#REF!),-1),""))</f>
        <v/>
      </c>
      <c r="CC483" s="503" t="s">
        <v>621</v>
      </c>
      <c r="CD483" s="503" t="str">
        <f>IF($G483="","",IF(AND($G483&gt;=30,$AT$3&lt;=CC$7),ROUND(CC483*($AP$3+#REF!),-1),""))</f>
        <v/>
      </c>
      <c r="CE483" s="503" t="s">
        <v>621</v>
      </c>
      <c r="CF483" s="503" t="str">
        <f>IF($G483="","",IF(AND($G483&gt;=30,$AT$3&lt;=CE$7),ROUND(CE483*($AP$3+#REF!),-1),""))</f>
        <v/>
      </c>
      <c r="CG483" s="503" t="s">
        <v>621</v>
      </c>
      <c r="CH483" s="503" t="str">
        <f>IF($G483="","",IF(AND($G483&gt;=30,$AT$3&lt;=CG$7),ROUND(CG483*($AP$3+#REF!),-1),""))</f>
        <v/>
      </c>
      <c r="CI483" s="503" t="s">
        <v>621</v>
      </c>
      <c r="CJ483" s="503" t="str">
        <f>IF($G483="","",IF(AND($G483&gt;=30,$AT$3&lt;=CI$7),ROUND(CI483*($AP$3+#REF!),-1),""))</f>
        <v/>
      </c>
      <c r="CK483" s="503" t="s">
        <v>621</v>
      </c>
      <c r="CL483" s="503" t="str">
        <f>IF($G483="","",IF(AND($G483&gt;=30,$AT$3&lt;=CK$7),ROUND(CK483*($AP$3+#REF!),-1),""))</f>
        <v/>
      </c>
      <c r="CM483" s="503" t="s">
        <v>621</v>
      </c>
      <c r="CN483" s="503" t="str">
        <f>IF($G483="","",IF(AND($G483&gt;=30,$AT$3&lt;=CM$7),ROUND(CM483*($AP$3+#REF!),-1),""))</f>
        <v/>
      </c>
      <c r="CO483" s="503" t="s">
        <v>621</v>
      </c>
      <c r="CP483" s="503" t="str">
        <f>IF($G483="","",IF(AND($G483&gt;=30,$AT$3&lt;=CO$7),ROUND(CO483*($AP$3+#REF!),-1),""))</f>
        <v/>
      </c>
      <c r="CQ483" s="503" t="s">
        <v>621</v>
      </c>
      <c r="CR483" s="503" t="str">
        <f>IF($G483="","",IF(AND($G483&gt;=30,$AT$3&lt;=CQ$7),ROUND(CQ483*($AP$3+#REF!),-1),""))</f>
        <v/>
      </c>
      <c r="CS483" s="503" t="s">
        <v>621</v>
      </c>
      <c r="CT483" s="503" t="str">
        <f>IF($G483="","",IF(AND($G483&gt;=30,$AT$3&lt;=CS$7),ROUND(CS483*($AP$3+#REF!),-1),""))</f>
        <v/>
      </c>
      <c r="CU483" s="503" t="s">
        <v>621</v>
      </c>
      <c r="CV483" s="503" t="str">
        <f>IF($G483="","",IF(AND($G483&gt;=30,$AT$3&lt;=CU$7),ROUND(CU483*($AP$3+#REF!),-1),""))</f>
        <v/>
      </c>
      <c r="CW483" s="503" t="s">
        <v>621</v>
      </c>
      <c r="CX483" s="503" t="str">
        <f>IF($G483="","",IF(AND($G483&gt;=30,$AT$3&lt;=CW$7),ROUND(CW483*($AP$3+#REF!),-1),""))</f>
        <v/>
      </c>
      <c r="CY483" s="503" t="s">
        <v>621</v>
      </c>
      <c r="CZ483" s="503" t="str">
        <f>IF($G483="","",IF(AND($G483&gt;=30,$AT$3&lt;=CY$7),ROUND(CY483*($AP$3+#REF!),-1),""))</f>
        <v/>
      </c>
      <c r="DA483" s="503" t="s">
        <v>621</v>
      </c>
      <c r="DB483" s="503" t="str">
        <f>IF($G483="","",IF(AND($G483&gt;=30,$AT$3&lt;=DA$7),ROUND(DA483*($AP$3+#REF!),-1),""))</f>
        <v/>
      </c>
      <c r="DC483" s="503" t="s">
        <v>621</v>
      </c>
      <c r="DD483" s="503" t="str">
        <f>IF($G483="","",IF(AND($G483&gt;=30,$AT$3&lt;=DC$7),ROUND(DC483*($AP$3+#REF!),-1),""))</f>
        <v/>
      </c>
      <c r="DE483" s="503" t="s">
        <v>621</v>
      </c>
      <c r="DF483" s="503" t="str">
        <f>IF($G483="","",IF(AND($G483&gt;=30,$AT$3&lt;=DE$7),ROUND(DE483*($AP$3+#REF!),-1),""))</f>
        <v/>
      </c>
      <c r="DG483" s="517" t="e">
        <v>#REF!</v>
      </c>
      <c r="DH483" s="503" t="str">
        <f>IF($G483="","",IF(AND($G483&gt;=30,$AT$3&lt;=DG$7),ROUND(DG483*($AP$3+#REF!),-1),""))</f>
        <v/>
      </c>
      <c r="DI483" s="517"/>
      <c r="DJ483" s="503" t="str">
        <f>IF($G483="","",IF(AND($G483&gt;=30,$AT$3&lt;=DI$7),ROUND(DI483*($AP$3+#REF!),-1),""))</f>
        <v/>
      </c>
      <c r="DK483" s="517"/>
      <c r="DL483" s="503" t="str">
        <f>IF($G483="","",IF(AND($G483&gt;=30,$AT$3&lt;=DK$7),ROUND(DK483*($AP$3+#REF!),-1),""))</f>
        <v/>
      </c>
      <c r="DM483" s="517"/>
      <c r="DN483" s="503" t="str">
        <f>IF($G483="","",IF(AND($G483&gt;=30,$AT$3&lt;=DM$7),ROUND(DM483*($AP$3+#REF!),-1),""))</f>
        <v/>
      </c>
      <c r="DO483" s="517"/>
      <c r="DP483" s="503" t="str">
        <f>IF($G483="","",IF(AND($G483&gt;=30,$AT$3&lt;=DO$7),ROUND(DO483*($AP$3+#REF!),-1),""))</f>
        <v/>
      </c>
      <c r="DQ483" s="517"/>
      <c r="DR483" s="503" t="str">
        <f>IF($G483="","",IF(AND($G483&gt;=30,$AT$3&lt;=DQ$7),ROUND(DQ483*($AP$3+#REF!),-1),""))</f>
        <v/>
      </c>
      <c r="DS483" s="517"/>
      <c r="DT483" s="503" t="str">
        <f>IF($G483="","",IF(AND($G483&gt;=30,$AT$3&lt;=DS$7),ROUND(DS483*($AP$3+#REF!),-1),""))</f>
        <v/>
      </c>
      <c r="DU483" s="517"/>
      <c r="DV483" s="503" t="str">
        <f>IF($G483="","",IF(AND($G483&gt;=30,$AT$3&lt;=DU$7),ROUND(DU483*($AP$3+#REF!),-1),""))</f>
        <v/>
      </c>
      <c r="DW483" s="517"/>
      <c r="DX483" s="503" t="str">
        <f>IF($G483="","",IF(AND($G483&gt;=30,$AT$3&lt;=DW$7),ROUND(DW483*($AP$3+#REF!),-1),""))</f>
        <v/>
      </c>
      <c r="DY483" s="517"/>
      <c r="DZ483" s="503" t="str">
        <f>IF($G483="","",IF(AND($G483&gt;=30,$AT$3&lt;=DY$7),ROUND(DY483*($AP$3+#REF!),-1),""))</f>
        <v/>
      </c>
      <c r="EA483" s="517"/>
      <c r="EB483" s="503" t="str">
        <f>IF($G483="","",IF(AND($G483&gt;=30,$AT$3&lt;=EA$7),ROUND(EA483*($AP$3+#REF!),-1),""))</f>
        <v/>
      </c>
      <c r="EC483" s="436"/>
      <c r="ED483" s="436"/>
      <c r="EE483" s="394"/>
    </row>
    <row r="484" spans="1:135" ht="9.75" customHeight="1">
      <c r="A484" s="321" t="str">
        <f t="shared" si="110"/>
        <v/>
      </c>
      <c r="B484" s="567">
        <f>(ii!$D$13*12+V484)+1</f>
        <v>378</v>
      </c>
      <c r="C484" s="337">
        <f t="shared" si="114"/>
        <v>56857</v>
      </c>
      <c r="D484" s="484">
        <f t="shared" si="117"/>
        <v>2055</v>
      </c>
      <c r="E484" s="484">
        <f t="shared" si="115"/>
        <v>0.66666666666666663</v>
      </c>
      <c r="F484" s="484">
        <f t="shared" si="118"/>
        <v>2055.6666666666665</v>
      </c>
      <c r="G484" s="485" t="str">
        <f>IF(OR(C484&lt;$I$2,C484&gt;$J$3),"",(ii!$D$13*12+V484+1)/12)</f>
        <v/>
      </c>
      <c r="H484" s="486"/>
      <c r="I484" s="486"/>
      <c r="J484" s="487"/>
      <c r="K484" s="488"/>
      <c r="L484" s="548"/>
      <c r="M484" s="489" t="str">
        <f t="shared" si="119"/>
        <v/>
      </c>
      <c r="N484" s="490" t="s">
        <v>621</v>
      </c>
      <c r="O484" s="490" t="str">
        <f t="shared" si="112"/>
        <v/>
      </c>
      <c r="P484" s="491"/>
      <c r="Q484" s="491"/>
      <c r="R484" s="491" t="str">
        <f t="shared" si="113"/>
        <v/>
      </c>
      <c r="S484" s="528" t="str">
        <f t="shared" si="111"/>
        <v/>
      </c>
      <c r="T484" s="528" t="str">
        <f t="shared" si="109"/>
        <v/>
      </c>
      <c r="U484" s="493" t="str">
        <f>IF(H484="","",#REF!*12+#REF!+#REF!*12+#REF!)</f>
        <v/>
      </c>
      <c r="V484" s="338">
        <f>IF(ii!$J$3&gt;gg!C484,"",IF(AND((YEAR(C484)=YEAR($I$2)),MONTH(C484)=MONTH($I$2)),ii!$B$14*12+ii!$C$14+ii!$B$15*12+ii!$C$15-1,V483+1))</f>
        <v>377</v>
      </c>
      <c r="W484" s="339">
        <f t="shared" si="116"/>
        <v>31.416666666666668</v>
      </c>
      <c r="X484" s="494" t="s">
        <v>621</v>
      </c>
      <c r="Y484" s="495" t="s">
        <v>621</v>
      </c>
      <c r="Z484" s="496"/>
      <c r="AA484" s="497"/>
      <c r="AB484" s="498" t="e">
        <f t="shared" si="122"/>
        <v>#VALUE!</v>
      </c>
      <c r="AC484" s="484" t="str">
        <f t="shared" si="120"/>
        <v/>
      </c>
      <c r="AD484" s="495" t="str">
        <f t="shared" si="121"/>
        <v/>
      </c>
      <c r="AE484" s="499" t="s">
        <v>621</v>
      </c>
      <c r="AF484" s="500" t="s">
        <v>621</v>
      </c>
      <c r="AG484" s="556" t="s">
        <v>621</v>
      </c>
      <c r="AH484" s="503" t="str">
        <f>IF($G484="","",IF(AND($G484&gt;=30,$AT$3&lt;=AG$7),ROUND(AG484*($AP$3+#REF!),-1),""))</f>
        <v/>
      </c>
      <c r="AI484" s="506" t="s">
        <v>621</v>
      </c>
      <c r="AJ484" s="503" t="str">
        <f>IF($G484="","",IF(AND($G484&gt;=30,$AT$3&lt;=AI$7),ROUND(AI484*($AP$3+#REF!),-1),""))</f>
        <v/>
      </c>
      <c r="AK484" s="506" t="s">
        <v>621</v>
      </c>
      <c r="AL484" s="503" t="str">
        <f>IF($G484="","",IF(AND($G484&gt;=30,$AT$3&lt;=AK$7),ROUND(AK484*($AP$3+#REF!),-1),""))</f>
        <v/>
      </c>
      <c r="AM484" s="506" t="s">
        <v>621</v>
      </c>
      <c r="AN484" s="503" t="str">
        <f>IF($G484="","",IF(AND($G484&gt;=30,$AT$3&lt;=AM$7),ROUND(AM484*($AP$3+#REF!),-1),""))</f>
        <v/>
      </c>
      <c r="AO484" s="503" t="e">
        <v>#REF!</v>
      </c>
      <c r="AP484" s="503" t="str">
        <f>IF($G484="","",IF(AND($G484&gt;=30,$AT$3&lt;=AO$7),ROUND(AO484*($AP$3+#REF!),-1),""))</f>
        <v/>
      </c>
      <c r="AQ484" s="503" t="s">
        <v>621</v>
      </c>
      <c r="AR484" s="503" t="str">
        <f>IF($G484="","",IF(AND($G484&gt;=30,$AT$3&lt;=AQ$7),ROUND(AQ484*($AP$3+#REF!),-1),""))</f>
        <v/>
      </c>
      <c r="AS484" s="503" t="s">
        <v>621</v>
      </c>
      <c r="AT484" s="503" t="str">
        <f>IF($G484="","",IF(AND($G484&gt;=30,$AT$3&lt;=AS$7),ROUND(AS484*($AP$3+#REF!),-1),""))</f>
        <v/>
      </c>
      <c r="AU484" s="503" t="s">
        <v>621</v>
      </c>
      <c r="AV484" s="503" t="str">
        <f>IF($G484="","",IF(AND($G484&gt;=30,$AT$3&lt;=AU$7),ROUND(AU484*($AP$3+#REF!),-1),""))</f>
        <v/>
      </c>
      <c r="AW484" s="503" t="s">
        <v>621</v>
      </c>
      <c r="AX484" s="503" t="str">
        <f>IF($G484="","",IF(AND($G484&gt;=30,$AT$3&lt;=AW$7),ROUND(AW484*($AP$3+#REF!),-1),""))</f>
        <v/>
      </c>
      <c r="AY484" s="503" t="s">
        <v>621</v>
      </c>
      <c r="AZ484" s="503" t="str">
        <f>IF($G484="","",IF(AND($G484&gt;=30,$AT$3&lt;=AY$7),ROUND(AY484*($AP$3+#REF!),-1),""))</f>
        <v/>
      </c>
      <c r="BA484" s="503" t="s">
        <v>621</v>
      </c>
      <c r="BB484" s="503" t="str">
        <f>IF($G484="","",IF(AND($G484&gt;=30,$AT$3&lt;=BA$7),ROUND(BA484*($AP$3+#REF!),-1),""))</f>
        <v/>
      </c>
      <c r="BC484" s="503" t="s">
        <v>621</v>
      </c>
      <c r="BD484" s="503" t="str">
        <f>IF($G484="","",IF(AND($G484&gt;=30,$AT$3&lt;=BC$7),ROUND(BC484*($AP$3+#REF!),-1),""))</f>
        <v/>
      </c>
      <c r="BE484" s="503" t="s">
        <v>621</v>
      </c>
      <c r="BF484" s="503" t="str">
        <f>IF($G484="","",IF(AND($G484&gt;=30,$AT$3&lt;=BE$7),ROUND(BE484*($AP$3+#REF!),-1),""))</f>
        <v/>
      </c>
      <c r="BG484" s="503" t="s">
        <v>621</v>
      </c>
      <c r="BH484" s="503" t="str">
        <f>IF($G484="","",IF(AND($G484&gt;=30,$AT$3&lt;=BG$7),ROUND(BG484*($AP$3+#REF!),-1),""))</f>
        <v/>
      </c>
      <c r="BI484" s="503" t="s">
        <v>621</v>
      </c>
      <c r="BJ484" s="503" t="str">
        <f>IF($G484="","",IF(AND($G484&gt;=30,$AT$3&lt;=BI$7),ROUND(BI484*($AP$3+#REF!),-1),""))</f>
        <v/>
      </c>
      <c r="BK484" s="503" t="s">
        <v>621</v>
      </c>
      <c r="BL484" s="503" t="str">
        <f>IF($G484="","",IF(AND($G484&gt;=30,$AT$3&lt;=BK$7),ROUND(BK484*($AP$3+#REF!),-1),""))</f>
        <v/>
      </c>
      <c r="BM484" s="503" t="s">
        <v>621</v>
      </c>
      <c r="BN484" s="503" t="str">
        <f>IF($G484="","",IF(AND($G484&gt;=30,$AT$3&lt;=BM$7),ROUND(BM484*($AP$3+#REF!),-1),""))</f>
        <v/>
      </c>
      <c r="BO484" s="503" t="s">
        <v>621</v>
      </c>
      <c r="BP484" s="503" t="str">
        <f>IF($G484="","",IF(AND($G484&gt;=30,$AT$3&lt;=BO$7),ROUND(BO484*($AP$3+#REF!),-1),""))</f>
        <v/>
      </c>
      <c r="BQ484" s="503" t="s">
        <v>621</v>
      </c>
      <c r="BR484" s="503" t="str">
        <f>IF($G484="","",IF(AND($G484&gt;=30,$AT$3&lt;=BQ$7),ROUND(BQ484*($AP$3+#REF!),-1),""))</f>
        <v/>
      </c>
      <c r="BS484" s="503" t="s">
        <v>621</v>
      </c>
      <c r="BT484" s="503" t="str">
        <f>IF($G484="","",IF(AND($G484&gt;=30,$AT$3&lt;=BS$7),ROUND(BS484*($AP$3+#REF!),-1),""))</f>
        <v/>
      </c>
      <c r="BU484" s="503" t="s">
        <v>621</v>
      </c>
      <c r="BV484" s="503" t="str">
        <f>IF($G484="","",IF(AND($G484&gt;=30,$AT$3&lt;=BU$7),ROUND(BU484*($AP$3+#REF!),-1),""))</f>
        <v/>
      </c>
      <c r="BW484" s="503" t="s">
        <v>621</v>
      </c>
      <c r="BX484" s="503" t="str">
        <f>IF($G484="","",IF(AND($G484&gt;=30,$AT$3&lt;=BW$7),ROUND(BW484*($AP$3+#REF!),-1),""))</f>
        <v/>
      </c>
      <c r="BY484" s="503" t="s">
        <v>621</v>
      </c>
      <c r="BZ484" s="503" t="str">
        <f>IF($G484="","",IF(AND($G484&gt;=30,$AT$3&lt;=BY$7),ROUND(BY484*($AP$3+#REF!),-1),""))</f>
        <v/>
      </c>
      <c r="CA484" s="503" t="s">
        <v>621</v>
      </c>
      <c r="CB484" s="503" t="str">
        <f>IF($G484="","",IF(AND($G484&gt;=30,$AT$3&lt;=CA$7),ROUND(CA484*($AP$3+#REF!),-1),""))</f>
        <v/>
      </c>
      <c r="CC484" s="503" t="s">
        <v>621</v>
      </c>
      <c r="CD484" s="503" t="str">
        <f>IF($G484="","",IF(AND($G484&gt;=30,$AT$3&lt;=CC$7),ROUND(CC484*($AP$3+#REF!),-1),""))</f>
        <v/>
      </c>
      <c r="CE484" s="503" t="s">
        <v>621</v>
      </c>
      <c r="CF484" s="503" t="str">
        <f>IF($G484="","",IF(AND($G484&gt;=30,$AT$3&lt;=CE$7),ROUND(CE484*($AP$3+#REF!),-1),""))</f>
        <v/>
      </c>
      <c r="CG484" s="503" t="s">
        <v>621</v>
      </c>
      <c r="CH484" s="503" t="str">
        <f>IF($G484="","",IF(AND($G484&gt;=30,$AT$3&lt;=CG$7),ROUND(CG484*($AP$3+#REF!),-1),""))</f>
        <v/>
      </c>
      <c r="CI484" s="503" t="s">
        <v>621</v>
      </c>
      <c r="CJ484" s="503" t="str">
        <f>IF($G484="","",IF(AND($G484&gt;=30,$AT$3&lt;=CI$7),ROUND(CI484*($AP$3+#REF!),-1),""))</f>
        <v/>
      </c>
      <c r="CK484" s="503" t="s">
        <v>621</v>
      </c>
      <c r="CL484" s="503" t="str">
        <f>IF($G484="","",IF(AND($G484&gt;=30,$AT$3&lt;=CK$7),ROUND(CK484*($AP$3+#REF!),-1),""))</f>
        <v/>
      </c>
      <c r="CM484" s="503" t="s">
        <v>621</v>
      </c>
      <c r="CN484" s="503" t="str">
        <f>IF($G484="","",IF(AND($G484&gt;=30,$AT$3&lt;=CM$7),ROUND(CM484*($AP$3+#REF!),-1),""))</f>
        <v/>
      </c>
      <c r="CO484" s="503" t="s">
        <v>621</v>
      </c>
      <c r="CP484" s="503" t="str">
        <f>IF($G484="","",IF(AND($G484&gt;=30,$AT$3&lt;=CO$7),ROUND(CO484*($AP$3+#REF!),-1),""))</f>
        <v/>
      </c>
      <c r="CQ484" s="503" t="s">
        <v>621</v>
      </c>
      <c r="CR484" s="503" t="str">
        <f>IF($G484="","",IF(AND($G484&gt;=30,$AT$3&lt;=CQ$7),ROUND(CQ484*($AP$3+#REF!),-1),""))</f>
        <v/>
      </c>
      <c r="CS484" s="503" t="s">
        <v>621</v>
      </c>
      <c r="CT484" s="503" t="str">
        <f>IF($G484="","",IF(AND($G484&gt;=30,$AT$3&lt;=CS$7),ROUND(CS484*($AP$3+#REF!),-1),""))</f>
        <v/>
      </c>
      <c r="CU484" s="503" t="s">
        <v>621</v>
      </c>
      <c r="CV484" s="503" t="str">
        <f>IF($G484="","",IF(AND($G484&gt;=30,$AT$3&lt;=CU$7),ROUND(CU484*($AP$3+#REF!),-1),""))</f>
        <v/>
      </c>
      <c r="CW484" s="503" t="s">
        <v>621</v>
      </c>
      <c r="CX484" s="503" t="str">
        <f>IF($G484="","",IF(AND($G484&gt;=30,$AT$3&lt;=CW$7),ROUND(CW484*($AP$3+#REF!),-1),""))</f>
        <v/>
      </c>
      <c r="CY484" s="503" t="s">
        <v>621</v>
      </c>
      <c r="CZ484" s="503" t="str">
        <f>IF($G484="","",IF(AND($G484&gt;=30,$AT$3&lt;=CY$7),ROUND(CY484*($AP$3+#REF!),-1),""))</f>
        <v/>
      </c>
      <c r="DA484" s="503" t="s">
        <v>621</v>
      </c>
      <c r="DB484" s="503" t="str">
        <f>IF($G484="","",IF(AND($G484&gt;=30,$AT$3&lt;=DA$7),ROUND(DA484*($AP$3+#REF!),-1),""))</f>
        <v/>
      </c>
      <c r="DC484" s="503" t="s">
        <v>621</v>
      </c>
      <c r="DD484" s="503" t="str">
        <f>IF($G484="","",IF(AND($G484&gt;=30,$AT$3&lt;=DC$7),ROUND(DC484*($AP$3+#REF!),-1),""))</f>
        <v/>
      </c>
      <c r="DE484" s="503" t="s">
        <v>621</v>
      </c>
      <c r="DF484" s="503" t="str">
        <f>IF($G484="","",IF(AND($G484&gt;=30,$AT$3&lt;=DE$7),ROUND(DE484*($AP$3+#REF!),-1),""))</f>
        <v/>
      </c>
      <c r="DG484" s="517" t="e">
        <v>#REF!</v>
      </c>
      <c r="DH484" s="503" t="str">
        <f>IF($G484="","",IF(AND($G484&gt;=30,$AT$3&lt;=DG$7),ROUND(DG484*($AP$3+#REF!),-1),""))</f>
        <v/>
      </c>
      <c r="DI484" s="517"/>
      <c r="DJ484" s="503" t="str">
        <f>IF($G484="","",IF(AND($G484&gt;=30,$AT$3&lt;=DI$7),ROUND(DI484*($AP$3+#REF!),-1),""))</f>
        <v/>
      </c>
      <c r="DK484" s="517"/>
      <c r="DL484" s="503" t="str">
        <f>IF($G484="","",IF(AND($G484&gt;=30,$AT$3&lt;=DK$7),ROUND(DK484*($AP$3+#REF!),-1),""))</f>
        <v/>
      </c>
      <c r="DM484" s="517"/>
      <c r="DN484" s="503" t="str">
        <f>IF($G484="","",IF(AND($G484&gt;=30,$AT$3&lt;=DM$7),ROUND(DM484*($AP$3+#REF!),-1),""))</f>
        <v/>
      </c>
      <c r="DO484" s="517"/>
      <c r="DP484" s="503" t="str">
        <f>IF($G484="","",IF(AND($G484&gt;=30,$AT$3&lt;=DO$7),ROUND(DO484*($AP$3+#REF!),-1),""))</f>
        <v/>
      </c>
      <c r="DQ484" s="517"/>
      <c r="DR484" s="503" t="str">
        <f>IF($G484="","",IF(AND($G484&gt;=30,$AT$3&lt;=DQ$7),ROUND(DQ484*($AP$3+#REF!),-1),""))</f>
        <v/>
      </c>
      <c r="DS484" s="517"/>
      <c r="DT484" s="503" t="str">
        <f>IF($G484="","",IF(AND($G484&gt;=30,$AT$3&lt;=DS$7),ROUND(DS484*($AP$3+#REF!),-1),""))</f>
        <v/>
      </c>
      <c r="DU484" s="517"/>
      <c r="DV484" s="503" t="str">
        <f>IF($G484="","",IF(AND($G484&gt;=30,$AT$3&lt;=DU$7),ROUND(DU484*($AP$3+#REF!),-1),""))</f>
        <v/>
      </c>
      <c r="DW484" s="517"/>
      <c r="DX484" s="503" t="str">
        <f>IF($G484="","",IF(AND($G484&gt;=30,$AT$3&lt;=DW$7),ROUND(DW484*($AP$3+#REF!),-1),""))</f>
        <v/>
      </c>
      <c r="DY484" s="517"/>
      <c r="DZ484" s="503" t="str">
        <f>IF($G484="","",IF(AND($G484&gt;=30,$AT$3&lt;=DY$7),ROUND(DY484*($AP$3+#REF!),-1),""))</f>
        <v/>
      </c>
      <c r="EA484" s="517"/>
      <c r="EB484" s="503" t="str">
        <f>IF($G484="","",IF(AND($G484&gt;=30,$AT$3&lt;=EA$7),ROUND(EA484*($AP$3+#REF!),-1),""))</f>
        <v/>
      </c>
      <c r="EC484" s="436"/>
      <c r="ED484" s="436"/>
      <c r="EE484" s="394"/>
    </row>
    <row r="485" spans="1:135" ht="9.75" customHeight="1">
      <c r="A485" s="321" t="str">
        <f t="shared" si="110"/>
        <v/>
      </c>
      <c r="B485" s="567">
        <f>(ii!$D$13*12+V485)+1</f>
        <v>379</v>
      </c>
      <c r="C485" s="337">
        <f t="shared" si="114"/>
        <v>56887</v>
      </c>
      <c r="D485" s="484">
        <f t="shared" si="117"/>
        <v>2055</v>
      </c>
      <c r="E485" s="484">
        <f t="shared" si="115"/>
        <v>0.75</v>
      </c>
      <c r="F485" s="484">
        <f t="shared" si="118"/>
        <v>2055.75</v>
      </c>
      <c r="G485" s="485" t="str">
        <f>IF(OR(C485&lt;$I$2,C485&gt;$J$3),"",(ii!$D$13*12+V485+1)/12)</f>
        <v/>
      </c>
      <c r="H485" s="486"/>
      <c r="I485" s="486"/>
      <c r="J485" s="487"/>
      <c r="K485" s="488"/>
      <c r="L485" s="548"/>
      <c r="M485" s="489" t="str">
        <f t="shared" si="119"/>
        <v/>
      </c>
      <c r="N485" s="490" t="s">
        <v>621</v>
      </c>
      <c r="O485" s="490" t="str">
        <f t="shared" si="112"/>
        <v/>
      </c>
      <c r="P485" s="491"/>
      <c r="Q485" s="491"/>
      <c r="R485" s="491" t="str">
        <f t="shared" si="113"/>
        <v/>
      </c>
      <c r="S485" s="528" t="str">
        <f t="shared" si="111"/>
        <v/>
      </c>
      <c r="T485" s="528" t="str">
        <f t="shared" si="109"/>
        <v/>
      </c>
      <c r="U485" s="493" t="str">
        <f>IF(H485="","",#REF!*12+#REF!+#REF!*12+#REF!)</f>
        <v/>
      </c>
      <c r="V485" s="338">
        <f>IF(ii!$J$3&gt;gg!C485,"",IF(AND((YEAR(C485)=YEAR($I$2)),MONTH(C485)=MONTH($I$2)),ii!$B$14*12+ii!$C$14+ii!$B$15*12+ii!$C$15-1,V484+1))</f>
        <v>378</v>
      </c>
      <c r="W485" s="339">
        <f t="shared" si="116"/>
        <v>31.5</v>
      </c>
      <c r="X485" s="494" t="s">
        <v>621</v>
      </c>
      <c r="Y485" s="495" t="s">
        <v>621</v>
      </c>
      <c r="Z485" s="496"/>
      <c r="AA485" s="497"/>
      <c r="AB485" s="498" t="e">
        <f t="shared" si="122"/>
        <v>#VALUE!</v>
      </c>
      <c r="AC485" s="484" t="str">
        <f t="shared" si="120"/>
        <v/>
      </c>
      <c r="AD485" s="495" t="str">
        <f t="shared" si="121"/>
        <v/>
      </c>
      <c r="AE485" s="499" t="s">
        <v>621</v>
      </c>
      <c r="AF485" s="500" t="s">
        <v>621</v>
      </c>
      <c r="AG485" s="556" t="s">
        <v>621</v>
      </c>
      <c r="AH485" s="503" t="str">
        <f>IF($G485="","",IF(AND($G485&gt;=30,$AT$3&lt;=AG$7),ROUND(AG485*($AP$3+#REF!),-1),""))</f>
        <v/>
      </c>
      <c r="AI485" s="506" t="s">
        <v>621</v>
      </c>
      <c r="AJ485" s="503" t="str">
        <f>IF($G485="","",IF(AND($G485&gt;=30,$AT$3&lt;=AI$7),ROUND(AI485*($AP$3+#REF!),-1),""))</f>
        <v/>
      </c>
      <c r="AK485" s="506" t="s">
        <v>621</v>
      </c>
      <c r="AL485" s="503" t="str">
        <f>IF($G485="","",IF(AND($G485&gt;=30,$AT$3&lt;=AK$7),ROUND(AK485*($AP$3+#REF!),-1),""))</f>
        <v/>
      </c>
      <c r="AM485" s="506" t="s">
        <v>621</v>
      </c>
      <c r="AN485" s="503" t="str">
        <f>IF($G485="","",IF(AND($G485&gt;=30,$AT$3&lt;=AM$7),ROUND(AM485*($AP$3+#REF!),-1),""))</f>
        <v/>
      </c>
      <c r="AO485" s="503" t="e">
        <v>#REF!</v>
      </c>
      <c r="AP485" s="503" t="str">
        <f>IF($G485="","",IF(AND($G485&gt;=30,$AT$3&lt;=AO$7),ROUND(AO485*($AP$3+#REF!),-1),""))</f>
        <v/>
      </c>
      <c r="AQ485" s="503" t="s">
        <v>621</v>
      </c>
      <c r="AR485" s="503" t="str">
        <f>IF($G485="","",IF(AND($G485&gt;=30,$AT$3&lt;=AQ$7),ROUND(AQ485*($AP$3+#REF!),-1),""))</f>
        <v/>
      </c>
      <c r="AS485" s="503" t="s">
        <v>621</v>
      </c>
      <c r="AT485" s="503" t="str">
        <f>IF($G485="","",IF(AND($G485&gt;=30,$AT$3&lt;=AS$7),ROUND(AS485*($AP$3+#REF!),-1),""))</f>
        <v/>
      </c>
      <c r="AU485" s="503" t="s">
        <v>621</v>
      </c>
      <c r="AV485" s="503" t="str">
        <f>IF($G485="","",IF(AND($G485&gt;=30,$AT$3&lt;=AU$7),ROUND(AU485*($AP$3+#REF!),-1),""))</f>
        <v/>
      </c>
      <c r="AW485" s="503" t="s">
        <v>621</v>
      </c>
      <c r="AX485" s="503" t="str">
        <f>IF($G485="","",IF(AND($G485&gt;=30,$AT$3&lt;=AW$7),ROUND(AW485*($AP$3+#REF!),-1),""))</f>
        <v/>
      </c>
      <c r="AY485" s="503" t="s">
        <v>621</v>
      </c>
      <c r="AZ485" s="503" t="str">
        <f>IF($G485="","",IF(AND($G485&gt;=30,$AT$3&lt;=AY$7),ROUND(AY485*($AP$3+#REF!),-1),""))</f>
        <v/>
      </c>
      <c r="BA485" s="503" t="s">
        <v>621</v>
      </c>
      <c r="BB485" s="503" t="str">
        <f>IF($G485="","",IF(AND($G485&gt;=30,$AT$3&lt;=BA$7),ROUND(BA485*($AP$3+#REF!),-1),""))</f>
        <v/>
      </c>
      <c r="BC485" s="503" t="s">
        <v>621</v>
      </c>
      <c r="BD485" s="503" t="str">
        <f>IF($G485="","",IF(AND($G485&gt;=30,$AT$3&lt;=BC$7),ROUND(BC485*($AP$3+#REF!),-1),""))</f>
        <v/>
      </c>
      <c r="BE485" s="503" t="s">
        <v>621</v>
      </c>
      <c r="BF485" s="503" t="str">
        <f>IF($G485="","",IF(AND($G485&gt;=30,$AT$3&lt;=BE$7),ROUND(BE485*($AP$3+#REF!),-1),""))</f>
        <v/>
      </c>
      <c r="BG485" s="503" t="s">
        <v>621</v>
      </c>
      <c r="BH485" s="503" t="str">
        <f>IF($G485="","",IF(AND($G485&gt;=30,$AT$3&lt;=BG$7),ROUND(BG485*($AP$3+#REF!),-1),""))</f>
        <v/>
      </c>
      <c r="BI485" s="503" t="s">
        <v>621</v>
      </c>
      <c r="BJ485" s="503" t="str">
        <f>IF($G485="","",IF(AND($G485&gt;=30,$AT$3&lt;=BI$7),ROUND(BI485*($AP$3+#REF!),-1),""))</f>
        <v/>
      </c>
      <c r="BK485" s="503" t="s">
        <v>621</v>
      </c>
      <c r="BL485" s="503" t="str">
        <f>IF($G485="","",IF(AND($G485&gt;=30,$AT$3&lt;=BK$7),ROUND(BK485*($AP$3+#REF!),-1),""))</f>
        <v/>
      </c>
      <c r="BM485" s="503" t="s">
        <v>621</v>
      </c>
      <c r="BN485" s="503" t="str">
        <f>IF($G485="","",IF(AND($G485&gt;=30,$AT$3&lt;=BM$7),ROUND(BM485*($AP$3+#REF!),-1),""))</f>
        <v/>
      </c>
      <c r="BO485" s="503" t="s">
        <v>621</v>
      </c>
      <c r="BP485" s="503" t="str">
        <f>IF($G485="","",IF(AND($G485&gt;=30,$AT$3&lt;=BO$7),ROUND(BO485*($AP$3+#REF!),-1),""))</f>
        <v/>
      </c>
      <c r="BQ485" s="503" t="s">
        <v>621</v>
      </c>
      <c r="BR485" s="503" t="str">
        <f>IF($G485="","",IF(AND($G485&gt;=30,$AT$3&lt;=BQ$7),ROUND(BQ485*($AP$3+#REF!),-1),""))</f>
        <v/>
      </c>
      <c r="BS485" s="503" t="s">
        <v>621</v>
      </c>
      <c r="BT485" s="503" t="str">
        <f>IF($G485="","",IF(AND($G485&gt;=30,$AT$3&lt;=BS$7),ROUND(BS485*($AP$3+#REF!),-1),""))</f>
        <v/>
      </c>
      <c r="BU485" s="503" t="s">
        <v>621</v>
      </c>
      <c r="BV485" s="503" t="str">
        <f>IF($G485="","",IF(AND($G485&gt;=30,$AT$3&lt;=BU$7),ROUND(BU485*($AP$3+#REF!),-1),""))</f>
        <v/>
      </c>
      <c r="BW485" s="503" t="s">
        <v>621</v>
      </c>
      <c r="BX485" s="503" t="str">
        <f>IF($G485="","",IF(AND($G485&gt;=30,$AT$3&lt;=BW$7),ROUND(BW485*($AP$3+#REF!),-1),""))</f>
        <v/>
      </c>
      <c r="BY485" s="503" t="s">
        <v>621</v>
      </c>
      <c r="BZ485" s="503" t="str">
        <f>IF($G485="","",IF(AND($G485&gt;=30,$AT$3&lt;=BY$7),ROUND(BY485*($AP$3+#REF!),-1),""))</f>
        <v/>
      </c>
      <c r="CA485" s="503" t="s">
        <v>621</v>
      </c>
      <c r="CB485" s="503" t="str">
        <f>IF($G485="","",IF(AND($G485&gt;=30,$AT$3&lt;=CA$7),ROUND(CA485*($AP$3+#REF!),-1),""))</f>
        <v/>
      </c>
      <c r="CC485" s="503" t="s">
        <v>621</v>
      </c>
      <c r="CD485" s="503" t="str">
        <f>IF($G485="","",IF(AND($G485&gt;=30,$AT$3&lt;=CC$7),ROUND(CC485*($AP$3+#REF!),-1),""))</f>
        <v/>
      </c>
      <c r="CE485" s="503" t="s">
        <v>621</v>
      </c>
      <c r="CF485" s="503" t="str">
        <f>IF($G485="","",IF(AND($G485&gt;=30,$AT$3&lt;=CE$7),ROUND(CE485*($AP$3+#REF!),-1),""))</f>
        <v/>
      </c>
      <c r="CG485" s="503" t="s">
        <v>621</v>
      </c>
      <c r="CH485" s="503" t="str">
        <f>IF($G485="","",IF(AND($G485&gt;=30,$AT$3&lt;=CG$7),ROUND(CG485*($AP$3+#REF!),-1),""))</f>
        <v/>
      </c>
      <c r="CI485" s="503" t="s">
        <v>621</v>
      </c>
      <c r="CJ485" s="503" t="str">
        <f>IF($G485="","",IF(AND($G485&gt;=30,$AT$3&lt;=CI$7),ROUND(CI485*($AP$3+#REF!),-1),""))</f>
        <v/>
      </c>
      <c r="CK485" s="503" t="s">
        <v>621</v>
      </c>
      <c r="CL485" s="503" t="str">
        <f>IF($G485="","",IF(AND($G485&gt;=30,$AT$3&lt;=CK$7),ROUND(CK485*($AP$3+#REF!),-1),""))</f>
        <v/>
      </c>
      <c r="CM485" s="503" t="s">
        <v>621</v>
      </c>
      <c r="CN485" s="503" t="str">
        <f>IF($G485="","",IF(AND($G485&gt;=30,$AT$3&lt;=CM$7),ROUND(CM485*($AP$3+#REF!),-1),""))</f>
        <v/>
      </c>
      <c r="CO485" s="503" t="s">
        <v>621</v>
      </c>
      <c r="CP485" s="503" t="str">
        <f>IF($G485="","",IF(AND($G485&gt;=30,$AT$3&lt;=CO$7),ROUND(CO485*($AP$3+#REF!),-1),""))</f>
        <v/>
      </c>
      <c r="CQ485" s="503" t="s">
        <v>621</v>
      </c>
      <c r="CR485" s="503" t="str">
        <f>IF($G485="","",IF(AND($G485&gt;=30,$AT$3&lt;=CQ$7),ROUND(CQ485*($AP$3+#REF!),-1),""))</f>
        <v/>
      </c>
      <c r="CS485" s="503" t="s">
        <v>621</v>
      </c>
      <c r="CT485" s="503" t="str">
        <f>IF($G485="","",IF(AND($G485&gt;=30,$AT$3&lt;=CS$7),ROUND(CS485*($AP$3+#REF!),-1),""))</f>
        <v/>
      </c>
      <c r="CU485" s="503" t="s">
        <v>621</v>
      </c>
      <c r="CV485" s="503" t="str">
        <f>IF($G485="","",IF(AND($G485&gt;=30,$AT$3&lt;=CU$7),ROUND(CU485*($AP$3+#REF!),-1),""))</f>
        <v/>
      </c>
      <c r="CW485" s="503" t="s">
        <v>621</v>
      </c>
      <c r="CX485" s="503" t="str">
        <f>IF($G485="","",IF(AND($G485&gt;=30,$AT$3&lt;=CW$7),ROUND(CW485*($AP$3+#REF!),-1),""))</f>
        <v/>
      </c>
      <c r="CY485" s="503" t="s">
        <v>621</v>
      </c>
      <c r="CZ485" s="503" t="str">
        <f>IF($G485="","",IF(AND($G485&gt;=30,$AT$3&lt;=CY$7),ROUND(CY485*($AP$3+#REF!),-1),""))</f>
        <v/>
      </c>
      <c r="DA485" s="503" t="s">
        <v>621</v>
      </c>
      <c r="DB485" s="503" t="str">
        <f>IF($G485="","",IF(AND($G485&gt;=30,$AT$3&lt;=DA$7),ROUND(DA485*($AP$3+#REF!),-1),""))</f>
        <v/>
      </c>
      <c r="DC485" s="503" t="s">
        <v>621</v>
      </c>
      <c r="DD485" s="503" t="str">
        <f>IF($G485="","",IF(AND($G485&gt;=30,$AT$3&lt;=DC$7),ROUND(DC485*($AP$3+#REF!),-1),""))</f>
        <v/>
      </c>
      <c r="DE485" s="503" t="s">
        <v>621</v>
      </c>
      <c r="DF485" s="503" t="str">
        <f>IF($G485="","",IF(AND($G485&gt;=30,$AT$3&lt;=DE$7),ROUND(DE485*($AP$3+#REF!),-1),""))</f>
        <v/>
      </c>
      <c r="DG485" s="517" t="e">
        <v>#REF!</v>
      </c>
      <c r="DH485" s="503" t="str">
        <f>IF($G485="","",IF(AND($G485&gt;=30,$AT$3&lt;=DG$7),ROUND(DG485*($AP$3+#REF!),-1),""))</f>
        <v/>
      </c>
      <c r="DI485" s="517"/>
      <c r="DJ485" s="503" t="str">
        <f>IF($G485="","",IF(AND($G485&gt;=30,$AT$3&lt;=DI$7),ROUND(DI485*($AP$3+#REF!),-1),""))</f>
        <v/>
      </c>
      <c r="DK485" s="517"/>
      <c r="DL485" s="503" t="str">
        <f>IF($G485="","",IF(AND($G485&gt;=30,$AT$3&lt;=DK$7),ROUND(DK485*($AP$3+#REF!),-1),""))</f>
        <v/>
      </c>
      <c r="DM485" s="517"/>
      <c r="DN485" s="503" t="str">
        <f>IF($G485="","",IF(AND($G485&gt;=30,$AT$3&lt;=DM$7),ROUND(DM485*($AP$3+#REF!),-1),""))</f>
        <v/>
      </c>
      <c r="DO485" s="517"/>
      <c r="DP485" s="503" t="str">
        <f>IF($G485="","",IF(AND($G485&gt;=30,$AT$3&lt;=DO$7),ROUND(DO485*($AP$3+#REF!),-1),""))</f>
        <v/>
      </c>
      <c r="DQ485" s="517"/>
      <c r="DR485" s="503" t="str">
        <f>IF($G485="","",IF(AND($G485&gt;=30,$AT$3&lt;=DQ$7),ROUND(DQ485*($AP$3+#REF!),-1),""))</f>
        <v/>
      </c>
      <c r="DS485" s="517"/>
      <c r="DT485" s="503" t="str">
        <f>IF($G485="","",IF(AND($G485&gt;=30,$AT$3&lt;=DS$7),ROUND(DS485*($AP$3+#REF!),-1),""))</f>
        <v/>
      </c>
      <c r="DU485" s="517"/>
      <c r="DV485" s="503" t="str">
        <f>IF($G485="","",IF(AND($G485&gt;=30,$AT$3&lt;=DU$7),ROUND(DU485*($AP$3+#REF!),-1),""))</f>
        <v/>
      </c>
      <c r="DW485" s="517"/>
      <c r="DX485" s="503" t="str">
        <f>IF($G485="","",IF(AND($G485&gt;=30,$AT$3&lt;=DW$7),ROUND(DW485*($AP$3+#REF!),-1),""))</f>
        <v/>
      </c>
      <c r="DY485" s="517"/>
      <c r="DZ485" s="503" t="str">
        <f>IF($G485="","",IF(AND($G485&gt;=30,$AT$3&lt;=DY$7),ROUND(DY485*($AP$3+#REF!),-1),""))</f>
        <v/>
      </c>
      <c r="EA485" s="517"/>
      <c r="EB485" s="503" t="str">
        <f>IF($G485="","",IF(AND($G485&gt;=30,$AT$3&lt;=EA$7),ROUND(EA485*($AP$3+#REF!),-1),""))</f>
        <v/>
      </c>
      <c r="EC485" s="436"/>
      <c r="ED485" s="436"/>
      <c r="EE485" s="394"/>
    </row>
    <row r="486" spans="1:135" ht="9.75" customHeight="1">
      <c r="A486" s="321" t="str">
        <f t="shared" si="110"/>
        <v/>
      </c>
      <c r="B486" s="567">
        <f>(ii!$D$13*12+V486)+1</f>
        <v>380</v>
      </c>
      <c r="C486" s="337">
        <f t="shared" si="114"/>
        <v>56918</v>
      </c>
      <c r="D486" s="484">
        <f t="shared" si="117"/>
        <v>2055</v>
      </c>
      <c r="E486" s="484">
        <f t="shared" si="115"/>
        <v>0.83333333333333337</v>
      </c>
      <c r="F486" s="484">
        <f t="shared" si="118"/>
        <v>2055.8333333333335</v>
      </c>
      <c r="G486" s="485" t="str">
        <f>IF(OR(C486&lt;$I$2,C486&gt;$J$3),"",(ii!$D$13*12+V486+1)/12)</f>
        <v/>
      </c>
      <c r="H486" s="486"/>
      <c r="I486" s="486"/>
      <c r="J486" s="487"/>
      <c r="K486" s="488"/>
      <c r="L486" s="548"/>
      <c r="M486" s="489" t="str">
        <f t="shared" si="119"/>
        <v/>
      </c>
      <c r="N486" s="490" t="s">
        <v>621</v>
      </c>
      <c r="O486" s="490" t="str">
        <f t="shared" si="112"/>
        <v/>
      </c>
      <c r="P486" s="491"/>
      <c r="Q486" s="491"/>
      <c r="R486" s="491" t="str">
        <f t="shared" si="113"/>
        <v/>
      </c>
      <c r="S486" s="528" t="str">
        <f t="shared" si="111"/>
        <v/>
      </c>
      <c r="T486" s="528" t="str">
        <f t="shared" si="109"/>
        <v/>
      </c>
      <c r="U486" s="493" t="str">
        <f>IF(H486="","",#REF!*12+#REF!+#REF!*12+#REF!)</f>
        <v/>
      </c>
      <c r="V486" s="338">
        <f>IF(ii!$J$3&gt;gg!C486,"",IF(AND((YEAR(C486)=YEAR($I$2)),MONTH(C486)=MONTH($I$2)),ii!$B$14*12+ii!$C$14+ii!$B$15*12+ii!$C$15-1,V485+1))</f>
        <v>379</v>
      </c>
      <c r="W486" s="339">
        <f t="shared" si="116"/>
        <v>31.583333333333332</v>
      </c>
      <c r="X486" s="494" t="s">
        <v>621</v>
      </c>
      <c r="Y486" s="495" t="s">
        <v>621</v>
      </c>
      <c r="Z486" s="496"/>
      <c r="AA486" s="497"/>
      <c r="AB486" s="498" t="e">
        <f t="shared" si="122"/>
        <v>#VALUE!</v>
      </c>
      <c r="AC486" s="484" t="str">
        <f t="shared" si="120"/>
        <v/>
      </c>
      <c r="AD486" s="495" t="str">
        <f t="shared" si="121"/>
        <v/>
      </c>
      <c r="AE486" s="499" t="s">
        <v>621</v>
      </c>
      <c r="AF486" s="500" t="s">
        <v>621</v>
      </c>
      <c r="AG486" s="556" t="s">
        <v>621</v>
      </c>
      <c r="AH486" s="503" t="str">
        <f>IF($G486="","",IF(AND($G486&gt;=30,$AT$3&lt;=AG$7),ROUND(AG486*($AP$3+#REF!),-1),""))</f>
        <v/>
      </c>
      <c r="AI486" s="506" t="s">
        <v>621</v>
      </c>
      <c r="AJ486" s="503" t="str">
        <f>IF($G486="","",IF(AND($G486&gt;=30,$AT$3&lt;=AI$7),ROUND(AI486*($AP$3+#REF!),-1),""))</f>
        <v/>
      </c>
      <c r="AK486" s="506" t="s">
        <v>621</v>
      </c>
      <c r="AL486" s="503" t="str">
        <f>IF($G486="","",IF(AND($G486&gt;=30,$AT$3&lt;=AK$7),ROUND(AK486*($AP$3+#REF!),-1),""))</f>
        <v/>
      </c>
      <c r="AM486" s="506" t="s">
        <v>621</v>
      </c>
      <c r="AN486" s="503" t="str">
        <f>IF($G486="","",IF(AND($G486&gt;=30,$AT$3&lt;=AM$7),ROUND(AM486*($AP$3+#REF!),-1),""))</f>
        <v/>
      </c>
      <c r="AO486" s="503" t="e">
        <v>#REF!</v>
      </c>
      <c r="AP486" s="503" t="str">
        <f>IF($G486="","",IF(AND($G486&gt;=30,$AT$3&lt;=AO$7),ROUND(AO486*($AP$3+#REF!),-1),""))</f>
        <v/>
      </c>
      <c r="AQ486" s="503" t="s">
        <v>621</v>
      </c>
      <c r="AR486" s="503" t="str">
        <f>IF($G486="","",IF(AND($G486&gt;=30,$AT$3&lt;=AQ$7),ROUND(AQ486*($AP$3+#REF!),-1),""))</f>
        <v/>
      </c>
      <c r="AS486" s="503" t="s">
        <v>621</v>
      </c>
      <c r="AT486" s="503" t="str">
        <f>IF($G486="","",IF(AND($G486&gt;=30,$AT$3&lt;=AS$7),ROUND(AS486*($AP$3+#REF!),-1),""))</f>
        <v/>
      </c>
      <c r="AU486" s="503" t="s">
        <v>621</v>
      </c>
      <c r="AV486" s="503" t="str">
        <f>IF($G486="","",IF(AND($G486&gt;=30,$AT$3&lt;=AU$7),ROUND(AU486*($AP$3+#REF!),-1),""))</f>
        <v/>
      </c>
      <c r="AW486" s="503" t="s">
        <v>621</v>
      </c>
      <c r="AX486" s="503" t="str">
        <f>IF($G486="","",IF(AND($G486&gt;=30,$AT$3&lt;=AW$7),ROUND(AW486*($AP$3+#REF!),-1),""))</f>
        <v/>
      </c>
      <c r="AY486" s="503" t="s">
        <v>621</v>
      </c>
      <c r="AZ486" s="503" t="str">
        <f>IF($G486="","",IF(AND($G486&gt;=30,$AT$3&lt;=AY$7),ROUND(AY486*($AP$3+#REF!),-1),""))</f>
        <v/>
      </c>
      <c r="BA486" s="503" t="s">
        <v>621</v>
      </c>
      <c r="BB486" s="503" t="str">
        <f>IF($G486="","",IF(AND($G486&gt;=30,$AT$3&lt;=BA$7),ROUND(BA486*($AP$3+#REF!),-1),""))</f>
        <v/>
      </c>
      <c r="BC486" s="503" t="s">
        <v>621</v>
      </c>
      <c r="BD486" s="503" t="str">
        <f>IF($G486="","",IF(AND($G486&gt;=30,$AT$3&lt;=BC$7),ROUND(BC486*($AP$3+#REF!),-1),""))</f>
        <v/>
      </c>
      <c r="BE486" s="503" t="s">
        <v>621</v>
      </c>
      <c r="BF486" s="503" t="str">
        <f>IF($G486="","",IF(AND($G486&gt;=30,$AT$3&lt;=BE$7),ROUND(BE486*($AP$3+#REF!),-1),""))</f>
        <v/>
      </c>
      <c r="BG486" s="503" t="s">
        <v>621</v>
      </c>
      <c r="BH486" s="503" t="str">
        <f>IF($G486="","",IF(AND($G486&gt;=30,$AT$3&lt;=BG$7),ROUND(BG486*($AP$3+#REF!),-1),""))</f>
        <v/>
      </c>
      <c r="BI486" s="503" t="s">
        <v>621</v>
      </c>
      <c r="BJ486" s="503" t="str">
        <f>IF($G486="","",IF(AND($G486&gt;=30,$AT$3&lt;=BI$7),ROUND(BI486*($AP$3+#REF!),-1),""))</f>
        <v/>
      </c>
      <c r="BK486" s="503" t="s">
        <v>621</v>
      </c>
      <c r="BL486" s="503" t="str">
        <f>IF($G486="","",IF(AND($G486&gt;=30,$AT$3&lt;=BK$7),ROUND(BK486*($AP$3+#REF!),-1),""))</f>
        <v/>
      </c>
      <c r="BM486" s="503" t="s">
        <v>621</v>
      </c>
      <c r="BN486" s="503" t="str">
        <f>IF($G486="","",IF(AND($G486&gt;=30,$AT$3&lt;=BM$7),ROUND(BM486*($AP$3+#REF!),-1),""))</f>
        <v/>
      </c>
      <c r="BO486" s="503" t="s">
        <v>621</v>
      </c>
      <c r="BP486" s="503" t="str">
        <f>IF($G486="","",IF(AND($G486&gt;=30,$AT$3&lt;=BO$7),ROUND(BO486*($AP$3+#REF!),-1),""))</f>
        <v/>
      </c>
      <c r="BQ486" s="503" t="s">
        <v>621</v>
      </c>
      <c r="BR486" s="503" t="str">
        <f>IF($G486="","",IF(AND($G486&gt;=30,$AT$3&lt;=BQ$7),ROUND(BQ486*($AP$3+#REF!),-1),""))</f>
        <v/>
      </c>
      <c r="BS486" s="503" t="s">
        <v>621</v>
      </c>
      <c r="BT486" s="503" t="str">
        <f>IF($G486="","",IF(AND($G486&gt;=30,$AT$3&lt;=BS$7),ROUND(BS486*($AP$3+#REF!),-1),""))</f>
        <v/>
      </c>
      <c r="BU486" s="503" t="s">
        <v>621</v>
      </c>
      <c r="BV486" s="503" t="str">
        <f>IF($G486="","",IF(AND($G486&gt;=30,$AT$3&lt;=BU$7),ROUND(BU486*($AP$3+#REF!),-1),""))</f>
        <v/>
      </c>
      <c r="BW486" s="503" t="s">
        <v>621</v>
      </c>
      <c r="BX486" s="503" t="str">
        <f>IF($G486="","",IF(AND($G486&gt;=30,$AT$3&lt;=BW$7),ROUND(BW486*($AP$3+#REF!),-1),""))</f>
        <v/>
      </c>
      <c r="BY486" s="503" t="s">
        <v>621</v>
      </c>
      <c r="BZ486" s="503" t="str">
        <f>IF($G486="","",IF(AND($G486&gt;=30,$AT$3&lt;=BY$7),ROUND(BY486*($AP$3+#REF!),-1),""))</f>
        <v/>
      </c>
      <c r="CA486" s="503" t="s">
        <v>621</v>
      </c>
      <c r="CB486" s="503" t="str">
        <f>IF($G486="","",IF(AND($G486&gt;=30,$AT$3&lt;=CA$7),ROUND(CA486*($AP$3+#REF!),-1),""))</f>
        <v/>
      </c>
      <c r="CC486" s="503" t="s">
        <v>621</v>
      </c>
      <c r="CD486" s="503" t="str">
        <f>IF($G486="","",IF(AND($G486&gt;=30,$AT$3&lt;=CC$7),ROUND(CC486*($AP$3+#REF!),-1),""))</f>
        <v/>
      </c>
      <c r="CE486" s="503" t="s">
        <v>621</v>
      </c>
      <c r="CF486" s="503" t="str">
        <f>IF($G486="","",IF(AND($G486&gt;=30,$AT$3&lt;=CE$7),ROUND(CE486*($AP$3+#REF!),-1),""))</f>
        <v/>
      </c>
      <c r="CG486" s="503" t="s">
        <v>621</v>
      </c>
      <c r="CH486" s="503" t="str">
        <f>IF($G486="","",IF(AND($G486&gt;=30,$AT$3&lt;=CG$7),ROUND(CG486*($AP$3+#REF!),-1),""))</f>
        <v/>
      </c>
      <c r="CI486" s="503" t="s">
        <v>621</v>
      </c>
      <c r="CJ486" s="503" t="str">
        <f>IF($G486="","",IF(AND($G486&gt;=30,$AT$3&lt;=CI$7),ROUND(CI486*($AP$3+#REF!),-1),""))</f>
        <v/>
      </c>
      <c r="CK486" s="503" t="s">
        <v>621</v>
      </c>
      <c r="CL486" s="503" t="str">
        <f>IF($G486="","",IF(AND($G486&gt;=30,$AT$3&lt;=CK$7),ROUND(CK486*($AP$3+#REF!),-1),""))</f>
        <v/>
      </c>
      <c r="CM486" s="503" t="s">
        <v>621</v>
      </c>
      <c r="CN486" s="503" t="str">
        <f>IF($G486="","",IF(AND($G486&gt;=30,$AT$3&lt;=CM$7),ROUND(CM486*($AP$3+#REF!),-1),""))</f>
        <v/>
      </c>
      <c r="CO486" s="503" t="s">
        <v>621</v>
      </c>
      <c r="CP486" s="503" t="str">
        <f>IF($G486="","",IF(AND($G486&gt;=30,$AT$3&lt;=CO$7),ROUND(CO486*($AP$3+#REF!),-1),""))</f>
        <v/>
      </c>
      <c r="CQ486" s="503" t="s">
        <v>621</v>
      </c>
      <c r="CR486" s="503" t="str">
        <f>IF($G486="","",IF(AND($G486&gt;=30,$AT$3&lt;=CQ$7),ROUND(CQ486*($AP$3+#REF!),-1),""))</f>
        <v/>
      </c>
      <c r="CS486" s="503" t="s">
        <v>621</v>
      </c>
      <c r="CT486" s="503" t="str">
        <f>IF($G486="","",IF(AND($G486&gt;=30,$AT$3&lt;=CS$7),ROUND(CS486*($AP$3+#REF!),-1),""))</f>
        <v/>
      </c>
      <c r="CU486" s="503" t="s">
        <v>621</v>
      </c>
      <c r="CV486" s="503" t="str">
        <f>IF($G486="","",IF(AND($G486&gt;=30,$AT$3&lt;=CU$7),ROUND(CU486*($AP$3+#REF!),-1),""))</f>
        <v/>
      </c>
      <c r="CW486" s="503" t="s">
        <v>621</v>
      </c>
      <c r="CX486" s="503" t="str">
        <f>IF($G486="","",IF(AND($G486&gt;=30,$AT$3&lt;=CW$7),ROUND(CW486*($AP$3+#REF!),-1),""))</f>
        <v/>
      </c>
      <c r="CY486" s="503" t="s">
        <v>621</v>
      </c>
      <c r="CZ486" s="503" t="str">
        <f>IF($G486="","",IF(AND($G486&gt;=30,$AT$3&lt;=CY$7),ROUND(CY486*($AP$3+#REF!),-1),""))</f>
        <v/>
      </c>
      <c r="DA486" s="503" t="s">
        <v>621</v>
      </c>
      <c r="DB486" s="503" t="str">
        <f>IF($G486="","",IF(AND($G486&gt;=30,$AT$3&lt;=DA$7),ROUND(DA486*($AP$3+#REF!),-1),""))</f>
        <v/>
      </c>
      <c r="DC486" s="503" t="s">
        <v>621</v>
      </c>
      <c r="DD486" s="503" t="str">
        <f>IF($G486="","",IF(AND($G486&gt;=30,$AT$3&lt;=DC$7),ROUND(DC486*($AP$3+#REF!),-1),""))</f>
        <v/>
      </c>
      <c r="DE486" s="503" t="s">
        <v>621</v>
      </c>
      <c r="DF486" s="503" t="str">
        <f>IF($G486="","",IF(AND($G486&gt;=30,$AT$3&lt;=DE$7),ROUND(DE486*($AP$3+#REF!),-1),""))</f>
        <v/>
      </c>
      <c r="DG486" s="517" t="e">
        <v>#REF!</v>
      </c>
      <c r="DH486" s="503" t="str">
        <f>IF($G486="","",IF(AND($G486&gt;=30,$AT$3&lt;=DG$7),ROUND(DG486*($AP$3+#REF!),-1),""))</f>
        <v/>
      </c>
      <c r="DI486" s="517"/>
      <c r="DJ486" s="503" t="str">
        <f>IF($G486="","",IF(AND($G486&gt;=30,$AT$3&lt;=DI$7),ROUND(DI486*($AP$3+#REF!),-1),""))</f>
        <v/>
      </c>
      <c r="DK486" s="517"/>
      <c r="DL486" s="503" t="str">
        <f>IF($G486="","",IF(AND($G486&gt;=30,$AT$3&lt;=DK$7),ROUND(DK486*($AP$3+#REF!),-1),""))</f>
        <v/>
      </c>
      <c r="DM486" s="517"/>
      <c r="DN486" s="503" t="str">
        <f>IF($G486="","",IF(AND($G486&gt;=30,$AT$3&lt;=DM$7),ROUND(DM486*($AP$3+#REF!),-1),""))</f>
        <v/>
      </c>
      <c r="DO486" s="517"/>
      <c r="DP486" s="503" t="str">
        <f>IF($G486="","",IF(AND($G486&gt;=30,$AT$3&lt;=DO$7),ROUND(DO486*($AP$3+#REF!),-1),""))</f>
        <v/>
      </c>
      <c r="DQ486" s="517"/>
      <c r="DR486" s="503" t="str">
        <f>IF($G486="","",IF(AND($G486&gt;=30,$AT$3&lt;=DQ$7),ROUND(DQ486*($AP$3+#REF!),-1),""))</f>
        <v/>
      </c>
      <c r="DS486" s="517"/>
      <c r="DT486" s="503" t="str">
        <f>IF($G486="","",IF(AND($G486&gt;=30,$AT$3&lt;=DS$7),ROUND(DS486*($AP$3+#REF!),-1),""))</f>
        <v/>
      </c>
      <c r="DU486" s="517"/>
      <c r="DV486" s="503" t="str">
        <f>IF($G486="","",IF(AND($G486&gt;=30,$AT$3&lt;=DU$7),ROUND(DU486*($AP$3+#REF!),-1),""))</f>
        <v/>
      </c>
      <c r="DW486" s="517"/>
      <c r="DX486" s="503" t="str">
        <f>IF($G486="","",IF(AND($G486&gt;=30,$AT$3&lt;=DW$7),ROUND(DW486*($AP$3+#REF!),-1),""))</f>
        <v/>
      </c>
      <c r="DY486" s="517"/>
      <c r="DZ486" s="503" t="str">
        <f>IF($G486="","",IF(AND($G486&gt;=30,$AT$3&lt;=DY$7),ROUND(DY486*($AP$3+#REF!),-1),""))</f>
        <v/>
      </c>
      <c r="EA486" s="517"/>
      <c r="EB486" s="503" t="str">
        <f>IF($G486="","",IF(AND($G486&gt;=30,$AT$3&lt;=EA$7),ROUND(EA486*($AP$3+#REF!),-1),""))</f>
        <v/>
      </c>
      <c r="EC486" s="436"/>
      <c r="ED486" s="436"/>
      <c r="EE486" s="394"/>
    </row>
    <row r="487" spans="1:135" ht="9.75" customHeight="1">
      <c r="A487" s="321" t="str">
        <f t="shared" si="110"/>
        <v/>
      </c>
      <c r="B487" s="567">
        <f>(ii!$D$13*12+V487)+1</f>
        <v>381</v>
      </c>
      <c r="C487" s="337">
        <f t="shared" si="114"/>
        <v>56948</v>
      </c>
      <c r="D487" s="484">
        <f t="shared" si="117"/>
        <v>2055</v>
      </c>
      <c r="E487" s="484">
        <f t="shared" si="115"/>
        <v>0.91666666666666663</v>
      </c>
      <c r="F487" s="484">
        <f t="shared" si="118"/>
        <v>2055.9166666666665</v>
      </c>
      <c r="G487" s="485" t="str">
        <f>IF(OR(C487&lt;$I$2,C487&gt;$J$3),"",(ii!$D$13*12+V487+1)/12)</f>
        <v/>
      </c>
      <c r="H487" s="486"/>
      <c r="I487" s="486"/>
      <c r="J487" s="487"/>
      <c r="K487" s="488"/>
      <c r="L487" s="548"/>
      <c r="M487" s="489" t="str">
        <f t="shared" si="119"/>
        <v/>
      </c>
      <c r="N487" s="490" t="s">
        <v>621</v>
      </c>
      <c r="O487" s="490" t="str">
        <f t="shared" si="112"/>
        <v/>
      </c>
      <c r="P487" s="491"/>
      <c r="Q487" s="491"/>
      <c r="R487" s="491" t="str">
        <f t="shared" si="113"/>
        <v/>
      </c>
      <c r="S487" s="528" t="str">
        <f t="shared" si="111"/>
        <v/>
      </c>
      <c r="T487" s="528" t="str">
        <f t="shared" si="109"/>
        <v/>
      </c>
      <c r="U487" s="493" t="str">
        <f>IF(H487="","",#REF!*12+#REF!+#REF!*12+#REF!)</f>
        <v/>
      </c>
      <c r="V487" s="338">
        <f>IF(ii!$J$3&gt;gg!C487,"",IF(AND((YEAR(C487)=YEAR($I$2)),MONTH(C487)=MONTH($I$2)),ii!$B$14*12+ii!$C$14+ii!$B$15*12+ii!$C$15-1,V486+1))</f>
        <v>380</v>
      </c>
      <c r="W487" s="339">
        <f t="shared" si="116"/>
        <v>31.666666666666668</v>
      </c>
      <c r="X487" s="494" t="s">
        <v>621</v>
      </c>
      <c r="Y487" s="495" t="s">
        <v>621</v>
      </c>
      <c r="Z487" s="496"/>
      <c r="AA487" s="497"/>
      <c r="AB487" s="498" t="e">
        <f t="shared" si="122"/>
        <v>#VALUE!</v>
      </c>
      <c r="AC487" s="484" t="str">
        <f t="shared" si="120"/>
        <v/>
      </c>
      <c r="AD487" s="495" t="str">
        <f t="shared" si="121"/>
        <v/>
      </c>
      <c r="AE487" s="499" t="s">
        <v>621</v>
      </c>
      <c r="AF487" s="500" t="s">
        <v>621</v>
      </c>
      <c r="AG487" s="556" t="s">
        <v>621</v>
      </c>
      <c r="AH487" s="503" t="str">
        <f>IF($G487="","",IF(AND($G487&gt;=30,$AT$3&lt;=AG$7),ROUND(AG487*($AP$3+#REF!),-1),""))</f>
        <v/>
      </c>
      <c r="AI487" s="506" t="s">
        <v>621</v>
      </c>
      <c r="AJ487" s="503" t="str">
        <f>IF($G487="","",IF(AND($G487&gt;=30,$AT$3&lt;=AI$7),ROUND(AI487*($AP$3+#REF!),-1),""))</f>
        <v/>
      </c>
      <c r="AK487" s="506" t="s">
        <v>621</v>
      </c>
      <c r="AL487" s="503" t="str">
        <f>IF($G487="","",IF(AND($G487&gt;=30,$AT$3&lt;=AK$7),ROUND(AK487*($AP$3+#REF!),-1),""))</f>
        <v/>
      </c>
      <c r="AM487" s="506" t="s">
        <v>621</v>
      </c>
      <c r="AN487" s="503" t="str">
        <f>IF($G487="","",IF(AND($G487&gt;=30,$AT$3&lt;=AM$7),ROUND(AM487*($AP$3+#REF!),-1),""))</f>
        <v/>
      </c>
      <c r="AO487" s="503" t="e">
        <v>#REF!</v>
      </c>
      <c r="AP487" s="503" t="str">
        <f>IF($G487="","",IF(AND($G487&gt;=30,$AT$3&lt;=AO$7),ROUND(AO487*($AP$3+#REF!),-1),""))</f>
        <v/>
      </c>
      <c r="AQ487" s="503" t="s">
        <v>621</v>
      </c>
      <c r="AR487" s="503" t="str">
        <f>IF($G487="","",IF(AND($G487&gt;=30,$AT$3&lt;=AQ$7),ROUND(AQ487*($AP$3+#REF!),-1),""))</f>
        <v/>
      </c>
      <c r="AS487" s="503" t="s">
        <v>621</v>
      </c>
      <c r="AT487" s="503" t="str">
        <f>IF($G487="","",IF(AND($G487&gt;=30,$AT$3&lt;=AS$7),ROUND(AS487*($AP$3+#REF!),-1),""))</f>
        <v/>
      </c>
      <c r="AU487" s="503" t="s">
        <v>621</v>
      </c>
      <c r="AV487" s="503" t="str">
        <f>IF($G487="","",IF(AND($G487&gt;=30,$AT$3&lt;=AU$7),ROUND(AU487*($AP$3+#REF!),-1),""))</f>
        <v/>
      </c>
      <c r="AW487" s="503" t="s">
        <v>621</v>
      </c>
      <c r="AX487" s="503" t="str">
        <f>IF($G487="","",IF(AND($G487&gt;=30,$AT$3&lt;=AW$7),ROUND(AW487*($AP$3+#REF!),-1),""))</f>
        <v/>
      </c>
      <c r="AY487" s="503" t="s">
        <v>621</v>
      </c>
      <c r="AZ487" s="503" t="str">
        <f>IF($G487="","",IF(AND($G487&gt;=30,$AT$3&lt;=AY$7),ROUND(AY487*($AP$3+#REF!),-1),""))</f>
        <v/>
      </c>
      <c r="BA487" s="503" t="s">
        <v>621</v>
      </c>
      <c r="BB487" s="503" t="str">
        <f>IF($G487="","",IF(AND($G487&gt;=30,$AT$3&lt;=BA$7),ROUND(BA487*($AP$3+#REF!),-1),""))</f>
        <v/>
      </c>
      <c r="BC487" s="503" t="s">
        <v>621</v>
      </c>
      <c r="BD487" s="503" t="str">
        <f>IF($G487="","",IF(AND($G487&gt;=30,$AT$3&lt;=BC$7),ROUND(BC487*($AP$3+#REF!),-1),""))</f>
        <v/>
      </c>
      <c r="BE487" s="503" t="s">
        <v>621</v>
      </c>
      <c r="BF487" s="503" t="str">
        <f>IF($G487="","",IF(AND($G487&gt;=30,$AT$3&lt;=BE$7),ROUND(BE487*($AP$3+#REF!),-1),""))</f>
        <v/>
      </c>
      <c r="BG487" s="503" t="s">
        <v>621</v>
      </c>
      <c r="BH487" s="503" t="str">
        <f>IF($G487="","",IF(AND($G487&gt;=30,$AT$3&lt;=BG$7),ROUND(BG487*($AP$3+#REF!),-1),""))</f>
        <v/>
      </c>
      <c r="BI487" s="503" t="s">
        <v>621</v>
      </c>
      <c r="BJ487" s="503" t="str">
        <f>IF($G487="","",IF(AND($G487&gt;=30,$AT$3&lt;=BI$7),ROUND(BI487*($AP$3+#REF!),-1),""))</f>
        <v/>
      </c>
      <c r="BK487" s="503" t="s">
        <v>621</v>
      </c>
      <c r="BL487" s="503" t="str">
        <f>IF($G487="","",IF(AND($G487&gt;=30,$AT$3&lt;=BK$7),ROUND(BK487*($AP$3+#REF!),-1),""))</f>
        <v/>
      </c>
      <c r="BM487" s="503" t="s">
        <v>621</v>
      </c>
      <c r="BN487" s="503" t="str">
        <f>IF($G487="","",IF(AND($G487&gt;=30,$AT$3&lt;=BM$7),ROUND(BM487*($AP$3+#REF!),-1),""))</f>
        <v/>
      </c>
      <c r="BO487" s="503" t="s">
        <v>621</v>
      </c>
      <c r="BP487" s="503" t="str">
        <f>IF($G487="","",IF(AND($G487&gt;=30,$AT$3&lt;=BO$7),ROUND(BO487*($AP$3+#REF!),-1),""))</f>
        <v/>
      </c>
      <c r="BQ487" s="503" t="s">
        <v>621</v>
      </c>
      <c r="BR487" s="503" t="str">
        <f>IF($G487="","",IF(AND($G487&gt;=30,$AT$3&lt;=BQ$7),ROUND(BQ487*($AP$3+#REF!),-1),""))</f>
        <v/>
      </c>
      <c r="BS487" s="503" t="s">
        <v>621</v>
      </c>
      <c r="BT487" s="503" t="str">
        <f>IF($G487="","",IF(AND($G487&gt;=30,$AT$3&lt;=BS$7),ROUND(BS487*($AP$3+#REF!),-1),""))</f>
        <v/>
      </c>
      <c r="BU487" s="503" t="s">
        <v>621</v>
      </c>
      <c r="BV487" s="503" t="str">
        <f>IF($G487="","",IF(AND($G487&gt;=30,$AT$3&lt;=BU$7),ROUND(BU487*($AP$3+#REF!),-1),""))</f>
        <v/>
      </c>
      <c r="BW487" s="503" t="s">
        <v>621</v>
      </c>
      <c r="BX487" s="503" t="str">
        <f>IF($G487="","",IF(AND($G487&gt;=30,$AT$3&lt;=BW$7),ROUND(BW487*($AP$3+#REF!),-1),""))</f>
        <v/>
      </c>
      <c r="BY487" s="503" t="s">
        <v>621</v>
      </c>
      <c r="BZ487" s="503" t="str">
        <f>IF($G487="","",IF(AND($G487&gt;=30,$AT$3&lt;=BY$7),ROUND(BY487*($AP$3+#REF!),-1),""))</f>
        <v/>
      </c>
      <c r="CA487" s="503" t="s">
        <v>621</v>
      </c>
      <c r="CB487" s="503" t="str">
        <f>IF($G487="","",IF(AND($G487&gt;=30,$AT$3&lt;=CA$7),ROUND(CA487*($AP$3+#REF!),-1),""))</f>
        <v/>
      </c>
      <c r="CC487" s="503" t="s">
        <v>621</v>
      </c>
      <c r="CD487" s="503" t="str">
        <f>IF($G487="","",IF(AND($G487&gt;=30,$AT$3&lt;=CC$7),ROUND(CC487*($AP$3+#REF!),-1),""))</f>
        <v/>
      </c>
      <c r="CE487" s="503" t="s">
        <v>621</v>
      </c>
      <c r="CF487" s="503" t="str">
        <f>IF($G487="","",IF(AND($G487&gt;=30,$AT$3&lt;=CE$7),ROUND(CE487*($AP$3+#REF!),-1),""))</f>
        <v/>
      </c>
      <c r="CG487" s="503" t="s">
        <v>621</v>
      </c>
      <c r="CH487" s="503" t="str">
        <f>IF($G487="","",IF(AND($G487&gt;=30,$AT$3&lt;=CG$7),ROUND(CG487*($AP$3+#REF!),-1),""))</f>
        <v/>
      </c>
      <c r="CI487" s="503" t="s">
        <v>621</v>
      </c>
      <c r="CJ487" s="503" t="str">
        <f>IF($G487="","",IF(AND($G487&gt;=30,$AT$3&lt;=CI$7),ROUND(CI487*($AP$3+#REF!),-1),""))</f>
        <v/>
      </c>
      <c r="CK487" s="503" t="s">
        <v>621</v>
      </c>
      <c r="CL487" s="503" t="str">
        <f>IF($G487="","",IF(AND($G487&gt;=30,$AT$3&lt;=CK$7),ROUND(CK487*($AP$3+#REF!),-1),""))</f>
        <v/>
      </c>
      <c r="CM487" s="503" t="s">
        <v>621</v>
      </c>
      <c r="CN487" s="503" t="str">
        <f>IF($G487="","",IF(AND($G487&gt;=30,$AT$3&lt;=CM$7),ROUND(CM487*($AP$3+#REF!),-1),""))</f>
        <v/>
      </c>
      <c r="CO487" s="503" t="s">
        <v>621</v>
      </c>
      <c r="CP487" s="503" t="str">
        <f>IF($G487="","",IF(AND($G487&gt;=30,$AT$3&lt;=CO$7),ROUND(CO487*($AP$3+#REF!),-1),""))</f>
        <v/>
      </c>
      <c r="CQ487" s="503" t="s">
        <v>621</v>
      </c>
      <c r="CR487" s="503" t="str">
        <f>IF($G487="","",IF(AND($G487&gt;=30,$AT$3&lt;=CQ$7),ROUND(CQ487*($AP$3+#REF!),-1),""))</f>
        <v/>
      </c>
      <c r="CS487" s="503" t="s">
        <v>621</v>
      </c>
      <c r="CT487" s="503" t="str">
        <f>IF($G487="","",IF(AND($G487&gt;=30,$AT$3&lt;=CS$7),ROUND(CS487*($AP$3+#REF!),-1),""))</f>
        <v/>
      </c>
      <c r="CU487" s="503" t="s">
        <v>621</v>
      </c>
      <c r="CV487" s="503" t="str">
        <f>IF($G487="","",IF(AND($G487&gt;=30,$AT$3&lt;=CU$7),ROUND(CU487*($AP$3+#REF!),-1),""))</f>
        <v/>
      </c>
      <c r="CW487" s="503" t="s">
        <v>621</v>
      </c>
      <c r="CX487" s="503" t="str">
        <f>IF($G487="","",IF(AND($G487&gt;=30,$AT$3&lt;=CW$7),ROUND(CW487*($AP$3+#REF!),-1),""))</f>
        <v/>
      </c>
      <c r="CY487" s="503" t="s">
        <v>621</v>
      </c>
      <c r="CZ487" s="503" t="str">
        <f>IF($G487="","",IF(AND($G487&gt;=30,$AT$3&lt;=CY$7),ROUND(CY487*($AP$3+#REF!),-1),""))</f>
        <v/>
      </c>
      <c r="DA487" s="503" t="s">
        <v>621</v>
      </c>
      <c r="DB487" s="503" t="str">
        <f>IF($G487="","",IF(AND($G487&gt;=30,$AT$3&lt;=DA$7),ROUND(DA487*($AP$3+#REF!),-1),""))</f>
        <v/>
      </c>
      <c r="DC487" s="503" t="s">
        <v>621</v>
      </c>
      <c r="DD487" s="503" t="str">
        <f>IF($G487="","",IF(AND($G487&gt;=30,$AT$3&lt;=DC$7),ROUND(DC487*($AP$3+#REF!),-1),""))</f>
        <v/>
      </c>
      <c r="DE487" s="503" t="s">
        <v>621</v>
      </c>
      <c r="DF487" s="503" t="str">
        <f>IF($G487="","",IF(AND($G487&gt;=30,$AT$3&lt;=DE$7),ROUND(DE487*($AP$3+#REF!),-1),""))</f>
        <v/>
      </c>
      <c r="DG487" s="517" t="e">
        <v>#REF!</v>
      </c>
      <c r="DH487" s="503" t="str">
        <f>IF($G487="","",IF(AND($G487&gt;=30,$AT$3&lt;=DG$7),ROUND(DG487*($AP$3+#REF!),-1),""))</f>
        <v/>
      </c>
      <c r="DI487" s="517"/>
      <c r="DJ487" s="503" t="str">
        <f>IF($G487="","",IF(AND($G487&gt;=30,$AT$3&lt;=DI$7),ROUND(DI487*($AP$3+#REF!),-1),""))</f>
        <v/>
      </c>
      <c r="DK487" s="517"/>
      <c r="DL487" s="503" t="str">
        <f>IF($G487="","",IF(AND($G487&gt;=30,$AT$3&lt;=DK$7),ROUND(DK487*($AP$3+#REF!),-1),""))</f>
        <v/>
      </c>
      <c r="DM487" s="517"/>
      <c r="DN487" s="503" t="str">
        <f>IF($G487="","",IF(AND($G487&gt;=30,$AT$3&lt;=DM$7),ROUND(DM487*($AP$3+#REF!),-1),""))</f>
        <v/>
      </c>
      <c r="DO487" s="517"/>
      <c r="DP487" s="503" t="str">
        <f>IF($G487="","",IF(AND($G487&gt;=30,$AT$3&lt;=DO$7),ROUND(DO487*($AP$3+#REF!),-1),""))</f>
        <v/>
      </c>
      <c r="DQ487" s="517"/>
      <c r="DR487" s="503" t="str">
        <f>IF($G487="","",IF(AND($G487&gt;=30,$AT$3&lt;=DQ$7),ROUND(DQ487*($AP$3+#REF!),-1),""))</f>
        <v/>
      </c>
      <c r="DS487" s="517"/>
      <c r="DT487" s="503" t="str">
        <f>IF($G487="","",IF(AND($G487&gt;=30,$AT$3&lt;=DS$7),ROUND(DS487*($AP$3+#REF!),-1),""))</f>
        <v/>
      </c>
      <c r="DU487" s="517"/>
      <c r="DV487" s="503" t="str">
        <f>IF($G487="","",IF(AND($G487&gt;=30,$AT$3&lt;=DU$7),ROUND(DU487*($AP$3+#REF!),-1),""))</f>
        <v/>
      </c>
      <c r="DW487" s="517"/>
      <c r="DX487" s="503" t="str">
        <f>IF($G487="","",IF(AND($G487&gt;=30,$AT$3&lt;=DW$7),ROUND(DW487*($AP$3+#REF!),-1),""))</f>
        <v/>
      </c>
      <c r="DY487" s="517"/>
      <c r="DZ487" s="503" t="str">
        <f>IF($G487="","",IF(AND($G487&gt;=30,$AT$3&lt;=DY$7),ROUND(DY487*($AP$3+#REF!),-1),""))</f>
        <v/>
      </c>
      <c r="EA487" s="517"/>
      <c r="EB487" s="503" t="str">
        <f>IF($G487="","",IF(AND($G487&gt;=30,$AT$3&lt;=EA$7),ROUND(EA487*($AP$3+#REF!),-1),""))</f>
        <v/>
      </c>
      <c r="EC487" s="436"/>
      <c r="ED487" s="436"/>
      <c r="EE487" s="394"/>
    </row>
    <row r="488" spans="1:135" ht="9.75" customHeight="1">
      <c r="A488" s="321" t="str">
        <f t="shared" si="110"/>
        <v/>
      </c>
      <c r="B488" s="567">
        <f>(ii!$D$13*12+V488)+1</f>
        <v>382</v>
      </c>
      <c r="C488" s="337">
        <f t="shared" si="114"/>
        <v>56979</v>
      </c>
      <c r="D488" s="484">
        <f t="shared" si="117"/>
        <v>2055</v>
      </c>
      <c r="E488" s="484">
        <f t="shared" si="115"/>
        <v>1</v>
      </c>
      <c r="F488" s="484">
        <f t="shared" si="118"/>
        <v>2056</v>
      </c>
      <c r="G488" s="485" t="str">
        <f>IF(OR(C488&lt;$I$2,C488&gt;$J$3),"",(ii!$D$13*12+V488+1)/12)</f>
        <v/>
      </c>
      <c r="H488" s="486"/>
      <c r="I488" s="486"/>
      <c r="J488" s="487"/>
      <c r="K488" s="488"/>
      <c r="L488" s="548"/>
      <c r="M488" s="489" t="str">
        <f t="shared" si="119"/>
        <v/>
      </c>
      <c r="N488" s="490" t="s">
        <v>621</v>
      </c>
      <c r="O488" s="490" t="str">
        <f t="shared" si="112"/>
        <v/>
      </c>
      <c r="P488" s="491"/>
      <c r="Q488" s="491"/>
      <c r="R488" s="491" t="str">
        <f t="shared" si="113"/>
        <v/>
      </c>
      <c r="S488" s="528" t="str">
        <f t="shared" si="111"/>
        <v/>
      </c>
      <c r="T488" s="528" t="str">
        <f t="shared" si="109"/>
        <v/>
      </c>
      <c r="U488" s="493" t="str">
        <f>IF(H488="","",#REF!*12+#REF!+#REF!*12+#REF!)</f>
        <v/>
      </c>
      <c r="V488" s="338">
        <f>IF(ii!$J$3&gt;gg!C488,"",IF(AND((YEAR(C488)=YEAR($I$2)),MONTH(C488)=MONTH($I$2)),ii!$B$14*12+ii!$C$14+ii!$B$15*12+ii!$C$15-1,V487+1))</f>
        <v>381</v>
      </c>
      <c r="W488" s="339">
        <f t="shared" si="116"/>
        <v>31.75</v>
      </c>
      <c r="X488" s="494" t="s">
        <v>621</v>
      </c>
      <c r="Y488" s="495" t="s">
        <v>621</v>
      </c>
      <c r="Z488" s="496"/>
      <c r="AA488" s="497"/>
      <c r="AB488" s="498" t="e">
        <f t="shared" si="122"/>
        <v>#VALUE!</v>
      </c>
      <c r="AC488" s="484" t="str">
        <f t="shared" si="120"/>
        <v/>
      </c>
      <c r="AD488" s="495" t="str">
        <f t="shared" si="121"/>
        <v/>
      </c>
      <c r="AE488" s="499" t="s">
        <v>621</v>
      </c>
      <c r="AF488" s="500" t="s">
        <v>621</v>
      </c>
      <c r="AG488" s="556" t="s">
        <v>621</v>
      </c>
      <c r="AH488" s="503" t="str">
        <f>IF($G488="","",IF(AND($G488&gt;=30,$AT$3&lt;=AG$7),ROUND(AG488*($AP$3+#REF!),-1),""))</f>
        <v/>
      </c>
      <c r="AI488" s="506" t="s">
        <v>621</v>
      </c>
      <c r="AJ488" s="503" t="str">
        <f>IF($G488="","",IF(AND($G488&gt;=30,$AT$3&lt;=AI$7),ROUND(AI488*($AP$3+#REF!),-1),""))</f>
        <v/>
      </c>
      <c r="AK488" s="506" t="s">
        <v>621</v>
      </c>
      <c r="AL488" s="503" t="str">
        <f>IF($G488="","",IF(AND($G488&gt;=30,$AT$3&lt;=AK$7),ROUND(AK488*($AP$3+#REF!),-1),""))</f>
        <v/>
      </c>
      <c r="AM488" s="506" t="s">
        <v>621</v>
      </c>
      <c r="AN488" s="503" t="str">
        <f>IF($G488="","",IF(AND($G488&gt;=30,$AT$3&lt;=AM$7),ROUND(AM488*($AP$3+#REF!),-1),""))</f>
        <v/>
      </c>
      <c r="AO488" s="503" t="e">
        <v>#REF!</v>
      </c>
      <c r="AP488" s="503" t="str">
        <f>IF($G488="","",IF(AND($G488&gt;=30,$AT$3&lt;=AO$7),ROUND(AO488*($AP$3+#REF!),-1),""))</f>
        <v/>
      </c>
      <c r="AQ488" s="503" t="s">
        <v>621</v>
      </c>
      <c r="AR488" s="503" t="str">
        <f>IF($G488="","",IF(AND($G488&gt;=30,$AT$3&lt;=AQ$7),ROUND(AQ488*($AP$3+#REF!),-1),""))</f>
        <v/>
      </c>
      <c r="AS488" s="503" t="s">
        <v>621</v>
      </c>
      <c r="AT488" s="503" t="str">
        <f>IF($G488="","",IF(AND($G488&gt;=30,$AT$3&lt;=AS$7),ROUND(AS488*($AP$3+#REF!),-1),""))</f>
        <v/>
      </c>
      <c r="AU488" s="503" t="s">
        <v>621</v>
      </c>
      <c r="AV488" s="503" t="str">
        <f>IF($G488="","",IF(AND($G488&gt;=30,$AT$3&lt;=AU$7),ROUND(AU488*($AP$3+#REF!),-1),""))</f>
        <v/>
      </c>
      <c r="AW488" s="503" t="s">
        <v>621</v>
      </c>
      <c r="AX488" s="503" t="str">
        <f>IF($G488="","",IF(AND($G488&gt;=30,$AT$3&lt;=AW$7),ROUND(AW488*($AP$3+#REF!),-1),""))</f>
        <v/>
      </c>
      <c r="AY488" s="503" t="s">
        <v>621</v>
      </c>
      <c r="AZ488" s="503" t="str">
        <f>IF($G488="","",IF(AND($G488&gt;=30,$AT$3&lt;=AY$7),ROUND(AY488*($AP$3+#REF!),-1),""))</f>
        <v/>
      </c>
      <c r="BA488" s="503" t="s">
        <v>621</v>
      </c>
      <c r="BB488" s="503" t="str">
        <f>IF($G488="","",IF(AND($G488&gt;=30,$AT$3&lt;=BA$7),ROUND(BA488*($AP$3+#REF!),-1),""))</f>
        <v/>
      </c>
      <c r="BC488" s="503" t="s">
        <v>621</v>
      </c>
      <c r="BD488" s="503" t="str">
        <f>IF($G488="","",IF(AND($G488&gt;=30,$AT$3&lt;=BC$7),ROUND(BC488*($AP$3+#REF!),-1),""))</f>
        <v/>
      </c>
      <c r="BE488" s="503" t="s">
        <v>621</v>
      </c>
      <c r="BF488" s="503" t="str">
        <f>IF($G488="","",IF(AND($G488&gt;=30,$AT$3&lt;=BE$7),ROUND(BE488*($AP$3+#REF!),-1),""))</f>
        <v/>
      </c>
      <c r="BG488" s="503" t="s">
        <v>621</v>
      </c>
      <c r="BH488" s="503" t="str">
        <f>IF($G488="","",IF(AND($G488&gt;=30,$AT$3&lt;=BG$7),ROUND(BG488*($AP$3+#REF!),-1),""))</f>
        <v/>
      </c>
      <c r="BI488" s="503" t="s">
        <v>621</v>
      </c>
      <c r="BJ488" s="503" t="str">
        <f>IF($G488="","",IF(AND($G488&gt;=30,$AT$3&lt;=BI$7),ROUND(BI488*($AP$3+#REF!),-1),""))</f>
        <v/>
      </c>
      <c r="BK488" s="503" t="s">
        <v>621</v>
      </c>
      <c r="BL488" s="503" t="str">
        <f>IF($G488="","",IF(AND($G488&gt;=30,$AT$3&lt;=BK$7),ROUND(BK488*($AP$3+#REF!),-1),""))</f>
        <v/>
      </c>
      <c r="BM488" s="503" t="s">
        <v>621</v>
      </c>
      <c r="BN488" s="503" t="str">
        <f>IF($G488="","",IF(AND($G488&gt;=30,$AT$3&lt;=BM$7),ROUND(BM488*($AP$3+#REF!),-1),""))</f>
        <v/>
      </c>
      <c r="BO488" s="503" t="s">
        <v>621</v>
      </c>
      <c r="BP488" s="503" t="str">
        <f>IF($G488="","",IF(AND($G488&gt;=30,$AT$3&lt;=BO$7),ROUND(BO488*($AP$3+#REF!),-1),""))</f>
        <v/>
      </c>
      <c r="BQ488" s="503" t="s">
        <v>621</v>
      </c>
      <c r="BR488" s="503" t="str">
        <f>IF($G488="","",IF(AND($G488&gt;=30,$AT$3&lt;=BQ$7),ROUND(BQ488*($AP$3+#REF!),-1),""))</f>
        <v/>
      </c>
      <c r="BS488" s="503" t="s">
        <v>621</v>
      </c>
      <c r="BT488" s="503" t="str">
        <f>IF($G488="","",IF(AND($G488&gt;=30,$AT$3&lt;=BS$7),ROUND(BS488*($AP$3+#REF!),-1),""))</f>
        <v/>
      </c>
      <c r="BU488" s="503" t="s">
        <v>621</v>
      </c>
      <c r="BV488" s="503" t="str">
        <f>IF($G488="","",IF(AND($G488&gt;=30,$AT$3&lt;=BU$7),ROUND(BU488*($AP$3+#REF!),-1),""))</f>
        <v/>
      </c>
      <c r="BW488" s="503" t="s">
        <v>621</v>
      </c>
      <c r="BX488" s="503" t="str">
        <f>IF($G488="","",IF(AND($G488&gt;=30,$AT$3&lt;=BW$7),ROUND(BW488*($AP$3+#REF!),-1),""))</f>
        <v/>
      </c>
      <c r="BY488" s="503" t="s">
        <v>621</v>
      </c>
      <c r="BZ488" s="503" t="str">
        <f>IF($G488="","",IF(AND($G488&gt;=30,$AT$3&lt;=BY$7),ROUND(BY488*($AP$3+#REF!),-1),""))</f>
        <v/>
      </c>
      <c r="CA488" s="503" t="s">
        <v>621</v>
      </c>
      <c r="CB488" s="503" t="str">
        <f>IF($G488="","",IF(AND($G488&gt;=30,$AT$3&lt;=CA$7),ROUND(CA488*($AP$3+#REF!),-1),""))</f>
        <v/>
      </c>
      <c r="CC488" s="503" t="s">
        <v>621</v>
      </c>
      <c r="CD488" s="503" t="str">
        <f>IF($G488="","",IF(AND($G488&gt;=30,$AT$3&lt;=CC$7),ROUND(CC488*($AP$3+#REF!),-1),""))</f>
        <v/>
      </c>
      <c r="CE488" s="503" t="s">
        <v>621</v>
      </c>
      <c r="CF488" s="503" t="str">
        <f>IF($G488="","",IF(AND($G488&gt;=30,$AT$3&lt;=CE$7),ROUND(CE488*($AP$3+#REF!),-1),""))</f>
        <v/>
      </c>
      <c r="CG488" s="503" t="s">
        <v>621</v>
      </c>
      <c r="CH488" s="503" t="str">
        <f>IF($G488="","",IF(AND($G488&gt;=30,$AT$3&lt;=CG$7),ROUND(CG488*($AP$3+#REF!),-1),""))</f>
        <v/>
      </c>
      <c r="CI488" s="503" t="s">
        <v>621</v>
      </c>
      <c r="CJ488" s="503" t="str">
        <f>IF($G488="","",IF(AND($G488&gt;=30,$AT$3&lt;=CI$7),ROUND(CI488*($AP$3+#REF!),-1),""))</f>
        <v/>
      </c>
      <c r="CK488" s="503" t="s">
        <v>621</v>
      </c>
      <c r="CL488" s="503" t="str">
        <f>IF($G488="","",IF(AND($G488&gt;=30,$AT$3&lt;=CK$7),ROUND(CK488*($AP$3+#REF!),-1),""))</f>
        <v/>
      </c>
      <c r="CM488" s="503" t="s">
        <v>621</v>
      </c>
      <c r="CN488" s="503" t="str">
        <f>IF($G488="","",IF(AND($G488&gt;=30,$AT$3&lt;=CM$7),ROUND(CM488*($AP$3+#REF!),-1),""))</f>
        <v/>
      </c>
      <c r="CO488" s="503" t="s">
        <v>621</v>
      </c>
      <c r="CP488" s="503" t="str">
        <f>IF($G488="","",IF(AND($G488&gt;=30,$AT$3&lt;=CO$7),ROUND(CO488*($AP$3+#REF!),-1),""))</f>
        <v/>
      </c>
      <c r="CQ488" s="503" t="s">
        <v>621</v>
      </c>
      <c r="CR488" s="503" t="str">
        <f>IF($G488="","",IF(AND($G488&gt;=30,$AT$3&lt;=CQ$7),ROUND(CQ488*($AP$3+#REF!),-1),""))</f>
        <v/>
      </c>
      <c r="CS488" s="503" t="s">
        <v>621</v>
      </c>
      <c r="CT488" s="503" t="str">
        <f>IF($G488="","",IF(AND($G488&gt;=30,$AT$3&lt;=CS$7),ROUND(CS488*($AP$3+#REF!),-1),""))</f>
        <v/>
      </c>
      <c r="CU488" s="503" t="s">
        <v>621</v>
      </c>
      <c r="CV488" s="503" t="str">
        <f>IF($G488="","",IF(AND($G488&gt;=30,$AT$3&lt;=CU$7),ROUND(CU488*($AP$3+#REF!),-1),""))</f>
        <v/>
      </c>
      <c r="CW488" s="503" t="s">
        <v>621</v>
      </c>
      <c r="CX488" s="503" t="str">
        <f>IF($G488="","",IF(AND($G488&gt;=30,$AT$3&lt;=CW$7),ROUND(CW488*($AP$3+#REF!),-1),""))</f>
        <v/>
      </c>
      <c r="CY488" s="503" t="s">
        <v>621</v>
      </c>
      <c r="CZ488" s="503" t="str">
        <f>IF($G488="","",IF(AND($G488&gt;=30,$AT$3&lt;=CY$7),ROUND(CY488*($AP$3+#REF!),-1),""))</f>
        <v/>
      </c>
      <c r="DA488" s="503" t="s">
        <v>621</v>
      </c>
      <c r="DB488" s="503" t="str">
        <f>IF($G488="","",IF(AND($G488&gt;=30,$AT$3&lt;=DA$7),ROUND(DA488*($AP$3+#REF!),-1),""))</f>
        <v/>
      </c>
      <c r="DC488" s="503" t="s">
        <v>621</v>
      </c>
      <c r="DD488" s="503" t="str">
        <f>IF($G488="","",IF(AND($G488&gt;=30,$AT$3&lt;=DC$7),ROUND(DC488*($AP$3+#REF!),-1),""))</f>
        <v/>
      </c>
      <c r="DE488" s="503" t="s">
        <v>621</v>
      </c>
      <c r="DF488" s="503" t="str">
        <f>IF($G488="","",IF(AND($G488&gt;=30,$AT$3&lt;=DE$7),ROUND(DE488*($AP$3+#REF!),-1),""))</f>
        <v/>
      </c>
      <c r="DG488" s="517" t="e">
        <v>#REF!</v>
      </c>
      <c r="DH488" s="503" t="str">
        <f>IF($G488="","",IF(AND($G488&gt;=30,$AT$3&lt;=DG$7),ROUND(DG488*($AP$3+#REF!),-1),""))</f>
        <v/>
      </c>
      <c r="DI488" s="517"/>
      <c r="DJ488" s="503" t="str">
        <f>IF($G488="","",IF(AND($G488&gt;=30,$AT$3&lt;=DI$7),ROUND(DI488*($AP$3+#REF!),-1),""))</f>
        <v/>
      </c>
      <c r="DK488" s="517"/>
      <c r="DL488" s="503" t="str">
        <f>IF($G488="","",IF(AND($G488&gt;=30,$AT$3&lt;=DK$7),ROUND(DK488*($AP$3+#REF!),-1),""))</f>
        <v/>
      </c>
      <c r="DM488" s="517"/>
      <c r="DN488" s="503" t="str">
        <f>IF($G488="","",IF(AND($G488&gt;=30,$AT$3&lt;=DM$7),ROUND(DM488*($AP$3+#REF!),-1),""))</f>
        <v/>
      </c>
      <c r="DO488" s="517"/>
      <c r="DP488" s="503" t="str">
        <f>IF($G488="","",IF(AND($G488&gt;=30,$AT$3&lt;=DO$7),ROUND(DO488*($AP$3+#REF!),-1),""))</f>
        <v/>
      </c>
      <c r="DQ488" s="517"/>
      <c r="DR488" s="503" t="str">
        <f>IF($G488="","",IF(AND($G488&gt;=30,$AT$3&lt;=DQ$7),ROUND(DQ488*($AP$3+#REF!),-1),""))</f>
        <v/>
      </c>
      <c r="DS488" s="517"/>
      <c r="DT488" s="503" t="str">
        <f>IF($G488="","",IF(AND($G488&gt;=30,$AT$3&lt;=DS$7),ROUND(DS488*($AP$3+#REF!),-1),""))</f>
        <v/>
      </c>
      <c r="DU488" s="517"/>
      <c r="DV488" s="503" t="str">
        <f>IF($G488="","",IF(AND($G488&gt;=30,$AT$3&lt;=DU$7),ROUND(DU488*($AP$3+#REF!),-1),""))</f>
        <v/>
      </c>
      <c r="DW488" s="517"/>
      <c r="DX488" s="503" t="str">
        <f>IF($G488="","",IF(AND($G488&gt;=30,$AT$3&lt;=DW$7),ROUND(DW488*($AP$3+#REF!),-1),""))</f>
        <v/>
      </c>
      <c r="DY488" s="517"/>
      <c r="DZ488" s="503" t="str">
        <f>IF($G488="","",IF(AND($G488&gt;=30,$AT$3&lt;=DY$7),ROUND(DY488*($AP$3+#REF!),-1),""))</f>
        <v/>
      </c>
      <c r="EA488" s="517"/>
      <c r="EB488" s="503" t="str">
        <f>IF($G488="","",IF(AND($G488&gt;=30,$AT$3&lt;=EA$7),ROUND(EA488*($AP$3+#REF!),-1),""))</f>
        <v/>
      </c>
      <c r="EC488" s="436"/>
      <c r="ED488" s="436"/>
      <c r="EE488" s="394"/>
    </row>
    <row r="489" spans="1:135" ht="9.75" customHeight="1">
      <c r="A489" s="321" t="str">
        <f t="shared" si="110"/>
        <v/>
      </c>
      <c r="B489" s="569">
        <f>(ii!$D$13*12+V489)+1</f>
        <v>383</v>
      </c>
      <c r="C489" s="345">
        <f t="shared" si="114"/>
        <v>57010</v>
      </c>
      <c r="D489" s="340">
        <f t="shared" si="117"/>
        <v>2056</v>
      </c>
      <c r="E489" s="340">
        <f t="shared" si="115"/>
        <v>8.3333333333333329E-2</v>
      </c>
      <c r="F489" s="340">
        <f t="shared" si="118"/>
        <v>2056.0833333333335</v>
      </c>
      <c r="G489" s="531" t="str">
        <f>IF(OR(C489&lt;$I$2,C489&gt;$J$3),"",(ii!$D$13*12+V489+1)/12)</f>
        <v/>
      </c>
      <c r="H489" s="532"/>
      <c r="I489" s="532"/>
      <c r="J489" s="533"/>
      <c r="K489" s="553"/>
      <c r="L489" s="534"/>
      <c r="M489" s="489" t="str">
        <f t="shared" si="119"/>
        <v/>
      </c>
      <c r="N489" s="536" t="s">
        <v>621</v>
      </c>
      <c r="O489" s="490" t="str">
        <f t="shared" si="112"/>
        <v/>
      </c>
      <c r="P489" s="537"/>
      <c r="Q489" s="537"/>
      <c r="R489" s="533" t="str">
        <f t="shared" si="113"/>
        <v/>
      </c>
      <c r="S489" s="538" t="str">
        <f t="shared" si="111"/>
        <v/>
      </c>
      <c r="T489" s="538" t="str">
        <f t="shared" si="109"/>
        <v/>
      </c>
      <c r="U489" s="539" t="str">
        <f>IF(H489="","",#REF!*12+#REF!+#REF!*12+#REF!)</f>
        <v/>
      </c>
      <c r="V489" s="338">
        <f>IF(ii!$J$3&gt;gg!C489,"",IF(AND((YEAR(C489)=YEAR($I$2)),MONTH(C489)=MONTH($I$2)),ii!$B$14*12+ii!$C$14+ii!$B$15*12+ii!$C$15-1,V488+1))</f>
        <v>382</v>
      </c>
      <c r="W489" s="339">
        <f t="shared" si="116"/>
        <v>31.833333333333332</v>
      </c>
      <c r="X489" s="540" t="s">
        <v>621</v>
      </c>
      <c r="Y489" s="538" t="s">
        <v>621</v>
      </c>
      <c r="Z489" s="541">
        <f>Z477+$Z$26</f>
        <v>1.1400000000000008</v>
      </c>
      <c r="AA489" s="542" t="str">
        <f>IF(Y489="","",(Y489-Y488)/Y488)</f>
        <v/>
      </c>
      <c r="AB489" s="543" t="e">
        <f t="shared" si="122"/>
        <v>#VALUE!</v>
      </c>
      <c r="AC489" s="544" t="str">
        <f t="shared" si="120"/>
        <v/>
      </c>
      <c r="AD489" s="538" t="str">
        <f t="shared" si="121"/>
        <v/>
      </c>
      <c r="AE489" s="545" t="s">
        <v>621</v>
      </c>
      <c r="AF489" s="546" t="s">
        <v>621</v>
      </c>
      <c r="AG489" s="558" t="s">
        <v>621</v>
      </c>
      <c r="AH489" s="547" t="str">
        <f>IF($G489="","",IF(AND($G489&gt;=30,$AT$3&lt;=AG$7),ROUND(AG489*($AP$3+#REF!),-1),""))</f>
        <v/>
      </c>
      <c r="AI489" s="558" t="s">
        <v>621</v>
      </c>
      <c r="AJ489" s="547" t="str">
        <f>IF($G489="","",IF(AND($G489&gt;=30,$AT$3&lt;=AI$7),ROUND(AI489*($AP$3+#REF!),-1),""))</f>
        <v/>
      </c>
      <c r="AK489" s="560" t="s">
        <v>621</v>
      </c>
      <c r="AL489" s="547" t="str">
        <f>IF($G489="","",IF(AND($G489&gt;=30,$AT$3&lt;=AK$7),ROUND(AK489*($AP$3+#REF!),-1),""))</f>
        <v/>
      </c>
      <c r="AM489" s="560" t="s">
        <v>621</v>
      </c>
      <c r="AN489" s="547" t="str">
        <f>IF($G489="","",IF(AND($G489&gt;=30,$AT$3&lt;=AM$7),ROUND(AM489*($AP$3+#REF!),-1),""))</f>
        <v/>
      </c>
      <c r="AO489" s="547" t="e">
        <v>#REF!</v>
      </c>
      <c r="AP489" s="547" t="str">
        <f>IF($G489="","",IF(AND($G489&gt;=30,$AT$3&lt;=AO$7),ROUND(AO489*($AP$3+#REF!),-1),""))</f>
        <v/>
      </c>
      <c r="AQ489" s="547" t="s">
        <v>621</v>
      </c>
      <c r="AR489" s="547" t="str">
        <f>IF($G489="","",IF(AND($G489&gt;=30,$AT$3&lt;=AQ$7),ROUND(AQ489*($AP$3+#REF!),-1),""))</f>
        <v/>
      </c>
      <c r="AS489" s="547" t="s">
        <v>621</v>
      </c>
      <c r="AT489" s="547" t="str">
        <f>IF($G489="","",IF(AND($G489&gt;=30,$AT$3&lt;=AS$7),ROUND(AS489*($AP$3+#REF!),-1),""))</f>
        <v/>
      </c>
      <c r="AU489" s="547" t="s">
        <v>621</v>
      </c>
      <c r="AV489" s="547" t="str">
        <f>IF($G489="","",IF(AND($G489&gt;=30,$AT$3&lt;=AU$7),ROUND(AU489*($AP$3+#REF!),-1),""))</f>
        <v/>
      </c>
      <c r="AW489" s="547" t="s">
        <v>621</v>
      </c>
      <c r="AX489" s="547" t="str">
        <f>IF($G489="","",IF(AND($G489&gt;=30,$AT$3&lt;=AW$7),ROUND(AW489*($AP$3+#REF!),-1),""))</f>
        <v/>
      </c>
      <c r="AY489" s="547" t="s">
        <v>621</v>
      </c>
      <c r="AZ489" s="547" t="str">
        <f>IF($G489="","",IF(AND($G489&gt;=30,$AT$3&lt;=AY$7),ROUND(AY489*($AP$3+#REF!),-1),""))</f>
        <v/>
      </c>
      <c r="BA489" s="547" t="s">
        <v>621</v>
      </c>
      <c r="BB489" s="547" t="str">
        <f>IF($G489="","",IF(AND($G489&gt;=30,$AT$3&lt;=BA$7),ROUND(BA489*($AP$3+#REF!),-1),""))</f>
        <v/>
      </c>
      <c r="BC489" s="547" t="s">
        <v>621</v>
      </c>
      <c r="BD489" s="547" t="str">
        <f>IF($G489="","",IF(AND($G489&gt;=30,$AT$3&lt;=BC$7),ROUND(BC489*($AP$3+#REF!),-1),""))</f>
        <v/>
      </c>
      <c r="BE489" s="547" t="s">
        <v>621</v>
      </c>
      <c r="BF489" s="547" t="str">
        <f>IF($G489="","",IF(AND($G489&gt;=30,$AT$3&lt;=BE$7),ROUND(BE489*($AP$3+#REF!),-1),""))</f>
        <v/>
      </c>
      <c r="BG489" s="547" t="s">
        <v>621</v>
      </c>
      <c r="BH489" s="547" t="str">
        <f>IF($G489="","",IF(AND($G489&gt;=30,$AT$3&lt;=BG$7),ROUND(BG489*($AP$3+#REF!),-1),""))</f>
        <v/>
      </c>
      <c r="BI489" s="547" t="s">
        <v>621</v>
      </c>
      <c r="BJ489" s="547" t="str">
        <f>IF($G489="","",IF(AND($G489&gt;=30,$AT$3&lt;=BI$7),ROUND(BI489*($AP$3+#REF!),-1),""))</f>
        <v/>
      </c>
      <c r="BK489" s="547" t="s">
        <v>621</v>
      </c>
      <c r="BL489" s="547" t="str">
        <f>IF($G489="","",IF(AND($G489&gt;=30,$AT$3&lt;=BK$7),ROUND(BK489*($AP$3+#REF!),-1),""))</f>
        <v/>
      </c>
      <c r="BM489" s="547" t="s">
        <v>621</v>
      </c>
      <c r="BN489" s="547" t="str">
        <f>IF($G489="","",IF(AND($G489&gt;=30,$AT$3&lt;=BM$7),ROUND(BM489*($AP$3+#REF!),-1),""))</f>
        <v/>
      </c>
      <c r="BO489" s="547" t="s">
        <v>621</v>
      </c>
      <c r="BP489" s="547" t="str">
        <f>IF($G489="","",IF(AND($G489&gt;=30,$AT$3&lt;=BO$7),ROUND(BO489*($AP$3+#REF!),-1),""))</f>
        <v/>
      </c>
      <c r="BQ489" s="547" t="s">
        <v>621</v>
      </c>
      <c r="BR489" s="547" t="str">
        <f>IF($G489="","",IF(AND($G489&gt;=30,$AT$3&lt;=BQ$7),ROUND(BQ489*($AP$3+#REF!),-1),""))</f>
        <v/>
      </c>
      <c r="BS489" s="547" t="s">
        <v>621</v>
      </c>
      <c r="BT489" s="547" t="str">
        <f>IF($G489="","",IF(AND($G489&gt;=30,$AT$3&lt;=BS$7),ROUND(BS489*($AP$3+#REF!),-1),""))</f>
        <v/>
      </c>
      <c r="BU489" s="547" t="s">
        <v>621</v>
      </c>
      <c r="BV489" s="547" t="str">
        <f>IF($G489="","",IF(AND($G489&gt;=30,$AT$3&lt;=BU$7),ROUND(BU489*($AP$3+#REF!),-1),""))</f>
        <v/>
      </c>
      <c r="BW489" s="547" t="s">
        <v>621</v>
      </c>
      <c r="BX489" s="547" t="str">
        <f>IF($G489="","",IF(AND($G489&gt;=30,$AT$3&lt;=BW$7),ROUND(BW489*($AP$3+#REF!),-1),""))</f>
        <v/>
      </c>
      <c r="BY489" s="547" t="s">
        <v>621</v>
      </c>
      <c r="BZ489" s="547" t="str">
        <f>IF($G489="","",IF(AND($G489&gt;=30,$AT$3&lt;=BY$7),ROUND(BY489*($AP$3+#REF!),-1),""))</f>
        <v/>
      </c>
      <c r="CA489" s="547" t="s">
        <v>621</v>
      </c>
      <c r="CB489" s="547" t="str">
        <f>IF($G489="","",IF(AND($G489&gt;=30,$AT$3&lt;=CA$7),ROUND(CA489*($AP$3+#REF!),-1),""))</f>
        <v/>
      </c>
      <c r="CC489" s="547" t="s">
        <v>621</v>
      </c>
      <c r="CD489" s="547" t="str">
        <f>IF($G489="","",IF(AND($G489&gt;=30,$AT$3&lt;=CC$7),ROUND(CC489*($AP$3+#REF!),-1),""))</f>
        <v/>
      </c>
      <c r="CE489" s="547" t="s">
        <v>621</v>
      </c>
      <c r="CF489" s="547" t="str">
        <f>IF($G489="","",IF(AND($G489&gt;=30,$AT$3&lt;=CE$7),ROUND(CE489*($AP$3+#REF!),-1),""))</f>
        <v/>
      </c>
      <c r="CG489" s="547" t="s">
        <v>621</v>
      </c>
      <c r="CH489" s="547" t="str">
        <f>IF($G489="","",IF(AND($G489&gt;=30,$AT$3&lt;=CG$7),ROUND(CG489*($AP$3+#REF!),-1),""))</f>
        <v/>
      </c>
      <c r="CI489" s="547" t="s">
        <v>621</v>
      </c>
      <c r="CJ489" s="547" t="str">
        <f>IF($G489="","",IF(AND($G489&gt;=30,$AT$3&lt;=CI$7),ROUND(CI489*($AP$3+#REF!),-1),""))</f>
        <v/>
      </c>
      <c r="CK489" s="547" t="s">
        <v>621</v>
      </c>
      <c r="CL489" s="547" t="str">
        <f>IF($G489="","",IF(AND($G489&gt;=30,$AT$3&lt;=CK$7),ROUND(CK489*($AP$3+#REF!),-1),""))</f>
        <v/>
      </c>
      <c r="CM489" s="547" t="s">
        <v>621</v>
      </c>
      <c r="CN489" s="547" t="str">
        <f>IF($G489="","",IF(AND($G489&gt;=30,$AT$3&lt;=CM$7),ROUND(CM489*($AP$3+#REF!),-1),""))</f>
        <v/>
      </c>
      <c r="CO489" s="547" t="s">
        <v>621</v>
      </c>
      <c r="CP489" s="547" t="str">
        <f>IF($G489="","",IF(AND($G489&gt;=30,$AT$3&lt;=CO$7),ROUND(CO489*($AP$3+#REF!),-1),""))</f>
        <v/>
      </c>
      <c r="CQ489" s="547" t="s">
        <v>621</v>
      </c>
      <c r="CR489" s="547" t="str">
        <f>IF($G489="","",IF(AND($G489&gt;=30,$AT$3&lt;=CQ$7),ROUND(CQ489*($AP$3+#REF!),-1),""))</f>
        <v/>
      </c>
      <c r="CS489" s="547" t="s">
        <v>621</v>
      </c>
      <c r="CT489" s="547" t="str">
        <f>IF($G489="","",IF(AND($G489&gt;=30,$AT$3&lt;=CS$7),ROUND(CS489*($AP$3+#REF!),-1),""))</f>
        <v/>
      </c>
      <c r="CU489" s="547" t="s">
        <v>621</v>
      </c>
      <c r="CV489" s="547" t="str">
        <f>IF($G489="","",IF(AND($G489&gt;=30,$AT$3&lt;=CU$7),ROUND(CU489*($AP$3+#REF!),-1),""))</f>
        <v/>
      </c>
      <c r="CW489" s="547" t="s">
        <v>621</v>
      </c>
      <c r="CX489" s="547" t="str">
        <f>IF($G489="","",IF(AND($G489&gt;=30,$AT$3&lt;=CW$7),ROUND(CW489*($AP$3+#REF!),-1),""))</f>
        <v/>
      </c>
      <c r="CY489" s="547" t="s">
        <v>621</v>
      </c>
      <c r="CZ489" s="547" t="str">
        <f>IF($G489="","",IF(AND($G489&gt;=30,$AT$3&lt;=CY$7),ROUND(CY489*($AP$3+#REF!),-1),""))</f>
        <v/>
      </c>
      <c r="DA489" s="547" t="s">
        <v>621</v>
      </c>
      <c r="DB489" s="547" t="str">
        <f>IF($G489="","",IF(AND($G489&gt;=30,$AT$3&lt;=DA$7),ROUND(DA489*($AP$3+#REF!),-1),""))</f>
        <v/>
      </c>
      <c r="DC489" s="547" t="s">
        <v>621</v>
      </c>
      <c r="DD489" s="547" t="str">
        <f>IF($G489="","",IF(AND($G489&gt;=30,$AT$3&lt;=DC$7),ROUND(DC489*($AP$3+#REF!),-1),""))</f>
        <v/>
      </c>
      <c r="DE489" s="547" t="s">
        <v>621</v>
      </c>
      <c r="DF489" s="547" t="str">
        <f>IF($G489="","",IF(AND($G489&gt;=30,$AT$3&lt;=DE$7),ROUND(DE489*($AP$3+#REF!),-1),""))</f>
        <v/>
      </c>
      <c r="DG489" s="547" t="s">
        <v>621</v>
      </c>
      <c r="DH489" s="547" t="str">
        <f>IF($G489="","",IF(AND($G489&gt;=30,$AT$3&lt;=DG$7),ROUND(DG489*($AP$3+#REF!),-1),""))</f>
        <v/>
      </c>
      <c r="DI489" s="533" t="e">
        <v>#REF!</v>
      </c>
      <c r="DJ489" s="547" t="str">
        <f>IF($G489="","",IF(AND($G489&gt;=30,$AT$3&lt;=DI$7),ROUND(DI489*($AP$3+#REF!),-1),""))</f>
        <v/>
      </c>
      <c r="DK489" s="547"/>
      <c r="DL489" s="547" t="str">
        <f>IF($G489="","",IF(AND($G489&gt;=30,$AT$3&lt;=DK$7),ROUND(DK489*($AP$3+#REF!),-1),""))</f>
        <v/>
      </c>
      <c r="DM489" s="547"/>
      <c r="DN489" s="547" t="str">
        <f>IF($G489="","",IF(AND($G489&gt;=30,$AT$3&lt;=DM$7),ROUND(DM489*($AP$3+#REF!),-1),""))</f>
        <v/>
      </c>
      <c r="DO489" s="547"/>
      <c r="DP489" s="547" t="str">
        <f>IF($G489="","",IF(AND($G489&gt;=30,$AT$3&lt;=DO$7),ROUND(DO489*($AP$3+#REF!),-1),""))</f>
        <v/>
      </c>
      <c r="DQ489" s="547"/>
      <c r="DR489" s="547" t="str">
        <f>IF($G489="","",IF(AND($G489&gt;=30,$AT$3&lt;=DQ$7),ROUND(DQ489*($AP$3+#REF!),-1),""))</f>
        <v/>
      </c>
      <c r="DS489" s="547"/>
      <c r="DT489" s="547" t="str">
        <f>IF($G489="","",IF(AND($G489&gt;=30,$AT$3&lt;=DS$7),ROUND(DS489*($AP$3+#REF!),-1),""))</f>
        <v/>
      </c>
      <c r="DU489" s="547"/>
      <c r="DV489" s="547" t="str">
        <f>IF($G489="","",IF(AND($G489&gt;=30,$AT$3&lt;=DU$7),ROUND(DU489*($AP$3+#REF!),-1),""))</f>
        <v/>
      </c>
      <c r="DW489" s="547"/>
      <c r="DX489" s="547" t="str">
        <f>IF($G489="","",IF(AND($G489&gt;=30,$AT$3&lt;=DW$7),ROUND(DW489*($AP$3+#REF!),-1),""))</f>
        <v/>
      </c>
      <c r="DY489" s="547"/>
      <c r="DZ489" s="547" t="str">
        <f>IF($G489="","",IF(AND($G489&gt;=30,$AT$3&lt;=DY$7),ROUND(DY489*($AP$3+#REF!),-1),""))</f>
        <v/>
      </c>
      <c r="EA489" s="547"/>
      <c r="EB489" s="547" t="str">
        <f>IF($G489="","",IF(AND($G489&gt;=30,$AT$3&lt;=EA$7),ROUND(EA489*($AP$3+#REF!),-1),""))</f>
        <v/>
      </c>
      <c r="EC489" s="547"/>
      <c r="ED489" s="436"/>
      <c r="EE489" s="394"/>
    </row>
    <row r="490" spans="1:135" ht="9.75" customHeight="1">
      <c r="A490" s="321" t="str">
        <f t="shared" si="110"/>
        <v/>
      </c>
      <c r="B490" s="567">
        <f>(ii!$D$13*12+V490)+1</f>
        <v>384</v>
      </c>
      <c r="C490" s="337">
        <f t="shared" si="114"/>
        <v>57039</v>
      </c>
      <c r="D490" s="484">
        <f t="shared" si="117"/>
        <v>2056</v>
      </c>
      <c r="E490" s="484">
        <f t="shared" si="115"/>
        <v>0.16666666666666666</v>
      </c>
      <c r="F490" s="484">
        <f t="shared" si="118"/>
        <v>2056.1666666666665</v>
      </c>
      <c r="G490" s="485" t="str">
        <f>IF(OR(C490&lt;$I$2,C490&gt;$J$3),"",(ii!$D$13*12+V490+1)/12)</f>
        <v/>
      </c>
      <c r="H490" s="486"/>
      <c r="I490" s="486"/>
      <c r="J490" s="487"/>
      <c r="K490" s="488"/>
      <c r="L490" s="548"/>
      <c r="M490" s="489" t="str">
        <f t="shared" si="119"/>
        <v/>
      </c>
      <c r="N490" s="490" t="s">
        <v>621</v>
      </c>
      <c r="O490" s="490" t="str">
        <f t="shared" si="112"/>
        <v/>
      </c>
      <c r="P490" s="491"/>
      <c r="Q490" s="491"/>
      <c r="R490" s="491" t="str">
        <f t="shared" si="113"/>
        <v/>
      </c>
      <c r="S490" s="528" t="str">
        <f t="shared" si="111"/>
        <v/>
      </c>
      <c r="T490" s="528" t="str">
        <f t="shared" si="109"/>
        <v/>
      </c>
      <c r="U490" s="493" t="str">
        <f>IF(H490="","",#REF!*12+#REF!+#REF!*12+#REF!)</f>
        <v/>
      </c>
      <c r="V490" s="338">
        <f>IF(ii!$J$3&gt;gg!C490,"",IF(AND((YEAR(C490)=YEAR($I$2)),MONTH(C490)=MONTH($I$2)),ii!$B$14*12+ii!$C$14+ii!$B$15*12+ii!$C$15-1,V489+1))</f>
        <v>383</v>
      </c>
      <c r="W490" s="339">
        <f t="shared" si="116"/>
        <v>31.916666666666668</v>
      </c>
      <c r="X490" s="494" t="s">
        <v>621</v>
      </c>
      <c r="Y490" s="495" t="s">
        <v>621</v>
      </c>
      <c r="Z490" s="496"/>
      <c r="AA490" s="497"/>
      <c r="AB490" s="498" t="e">
        <f t="shared" si="122"/>
        <v>#VALUE!</v>
      </c>
      <c r="AC490" s="484" t="str">
        <f t="shared" si="120"/>
        <v/>
      </c>
      <c r="AD490" s="495" t="str">
        <f t="shared" si="121"/>
        <v/>
      </c>
      <c r="AE490" s="499" t="s">
        <v>621</v>
      </c>
      <c r="AF490" s="500" t="s">
        <v>621</v>
      </c>
      <c r="AG490" s="556" t="s">
        <v>621</v>
      </c>
      <c r="AH490" s="503" t="str">
        <f>IF($G490="","",IF(AND($G490&gt;=30,$AT$3&lt;=AG$7),ROUND(AG490*($AP$3+#REF!),-1),""))</f>
        <v/>
      </c>
      <c r="AI490" s="506" t="s">
        <v>621</v>
      </c>
      <c r="AJ490" s="503" t="str">
        <f>IF($G490="","",IF(AND($G490&gt;=30,$AT$3&lt;=AI$7),ROUND(AI490*($AP$3+#REF!),-1),""))</f>
        <v/>
      </c>
      <c r="AK490" s="506" t="s">
        <v>621</v>
      </c>
      <c r="AL490" s="503" t="str">
        <f>IF($G490="","",IF(AND($G490&gt;=30,$AT$3&lt;=AK$7),ROUND(AK490*($AP$3+#REF!),-1),""))</f>
        <v/>
      </c>
      <c r="AM490" s="506" t="s">
        <v>621</v>
      </c>
      <c r="AN490" s="503" t="str">
        <f>IF($G490="","",IF(AND($G490&gt;=30,$AT$3&lt;=AM$7),ROUND(AM490*($AP$3+#REF!),-1),""))</f>
        <v/>
      </c>
      <c r="AO490" s="503" t="e">
        <f>IF(AO489="","",AO489*1.001)</f>
        <v>#REF!</v>
      </c>
      <c r="AP490" s="503" t="str">
        <f>IF($G490="","",IF(AND($G490&gt;=30,$AT$3&lt;=AO$7),ROUND(AO490*($AP$3+#REF!),-1),""))</f>
        <v/>
      </c>
      <c r="AQ490" s="503" t="s">
        <v>621</v>
      </c>
      <c r="AR490" s="503" t="str">
        <f>IF($G490="","",IF(AND($G490&gt;=30,$AT$3&lt;=AQ$7),ROUND(AQ490*($AP$3+#REF!),-1),""))</f>
        <v/>
      </c>
      <c r="AS490" s="503" t="s">
        <v>621</v>
      </c>
      <c r="AT490" s="503" t="str">
        <f>IF($G490="","",IF(AND($G490&gt;=30,$AT$3&lt;=AS$7),ROUND(AS490*($AP$3+#REF!),-1),""))</f>
        <v/>
      </c>
      <c r="AU490" s="503" t="s">
        <v>621</v>
      </c>
      <c r="AV490" s="503" t="str">
        <f>IF($G490="","",IF(AND($G490&gt;=30,$AT$3&lt;=AU$7),ROUND(AU490*($AP$3+#REF!),-1),""))</f>
        <v/>
      </c>
      <c r="AW490" s="503" t="s">
        <v>621</v>
      </c>
      <c r="AX490" s="503" t="str">
        <f>IF($G490="","",IF(AND($G490&gt;=30,$AT$3&lt;=AW$7),ROUND(AW490*($AP$3+#REF!),-1),""))</f>
        <v/>
      </c>
      <c r="AY490" s="503" t="s">
        <v>621</v>
      </c>
      <c r="AZ490" s="503" t="str">
        <f>IF($G490="","",IF(AND($G490&gt;=30,$AT$3&lt;=AY$7),ROUND(AY490*($AP$3+#REF!),-1),""))</f>
        <v/>
      </c>
      <c r="BA490" s="503" t="s">
        <v>621</v>
      </c>
      <c r="BB490" s="503" t="str">
        <f>IF($G490="","",IF(AND($G490&gt;=30,$AT$3&lt;=BA$7),ROUND(BA490*($AP$3+#REF!),-1),""))</f>
        <v/>
      </c>
      <c r="BC490" s="503" t="s">
        <v>621</v>
      </c>
      <c r="BD490" s="503" t="str">
        <f>IF($G490="","",IF(AND($G490&gt;=30,$AT$3&lt;=BC$7),ROUND(BC490*($AP$3+#REF!),-1),""))</f>
        <v/>
      </c>
      <c r="BE490" s="503" t="s">
        <v>621</v>
      </c>
      <c r="BF490" s="503" t="str">
        <f>IF($G490="","",IF(AND($G490&gt;=30,$AT$3&lt;=BE$7),ROUND(BE490*($AP$3+#REF!),-1),""))</f>
        <v/>
      </c>
      <c r="BG490" s="503" t="s">
        <v>621</v>
      </c>
      <c r="BH490" s="503" t="str">
        <f>IF($G490="","",IF(AND($G490&gt;=30,$AT$3&lt;=BG$7),ROUND(BG490*($AP$3+#REF!),-1),""))</f>
        <v/>
      </c>
      <c r="BI490" s="503" t="s">
        <v>621</v>
      </c>
      <c r="BJ490" s="503" t="str">
        <f>IF($G490="","",IF(AND($G490&gt;=30,$AT$3&lt;=BI$7),ROUND(BI490*($AP$3+#REF!),-1),""))</f>
        <v/>
      </c>
      <c r="BK490" s="503" t="s">
        <v>621</v>
      </c>
      <c r="BL490" s="503" t="str">
        <f>IF($G490="","",IF(AND($G490&gt;=30,$AT$3&lt;=BK$7),ROUND(BK490*($AP$3+#REF!),-1),""))</f>
        <v/>
      </c>
      <c r="BM490" s="503" t="s">
        <v>621</v>
      </c>
      <c r="BN490" s="503" t="str">
        <f>IF($G490="","",IF(AND($G490&gt;=30,$AT$3&lt;=BM$7),ROUND(BM490*($AP$3+#REF!),-1),""))</f>
        <v/>
      </c>
      <c r="BO490" s="503" t="s">
        <v>621</v>
      </c>
      <c r="BP490" s="503" t="str">
        <f>IF($G490="","",IF(AND($G490&gt;=30,$AT$3&lt;=BO$7),ROUND(BO490*($AP$3+#REF!),-1),""))</f>
        <v/>
      </c>
      <c r="BQ490" s="503" t="s">
        <v>621</v>
      </c>
      <c r="BR490" s="503" t="str">
        <f>IF($G490="","",IF(AND($G490&gt;=30,$AT$3&lt;=BQ$7),ROUND(BQ490*($AP$3+#REF!),-1),""))</f>
        <v/>
      </c>
      <c r="BS490" s="503" t="s">
        <v>621</v>
      </c>
      <c r="BT490" s="503" t="str">
        <f>IF($G490="","",IF(AND($G490&gt;=30,$AT$3&lt;=BS$7),ROUND(BS490*($AP$3+#REF!),-1),""))</f>
        <v/>
      </c>
      <c r="BU490" s="503" t="s">
        <v>621</v>
      </c>
      <c r="BV490" s="503" t="str">
        <f>IF($G490="","",IF(AND($G490&gt;=30,$AT$3&lt;=BU$7),ROUND(BU490*($AP$3+#REF!),-1),""))</f>
        <v/>
      </c>
      <c r="BW490" s="503" t="s">
        <v>621</v>
      </c>
      <c r="BX490" s="503" t="str">
        <f>IF($G490="","",IF(AND($G490&gt;=30,$AT$3&lt;=BW$7),ROUND(BW490*($AP$3+#REF!),-1),""))</f>
        <v/>
      </c>
      <c r="BY490" s="503" t="s">
        <v>621</v>
      </c>
      <c r="BZ490" s="503" t="str">
        <f>IF($G490="","",IF(AND($G490&gt;=30,$AT$3&lt;=BY$7),ROUND(BY490*($AP$3+#REF!),-1),""))</f>
        <v/>
      </c>
      <c r="CA490" s="503" t="s">
        <v>621</v>
      </c>
      <c r="CB490" s="503" t="str">
        <f>IF($G490="","",IF(AND($G490&gt;=30,$AT$3&lt;=CA$7),ROUND(CA490*($AP$3+#REF!),-1),""))</f>
        <v/>
      </c>
      <c r="CC490" s="503" t="s">
        <v>621</v>
      </c>
      <c r="CD490" s="503" t="str">
        <f>IF($G490="","",IF(AND($G490&gt;=30,$AT$3&lt;=CC$7),ROUND(CC490*($AP$3+#REF!),-1),""))</f>
        <v/>
      </c>
      <c r="CE490" s="503" t="s">
        <v>621</v>
      </c>
      <c r="CF490" s="503" t="str">
        <f>IF($G490="","",IF(AND($G490&gt;=30,$AT$3&lt;=CE$7),ROUND(CE490*($AP$3+#REF!),-1),""))</f>
        <v/>
      </c>
      <c r="CG490" s="503" t="s">
        <v>621</v>
      </c>
      <c r="CH490" s="503" t="str">
        <f>IF($G490="","",IF(AND($G490&gt;=30,$AT$3&lt;=CG$7),ROUND(CG490*($AP$3+#REF!),-1),""))</f>
        <v/>
      </c>
      <c r="CI490" s="503" t="s">
        <v>621</v>
      </c>
      <c r="CJ490" s="503" t="str">
        <f>IF($G490="","",IF(AND($G490&gt;=30,$AT$3&lt;=CI$7),ROUND(CI490*($AP$3+#REF!),-1),""))</f>
        <v/>
      </c>
      <c r="CK490" s="503" t="s">
        <v>621</v>
      </c>
      <c r="CL490" s="503" t="str">
        <f>IF($G490="","",IF(AND($G490&gt;=30,$AT$3&lt;=CK$7),ROUND(CK490*($AP$3+#REF!),-1),""))</f>
        <v/>
      </c>
      <c r="CM490" s="503" t="s">
        <v>621</v>
      </c>
      <c r="CN490" s="503" t="str">
        <f>IF($G490="","",IF(AND($G490&gt;=30,$AT$3&lt;=CM$7),ROUND(CM490*($AP$3+#REF!),-1),""))</f>
        <v/>
      </c>
      <c r="CO490" s="503" t="s">
        <v>621</v>
      </c>
      <c r="CP490" s="503" t="str">
        <f>IF($G490="","",IF(AND($G490&gt;=30,$AT$3&lt;=CO$7),ROUND(CO490*($AP$3+#REF!),-1),""))</f>
        <v/>
      </c>
      <c r="CQ490" s="503" t="s">
        <v>621</v>
      </c>
      <c r="CR490" s="503" t="str">
        <f>IF($G490="","",IF(AND($G490&gt;=30,$AT$3&lt;=CQ$7),ROUND(CQ490*($AP$3+#REF!),-1),""))</f>
        <v/>
      </c>
      <c r="CS490" s="503" t="s">
        <v>621</v>
      </c>
      <c r="CT490" s="503" t="str">
        <f>IF($G490="","",IF(AND($G490&gt;=30,$AT$3&lt;=CS$7),ROUND(CS490*($AP$3+#REF!),-1),""))</f>
        <v/>
      </c>
      <c r="CU490" s="503" t="s">
        <v>621</v>
      </c>
      <c r="CV490" s="503" t="str">
        <f>IF($G490="","",IF(AND($G490&gt;=30,$AT$3&lt;=CU$7),ROUND(CU490*($AP$3+#REF!),-1),""))</f>
        <v/>
      </c>
      <c r="CW490" s="503" t="s">
        <v>621</v>
      </c>
      <c r="CX490" s="503" t="str">
        <f>IF($G490="","",IF(AND($G490&gt;=30,$AT$3&lt;=CW$7),ROUND(CW490*($AP$3+#REF!),-1),""))</f>
        <v/>
      </c>
      <c r="CY490" s="503" t="s">
        <v>621</v>
      </c>
      <c r="CZ490" s="503" t="str">
        <f>IF($G490="","",IF(AND($G490&gt;=30,$AT$3&lt;=CY$7),ROUND(CY490*($AP$3+#REF!),-1),""))</f>
        <v/>
      </c>
      <c r="DA490" s="503" t="s">
        <v>621</v>
      </c>
      <c r="DB490" s="503" t="str">
        <f>IF($G490="","",IF(AND($G490&gt;=30,$AT$3&lt;=DA$7),ROUND(DA490*($AP$3+#REF!),-1),""))</f>
        <v/>
      </c>
      <c r="DC490" s="503" t="s">
        <v>621</v>
      </c>
      <c r="DD490" s="503" t="str">
        <f>IF($G490="","",IF(AND($G490&gt;=30,$AT$3&lt;=DC$7),ROUND(DC490*($AP$3+#REF!),-1),""))</f>
        <v/>
      </c>
      <c r="DE490" s="503" t="s">
        <v>621</v>
      </c>
      <c r="DF490" s="503" t="str">
        <f>IF($G490="","",IF(AND($G490&gt;=30,$AT$3&lt;=DE$7),ROUND(DE490*($AP$3+#REF!),-1),""))</f>
        <v/>
      </c>
      <c r="DG490" s="503" t="s">
        <v>621</v>
      </c>
      <c r="DH490" s="503" t="str">
        <f>IF($G490="","",IF(AND($G490&gt;=30,$AT$3&lt;=DG$7),ROUND(DG490*($AP$3+#REF!),-1),""))</f>
        <v/>
      </c>
      <c r="DI490" s="517" t="e">
        <v>#REF!</v>
      </c>
      <c r="DJ490" s="503" t="str">
        <f>IF($G490="","",IF(AND($G490&gt;=30,$AT$3&lt;=DI$7),ROUND(DI490*($AP$3+#REF!),-1),""))</f>
        <v/>
      </c>
      <c r="DK490" s="503"/>
      <c r="DL490" s="503" t="str">
        <f>IF($G490="","",IF(AND($G490&gt;=30,$AT$3&lt;=DK$7),ROUND(DK490*($AP$3+#REF!),-1),""))</f>
        <v/>
      </c>
      <c r="DM490" s="503"/>
      <c r="DN490" s="503" t="str">
        <f>IF($G490="","",IF(AND($G490&gt;=30,$AT$3&lt;=DM$7),ROUND(DM490*($AP$3+#REF!),-1),""))</f>
        <v/>
      </c>
      <c r="DO490" s="503"/>
      <c r="DP490" s="503" t="str">
        <f>IF($G490="","",IF(AND($G490&gt;=30,$AT$3&lt;=DO$7),ROUND(DO490*($AP$3+#REF!),-1),""))</f>
        <v/>
      </c>
      <c r="DQ490" s="503"/>
      <c r="DR490" s="503" t="str">
        <f>IF($G490="","",IF(AND($G490&gt;=30,$AT$3&lt;=DQ$7),ROUND(DQ490*($AP$3+#REF!),-1),""))</f>
        <v/>
      </c>
      <c r="DS490" s="503"/>
      <c r="DT490" s="503" t="str">
        <f>IF($G490="","",IF(AND($G490&gt;=30,$AT$3&lt;=DS$7),ROUND(DS490*($AP$3+#REF!),-1),""))</f>
        <v/>
      </c>
      <c r="DU490" s="503"/>
      <c r="DV490" s="503" t="str">
        <f>IF($G490="","",IF(AND($G490&gt;=30,$AT$3&lt;=DU$7),ROUND(DU490*($AP$3+#REF!),-1),""))</f>
        <v/>
      </c>
      <c r="DW490" s="503"/>
      <c r="DX490" s="503" t="str">
        <f>IF($G490="","",IF(AND($G490&gt;=30,$AT$3&lt;=DW$7),ROUND(DW490*($AP$3+#REF!),-1),""))</f>
        <v/>
      </c>
      <c r="DY490" s="503"/>
      <c r="DZ490" s="503" t="str">
        <f>IF($G490="","",IF(AND($G490&gt;=30,$AT$3&lt;=DY$7),ROUND(DY490*($AP$3+#REF!),-1),""))</f>
        <v/>
      </c>
      <c r="EA490" s="503"/>
      <c r="EB490" s="503" t="str">
        <f>IF($G490="","",IF(AND($G490&gt;=30,$AT$3&lt;=EA$7),ROUND(EA490*($AP$3+#REF!),-1),""))</f>
        <v/>
      </c>
      <c r="EC490" s="436"/>
      <c r="ED490" s="436"/>
      <c r="EE490" s="394"/>
    </row>
    <row r="491" spans="1:135" ht="9.75" customHeight="1">
      <c r="A491" s="321" t="str">
        <f t="shared" si="110"/>
        <v/>
      </c>
      <c r="B491" s="567">
        <f>(ii!$D$13*12+V491)+1</f>
        <v>385</v>
      </c>
      <c r="C491" s="337">
        <f t="shared" si="114"/>
        <v>57070</v>
      </c>
      <c r="D491" s="484">
        <f t="shared" si="117"/>
        <v>2056</v>
      </c>
      <c r="E491" s="484">
        <f t="shared" si="115"/>
        <v>0.25</v>
      </c>
      <c r="F491" s="484">
        <f t="shared" si="118"/>
        <v>2056.25</v>
      </c>
      <c r="G491" s="485" t="str">
        <f>IF(OR(C491&lt;$I$2,C491&gt;$J$3),"",(ii!$D$13*12+V491+1)/12)</f>
        <v/>
      </c>
      <c r="H491" s="486"/>
      <c r="I491" s="486"/>
      <c r="J491" s="487"/>
      <c r="K491" s="488"/>
      <c r="L491" s="548"/>
      <c r="M491" s="489" t="str">
        <f t="shared" si="119"/>
        <v/>
      </c>
      <c r="N491" s="490" t="s">
        <v>621</v>
      </c>
      <c r="O491" s="490" t="str">
        <f t="shared" si="112"/>
        <v/>
      </c>
      <c r="P491" s="491"/>
      <c r="Q491" s="491"/>
      <c r="R491" s="491" t="str">
        <f t="shared" si="113"/>
        <v/>
      </c>
      <c r="S491" s="528" t="str">
        <f t="shared" si="111"/>
        <v/>
      </c>
      <c r="T491" s="528" t="str">
        <f t="shared" si="109"/>
        <v/>
      </c>
      <c r="U491" s="493" t="str">
        <f>IF(H491="","",#REF!*12+#REF!+#REF!*12+#REF!)</f>
        <v/>
      </c>
      <c r="V491" s="338">
        <f>IF(ii!$J$3&gt;gg!C491,"",IF(AND((YEAR(C491)=YEAR($I$2)),MONTH(C491)=MONTH($I$2)),ii!$B$14*12+ii!$C$14+ii!$B$15*12+ii!$C$15-1,V490+1))</f>
        <v>384</v>
      </c>
      <c r="W491" s="339">
        <f t="shared" si="116"/>
        <v>32</v>
      </c>
      <c r="X491" s="494" t="s">
        <v>621</v>
      </c>
      <c r="Y491" s="495" t="s">
        <v>621</v>
      </c>
      <c r="Z491" s="496"/>
      <c r="AA491" s="497"/>
      <c r="AB491" s="498" t="e">
        <f t="shared" si="122"/>
        <v>#VALUE!</v>
      </c>
      <c r="AC491" s="484" t="str">
        <f t="shared" si="120"/>
        <v/>
      </c>
      <c r="AD491" s="495" t="str">
        <f t="shared" si="121"/>
        <v/>
      </c>
      <c r="AE491" s="499" t="s">
        <v>621</v>
      </c>
      <c r="AF491" s="500" t="s">
        <v>621</v>
      </c>
      <c r="AG491" s="556" t="s">
        <v>621</v>
      </c>
      <c r="AH491" s="503" t="str">
        <f>IF($G491="","",IF(AND($G491&gt;=30,$AT$3&lt;=AG$7),ROUND(AG491*($AP$3+#REF!),-1),""))</f>
        <v/>
      </c>
      <c r="AI491" s="506" t="s">
        <v>621</v>
      </c>
      <c r="AJ491" s="503" t="str">
        <f>IF($G491="","",IF(AND($G491&gt;=30,$AT$3&lt;=AI$7),ROUND(AI491*($AP$3+#REF!),-1),""))</f>
        <v/>
      </c>
      <c r="AK491" s="506" t="s">
        <v>621</v>
      </c>
      <c r="AL491" s="503" t="str">
        <f>IF($G491="","",IF(AND($G491&gt;=30,$AT$3&lt;=AK$7),ROUND(AK491*($AP$3+#REF!),-1),""))</f>
        <v/>
      </c>
      <c r="AM491" s="506" t="s">
        <v>621</v>
      </c>
      <c r="AN491" s="503" t="str">
        <f>IF($G491="","",IF(AND($G491&gt;=30,$AT$3&lt;=AM$7),ROUND(AM491*($AP$3+#REF!),-1),""))</f>
        <v/>
      </c>
      <c r="AO491" s="503" t="e">
        <v>#REF!</v>
      </c>
      <c r="AP491" s="503" t="str">
        <f>IF($G491="","",IF(AND($G491&gt;=30,$AT$3&lt;=AO$7),ROUND(AO491*($AP$3+#REF!),-1),""))</f>
        <v/>
      </c>
      <c r="AQ491" s="503" t="s">
        <v>621</v>
      </c>
      <c r="AR491" s="503" t="str">
        <f>IF($G491="","",IF(AND($G491&gt;=30,$AT$3&lt;=AQ$7),ROUND(AQ491*($AP$3+#REF!),-1),""))</f>
        <v/>
      </c>
      <c r="AS491" s="503" t="s">
        <v>621</v>
      </c>
      <c r="AT491" s="503" t="str">
        <f>IF($G491="","",IF(AND($G491&gt;=30,$AT$3&lt;=AS$7),ROUND(AS491*($AP$3+#REF!),-1),""))</f>
        <v/>
      </c>
      <c r="AU491" s="503" t="s">
        <v>621</v>
      </c>
      <c r="AV491" s="503" t="str">
        <f>IF($G491="","",IF(AND($G491&gt;=30,$AT$3&lt;=AU$7),ROUND(AU491*($AP$3+#REF!),-1),""))</f>
        <v/>
      </c>
      <c r="AW491" s="503" t="s">
        <v>621</v>
      </c>
      <c r="AX491" s="503" t="str">
        <f>IF($G491="","",IF(AND($G491&gt;=30,$AT$3&lt;=AW$7),ROUND(AW491*($AP$3+#REF!),-1),""))</f>
        <v/>
      </c>
      <c r="AY491" s="503" t="s">
        <v>621</v>
      </c>
      <c r="AZ491" s="503" t="str">
        <f>IF($G491="","",IF(AND($G491&gt;=30,$AT$3&lt;=AY$7),ROUND(AY491*($AP$3+#REF!),-1),""))</f>
        <v/>
      </c>
      <c r="BA491" s="503" t="s">
        <v>621</v>
      </c>
      <c r="BB491" s="503" t="str">
        <f>IF($G491="","",IF(AND($G491&gt;=30,$AT$3&lt;=BA$7),ROUND(BA491*($AP$3+#REF!),-1),""))</f>
        <v/>
      </c>
      <c r="BC491" s="503" t="s">
        <v>621</v>
      </c>
      <c r="BD491" s="503" t="str">
        <f>IF($G491="","",IF(AND($G491&gt;=30,$AT$3&lt;=BC$7),ROUND(BC491*($AP$3+#REF!),-1),""))</f>
        <v/>
      </c>
      <c r="BE491" s="503" t="s">
        <v>621</v>
      </c>
      <c r="BF491" s="503" t="str">
        <f>IF($G491="","",IF(AND($G491&gt;=30,$AT$3&lt;=BE$7),ROUND(BE491*($AP$3+#REF!),-1),""))</f>
        <v/>
      </c>
      <c r="BG491" s="503" t="s">
        <v>621</v>
      </c>
      <c r="BH491" s="503" t="str">
        <f>IF($G491="","",IF(AND($G491&gt;=30,$AT$3&lt;=BG$7),ROUND(BG491*($AP$3+#REF!),-1),""))</f>
        <v/>
      </c>
      <c r="BI491" s="503" t="s">
        <v>621</v>
      </c>
      <c r="BJ491" s="503" t="str">
        <f>IF($G491="","",IF(AND($G491&gt;=30,$AT$3&lt;=BI$7),ROUND(BI491*($AP$3+#REF!),-1),""))</f>
        <v/>
      </c>
      <c r="BK491" s="503" t="s">
        <v>621</v>
      </c>
      <c r="BL491" s="503" t="str">
        <f>IF($G491="","",IF(AND($G491&gt;=30,$AT$3&lt;=BK$7),ROUND(BK491*($AP$3+#REF!),-1),""))</f>
        <v/>
      </c>
      <c r="BM491" s="503" t="s">
        <v>621</v>
      </c>
      <c r="BN491" s="503" t="str">
        <f>IF($G491="","",IF(AND($G491&gt;=30,$AT$3&lt;=BM$7),ROUND(BM491*($AP$3+#REF!),-1),""))</f>
        <v/>
      </c>
      <c r="BO491" s="503" t="s">
        <v>621</v>
      </c>
      <c r="BP491" s="503" t="str">
        <f>IF($G491="","",IF(AND($G491&gt;=30,$AT$3&lt;=BO$7),ROUND(BO491*($AP$3+#REF!),-1),""))</f>
        <v/>
      </c>
      <c r="BQ491" s="503" t="s">
        <v>621</v>
      </c>
      <c r="BR491" s="503" t="str">
        <f>IF($G491="","",IF(AND($G491&gt;=30,$AT$3&lt;=BQ$7),ROUND(BQ491*($AP$3+#REF!),-1),""))</f>
        <v/>
      </c>
      <c r="BS491" s="503" t="s">
        <v>621</v>
      </c>
      <c r="BT491" s="503" t="str">
        <f>IF($G491="","",IF(AND($G491&gt;=30,$AT$3&lt;=BS$7),ROUND(BS491*($AP$3+#REF!),-1),""))</f>
        <v/>
      </c>
      <c r="BU491" s="503" t="s">
        <v>621</v>
      </c>
      <c r="BV491" s="503" t="str">
        <f>IF($G491="","",IF(AND($G491&gt;=30,$AT$3&lt;=BU$7),ROUND(BU491*($AP$3+#REF!),-1),""))</f>
        <v/>
      </c>
      <c r="BW491" s="503" t="s">
        <v>621</v>
      </c>
      <c r="BX491" s="503" t="str">
        <f>IF($G491="","",IF(AND($G491&gt;=30,$AT$3&lt;=BW$7),ROUND(BW491*($AP$3+#REF!),-1),""))</f>
        <v/>
      </c>
      <c r="BY491" s="503" t="s">
        <v>621</v>
      </c>
      <c r="BZ491" s="503" t="str">
        <f>IF($G491="","",IF(AND($G491&gt;=30,$AT$3&lt;=BY$7),ROUND(BY491*($AP$3+#REF!),-1),""))</f>
        <v/>
      </c>
      <c r="CA491" s="503" t="s">
        <v>621</v>
      </c>
      <c r="CB491" s="503" t="str">
        <f>IF($G491="","",IF(AND($G491&gt;=30,$AT$3&lt;=CA$7),ROUND(CA491*($AP$3+#REF!),-1),""))</f>
        <v/>
      </c>
      <c r="CC491" s="503" t="s">
        <v>621</v>
      </c>
      <c r="CD491" s="503" t="str">
        <f>IF($G491="","",IF(AND($G491&gt;=30,$AT$3&lt;=CC$7),ROUND(CC491*($AP$3+#REF!),-1),""))</f>
        <v/>
      </c>
      <c r="CE491" s="503" t="s">
        <v>621</v>
      </c>
      <c r="CF491" s="503" t="str">
        <f>IF($G491="","",IF(AND($G491&gt;=30,$AT$3&lt;=CE$7),ROUND(CE491*($AP$3+#REF!),-1),""))</f>
        <v/>
      </c>
      <c r="CG491" s="503" t="s">
        <v>621</v>
      </c>
      <c r="CH491" s="503" t="str">
        <f>IF($G491="","",IF(AND($G491&gt;=30,$AT$3&lt;=CG$7),ROUND(CG491*($AP$3+#REF!),-1),""))</f>
        <v/>
      </c>
      <c r="CI491" s="503" t="s">
        <v>621</v>
      </c>
      <c r="CJ491" s="503" t="str">
        <f>IF($G491="","",IF(AND($G491&gt;=30,$AT$3&lt;=CI$7),ROUND(CI491*($AP$3+#REF!),-1),""))</f>
        <v/>
      </c>
      <c r="CK491" s="503" t="s">
        <v>621</v>
      </c>
      <c r="CL491" s="503" t="str">
        <f>IF($G491="","",IF(AND($G491&gt;=30,$AT$3&lt;=CK$7),ROUND(CK491*($AP$3+#REF!),-1),""))</f>
        <v/>
      </c>
      <c r="CM491" s="503" t="s">
        <v>621</v>
      </c>
      <c r="CN491" s="503" t="str">
        <f>IF($G491="","",IF(AND($G491&gt;=30,$AT$3&lt;=CM$7),ROUND(CM491*($AP$3+#REF!),-1),""))</f>
        <v/>
      </c>
      <c r="CO491" s="503" t="s">
        <v>621</v>
      </c>
      <c r="CP491" s="503" t="str">
        <f>IF($G491="","",IF(AND($G491&gt;=30,$AT$3&lt;=CO$7),ROUND(CO491*($AP$3+#REF!),-1),""))</f>
        <v/>
      </c>
      <c r="CQ491" s="503" t="s">
        <v>621</v>
      </c>
      <c r="CR491" s="503" t="str">
        <f>IF($G491="","",IF(AND($G491&gt;=30,$AT$3&lt;=CQ$7),ROUND(CQ491*($AP$3+#REF!),-1),""))</f>
        <v/>
      </c>
      <c r="CS491" s="503" t="s">
        <v>621</v>
      </c>
      <c r="CT491" s="503" t="str">
        <f>IF($G491="","",IF(AND($G491&gt;=30,$AT$3&lt;=CS$7),ROUND(CS491*($AP$3+#REF!),-1),""))</f>
        <v/>
      </c>
      <c r="CU491" s="503" t="s">
        <v>621</v>
      </c>
      <c r="CV491" s="503" t="str">
        <f>IF($G491="","",IF(AND($G491&gt;=30,$AT$3&lt;=CU$7),ROUND(CU491*($AP$3+#REF!),-1),""))</f>
        <v/>
      </c>
      <c r="CW491" s="503" t="s">
        <v>621</v>
      </c>
      <c r="CX491" s="503" t="str">
        <f>IF($G491="","",IF(AND($G491&gt;=30,$AT$3&lt;=CW$7),ROUND(CW491*($AP$3+#REF!),-1),""))</f>
        <v/>
      </c>
      <c r="CY491" s="503" t="s">
        <v>621</v>
      </c>
      <c r="CZ491" s="503" t="str">
        <f>IF($G491="","",IF(AND($G491&gt;=30,$AT$3&lt;=CY$7),ROUND(CY491*($AP$3+#REF!),-1),""))</f>
        <v/>
      </c>
      <c r="DA491" s="503" t="s">
        <v>621</v>
      </c>
      <c r="DB491" s="503" t="str">
        <f>IF($G491="","",IF(AND($G491&gt;=30,$AT$3&lt;=DA$7),ROUND(DA491*($AP$3+#REF!),-1),""))</f>
        <v/>
      </c>
      <c r="DC491" s="503" t="s">
        <v>621</v>
      </c>
      <c r="DD491" s="503" t="str">
        <f>IF($G491="","",IF(AND($G491&gt;=30,$AT$3&lt;=DC$7),ROUND(DC491*($AP$3+#REF!),-1),""))</f>
        <v/>
      </c>
      <c r="DE491" s="503" t="s">
        <v>621</v>
      </c>
      <c r="DF491" s="503" t="str">
        <f>IF($G491="","",IF(AND($G491&gt;=30,$AT$3&lt;=DE$7),ROUND(DE491*($AP$3+#REF!),-1),""))</f>
        <v/>
      </c>
      <c r="DG491" s="503" t="s">
        <v>621</v>
      </c>
      <c r="DH491" s="503" t="str">
        <f>IF($G491="","",IF(AND($G491&gt;=30,$AT$3&lt;=DG$7),ROUND(DG491*($AP$3+#REF!),-1),""))</f>
        <v/>
      </c>
      <c r="DI491" s="517" t="e">
        <v>#REF!</v>
      </c>
      <c r="DJ491" s="503" t="str">
        <f>IF($G491="","",IF(AND($G491&gt;=30,$AT$3&lt;=DI$7),ROUND(DI491*($AP$3+#REF!),-1),""))</f>
        <v/>
      </c>
      <c r="DK491" s="503"/>
      <c r="DL491" s="503" t="str">
        <f>IF($G491="","",IF(AND($G491&gt;=30,$AT$3&lt;=DK$7),ROUND(DK491*($AP$3+#REF!),-1),""))</f>
        <v/>
      </c>
      <c r="DM491" s="503"/>
      <c r="DN491" s="503" t="str">
        <f>IF($G491="","",IF(AND($G491&gt;=30,$AT$3&lt;=DM$7),ROUND(DM491*($AP$3+#REF!),-1),""))</f>
        <v/>
      </c>
      <c r="DO491" s="503"/>
      <c r="DP491" s="503" t="str">
        <f>IF($G491="","",IF(AND($G491&gt;=30,$AT$3&lt;=DO$7),ROUND(DO491*($AP$3+#REF!),-1),""))</f>
        <v/>
      </c>
      <c r="DQ491" s="503"/>
      <c r="DR491" s="503" t="str">
        <f>IF($G491="","",IF(AND($G491&gt;=30,$AT$3&lt;=DQ$7),ROUND(DQ491*($AP$3+#REF!),-1),""))</f>
        <v/>
      </c>
      <c r="DS491" s="503"/>
      <c r="DT491" s="503" t="str">
        <f>IF($G491="","",IF(AND($G491&gt;=30,$AT$3&lt;=DS$7),ROUND(DS491*($AP$3+#REF!),-1),""))</f>
        <v/>
      </c>
      <c r="DU491" s="503"/>
      <c r="DV491" s="503" t="str">
        <f>IF($G491="","",IF(AND($G491&gt;=30,$AT$3&lt;=DU$7),ROUND(DU491*($AP$3+#REF!),-1),""))</f>
        <v/>
      </c>
      <c r="DW491" s="503"/>
      <c r="DX491" s="503" t="str">
        <f>IF($G491="","",IF(AND($G491&gt;=30,$AT$3&lt;=DW$7),ROUND(DW491*($AP$3+#REF!),-1),""))</f>
        <v/>
      </c>
      <c r="DY491" s="503"/>
      <c r="DZ491" s="503" t="str">
        <f>IF($G491="","",IF(AND($G491&gt;=30,$AT$3&lt;=DY$7),ROUND(DY491*($AP$3+#REF!),-1),""))</f>
        <v/>
      </c>
      <c r="EA491" s="503"/>
      <c r="EB491" s="503" t="str">
        <f>IF($G491="","",IF(AND($G491&gt;=30,$AT$3&lt;=EA$7),ROUND(EA491*($AP$3+#REF!),-1),""))</f>
        <v/>
      </c>
      <c r="EC491" s="436"/>
      <c r="ED491" s="436"/>
      <c r="EE491" s="394"/>
    </row>
    <row r="492" spans="1:135" ht="9.75" customHeight="1">
      <c r="A492" s="321" t="str">
        <f t="shared" si="110"/>
        <v/>
      </c>
      <c r="B492" s="567">
        <f>(ii!$D$13*12+V492)+1</f>
        <v>386</v>
      </c>
      <c r="C492" s="337">
        <f t="shared" si="114"/>
        <v>57100</v>
      </c>
      <c r="D492" s="484">
        <f t="shared" si="117"/>
        <v>2056</v>
      </c>
      <c r="E492" s="484">
        <f t="shared" si="115"/>
        <v>0.33333333333333331</v>
      </c>
      <c r="F492" s="484">
        <f t="shared" si="118"/>
        <v>2056.3333333333335</v>
      </c>
      <c r="G492" s="485" t="str">
        <f>IF(OR(C492&lt;$I$2,C492&gt;$J$3),"",(ii!$D$13*12+V492+1)/12)</f>
        <v/>
      </c>
      <c r="H492" s="486"/>
      <c r="I492" s="486"/>
      <c r="J492" s="487"/>
      <c r="K492" s="488"/>
      <c r="L492" s="548"/>
      <c r="M492" s="489" t="str">
        <f t="shared" si="119"/>
        <v/>
      </c>
      <c r="N492" s="490" t="s">
        <v>621</v>
      </c>
      <c r="O492" s="490" t="str">
        <f t="shared" si="112"/>
        <v/>
      </c>
      <c r="P492" s="491"/>
      <c r="Q492" s="491"/>
      <c r="R492" s="491" t="str">
        <f t="shared" si="113"/>
        <v/>
      </c>
      <c r="S492" s="528" t="str">
        <f t="shared" si="111"/>
        <v/>
      </c>
      <c r="T492" s="528" t="str">
        <f t="shared" si="109"/>
        <v/>
      </c>
      <c r="U492" s="493" t="str">
        <f>IF(H492="","",#REF!*12+#REF!+#REF!*12+#REF!)</f>
        <v/>
      </c>
      <c r="V492" s="338">
        <f>IF(ii!$J$3&gt;gg!C492,"",IF(AND((YEAR(C492)=YEAR($I$2)),MONTH(C492)=MONTH($I$2)),ii!$B$14*12+ii!$C$14+ii!$B$15*12+ii!$C$15-1,V491+1))</f>
        <v>385</v>
      </c>
      <c r="W492" s="339">
        <f t="shared" si="116"/>
        <v>32.083333333333336</v>
      </c>
      <c r="X492" s="494" t="s">
        <v>621</v>
      </c>
      <c r="Y492" s="495" t="s">
        <v>621</v>
      </c>
      <c r="Z492" s="496"/>
      <c r="AA492" s="497"/>
      <c r="AB492" s="498" t="e">
        <f t="shared" si="122"/>
        <v>#VALUE!</v>
      </c>
      <c r="AC492" s="484" t="str">
        <f t="shared" si="120"/>
        <v/>
      </c>
      <c r="AD492" s="495" t="str">
        <f t="shared" si="121"/>
        <v/>
      </c>
      <c r="AE492" s="499" t="s">
        <v>621</v>
      </c>
      <c r="AF492" s="500" t="s">
        <v>621</v>
      </c>
      <c r="AG492" s="556" t="s">
        <v>621</v>
      </c>
      <c r="AH492" s="503" t="str">
        <f>IF($G492="","",IF(AND($G492&gt;=30,$AT$3&lt;=AG$7),ROUND(AG492*($AP$3+#REF!),-1),""))</f>
        <v/>
      </c>
      <c r="AI492" s="506" t="s">
        <v>621</v>
      </c>
      <c r="AJ492" s="503" t="str">
        <f>IF($G492="","",IF(AND($G492&gt;=30,$AT$3&lt;=AI$7),ROUND(AI492*($AP$3+#REF!),-1),""))</f>
        <v/>
      </c>
      <c r="AK492" s="506" t="s">
        <v>621</v>
      </c>
      <c r="AL492" s="503" t="str">
        <f>IF($G492="","",IF(AND($G492&gt;=30,$AT$3&lt;=AK$7),ROUND(AK492*($AP$3+#REF!),-1),""))</f>
        <v/>
      </c>
      <c r="AM492" s="506" t="s">
        <v>621</v>
      </c>
      <c r="AN492" s="503" t="str">
        <f>IF($G492="","",IF(AND($G492&gt;=30,$AT$3&lt;=AM$7),ROUND(AM492*($AP$3+#REF!),-1),""))</f>
        <v/>
      </c>
      <c r="AO492" s="503" t="e">
        <v>#REF!</v>
      </c>
      <c r="AP492" s="503" t="str">
        <f>IF($G492="","",IF(AND($G492&gt;=30,$AT$3&lt;=AO$7),ROUND(AO492*($AP$3+#REF!),-1),""))</f>
        <v/>
      </c>
      <c r="AQ492" s="503" t="s">
        <v>621</v>
      </c>
      <c r="AR492" s="503" t="str">
        <f>IF($G492="","",IF(AND($G492&gt;=30,$AT$3&lt;=AQ$7),ROUND(AQ492*($AP$3+#REF!),-1),""))</f>
        <v/>
      </c>
      <c r="AS492" s="503" t="s">
        <v>621</v>
      </c>
      <c r="AT492" s="503" t="str">
        <f>IF($G492="","",IF(AND($G492&gt;=30,$AT$3&lt;=AS$7),ROUND(AS492*($AP$3+#REF!),-1),""))</f>
        <v/>
      </c>
      <c r="AU492" s="503" t="s">
        <v>621</v>
      </c>
      <c r="AV492" s="503" t="str">
        <f>IF($G492="","",IF(AND($G492&gt;=30,$AT$3&lt;=AU$7),ROUND(AU492*($AP$3+#REF!),-1),""))</f>
        <v/>
      </c>
      <c r="AW492" s="503" t="s">
        <v>621</v>
      </c>
      <c r="AX492" s="503" t="str">
        <f>IF($G492="","",IF(AND($G492&gt;=30,$AT$3&lt;=AW$7),ROUND(AW492*($AP$3+#REF!),-1),""))</f>
        <v/>
      </c>
      <c r="AY492" s="503" t="s">
        <v>621</v>
      </c>
      <c r="AZ492" s="503" t="str">
        <f>IF($G492="","",IF(AND($G492&gt;=30,$AT$3&lt;=AY$7),ROUND(AY492*($AP$3+#REF!),-1),""))</f>
        <v/>
      </c>
      <c r="BA492" s="503" t="s">
        <v>621</v>
      </c>
      <c r="BB492" s="503" t="str">
        <f>IF($G492="","",IF(AND($G492&gt;=30,$AT$3&lt;=BA$7),ROUND(BA492*($AP$3+#REF!),-1),""))</f>
        <v/>
      </c>
      <c r="BC492" s="503" t="s">
        <v>621</v>
      </c>
      <c r="BD492" s="503" t="str">
        <f>IF($G492="","",IF(AND($G492&gt;=30,$AT$3&lt;=BC$7),ROUND(BC492*($AP$3+#REF!),-1),""))</f>
        <v/>
      </c>
      <c r="BE492" s="503" t="s">
        <v>621</v>
      </c>
      <c r="BF492" s="503" t="str">
        <f>IF($G492="","",IF(AND($G492&gt;=30,$AT$3&lt;=BE$7),ROUND(BE492*($AP$3+#REF!),-1),""))</f>
        <v/>
      </c>
      <c r="BG492" s="503" t="s">
        <v>621</v>
      </c>
      <c r="BH492" s="503" t="str">
        <f>IF($G492="","",IF(AND($G492&gt;=30,$AT$3&lt;=BG$7),ROUND(BG492*($AP$3+#REF!),-1),""))</f>
        <v/>
      </c>
      <c r="BI492" s="503" t="s">
        <v>621</v>
      </c>
      <c r="BJ492" s="503" t="str">
        <f>IF($G492="","",IF(AND($G492&gt;=30,$AT$3&lt;=BI$7),ROUND(BI492*($AP$3+#REF!),-1),""))</f>
        <v/>
      </c>
      <c r="BK492" s="503" t="s">
        <v>621</v>
      </c>
      <c r="BL492" s="503" t="str">
        <f>IF($G492="","",IF(AND($G492&gt;=30,$AT$3&lt;=BK$7),ROUND(BK492*($AP$3+#REF!),-1),""))</f>
        <v/>
      </c>
      <c r="BM492" s="503" t="s">
        <v>621</v>
      </c>
      <c r="BN492" s="503" t="str">
        <f>IF($G492="","",IF(AND($G492&gt;=30,$AT$3&lt;=BM$7),ROUND(BM492*($AP$3+#REF!),-1),""))</f>
        <v/>
      </c>
      <c r="BO492" s="503" t="s">
        <v>621</v>
      </c>
      <c r="BP492" s="503" t="str">
        <f>IF($G492="","",IF(AND($G492&gt;=30,$AT$3&lt;=BO$7),ROUND(BO492*($AP$3+#REF!),-1),""))</f>
        <v/>
      </c>
      <c r="BQ492" s="503" t="s">
        <v>621</v>
      </c>
      <c r="BR492" s="503" t="str">
        <f>IF($G492="","",IF(AND($G492&gt;=30,$AT$3&lt;=BQ$7),ROUND(BQ492*($AP$3+#REF!),-1),""))</f>
        <v/>
      </c>
      <c r="BS492" s="503" t="s">
        <v>621</v>
      </c>
      <c r="BT492" s="503" t="str">
        <f>IF($G492="","",IF(AND($G492&gt;=30,$AT$3&lt;=BS$7),ROUND(BS492*($AP$3+#REF!),-1),""))</f>
        <v/>
      </c>
      <c r="BU492" s="503" t="s">
        <v>621</v>
      </c>
      <c r="BV492" s="503" t="str">
        <f>IF($G492="","",IF(AND($G492&gt;=30,$AT$3&lt;=BU$7),ROUND(BU492*($AP$3+#REF!),-1),""))</f>
        <v/>
      </c>
      <c r="BW492" s="503" t="s">
        <v>621</v>
      </c>
      <c r="BX492" s="503" t="str">
        <f>IF($G492="","",IF(AND($G492&gt;=30,$AT$3&lt;=BW$7),ROUND(BW492*($AP$3+#REF!),-1),""))</f>
        <v/>
      </c>
      <c r="BY492" s="503" t="s">
        <v>621</v>
      </c>
      <c r="BZ492" s="503" t="str">
        <f>IF($G492="","",IF(AND($G492&gt;=30,$AT$3&lt;=BY$7),ROUND(BY492*($AP$3+#REF!),-1),""))</f>
        <v/>
      </c>
      <c r="CA492" s="503" t="s">
        <v>621</v>
      </c>
      <c r="CB492" s="503" t="str">
        <f>IF($G492="","",IF(AND($G492&gt;=30,$AT$3&lt;=CA$7),ROUND(CA492*($AP$3+#REF!),-1),""))</f>
        <v/>
      </c>
      <c r="CC492" s="503" t="s">
        <v>621</v>
      </c>
      <c r="CD492" s="503" t="str">
        <f>IF($G492="","",IF(AND($G492&gt;=30,$AT$3&lt;=CC$7),ROUND(CC492*($AP$3+#REF!),-1),""))</f>
        <v/>
      </c>
      <c r="CE492" s="503" t="s">
        <v>621</v>
      </c>
      <c r="CF492" s="503" t="str">
        <f>IF($G492="","",IF(AND($G492&gt;=30,$AT$3&lt;=CE$7),ROUND(CE492*($AP$3+#REF!),-1),""))</f>
        <v/>
      </c>
      <c r="CG492" s="503" t="s">
        <v>621</v>
      </c>
      <c r="CH492" s="503" t="str">
        <f>IF($G492="","",IF(AND($G492&gt;=30,$AT$3&lt;=CG$7),ROUND(CG492*($AP$3+#REF!),-1),""))</f>
        <v/>
      </c>
      <c r="CI492" s="503" t="s">
        <v>621</v>
      </c>
      <c r="CJ492" s="503" t="str">
        <f>IF($G492="","",IF(AND($G492&gt;=30,$AT$3&lt;=CI$7),ROUND(CI492*($AP$3+#REF!),-1),""))</f>
        <v/>
      </c>
      <c r="CK492" s="503" t="s">
        <v>621</v>
      </c>
      <c r="CL492" s="503" t="str">
        <f>IF($G492="","",IF(AND($G492&gt;=30,$AT$3&lt;=CK$7),ROUND(CK492*($AP$3+#REF!),-1),""))</f>
        <v/>
      </c>
      <c r="CM492" s="503" t="s">
        <v>621</v>
      </c>
      <c r="CN492" s="503" t="str">
        <f>IF($G492="","",IF(AND($G492&gt;=30,$AT$3&lt;=CM$7),ROUND(CM492*($AP$3+#REF!),-1),""))</f>
        <v/>
      </c>
      <c r="CO492" s="503" t="s">
        <v>621</v>
      </c>
      <c r="CP492" s="503" t="str">
        <f>IF($G492="","",IF(AND($G492&gt;=30,$AT$3&lt;=CO$7),ROUND(CO492*($AP$3+#REF!),-1),""))</f>
        <v/>
      </c>
      <c r="CQ492" s="503" t="s">
        <v>621</v>
      </c>
      <c r="CR492" s="503" t="str">
        <f>IF($G492="","",IF(AND($G492&gt;=30,$AT$3&lt;=CQ$7),ROUND(CQ492*($AP$3+#REF!),-1),""))</f>
        <v/>
      </c>
      <c r="CS492" s="503" t="s">
        <v>621</v>
      </c>
      <c r="CT492" s="503" t="str">
        <f>IF($G492="","",IF(AND($G492&gt;=30,$AT$3&lt;=CS$7),ROUND(CS492*($AP$3+#REF!),-1),""))</f>
        <v/>
      </c>
      <c r="CU492" s="503" t="s">
        <v>621</v>
      </c>
      <c r="CV492" s="503" t="str">
        <f>IF($G492="","",IF(AND($G492&gt;=30,$AT$3&lt;=CU$7),ROUND(CU492*($AP$3+#REF!),-1),""))</f>
        <v/>
      </c>
      <c r="CW492" s="503" t="s">
        <v>621</v>
      </c>
      <c r="CX492" s="503" t="str">
        <f>IF($G492="","",IF(AND($G492&gt;=30,$AT$3&lt;=CW$7),ROUND(CW492*($AP$3+#REF!),-1),""))</f>
        <v/>
      </c>
      <c r="CY492" s="503" t="s">
        <v>621</v>
      </c>
      <c r="CZ492" s="503" t="str">
        <f>IF($G492="","",IF(AND($G492&gt;=30,$AT$3&lt;=CY$7),ROUND(CY492*($AP$3+#REF!),-1),""))</f>
        <v/>
      </c>
      <c r="DA492" s="503" t="s">
        <v>621</v>
      </c>
      <c r="DB492" s="503" t="str">
        <f>IF($G492="","",IF(AND($G492&gt;=30,$AT$3&lt;=DA$7),ROUND(DA492*($AP$3+#REF!),-1),""))</f>
        <v/>
      </c>
      <c r="DC492" s="503" t="s">
        <v>621</v>
      </c>
      <c r="DD492" s="503" t="str">
        <f>IF($G492="","",IF(AND($G492&gt;=30,$AT$3&lt;=DC$7),ROUND(DC492*($AP$3+#REF!),-1),""))</f>
        <v/>
      </c>
      <c r="DE492" s="503" t="s">
        <v>621</v>
      </c>
      <c r="DF492" s="503" t="str">
        <f>IF($G492="","",IF(AND($G492&gt;=30,$AT$3&lt;=DE$7),ROUND(DE492*($AP$3+#REF!),-1),""))</f>
        <v/>
      </c>
      <c r="DG492" s="503" t="s">
        <v>621</v>
      </c>
      <c r="DH492" s="503" t="str">
        <f>IF($G492="","",IF(AND($G492&gt;=30,$AT$3&lt;=DG$7),ROUND(DG492*($AP$3+#REF!),-1),""))</f>
        <v/>
      </c>
      <c r="DI492" s="517" t="e">
        <v>#REF!</v>
      </c>
      <c r="DJ492" s="503" t="str">
        <f>IF($G492="","",IF(AND($G492&gt;=30,$AT$3&lt;=DI$7),ROUND(DI492*($AP$3+#REF!),-1),""))</f>
        <v/>
      </c>
      <c r="DK492" s="503"/>
      <c r="DL492" s="503" t="str">
        <f>IF($G492="","",IF(AND($G492&gt;=30,$AT$3&lt;=DK$7),ROUND(DK492*($AP$3+#REF!),-1),""))</f>
        <v/>
      </c>
      <c r="DM492" s="503"/>
      <c r="DN492" s="503" t="str">
        <f>IF($G492="","",IF(AND($G492&gt;=30,$AT$3&lt;=DM$7),ROUND(DM492*($AP$3+#REF!),-1),""))</f>
        <v/>
      </c>
      <c r="DO492" s="503"/>
      <c r="DP492" s="503" t="str">
        <f>IF($G492="","",IF(AND($G492&gt;=30,$AT$3&lt;=DO$7),ROUND(DO492*($AP$3+#REF!),-1),""))</f>
        <v/>
      </c>
      <c r="DQ492" s="503"/>
      <c r="DR492" s="503" t="str">
        <f>IF($G492="","",IF(AND($G492&gt;=30,$AT$3&lt;=DQ$7),ROUND(DQ492*($AP$3+#REF!),-1),""))</f>
        <v/>
      </c>
      <c r="DS492" s="503"/>
      <c r="DT492" s="503" t="str">
        <f>IF($G492="","",IF(AND($G492&gt;=30,$AT$3&lt;=DS$7),ROUND(DS492*($AP$3+#REF!),-1),""))</f>
        <v/>
      </c>
      <c r="DU492" s="503"/>
      <c r="DV492" s="503" t="str">
        <f>IF($G492="","",IF(AND($G492&gt;=30,$AT$3&lt;=DU$7),ROUND(DU492*($AP$3+#REF!),-1),""))</f>
        <v/>
      </c>
      <c r="DW492" s="503"/>
      <c r="DX492" s="503" t="str">
        <f>IF($G492="","",IF(AND($G492&gt;=30,$AT$3&lt;=DW$7),ROUND(DW492*($AP$3+#REF!),-1),""))</f>
        <v/>
      </c>
      <c r="DY492" s="503"/>
      <c r="DZ492" s="503" t="str">
        <f>IF($G492="","",IF(AND($G492&gt;=30,$AT$3&lt;=DY$7),ROUND(DY492*($AP$3+#REF!),-1),""))</f>
        <v/>
      </c>
      <c r="EA492" s="503"/>
      <c r="EB492" s="503" t="str">
        <f>IF($G492="","",IF(AND($G492&gt;=30,$AT$3&lt;=EA$7),ROUND(EA492*($AP$3+#REF!),-1),""))</f>
        <v/>
      </c>
      <c r="EC492" s="436"/>
      <c r="ED492" s="436"/>
      <c r="EE492" s="394"/>
    </row>
    <row r="493" spans="1:135" ht="9.75" customHeight="1">
      <c r="A493" s="321" t="str">
        <f t="shared" si="110"/>
        <v/>
      </c>
      <c r="B493" s="567">
        <f>(ii!$D$13*12+V493)+1</f>
        <v>387</v>
      </c>
      <c r="C493" s="337">
        <f t="shared" si="114"/>
        <v>57131</v>
      </c>
      <c r="D493" s="484">
        <f t="shared" si="117"/>
        <v>2056</v>
      </c>
      <c r="E493" s="484">
        <f t="shared" si="115"/>
        <v>0.41666666666666669</v>
      </c>
      <c r="F493" s="484">
        <f t="shared" si="118"/>
        <v>2056.4166666666665</v>
      </c>
      <c r="G493" s="485" t="str">
        <f>IF(OR(C493&lt;$I$2,C493&gt;$J$3),"",(ii!$D$13*12+V493+1)/12)</f>
        <v/>
      </c>
      <c r="H493" s="486"/>
      <c r="I493" s="486"/>
      <c r="J493" s="507"/>
      <c r="K493" s="508"/>
      <c r="L493" s="548"/>
      <c r="M493" s="489" t="str">
        <f t="shared" si="119"/>
        <v/>
      </c>
      <c r="N493" s="490" t="s">
        <v>621</v>
      </c>
      <c r="O493" s="490" t="str">
        <f t="shared" si="112"/>
        <v/>
      </c>
      <c r="P493" s="507"/>
      <c r="Q493" s="507"/>
      <c r="R493" s="491" t="str">
        <f t="shared" si="113"/>
        <v/>
      </c>
      <c r="S493" s="528" t="str">
        <f t="shared" si="111"/>
        <v/>
      </c>
      <c r="T493" s="528" t="str">
        <f t="shared" si="109"/>
        <v/>
      </c>
      <c r="U493" s="493" t="str">
        <f>IF(H493="","",#REF!*12+#REF!+#REF!*12+#REF!)</f>
        <v/>
      </c>
      <c r="V493" s="338">
        <f>IF(ii!$J$3&gt;gg!C493,"",IF(AND((YEAR(C493)=YEAR($I$2)),MONTH(C493)=MONTH($I$2)),ii!$B$14*12+ii!$C$14+ii!$B$15*12+ii!$C$15-1,V492+1))</f>
        <v>386</v>
      </c>
      <c r="W493" s="339">
        <f t="shared" si="116"/>
        <v>32.166666666666664</v>
      </c>
      <c r="X493" s="494" t="s">
        <v>621</v>
      </c>
      <c r="Y493" s="495" t="s">
        <v>621</v>
      </c>
      <c r="Z493" s="496"/>
      <c r="AA493" s="497"/>
      <c r="AB493" s="498" t="e">
        <f t="shared" si="122"/>
        <v>#VALUE!</v>
      </c>
      <c r="AC493" s="484" t="str">
        <f t="shared" si="120"/>
        <v/>
      </c>
      <c r="AD493" s="495" t="str">
        <f t="shared" si="121"/>
        <v/>
      </c>
      <c r="AE493" s="499" t="s">
        <v>621</v>
      </c>
      <c r="AF493" s="500" t="s">
        <v>621</v>
      </c>
      <c r="AG493" s="556" t="s">
        <v>621</v>
      </c>
      <c r="AH493" s="503" t="str">
        <f>IF($G493="","",IF(AND($G493&gt;=30,$AT$3&lt;=AG$7),ROUND(AG493*($AP$3+#REF!),-1),""))</f>
        <v/>
      </c>
      <c r="AI493" s="506" t="s">
        <v>621</v>
      </c>
      <c r="AJ493" s="503" t="str">
        <f>IF($G493="","",IF(AND($G493&gt;=30,$AT$3&lt;=AI$7),ROUND(AI493*($AP$3+#REF!),-1),""))</f>
        <v/>
      </c>
      <c r="AK493" s="506" t="s">
        <v>621</v>
      </c>
      <c r="AL493" s="503" t="str">
        <f>IF($G493="","",IF(AND($G493&gt;=30,$AT$3&lt;=AK$7),ROUND(AK493*($AP$3+#REF!),-1),""))</f>
        <v/>
      </c>
      <c r="AM493" s="506" t="s">
        <v>621</v>
      </c>
      <c r="AN493" s="503" t="str">
        <f>IF($G493="","",IF(AND($G493&gt;=30,$AT$3&lt;=AM$7),ROUND(AM493*($AP$3+#REF!),-1),""))</f>
        <v/>
      </c>
      <c r="AO493" s="503" t="e">
        <v>#REF!</v>
      </c>
      <c r="AP493" s="503" t="str">
        <f>IF($G493="","",IF(AND($G493&gt;=30,$AT$3&lt;=AO$7),ROUND(AO493*($AP$3+#REF!),-1),""))</f>
        <v/>
      </c>
      <c r="AQ493" s="503" t="s">
        <v>621</v>
      </c>
      <c r="AR493" s="503" t="str">
        <f>IF($G493="","",IF(AND($G493&gt;=30,$AT$3&lt;=AQ$7),ROUND(AQ493*($AP$3+#REF!),-1),""))</f>
        <v/>
      </c>
      <c r="AS493" s="503" t="s">
        <v>621</v>
      </c>
      <c r="AT493" s="503" t="str">
        <f>IF($G493="","",IF(AND($G493&gt;=30,$AT$3&lt;=AS$7),ROUND(AS493*($AP$3+#REF!),-1),""))</f>
        <v/>
      </c>
      <c r="AU493" s="503" t="s">
        <v>621</v>
      </c>
      <c r="AV493" s="503" t="str">
        <f>IF($G493="","",IF(AND($G493&gt;=30,$AT$3&lt;=AU$7),ROUND(AU493*($AP$3+#REF!),-1),""))</f>
        <v/>
      </c>
      <c r="AW493" s="503" t="s">
        <v>621</v>
      </c>
      <c r="AX493" s="503" t="str">
        <f>IF($G493="","",IF(AND($G493&gt;=30,$AT$3&lt;=AW$7),ROUND(AW493*($AP$3+#REF!),-1),""))</f>
        <v/>
      </c>
      <c r="AY493" s="503" t="s">
        <v>621</v>
      </c>
      <c r="AZ493" s="503" t="str">
        <f>IF($G493="","",IF(AND($G493&gt;=30,$AT$3&lt;=AY$7),ROUND(AY493*($AP$3+#REF!),-1),""))</f>
        <v/>
      </c>
      <c r="BA493" s="503" t="s">
        <v>621</v>
      </c>
      <c r="BB493" s="503" t="str">
        <f>IF($G493="","",IF(AND($G493&gt;=30,$AT$3&lt;=BA$7),ROUND(BA493*($AP$3+#REF!),-1),""))</f>
        <v/>
      </c>
      <c r="BC493" s="503" t="s">
        <v>621</v>
      </c>
      <c r="BD493" s="503" t="str">
        <f>IF($G493="","",IF(AND($G493&gt;=30,$AT$3&lt;=BC$7),ROUND(BC493*($AP$3+#REF!),-1),""))</f>
        <v/>
      </c>
      <c r="BE493" s="503" t="s">
        <v>621</v>
      </c>
      <c r="BF493" s="503" t="str">
        <f>IF($G493="","",IF(AND($G493&gt;=30,$AT$3&lt;=BE$7),ROUND(BE493*($AP$3+#REF!),-1),""))</f>
        <v/>
      </c>
      <c r="BG493" s="503" t="s">
        <v>621</v>
      </c>
      <c r="BH493" s="503" t="str">
        <f>IF($G493="","",IF(AND($G493&gt;=30,$AT$3&lt;=BG$7),ROUND(BG493*($AP$3+#REF!),-1),""))</f>
        <v/>
      </c>
      <c r="BI493" s="503" t="s">
        <v>621</v>
      </c>
      <c r="BJ493" s="503" t="str">
        <f>IF($G493="","",IF(AND($G493&gt;=30,$AT$3&lt;=BI$7),ROUND(BI493*($AP$3+#REF!),-1),""))</f>
        <v/>
      </c>
      <c r="BK493" s="503" t="s">
        <v>621</v>
      </c>
      <c r="BL493" s="503" t="str">
        <f>IF($G493="","",IF(AND($G493&gt;=30,$AT$3&lt;=BK$7),ROUND(BK493*($AP$3+#REF!),-1),""))</f>
        <v/>
      </c>
      <c r="BM493" s="503" t="s">
        <v>621</v>
      </c>
      <c r="BN493" s="503" t="str">
        <f>IF($G493="","",IF(AND($G493&gt;=30,$AT$3&lt;=BM$7),ROUND(BM493*($AP$3+#REF!),-1),""))</f>
        <v/>
      </c>
      <c r="BO493" s="503" t="s">
        <v>621</v>
      </c>
      <c r="BP493" s="503" t="str">
        <f>IF($G493="","",IF(AND($G493&gt;=30,$AT$3&lt;=BO$7),ROUND(BO493*($AP$3+#REF!),-1),""))</f>
        <v/>
      </c>
      <c r="BQ493" s="503" t="s">
        <v>621</v>
      </c>
      <c r="BR493" s="503" t="str">
        <f>IF($G493="","",IF(AND($G493&gt;=30,$AT$3&lt;=BQ$7),ROUND(BQ493*($AP$3+#REF!),-1),""))</f>
        <v/>
      </c>
      <c r="BS493" s="503" t="s">
        <v>621</v>
      </c>
      <c r="BT493" s="503" t="str">
        <f>IF($G493="","",IF(AND($G493&gt;=30,$AT$3&lt;=BS$7),ROUND(BS493*($AP$3+#REF!),-1),""))</f>
        <v/>
      </c>
      <c r="BU493" s="503" t="s">
        <v>621</v>
      </c>
      <c r="BV493" s="503" t="str">
        <f>IF($G493="","",IF(AND($G493&gt;=30,$AT$3&lt;=BU$7),ROUND(BU493*($AP$3+#REF!),-1),""))</f>
        <v/>
      </c>
      <c r="BW493" s="503" t="s">
        <v>621</v>
      </c>
      <c r="BX493" s="503" t="str">
        <f>IF($G493="","",IF(AND($G493&gt;=30,$AT$3&lt;=BW$7),ROUND(BW493*($AP$3+#REF!),-1),""))</f>
        <v/>
      </c>
      <c r="BY493" s="503" t="s">
        <v>621</v>
      </c>
      <c r="BZ493" s="503" t="str">
        <f>IF($G493="","",IF(AND($G493&gt;=30,$AT$3&lt;=BY$7),ROUND(BY493*($AP$3+#REF!),-1),""))</f>
        <v/>
      </c>
      <c r="CA493" s="503" t="s">
        <v>621</v>
      </c>
      <c r="CB493" s="503" t="str">
        <f>IF($G493="","",IF(AND($G493&gt;=30,$AT$3&lt;=CA$7),ROUND(CA493*($AP$3+#REF!),-1),""))</f>
        <v/>
      </c>
      <c r="CC493" s="503" t="s">
        <v>621</v>
      </c>
      <c r="CD493" s="503" t="str">
        <f>IF($G493="","",IF(AND($G493&gt;=30,$AT$3&lt;=CC$7),ROUND(CC493*($AP$3+#REF!),-1),""))</f>
        <v/>
      </c>
      <c r="CE493" s="503" t="s">
        <v>621</v>
      </c>
      <c r="CF493" s="503" t="str">
        <f>IF($G493="","",IF(AND($G493&gt;=30,$AT$3&lt;=CE$7),ROUND(CE493*($AP$3+#REF!),-1),""))</f>
        <v/>
      </c>
      <c r="CG493" s="503" t="s">
        <v>621</v>
      </c>
      <c r="CH493" s="503" t="str">
        <f>IF($G493="","",IF(AND($G493&gt;=30,$AT$3&lt;=CG$7),ROUND(CG493*($AP$3+#REF!),-1),""))</f>
        <v/>
      </c>
      <c r="CI493" s="503" t="s">
        <v>621</v>
      </c>
      <c r="CJ493" s="503" t="str">
        <f>IF($G493="","",IF(AND($G493&gt;=30,$AT$3&lt;=CI$7),ROUND(CI493*($AP$3+#REF!),-1),""))</f>
        <v/>
      </c>
      <c r="CK493" s="503" t="s">
        <v>621</v>
      </c>
      <c r="CL493" s="503" t="str">
        <f>IF($G493="","",IF(AND($G493&gt;=30,$AT$3&lt;=CK$7),ROUND(CK493*($AP$3+#REF!),-1),""))</f>
        <v/>
      </c>
      <c r="CM493" s="503" t="s">
        <v>621</v>
      </c>
      <c r="CN493" s="503" t="str">
        <f>IF($G493="","",IF(AND($G493&gt;=30,$AT$3&lt;=CM$7),ROUND(CM493*($AP$3+#REF!),-1),""))</f>
        <v/>
      </c>
      <c r="CO493" s="503" t="s">
        <v>621</v>
      </c>
      <c r="CP493" s="503" t="str">
        <f>IF($G493="","",IF(AND($G493&gt;=30,$AT$3&lt;=CO$7),ROUND(CO493*($AP$3+#REF!),-1),""))</f>
        <v/>
      </c>
      <c r="CQ493" s="503" t="s">
        <v>621</v>
      </c>
      <c r="CR493" s="503" t="str">
        <f>IF($G493="","",IF(AND($G493&gt;=30,$AT$3&lt;=CQ$7),ROUND(CQ493*($AP$3+#REF!),-1),""))</f>
        <v/>
      </c>
      <c r="CS493" s="503" t="s">
        <v>621</v>
      </c>
      <c r="CT493" s="503" t="str">
        <f>IF($G493="","",IF(AND($G493&gt;=30,$AT$3&lt;=CS$7),ROUND(CS493*($AP$3+#REF!),-1),""))</f>
        <v/>
      </c>
      <c r="CU493" s="503" t="s">
        <v>621</v>
      </c>
      <c r="CV493" s="503" t="str">
        <f>IF($G493="","",IF(AND($G493&gt;=30,$AT$3&lt;=CU$7),ROUND(CU493*($AP$3+#REF!),-1),""))</f>
        <v/>
      </c>
      <c r="CW493" s="503" t="s">
        <v>621</v>
      </c>
      <c r="CX493" s="503" t="str">
        <f>IF($G493="","",IF(AND($G493&gt;=30,$AT$3&lt;=CW$7),ROUND(CW493*($AP$3+#REF!),-1),""))</f>
        <v/>
      </c>
      <c r="CY493" s="503" t="s">
        <v>621</v>
      </c>
      <c r="CZ493" s="503" t="str">
        <f>IF($G493="","",IF(AND($G493&gt;=30,$AT$3&lt;=CY$7),ROUND(CY493*($AP$3+#REF!),-1),""))</f>
        <v/>
      </c>
      <c r="DA493" s="503" t="s">
        <v>621</v>
      </c>
      <c r="DB493" s="503" t="str">
        <f>IF($G493="","",IF(AND($G493&gt;=30,$AT$3&lt;=DA$7),ROUND(DA493*($AP$3+#REF!),-1),""))</f>
        <v/>
      </c>
      <c r="DC493" s="503" t="s">
        <v>621</v>
      </c>
      <c r="DD493" s="503" t="str">
        <f>IF($G493="","",IF(AND($G493&gt;=30,$AT$3&lt;=DC$7),ROUND(DC493*($AP$3+#REF!),-1),""))</f>
        <v/>
      </c>
      <c r="DE493" s="503" t="s">
        <v>621</v>
      </c>
      <c r="DF493" s="503" t="str">
        <f>IF($G493="","",IF(AND($G493&gt;=30,$AT$3&lt;=DE$7),ROUND(DE493*($AP$3+#REF!),-1),""))</f>
        <v/>
      </c>
      <c r="DG493" s="503" t="s">
        <v>621</v>
      </c>
      <c r="DH493" s="503" t="str">
        <f>IF($G493="","",IF(AND($G493&gt;=30,$AT$3&lt;=DG$7),ROUND(DG493*($AP$3+#REF!),-1),""))</f>
        <v/>
      </c>
      <c r="DI493" s="517" t="e">
        <v>#REF!</v>
      </c>
      <c r="DJ493" s="503" t="str">
        <f>IF($G493="","",IF(AND($G493&gt;=30,$AT$3&lt;=DI$7),ROUND(DI493*($AP$3+#REF!),-1),""))</f>
        <v/>
      </c>
      <c r="DK493" s="503"/>
      <c r="DL493" s="503" t="str">
        <f>IF($G493="","",IF(AND($G493&gt;=30,$AT$3&lt;=DK$7),ROUND(DK493*($AP$3+#REF!),-1),""))</f>
        <v/>
      </c>
      <c r="DM493" s="503"/>
      <c r="DN493" s="503" t="str">
        <f>IF($G493="","",IF(AND($G493&gt;=30,$AT$3&lt;=DM$7),ROUND(DM493*($AP$3+#REF!),-1),""))</f>
        <v/>
      </c>
      <c r="DO493" s="503"/>
      <c r="DP493" s="503" t="str">
        <f>IF($G493="","",IF(AND($G493&gt;=30,$AT$3&lt;=DO$7),ROUND(DO493*($AP$3+#REF!),-1),""))</f>
        <v/>
      </c>
      <c r="DQ493" s="503"/>
      <c r="DR493" s="503" t="str">
        <f>IF($G493="","",IF(AND($G493&gt;=30,$AT$3&lt;=DQ$7),ROUND(DQ493*($AP$3+#REF!),-1),""))</f>
        <v/>
      </c>
      <c r="DS493" s="503"/>
      <c r="DT493" s="503" t="str">
        <f>IF($G493="","",IF(AND($G493&gt;=30,$AT$3&lt;=DS$7),ROUND(DS493*($AP$3+#REF!),-1),""))</f>
        <v/>
      </c>
      <c r="DU493" s="503"/>
      <c r="DV493" s="503" t="str">
        <f>IF($G493="","",IF(AND($G493&gt;=30,$AT$3&lt;=DU$7),ROUND(DU493*($AP$3+#REF!),-1),""))</f>
        <v/>
      </c>
      <c r="DW493" s="503"/>
      <c r="DX493" s="503" t="str">
        <f>IF($G493="","",IF(AND($G493&gt;=30,$AT$3&lt;=DW$7),ROUND(DW493*($AP$3+#REF!),-1),""))</f>
        <v/>
      </c>
      <c r="DY493" s="503"/>
      <c r="DZ493" s="503" t="str">
        <f>IF($G493="","",IF(AND($G493&gt;=30,$AT$3&lt;=DY$7),ROUND(DY493*($AP$3+#REF!),-1),""))</f>
        <v/>
      </c>
      <c r="EA493" s="503"/>
      <c r="EB493" s="503" t="str">
        <f>IF($G493="","",IF(AND($G493&gt;=30,$AT$3&lt;=EA$7),ROUND(EA493*($AP$3+#REF!),-1),""))</f>
        <v/>
      </c>
      <c r="EC493" s="436"/>
      <c r="ED493" s="436"/>
      <c r="EE493" s="394"/>
    </row>
    <row r="494" spans="1:135" ht="9.75" customHeight="1">
      <c r="A494" s="321" t="str">
        <f t="shared" si="110"/>
        <v/>
      </c>
      <c r="B494" s="567">
        <f>(ii!$D$13*12+V494)+1</f>
        <v>388</v>
      </c>
      <c r="C494" s="337">
        <f t="shared" si="114"/>
        <v>57161</v>
      </c>
      <c r="D494" s="484">
        <f t="shared" si="117"/>
        <v>2056</v>
      </c>
      <c r="E494" s="484">
        <f t="shared" si="115"/>
        <v>0.5</v>
      </c>
      <c r="F494" s="484">
        <f t="shared" si="118"/>
        <v>2056.5</v>
      </c>
      <c r="G494" s="485" t="str">
        <f>IF(OR(C494&lt;$I$2,C494&gt;$J$3),"",(ii!$D$13*12+V494+1)/12)</f>
        <v/>
      </c>
      <c r="H494" s="486"/>
      <c r="I494" s="486"/>
      <c r="J494" s="487"/>
      <c r="K494" s="488"/>
      <c r="L494" s="548"/>
      <c r="M494" s="489" t="str">
        <f t="shared" si="119"/>
        <v/>
      </c>
      <c r="N494" s="490" t="s">
        <v>621</v>
      </c>
      <c r="O494" s="490" t="str">
        <f t="shared" si="112"/>
        <v/>
      </c>
      <c r="P494" s="491"/>
      <c r="Q494" s="491"/>
      <c r="R494" s="491" t="str">
        <f t="shared" si="113"/>
        <v/>
      </c>
      <c r="S494" s="528" t="str">
        <f t="shared" si="111"/>
        <v/>
      </c>
      <c r="T494" s="528" t="str">
        <f t="shared" si="109"/>
        <v/>
      </c>
      <c r="U494" s="493" t="str">
        <f>IF(H494="","",#REF!*12+#REF!+#REF!*12+#REF!)</f>
        <v/>
      </c>
      <c r="V494" s="338">
        <f>IF(ii!$J$3&gt;gg!C494,"",IF(AND((YEAR(C494)=YEAR($I$2)),MONTH(C494)=MONTH($I$2)),ii!$B$14*12+ii!$C$14+ii!$B$15*12+ii!$C$15-1,V493+1))</f>
        <v>387</v>
      </c>
      <c r="W494" s="339">
        <f t="shared" si="116"/>
        <v>32.25</v>
      </c>
      <c r="X494" s="494" t="s">
        <v>621</v>
      </c>
      <c r="Y494" s="495" t="s">
        <v>621</v>
      </c>
      <c r="Z494" s="496"/>
      <c r="AA494" s="497"/>
      <c r="AB494" s="498" t="e">
        <f t="shared" si="122"/>
        <v>#VALUE!</v>
      </c>
      <c r="AC494" s="484" t="str">
        <f t="shared" si="120"/>
        <v/>
      </c>
      <c r="AD494" s="495" t="str">
        <f t="shared" si="121"/>
        <v/>
      </c>
      <c r="AE494" s="499" t="s">
        <v>621</v>
      </c>
      <c r="AF494" s="500" t="s">
        <v>621</v>
      </c>
      <c r="AG494" s="556" t="s">
        <v>621</v>
      </c>
      <c r="AH494" s="503" t="str">
        <f>IF($G494="","",IF(AND($G494&gt;=30,$AT$3&lt;=AG$7),ROUND(AG494*($AP$3+#REF!),-1),""))</f>
        <v/>
      </c>
      <c r="AI494" s="506" t="s">
        <v>621</v>
      </c>
      <c r="AJ494" s="503" t="str">
        <f>IF($G494="","",IF(AND($G494&gt;=30,$AT$3&lt;=AI$7),ROUND(AI494*($AP$3+#REF!),-1),""))</f>
        <v/>
      </c>
      <c r="AK494" s="506" t="s">
        <v>621</v>
      </c>
      <c r="AL494" s="503" t="str">
        <f>IF($G494="","",IF(AND($G494&gt;=30,$AT$3&lt;=AK$7),ROUND(AK494*($AP$3+#REF!),-1),""))</f>
        <v/>
      </c>
      <c r="AM494" s="506" t="s">
        <v>621</v>
      </c>
      <c r="AN494" s="503" t="str">
        <f>IF($G494="","",IF(AND($G494&gt;=30,$AT$3&lt;=AM$7),ROUND(AM494*($AP$3+#REF!),-1),""))</f>
        <v/>
      </c>
      <c r="AO494" s="503" t="e">
        <v>#REF!</v>
      </c>
      <c r="AP494" s="503" t="str">
        <f>IF($G494="","",IF(AND($G494&gt;=30,$AT$3&lt;=AO$7),ROUND(AO494*($AP$3+#REF!),-1),""))</f>
        <v/>
      </c>
      <c r="AQ494" s="503" t="s">
        <v>621</v>
      </c>
      <c r="AR494" s="503" t="str">
        <f>IF($G494="","",IF(AND($G494&gt;=30,$AT$3&lt;=AQ$7),ROUND(AQ494*($AP$3+#REF!),-1),""))</f>
        <v/>
      </c>
      <c r="AS494" s="503" t="s">
        <v>621</v>
      </c>
      <c r="AT494" s="503" t="str">
        <f>IF($G494="","",IF(AND($G494&gt;=30,$AT$3&lt;=AS$7),ROUND(AS494*($AP$3+#REF!),-1),""))</f>
        <v/>
      </c>
      <c r="AU494" s="503" t="s">
        <v>621</v>
      </c>
      <c r="AV494" s="503" t="str">
        <f>IF($G494="","",IF(AND($G494&gt;=30,$AT$3&lt;=AU$7),ROUND(AU494*($AP$3+#REF!),-1),""))</f>
        <v/>
      </c>
      <c r="AW494" s="503" t="s">
        <v>621</v>
      </c>
      <c r="AX494" s="503" t="str">
        <f>IF($G494="","",IF(AND($G494&gt;=30,$AT$3&lt;=AW$7),ROUND(AW494*($AP$3+#REF!),-1),""))</f>
        <v/>
      </c>
      <c r="AY494" s="503" t="s">
        <v>621</v>
      </c>
      <c r="AZ494" s="503" t="str">
        <f>IF($G494="","",IF(AND($G494&gt;=30,$AT$3&lt;=AY$7),ROUND(AY494*($AP$3+#REF!),-1),""))</f>
        <v/>
      </c>
      <c r="BA494" s="503" t="s">
        <v>621</v>
      </c>
      <c r="BB494" s="503" t="str">
        <f>IF($G494="","",IF(AND($G494&gt;=30,$AT$3&lt;=BA$7),ROUND(BA494*($AP$3+#REF!),-1),""))</f>
        <v/>
      </c>
      <c r="BC494" s="503" t="s">
        <v>621</v>
      </c>
      <c r="BD494" s="503" t="str">
        <f>IF($G494="","",IF(AND($G494&gt;=30,$AT$3&lt;=BC$7),ROUND(BC494*($AP$3+#REF!),-1),""))</f>
        <v/>
      </c>
      <c r="BE494" s="503" t="s">
        <v>621</v>
      </c>
      <c r="BF494" s="503" t="str">
        <f>IF($G494="","",IF(AND($G494&gt;=30,$AT$3&lt;=BE$7),ROUND(BE494*($AP$3+#REF!),-1),""))</f>
        <v/>
      </c>
      <c r="BG494" s="503" t="s">
        <v>621</v>
      </c>
      <c r="BH494" s="503" t="str">
        <f>IF($G494="","",IF(AND($G494&gt;=30,$AT$3&lt;=BG$7),ROUND(BG494*($AP$3+#REF!),-1),""))</f>
        <v/>
      </c>
      <c r="BI494" s="503" t="s">
        <v>621</v>
      </c>
      <c r="BJ494" s="503" t="str">
        <f>IF($G494="","",IF(AND($G494&gt;=30,$AT$3&lt;=BI$7),ROUND(BI494*($AP$3+#REF!),-1),""))</f>
        <v/>
      </c>
      <c r="BK494" s="503" t="s">
        <v>621</v>
      </c>
      <c r="BL494" s="503" t="str">
        <f>IF($G494="","",IF(AND($G494&gt;=30,$AT$3&lt;=BK$7),ROUND(BK494*($AP$3+#REF!),-1),""))</f>
        <v/>
      </c>
      <c r="BM494" s="503" t="s">
        <v>621</v>
      </c>
      <c r="BN494" s="503" t="str">
        <f>IF($G494="","",IF(AND($G494&gt;=30,$AT$3&lt;=BM$7),ROUND(BM494*($AP$3+#REF!),-1),""))</f>
        <v/>
      </c>
      <c r="BO494" s="503" t="s">
        <v>621</v>
      </c>
      <c r="BP494" s="503" t="str">
        <f>IF($G494="","",IF(AND($G494&gt;=30,$AT$3&lt;=BO$7),ROUND(BO494*($AP$3+#REF!),-1),""))</f>
        <v/>
      </c>
      <c r="BQ494" s="503" t="s">
        <v>621</v>
      </c>
      <c r="BR494" s="503" t="str">
        <f>IF($G494="","",IF(AND($G494&gt;=30,$AT$3&lt;=BQ$7),ROUND(BQ494*($AP$3+#REF!),-1),""))</f>
        <v/>
      </c>
      <c r="BS494" s="503" t="s">
        <v>621</v>
      </c>
      <c r="BT494" s="503" t="str">
        <f>IF($G494="","",IF(AND($G494&gt;=30,$AT$3&lt;=BS$7),ROUND(BS494*($AP$3+#REF!),-1),""))</f>
        <v/>
      </c>
      <c r="BU494" s="503" t="s">
        <v>621</v>
      </c>
      <c r="BV494" s="503" t="str">
        <f>IF($G494="","",IF(AND($G494&gt;=30,$AT$3&lt;=BU$7),ROUND(BU494*($AP$3+#REF!),-1),""))</f>
        <v/>
      </c>
      <c r="BW494" s="503" t="s">
        <v>621</v>
      </c>
      <c r="BX494" s="503" t="str">
        <f>IF($G494="","",IF(AND($G494&gt;=30,$AT$3&lt;=BW$7),ROUND(BW494*($AP$3+#REF!),-1),""))</f>
        <v/>
      </c>
      <c r="BY494" s="503" t="s">
        <v>621</v>
      </c>
      <c r="BZ494" s="503" t="str">
        <f>IF($G494="","",IF(AND($G494&gt;=30,$AT$3&lt;=BY$7),ROUND(BY494*($AP$3+#REF!),-1),""))</f>
        <v/>
      </c>
      <c r="CA494" s="503" t="s">
        <v>621</v>
      </c>
      <c r="CB494" s="503" t="str">
        <f>IF($G494="","",IF(AND($G494&gt;=30,$AT$3&lt;=CA$7),ROUND(CA494*($AP$3+#REF!),-1),""))</f>
        <v/>
      </c>
      <c r="CC494" s="503" t="s">
        <v>621</v>
      </c>
      <c r="CD494" s="503" t="str">
        <f>IF($G494="","",IF(AND($G494&gt;=30,$AT$3&lt;=CC$7),ROUND(CC494*($AP$3+#REF!),-1),""))</f>
        <v/>
      </c>
      <c r="CE494" s="503" t="s">
        <v>621</v>
      </c>
      <c r="CF494" s="503" t="str">
        <f>IF($G494="","",IF(AND($G494&gt;=30,$AT$3&lt;=CE$7),ROUND(CE494*($AP$3+#REF!),-1),""))</f>
        <v/>
      </c>
      <c r="CG494" s="503" t="s">
        <v>621</v>
      </c>
      <c r="CH494" s="503" t="str">
        <f>IF($G494="","",IF(AND($G494&gt;=30,$AT$3&lt;=CG$7),ROUND(CG494*($AP$3+#REF!),-1),""))</f>
        <v/>
      </c>
      <c r="CI494" s="503" t="s">
        <v>621</v>
      </c>
      <c r="CJ494" s="503" t="str">
        <f>IF($G494="","",IF(AND($G494&gt;=30,$AT$3&lt;=CI$7),ROUND(CI494*($AP$3+#REF!),-1),""))</f>
        <v/>
      </c>
      <c r="CK494" s="503" t="s">
        <v>621</v>
      </c>
      <c r="CL494" s="503" t="str">
        <f>IF($G494="","",IF(AND($G494&gt;=30,$AT$3&lt;=CK$7),ROUND(CK494*($AP$3+#REF!),-1),""))</f>
        <v/>
      </c>
      <c r="CM494" s="503" t="s">
        <v>621</v>
      </c>
      <c r="CN494" s="503" t="str">
        <f>IF($G494="","",IF(AND($G494&gt;=30,$AT$3&lt;=CM$7),ROUND(CM494*($AP$3+#REF!),-1),""))</f>
        <v/>
      </c>
      <c r="CO494" s="503" t="s">
        <v>621</v>
      </c>
      <c r="CP494" s="503" t="str">
        <f>IF($G494="","",IF(AND($G494&gt;=30,$AT$3&lt;=CO$7),ROUND(CO494*($AP$3+#REF!),-1),""))</f>
        <v/>
      </c>
      <c r="CQ494" s="503" t="s">
        <v>621</v>
      </c>
      <c r="CR494" s="503" t="str">
        <f>IF($G494="","",IF(AND($G494&gt;=30,$AT$3&lt;=CQ$7),ROUND(CQ494*($AP$3+#REF!),-1),""))</f>
        <v/>
      </c>
      <c r="CS494" s="503" t="s">
        <v>621</v>
      </c>
      <c r="CT494" s="503" t="str">
        <f>IF($G494="","",IF(AND($G494&gt;=30,$AT$3&lt;=CS$7),ROUND(CS494*($AP$3+#REF!),-1),""))</f>
        <v/>
      </c>
      <c r="CU494" s="503" t="s">
        <v>621</v>
      </c>
      <c r="CV494" s="503" t="str">
        <f>IF($G494="","",IF(AND($G494&gt;=30,$AT$3&lt;=CU$7),ROUND(CU494*($AP$3+#REF!),-1),""))</f>
        <v/>
      </c>
      <c r="CW494" s="503" t="s">
        <v>621</v>
      </c>
      <c r="CX494" s="503" t="str">
        <f>IF($G494="","",IF(AND($G494&gt;=30,$AT$3&lt;=CW$7),ROUND(CW494*($AP$3+#REF!),-1),""))</f>
        <v/>
      </c>
      <c r="CY494" s="503" t="s">
        <v>621</v>
      </c>
      <c r="CZ494" s="503" t="str">
        <f>IF($G494="","",IF(AND($G494&gt;=30,$AT$3&lt;=CY$7),ROUND(CY494*($AP$3+#REF!),-1),""))</f>
        <v/>
      </c>
      <c r="DA494" s="503" t="s">
        <v>621</v>
      </c>
      <c r="DB494" s="503" t="str">
        <f>IF($G494="","",IF(AND($G494&gt;=30,$AT$3&lt;=DA$7),ROUND(DA494*($AP$3+#REF!),-1),""))</f>
        <v/>
      </c>
      <c r="DC494" s="503" t="s">
        <v>621</v>
      </c>
      <c r="DD494" s="503" t="str">
        <f>IF($G494="","",IF(AND($G494&gt;=30,$AT$3&lt;=DC$7),ROUND(DC494*($AP$3+#REF!),-1),""))</f>
        <v/>
      </c>
      <c r="DE494" s="503" t="s">
        <v>621</v>
      </c>
      <c r="DF494" s="503" t="str">
        <f>IF($G494="","",IF(AND($G494&gt;=30,$AT$3&lt;=DE$7),ROUND(DE494*($AP$3+#REF!),-1),""))</f>
        <v/>
      </c>
      <c r="DG494" s="503" t="s">
        <v>621</v>
      </c>
      <c r="DH494" s="503" t="str">
        <f>IF($G494="","",IF(AND($G494&gt;=30,$AT$3&lt;=DG$7),ROUND(DG494*($AP$3+#REF!),-1),""))</f>
        <v/>
      </c>
      <c r="DI494" s="517" t="e">
        <v>#REF!</v>
      </c>
      <c r="DJ494" s="503" t="str">
        <f>IF($G494="","",IF(AND($G494&gt;=30,$AT$3&lt;=DI$7),ROUND(DI494*($AP$3+#REF!),-1),""))</f>
        <v/>
      </c>
      <c r="DK494" s="503"/>
      <c r="DL494" s="503" t="str">
        <f>IF($G494="","",IF(AND($G494&gt;=30,$AT$3&lt;=DK$7),ROUND(DK494*($AP$3+#REF!),-1),""))</f>
        <v/>
      </c>
      <c r="DM494" s="503"/>
      <c r="DN494" s="503" t="str">
        <f>IF($G494="","",IF(AND($G494&gt;=30,$AT$3&lt;=DM$7),ROUND(DM494*($AP$3+#REF!),-1),""))</f>
        <v/>
      </c>
      <c r="DO494" s="503"/>
      <c r="DP494" s="503" t="str">
        <f>IF($G494="","",IF(AND($G494&gt;=30,$AT$3&lt;=DO$7),ROUND(DO494*($AP$3+#REF!),-1),""))</f>
        <v/>
      </c>
      <c r="DQ494" s="503"/>
      <c r="DR494" s="503" t="str">
        <f>IF($G494="","",IF(AND($G494&gt;=30,$AT$3&lt;=DQ$7),ROUND(DQ494*($AP$3+#REF!),-1),""))</f>
        <v/>
      </c>
      <c r="DS494" s="503"/>
      <c r="DT494" s="503" t="str">
        <f>IF($G494="","",IF(AND($G494&gt;=30,$AT$3&lt;=DS$7),ROUND(DS494*($AP$3+#REF!),-1),""))</f>
        <v/>
      </c>
      <c r="DU494" s="503"/>
      <c r="DV494" s="503" t="str">
        <f>IF($G494="","",IF(AND($G494&gt;=30,$AT$3&lt;=DU$7),ROUND(DU494*($AP$3+#REF!),-1),""))</f>
        <v/>
      </c>
      <c r="DW494" s="503"/>
      <c r="DX494" s="503" t="str">
        <f>IF($G494="","",IF(AND($G494&gt;=30,$AT$3&lt;=DW$7),ROUND(DW494*($AP$3+#REF!),-1),""))</f>
        <v/>
      </c>
      <c r="DY494" s="503"/>
      <c r="DZ494" s="503" t="str">
        <f>IF($G494="","",IF(AND($G494&gt;=30,$AT$3&lt;=DY$7),ROUND(DY494*($AP$3+#REF!),-1),""))</f>
        <v/>
      </c>
      <c r="EA494" s="503"/>
      <c r="EB494" s="503" t="str">
        <f>IF($G494="","",IF(AND($G494&gt;=30,$AT$3&lt;=EA$7),ROUND(EA494*($AP$3+#REF!),-1),""))</f>
        <v/>
      </c>
      <c r="EC494" s="436"/>
      <c r="ED494" s="436"/>
      <c r="EE494" s="394"/>
    </row>
    <row r="495" spans="1:135" ht="9.75" customHeight="1">
      <c r="A495" s="321" t="str">
        <f t="shared" si="110"/>
        <v/>
      </c>
      <c r="B495" s="567">
        <f>(ii!$D$13*12+V495)+1</f>
        <v>389</v>
      </c>
      <c r="C495" s="337">
        <f t="shared" si="114"/>
        <v>57192</v>
      </c>
      <c r="D495" s="484">
        <f t="shared" si="117"/>
        <v>2056</v>
      </c>
      <c r="E495" s="484">
        <f t="shared" si="115"/>
        <v>0.58333333333333337</v>
      </c>
      <c r="F495" s="484">
        <f t="shared" si="118"/>
        <v>2056.5833333333335</v>
      </c>
      <c r="G495" s="485" t="str">
        <f>IF(OR(C495&lt;$I$2,C495&gt;$J$3),"",(ii!$D$13*12+V495+1)/12)</f>
        <v/>
      </c>
      <c r="H495" s="486"/>
      <c r="I495" s="486"/>
      <c r="J495" s="487"/>
      <c r="K495" s="488"/>
      <c r="L495" s="548"/>
      <c r="M495" s="489" t="str">
        <f t="shared" si="119"/>
        <v/>
      </c>
      <c r="N495" s="490" t="s">
        <v>621</v>
      </c>
      <c r="O495" s="490" t="str">
        <f t="shared" si="112"/>
        <v/>
      </c>
      <c r="P495" s="491"/>
      <c r="Q495" s="491"/>
      <c r="R495" s="491" t="str">
        <f t="shared" si="113"/>
        <v/>
      </c>
      <c r="S495" s="528" t="str">
        <f t="shared" si="111"/>
        <v/>
      </c>
      <c r="T495" s="528" t="str">
        <f t="shared" si="109"/>
        <v/>
      </c>
      <c r="U495" s="493" t="str">
        <f>IF(H495="","",#REF!*12+#REF!+#REF!*12+#REF!)</f>
        <v/>
      </c>
      <c r="V495" s="338">
        <f>IF(ii!$J$3&gt;gg!C495,"",IF(AND((YEAR(C495)=YEAR($I$2)),MONTH(C495)=MONTH($I$2)),ii!$B$14*12+ii!$C$14+ii!$B$15*12+ii!$C$15-1,V494+1))</f>
        <v>388</v>
      </c>
      <c r="W495" s="339">
        <f t="shared" si="116"/>
        <v>32.333333333333336</v>
      </c>
      <c r="X495" s="494" t="s">
        <v>621</v>
      </c>
      <c r="Y495" s="495" t="s">
        <v>621</v>
      </c>
      <c r="Z495" s="496"/>
      <c r="AA495" s="497"/>
      <c r="AB495" s="498" t="e">
        <f t="shared" si="122"/>
        <v>#VALUE!</v>
      </c>
      <c r="AC495" s="484" t="str">
        <f t="shared" si="120"/>
        <v/>
      </c>
      <c r="AD495" s="495" t="str">
        <f t="shared" si="121"/>
        <v/>
      </c>
      <c r="AE495" s="499" t="s">
        <v>621</v>
      </c>
      <c r="AF495" s="500" t="s">
        <v>621</v>
      </c>
      <c r="AG495" s="556" t="s">
        <v>621</v>
      </c>
      <c r="AH495" s="503" t="str">
        <f>IF($G495="","",IF(AND($G495&gt;=30,$AT$3&lt;=AG$7),ROUND(AG495*($AP$3+#REF!),-1),""))</f>
        <v/>
      </c>
      <c r="AI495" s="506" t="s">
        <v>621</v>
      </c>
      <c r="AJ495" s="503" t="str">
        <f>IF($G495="","",IF(AND($G495&gt;=30,$AT$3&lt;=AI$7),ROUND(AI495*($AP$3+#REF!),-1),""))</f>
        <v/>
      </c>
      <c r="AK495" s="506" t="s">
        <v>621</v>
      </c>
      <c r="AL495" s="503" t="str">
        <f>IF($G495="","",IF(AND($G495&gt;=30,$AT$3&lt;=AK$7),ROUND(AK495*($AP$3+#REF!),-1),""))</f>
        <v/>
      </c>
      <c r="AM495" s="506" t="s">
        <v>621</v>
      </c>
      <c r="AN495" s="503" t="str">
        <f>IF($G495="","",IF(AND($G495&gt;=30,$AT$3&lt;=AM$7),ROUND(AM495*($AP$3+#REF!),-1),""))</f>
        <v/>
      </c>
      <c r="AO495" s="503" t="e">
        <v>#REF!</v>
      </c>
      <c r="AP495" s="503" t="str">
        <f>IF($G495="","",IF(AND($G495&gt;=30,$AT$3&lt;=AO$7),ROUND(AO495*($AP$3+#REF!),-1),""))</f>
        <v/>
      </c>
      <c r="AQ495" s="503" t="s">
        <v>621</v>
      </c>
      <c r="AR495" s="503" t="str">
        <f>IF($G495="","",IF(AND($G495&gt;=30,$AT$3&lt;=AQ$7),ROUND(AQ495*($AP$3+#REF!),-1),""))</f>
        <v/>
      </c>
      <c r="AS495" s="503" t="s">
        <v>621</v>
      </c>
      <c r="AT495" s="503" t="str">
        <f>IF($G495="","",IF(AND($G495&gt;=30,$AT$3&lt;=AS$7),ROUND(AS495*($AP$3+#REF!),-1),""))</f>
        <v/>
      </c>
      <c r="AU495" s="503" t="s">
        <v>621</v>
      </c>
      <c r="AV495" s="503" t="str">
        <f>IF($G495="","",IF(AND($G495&gt;=30,$AT$3&lt;=AU$7),ROUND(AU495*($AP$3+#REF!),-1),""))</f>
        <v/>
      </c>
      <c r="AW495" s="503" t="s">
        <v>621</v>
      </c>
      <c r="AX495" s="503" t="str">
        <f>IF($G495="","",IF(AND($G495&gt;=30,$AT$3&lt;=AW$7),ROUND(AW495*($AP$3+#REF!),-1),""))</f>
        <v/>
      </c>
      <c r="AY495" s="503" t="s">
        <v>621</v>
      </c>
      <c r="AZ495" s="503" t="str">
        <f>IF($G495="","",IF(AND($G495&gt;=30,$AT$3&lt;=AY$7),ROUND(AY495*($AP$3+#REF!),-1),""))</f>
        <v/>
      </c>
      <c r="BA495" s="503" t="s">
        <v>621</v>
      </c>
      <c r="BB495" s="503" t="str">
        <f>IF($G495="","",IF(AND($G495&gt;=30,$AT$3&lt;=BA$7),ROUND(BA495*($AP$3+#REF!),-1),""))</f>
        <v/>
      </c>
      <c r="BC495" s="503" t="s">
        <v>621</v>
      </c>
      <c r="BD495" s="503" t="str">
        <f>IF($G495="","",IF(AND($G495&gt;=30,$AT$3&lt;=BC$7),ROUND(BC495*($AP$3+#REF!),-1),""))</f>
        <v/>
      </c>
      <c r="BE495" s="503" t="s">
        <v>621</v>
      </c>
      <c r="BF495" s="503" t="str">
        <f>IF($G495="","",IF(AND($G495&gt;=30,$AT$3&lt;=BE$7),ROUND(BE495*($AP$3+#REF!),-1),""))</f>
        <v/>
      </c>
      <c r="BG495" s="503" t="s">
        <v>621</v>
      </c>
      <c r="BH495" s="503" t="str">
        <f>IF($G495="","",IF(AND($G495&gt;=30,$AT$3&lt;=BG$7),ROUND(BG495*($AP$3+#REF!),-1),""))</f>
        <v/>
      </c>
      <c r="BI495" s="503" t="s">
        <v>621</v>
      </c>
      <c r="BJ495" s="503" t="str">
        <f>IF($G495="","",IF(AND($G495&gt;=30,$AT$3&lt;=BI$7),ROUND(BI495*($AP$3+#REF!),-1),""))</f>
        <v/>
      </c>
      <c r="BK495" s="503" t="s">
        <v>621</v>
      </c>
      <c r="BL495" s="503" t="str">
        <f>IF($G495="","",IF(AND($G495&gt;=30,$AT$3&lt;=BK$7),ROUND(BK495*($AP$3+#REF!),-1),""))</f>
        <v/>
      </c>
      <c r="BM495" s="503" t="s">
        <v>621</v>
      </c>
      <c r="BN495" s="503" t="str">
        <f>IF($G495="","",IF(AND($G495&gt;=30,$AT$3&lt;=BM$7),ROUND(BM495*($AP$3+#REF!),-1),""))</f>
        <v/>
      </c>
      <c r="BO495" s="503" t="s">
        <v>621</v>
      </c>
      <c r="BP495" s="503" t="str">
        <f>IF($G495="","",IF(AND($G495&gt;=30,$AT$3&lt;=BO$7),ROUND(BO495*($AP$3+#REF!),-1),""))</f>
        <v/>
      </c>
      <c r="BQ495" s="503" t="s">
        <v>621</v>
      </c>
      <c r="BR495" s="503" t="str">
        <f>IF($G495="","",IF(AND($G495&gt;=30,$AT$3&lt;=BQ$7),ROUND(BQ495*($AP$3+#REF!),-1),""))</f>
        <v/>
      </c>
      <c r="BS495" s="503" t="s">
        <v>621</v>
      </c>
      <c r="BT495" s="503" t="str">
        <f>IF($G495="","",IF(AND($G495&gt;=30,$AT$3&lt;=BS$7),ROUND(BS495*($AP$3+#REF!),-1),""))</f>
        <v/>
      </c>
      <c r="BU495" s="503" t="s">
        <v>621</v>
      </c>
      <c r="BV495" s="503" t="str">
        <f>IF($G495="","",IF(AND($G495&gt;=30,$AT$3&lt;=BU$7),ROUND(BU495*($AP$3+#REF!),-1),""))</f>
        <v/>
      </c>
      <c r="BW495" s="503" t="s">
        <v>621</v>
      </c>
      <c r="BX495" s="503" t="str">
        <f>IF($G495="","",IF(AND($G495&gt;=30,$AT$3&lt;=BW$7),ROUND(BW495*($AP$3+#REF!),-1),""))</f>
        <v/>
      </c>
      <c r="BY495" s="503" t="s">
        <v>621</v>
      </c>
      <c r="BZ495" s="503" t="str">
        <f>IF($G495="","",IF(AND($G495&gt;=30,$AT$3&lt;=BY$7),ROUND(BY495*($AP$3+#REF!),-1),""))</f>
        <v/>
      </c>
      <c r="CA495" s="503" t="s">
        <v>621</v>
      </c>
      <c r="CB495" s="503" t="str">
        <f>IF($G495="","",IF(AND($G495&gt;=30,$AT$3&lt;=CA$7),ROUND(CA495*($AP$3+#REF!),-1),""))</f>
        <v/>
      </c>
      <c r="CC495" s="503" t="s">
        <v>621</v>
      </c>
      <c r="CD495" s="503" t="str">
        <f>IF($G495="","",IF(AND($G495&gt;=30,$AT$3&lt;=CC$7),ROUND(CC495*($AP$3+#REF!),-1),""))</f>
        <v/>
      </c>
      <c r="CE495" s="503" t="s">
        <v>621</v>
      </c>
      <c r="CF495" s="503" t="str">
        <f>IF($G495="","",IF(AND($G495&gt;=30,$AT$3&lt;=CE$7),ROUND(CE495*($AP$3+#REF!),-1),""))</f>
        <v/>
      </c>
      <c r="CG495" s="503" t="s">
        <v>621</v>
      </c>
      <c r="CH495" s="503" t="str">
        <f>IF($G495="","",IF(AND($G495&gt;=30,$AT$3&lt;=CG$7),ROUND(CG495*($AP$3+#REF!),-1),""))</f>
        <v/>
      </c>
      <c r="CI495" s="503" t="s">
        <v>621</v>
      </c>
      <c r="CJ495" s="503" t="str">
        <f>IF($G495="","",IF(AND($G495&gt;=30,$AT$3&lt;=CI$7),ROUND(CI495*($AP$3+#REF!),-1),""))</f>
        <v/>
      </c>
      <c r="CK495" s="503" t="s">
        <v>621</v>
      </c>
      <c r="CL495" s="503" t="str">
        <f>IF($G495="","",IF(AND($G495&gt;=30,$AT$3&lt;=CK$7),ROUND(CK495*($AP$3+#REF!),-1),""))</f>
        <v/>
      </c>
      <c r="CM495" s="503" t="s">
        <v>621</v>
      </c>
      <c r="CN495" s="503" t="str">
        <f>IF($G495="","",IF(AND($G495&gt;=30,$AT$3&lt;=CM$7),ROUND(CM495*($AP$3+#REF!),-1),""))</f>
        <v/>
      </c>
      <c r="CO495" s="503" t="s">
        <v>621</v>
      </c>
      <c r="CP495" s="503" t="str">
        <f>IF($G495="","",IF(AND($G495&gt;=30,$AT$3&lt;=CO$7),ROUND(CO495*($AP$3+#REF!),-1),""))</f>
        <v/>
      </c>
      <c r="CQ495" s="503" t="s">
        <v>621</v>
      </c>
      <c r="CR495" s="503" t="str">
        <f>IF($G495="","",IF(AND($G495&gt;=30,$AT$3&lt;=CQ$7),ROUND(CQ495*($AP$3+#REF!),-1),""))</f>
        <v/>
      </c>
      <c r="CS495" s="503" t="s">
        <v>621</v>
      </c>
      <c r="CT495" s="503" t="str">
        <f>IF($G495="","",IF(AND($G495&gt;=30,$AT$3&lt;=CS$7),ROUND(CS495*($AP$3+#REF!),-1),""))</f>
        <v/>
      </c>
      <c r="CU495" s="503" t="s">
        <v>621</v>
      </c>
      <c r="CV495" s="503" t="str">
        <f>IF($G495="","",IF(AND($G495&gt;=30,$AT$3&lt;=CU$7),ROUND(CU495*($AP$3+#REF!),-1),""))</f>
        <v/>
      </c>
      <c r="CW495" s="503" t="s">
        <v>621</v>
      </c>
      <c r="CX495" s="503" t="str">
        <f>IF($G495="","",IF(AND($G495&gt;=30,$AT$3&lt;=CW$7),ROUND(CW495*($AP$3+#REF!),-1),""))</f>
        <v/>
      </c>
      <c r="CY495" s="503" t="s">
        <v>621</v>
      </c>
      <c r="CZ495" s="503" t="str">
        <f>IF($G495="","",IF(AND($G495&gt;=30,$AT$3&lt;=CY$7),ROUND(CY495*($AP$3+#REF!),-1),""))</f>
        <v/>
      </c>
      <c r="DA495" s="503" t="s">
        <v>621</v>
      </c>
      <c r="DB495" s="503" t="str">
        <f>IF($G495="","",IF(AND($G495&gt;=30,$AT$3&lt;=DA$7),ROUND(DA495*($AP$3+#REF!),-1),""))</f>
        <v/>
      </c>
      <c r="DC495" s="503" t="s">
        <v>621</v>
      </c>
      <c r="DD495" s="503" t="str">
        <f>IF($G495="","",IF(AND($G495&gt;=30,$AT$3&lt;=DC$7),ROUND(DC495*($AP$3+#REF!),-1),""))</f>
        <v/>
      </c>
      <c r="DE495" s="503" t="s">
        <v>621</v>
      </c>
      <c r="DF495" s="503" t="str">
        <f>IF($G495="","",IF(AND($G495&gt;=30,$AT$3&lt;=DE$7),ROUND(DE495*($AP$3+#REF!),-1),""))</f>
        <v/>
      </c>
      <c r="DG495" s="503" t="s">
        <v>621</v>
      </c>
      <c r="DH495" s="503" t="str">
        <f>IF($G495="","",IF(AND($G495&gt;=30,$AT$3&lt;=DG$7),ROUND(DG495*($AP$3+#REF!),-1),""))</f>
        <v/>
      </c>
      <c r="DI495" s="517" t="e">
        <v>#REF!</v>
      </c>
      <c r="DJ495" s="503" t="str">
        <f>IF($G495="","",IF(AND($G495&gt;=30,$AT$3&lt;=DI$7),ROUND(DI495*($AP$3+#REF!),-1),""))</f>
        <v/>
      </c>
      <c r="DK495" s="503"/>
      <c r="DL495" s="503" t="str">
        <f>IF($G495="","",IF(AND($G495&gt;=30,$AT$3&lt;=DK$7),ROUND(DK495*($AP$3+#REF!),-1),""))</f>
        <v/>
      </c>
      <c r="DM495" s="503"/>
      <c r="DN495" s="503" t="str">
        <f>IF($G495="","",IF(AND($G495&gt;=30,$AT$3&lt;=DM$7),ROUND(DM495*($AP$3+#REF!),-1),""))</f>
        <v/>
      </c>
      <c r="DO495" s="503"/>
      <c r="DP495" s="503" t="str">
        <f>IF($G495="","",IF(AND($G495&gt;=30,$AT$3&lt;=DO$7),ROUND(DO495*($AP$3+#REF!),-1),""))</f>
        <v/>
      </c>
      <c r="DQ495" s="503"/>
      <c r="DR495" s="503" t="str">
        <f>IF($G495="","",IF(AND($G495&gt;=30,$AT$3&lt;=DQ$7),ROUND(DQ495*($AP$3+#REF!),-1),""))</f>
        <v/>
      </c>
      <c r="DS495" s="503"/>
      <c r="DT495" s="503" t="str">
        <f>IF($G495="","",IF(AND($G495&gt;=30,$AT$3&lt;=DS$7),ROUND(DS495*($AP$3+#REF!),-1),""))</f>
        <v/>
      </c>
      <c r="DU495" s="503"/>
      <c r="DV495" s="503" t="str">
        <f>IF($G495="","",IF(AND($G495&gt;=30,$AT$3&lt;=DU$7),ROUND(DU495*($AP$3+#REF!),-1),""))</f>
        <v/>
      </c>
      <c r="DW495" s="503"/>
      <c r="DX495" s="503" t="str">
        <f>IF($G495="","",IF(AND($G495&gt;=30,$AT$3&lt;=DW$7),ROUND(DW495*($AP$3+#REF!),-1),""))</f>
        <v/>
      </c>
      <c r="DY495" s="503"/>
      <c r="DZ495" s="503" t="str">
        <f>IF($G495="","",IF(AND($G495&gt;=30,$AT$3&lt;=DY$7),ROUND(DY495*($AP$3+#REF!),-1),""))</f>
        <v/>
      </c>
      <c r="EA495" s="503"/>
      <c r="EB495" s="503" t="str">
        <f>IF($G495="","",IF(AND($G495&gt;=30,$AT$3&lt;=EA$7),ROUND(EA495*($AP$3+#REF!),-1),""))</f>
        <v/>
      </c>
      <c r="EC495" s="436"/>
      <c r="ED495" s="436"/>
      <c r="EE495" s="394"/>
    </row>
    <row r="496" spans="1:135" ht="9.75" customHeight="1">
      <c r="A496" s="321" t="str">
        <f t="shared" si="110"/>
        <v/>
      </c>
      <c r="B496" s="567">
        <f>(ii!$D$13*12+V496)+1</f>
        <v>390</v>
      </c>
      <c r="C496" s="337">
        <f t="shared" si="114"/>
        <v>57223</v>
      </c>
      <c r="D496" s="484">
        <f t="shared" si="117"/>
        <v>2056</v>
      </c>
      <c r="E496" s="484">
        <f t="shared" si="115"/>
        <v>0.66666666666666663</v>
      </c>
      <c r="F496" s="484">
        <f t="shared" si="118"/>
        <v>2056.6666666666665</v>
      </c>
      <c r="G496" s="485" t="str">
        <f>IF(OR(C496&lt;$I$2,C496&gt;$J$3),"",(ii!$D$13*12+V496+1)/12)</f>
        <v/>
      </c>
      <c r="H496" s="486"/>
      <c r="I496" s="486"/>
      <c r="J496" s="487"/>
      <c r="K496" s="488"/>
      <c r="L496" s="548"/>
      <c r="M496" s="489" t="str">
        <f t="shared" si="119"/>
        <v/>
      </c>
      <c r="N496" s="490" t="s">
        <v>621</v>
      </c>
      <c r="O496" s="490" t="str">
        <f t="shared" si="112"/>
        <v/>
      </c>
      <c r="P496" s="491"/>
      <c r="Q496" s="491"/>
      <c r="R496" s="491" t="str">
        <f t="shared" si="113"/>
        <v/>
      </c>
      <c r="S496" s="528" t="str">
        <f t="shared" si="111"/>
        <v/>
      </c>
      <c r="T496" s="528" t="str">
        <f t="shared" si="109"/>
        <v/>
      </c>
      <c r="U496" s="493" t="str">
        <f>IF(H496="","",#REF!*12+#REF!+#REF!*12+#REF!)</f>
        <v/>
      </c>
      <c r="V496" s="338">
        <f>IF(ii!$J$3&gt;gg!C496,"",IF(AND((YEAR(C496)=YEAR($I$2)),MONTH(C496)=MONTH($I$2)),ii!$B$14*12+ii!$C$14+ii!$B$15*12+ii!$C$15-1,V495+1))</f>
        <v>389</v>
      </c>
      <c r="W496" s="339">
        <f t="shared" si="116"/>
        <v>32.416666666666664</v>
      </c>
      <c r="X496" s="494" t="s">
        <v>621</v>
      </c>
      <c r="Y496" s="495" t="s">
        <v>621</v>
      </c>
      <c r="Z496" s="496"/>
      <c r="AA496" s="497"/>
      <c r="AB496" s="498" t="e">
        <f t="shared" si="122"/>
        <v>#VALUE!</v>
      </c>
      <c r="AC496" s="484" t="str">
        <f t="shared" si="120"/>
        <v/>
      </c>
      <c r="AD496" s="495" t="str">
        <f t="shared" si="121"/>
        <v/>
      </c>
      <c r="AE496" s="499" t="s">
        <v>621</v>
      </c>
      <c r="AF496" s="500" t="s">
        <v>621</v>
      </c>
      <c r="AG496" s="556" t="s">
        <v>621</v>
      </c>
      <c r="AH496" s="503" t="str">
        <f>IF($G496="","",IF(AND($G496&gt;=30,$AT$3&lt;=AG$7),ROUND(AG496*($AP$3+#REF!),-1),""))</f>
        <v/>
      </c>
      <c r="AI496" s="506" t="s">
        <v>621</v>
      </c>
      <c r="AJ496" s="503" t="str">
        <f>IF($G496="","",IF(AND($G496&gt;=30,$AT$3&lt;=AI$7),ROUND(AI496*($AP$3+#REF!),-1),""))</f>
        <v/>
      </c>
      <c r="AK496" s="506" t="s">
        <v>621</v>
      </c>
      <c r="AL496" s="503" t="str">
        <f>IF($G496="","",IF(AND($G496&gt;=30,$AT$3&lt;=AK$7),ROUND(AK496*($AP$3+#REF!),-1),""))</f>
        <v/>
      </c>
      <c r="AM496" s="506" t="s">
        <v>621</v>
      </c>
      <c r="AN496" s="503" t="str">
        <f>IF($G496="","",IF(AND($G496&gt;=30,$AT$3&lt;=AM$7),ROUND(AM496*($AP$3+#REF!),-1),""))</f>
        <v/>
      </c>
      <c r="AO496" s="503" t="e">
        <v>#REF!</v>
      </c>
      <c r="AP496" s="503" t="str">
        <f>IF($G496="","",IF(AND($G496&gt;=30,$AT$3&lt;=AO$7),ROUND(AO496*($AP$3+#REF!),-1),""))</f>
        <v/>
      </c>
      <c r="AQ496" s="503" t="s">
        <v>621</v>
      </c>
      <c r="AR496" s="503" t="str">
        <f>IF($G496="","",IF(AND($G496&gt;=30,$AT$3&lt;=AQ$7),ROUND(AQ496*($AP$3+#REF!),-1),""))</f>
        <v/>
      </c>
      <c r="AS496" s="503" t="s">
        <v>621</v>
      </c>
      <c r="AT496" s="503" t="str">
        <f>IF($G496="","",IF(AND($G496&gt;=30,$AT$3&lt;=AS$7),ROUND(AS496*($AP$3+#REF!),-1),""))</f>
        <v/>
      </c>
      <c r="AU496" s="503" t="s">
        <v>621</v>
      </c>
      <c r="AV496" s="503" t="str">
        <f>IF($G496="","",IF(AND($G496&gt;=30,$AT$3&lt;=AU$7),ROUND(AU496*($AP$3+#REF!),-1),""))</f>
        <v/>
      </c>
      <c r="AW496" s="503" t="s">
        <v>621</v>
      </c>
      <c r="AX496" s="503" t="str">
        <f>IF($G496="","",IF(AND($G496&gt;=30,$AT$3&lt;=AW$7),ROUND(AW496*($AP$3+#REF!),-1),""))</f>
        <v/>
      </c>
      <c r="AY496" s="503" t="s">
        <v>621</v>
      </c>
      <c r="AZ496" s="503" t="str">
        <f>IF($G496="","",IF(AND($G496&gt;=30,$AT$3&lt;=AY$7),ROUND(AY496*($AP$3+#REF!),-1),""))</f>
        <v/>
      </c>
      <c r="BA496" s="503" t="s">
        <v>621</v>
      </c>
      <c r="BB496" s="503" t="str">
        <f>IF($G496="","",IF(AND($G496&gt;=30,$AT$3&lt;=BA$7),ROUND(BA496*($AP$3+#REF!),-1),""))</f>
        <v/>
      </c>
      <c r="BC496" s="503" t="s">
        <v>621</v>
      </c>
      <c r="BD496" s="503" t="str">
        <f>IF($G496="","",IF(AND($G496&gt;=30,$AT$3&lt;=BC$7),ROUND(BC496*($AP$3+#REF!),-1),""))</f>
        <v/>
      </c>
      <c r="BE496" s="503" t="s">
        <v>621</v>
      </c>
      <c r="BF496" s="503" t="str">
        <f>IF($G496="","",IF(AND($G496&gt;=30,$AT$3&lt;=BE$7),ROUND(BE496*($AP$3+#REF!),-1),""))</f>
        <v/>
      </c>
      <c r="BG496" s="503" t="s">
        <v>621</v>
      </c>
      <c r="BH496" s="503" t="str">
        <f>IF($G496="","",IF(AND($G496&gt;=30,$AT$3&lt;=BG$7),ROUND(BG496*($AP$3+#REF!),-1),""))</f>
        <v/>
      </c>
      <c r="BI496" s="503" t="s">
        <v>621</v>
      </c>
      <c r="BJ496" s="503" t="str">
        <f>IF($G496="","",IF(AND($G496&gt;=30,$AT$3&lt;=BI$7),ROUND(BI496*($AP$3+#REF!),-1),""))</f>
        <v/>
      </c>
      <c r="BK496" s="503" t="s">
        <v>621</v>
      </c>
      <c r="BL496" s="503" t="str">
        <f>IF($G496="","",IF(AND($G496&gt;=30,$AT$3&lt;=BK$7),ROUND(BK496*($AP$3+#REF!),-1),""))</f>
        <v/>
      </c>
      <c r="BM496" s="503" t="s">
        <v>621</v>
      </c>
      <c r="BN496" s="503" t="str">
        <f>IF($G496="","",IF(AND($G496&gt;=30,$AT$3&lt;=BM$7),ROUND(BM496*($AP$3+#REF!),-1),""))</f>
        <v/>
      </c>
      <c r="BO496" s="503" t="s">
        <v>621</v>
      </c>
      <c r="BP496" s="503" t="str">
        <f>IF($G496="","",IF(AND($G496&gt;=30,$AT$3&lt;=BO$7),ROUND(BO496*($AP$3+#REF!),-1),""))</f>
        <v/>
      </c>
      <c r="BQ496" s="503" t="s">
        <v>621</v>
      </c>
      <c r="BR496" s="503" t="str">
        <f>IF($G496="","",IF(AND($G496&gt;=30,$AT$3&lt;=BQ$7),ROUND(BQ496*($AP$3+#REF!),-1),""))</f>
        <v/>
      </c>
      <c r="BS496" s="503" t="s">
        <v>621</v>
      </c>
      <c r="BT496" s="503" t="str">
        <f>IF($G496="","",IF(AND($G496&gt;=30,$AT$3&lt;=BS$7),ROUND(BS496*($AP$3+#REF!),-1),""))</f>
        <v/>
      </c>
      <c r="BU496" s="503" t="s">
        <v>621</v>
      </c>
      <c r="BV496" s="503" t="str">
        <f>IF($G496="","",IF(AND($G496&gt;=30,$AT$3&lt;=BU$7),ROUND(BU496*($AP$3+#REF!),-1),""))</f>
        <v/>
      </c>
      <c r="BW496" s="503" t="s">
        <v>621</v>
      </c>
      <c r="BX496" s="503" t="str">
        <f>IF($G496="","",IF(AND($G496&gt;=30,$AT$3&lt;=BW$7),ROUND(BW496*($AP$3+#REF!),-1),""))</f>
        <v/>
      </c>
      <c r="BY496" s="503" t="s">
        <v>621</v>
      </c>
      <c r="BZ496" s="503" t="str">
        <f>IF($G496="","",IF(AND($G496&gt;=30,$AT$3&lt;=BY$7),ROUND(BY496*($AP$3+#REF!),-1),""))</f>
        <v/>
      </c>
      <c r="CA496" s="503" t="s">
        <v>621</v>
      </c>
      <c r="CB496" s="503" t="str">
        <f>IF($G496="","",IF(AND($G496&gt;=30,$AT$3&lt;=CA$7),ROUND(CA496*($AP$3+#REF!),-1),""))</f>
        <v/>
      </c>
      <c r="CC496" s="503" t="s">
        <v>621</v>
      </c>
      <c r="CD496" s="503" t="str">
        <f>IF($G496="","",IF(AND($G496&gt;=30,$AT$3&lt;=CC$7),ROUND(CC496*($AP$3+#REF!),-1),""))</f>
        <v/>
      </c>
      <c r="CE496" s="503" t="s">
        <v>621</v>
      </c>
      <c r="CF496" s="503" t="str">
        <f>IF($G496="","",IF(AND($G496&gt;=30,$AT$3&lt;=CE$7),ROUND(CE496*($AP$3+#REF!),-1),""))</f>
        <v/>
      </c>
      <c r="CG496" s="503" t="s">
        <v>621</v>
      </c>
      <c r="CH496" s="503" t="str">
        <f>IF($G496="","",IF(AND($G496&gt;=30,$AT$3&lt;=CG$7),ROUND(CG496*($AP$3+#REF!),-1),""))</f>
        <v/>
      </c>
      <c r="CI496" s="503" t="s">
        <v>621</v>
      </c>
      <c r="CJ496" s="503" t="str">
        <f>IF($G496="","",IF(AND($G496&gt;=30,$AT$3&lt;=CI$7),ROUND(CI496*($AP$3+#REF!),-1),""))</f>
        <v/>
      </c>
      <c r="CK496" s="503" t="s">
        <v>621</v>
      </c>
      <c r="CL496" s="503" t="str">
        <f>IF($G496="","",IF(AND($G496&gt;=30,$AT$3&lt;=CK$7),ROUND(CK496*($AP$3+#REF!),-1),""))</f>
        <v/>
      </c>
      <c r="CM496" s="503" t="s">
        <v>621</v>
      </c>
      <c r="CN496" s="503" t="str">
        <f>IF($G496="","",IF(AND($G496&gt;=30,$AT$3&lt;=CM$7),ROUND(CM496*($AP$3+#REF!),-1),""))</f>
        <v/>
      </c>
      <c r="CO496" s="503" t="s">
        <v>621</v>
      </c>
      <c r="CP496" s="503" t="str">
        <f>IF($G496="","",IF(AND($G496&gt;=30,$AT$3&lt;=CO$7),ROUND(CO496*($AP$3+#REF!),-1),""))</f>
        <v/>
      </c>
      <c r="CQ496" s="503" t="s">
        <v>621</v>
      </c>
      <c r="CR496" s="503" t="str">
        <f>IF($G496="","",IF(AND($G496&gt;=30,$AT$3&lt;=CQ$7),ROUND(CQ496*($AP$3+#REF!),-1),""))</f>
        <v/>
      </c>
      <c r="CS496" s="503" t="s">
        <v>621</v>
      </c>
      <c r="CT496" s="503" t="str">
        <f>IF($G496="","",IF(AND($G496&gt;=30,$AT$3&lt;=CS$7),ROUND(CS496*($AP$3+#REF!),-1),""))</f>
        <v/>
      </c>
      <c r="CU496" s="503" t="s">
        <v>621</v>
      </c>
      <c r="CV496" s="503" t="str">
        <f>IF($G496="","",IF(AND($G496&gt;=30,$AT$3&lt;=CU$7),ROUND(CU496*($AP$3+#REF!),-1),""))</f>
        <v/>
      </c>
      <c r="CW496" s="503" t="s">
        <v>621</v>
      </c>
      <c r="CX496" s="503" t="str">
        <f>IF($G496="","",IF(AND($G496&gt;=30,$AT$3&lt;=CW$7),ROUND(CW496*($AP$3+#REF!),-1),""))</f>
        <v/>
      </c>
      <c r="CY496" s="503" t="s">
        <v>621</v>
      </c>
      <c r="CZ496" s="503" t="str">
        <f>IF($G496="","",IF(AND($G496&gt;=30,$AT$3&lt;=CY$7),ROUND(CY496*($AP$3+#REF!),-1),""))</f>
        <v/>
      </c>
      <c r="DA496" s="503" t="s">
        <v>621</v>
      </c>
      <c r="DB496" s="503" t="str">
        <f>IF($G496="","",IF(AND($G496&gt;=30,$AT$3&lt;=DA$7),ROUND(DA496*($AP$3+#REF!),-1),""))</f>
        <v/>
      </c>
      <c r="DC496" s="503" t="s">
        <v>621</v>
      </c>
      <c r="DD496" s="503" t="str">
        <f>IF($G496="","",IF(AND($G496&gt;=30,$AT$3&lt;=DC$7),ROUND(DC496*($AP$3+#REF!),-1),""))</f>
        <v/>
      </c>
      <c r="DE496" s="503" t="s">
        <v>621</v>
      </c>
      <c r="DF496" s="503" t="str">
        <f>IF($G496="","",IF(AND($G496&gt;=30,$AT$3&lt;=DE$7),ROUND(DE496*($AP$3+#REF!),-1),""))</f>
        <v/>
      </c>
      <c r="DG496" s="503" t="s">
        <v>621</v>
      </c>
      <c r="DH496" s="503" t="str">
        <f>IF($G496="","",IF(AND($G496&gt;=30,$AT$3&lt;=DG$7),ROUND(DG496*($AP$3+#REF!),-1),""))</f>
        <v/>
      </c>
      <c r="DI496" s="517" t="e">
        <v>#REF!</v>
      </c>
      <c r="DJ496" s="503" t="str">
        <f>IF($G496="","",IF(AND($G496&gt;=30,$AT$3&lt;=DI$7),ROUND(DI496*($AP$3+#REF!),-1),""))</f>
        <v/>
      </c>
      <c r="DK496" s="503"/>
      <c r="DL496" s="503" t="str">
        <f>IF($G496="","",IF(AND($G496&gt;=30,$AT$3&lt;=DK$7),ROUND(DK496*($AP$3+#REF!),-1),""))</f>
        <v/>
      </c>
      <c r="DM496" s="503"/>
      <c r="DN496" s="503" t="str">
        <f>IF($G496="","",IF(AND($G496&gt;=30,$AT$3&lt;=DM$7),ROUND(DM496*($AP$3+#REF!),-1),""))</f>
        <v/>
      </c>
      <c r="DO496" s="503"/>
      <c r="DP496" s="503" t="str">
        <f>IF($G496="","",IF(AND($G496&gt;=30,$AT$3&lt;=DO$7),ROUND(DO496*($AP$3+#REF!),-1),""))</f>
        <v/>
      </c>
      <c r="DQ496" s="503"/>
      <c r="DR496" s="503" t="str">
        <f>IF($G496="","",IF(AND($G496&gt;=30,$AT$3&lt;=DQ$7),ROUND(DQ496*($AP$3+#REF!),-1),""))</f>
        <v/>
      </c>
      <c r="DS496" s="503"/>
      <c r="DT496" s="503" t="str">
        <f>IF($G496="","",IF(AND($G496&gt;=30,$AT$3&lt;=DS$7),ROUND(DS496*($AP$3+#REF!),-1),""))</f>
        <v/>
      </c>
      <c r="DU496" s="503"/>
      <c r="DV496" s="503" t="str">
        <f>IF($G496="","",IF(AND($G496&gt;=30,$AT$3&lt;=DU$7),ROUND(DU496*($AP$3+#REF!),-1),""))</f>
        <v/>
      </c>
      <c r="DW496" s="503"/>
      <c r="DX496" s="503" t="str">
        <f>IF($G496="","",IF(AND($G496&gt;=30,$AT$3&lt;=DW$7),ROUND(DW496*($AP$3+#REF!),-1),""))</f>
        <v/>
      </c>
      <c r="DY496" s="503"/>
      <c r="DZ496" s="503" t="str">
        <f>IF($G496="","",IF(AND($G496&gt;=30,$AT$3&lt;=DY$7),ROUND(DY496*($AP$3+#REF!),-1),""))</f>
        <v/>
      </c>
      <c r="EA496" s="503"/>
      <c r="EB496" s="503" t="str">
        <f>IF($G496="","",IF(AND($G496&gt;=30,$AT$3&lt;=EA$7),ROUND(EA496*($AP$3+#REF!),-1),""))</f>
        <v/>
      </c>
      <c r="EC496" s="436"/>
      <c r="ED496" s="436"/>
      <c r="EE496" s="394"/>
    </row>
    <row r="497" spans="1:135" ht="9.75" customHeight="1">
      <c r="A497" s="321" t="str">
        <f t="shared" si="110"/>
        <v/>
      </c>
      <c r="B497" s="567">
        <f>(ii!$D$13*12+V497)+1</f>
        <v>391</v>
      </c>
      <c r="C497" s="337">
        <f t="shared" si="114"/>
        <v>57253</v>
      </c>
      <c r="D497" s="484">
        <f t="shared" si="117"/>
        <v>2056</v>
      </c>
      <c r="E497" s="484">
        <f t="shared" si="115"/>
        <v>0.75</v>
      </c>
      <c r="F497" s="484">
        <f t="shared" si="118"/>
        <v>2056.75</v>
      </c>
      <c r="G497" s="485" t="str">
        <f>IF(OR(C497&lt;$I$2,C497&gt;$J$3),"",(ii!$D$13*12+V497+1)/12)</f>
        <v/>
      </c>
      <c r="H497" s="486"/>
      <c r="I497" s="486"/>
      <c r="J497" s="487"/>
      <c r="K497" s="488"/>
      <c r="L497" s="548"/>
      <c r="M497" s="489" t="str">
        <f t="shared" si="119"/>
        <v/>
      </c>
      <c r="N497" s="490" t="s">
        <v>621</v>
      </c>
      <c r="O497" s="490" t="str">
        <f t="shared" si="112"/>
        <v/>
      </c>
      <c r="P497" s="491"/>
      <c r="Q497" s="491"/>
      <c r="R497" s="491" t="str">
        <f t="shared" si="113"/>
        <v/>
      </c>
      <c r="S497" s="528" t="str">
        <f t="shared" si="111"/>
        <v/>
      </c>
      <c r="T497" s="528" t="str">
        <f t="shared" si="109"/>
        <v/>
      </c>
      <c r="U497" s="493" t="str">
        <f>IF(H497="","",#REF!*12+#REF!+#REF!*12+#REF!)</f>
        <v/>
      </c>
      <c r="V497" s="338">
        <f>IF(ii!$J$3&gt;gg!C497,"",IF(AND((YEAR(C497)=YEAR($I$2)),MONTH(C497)=MONTH($I$2)),ii!$B$14*12+ii!$C$14+ii!$B$15*12+ii!$C$15-1,V496+1))</f>
        <v>390</v>
      </c>
      <c r="W497" s="339">
        <f t="shared" si="116"/>
        <v>32.5</v>
      </c>
      <c r="X497" s="494" t="s">
        <v>621</v>
      </c>
      <c r="Y497" s="495" t="s">
        <v>621</v>
      </c>
      <c r="Z497" s="496"/>
      <c r="AA497" s="497"/>
      <c r="AB497" s="498" t="e">
        <f t="shared" si="122"/>
        <v>#VALUE!</v>
      </c>
      <c r="AC497" s="484" t="str">
        <f t="shared" si="120"/>
        <v/>
      </c>
      <c r="AD497" s="495" t="str">
        <f t="shared" si="121"/>
        <v/>
      </c>
      <c r="AE497" s="499" t="s">
        <v>621</v>
      </c>
      <c r="AF497" s="500" t="s">
        <v>621</v>
      </c>
      <c r="AG497" s="556" t="s">
        <v>621</v>
      </c>
      <c r="AH497" s="503" t="str">
        <f>IF($G497="","",IF(AND($G497&gt;=30,$AT$3&lt;=AG$7),ROUND(AG497*($AP$3+#REF!),-1),""))</f>
        <v/>
      </c>
      <c r="AI497" s="506" t="s">
        <v>621</v>
      </c>
      <c r="AJ497" s="503" t="str">
        <f>IF($G497="","",IF(AND($G497&gt;=30,$AT$3&lt;=AI$7),ROUND(AI497*($AP$3+#REF!),-1),""))</f>
        <v/>
      </c>
      <c r="AK497" s="506" t="s">
        <v>621</v>
      </c>
      <c r="AL497" s="503" t="str">
        <f>IF($G497="","",IF(AND($G497&gt;=30,$AT$3&lt;=AK$7),ROUND(AK497*($AP$3+#REF!),-1),""))</f>
        <v/>
      </c>
      <c r="AM497" s="506" t="s">
        <v>621</v>
      </c>
      <c r="AN497" s="503" t="str">
        <f>IF($G497="","",IF(AND($G497&gt;=30,$AT$3&lt;=AM$7),ROUND(AM497*($AP$3+#REF!),-1),""))</f>
        <v/>
      </c>
      <c r="AO497" s="503" t="e">
        <v>#REF!</v>
      </c>
      <c r="AP497" s="503" t="str">
        <f>IF($G497="","",IF(AND($G497&gt;=30,$AT$3&lt;=AO$7),ROUND(AO497*($AP$3+#REF!),-1),""))</f>
        <v/>
      </c>
      <c r="AQ497" s="503" t="s">
        <v>621</v>
      </c>
      <c r="AR497" s="503" t="str">
        <f>IF($G497="","",IF(AND($G497&gt;=30,$AT$3&lt;=AQ$7),ROUND(AQ497*($AP$3+#REF!),-1),""))</f>
        <v/>
      </c>
      <c r="AS497" s="503" t="s">
        <v>621</v>
      </c>
      <c r="AT497" s="503" t="str">
        <f>IF($G497="","",IF(AND($G497&gt;=30,$AT$3&lt;=AS$7),ROUND(AS497*($AP$3+#REF!),-1),""))</f>
        <v/>
      </c>
      <c r="AU497" s="503" t="s">
        <v>621</v>
      </c>
      <c r="AV497" s="503" t="str">
        <f>IF($G497="","",IF(AND($G497&gt;=30,$AT$3&lt;=AU$7),ROUND(AU497*($AP$3+#REF!),-1),""))</f>
        <v/>
      </c>
      <c r="AW497" s="503" t="s">
        <v>621</v>
      </c>
      <c r="AX497" s="503" t="str">
        <f>IF($G497="","",IF(AND($G497&gt;=30,$AT$3&lt;=AW$7),ROUND(AW497*($AP$3+#REF!),-1),""))</f>
        <v/>
      </c>
      <c r="AY497" s="503" t="s">
        <v>621</v>
      </c>
      <c r="AZ497" s="503" t="str">
        <f>IF($G497="","",IF(AND($G497&gt;=30,$AT$3&lt;=AY$7),ROUND(AY497*($AP$3+#REF!),-1),""))</f>
        <v/>
      </c>
      <c r="BA497" s="503" t="s">
        <v>621</v>
      </c>
      <c r="BB497" s="503" t="str">
        <f>IF($G497="","",IF(AND($G497&gt;=30,$AT$3&lt;=BA$7),ROUND(BA497*($AP$3+#REF!),-1),""))</f>
        <v/>
      </c>
      <c r="BC497" s="503" t="s">
        <v>621</v>
      </c>
      <c r="BD497" s="503" t="str">
        <f>IF($G497="","",IF(AND($G497&gt;=30,$AT$3&lt;=BC$7),ROUND(BC497*($AP$3+#REF!),-1),""))</f>
        <v/>
      </c>
      <c r="BE497" s="503" t="s">
        <v>621</v>
      </c>
      <c r="BF497" s="503" t="str">
        <f>IF($G497="","",IF(AND($G497&gt;=30,$AT$3&lt;=BE$7),ROUND(BE497*($AP$3+#REF!),-1),""))</f>
        <v/>
      </c>
      <c r="BG497" s="503" t="s">
        <v>621</v>
      </c>
      <c r="BH497" s="503" t="str">
        <f>IF($G497="","",IF(AND($G497&gt;=30,$AT$3&lt;=BG$7),ROUND(BG497*($AP$3+#REF!),-1),""))</f>
        <v/>
      </c>
      <c r="BI497" s="503" t="s">
        <v>621</v>
      </c>
      <c r="BJ497" s="503" t="str">
        <f>IF($G497="","",IF(AND($G497&gt;=30,$AT$3&lt;=BI$7),ROUND(BI497*($AP$3+#REF!),-1),""))</f>
        <v/>
      </c>
      <c r="BK497" s="503" t="s">
        <v>621</v>
      </c>
      <c r="BL497" s="503" t="str">
        <f>IF($G497="","",IF(AND($G497&gt;=30,$AT$3&lt;=BK$7),ROUND(BK497*($AP$3+#REF!),-1),""))</f>
        <v/>
      </c>
      <c r="BM497" s="503" t="s">
        <v>621</v>
      </c>
      <c r="BN497" s="503" t="str">
        <f>IF($G497="","",IF(AND($G497&gt;=30,$AT$3&lt;=BM$7),ROUND(BM497*($AP$3+#REF!),-1),""))</f>
        <v/>
      </c>
      <c r="BO497" s="503" t="s">
        <v>621</v>
      </c>
      <c r="BP497" s="503" t="str">
        <f>IF($G497="","",IF(AND($G497&gt;=30,$AT$3&lt;=BO$7),ROUND(BO497*($AP$3+#REF!),-1),""))</f>
        <v/>
      </c>
      <c r="BQ497" s="503" t="s">
        <v>621</v>
      </c>
      <c r="BR497" s="503" t="str">
        <f>IF($G497="","",IF(AND($G497&gt;=30,$AT$3&lt;=BQ$7),ROUND(BQ497*($AP$3+#REF!),-1),""))</f>
        <v/>
      </c>
      <c r="BS497" s="503" t="s">
        <v>621</v>
      </c>
      <c r="BT497" s="503" t="str">
        <f>IF($G497="","",IF(AND($G497&gt;=30,$AT$3&lt;=BS$7),ROUND(BS497*($AP$3+#REF!),-1),""))</f>
        <v/>
      </c>
      <c r="BU497" s="503" t="s">
        <v>621</v>
      </c>
      <c r="BV497" s="503" t="str">
        <f>IF($G497="","",IF(AND($G497&gt;=30,$AT$3&lt;=BU$7),ROUND(BU497*($AP$3+#REF!),-1),""))</f>
        <v/>
      </c>
      <c r="BW497" s="503" t="s">
        <v>621</v>
      </c>
      <c r="BX497" s="503" t="str">
        <f>IF($G497="","",IF(AND($G497&gt;=30,$AT$3&lt;=BW$7),ROUND(BW497*($AP$3+#REF!),-1),""))</f>
        <v/>
      </c>
      <c r="BY497" s="503" t="s">
        <v>621</v>
      </c>
      <c r="BZ497" s="503" t="str">
        <f>IF($G497="","",IF(AND($G497&gt;=30,$AT$3&lt;=BY$7),ROUND(BY497*($AP$3+#REF!),-1),""))</f>
        <v/>
      </c>
      <c r="CA497" s="503" t="s">
        <v>621</v>
      </c>
      <c r="CB497" s="503" t="str">
        <f>IF($G497="","",IF(AND($G497&gt;=30,$AT$3&lt;=CA$7),ROUND(CA497*($AP$3+#REF!),-1),""))</f>
        <v/>
      </c>
      <c r="CC497" s="503" t="s">
        <v>621</v>
      </c>
      <c r="CD497" s="503" t="str">
        <f>IF($G497="","",IF(AND($G497&gt;=30,$AT$3&lt;=CC$7),ROUND(CC497*($AP$3+#REF!),-1),""))</f>
        <v/>
      </c>
      <c r="CE497" s="503" t="s">
        <v>621</v>
      </c>
      <c r="CF497" s="503" t="str">
        <f>IF($G497="","",IF(AND($G497&gt;=30,$AT$3&lt;=CE$7),ROUND(CE497*($AP$3+#REF!),-1),""))</f>
        <v/>
      </c>
      <c r="CG497" s="503" t="s">
        <v>621</v>
      </c>
      <c r="CH497" s="503" t="str">
        <f>IF($G497="","",IF(AND($G497&gt;=30,$AT$3&lt;=CG$7),ROUND(CG497*($AP$3+#REF!),-1),""))</f>
        <v/>
      </c>
      <c r="CI497" s="503" t="s">
        <v>621</v>
      </c>
      <c r="CJ497" s="503" t="str">
        <f>IF($G497="","",IF(AND($G497&gt;=30,$AT$3&lt;=CI$7),ROUND(CI497*($AP$3+#REF!),-1),""))</f>
        <v/>
      </c>
      <c r="CK497" s="503" t="s">
        <v>621</v>
      </c>
      <c r="CL497" s="503" t="str">
        <f>IF($G497="","",IF(AND($G497&gt;=30,$AT$3&lt;=CK$7),ROUND(CK497*($AP$3+#REF!),-1),""))</f>
        <v/>
      </c>
      <c r="CM497" s="503" t="s">
        <v>621</v>
      </c>
      <c r="CN497" s="503" t="str">
        <f>IF($G497="","",IF(AND($G497&gt;=30,$AT$3&lt;=CM$7),ROUND(CM497*($AP$3+#REF!),-1),""))</f>
        <v/>
      </c>
      <c r="CO497" s="503" t="s">
        <v>621</v>
      </c>
      <c r="CP497" s="503" t="str">
        <f>IF($G497="","",IF(AND($G497&gt;=30,$AT$3&lt;=CO$7),ROUND(CO497*($AP$3+#REF!),-1),""))</f>
        <v/>
      </c>
      <c r="CQ497" s="503" t="s">
        <v>621</v>
      </c>
      <c r="CR497" s="503" t="str">
        <f>IF($G497="","",IF(AND($G497&gt;=30,$AT$3&lt;=CQ$7),ROUND(CQ497*($AP$3+#REF!),-1),""))</f>
        <v/>
      </c>
      <c r="CS497" s="503" t="s">
        <v>621</v>
      </c>
      <c r="CT497" s="503" t="str">
        <f>IF($G497="","",IF(AND($G497&gt;=30,$AT$3&lt;=CS$7),ROUND(CS497*($AP$3+#REF!),-1),""))</f>
        <v/>
      </c>
      <c r="CU497" s="503" t="s">
        <v>621</v>
      </c>
      <c r="CV497" s="503" t="str">
        <f>IF($G497="","",IF(AND($G497&gt;=30,$AT$3&lt;=CU$7),ROUND(CU497*($AP$3+#REF!),-1),""))</f>
        <v/>
      </c>
      <c r="CW497" s="503" t="s">
        <v>621</v>
      </c>
      <c r="CX497" s="503" t="str">
        <f>IF($G497="","",IF(AND($G497&gt;=30,$AT$3&lt;=CW$7),ROUND(CW497*($AP$3+#REF!),-1),""))</f>
        <v/>
      </c>
      <c r="CY497" s="503" t="s">
        <v>621</v>
      </c>
      <c r="CZ497" s="503" t="str">
        <f>IF($G497="","",IF(AND($G497&gt;=30,$AT$3&lt;=CY$7),ROUND(CY497*($AP$3+#REF!),-1),""))</f>
        <v/>
      </c>
      <c r="DA497" s="503" t="s">
        <v>621</v>
      </c>
      <c r="DB497" s="503" t="str">
        <f>IF($G497="","",IF(AND($G497&gt;=30,$AT$3&lt;=DA$7),ROUND(DA497*($AP$3+#REF!),-1),""))</f>
        <v/>
      </c>
      <c r="DC497" s="503" t="s">
        <v>621</v>
      </c>
      <c r="DD497" s="503" t="str">
        <f>IF($G497="","",IF(AND($G497&gt;=30,$AT$3&lt;=DC$7),ROUND(DC497*($AP$3+#REF!),-1),""))</f>
        <v/>
      </c>
      <c r="DE497" s="503" t="s">
        <v>621</v>
      </c>
      <c r="DF497" s="503" t="str">
        <f>IF($G497="","",IF(AND($G497&gt;=30,$AT$3&lt;=DE$7),ROUND(DE497*($AP$3+#REF!),-1),""))</f>
        <v/>
      </c>
      <c r="DG497" s="503" t="s">
        <v>621</v>
      </c>
      <c r="DH497" s="503" t="str">
        <f>IF($G497="","",IF(AND($G497&gt;=30,$AT$3&lt;=DG$7),ROUND(DG497*($AP$3+#REF!),-1),""))</f>
        <v/>
      </c>
      <c r="DI497" s="517" t="e">
        <v>#REF!</v>
      </c>
      <c r="DJ497" s="503" t="str">
        <f>IF($G497="","",IF(AND($G497&gt;=30,$AT$3&lt;=DI$7),ROUND(DI497*($AP$3+#REF!),-1),""))</f>
        <v/>
      </c>
      <c r="DK497" s="503"/>
      <c r="DL497" s="503" t="str">
        <f>IF($G497="","",IF(AND($G497&gt;=30,$AT$3&lt;=DK$7),ROUND(DK497*($AP$3+#REF!),-1),""))</f>
        <v/>
      </c>
      <c r="DM497" s="503"/>
      <c r="DN497" s="503" t="str">
        <f>IF($G497="","",IF(AND($G497&gt;=30,$AT$3&lt;=DM$7),ROUND(DM497*($AP$3+#REF!),-1),""))</f>
        <v/>
      </c>
      <c r="DO497" s="503"/>
      <c r="DP497" s="503" t="str">
        <f>IF($G497="","",IF(AND($G497&gt;=30,$AT$3&lt;=DO$7),ROUND(DO497*($AP$3+#REF!),-1),""))</f>
        <v/>
      </c>
      <c r="DQ497" s="503"/>
      <c r="DR497" s="503" t="str">
        <f>IF($G497="","",IF(AND($G497&gt;=30,$AT$3&lt;=DQ$7),ROUND(DQ497*($AP$3+#REF!),-1),""))</f>
        <v/>
      </c>
      <c r="DS497" s="503"/>
      <c r="DT497" s="503" t="str">
        <f>IF($G497="","",IF(AND($G497&gt;=30,$AT$3&lt;=DS$7),ROUND(DS497*($AP$3+#REF!),-1),""))</f>
        <v/>
      </c>
      <c r="DU497" s="503"/>
      <c r="DV497" s="503" t="str">
        <f>IF($G497="","",IF(AND($G497&gt;=30,$AT$3&lt;=DU$7),ROUND(DU497*($AP$3+#REF!),-1),""))</f>
        <v/>
      </c>
      <c r="DW497" s="503"/>
      <c r="DX497" s="503" t="str">
        <f>IF($G497="","",IF(AND($G497&gt;=30,$AT$3&lt;=DW$7),ROUND(DW497*($AP$3+#REF!),-1),""))</f>
        <v/>
      </c>
      <c r="DY497" s="503"/>
      <c r="DZ497" s="503" t="str">
        <f>IF($G497="","",IF(AND($G497&gt;=30,$AT$3&lt;=DY$7),ROUND(DY497*($AP$3+#REF!),-1),""))</f>
        <v/>
      </c>
      <c r="EA497" s="503"/>
      <c r="EB497" s="503" t="str">
        <f>IF($G497="","",IF(AND($G497&gt;=30,$AT$3&lt;=EA$7),ROUND(EA497*($AP$3+#REF!),-1),""))</f>
        <v/>
      </c>
      <c r="EC497" s="436"/>
      <c r="ED497" s="436"/>
      <c r="EE497" s="394"/>
    </row>
    <row r="498" spans="1:135" ht="9.75" customHeight="1">
      <c r="A498" s="321" t="str">
        <f t="shared" si="110"/>
        <v/>
      </c>
      <c r="B498" s="567">
        <f>(ii!$D$13*12+V498)+1</f>
        <v>392</v>
      </c>
      <c r="C498" s="337">
        <f t="shared" si="114"/>
        <v>57284</v>
      </c>
      <c r="D498" s="484">
        <f t="shared" si="117"/>
        <v>2056</v>
      </c>
      <c r="E498" s="484">
        <f t="shared" si="115"/>
        <v>0.83333333333333337</v>
      </c>
      <c r="F498" s="484">
        <f t="shared" si="118"/>
        <v>2056.8333333333335</v>
      </c>
      <c r="G498" s="485" t="str">
        <f>IF(OR(C498&lt;$I$2,C498&gt;$J$3),"",(ii!$D$13*12+V498+1)/12)</f>
        <v/>
      </c>
      <c r="H498" s="486"/>
      <c r="I498" s="486"/>
      <c r="J498" s="487"/>
      <c r="K498" s="488"/>
      <c r="L498" s="548"/>
      <c r="M498" s="489" t="str">
        <f t="shared" si="119"/>
        <v/>
      </c>
      <c r="N498" s="490" t="s">
        <v>621</v>
      </c>
      <c r="O498" s="490" t="str">
        <f t="shared" si="112"/>
        <v/>
      </c>
      <c r="P498" s="491"/>
      <c r="Q498" s="491"/>
      <c r="R498" s="491" t="str">
        <f t="shared" si="113"/>
        <v/>
      </c>
      <c r="S498" s="528" t="str">
        <f t="shared" si="111"/>
        <v/>
      </c>
      <c r="T498" s="528" t="str">
        <f t="shared" si="109"/>
        <v/>
      </c>
      <c r="U498" s="493" t="str">
        <f>IF(H498="","",#REF!*12+#REF!+#REF!*12+#REF!)</f>
        <v/>
      </c>
      <c r="V498" s="338">
        <f>IF(ii!$J$3&gt;gg!C498,"",IF(AND((YEAR(C498)=YEAR($I$2)),MONTH(C498)=MONTH($I$2)),ii!$B$14*12+ii!$C$14+ii!$B$15*12+ii!$C$15-1,V497+1))</f>
        <v>391</v>
      </c>
      <c r="W498" s="339">
        <f t="shared" si="116"/>
        <v>32.583333333333336</v>
      </c>
      <c r="X498" s="494" t="s">
        <v>621</v>
      </c>
      <c r="Y498" s="495" t="s">
        <v>621</v>
      </c>
      <c r="Z498" s="496"/>
      <c r="AA498" s="497"/>
      <c r="AB498" s="498" t="e">
        <f t="shared" si="122"/>
        <v>#VALUE!</v>
      </c>
      <c r="AC498" s="484" t="str">
        <f t="shared" si="120"/>
        <v/>
      </c>
      <c r="AD498" s="495" t="str">
        <f t="shared" si="121"/>
        <v/>
      </c>
      <c r="AE498" s="499" t="s">
        <v>621</v>
      </c>
      <c r="AF498" s="500" t="s">
        <v>621</v>
      </c>
      <c r="AG498" s="556" t="s">
        <v>621</v>
      </c>
      <c r="AH498" s="503" t="str">
        <f>IF($G498="","",IF(AND($G498&gt;=30,$AT$3&lt;=AG$7),ROUND(AG498*($AP$3+#REF!),-1),""))</f>
        <v/>
      </c>
      <c r="AI498" s="506" t="s">
        <v>621</v>
      </c>
      <c r="AJ498" s="503" t="str">
        <f>IF($G498="","",IF(AND($G498&gt;=30,$AT$3&lt;=AI$7),ROUND(AI498*($AP$3+#REF!),-1),""))</f>
        <v/>
      </c>
      <c r="AK498" s="506" t="s">
        <v>621</v>
      </c>
      <c r="AL498" s="503" t="str">
        <f>IF($G498="","",IF(AND($G498&gt;=30,$AT$3&lt;=AK$7),ROUND(AK498*($AP$3+#REF!),-1),""))</f>
        <v/>
      </c>
      <c r="AM498" s="506" t="s">
        <v>621</v>
      </c>
      <c r="AN498" s="503" t="str">
        <f>IF($G498="","",IF(AND($G498&gt;=30,$AT$3&lt;=AM$7),ROUND(AM498*($AP$3+#REF!),-1),""))</f>
        <v/>
      </c>
      <c r="AO498" s="503" t="e">
        <v>#REF!</v>
      </c>
      <c r="AP498" s="503" t="str">
        <f>IF($G498="","",IF(AND($G498&gt;=30,$AT$3&lt;=AO$7),ROUND(AO498*($AP$3+#REF!),-1),""))</f>
        <v/>
      </c>
      <c r="AQ498" s="503" t="s">
        <v>621</v>
      </c>
      <c r="AR498" s="503" t="str">
        <f>IF($G498="","",IF(AND($G498&gt;=30,$AT$3&lt;=AQ$7),ROUND(AQ498*($AP$3+#REF!),-1),""))</f>
        <v/>
      </c>
      <c r="AS498" s="503" t="s">
        <v>621</v>
      </c>
      <c r="AT498" s="503" t="str">
        <f>IF($G498="","",IF(AND($G498&gt;=30,$AT$3&lt;=AS$7),ROUND(AS498*($AP$3+#REF!),-1),""))</f>
        <v/>
      </c>
      <c r="AU498" s="503" t="s">
        <v>621</v>
      </c>
      <c r="AV498" s="503" t="str">
        <f>IF($G498="","",IF(AND($G498&gt;=30,$AT$3&lt;=AU$7),ROUND(AU498*($AP$3+#REF!),-1),""))</f>
        <v/>
      </c>
      <c r="AW498" s="503" t="s">
        <v>621</v>
      </c>
      <c r="AX498" s="503" t="str">
        <f>IF($G498="","",IF(AND($G498&gt;=30,$AT$3&lt;=AW$7),ROUND(AW498*($AP$3+#REF!),-1),""))</f>
        <v/>
      </c>
      <c r="AY498" s="503" t="s">
        <v>621</v>
      </c>
      <c r="AZ498" s="503" t="str">
        <f>IF($G498="","",IF(AND($G498&gt;=30,$AT$3&lt;=AY$7),ROUND(AY498*($AP$3+#REF!),-1),""))</f>
        <v/>
      </c>
      <c r="BA498" s="503" t="s">
        <v>621</v>
      </c>
      <c r="BB498" s="503" t="str">
        <f>IF($G498="","",IF(AND($G498&gt;=30,$AT$3&lt;=BA$7),ROUND(BA498*($AP$3+#REF!),-1),""))</f>
        <v/>
      </c>
      <c r="BC498" s="503" t="s">
        <v>621</v>
      </c>
      <c r="BD498" s="503" t="str">
        <f>IF($G498="","",IF(AND($G498&gt;=30,$AT$3&lt;=BC$7),ROUND(BC498*($AP$3+#REF!),-1),""))</f>
        <v/>
      </c>
      <c r="BE498" s="503" t="s">
        <v>621</v>
      </c>
      <c r="BF498" s="503" t="str">
        <f>IF($G498="","",IF(AND($G498&gt;=30,$AT$3&lt;=BE$7),ROUND(BE498*($AP$3+#REF!),-1),""))</f>
        <v/>
      </c>
      <c r="BG498" s="503" t="s">
        <v>621</v>
      </c>
      <c r="BH498" s="503" t="str">
        <f>IF($G498="","",IF(AND($G498&gt;=30,$AT$3&lt;=BG$7),ROUND(BG498*($AP$3+#REF!),-1),""))</f>
        <v/>
      </c>
      <c r="BI498" s="503" t="s">
        <v>621</v>
      </c>
      <c r="BJ498" s="503" t="str">
        <f>IF($G498="","",IF(AND($G498&gt;=30,$AT$3&lt;=BI$7),ROUND(BI498*($AP$3+#REF!),-1),""))</f>
        <v/>
      </c>
      <c r="BK498" s="503" t="s">
        <v>621</v>
      </c>
      <c r="BL498" s="503" t="str">
        <f>IF($G498="","",IF(AND($G498&gt;=30,$AT$3&lt;=BK$7),ROUND(BK498*($AP$3+#REF!),-1),""))</f>
        <v/>
      </c>
      <c r="BM498" s="503" t="s">
        <v>621</v>
      </c>
      <c r="BN498" s="503" t="str">
        <f>IF($G498="","",IF(AND($G498&gt;=30,$AT$3&lt;=BM$7),ROUND(BM498*($AP$3+#REF!),-1),""))</f>
        <v/>
      </c>
      <c r="BO498" s="503" t="s">
        <v>621</v>
      </c>
      <c r="BP498" s="503" t="str">
        <f>IF($G498="","",IF(AND($G498&gt;=30,$AT$3&lt;=BO$7),ROUND(BO498*($AP$3+#REF!),-1),""))</f>
        <v/>
      </c>
      <c r="BQ498" s="503" t="s">
        <v>621</v>
      </c>
      <c r="BR498" s="503" t="str">
        <f>IF($G498="","",IF(AND($G498&gt;=30,$AT$3&lt;=BQ$7),ROUND(BQ498*($AP$3+#REF!),-1),""))</f>
        <v/>
      </c>
      <c r="BS498" s="503" t="s">
        <v>621</v>
      </c>
      <c r="BT498" s="503" t="str">
        <f>IF($G498="","",IF(AND($G498&gt;=30,$AT$3&lt;=BS$7),ROUND(BS498*($AP$3+#REF!),-1),""))</f>
        <v/>
      </c>
      <c r="BU498" s="503" t="s">
        <v>621</v>
      </c>
      <c r="BV498" s="503" t="str">
        <f>IF($G498="","",IF(AND($G498&gt;=30,$AT$3&lt;=BU$7),ROUND(BU498*($AP$3+#REF!),-1),""))</f>
        <v/>
      </c>
      <c r="BW498" s="503" t="s">
        <v>621</v>
      </c>
      <c r="BX498" s="503" t="str">
        <f>IF($G498="","",IF(AND($G498&gt;=30,$AT$3&lt;=BW$7),ROUND(BW498*($AP$3+#REF!),-1),""))</f>
        <v/>
      </c>
      <c r="BY498" s="503" t="s">
        <v>621</v>
      </c>
      <c r="BZ498" s="503" t="str">
        <f>IF($G498="","",IF(AND($G498&gt;=30,$AT$3&lt;=BY$7),ROUND(BY498*($AP$3+#REF!),-1),""))</f>
        <v/>
      </c>
      <c r="CA498" s="503" t="s">
        <v>621</v>
      </c>
      <c r="CB498" s="503" t="str">
        <f>IF($G498="","",IF(AND($G498&gt;=30,$AT$3&lt;=CA$7),ROUND(CA498*($AP$3+#REF!),-1),""))</f>
        <v/>
      </c>
      <c r="CC498" s="503" t="s">
        <v>621</v>
      </c>
      <c r="CD498" s="503" t="str">
        <f>IF($G498="","",IF(AND($G498&gt;=30,$AT$3&lt;=CC$7),ROUND(CC498*($AP$3+#REF!),-1),""))</f>
        <v/>
      </c>
      <c r="CE498" s="503" t="s">
        <v>621</v>
      </c>
      <c r="CF498" s="503" t="str">
        <f>IF($G498="","",IF(AND($G498&gt;=30,$AT$3&lt;=CE$7),ROUND(CE498*($AP$3+#REF!),-1),""))</f>
        <v/>
      </c>
      <c r="CG498" s="503" t="s">
        <v>621</v>
      </c>
      <c r="CH498" s="503" t="str">
        <f>IF($G498="","",IF(AND($G498&gt;=30,$AT$3&lt;=CG$7),ROUND(CG498*($AP$3+#REF!),-1),""))</f>
        <v/>
      </c>
      <c r="CI498" s="503" t="s">
        <v>621</v>
      </c>
      <c r="CJ498" s="503" t="str">
        <f>IF($G498="","",IF(AND($G498&gt;=30,$AT$3&lt;=CI$7),ROUND(CI498*($AP$3+#REF!),-1),""))</f>
        <v/>
      </c>
      <c r="CK498" s="503" t="s">
        <v>621</v>
      </c>
      <c r="CL498" s="503" t="str">
        <f>IF($G498="","",IF(AND($G498&gt;=30,$AT$3&lt;=CK$7),ROUND(CK498*($AP$3+#REF!),-1),""))</f>
        <v/>
      </c>
      <c r="CM498" s="503" t="s">
        <v>621</v>
      </c>
      <c r="CN498" s="503" t="str">
        <f>IF($G498="","",IF(AND($G498&gt;=30,$AT$3&lt;=CM$7),ROUND(CM498*($AP$3+#REF!),-1),""))</f>
        <v/>
      </c>
      <c r="CO498" s="503" t="s">
        <v>621</v>
      </c>
      <c r="CP498" s="503" t="str">
        <f>IF($G498="","",IF(AND($G498&gt;=30,$AT$3&lt;=CO$7),ROUND(CO498*($AP$3+#REF!),-1),""))</f>
        <v/>
      </c>
      <c r="CQ498" s="503" t="s">
        <v>621</v>
      </c>
      <c r="CR498" s="503" t="str">
        <f>IF($G498="","",IF(AND($G498&gt;=30,$AT$3&lt;=CQ$7),ROUND(CQ498*($AP$3+#REF!),-1),""))</f>
        <v/>
      </c>
      <c r="CS498" s="503" t="s">
        <v>621</v>
      </c>
      <c r="CT498" s="503" t="str">
        <f>IF($G498="","",IF(AND($G498&gt;=30,$AT$3&lt;=CS$7),ROUND(CS498*($AP$3+#REF!),-1),""))</f>
        <v/>
      </c>
      <c r="CU498" s="503" t="s">
        <v>621</v>
      </c>
      <c r="CV498" s="503" t="str">
        <f>IF($G498="","",IF(AND($G498&gt;=30,$AT$3&lt;=CU$7),ROUND(CU498*($AP$3+#REF!),-1),""))</f>
        <v/>
      </c>
      <c r="CW498" s="503" t="s">
        <v>621</v>
      </c>
      <c r="CX498" s="503" t="str">
        <f>IF($G498="","",IF(AND($G498&gt;=30,$AT$3&lt;=CW$7),ROUND(CW498*($AP$3+#REF!),-1),""))</f>
        <v/>
      </c>
      <c r="CY498" s="503" t="s">
        <v>621</v>
      </c>
      <c r="CZ498" s="503" t="str">
        <f>IF($G498="","",IF(AND($G498&gt;=30,$AT$3&lt;=CY$7),ROUND(CY498*($AP$3+#REF!),-1),""))</f>
        <v/>
      </c>
      <c r="DA498" s="503" t="s">
        <v>621</v>
      </c>
      <c r="DB498" s="503" t="str">
        <f>IF($G498="","",IF(AND($G498&gt;=30,$AT$3&lt;=DA$7),ROUND(DA498*($AP$3+#REF!),-1),""))</f>
        <v/>
      </c>
      <c r="DC498" s="503" t="s">
        <v>621</v>
      </c>
      <c r="DD498" s="503" t="str">
        <f>IF($G498="","",IF(AND($G498&gt;=30,$AT$3&lt;=DC$7),ROUND(DC498*($AP$3+#REF!),-1),""))</f>
        <v/>
      </c>
      <c r="DE498" s="503" t="s">
        <v>621</v>
      </c>
      <c r="DF498" s="503" t="str">
        <f>IF($G498="","",IF(AND($G498&gt;=30,$AT$3&lt;=DE$7),ROUND(DE498*($AP$3+#REF!),-1),""))</f>
        <v/>
      </c>
      <c r="DG498" s="503" t="s">
        <v>621</v>
      </c>
      <c r="DH498" s="503" t="str">
        <f>IF($G498="","",IF(AND($G498&gt;=30,$AT$3&lt;=DG$7),ROUND(DG498*($AP$3+#REF!),-1),""))</f>
        <v/>
      </c>
      <c r="DI498" s="517" t="e">
        <v>#REF!</v>
      </c>
      <c r="DJ498" s="503" t="str">
        <f>IF($G498="","",IF(AND($G498&gt;=30,$AT$3&lt;=DI$7),ROUND(DI498*($AP$3+#REF!),-1),""))</f>
        <v/>
      </c>
      <c r="DK498" s="503"/>
      <c r="DL498" s="503" t="str">
        <f>IF($G498="","",IF(AND($G498&gt;=30,$AT$3&lt;=DK$7),ROUND(DK498*($AP$3+#REF!),-1),""))</f>
        <v/>
      </c>
      <c r="DM498" s="503"/>
      <c r="DN498" s="503" t="str">
        <f>IF($G498="","",IF(AND($G498&gt;=30,$AT$3&lt;=DM$7),ROUND(DM498*($AP$3+#REF!),-1),""))</f>
        <v/>
      </c>
      <c r="DO498" s="503"/>
      <c r="DP498" s="503" t="str">
        <f>IF($G498="","",IF(AND($G498&gt;=30,$AT$3&lt;=DO$7),ROUND(DO498*($AP$3+#REF!),-1),""))</f>
        <v/>
      </c>
      <c r="DQ498" s="503"/>
      <c r="DR498" s="503" t="str">
        <f>IF($G498="","",IF(AND($G498&gt;=30,$AT$3&lt;=DQ$7),ROUND(DQ498*($AP$3+#REF!),-1),""))</f>
        <v/>
      </c>
      <c r="DS498" s="503"/>
      <c r="DT498" s="503" t="str">
        <f>IF($G498="","",IF(AND($G498&gt;=30,$AT$3&lt;=DS$7),ROUND(DS498*($AP$3+#REF!),-1),""))</f>
        <v/>
      </c>
      <c r="DU498" s="503"/>
      <c r="DV498" s="503" t="str">
        <f>IF($G498="","",IF(AND($G498&gt;=30,$AT$3&lt;=DU$7),ROUND(DU498*($AP$3+#REF!),-1),""))</f>
        <v/>
      </c>
      <c r="DW498" s="503"/>
      <c r="DX498" s="503" t="str">
        <f>IF($G498="","",IF(AND($G498&gt;=30,$AT$3&lt;=DW$7),ROUND(DW498*($AP$3+#REF!),-1),""))</f>
        <v/>
      </c>
      <c r="DY498" s="503"/>
      <c r="DZ498" s="503" t="str">
        <f>IF($G498="","",IF(AND($G498&gt;=30,$AT$3&lt;=DY$7),ROUND(DY498*($AP$3+#REF!),-1),""))</f>
        <v/>
      </c>
      <c r="EA498" s="503"/>
      <c r="EB498" s="503" t="str">
        <f>IF($G498="","",IF(AND($G498&gt;=30,$AT$3&lt;=EA$7),ROUND(EA498*($AP$3+#REF!),-1),""))</f>
        <v/>
      </c>
      <c r="EC498" s="436"/>
      <c r="ED498" s="436"/>
      <c r="EE498" s="394"/>
    </row>
    <row r="499" spans="1:135" ht="9.75" customHeight="1">
      <c r="A499" s="321" t="str">
        <f t="shared" si="110"/>
        <v/>
      </c>
      <c r="B499" s="567">
        <f>(ii!$D$13*12+V499)+1</f>
        <v>393</v>
      </c>
      <c r="C499" s="337">
        <f t="shared" si="114"/>
        <v>57314</v>
      </c>
      <c r="D499" s="484">
        <f t="shared" si="117"/>
        <v>2056</v>
      </c>
      <c r="E499" s="484">
        <f t="shared" si="115"/>
        <v>0.91666666666666663</v>
      </c>
      <c r="F499" s="484">
        <f t="shared" si="118"/>
        <v>2056.9166666666665</v>
      </c>
      <c r="G499" s="485" t="str">
        <f>IF(OR(C499&lt;$I$2,C499&gt;$J$3),"",(ii!$D$13*12+V499+1)/12)</f>
        <v/>
      </c>
      <c r="H499" s="486"/>
      <c r="I499" s="486"/>
      <c r="J499" s="487"/>
      <c r="K499" s="488"/>
      <c r="L499" s="548"/>
      <c r="M499" s="489" t="str">
        <f t="shared" si="119"/>
        <v/>
      </c>
      <c r="N499" s="490" t="s">
        <v>621</v>
      </c>
      <c r="O499" s="490" t="str">
        <f t="shared" si="112"/>
        <v/>
      </c>
      <c r="P499" s="491"/>
      <c r="Q499" s="491"/>
      <c r="R499" s="491" t="str">
        <f t="shared" si="113"/>
        <v/>
      </c>
      <c r="S499" s="528" t="str">
        <f t="shared" si="111"/>
        <v/>
      </c>
      <c r="T499" s="528" t="str">
        <f t="shared" si="109"/>
        <v/>
      </c>
      <c r="U499" s="493" t="str">
        <f>IF(H499="","",#REF!*12+#REF!+#REF!*12+#REF!)</f>
        <v/>
      </c>
      <c r="V499" s="338">
        <f>IF(ii!$J$3&gt;gg!C499,"",IF(AND((YEAR(C499)=YEAR($I$2)),MONTH(C499)=MONTH($I$2)),ii!$B$14*12+ii!$C$14+ii!$B$15*12+ii!$C$15-1,V498+1))</f>
        <v>392</v>
      </c>
      <c r="W499" s="339">
        <f t="shared" si="116"/>
        <v>32.666666666666664</v>
      </c>
      <c r="X499" s="494" t="s">
        <v>621</v>
      </c>
      <c r="Y499" s="495" t="s">
        <v>621</v>
      </c>
      <c r="Z499" s="496"/>
      <c r="AA499" s="497"/>
      <c r="AB499" s="498" t="e">
        <f t="shared" si="122"/>
        <v>#VALUE!</v>
      </c>
      <c r="AC499" s="484" t="str">
        <f t="shared" si="120"/>
        <v/>
      </c>
      <c r="AD499" s="495" t="str">
        <f t="shared" si="121"/>
        <v/>
      </c>
      <c r="AE499" s="499" t="s">
        <v>621</v>
      </c>
      <c r="AF499" s="500" t="s">
        <v>621</v>
      </c>
      <c r="AG499" s="556" t="s">
        <v>621</v>
      </c>
      <c r="AH499" s="503" t="str">
        <f>IF($G499="","",IF(AND($G499&gt;=30,$AT$3&lt;=AG$7),ROUND(AG499*($AP$3+#REF!),-1),""))</f>
        <v/>
      </c>
      <c r="AI499" s="506" t="s">
        <v>621</v>
      </c>
      <c r="AJ499" s="503" t="str">
        <f>IF($G499="","",IF(AND($G499&gt;=30,$AT$3&lt;=AI$7),ROUND(AI499*($AP$3+#REF!),-1),""))</f>
        <v/>
      </c>
      <c r="AK499" s="506" t="s">
        <v>621</v>
      </c>
      <c r="AL499" s="503" t="str">
        <f>IF($G499="","",IF(AND($G499&gt;=30,$AT$3&lt;=AK$7),ROUND(AK499*($AP$3+#REF!),-1),""))</f>
        <v/>
      </c>
      <c r="AM499" s="506" t="s">
        <v>621</v>
      </c>
      <c r="AN499" s="503" t="str">
        <f>IF($G499="","",IF(AND($G499&gt;=30,$AT$3&lt;=AM$7),ROUND(AM499*($AP$3+#REF!),-1),""))</f>
        <v/>
      </c>
      <c r="AO499" s="503" t="e">
        <v>#REF!</v>
      </c>
      <c r="AP499" s="503" t="str">
        <f>IF($G499="","",IF(AND($G499&gt;=30,$AT$3&lt;=AO$7),ROUND(AO499*($AP$3+#REF!),-1),""))</f>
        <v/>
      </c>
      <c r="AQ499" s="503" t="s">
        <v>621</v>
      </c>
      <c r="AR499" s="503" t="str">
        <f>IF($G499="","",IF(AND($G499&gt;=30,$AT$3&lt;=AQ$7),ROUND(AQ499*($AP$3+#REF!),-1),""))</f>
        <v/>
      </c>
      <c r="AS499" s="503" t="s">
        <v>621</v>
      </c>
      <c r="AT499" s="503" t="str">
        <f>IF($G499="","",IF(AND($G499&gt;=30,$AT$3&lt;=AS$7),ROUND(AS499*($AP$3+#REF!),-1),""))</f>
        <v/>
      </c>
      <c r="AU499" s="503" t="s">
        <v>621</v>
      </c>
      <c r="AV499" s="503" t="str">
        <f>IF($G499="","",IF(AND($G499&gt;=30,$AT$3&lt;=AU$7),ROUND(AU499*($AP$3+#REF!),-1),""))</f>
        <v/>
      </c>
      <c r="AW499" s="503" t="s">
        <v>621</v>
      </c>
      <c r="AX499" s="503" t="str">
        <f>IF($G499="","",IF(AND($G499&gt;=30,$AT$3&lt;=AW$7),ROUND(AW499*($AP$3+#REF!),-1),""))</f>
        <v/>
      </c>
      <c r="AY499" s="503" t="s">
        <v>621</v>
      </c>
      <c r="AZ499" s="503" t="str">
        <f>IF($G499="","",IF(AND($G499&gt;=30,$AT$3&lt;=AY$7),ROUND(AY499*($AP$3+#REF!),-1),""))</f>
        <v/>
      </c>
      <c r="BA499" s="503" t="s">
        <v>621</v>
      </c>
      <c r="BB499" s="503" t="str">
        <f>IF($G499="","",IF(AND($G499&gt;=30,$AT$3&lt;=BA$7),ROUND(BA499*($AP$3+#REF!),-1),""))</f>
        <v/>
      </c>
      <c r="BC499" s="503" t="s">
        <v>621</v>
      </c>
      <c r="BD499" s="503" t="str">
        <f>IF($G499="","",IF(AND($G499&gt;=30,$AT$3&lt;=BC$7),ROUND(BC499*($AP$3+#REF!),-1),""))</f>
        <v/>
      </c>
      <c r="BE499" s="503" t="s">
        <v>621</v>
      </c>
      <c r="BF499" s="503" t="str">
        <f>IF($G499="","",IF(AND($G499&gt;=30,$AT$3&lt;=BE$7),ROUND(BE499*($AP$3+#REF!),-1),""))</f>
        <v/>
      </c>
      <c r="BG499" s="503" t="s">
        <v>621</v>
      </c>
      <c r="BH499" s="503" t="str">
        <f>IF($G499="","",IF(AND($G499&gt;=30,$AT$3&lt;=BG$7),ROUND(BG499*($AP$3+#REF!),-1),""))</f>
        <v/>
      </c>
      <c r="BI499" s="503" t="s">
        <v>621</v>
      </c>
      <c r="BJ499" s="503" t="str">
        <f>IF($G499="","",IF(AND($G499&gt;=30,$AT$3&lt;=BI$7),ROUND(BI499*($AP$3+#REF!),-1),""))</f>
        <v/>
      </c>
      <c r="BK499" s="503" t="s">
        <v>621</v>
      </c>
      <c r="BL499" s="503" t="str">
        <f>IF($G499="","",IF(AND($G499&gt;=30,$AT$3&lt;=BK$7),ROUND(BK499*($AP$3+#REF!),-1),""))</f>
        <v/>
      </c>
      <c r="BM499" s="503" t="s">
        <v>621</v>
      </c>
      <c r="BN499" s="503" t="str">
        <f>IF($G499="","",IF(AND($G499&gt;=30,$AT$3&lt;=BM$7),ROUND(BM499*($AP$3+#REF!),-1),""))</f>
        <v/>
      </c>
      <c r="BO499" s="503" t="s">
        <v>621</v>
      </c>
      <c r="BP499" s="503" t="str">
        <f>IF($G499="","",IF(AND($G499&gt;=30,$AT$3&lt;=BO$7),ROUND(BO499*($AP$3+#REF!),-1),""))</f>
        <v/>
      </c>
      <c r="BQ499" s="503" t="s">
        <v>621</v>
      </c>
      <c r="BR499" s="503" t="str">
        <f>IF($G499="","",IF(AND($G499&gt;=30,$AT$3&lt;=BQ$7),ROUND(BQ499*($AP$3+#REF!),-1),""))</f>
        <v/>
      </c>
      <c r="BS499" s="503" t="s">
        <v>621</v>
      </c>
      <c r="BT499" s="503" t="str">
        <f>IF($G499="","",IF(AND($G499&gt;=30,$AT$3&lt;=BS$7),ROUND(BS499*($AP$3+#REF!),-1),""))</f>
        <v/>
      </c>
      <c r="BU499" s="503" t="s">
        <v>621</v>
      </c>
      <c r="BV499" s="503" t="str">
        <f>IF($G499="","",IF(AND($G499&gt;=30,$AT$3&lt;=BU$7),ROUND(BU499*($AP$3+#REF!),-1),""))</f>
        <v/>
      </c>
      <c r="BW499" s="503" t="s">
        <v>621</v>
      </c>
      <c r="BX499" s="503" t="str">
        <f>IF($G499="","",IF(AND($G499&gt;=30,$AT$3&lt;=BW$7),ROUND(BW499*($AP$3+#REF!),-1),""))</f>
        <v/>
      </c>
      <c r="BY499" s="503" t="s">
        <v>621</v>
      </c>
      <c r="BZ499" s="503" t="str">
        <f>IF($G499="","",IF(AND($G499&gt;=30,$AT$3&lt;=BY$7),ROUND(BY499*($AP$3+#REF!),-1),""))</f>
        <v/>
      </c>
      <c r="CA499" s="503" t="s">
        <v>621</v>
      </c>
      <c r="CB499" s="503" t="str">
        <f>IF($G499="","",IF(AND($G499&gt;=30,$AT$3&lt;=CA$7),ROUND(CA499*($AP$3+#REF!),-1),""))</f>
        <v/>
      </c>
      <c r="CC499" s="503" t="s">
        <v>621</v>
      </c>
      <c r="CD499" s="503" t="str">
        <f>IF($G499="","",IF(AND($G499&gt;=30,$AT$3&lt;=CC$7),ROUND(CC499*($AP$3+#REF!),-1),""))</f>
        <v/>
      </c>
      <c r="CE499" s="503" t="s">
        <v>621</v>
      </c>
      <c r="CF499" s="503" t="str">
        <f>IF($G499="","",IF(AND($G499&gt;=30,$AT$3&lt;=CE$7),ROUND(CE499*($AP$3+#REF!),-1),""))</f>
        <v/>
      </c>
      <c r="CG499" s="503" t="s">
        <v>621</v>
      </c>
      <c r="CH499" s="503" t="str">
        <f>IF($G499="","",IF(AND($G499&gt;=30,$AT$3&lt;=CG$7),ROUND(CG499*($AP$3+#REF!),-1),""))</f>
        <v/>
      </c>
      <c r="CI499" s="503" t="s">
        <v>621</v>
      </c>
      <c r="CJ499" s="503" t="str">
        <f>IF($G499="","",IF(AND($G499&gt;=30,$AT$3&lt;=CI$7),ROUND(CI499*($AP$3+#REF!),-1),""))</f>
        <v/>
      </c>
      <c r="CK499" s="503" t="s">
        <v>621</v>
      </c>
      <c r="CL499" s="503" t="str">
        <f>IF($G499="","",IF(AND($G499&gt;=30,$AT$3&lt;=CK$7),ROUND(CK499*($AP$3+#REF!),-1),""))</f>
        <v/>
      </c>
      <c r="CM499" s="503" t="s">
        <v>621</v>
      </c>
      <c r="CN499" s="503" t="str">
        <f>IF($G499="","",IF(AND($G499&gt;=30,$AT$3&lt;=CM$7),ROUND(CM499*($AP$3+#REF!),-1),""))</f>
        <v/>
      </c>
      <c r="CO499" s="503" t="s">
        <v>621</v>
      </c>
      <c r="CP499" s="503" t="str">
        <f>IF($G499="","",IF(AND($G499&gt;=30,$AT$3&lt;=CO$7),ROUND(CO499*($AP$3+#REF!),-1),""))</f>
        <v/>
      </c>
      <c r="CQ499" s="503" t="s">
        <v>621</v>
      </c>
      <c r="CR499" s="503" t="str">
        <f>IF($G499="","",IF(AND($G499&gt;=30,$AT$3&lt;=CQ$7),ROUND(CQ499*($AP$3+#REF!),-1),""))</f>
        <v/>
      </c>
      <c r="CS499" s="503" t="s">
        <v>621</v>
      </c>
      <c r="CT499" s="503" t="str">
        <f>IF($G499="","",IF(AND($G499&gt;=30,$AT$3&lt;=CS$7),ROUND(CS499*($AP$3+#REF!),-1),""))</f>
        <v/>
      </c>
      <c r="CU499" s="503" t="s">
        <v>621</v>
      </c>
      <c r="CV499" s="503" t="str">
        <f>IF($G499="","",IF(AND($G499&gt;=30,$AT$3&lt;=CU$7),ROUND(CU499*($AP$3+#REF!),-1),""))</f>
        <v/>
      </c>
      <c r="CW499" s="503" t="s">
        <v>621</v>
      </c>
      <c r="CX499" s="503" t="str">
        <f>IF($G499="","",IF(AND($G499&gt;=30,$AT$3&lt;=CW$7),ROUND(CW499*($AP$3+#REF!),-1),""))</f>
        <v/>
      </c>
      <c r="CY499" s="503" t="s">
        <v>621</v>
      </c>
      <c r="CZ499" s="503" t="str">
        <f>IF($G499="","",IF(AND($G499&gt;=30,$AT$3&lt;=CY$7),ROUND(CY499*($AP$3+#REF!),-1),""))</f>
        <v/>
      </c>
      <c r="DA499" s="503" t="s">
        <v>621</v>
      </c>
      <c r="DB499" s="503" t="str">
        <f>IF($G499="","",IF(AND($G499&gt;=30,$AT$3&lt;=DA$7),ROUND(DA499*($AP$3+#REF!),-1),""))</f>
        <v/>
      </c>
      <c r="DC499" s="503" t="s">
        <v>621</v>
      </c>
      <c r="DD499" s="503" t="str">
        <f>IF($G499="","",IF(AND($G499&gt;=30,$AT$3&lt;=DC$7),ROUND(DC499*($AP$3+#REF!),-1),""))</f>
        <v/>
      </c>
      <c r="DE499" s="503" t="s">
        <v>621</v>
      </c>
      <c r="DF499" s="503" t="str">
        <f>IF($G499="","",IF(AND($G499&gt;=30,$AT$3&lt;=DE$7),ROUND(DE499*($AP$3+#REF!),-1),""))</f>
        <v/>
      </c>
      <c r="DG499" s="503" t="s">
        <v>621</v>
      </c>
      <c r="DH499" s="503" t="str">
        <f>IF($G499="","",IF(AND($G499&gt;=30,$AT$3&lt;=DG$7),ROUND(DG499*($AP$3+#REF!),-1),""))</f>
        <v/>
      </c>
      <c r="DI499" s="517" t="e">
        <v>#REF!</v>
      </c>
      <c r="DJ499" s="503" t="str">
        <f>IF($G499="","",IF(AND($G499&gt;=30,$AT$3&lt;=DI$7),ROUND(DI499*($AP$3+#REF!),-1),""))</f>
        <v/>
      </c>
      <c r="DK499" s="503"/>
      <c r="DL499" s="503" t="str">
        <f>IF($G499="","",IF(AND($G499&gt;=30,$AT$3&lt;=DK$7),ROUND(DK499*($AP$3+#REF!),-1),""))</f>
        <v/>
      </c>
      <c r="DM499" s="503"/>
      <c r="DN499" s="503" t="str">
        <f>IF($G499="","",IF(AND($G499&gt;=30,$AT$3&lt;=DM$7),ROUND(DM499*($AP$3+#REF!),-1),""))</f>
        <v/>
      </c>
      <c r="DO499" s="503"/>
      <c r="DP499" s="503" t="str">
        <f>IF($G499="","",IF(AND($G499&gt;=30,$AT$3&lt;=DO$7),ROUND(DO499*($AP$3+#REF!),-1),""))</f>
        <v/>
      </c>
      <c r="DQ499" s="503"/>
      <c r="DR499" s="503" t="str">
        <f>IF($G499="","",IF(AND($G499&gt;=30,$AT$3&lt;=DQ$7),ROUND(DQ499*($AP$3+#REF!),-1),""))</f>
        <v/>
      </c>
      <c r="DS499" s="503"/>
      <c r="DT499" s="503" t="str">
        <f>IF($G499="","",IF(AND($G499&gt;=30,$AT$3&lt;=DS$7),ROUND(DS499*($AP$3+#REF!),-1),""))</f>
        <v/>
      </c>
      <c r="DU499" s="503"/>
      <c r="DV499" s="503" t="str">
        <f>IF($G499="","",IF(AND($G499&gt;=30,$AT$3&lt;=DU$7),ROUND(DU499*($AP$3+#REF!),-1),""))</f>
        <v/>
      </c>
      <c r="DW499" s="503"/>
      <c r="DX499" s="503" t="str">
        <f>IF($G499="","",IF(AND($G499&gt;=30,$AT$3&lt;=DW$7),ROUND(DW499*($AP$3+#REF!),-1),""))</f>
        <v/>
      </c>
      <c r="DY499" s="503"/>
      <c r="DZ499" s="503" t="str">
        <f>IF($G499="","",IF(AND($G499&gt;=30,$AT$3&lt;=DY$7),ROUND(DY499*($AP$3+#REF!),-1),""))</f>
        <v/>
      </c>
      <c r="EA499" s="503"/>
      <c r="EB499" s="503" t="str">
        <f>IF($G499="","",IF(AND($G499&gt;=30,$AT$3&lt;=EA$7),ROUND(EA499*($AP$3+#REF!),-1),""))</f>
        <v/>
      </c>
      <c r="EC499" s="436"/>
      <c r="ED499" s="436"/>
      <c r="EE499" s="394"/>
    </row>
    <row r="500" spans="1:135" ht="9.75" customHeight="1">
      <c r="A500" s="321" t="str">
        <f t="shared" si="110"/>
        <v/>
      </c>
      <c r="B500" s="567">
        <f>(ii!$D$13*12+V500)+1</f>
        <v>394</v>
      </c>
      <c r="C500" s="337">
        <f t="shared" si="114"/>
        <v>57345</v>
      </c>
      <c r="D500" s="484">
        <f t="shared" si="117"/>
        <v>2056</v>
      </c>
      <c r="E500" s="484">
        <f t="shared" si="115"/>
        <v>1</v>
      </c>
      <c r="F500" s="484">
        <f t="shared" si="118"/>
        <v>2057</v>
      </c>
      <c r="G500" s="485" t="str">
        <f>IF(OR(C500&lt;$I$2,C500&gt;$J$3),"",(ii!$D$13*12+V500+1)/12)</f>
        <v/>
      </c>
      <c r="H500" s="486"/>
      <c r="I500" s="486"/>
      <c r="J500" s="487"/>
      <c r="K500" s="488"/>
      <c r="L500" s="548"/>
      <c r="M500" s="489" t="str">
        <f t="shared" si="119"/>
        <v/>
      </c>
      <c r="N500" s="490" t="s">
        <v>621</v>
      </c>
      <c r="O500" s="490" t="str">
        <f t="shared" si="112"/>
        <v/>
      </c>
      <c r="P500" s="491"/>
      <c r="Q500" s="491"/>
      <c r="R500" s="491" t="str">
        <f t="shared" si="113"/>
        <v/>
      </c>
      <c r="S500" s="528" t="str">
        <f t="shared" si="111"/>
        <v/>
      </c>
      <c r="T500" s="528" t="str">
        <f t="shared" si="109"/>
        <v/>
      </c>
      <c r="U500" s="493" t="str">
        <f>IF(H500="","",#REF!*12+#REF!+#REF!*12+#REF!)</f>
        <v/>
      </c>
      <c r="V500" s="338">
        <f>IF(ii!$J$3&gt;gg!C500,"",IF(AND((YEAR(C500)=YEAR($I$2)),MONTH(C500)=MONTH($I$2)),ii!$B$14*12+ii!$C$14+ii!$B$15*12+ii!$C$15-1,V499+1))</f>
        <v>393</v>
      </c>
      <c r="W500" s="339">
        <f t="shared" si="116"/>
        <v>32.75</v>
      </c>
      <c r="X500" s="494" t="s">
        <v>621</v>
      </c>
      <c r="Y500" s="495" t="s">
        <v>621</v>
      </c>
      <c r="Z500" s="496"/>
      <c r="AA500" s="497"/>
      <c r="AB500" s="498" t="e">
        <f t="shared" si="122"/>
        <v>#VALUE!</v>
      </c>
      <c r="AC500" s="484" t="str">
        <f t="shared" si="120"/>
        <v/>
      </c>
      <c r="AD500" s="495" t="str">
        <f t="shared" si="121"/>
        <v/>
      </c>
      <c r="AE500" s="499" t="s">
        <v>621</v>
      </c>
      <c r="AF500" s="500" t="s">
        <v>621</v>
      </c>
      <c r="AG500" s="556" t="s">
        <v>621</v>
      </c>
      <c r="AH500" s="503" t="str">
        <f>IF($G500="","",IF(AND($G500&gt;=30,$AT$3&lt;=AG$7),ROUND(AG500*($AP$3+#REF!),-1),""))</f>
        <v/>
      </c>
      <c r="AI500" s="506" t="s">
        <v>621</v>
      </c>
      <c r="AJ500" s="503" t="str">
        <f>IF($G500="","",IF(AND($G500&gt;=30,$AT$3&lt;=AI$7),ROUND(AI500*($AP$3+#REF!),-1),""))</f>
        <v/>
      </c>
      <c r="AK500" s="506" t="s">
        <v>621</v>
      </c>
      <c r="AL500" s="503" t="str">
        <f>IF($G500="","",IF(AND($G500&gt;=30,$AT$3&lt;=AK$7),ROUND(AK500*($AP$3+#REF!),-1),""))</f>
        <v/>
      </c>
      <c r="AM500" s="506" t="s">
        <v>621</v>
      </c>
      <c r="AN500" s="503" t="str">
        <f>IF($G500="","",IF(AND($G500&gt;=30,$AT$3&lt;=AM$7),ROUND(AM500*($AP$3+#REF!),-1),""))</f>
        <v/>
      </c>
      <c r="AO500" s="503" t="e">
        <v>#REF!</v>
      </c>
      <c r="AP500" s="503" t="str">
        <f>IF($G500="","",IF(AND($G500&gt;=30,$AT$3&lt;=AO$7),ROUND(AO500*($AP$3+#REF!),-1),""))</f>
        <v/>
      </c>
      <c r="AQ500" s="503" t="s">
        <v>621</v>
      </c>
      <c r="AR500" s="503" t="str">
        <f>IF($G500="","",IF(AND($G500&gt;=30,$AT$3&lt;=AQ$7),ROUND(AQ500*($AP$3+#REF!),-1),""))</f>
        <v/>
      </c>
      <c r="AS500" s="503" t="s">
        <v>621</v>
      </c>
      <c r="AT500" s="503" t="str">
        <f>IF($G500="","",IF(AND($G500&gt;=30,$AT$3&lt;=AS$7),ROUND(AS500*($AP$3+#REF!),-1),""))</f>
        <v/>
      </c>
      <c r="AU500" s="503" t="s">
        <v>621</v>
      </c>
      <c r="AV500" s="503" t="str">
        <f>IF($G500="","",IF(AND($G500&gt;=30,$AT$3&lt;=AU$7),ROUND(AU500*($AP$3+#REF!),-1),""))</f>
        <v/>
      </c>
      <c r="AW500" s="503" t="s">
        <v>621</v>
      </c>
      <c r="AX500" s="503" t="str">
        <f>IF($G500="","",IF(AND($G500&gt;=30,$AT$3&lt;=AW$7),ROUND(AW500*($AP$3+#REF!),-1),""))</f>
        <v/>
      </c>
      <c r="AY500" s="503" t="s">
        <v>621</v>
      </c>
      <c r="AZ500" s="503" t="str">
        <f>IF($G500="","",IF(AND($G500&gt;=30,$AT$3&lt;=AY$7),ROUND(AY500*($AP$3+#REF!),-1),""))</f>
        <v/>
      </c>
      <c r="BA500" s="503" t="s">
        <v>621</v>
      </c>
      <c r="BB500" s="503" t="str">
        <f>IF($G500="","",IF(AND($G500&gt;=30,$AT$3&lt;=BA$7),ROUND(BA500*($AP$3+#REF!),-1),""))</f>
        <v/>
      </c>
      <c r="BC500" s="503" t="s">
        <v>621</v>
      </c>
      <c r="BD500" s="503" t="str">
        <f>IF($G500="","",IF(AND($G500&gt;=30,$AT$3&lt;=BC$7),ROUND(BC500*($AP$3+#REF!),-1),""))</f>
        <v/>
      </c>
      <c r="BE500" s="503" t="s">
        <v>621</v>
      </c>
      <c r="BF500" s="503" t="str">
        <f>IF($G500="","",IF(AND($G500&gt;=30,$AT$3&lt;=BE$7),ROUND(BE500*($AP$3+#REF!),-1),""))</f>
        <v/>
      </c>
      <c r="BG500" s="503" t="s">
        <v>621</v>
      </c>
      <c r="BH500" s="503" t="str">
        <f>IF($G500="","",IF(AND($G500&gt;=30,$AT$3&lt;=BG$7),ROUND(BG500*($AP$3+#REF!),-1),""))</f>
        <v/>
      </c>
      <c r="BI500" s="503" t="s">
        <v>621</v>
      </c>
      <c r="BJ500" s="503" t="str">
        <f>IF($G500="","",IF(AND($G500&gt;=30,$AT$3&lt;=BI$7),ROUND(BI500*($AP$3+#REF!),-1),""))</f>
        <v/>
      </c>
      <c r="BK500" s="503" t="s">
        <v>621</v>
      </c>
      <c r="BL500" s="503" t="str">
        <f>IF($G500="","",IF(AND($G500&gt;=30,$AT$3&lt;=BK$7),ROUND(BK500*($AP$3+#REF!),-1),""))</f>
        <v/>
      </c>
      <c r="BM500" s="503" t="s">
        <v>621</v>
      </c>
      <c r="BN500" s="503" t="str">
        <f>IF($G500="","",IF(AND($G500&gt;=30,$AT$3&lt;=BM$7),ROUND(BM500*($AP$3+#REF!),-1),""))</f>
        <v/>
      </c>
      <c r="BO500" s="503" t="s">
        <v>621</v>
      </c>
      <c r="BP500" s="503" t="str">
        <f>IF($G500="","",IF(AND($G500&gt;=30,$AT$3&lt;=BO$7),ROUND(BO500*($AP$3+#REF!),-1),""))</f>
        <v/>
      </c>
      <c r="BQ500" s="503" t="s">
        <v>621</v>
      </c>
      <c r="BR500" s="503" t="str">
        <f>IF($G500="","",IF(AND($G500&gt;=30,$AT$3&lt;=BQ$7),ROUND(BQ500*($AP$3+#REF!),-1),""))</f>
        <v/>
      </c>
      <c r="BS500" s="503" t="s">
        <v>621</v>
      </c>
      <c r="BT500" s="503" t="str">
        <f>IF($G500="","",IF(AND($G500&gt;=30,$AT$3&lt;=BS$7),ROUND(BS500*($AP$3+#REF!),-1),""))</f>
        <v/>
      </c>
      <c r="BU500" s="503" t="s">
        <v>621</v>
      </c>
      <c r="BV500" s="503" t="str">
        <f>IF($G500="","",IF(AND($G500&gt;=30,$AT$3&lt;=BU$7),ROUND(BU500*($AP$3+#REF!),-1),""))</f>
        <v/>
      </c>
      <c r="BW500" s="503" t="s">
        <v>621</v>
      </c>
      <c r="BX500" s="503" t="str">
        <f>IF($G500="","",IF(AND($G500&gt;=30,$AT$3&lt;=BW$7),ROUND(BW500*($AP$3+#REF!),-1),""))</f>
        <v/>
      </c>
      <c r="BY500" s="503" t="s">
        <v>621</v>
      </c>
      <c r="BZ500" s="503" t="str">
        <f>IF($G500="","",IF(AND($G500&gt;=30,$AT$3&lt;=BY$7),ROUND(BY500*($AP$3+#REF!),-1),""))</f>
        <v/>
      </c>
      <c r="CA500" s="503" t="s">
        <v>621</v>
      </c>
      <c r="CB500" s="503" t="str">
        <f>IF($G500="","",IF(AND($G500&gt;=30,$AT$3&lt;=CA$7),ROUND(CA500*($AP$3+#REF!),-1),""))</f>
        <v/>
      </c>
      <c r="CC500" s="503" t="s">
        <v>621</v>
      </c>
      <c r="CD500" s="503" t="str">
        <f>IF($G500="","",IF(AND($G500&gt;=30,$AT$3&lt;=CC$7),ROUND(CC500*($AP$3+#REF!),-1),""))</f>
        <v/>
      </c>
      <c r="CE500" s="503" t="s">
        <v>621</v>
      </c>
      <c r="CF500" s="503" t="str">
        <f>IF($G500="","",IF(AND($G500&gt;=30,$AT$3&lt;=CE$7),ROUND(CE500*($AP$3+#REF!),-1),""))</f>
        <v/>
      </c>
      <c r="CG500" s="503" t="s">
        <v>621</v>
      </c>
      <c r="CH500" s="503" t="str">
        <f>IF($G500="","",IF(AND($G500&gt;=30,$AT$3&lt;=CG$7),ROUND(CG500*($AP$3+#REF!),-1),""))</f>
        <v/>
      </c>
      <c r="CI500" s="503" t="s">
        <v>621</v>
      </c>
      <c r="CJ500" s="503" t="str">
        <f>IF($G500="","",IF(AND($G500&gt;=30,$AT$3&lt;=CI$7),ROUND(CI500*($AP$3+#REF!),-1),""))</f>
        <v/>
      </c>
      <c r="CK500" s="503" t="s">
        <v>621</v>
      </c>
      <c r="CL500" s="503" t="str">
        <f>IF($G500="","",IF(AND($G500&gt;=30,$AT$3&lt;=CK$7),ROUND(CK500*($AP$3+#REF!),-1),""))</f>
        <v/>
      </c>
      <c r="CM500" s="503" t="s">
        <v>621</v>
      </c>
      <c r="CN500" s="503" t="str">
        <f>IF($G500="","",IF(AND($G500&gt;=30,$AT$3&lt;=CM$7),ROUND(CM500*($AP$3+#REF!),-1),""))</f>
        <v/>
      </c>
      <c r="CO500" s="503" t="s">
        <v>621</v>
      </c>
      <c r="CP500" s="503" t="str">
        <f>IF($G500="","",IF(AND($G500&gt;=30,$AT$3&lt;=CO$7),ROUND(CO500*($AP$3+#REF!),-1),""))</f>
        <v/>
      </c>
      <c r="CQ500" s="503" t="s">
        <v>621</v>
      </c>
      <c r="CR500" s="503" t="str">
        <f>IF($G500="","",IF(AND($G500&gt;=30,$AT$3&lt;=CQ$7),ROUND(CQ500*($AP$3+#REF!),-1),""))</f>
        <v/>
      </c>
      <c r="CS500" s="503" t="s">
        <v>621</v>
      </c>
      <c r="CT500" s="503" t="str">
        <f>IF($G500="","",IF(AND($G500&gt;=30,$AT$3&lt;=CS$7),ROUND(CS500*($AP$3+#REF!),-1),""))</f>
        <v/>
      </c>
      <c r="CU500" s="503" t="s">
        <v>621</v>
      </c>
      <c r="CV500" s="503" t="str">
        <f>IF($G500="","",IF(AND($G500&gt;=30,$AT$3&lt;=CU$7),ROUND(CU500*($AP$3+#REF!),-1),""))</f>
        <v/>
      </c>
      <c r="CW500" s="503" t="s">
        <v>621</v>
      </c>
      <c r="CX500" s="503" t="str">
        <f>IF($G500="","",IF(AND($G500&gt;=30,$AT$3&lt;=CW$7),ROUND(CW500*($AP$3+#REF!),-1),""))</f>
        <v/>
      </c>
      <c r="CY500" s="503" t="s">
        <v>621</v>
      </c>
      <c r="CZ500" s="503" t="str">
        <f>IF($G500="","",IF(AND($G500&gt;=30,$AT$3&lt;=CY$7),ROUND(CY500*($AP$3+#REF!),-1),""))</f>
        <v/>
      </c>
      <c r="DA500" s="503" t="s">
        <v>621</v>
      </c>
      <c r="DB500" s="503" t="str">
        <f>IF($G500="","",IF(AND($G500&gt;=30,$AT$3&lt;=DA$7),ROUND(DA500*($AP$3+#REF!),-1),""))</f>
        <v/>
      </c>
      <c r="DC500" s="503" t="s">
        <v>621</v>
      </c>
      <c r="DD500" s="503" t="str">
        <f>IF($G500="","",IF(AND($G500&gt;=30,$AT$3&lt;=DC$7),ROUND(DC500*($AP$3+#REF!),-1),""))</f>
        <v/>
      </c>
      <c r="DE500" s="503" t="s">
        <v>621</v>
      </c>
      <c r="DF500" s="503" t="str">
        <f>IF($G500="","",IF(AND($G500&gt;=30,$AT$3&lt;=DE$7),ROUND(DE500*($AP$3+#REF!),-1),""))</f>
        <v/>
      </c>
      <c r="DG500" s="503" t="s">
        <v>621</v>
      </c>
      <c r="DH500" s="503" t="str">
        <f>IF($G500="","",IF(AND($G500&gt;=30,$AT$3&lt;=DG$7),ROUND(DG500*($AP$3+#REF!),-1),""))</f>
        <v/>
      </c>
      <c r="DI500" s="517" t="e">
        <v>#REF!</v>
      </c>
      <c r="DJ500" s="503" t="str">
        <f>IF($G500="","",IF(AND($G500&gt;=30,$AT$3&lt;=DI$7),ROUND(DI500*($AP$3+#REF!),-1),""))</f>
        <v/>
      </c>
      <c r="DK500" s="503"/>
      <c r="DL500" s="503" t="str">
        <f>IF($G500="","",IF(AND($G500&gt;=30,$AT$3&lt;=DK$7),ROUND(DK500*($AP$3+#REF!),-1),""))</f>
        <v/>
      </c>
      <c r="DM500" s="503"/>
      <c r="DN500" s="503" t="str">
        <f>IF($G500="","",IF(AND($G500&gt;=30,$AT$3&lt;=DM$7),ROUND(DM500*($AP$3+#REF!),-1),""))</f>
        <v/>
      </c>
      <c r="DO500" s="503"/>
      <c r="DP500" s="503" t="str">
        <f>IF($G500="","",IF(AND($G500&gt;=30,$AT$3&lt;=DO$7),ROUND(DO500*($AP$3+#REF!),-1),""))</f>
        <v/>
      </c>
      <c r="DQ500" s="503"/>
      <c r="DR500" s="503" t="str">
        <f>IF($G500="","",IF(AND($G500&gt;=30,$AT$3&lt;=DQ$7),ROUND(DQ500*($AP$3+#REF!),-1),""))</f>
        <v/>
      </c>
      <c r="DS500" s="503"/>
      <c r="DT500" s="503" t="str">
        <f>IF($G500="","",IF(AND($G500&gt;=30,$AT$3&lt;=DS$7),ROUND(DS500*($AP$3+#REF!),-1),""))</f>
        <v/>
      </c>
      <c r="DU500" s="503"/>
      <c r="DV500" s="503" t="str">
        <f>IF($G500="","",IF(AND($G500&gt;=30,$AT$3&lt;=DU$7),ROUND(DU500*($AP$3+#REF!),-1),""))</f>
        <v/>
      </c>
      <c r="DW500" s="503"/>
      <c r="DX500" s="503" t="str">
        <f>IF($G500="","",IF(AND($G500&gt;=30,$AT$3&lt;=DW$7),ROUND(DW500*($AP$3+#REF!),-1),""))</f>
        <v/>
      </c>
      <c r="DY500" s="503"/>
      <c r="DZ500" s="503" t="str">
        <f>IF($G500="","",IF(AND($G500&gt;=30,$AT$3&lt;=DY$7),ROUND(DY500*($AP$3+#REF!),-1),""))</f>
        <v/>
      </c>
      <c r="EA500" s="503"/>
      <c r="EB500" s="503" t="str">
        <f>IF($G500="","",IF(AND($G500&gt;=30,$AT$3&lt;=EA$7),ROUND(EA500*($AP$3+#REF!),-1),""))</f>
        <v/>
      </c>
      <c r="EC500" s="436"/>
      <c r="ED500" s="436"/>
      <c r="EE500" s="394"/>
    </row>
    <row r="501" spans="1:135" ht="9.75" customHeight="1">
      <c r="A501" s="321" t="str">
        <f t="shared" si="110"/>
        <v/>
      </c>
      <c r="B501" s="569">
        <f>(ii!$D$13*12+V501)+1</f>
        <v>395</v>
      </c>
      <c r="C501" s="345">
        <f t="shared" si="114"/>
        <v>57376</v>
      </c>
      <c r="D501" s="340">
        <f t="shared" si="117"/>
        <v>2057</v>
      </c>
      <c r="E501" s="340">
        <f t="shared" si="115"/>
        <v>8.3333333333333329E-2</v>
      </c>
      <c r="F501" s="340">
        <f t="shared" si="118"/>
        <v>2057.0833333333335</v>
      </c>
      <c r="G501" s="531" t="str">
        <f>IF(OR(C501&lt;$I$2,C501&gt;$J$3),"",(ii!$D$13*12+V501+1)/12)</f>
        <v/>
      </c>
      <c r="H501" s="532"/>
      <c r="I501" s="532"/>
      <c r="J501" s="533"/>
      <c r="K501" s="553"/>
      <c r="L501" s="534"/>
      <c r="M501" s="489" t="str">
        <f t="shared" si="119"/>
        <v/>
      </c>
      <c r="N501" s="536" t="s">
        <v>621</v>
      </c>
      <c r="O501" s="490" t="str">
        <f t="shared" si="112"/>
        <v/>
      </c>
      <c r="P501" s="537"/>
      <c r="Q501" s="537"/>
      <c r="R501" s="533" t="str">
        <f t="shared" si="113"/>
        <v/>
      </c>
      <c r="S501" s="538" t="str">
        <f t="shared" si="111"/>
        <v/>
      </c>
      <c r="T501" s="538" t="str">
        <f t="shared" si="109"/>
        <v/>
      </c>
      <c r="U501" s="539" t="str">
        <f>IF(H501="","",#REF!*12+#REF!+#REF!*12+#REF!)</f>
        <v/>
      </c>
      <c r="V501" s="338">
        <f>IF(ii!$J$3&gt;gg!C501,"",IF(AND((YEAR(C501)=YEAR($I$2)),MONTH(C501)=MONTH($I$2)),ii!$B$14*12+ii!$C$14+ii!$B$15*12+ii!$C$15-1,V500+1))</f>
        <v>394</v>
      </c>
      <c r="W501" s="339">
        <f t="shared" si="116"/>
        <v>32.833333333333336</v>
      </c>
      <c r="X501" s="540" t="s">
        <v>621</v>
      </c>
      <c r="Y501" s="538" t="s">
        <v>621</v>
      </c>
      <c r="Z501" s="541">
        <f>Z489+$Z$26</f>
        <v>1.1700000000000008</v>
      </c>
      <c r="AA501" s="542" t="str">
        <f>IF(Y501="","",(Y501-Y500)/Y500)</f>
        <v/>
      </c>
      <c r="AB501" s="543" t="e">
        <f t="shared" si="122"/>
        <v>#VALUE!</v>
      </c>
      <c r="AC501" s="544" t="str">
        <f t="shared" si="120"/>
        <v/>
      </c>
      <c r="AD501" s="538" t="str">
        <f t="shared" si="121"/>
        <v/>
      </c>
      <c r="AE501" s="545" t="s">
        <v>621</v>
      </c>
      <c r="AF501" s="546" t="s">
        <v>621</v>
      </c>
      <c r="AG501" s="558" t="s">
        <v>621</v>
      </c>
      <c r="AH501" s="547" t="str">
        <f>IF($G501="","",IF(AND($G501&gt;=30,$AT$3&lt;=AG$7),ROUND(AG501*($AP$3+#REF!),-1),""))</f>
        <v/>
      </c>
      <c r="AI501" s="558" t="s">
        <v>621</v>
      </c>
      <c r="AJ501" s="547" t="str">
        <f>IF($G501="","",IF(AND($G501&gt;=30,$AT$3&lt;=AI$7),ROUND(AI501*($AP$3+#REF!),-1),""))</f>
        <v/>
      </c>
      <c r="AK501" s="560" t="s">
        <v>621</v>
      </c>
      <c r="AL501" s="547" t="str">
        <f>IF($G501="","",IF(AND($G501&gt;=30,$AT$3&lt;=AK$7),ROUND(AK501*($AP$3+#REF!),-1),""))</f>
        <v/>
      </c>
      <c r="AM501" s="560" t="s">
        <v>621</v>
      </c>
      <c r="AN501" s="547" t="str">
        <f>IF($G501="","",IF(AND($G501&gt;=30,$AT$3&lt;=AM$7),ROUND(AM501*($AP$3+#REF!),-1),""))</f>
        <v/>
      </c>
      <c r="AO501" s="547" t="e">
        <v>#REF!</v>
      </c>
      <c r="AP501" s="547" t="str">
        <f>IF($G501="","",IF(AND($G501&gt;=30,$AT$3&lt;=AO$7),ROUND(AO501*($AP$3+#REF!),-1),""))</f>
        <v/>
      </c>
      <c r="AQ501" s="547" t="s">
        <v>621</v>
      </c>
      <c r="AR501" s="547" t="str">
        <f>IF($G501="","",IF(AND($G501&gt;=30,$AT$3&lt;=AQ$7),ROUND(AQ501*($AP$3+#REF!),-1),""))</f>
        <v/>
      </c>
      <c r="AS501" s="547" t="s">
        <v>621</v>
      </c>
      <c r="AT501" s="547" t="str">
        <f>IF($G501="","",IF(AND($G501&gt;=30,$AT$3&lt;=AS$7),ROUND(AS501*($AP$3+#REF!),-1),""))</f>
        <v/>
      </c>
      <c r="AU501" s="547" t="s">
        <v>621</v>
      </c>
      <c r="AV501" s="547" t="str">
        <f>IF($G501="","",IF(AND($G501&gt;=30,$AT$3&lt;=AU$7),ROUND(AU501*($AP$3+#REF!),-1),""))</f>
        <v/>
      </c>
      <c r="AW501" s="547" t="s">
        <v>621</v>
      </c>
      <c r="AX501" s="547" t="str">
        <f>IF($G501="","",IF(AND($G501&gt;=30,$AT$3&lt;=AW$7),ROUND(AW501*($AP$3+#REF!),-1),""))</f>
        <v/>
      </c>
      <c r="AY501" s="547" t="s">
        <v>621</v>
      </c>
      <c r="AZ501" s="547" t="str">
        <f>IF($G501="","",IF(AND($G501&gt;=30,$AT$3&lt;=AY$7),ROUND(AY501*($AP$3+#REF!),-1),""))</f>
        <v/>
      </c>
      <c r="BA501" s="547" t="s">
        <v>621</v>
      </c>
      <c r="BB501" s="547" t="str">
        <f>IF($G501="","",IF(AND($G501&gt;=30,$AT$3&lt;=BA$7),ROUND(BA501*($AP$3+#REF!),-1),""))</f>
        <v/>
      </c>
      <c r="BC501" s="547" t="s">
        <v>621</v>
      </c>
      <c r="BD501" s="547" t="str">
        <f>IF($G501="","",IF(AND($G501&gt;=30,$AT$3&lt;=BC$7),ROUND(BC501*($AP$3+#REF!),-1),""))</f>
        <v/>
      </c>
      <c r="BE501" s="547" t="s">
        <v>621</v>
      </c>
      <c r="BF501" s="547" t="str">
        <f>IF($G501="","",IF(AND($G501&gt;=30,$AT$3&lt;=BE$7),ROUND(BE501*($AP$3+#REF!),-1),""))</f>
        <v/>
      </c>
      <c r="BG501" s="547" t="s">
        <v>621</v>
      </c>
      <c r="BH501" s="547" t="str">
        <f>IF($G501="","",IF(AND($G501&gt;=30,$AT$3&lt;=BG$7),ROUND(BG501*($AP$3+#REF!),-1),""))</f>
        <v/>
      </c>
      <c r="BI501" s="547" t="s">
        <v>621</v>
      </c>
      <c r="BJ501" s="547" t="str">
        <f>IF($G501="","",IF(AND($G501&gt;=30,$AT$3&lt;=BI$7),ROUND(BI501*($AP$3+#REF!),-1),""))</f>
        <v/>
      </c>
      <c r="BK501" s="547" t="s">
        <v>621</v>
      </c>
      <c r="BL501" s="547" t="str">
        <f>IF($G501="","",IF(AND($G501&gt;=30,$AT$3&lt;=BK$7),ROUND(BK501*($AP$3+#REF!),-1),""))</f>
        <v/>
      </c>
      <c r="BM501" s="547" t="s">
        <v>621</v>
      </c>
      <c r="BN501" s="547" t="str">
        <f>IF($G501="","",IF(AND($G501&gt;=30,$AT$3&lt;=BM$7),ROUND(BM501*($AP$3+#REF!),-1),""))</f>
        <v/>
      </c>
      <c r="BO501" s="547" t="s">
        <v>621</v>
      </c>
      <c r="BP501" s="547" t="str">
        <f>IF($G501="","",IF(AND($G501&gt;=30,$AT$3&lt;=BO$7),ROUND(BO501*($AP$3+#REF!),-1),""))</f>
        <v/>
      </c>
      <c r="BQ501" s="547" t="s">
        <v>621</v>
      </c>
      <c r="BR501" s="547" t="str">
        <f>IF($G501="","",IF(AND($G501&gt;=30,$AT$3&lt;=BQ$7),ROUND(BQ501*($AP$3+#REF!),-1),""))</f>
        <v/>
      </c>
      <c r="BS501" s="547" t="s">
        <v>621</v>
      </c>
      <c r="BT501" s="547" t="str">
        <f>IF($G501="","",IF(AND($G501&gt;=30,$AT$3&lt;=BS$7),ROUND(BS501*($AP$3+#REF!),-1),""))</f>
        <v/>
      </c>
      <c r="BU501" s="547" t="s">
        <v>621</v>
      </c>
      <c r="BV501" s="547" t="str">
        <f>IF($G501="","",IF(AND($G501&gt;=30,$AT$3&lt;=BU$7),ROUND(BU501*($AP$3+#REF!),-1),""))</f>
        <v/>
      </c>
      <c r="BW501" s="547" t="s">
        <v>621</v>
      </c>
      <c r="BX501" s="547" t="str">
        <f>IF($G501="","",IF(AND($G501&gt;=30,$AT$3&lt;=BW$7),ROUND(BW501*($AP$3+#REF!),-1),""))</f>
        <v/>
      </c>
      <c r="BY501" s="547" t="s">
        <v>621</v>
      </c>
      <c r="BZ501" s="547" t="str">
        <f>IF($G501="","",IF(AND($G501&gt;=30,$AT$3&lt;=BY$7),ROUND(BY501*($AP$3+#REF!),-1),""))</f>
        <v/>
      </c>
      <c r="CA501" s="547" t="s">
        <v>621</v>
      </c>
      <c r="CB501" s="547" t="str">
        <f>IF($G501="","",IF(AND($G501&gt;=30,$AT$3&lt;=CA$7),ROUND(CA501*($AP$3+#REF!),-1),""))</f>
        <v/>
      </c>
      <c r="CC501" s="547" t="s">
        <v>621</v>
      </c>
      <c r="CD501" s="547" t="str">
        <f>IF($G501="","",IF(AND($G501&gt;=30,$AT$3&lt;=CC$7),ROUND(CC501*($AP$3+#REF!),-1),""))</f>
        <v/>
      </c>
      <c r="CE501" s="547" t="s">
        <v>621</v>
      </c>
      <c r="CF501" s="547" t="str">
        <f>IF($G501="","",IF(AND($G501&gt;=30,$AT$3&lt;=CE$7),ROUND(CE501*($AP$3+#REF!),-1),""))</f>
        <v/>
      </c>
      <c r="CG501" s="547" t="s">
        <v>621</v>
      </c>
      <c r="CH501" s="547" t="str">
        <f>IF($G501="","",IF(AND($G501&gt;=30,$AT$3&lt;=CG$7),ROUND(CG501*($AP$3+#REF!),-1),""))</f>
        <v/>
      </c>
      <c r="CI501" s="547" t="s">
        <v>621</v>
      </c>
      <c r="CJ501" s="547" t="str">
        <f>IF($G501="","",IF(AND($G501&gt;=30,$AT$3&lt;=CI$7),ROUND(CI501*($AP$3+#REF!),-1),""))</f>
        <v/>
      </c>
      <c r="CK501" s="547" t="s">
        <v>621</v>
      </c>
      <c r="CL501" s="547" t="str">
        <f>IF($G501="","",IF(AND($G501&gt;=30,$AT$3&lt;=CK$7),ROUND(CK501*($AP$3+#REF!),-1),""))</f>
        <v/>
      </c>
      <c r="CM501" s="547" t="s">
        <v>621</v>
      </c>
      <c r="CN501" s="547" t="str">
        <f>IF($G501="","",IF(AND($G501&gt;=30,$AT$3&lt;=CM$7),ROUND(CM501*($AP$3+#REF!),-1),""))</f>
        <v/>
      </c>
      <c r="CO501" s="547" t="s">
        <v>621</v>
      </c>
      <c r="CP501" s="547" t="str">
        <f>IF($G501="","",IF(AND($G501&gt;=30,$AT$3&lt;=CO$7),ROUND(CO501*($AP$3+#REF!),-1),""))</f>
        <v/>
      </c>
      <c r="CQ501" s="547" t="s">
        <v>621</v>
      </c>
      <c r="CR501" s="547" t="str">
        <f>IF($G501="","",IF(AND($G501&gt;=30,$AT$3&lt;=CQ$7),ROUND(CQ501*($AP$3+#REF!),-1),""))</f>
        <v/>
      </c>
      <c r="CS501" s="547" t="s">
        <v>621</v>
      </c>
      <c r="CT501" s="547" t="str">
        <f>IF($G501="","",IF(AND($G501&gt;=30,$AT$3&lt;=CS$7),ROUND(CS501*($AP$3+#REF!),-1),""))</f>
        <v/>
      </c>
      <c r="CU501" s="547" t="s">
        <v>621</v>
      </c>
      <c r="CV501" s="547" t="str">
        <f>IF($G501="","",IF(AND($G501&gt;=30,$AT$3&lt;=CU$7),ROUND(CU501*($AP$3+#REF!),-1),""))</f>
        <v/>
      </c>
      <c r="CW501" s="547" t="s">
        <v>621</v>
      </c>
      <c r="CX501" s="547" t="str">
        <f>IF($G501="","",IF(AND($G501&gt;=30,$AT$3&lt;=CW$7),ROUND(CW501*($AP$3+#REF!),-1),""))</f>
        <v/>
      </c>
      <c r="CY501" s="547" t="s">
        <v>621</v>
      </c>
      <c r="CZ501" s="547" t="str">
        <f>IF($G501="","",IF(AND($G501&gt;=30,$AT$3&lt;=CY$7),ROUND(CY501*($AP$3+#REF!),-1),""))</f>
        <v/>
      </c>
      <c r="DA501" s="547" t="s">
        <v>621</v>
      </c>
      <c r="DB501" s="547" t="str">
        <f>IF($G501="","",IF(AND($G501&gt;=30,$AT$3&lt;=DA$7),ROUND(DA501*($AP$3+#REF!),-1),""))</f>
        <v/>
      </c>
      <c r="DC501" s="547" t="s">
        <v>621</v>
      </c>
      <c r="DD501" s="547" t="str">
        <f>IF($G501="","",IF(AND($G501&gt;=30,$AT$3&lt;=DC$7),ROUND(DC501*($AP$3+#REF!),-1),""))</f>
        <v/>
      </c>
      <c r="DE501" s="547" t="s">
        <v>621</v>
      </c>
      <c r="DF501" s="547" t="str">
        <f>IF($G501="","",IF(AND($G501&gt;=30,$AT$3&lt;=DE$7),ROUND(DE501*($AP$3+#REF!),-1),""))</f>
        <v/>
      </c>
      <c r="DG501" s="547" t="s">
        <v>621</v>
      </c>
      <c r="DH501" s="547" t="str">
        <f>IF($G501="","",IF(AND($G501&gt;=30,$AT$3&lt;=DG$7),ROUND(DG501*($AP$3+#REF!),-1),""))</f>
        <v/>
      </c>
      <c r="DI501" s="547" t="s">
        <v>621</v>
      </c>
      <c r="DJ501" s="547" t="str">
        <f>IF($G501="","",IF(AND($G501&gt;=30,$AT$3&lt;=DI$7),ROUND(DI501*($AP$3+#REF!),-1),""))</f>
        <v/>
      </c>
      <c r="DK501" s="533" t="e">
        <v>#REF!</v>
      </c>
      <c r="DL501" s="547" t="str">
        <f>IF($G501="","",IF(AND($G501&gt;=30,$AT$3&lt;=DK$7),ROUND(DK501*($AP$3+#REF!),-1),""))</f>
        <v/>
      </c>
      <c r="DM501" s="547"/>
      <c r="DN501" s="547" t="str">
        <f>IF($G501="","",IF(AND($G501&gt;=30,$AT$3&lt;=DM$7),ROUND(DM501*($AP$3+#REF!),-1),""))</f>
        <v/>
      </c>
      <c r="DO501" s="547"/>
      <c r="DP501" s="547" t="str">
        <f>IF($G501="","",IF(AND($G501&gt;=30,$AT$3&lt;=DO$7),ROUND(DO501*($AP$3+#REF!),-1),""))</f>
        <v/>
      </c>
      <c r="DQ501" s="547"/>
      <c r="DR501" s="547" t="str">
        <f>IF($G501="","",IF(AND($G501&gt;=30,$AT$3&lt;=DQ$7),ROUND(DQ501*($AP$3+#REF!),-1),""))</f>
        <v/>
      </c>
      <c r="DS501" s="547"/>
      <c r="DT501" s="547" t="str">
        <f>IF($G501="","",IF(AND($G501&gt;=30,$AT$3&lt;=DS$7),ROUND(DS501*($AP$3+#REF!),-1),""))</f>
        <v/>
      </c>
      <c r="DU501" s="547"/>
      <c r="DV501" s="547" t="str">
        <f>IF($G501="","",IF(AND($G501&gt;=30,$AT$3&lt;=DU$7),ROUND(DU501*($AP$3+#REF!),-1),""))</f>
        <v/>
      </c>
      <c r="DW501" s="547"/>
      <c r="DX501" s="547" t="str">
        <f>IF($G501="","",IF(AND($G501&gt;=30,$AT$3&lt;=DW$7),ROUND(DW501*($AP$3+#REF!),-1),""))</f>
        <v/>
      </c>
      <c r="DY501" s="547"/>
      <c r="DZ501" s="547" t="str">
        <f>IF($G501="","",IF(AND($G501&gt;=30,$AT$3&lt;=DY$7),ROUND(DY501*($AP$3+#REF!),-1),""))</f>
        <v/>
      </c>
      <c r="EA501" s="547"/>
      <c r="EB501" s="547" t="str">
        <f>IF($G501="","",IF(AND($G501&gt;=30,$AT$3&lt;=EA$7),ROUND(EA501*($AP$3+#REF!),-1),""))</f>
        <v/>
      </c>
      <c r="EC501" s="547"/>
      <c r="ED501" s="436"/>
      <c r="EE501" s="394"/>
    </row>
    <row r="502" spans="1:135" ht="9.75" customHeight="1">
      <c r="A502" s="321" t="str">
        <f t="shared" si="110"/>
        <v/>
      </c>
      <c r="B502" s="567">
        <f>(ii!$D$13*12+V502)+1</f>
        <v>396</v>
      </c>
      <c r="C502" s="337">
        <f t="shared" si="114"/>
        <v>57404</v>
      </c>
      <c r="D502" s="484">
        <f t="shared" si="117"/>
        <v>2057</v>
      </c>
      <c r="E502" s="484">
        <f t="shared" si="115"/>
        <v>0.16666666666666666</v>
      </c>
      <c r="F502" s="484">
        <f t="shared" si="118"/>
        <v>2057.1666666666665</v>
      </c>
      <c r="G502" s="485" t="str">
        <f>IF(OR(C502&lt;$I$2,C502&gt;$J$3),"",(ii!$D$13*12+V502+1)/12)</f>
        <v/>
      </c>
      <c r="H502" s="486"/>
      <c r="I502" s="486"/>
      <c r="J502" s="487"/>
      <c r="K502" s="488"/>
      <c r="L502" s="548"/>
      <c r="M502" s="489" t="str">
        <f t="shared" si="119"/>
        <v/>
      </c>
      <c r="N502" s="490" t="s">
        <v>621</v>
      </c>
      <c r="O502" s="490" t="str">
        <f t="shared" si="112"/>
        <v/>
      </c>
      <c r="P502" s="491"/>
      <c r="Q502" s="491"/>
      <c r="R502" s="491" t="str">
        <f t="shared" si="113"/>
        <v/>
      </c>
      <c r="S502" s="528" t="str">
        <f t="shared" si="111"/>
        <v/>
      </c>
      <c r="T502" s="528" t="str">
        <f t="shared" si="109"/>
        <v/>
      </c>
      <c r="U502" s="493" t="str">
        <f>IF(H502="","",#REF!*12+#REF!+#REF!*12+#REF!)</f>
        <v/>
      </c>
      <c r="V502" s="338">
        <f>IF(ii!$J$3&gt;gg!C502,"",IF(AND((YEAR(C502)=YEAR($I$2)),MONTH(C502)=MONTH($I$2)),ii!$B$14*12+ii!$C$14+ii!$B$15*12+ii!$C$15-1,V501+1))</f>
        <v>395</v>
      </c>
      <c r="W502" s="339">
        <f t="shared" si="116"/>
        <v>32.916666666666664</v>
      </c>
      <c r="X502" s="494" t="s">
        <v>621</v>
      </c>
      <c r="Y502" s="495" t="s">
        <v>621</v>
      </c>
      <c r="Z502" s="496"/>
      <c r="AA502" s="497"/>
      <c r="AB502" s="498" t="e">
        <f t="shared" si="122"/>
        <v>#VALUE!</v>
      </c>
      <c r="AC502" s="484" t="str">
        <f t="shared" si="120"/>
        <v/>
      </c>
      <c r="AD502" s="495" t="str">
        <f t="shared" si="121"/>
        <v/>
      </c>
      <c r="AE502" s="499" t="s">
        <v>621</v>
      </c>
      <c r="AF502" s="500" t="s">
        <v>621</v>
      </c>
      <c r="AG502" s="556" t="s">
        <v>621</v>
      </c>
      <c r="AH502" s="503" t="str">
        <f>IF($G502="","",IF(AND($G502&gt;=30,$AT$3&lt;=AG$7),ROUND(AG502*($AP$3+#REF!),-1),""))</f>
        <v/>
      </c>
      <c r="AI502" s="506" t="s">
        <v>621</v>
      </c>
      <c r="AJ502" s="503" t="str">
        <f>IF($G502="","",IF(AND($G502&gt;=30,$AT$3&lt;=AI$7),ROUND(AI502*($AP$3+#REF!),-1),""))</f>
        <v/>
      </c>
      <c r="AK502" s="506" t="s">
        <v>621</v>
      </c>
      <c r="AL502" s="503" t="str">
        <f>IF($G502="","",IF(AND($G502&gt;=30,$AT$3&lt;=AK$7),ROUND(AK502*($AP$3+#REF!),-1),""))</f>
        <v/>
      </c>
      <c r="AM502" s="506" t="s">
        <v>621</v>
      </c>
      <c r="AN502" s="503" t="str">
        <f>IF($G502="","",IF(AND($G502&gt;=30,$AT$3&lt;=AM$7),ROUND(AM502*($AP$3+#REF!),-1),""))</f>
        <v/>
      </c>
      <c r="AO502" s="503" t="e">
        <f>IF(AO501="","",AO501*1.001)</f>
        <v>#REF!</v>
      </c>
      <c r="AP502" s="503" t="str">
        <f>IF($G502="","",IF(AND($G502&gt;=30,$AT$3&lt;=AO$7),ROUND(AO502*($AP$3+#REF!),-1),""))</f>
        <v/>
      </c>
      <c r="AQ502" s="503" t="s">
        <v>621</v>
      </c>
      <c r="AR502" s="503" t="str">
        <f>IF($G502="","",IF(AND($G502&gt;=30,$AT$3&lt;=AQ$7),ROUND(AQ502*($AP$3+#REF!),-1),""))</f>
        <v/>
      </c>
      <c r="AS502" s="503" t="s">
        <v>621</v>
      </c>
      <c r="AT502" s="503" t="str">
        <f>IF($G502="","",IF(AND($G502&gt;=30,$AT$3&lt;=AS$7),ROUND(AS502*($AP$3+#REF!),-1),""))</f>
        <v/>
      </c>
      <c r="AU502" s="503" t="s">
        <v>621</v>
      </c>
      <c r="AV502" s="503" t="str">
        <f>IF($G502="","",IF(AND($G502&gt;=30,$AT$3&lt;=AU$7),ROUND(AU502*($AP$3+#REF!),-1),""))</f>
        <v/>
      </c>
      <c r="AW502" s="503" t="s">
        <v>621</v>
      </c>
      <c r="AX502" s="503" t="str">
        <f>IF($G502="","",IF(AND($G502&gt;=30,$AT$3&lt;=AW$7),ROUND(AW502*($AP$3+#REF!),-1),""))</f>
        <v/>
      </c>
      <c r="AY502" s="503" t="s">
        <v>621</v>
      </c>
      <c r="AZ502" s="503" t="str">
        <f>IF($G502="","",IF(AND($G502&gt;=30,$AT$3&lt;=AY$7),ROUND(AY502*($AP$3+#REF!),-1),""))</f>
        <v/>
      </c>
      <c r="BA502" s="503" t="s">
        <v>621</v>
      </c>
      <c r="BB502" s="503" t="str">
        <f>IF($G502="","",IF(AND($G502&gt;=30,$AT$3&lt;=BA$7),ROUND(BA502*($AP$3+#REF!),-1),""))</f>
        <v/>
      </c>
      <c r="BC502" s="503" t="s">
        <v>621</v>
      </c>
      <c r="BD502" s="503" t="str">
        <f>IF($G502="","",IF(AND($G502&gt;=30,$AT$3&lt;=BC$7),ROUND(BC502*($AP$3+#REF!),-1),""))</f>
        <v/>
      </c>
      <c r="BE502" s="503" t="s">
        <v>621</v>
      </c>
      <c r="BF502" s="503" t="str">
        <f>IF($G502="","",IF(AND($G502&gt;=30,$AT$3&lt;=BE$7),ROUND(BE502*($AP$3+#REF!),-1),""))</f>
        <v/>
      </c>
      <c r="BG502" s="503" t="s">
        <v>621</v>
      </c>
      <c r="BH502" s="503" t="str">
        <f>IF($G502="","",IF(AND($G502&gt;=30,$AT$3&lt;=BG$7),ROUND(BG502*($AP$3+#REF!),-1),""))</f>
        <v/>
      </c>
      <c r="BI502" s="503" t="s">
        <v>621</v>
      </c>
      <c r="BJ502" s="503" t="str">
        <f>IF($G502="","",IF(AND($G502&gt;=30,$AT$3&lt;=BI$7),ROUND(BI502*($AP$3+#REF!),-1),""))</f>
        <v/>
      </c>
      <c r="BK502" s="503" t="s">
        <v>621</v>
      </c>
      <c r="BL502" s="503" t="str">
        <f>IF($G502="","",IF(AND($G502&gt;=30,$AT$3&lt;=BK$7),ROUND(BK502*($AP$3+#REF!),-1),""))</f>
        <v/>
      </c>
      <c r="BM502" s="503" t="s">
        <v>621</v>
      </c>
      <c r="BN502" s="503" t="str">
        <f>IF($G502="","",IF(AND($G502&gt;=30,$AT$3&lt;=BM$7),ROUND(BM502*($AP$3+#REF!),-1),""))</f>
        <v/>
      </c>
      <c r="BO502" s="503" t="s">
        <v>621</v>
      </c>
      <c r="BP502" s="503" t="str">
        <f>IF($G502="","",IF(AND($G502&gt;=30,$AT$3&lt;=BO$7),ROUND(BO502*($AP$3+#REF!),-1),""))</f>
        <v/>
      </c>
      <c r="BQ502" s="503" t="s">
        <v>621</v>
      </c>
      <c r="BR502" s="503" t="str">
        <f>IF($G502="","",IF(AND($G502&gt;=30,$AT$3&lt;=BQ$7),ROUND(BQ502*($AP$3+#REF!),-1),""))</f>
        <v/>
      </c>
      <c r="BS502" s="503" t="s">
        <v>621</v>
      </c>
      <c r="BT502" s="503" t="str">
        <f>IF($G502="","",IF(AND($G502&gt;=30,$AT$3&lt;=BS$7),ROUND(BS502*($AP$3+#REF!),-1),""))</f>
        <v/>
      </c>
      <c r="BU502" s="503" t="s">
        <v>621</v>
      </c>
      <c r="BV502" s="503" t="str">
        <f>IF($G502="","",IF(AND($G502&gt;=30,$AT$3&lt;=BU$7),ROUND(BU502*($AP$3+#REF!),-1),""))</f>
        <v/>
      </c>
      <c r="BW502" s="503" t="s">
        <v>621</v>
      </c>
      <c r="BX502" s="503" t="str">
        <f>IF($G502="","",IF(AND($G502&gt;=30,$AT$3&lt;=BW$7),ROUND(BW502*($AP$3+#REF!),-1),""))</f>
        <v/>
      </c>
      <c r="BY502" s="503" t="s">
        <v>621</v>
      </c>
      <c r="BZ502" s="503" t="str">
        <f>IF($G502="","",IF(AND($G502&gt;=30,$AT$3&lt;=BY$7),ROUND(BY502*($AP$3+#REF!),-1),""))</f>
        <v/>
      </c>
      <c r="CA502" s="503" t="s">
        <v>621</v>
      </c>
      <c r="CB502" s="503" t="str">
        <f>IF($G502="","",IF(AND($G502&gt;=30,$AT$3&lt;=CA$7),ROUND(CA502*($AP$3+#REF!),-1),""))</f>
        <v/>
      </c>
      <c r="CC502" s="503" t="s">
        <v>621</v>
      </c>
      <c r="CD502" s="503" t="str">
        <f>IF($G502="","",IF(AND($G502&gt;=30,$AT$3&lt;=CC$7),ROUND(CC502*($AP$3+#REF!),-1),""))</f>
        <v/>
      </c>
      <c r="CE502" s="503" t="s">
        <v>621</v>
      </c>
      <c r="CF502" s="503" t="str">
        <f>IF($G502="","",IF(AND($G502&gt;=30,$AT$3&lt;=CE$7),ROUND(CE502*($AP$3+#REF!),-1),""))</f>
        <v/>
      </c>
      <c r="CG502" s="503" t="s">
        <v>621</v>
      </c>
      <c r="CH502" s="503" t="str">
        <f>IF($G502="","",IF(AND($G502&gt;=30,$AT$3&lt;=CG$7),ROUND(CG502*($AP$3+#REF!),-1),""))</f>
        <v/>
      </c>
      <c r="CI502" s="503" t="s">
        <v>621</v>
      </c>
      <c r="CJ502" s="503" t="str">
        <f>IF($G502="","",IF(AND($G502&gt;=30,$AT$3&lt;=CI$7),ROUND(CI502*($AP$3+#REF!),-1),""))</f>
        <v/>
      </c>
      <c r="CK502" s="503" t="s">
        <v>621</v>
      </c>
      <c r="CL502" s="503" t="str">
        <f>IF($G502="","",IF(AND($G502&gt;=30,$AT$3&lt;=CK$7),ROUND(CK502*($AP$3+#REF!),-1),""))</f>
        <v/>
      </c>
      <c r="CM502" s="503" t="s">
        <v>621</v>
      </c>
      <c r="CN502" s="503" t="str">
        <f>IF($G502="","",IF(AND($G502&gt;=30,$AT$3&lt;=CM$7),ROUND(CM502*($AP$3+#REF!),-1),""))</f>
        <v/>
      </c>
      <c r="CO502" s="503" t="s">
        <v>621</v>
      </c>
      <c r="CP502" s="503" t="str">
        <f>IF($G502="","",IF(AND($G502&gt;=30,$AT$3&lt;=CO$7),ROUND(CO502*($AP$3+#REF!),-1),""))</f>
        <v/>
      </c>
      <c r="CQ502" s="503" t="s">
        <v>621</v>
      </c>
      <c r="CR502" s="503" t="str">
        <f>IF($G502="","",IF(AND($G502&gt;=30,$AT$3&lt;=CQ$7),ROUND(CQ502*($AP$3+#REF!),-1),""))</f>
        <v/>
      </c>
      <c r="CS502" s="503" t="s">
        <v>621</v>
      </c>
      <c r="CT502" s="503" t="str">
        <f>IF($G502="","",IF(AND($G502&gt;=30,$AT$3&lt;=CS$7),ROUND(CS502*($AP$3+#REF!),-1),""))</f>
        <v/>
      </c>
      <c r="CU502" s="503" t="s">
        <v>621</v>
      </c>
      <c r="CV502" s="503" t="str">
        <f>IF($G502="","",IF(AND($G502&gt;=30,$AT$3&lt;=CU$7),ROUND(CU502*($AP$3+#REF!),-1),""))</f>
        <v/>
      </c>
      <c r="CW502" s="503" t="s">
        <v>621</v>
      </c>
      <c r="CX502" s="503" t="str">
        <f>IF($G502="","",IF(AND($G502&gt;=30,$AT$3&lt;=CW$7),ROUND(CW502*($AP$3+#REF!),-1),""))</f>
        <v/>
      </c>
      <c r="CY502" s="503" t="s">
        <v>621</v>
      </c>
      <c r="CZ502" s="503" t="str">
        <f>IF($G502="","",IF(AND($G502&gt;=30,$AT$3&lt;=CY$7),ROUND(CY502*($AP$3+#REF!),-1),""))</f>
        <v/>
      </c>
      <c r="DA502" s="503" t="s">
        <v>621</v>
      </c>
      <c r="DB502" s="503" t="str">
        <f>IF($G502="","",IF(AND($G502&gt;=30,$AT$3&lt;=DA$7),ROUND(DA502*($AP$3+#REF!),-1),""))</f>
        <v/>
      </c>
      <c r="DC502" s="503" t="s">
        <v>621</v>
      </c>
      <c r="DD502" s="503" t="str">
        <f>IF($G502="","",IF(AND($G502&gt;=30,$AT$3&lt;=DC$7),ROUND(DC502*($AP$3+#REF!),-1),""))</f>
        <v/>
      </c>
      <c r="DE502" s="503" t="s">
        <v>621</v>
      </c>
      <c r="DF502" s="503" t="str">
        <f>IF($G502="","",IF(AND($G502&gt;=30,$AT$3&lt;=DE$7),ROUND(DE502*($AP$3+#REF!),-1),""))</f>
        <v/>
      </c>
      <c r="DG502" s="503" t="s">
        <v>621</v>
      </c>
      <c r="DH502" s="503" t="str">
        <f>IF($G502="","",IF(AND($G502&gt;=30,$AT$3&lt;=DG$7),ROUND(DG502*($AP$3+#REF!),-1),""))</f>
        <v/>
      </c>
      <c r="DI502" s="503" t="s">
        <v>621</v>
      </c>
      <c r="DJ502" s="503" t="str">
        <f>IF($G502="","",IF(AND($G502&gt;=30,$AT$3&lt;=DI$7),ROUND(DI502*($AP$3+#REF!),-1),""))</f>
        <v/>
      </c>
      <c r="DK502" s="517" t="e">
        <v>#REF!</v>
      </c>
      <c r="DL502" s="503" t="str">
        <f>IF($G502="","",IF(AND($G502&gt;=30,$AT$3&lt;=DK$7),ROUND(DK502*($AP$3+#REF!),-1),""))</f>
        <v/>
      </c>
      <c r="DM502" s="503"/>
      <c r="DN502" s="503" t="str">
        <f>IF($G502="","",IF(AND($G502&gt;=30,$AT$3&lt;=DM$7),ROUND(DM502*($AP$3+#REF!),-1),""))</f>
        <v/>
      </c>
      <c r="DO502" s="503"/>
      <c r="DP502" s="503" t="str">
        <f>IF($G502="","",IF(AND($G502&gt;=30,$AT$3&lt;=DO$7),ROUND(DO502*($AP$3+#REF!),-1),""))</f>
        <v/>
      </c>
      <c r="DQ502" s="503"/>
      <c r="DR502" s="503" t="str">
        <f>IF($G502="","",IF(AND($G502&gt;=30,$AT$3&lt;=DQ$7),ROUND(DQ502*($AP$3+#REF!),-1),""))</f>
        <v/>
      </c>
      <c r="DS502" s="503"/>
      <c r="DT502" s="503" t="str">
        <f>IF($G502="","",IF(AND($G502&gt;=30,$AT$3&lt;=DS$7),ROUND(DS502*($AP$3+#REF!),-1),""))</f>
        <v/>
      </c>
      <c r="DU502" s="503"/>
      <c r="DV502" s="503" t="str">
        <f>IF($G502="","",IF(AND($G502&gt;=30,$AT$3&lt;=DU$7),ROUND(DU502*($AP$3+#REF!),-1),""))</f>
        <v/>
      </c>
      <c r="DW502" s="503"/>
      <c r="DX502" s="503" t="str">
        <f>IF($G502="","",IF(AND($G502&gt;=30,$AT$3&lt;=DW$7),ROUND(DW502*($AP$3+#REF!),-1),""))</f>
        <v/>
      </c>
      <c r="DY502" s="503"/>
      <c r="DZ502" s="503" t="str">
        <f>IF($G502="","",IF(AND($G502&gt;=30,$AT$3&lt;=DY$7),ROUND(DY502*($AP$3+#REF!),-1),""))</f>
        <v/>
      </c>
      <c r="EA502" s="503"/>
      <c r="EB502" s="503" t="str">
        <f>IF($G502="","",IF(AND($G502&gt;=30,$AT$3&lt;=EA$7),ROUND(EA502*($AP$3+#REF!),-1),""))</f>
        <v/>
      </c>
      <c r="EC502" s="436"/>
      <c r="ED502" s="436"/>
      <c r="EE502" s="394"/>
    </row>
    <row r="503" spans="1:135" ht="9.75" customHeight="1">
      <c r="A503" s="321" t="str">
        <f t="shared" si="110"/>
        <v/>
      </c>
      <c r="B503" s="567">
        <f>(ii!$D$13*12+V503)+1</f>
        <v>397</v>
      </c>
      <c r="C503" s="337">
        <f t="shared" si="114"/>
        <v>57435</v>
      </c>
      <c r="D503" s="484">
        <f t="shared" si="117"/>
        <v>2057</v>
      </c>
      <c r="E503" s="484">
        <f t="shared" si="115"/>
        <v>0.25</v>
      </c>
      <c r="F503" s="484">
        <f t="shared" si="118"/>
        <v>2057.25</v>
      </c>
      <c r="G503" s="485" t="str">
        <f>IF(OR(C503&lt;$I$2,C503&gt;$J$3),"",(ii!$D$13*12+V503+1)/12)</f>
        <v/>
      </c>
      <c r="H503" s="486"/>
      <c r="I503" s="486"/>
      <c r="J503" s="487"/>
      <c r="K503" s="488"/>
      <c r="L503" s="548"/>
      <c r="M503" s="489" t="str">
        <f t="shared" si="119"/>
        <v/>
      </c>
      <c r="N503" s="490" t="s">
        <v>621</v>
      </c>
      <c r="O503" s="490" t="str">
        <f t="shared" si="112"/>
        <v/>
      </c>
      <c r="P503" s="491"/>
      <c r="Q503" s="491"/>
      <c r="R503" s="491" t="str">
        <f t="shared" si="113"/>
        <v/>
      </c>
      <c r="S503" s="528" t="str">
        <f t="shared" si="111"/>
        <v/>
      </c>
      <c r="T503" s="528" t="str">
        <f t="shared" si="109"/>
        <v/>
      </c>
      <c r="U503" s="493" t="str">
        <f>IF(H503="","",#REF!*12+#REF!+#REF!*12+#REF!)</f>
        <v/>
      </c>
      <c r="V503" s="338">
        <f>IF(ii!$J$3&gt;gg!C503,"",IF(AND((YEAR(C503)=YEAR($I$2)),MONTH(C503)=MONTH($I$2)),ii!$B$14*12+ii!$C$14+ii!$B$15*12+ii!$C$15-1,V502+1))</f>
        <v>396</v>
      </c>
      <c r="W503" s="339">
        <f t="shared" si="116"/>
        <v>33</v>
      </c>
      <c r="X503" s="494" t="s">
        <v>621</v>
      </c>
      <c r="Y503" s="495" t="s">
        <v>621</v>
      </c>
      <c r="Z503" s="496"/>
      <c r="AA503" s="497"/>
      <c r="AB503" s="498" t="e">
        <f t="shared" si="122"/>
        <v>#VALUE!</v>
      </c>
      <c r="AC503" s="484" t="str">
        <f t="shared" si="120"/>
        <v/>
      </c>
      <c r="AD503" s="495" t="str">
        <f t="shared" si="121"/>
        <v/>
      </c>
      <c r="AE503" s="499" t="s">
        <v>621</v>
      </c>
      <c r="AF503" s="500" t="s">
        <v>621</v>
      </c>
      <c r="AG503" s="556" t="s">
        <v>621</v>
      </c>
      <c r="AH503" s="503" t="str">
        <f>IF($G503="","",IF(AND($G503&gt;=30,$AT$3&lt;=AG$7),ROUND(AG503*($AP$3+#REF!),-1),""))</f>
        <v/>
      </c>
      <c r="AI503" s="506" t="s">
        <v>621</v>
      </c>
      <c r="AJ503" s="503" t="str">
        <f>IF($G503="","",IF(AND($G503&gt;=30,$AT$3&lt;=AI$7),ROUND(AI503*($AP$3+#REF!),-1),""))</f>
        <v/>
      </c>
      <c r="AK503" s="506" t="s">
        <v>621</v>
      </c>
      <c r="AL503" s="503" t="str">
        <f>IF($G503="","",IF(AND($G503&gt;=30,$AT$3&lt;=AK$7),ROUND(AK503*($AP$3+#REF!),-1),""))</f>
        <v/>
      </c>
      <c r="AM503" s="506" t="s">
        <v>621</v>
      </c>
      <c r="AN503" s="503" t="str">
        <f>IF($G503="","",IF(AND($G503&gt;=30,$AT$3&lt;=AM$7),ROUND(AM503*($AP$3+#REF!),-1),""))</f>
        <v/>
      </c>
      <c r="AO503" s="503" t="e">
        <v>#REF!</v>
      </c>
      <c r="AP503" s="503" t="str">
        <f>IF($G503="","",IF(AND($G503&gt;=30,$AT$3&lt;=AO$7),ROUND(AO503*($AP$3+#REF!),-1),""))</f>
        <v/>
      </c>
      <c r="AQ503" s="503" t="s">
        <v>621</v>
      </c>
      <c r="AR503" s="503" t="str">
        <f>IF($G503="","",IF(AND($G503&gt;=30,$AT$3&lt;=AQ$7),ROUND(AQ503*($AP$3+#REF!),-1),""))</f>
        <v/>
      </c>
      <c r="AS503" s="503" t="s">
        <v>621</v>
      </c>
      <c r="AT503" s="503" t="str">
        <f>IF($G503="","",IF(AND($G503&gt;=30,$AT$3&lt;=AS$7),ROUND(AS503*($AP$3+#REF!),-1),""))</f>
        <v/>
      </c>
      <c r="AU503" s="503" t="s">
        <v>621</v>
      </c>
      <c r="AV503" s="503" t="str">
        <f>IF($G503="","",IF(AND($G503&gt;=30,$AT$3&lt;=AU$7),ROUND(AU503*($AP$3+#REF!),-1),""))</f>
        <v/>
      </c>
      <c r="AW503" s="503" t="s">
        <v>621</v>
      </c>
      <c r="AX503" s="503" t="str">
        <f>IF($G503="","",IF(AND($G503&gt;=30,$AT$3&lt;=AW$7),ROUND(AW503*($AP$3+#REF!),-1),""))</f>
        <v/>
      </c>
      <c r="AY503" s="503" t="s">
        <v>621</v>
      </c>
      <c r="AZ503" s="503" t="str">
        <f>IF($G503="","",IF(AND($G503&gt;=30,$AT$3&lt;=AY$7),ROUND(AY503*($AP$3+#REF!),-1),""))</f>
        <v/>
      </c>
      <c r="BA503" s="503" t="s">
        <v>621</v>
      </c>
      <c r="BB503" s="503" t="str">
        <f>IF($G503="","",IF(AND($G503&gt;=30,$AT$3&lt;=BA$7),ROUND(BA503*($AP$3+#REF!),-1),""))</f>
        <v/>
      </c>
      <c r="BC503" s="503" t="s">
        <v>621</v>
      </c>
      <c r="BD503" s="503" t="str">
        <f>IF($G503="","",IF(AND($G503&gt;=30,$AT$3&lt;=BC$7),ROUND(BC503*($AP$3+#REF!),-1),""))</f>
        <v/>
      </c>
      <c r="BE503" s="503" t="s">
        <v>621</v>
      </c>
      <c r="BF503" s="503" t="str">
        <f>IF($G503="","",IF(AND($G503&gt;=30,$AT$3&lt;=BE$7),ROUND(BE503*($AP$3+#REF!),-1),""))</f>
        <v/>
      </c>
      <c r="BG503" s="503" t="s">
        <v>621</v>
      </c>
      <c r="BH503" s="503" t="str">
        <f>IF($G503="","",IF(AND($G503&gt;=30,$AT$3&lt;=BG$7),ROUND(BG503*($AP$3+#REF!),-1),""))</f>
        <v/>
      </c>
      <c r="BI503" s="503" t="s">
        <v>621</v>
      </c>
      <c r="BJ503" s="503" t="str">
        <f>IF($G503="","",IF(AND($G503&gt;=30,$AT$3&lt;=BI$7),ROUND(BI503*($AP$3+#REF!),-1),""))</f>
        <v/>
      </c>
      <c r="BK503" s="503" t="s">
        <v>621</v>
      </c>
      <c r="BL503" s="503" t="str">
        <f>IF($G503="","",IF(AND($G503&gt;=30,$AT$3&lt;=BK$7),ROUND(BK503*($AP$3+#REF!),-1),""))</f>
        <v/>
      </c>
      <c r="BM503" s="503" t="s">
        <v>621</v>
      </c>
      <c r="BN503" s="503" t="str">
        <f>IF($G503="","",IF(AND($G503&gt;=30,$AT$3&lt;=BM$7),ROUND(BM503*($AP$3+#REF!),-1),""))</f>
        <v/>
      </c>
      <c r="BO503" s="503" t="s">
        <v>621</v>
      </c>
      <c r="BP503" s="503" t="str">
        <f>IF($G503="","",IF(AND($G503&gt;=30,$AT$3&lt;=BO$7),ROUND(BO503*($AP$3+#REF!),-1),""))</f>
        <v/>
      </c>
      <c r="BQ503" s="503" t="s">
        <v>621</v>
      </c>
      <c r="BR503" s="503" t="str">
        <f>IF($G503="","",IF(AND($G503&gt;=30,$AT$3&lt;=BQ$7),ROUND(BQ503*($AP$3+#REF!),-1),""))</f>
        <v/>
      </c>
      <c r="BS503" s="503" t="s">
        <v>621</v>
      </c>
      <c r="BT503" s="503" t="str">
        <f>IF($G503="","",IF(AND($G503&gt;=30,$AT$3&lt;=BS$7),ROUND(BS503*($AP$3+#REF!),-1),""))</f>
        <v/>
      </c>
      <c r="BU503" s="503" t="s">
        <v>621</v>
      </c>
      <c r="BV503" s="503" t="str">
        <f>IF($G503="","",IF(AND($G503&gt;=30,$AT$3&lt;=BU$7),ROUND(BU503*($AP$3+#REF!),-1),""))</f>
        <v/>
      </c>
      <c r="BW503" s="503" t="s">
        <v>621</v>
      </c>
      <c r="BX503" s="503" t="str">
        <f>IF($G503="","",IF(AND($G503&gt;=30,$AT$3&lt;=BW$7),ROUND(BW503*($AP$3+#REF!),-1),""))</f>
        <v/>
      </c>
      <c r="BY503" s="503" t="s">
        <v>621</v>
      </c>
      <c r="BZ503" s="503" t="str">
        <f>IF($G503="","",IF(AND($G503&gt;=30,$AT$3&lt;=BY$7),ROUND(BY503*($AP$3+#REF!),-1),""))</f>
        <v/>
      </c>
      <c r="CA503" s="503" t="s">
        <v>621</v>
      </c>
      <c r="CB503" s="503" t="str">
        <f>IF($G503="","",IF(AND($G503&gt;=30,$AT$3&lt;=CA$7),ROUND(CA503*($AP$3+#REF!),-1),""))</f>
        <v/>
      </c>
      <c r="CC503" s="503" t="s">
        <v>621</v>
      </c>
      <c r="CD503" s="503" t="str">
        <f>IF($G503="","",IF(AND($G503&gt;=30,$AT$3&lt;=CC$7),ROUND(CC503*($AP$3+#REF!),-1),""))</f>
        <v/>
      </c>
      <c r="CE503" s="503" t="s">
        <v>621</v>
      </c>
      <c r="CF503" s="503" t="str">
        <f>IF($G503="","",IF(AND($G503&gt;=30,$AT$3&lt;=CE$7),ROUND(CE503*($AP$3+#REF!),-1),""))</f>
        <v/>
      </c>
      <c r="CG503" s="503" t="s">
        <v>621</v>
      </c>
      <c r="CH503" s="503" t="str">
        <f>IF($G503="","",IF(AND($G503&gt;=30,$AT$3&lt;=CG$7),ROUND(CG503*($AP$3+#REF!),-1),""))</f>
        <v/>
      </c>
      <c r="CI503" s="503" t="s">
        <v>621</v>
      </c>
      <c r="CJ503" s="503" t="str">
        <f>IF($G503="","",IF(AND($G503&gt;=30,$AT$3&lt;=CI$7),ROUND(CI503*($AP$3+#REF!),-1),""))</f>
        <v/>
      </c>
      <c r="CK503" s="503" t="s">
        <v>621</v>
      </c>
      <c r="CL503" s="503" t="str">
        <f>IF($G503="","",IF(AND($G503&gt;=30,$AT$3&lt;=CK$7),ROUND(CK503*($AP$3+#REF!),-1),""))</f>
        <v/>
      </c>
      <c r="CM503" s="503" t="s">
        <v>621</v>
      </c>
      <c r="CN503" s="503" t="str">
        <f>IF($G503="","",IF(AND($G503&gt;=30,$AT$3&lt;=CM$7),ROUND(CM503*($AP$3+#REF!),-1),""))</f>
        <v/>
      </c>
      <c r="CO503" s="503" t="s">
        <v>621</v>
      </c>
      <c r="CP503" s="503" t="str">
        <f>IF($G503="","",IF(AND($G503&gt;=30,$AT$3&lt;=CO$7),ROUND(CO503*($AP$3+#REF!),-1),""))</f>
        <v/>
      </c>
      <c r="CQ503" s="503" t="s">
        <v>621</v>
      </c>
      <c r="CR503" s="503" t="str">
        <f>IF($G503="","",IF(AND($G503&gt;=30,$AT$3&lt;=CQ$7),ROUND(CQ503*($AP$3+#REF!),-1),""))</f>
        <v/>
      </c>
      <c r="CS503" s="503" t="s">
        <v>621</v>
      </c>
      <c r="CT503" s="503" t="str">
        <f>IF($G503="","",IF(AND($G503&gt;=30,$AT$3&lt;=CS$7),ROUND(CS503*($AP$3+#REF!),-1),""))</f>
        <v/>
      </c>
      <c r="CU503" s="503" t="s">
        <v>621</v>
      </c>
      <c r="CV503" s="503" t="str">
        <f>IF($G503="","",IF(AND($G503&gt;=30,$AT$3&lt;=CU$7),ROUND(CU503*($AP$3+#REF!),-1),""))</f>
        <v/>
      </c>
      <c r="CW503" s="503" t="s">
        <v>621</v>
      </c>
      <c r="CX503" s="503" t="str">
        <f>IF($G503="","",IF(AND($G503&gt;=30,$AT$3&lt;=CW$7),ROUND(CW503*($AP$3+#REF!),-1),""))</f>
        <v/>
      </c>
      <c r="CY503" s="503" t="s">
        <v>621</v>
      </c>
      <c r="CZ503" s="503" t="str">
        <f>IF($G503="","",IF(AND($G503&gt;=30,$AT$3&lt;=CY$7),ROUND(CY503*($AP$3+#REF!),-1),""))</f>
        <v/>
      </c>
      <c r="DA503" s="503" t="s">
        <v>621</v>
      </c>
      <c r="DB503" s="503" t="str">
        <f>IF($G503="","",IF(AND($G503&gt;=30,$AT$3&lt;=DA$7),ROUND(DA503*($AP$3+#REF!),-1),""))</f>
        <v/>
      </c>
      <c r="DC503" s="503" t="s">
        <v>621</v>
      </c>
      <c r="DD503" s="503" t="str">
        <f>IF($G503="","",IF(AND($G503&gt;=30,$AT$3&lt;=DC$7),ROUND(DC503*($AP$3+#REF!),-1),""))</f>
        <v/>
      </c>
      <c r="DE503" s="503" t="s">
        <v>621</v>
      </c>
      <c r="DF503" s="503" t="str">
        <f>IF($G503="","",IF(AND($G503&gt;=30,$AT$3&lt;=DE$7),ROUND(DE503*($AP$3+#REF!),-1),""))</f>
        <v/>
      </c>
      <c r="DG503" s="503" t="s">
        <v>621</v>
      </c>
      <c r="DH503" s="503" t="str">
        <f>IF($G503="","",IF(AND($G503&gt;=30,$AT$3&lt;=DG$7),ROUND(DG503*($AP$3+#REF!),-1),""))</f>
        <v/>
      </c>
      <c r="DI503" s="503" t="s">
        <v>621</v>
      </c>
      <c r="DJ503" s="503" t="str">
        <f>IF($G503="","",IF(AND($G503&gt;=30,$AT$3&lt;=DI$7),ROUND(DI503*($AP$3+#REF!),-1),""))</f>
        <v/>
      </c>
      <c r="DK503" s="517" t="e">
        <v>#REF!</v>
      </c>
      <c r="DL503" s="503" t="str">
        <f>IF($G503="","",IF(AND($G503&gt;=30,$AT$3&lt;=DK$7),ROUND(DK503*($AP$3+#REF!),-1),""))</f>
        <v/>
      </c>
      <c r="DM503" s="503"/>
      <c r="DN503" s="503" t="str">
        <f>IF($G503="","",IF(AND($G503&gt;=30,$AT$3&lt;=DM$7),ROUND(DM503*($AP$3+#REF!),-1),""))</f>
        <v/>
      </c>
      <c r="DO503" s="503"/>
      <c r="DP503" s="503" t="str">
        <f>IF($G503="","",IF(AND($G503&gt;=30,$AT$3&lt;=DO$7),ROUND(DO503*($AP$3+#REF!),-1),""))</f>
        <v/>
      </c>
      <c r="DQ503" s="503"/>
      <c r="DR503" s="503" t="str">
        <f>IF($G503="","",IF(AND($G503&gt;=30,$AT$3&lt;=DQ$7),ROUND(DQ503*($AP$3+#REF!),-1),""))</f>
        <v/>
      </c>
      <c r="DS503" s="503"/>
      <c r="DT503" s="503" t="str">
        <f>IF($G503="","",IF(AND($G503&gt;=30,$AT$3&lt;=DS$7),ROUND(DS503*($AP$3+#REF!),-1),""))</f>
        <v/>
      </c>
      <c r="DU503" s="503"/>
      <c r="DV503" s="503" t="str">
        <f>IF($G503="","",IF(AND($G503&gt;=30,$AT$3&lt;=DU$7),ROUND(DU503*($AP$3+#REF!),-1),""))</f>
        <v/>
      </c>
      <c r="DW503" s="503"/>
      <c r="DX503" s="503" t="str">
        <f>IF($G503="","",IF(AND($G503&gt;=30,$AT$3&lt;=DW$7),ROUND(DW503*($AP$3+#REF!),-1),""))</f>
        <v/>
      </c>
      <c r="DY503" s="503"/>
      <c r="DZ503" s="503" t="str">
        <f>IF($G503="","",IF(AND($G503&gt;=30,$AT$3&lt;=DY$7),ROUND(DY503*($AP$3+#REF!),-1),""))</f>
        <v/>
      </c>
      <c r="EA503" s="503"/>
      <c r="EB503" s="503" t="str">
        <f>IF($G503="","",IF(AND($G503&gt;=30,$AT$3&lt;=EA$7),ROUND(EA503*($AP$3+#REF!),-1),""))</f>
        <v/>
      </c>
      <c r="EC503" s="436"/>
      <c r="ED503" s="436"/>
      <c r="EE503" s="394"/>
    </row>
    <row r="504" spans="1:135" ht="9.75" customHeight="1">
      <c r="A504" s="321" t="str">
        <f t="shared" si="110"/>
        <v/>
      </c>
      <c r="B504" s="567">
        <f>(ii!$D$13*12+V504)+1</f>
        <v>398</v>
      </c>
      <c r="C504" s="337">
        <f t="shared" si="114"/>
        <v>57465</v>
      </c>
      <c r="D504" s="484">
        <f t="shared" si="117"/>
        <v>2057</v>
      </c>
      <c r="E504" s="484">
        <f t="shared" si="115"/>
        <v>0.33333333333333331</v>
      </c>
      <c r="F504" s="484">
        <f t="shared" si="118"/>
        <v>2057.3333333333335</v>
      </c>
      <c r="G504" s="485" t="str">
        <f>IF(OR(C504&lt;$I$2,C504&gt;$J$3),"",(ii!$D$13*12+V504+1)/12)</f>
        <v/>
      </c>
      <c r="H504" s="486"/>
      <c r="I504" s="486"/>
      <c r="J504" s="487"/>
      <c r="K504" s="488"/>
      <c r="L504" s="548"/>
      <c r="M504" s="489" t="str">
        <f t="shared" si="119"/>
        <v/>
      </c>
      <c r="N504" s="490" t="s">
        <v>621</v>
      </c>
      <c r="O504" s="490" t="str">
        <f t="shared" si="112"/>
        <v/>
      </c>
      <c r="P504" s="491"/>
      <c r="Q504" s="491"/>
      <c r="R504" s="491" t="str">
        <f t="shared" si="113"/>
        <v/>
      </c>
      <c r="S504" s="528" t="str">
        <f t="shared" si="111"/>
        <v/>
      </c>
      <c r="T504" s="528" t="str">
        <f t="shared" si="109"/>
        <v/>
      </c>
      <c r="U504" s="493" t="str">
        <f>IF(H504="","",#REF!*12+#REF!+#REF!*12+#REF!)</f>
        <v/>
      </c>
      <c r="V504" s="338">
        <f>IF(ii!$J$3&gt;gg!C504,"",IF(AND((YEAR(C504)=YEAR($I$2)),MONTH(C504)=MONTH($I$2)),ii!$B$14*12+ii!$C$14+ii!$B$15*12+ii!$C$15-1,V503+1))</f>
        <v>397</v>
      </c>
      <c r="W504" s="339">
        <f t="shared" si="116"/>
        <v>33.083333333333336</v>
      </c>
      <c r="X504" s="494" t="s">
        <v>621</v>
      </c>
      <c r="Y504" s="495" t="s">
        <v>621</v>
      </c>
      <c r="Z504" s="496"/>
      <c r="AA504" s="497"/>
      <c r="AB504" s="498" t="e">
        <f t="shared" si="122"/>
        <v>#VALUE!</v>
      </c>
      <c r="AC504" s="484" t="str">
        <f t="shared" si="120"/>
        <v/>
      </c>
      <c r="AD504" s="495" t="str">
        <f t="shared" si="121"/>
        <v/>
      </c>
      <c r="AE504" s="499" t="s">
        <v>621</v>
      </c>
      <c r="AF504" s="500" t="s">
        <v>621</v>
      </c>
      <c r="AG504" s="556" t="s">
        <v>621</v>
      </c>
      <c r="AH504" s="503" t="str">
        <f>IF($G504="","",IF(AND($G504&gt;=30,$AT$3&lt;=AG$7),ROUND(AG504*($AP$3+#REF!),-1),""))</f>
        <v/>
      </c>
      <c r="AI504" s="506" t="s">
        <v>621</v>
      </c>
      <c r="AJ504" s="503" t="str">
        <f>IF($G504="","",IF(AND($G504&gt;=30,$AT$3&lt;=AI$7),ROUND(AI504*($AP$3+#REF!),-1),""))</f>
        <v/>
      </c>
      <c r="AK504" s="506" t="s">
        <v>621</v>
      </c>
      <c r="AL504" s="503" t="str">
        <f>IF($G504="","",IF(AND($G504&gt;=30,$AT$3&lt;=AK$7),ROUND(AK504*($AP$3+#REF!),-1),""))</f>
        <v/>
      </c>
      <c r="AM504" s="506" t="s">
        <v>621</v>
      </c>
      <c r="AN504" s="503" t="str">
        <f>IF($G504="","",IF(AND($G504&gt;=30,$AT$3&lt;=AM$7),ROUND(AM504*($AP$3+#REF!),-1),""))</f>
        <v/>
      </c>
      <c r="AO504" s="503" t="e">
        <v>#REF!</v>
      </c>
      <c r="AP504" s="503" t="str">
        <f>IF($G504="","",IF(AND($G504&gt;=30,$AT$3&lt;=AO$7),ROUND(AO504*($AP$3+#REF!),-1),""))</f>
        <v/>
      </c>
      <c r="AQ504" s="503" t="s">
        <v>621</v>
      </c>
      <c r="AR504" s="503" t="str">
        <f>IF($G504="","",IF(AND($G504&gt;=30,$AT$3&lt;=AQ$7),ROUND(AQ504*($AP$3+#REF!),-1),""))</f>
        <v/>
      </c>
      <c r="AS504" s="503" t="s">
        <v>621</v>
      </c>
      <c r="AT504" s="503" t="str">
        <f>IF($G504="","",IF(AND($G504&gt;=30,$AT$3&lt;=AS$7),ROUND(AS504*($AP$3+#REF!),-1),""))</f>
        <v/>
      </c>
      <c r="AU504" s="503" t="s">
        <v>621</v>
      </c>
      <c r="AV504" s="503" t="str">
        <f>IF($G504="","",IF(AND($G504&gt;=30,$AT$3&lt;=AU$7),ROUND(AU504*($AP$3+#REF!),-1),""))</f>
        <v/>
      </c>
      <c r="AW504" s="503" t="s">
        <v>621</v>
      </c>
      <c r="AX504" s="503" t="str">
        <f>IF($G504="","",IF(AND($G504&gt;=30,$AT$3&lt;=AW$7),ROUND(AW504*($AP$3+#REF!),-1),""))</f>
        <v/>
      </c>
      <c r="AY504" s="503" t="s">
        <v>621</v>
      </c>
      <c r="AZ504" s="503" t="str">
        <f>IF($G504="","",IF(AND($G504&gt;=30,$AT$3&lt;=AY$7),ROUND(AY504*($AP$3+#REF!),-1),""))</f>
        <v/>
      </c>
      <c r="BA504" s="503" t="s">
        <v>621</v>
      </c>
      <c r="BB504" s="503" t="str">
        <f>IF($G504="","",IF(AND($G504&gt;=30,$AT$3&lt;=BA$7),ROUND(BA504*($AP$3+#REF!),-1),""))</f>
        <v/>
      </c>
      <c r="BC504" s="503" t="s">
        <v>621</v>
      </c>
      <c r="BD504" s="503" t="str">
        <f>IF($G504="","",IF(AND($G504&gt;=30,$AT$3&lt;=BC$7),ROUND(BC504*($AP$3+#REF!),-1),""))</f>
        <v/>
      </c>
      <c r="BE504" s="503" t="s">
        <v>621</v>
      </c>
      <c r="BF504" s="503" t="str">
        <f>IF($G504="","",IF(AND($G504&gt;=30,$AT$3&lt;=BE$7),ROUND(BE504*($AP$3+#REF!),-1),""))</f>
        <v/>
      </c>
      <c r="BG504" s="503" t="s">
        <v>621</v>
      </c>
      <c r="BH504" s="503" t="str">
        <f>IF($G504="","",IF(AND($G504&gt;=30,$AT$3&lt;=BG$7),ROUND(BG504*($AP$3+#REF!),-1),""))</f>
        <v/>
      </c>
      <c r="BI504" s="503" t="s">
        <v>621</v>
      </c>
      <c r="BJ504" s="503" t="str">
        <f>IF($G504="","",IF(AND($G504&gt;=30,$AT$3&lt;=BI$7),ROUND(BI504*($AP$3+#REF!),-1),""))</f>
        <v/>
      </c>
      <c r="BK504" s="503" t="s">
        <v>621</v>
      </c>
      <c r="BL504" s="503" t="str">
        <f>IF($G504="","",IF(AND($G504&gt;=30,$AT$3&lt;=BK$7),ROUND(BK504*($AP$3+#REF!),-1),""))</f>
        <v/>
      </c>
      <c r="BM504" s="503" t="s">
        <v>621</v>
      </c>
      <c r="BN504" s="503" t="str">
        <f>IF($G504="","",IF(AND($G504&gt;=30,$AT$3&lt;=BM$7),ROUND(BM504*($AP$3+#REF!),-1),""))</f>
        <v/>
      </c>
      <c r="BO504" s="503" t="s">
        <v>621</v>
      </c>
      <c r="BP504" s="503" t="str">
        <f>IF($G504="","",IF(AND($G504&gt;=30,$AT$3&lt;=BO$7),ROUND(BO504*($AP$3+#REF!),-1),""))</f>
        <v/>
      </c>
      <c r="BQ504" s="503" t="s">
        <v>621</v>
      </c>
      <c r="BR504" s="503" t="str">
        <f>IF($G504="","",IF(AND($G504&gt;=30,$AT$3&lt;=BQ$7),ROUND(BQ504*($AP$3+#REF!),-1),""))</f>
        <v/>
      </c>
      <c r="BS504" s="503" t="s">
        <v>621</v>
      </c>
      <c r="BT504" s="503" t="str">
        <f>IF($G504="","",IF(AND($G504&gt;=30,$AT$3&lt;=BS$7),ROUND(BS504*($AP$3+#REF!),-1),""))</f>
        <v/>
      </c>
      <c r="BU504" s="503" t="s">
        <v>621</v>
      </c>
      <c r="BV504" s="503" t="str">
        <f>IF($G504="","",IF(AND($G504&gt;=30,$AT$3&lt;=BU$7),ROUND(BU504*($AP$3+#REF!),-1),""))</f>
        <v/>
      </c>
      <c r="BW504" s="503" t="s">
        <v>621</v>
      </c>
      <c r="BX504" s="503" t="str">
        <f>IF($G504="","",IF(AND($G504&gt;=30,$AT$3&lt;=BW$7),ROUND(BW504*($AP$3+#REF!),-1),""))</f>
        <v/>
      </c>
      <c r="BY504" s="503" t="s">
        <v>621</v>
      </c>
      <c r="BZ504" s="503" t="str">
        <f>IF($G504="","",IF(AND($G504&gt;=30,$AT$3&lt;=BY$7),ROUND(BY504*($AP$3+#REF!),-1),""))</f>
        <v/>
      </c>
      <c r="CA504" s="503" t="s">
        <v>621</v>
      </c>
      <c r="CB504" s="503" t="str">
        <f>IF($G504="","",IF(AND($G504&gt;=30,$AT$3&lt;=CA$7),ROUND(CA504*($AP$3+#REF!),-1),""))</f>
        <v/>
      </c>
      <c r="CC504" s="503" t="s">
        <v>621</v>
      </c>
      <c r="CD504" s="503" t="str">
        <f>IF($G504="","",IF(AND($G504&gt;=30,$AT$3&lt;=CC$7),ROUND(CC504*($AP$3+#REF!),-1),""))</f>
        <v/>
      </c>
      <c r="CE504" s="503" t="s">
        <v>621</v>
      </c>
      <c r="CF504" s="503" t="str">
        <f>IF($G504="","",IF(AND($G504&gt;=30,$AT$3&lt;=CE$7),ROUND(CE504*($AP$3+#REF!),-1),""))</f>
        <v/>
      </c>
      <c r="CG504" s="503" t="s">
        <v>621</v>
      </c>
      <c r="CH504" s="503" t="str">
        <f>IF($G504="","",IF(AND($G504&gt;=30,$AT$3&lt;=CG$7),ROUND(CG504*($AP$3+#REF!),-1),""))</f>
        <v/>
      </c>
      <c r="CI504" s="503" t="s">
        <v>621</v>
      </c>
      <c r="CJ504" s="503" t="str">
        <f>IF($G504="","",IF(AND($G504&gt;=30,$AT$3&lt;=CI$7),ROUND(CI504*($AP$3+#REF!),-1),""))</f>
        <v/>
      </c>
      <c r="CK504" s="503" t="s">
        <v>621</v>
      </c>
      <c r="CL504" s="503" t="str">
        <f>IF($G504="","",IF(AND($G504&gt;=30,$AT$3&lt;=CK$7),ROUND(CK504*($AP$3+#REF!),-1),""))</f>
        <v/>
      </c>
      <c r="CM504" s="503" t="s">
        <v>621</v>
      </c>
      <c r="CN504" s="503" t="str">
        <f>IF($G504="","",IF(AND($G504&gt;=30,$AT$3&lt;=CM$7),ROUND(CM504*($AP$3+#REF!),-1),""))</f>
        <v/>
      </c>
      <c r="CO504" s="503" t="s">
        <v>621</v>
      </c>
      <c r="CP504" s="503" t="str">
        <f>IF($G504="","",IF(AND($G504&gt;=30,$AT$3&lt;=CO$7),ROUND(CO504*($AP$3+#REF!),-1),""))</f>
        <v/>
      </c>
      <c r="CQ504" s="503" t="s">
        <v>621</v>
      </c>
      <c r="CR504" s="503" t="str">
        <f>IF($G504="","",IF(AND($G504&gt;=30,$AT$3&lt;=CQ$7),ROUND(CQ504*($AP$3+#REF!),-1),""))</f>
        <v/>
      </c>
      <c r="CS504" s="503" t="s">
        <v>621</v>
      </c>
      <c r="CT504" s="503" t="str">
        <f>IF($G504="","",IF(AND($G504&gt;=30,$AT$3&lt;=CS$7),ROUND(CS504*($AP$3+#REF!),-1),""))</f>
        <v/>
      </c>
      <c r="CU504" s="503" t="s">
        <v>621</v>
      </c>
      <c r="CV504" s="503" t="str">
        <f>IF($G504="","",IF(AND($G504&gt;=30,$AT$3&lt;=CU$7),ROUND(CU504*($AP$3+#REF!),-1),""))</f>
        <v/>
      </c>
      <c r="CW504" s="503" t="s">
        <v>621</v>
      </c>
      <c r="CX504" s="503" t="str">
        <f>IF($G504="","",IF(AND($G504&gt;=30,$AT$3&lt;=CW$7),ROUND(CW504*($AP$3+#REF!),-1),""))</f>
        <v/>
      </c>
      <c r="CY504" s="503" t="s">
        <v>621</v>
      </c>
      <c r="CZ504" s="503" t="str">
        <f>IF($G504="","",IF(AND($G504&gt;=30,$AT$3&lt;=CY$7),ROUND(CY504*($AP$3+#REF!),-1),""))</f>
        <v/>
      </c>
      <c r="DA504" s="503" t="s">
        <v>621</v>
      </c>
      <c r="DB504" s="503" t="str">
        <f>IF($G504="","",IF(AND($G504&gt;=30,$AT$3&lt;=DA$7),ROUND(DA504*($AP$3+#REF!),-1),""))</f>
        <v/>
      </c>
      <c r="DC504" s="503" t="s">
        <v>621</v>
      </c>
      <c r="DD504" s="503" t="str">
        <f>IF($G504="","",IF(AND($G504&gt;=30,$AT$3&lt;=DC$7),ROUND(DC504*($AP$3+#REF!),-1),""))</f>
        <v/>
      </c>
      <c r="DE504" s="503" t="s">
        <v>621</v>
      </c>
      <c r="DF504" s="503" t="str">
        <f>IF($G504="","",IF(AND($G504&gt;=30,$AT$3&lt;=DE$7),ROUND(DE504*($AP$3+#REF!),-1),""))</f>
        <v/>
      </c>
      <c r="DG504" s="503" t="s">
        <v>621</v>
      </c>
      <c r="DH504" s="503" t="str">
        <f>IF($G504="","",IF(AND($G504&gt;=30,$AT$3&lt;=DG$7),ROUND(DG504*($AP$3+#REF!),-1),""))</f>
        <v/>
      </c>
      <c r="DI504" s="503" t="s">
        <v>621</v>
      </c>
      <c r="DJ504" s="503" t="str">
        <f>IF($G504="","",IF(AND($G504&gt;=30,$AT$3&lt;=DI$7),ROUND(DI504*($AP$3+#REF!),-1),""))</f>
        <v/>
      </c>
      <c r="DK504" s="517" t="e">
        <v>#REF!</v>
      </c>
      <c r="DL504" s="503" t="str">
        <f>IF($G504="","",IF(AND($G504&gt;=30,$AT$3&lt;=DK$7),ROUND(DK504*($AP$3+#REF!),-1),""))</f>
        <v/>
      </c>
      <c r="DM504" s="503"/>
      <c r="DN504" s="503" t="str">
        <f>IF($G504="","",IF(AND($G504&gt;=30,$AT$3&lt;=DM$7),ROUND(DM504*($AP$3+#REF!),-1),""))</f>
        <v/>
      </c>
      <c r="DO504" s="503"/>
      <c r="DP504" s="503" t="str">
        <f>IF($G504="","",IF(AND($G504&gt;=30,$AT$3&lt;=DO$7),ROUND(DO504*($AP$3+#REF!),-1),""))</f>
        <v/>
      </c>
      <c r="DQ504" s="503"/>
      <c r="DR504" s="503" t="str">
        <f>IF($G504="","",IF(AND($G504&gt;=30,$AT$3&lt;=DQ$7),ROUND(DQ504*($AP$3+#REF!),-1),""))</f>
        <v/>
      </c>
      <c r="DS504" s="503"/>
      <c r="DT504" s="503" t="str">
        <f>IF($G504="","",IF(AND($G504&gt;=30,$AT$3&lt;=DS$7),ROUND(DS504*($AP$3+#REF!),-1),""))</f>
        <v/>
      </c>
      <c r="DU504" s="503"/>
      <c r="DV504" s="503" t="str">
        <f>IF($G504="","",IF(AND($G504&gt;=30,$AT$3&lt;=DU$7),ROUND(DU504*($AP$3+#REF!),-1),""))</f>
        <v/>
      </c>
      <c r="DW504" s="503"/>
      <c r="DX504" s="503" t="str">
        <f>IF($G504="","",IF(AND($G504&gt;=30,$AT$3&lt;=DW$7),ROUND(DW504*($AP$3+#REF!),-1),""))</f>
        <v/>
      </c>
      <c r="DY504" s="503"/>
      <c r="DZ504" s="503" t="str">
        <f>IF($G504="","",IF(AND($G504&gt;=30,$AT$3&lt;=DY$7),ROUND(DY504*($AP$3+#REF!),-1),""))</f>
        <v/>
      </c>
      <c r="EA504" s="503"/>
      <c r="EB504" s="503" t="str">
        <f>IF($G504="","",IF(AND($G504&gt;=30,$AT$3&lt;=EA$7),ROUND(EA504*($AP$3+#REF!),-1),""))</f>
        <v/>
      </c>
      <c r="EC504" s="436"/>
      <c r="ED504" s="436"/>
      <c r="EE504" s="394"/>
    </row>
    <row r="505" spans="1:135" ht="9.75" customHeight="1">
      <c r="A505" s="321" t="str">
        <f t="shared" si="110"/>
        <v/>
      </c>
      <c r="B505" s="567">
        <f>(ii!$D$13*12+V505)+1</f>
        <v>399</v>
      </c>
      <c r="C505" s="337">
        <f t="shared" si="114"/>
        <v>57496</v>
      </c>
      <c r="D505" s="484">
        <f t="shared" si="117"/>
        <v>2057</v>
      </c>
      <c r="E505" s="484">
        <f t="shared" si="115"/>
        <v>0.41666666666666669</v>
      </c>
      <c r="F505" s="484">
        <f t="shared" si="118"/>
        <v>2057.4166666666665</v>
      </c>
      <c r="G505" s="485" t="str">
        <f>IF(OR(C505&lt;$I$2,C505&gt;$J$3),"",(ii!$D$13*12+V505+1)/12)</f>
        <v/>
      </c>
      <c r="H505" s="486"/>
      <c r="I505" s="486"/>
      <c r="J505" s="507"/>
      <c r="K505" s="508"/>
      <c r="L505" s="548"/>
      <c r="M505" s="489" t="str">
        <f t="shared" si="119"/>
        <v/>
      </c>
      <c r="N505" s="490" t="s">
        <v>621</v>
      </c>
      <c r="O505" s="490" t="str">
        <f t="shared" si="112"/>
        <v/>
      </c>
      <c r="P505" s="507"/>
      <c r="Q505" s="507"/>
      <c r="R505" s="491" t="str">
        <f t="shared" si="113"/>
        <v/>
      </c>
      <c r="S505" s="528" t="str">
        <f t="shared" si="111"/>
        <v/>
      </c>
      <c r="T505" s="528" t="str">
        <f t="shared" ref="T505:T568" si="123">IF(OR(S505="",S504=""),"",S505-S504)</f>
        <v/>
      </c>
      <c r="U505" s="493" t="str">
        <f>IF(H505="","",#REF!*12+#REF!+#REF!*12+#REF!)</f>
        <v/>
      </c>
      <c r="V505" s="338">
        <f>IF(ii!$J$3&gt;gg!C505,"",IF(AND((YEAR(C505)=YEAR($I$2)),MONTH(C505)=MONTH($I$2)),ii!$B$14*12+ii!$C$14+ii!$B$15*12+ii!$C$15-1,V504+1))</f>
        <v>398</v>
      </c>
      <c r="W505" s="339">
        <f t="shared" si="116"/>
        <v>33.166666666666664</v>
      </c>
      <c r="X505" s="494" t="s">
        <v>621</v>
      </c>
      <c r="Y505" s="495" t="s">
        <v>621</v>
      </c>
      <c r="Z505" s="496"/>
      <c r="AA505" s="497"/>
      <c r="AB505" s="498" t="e">
        <f t="shared" si="122"/>
        <v>#VALUE!</v>
      </c>
      <c r="AC505" s="484" t="str">
        <f t="shared" si="120"/>
        <v/>
      </c>
      <c r="AD505" s="495" t="str">
        <f t="shared" si="121"/>
        <v/>
      </c>
      <c r="AE505" s="499" t="s">
        <v>621</v>
      </c>
      <c r="AF505" s="500" t="s">
        <v>621</v>
      </c>
      <c r="AG505" s="556" t="s">
        <v>621</v>
      </c>
      <c r="AH505" s="503" t="str">
        <f>IF($G505="","",IF(AND($G505&gt;=30,$AT$3&lt;=AG$7),ROUND(AG505*($AP$3+#REF!),-1),""))</f>
        <v/>
      </c>
      <c r="AI505" s="506" t="s">
        <v>621</v>
      </c>
      <c r="AJ505" s="503" t="str">
        <f>IF($G505="","",IF(AND($G505&gt;=30,$AT$3&lt;=AI$7),ROUND(AI505*($AP$3+#REF!),-1),""))</f>
        <v/>
      </c>
      <c r="AK505" s="506" t="s">
        <v>621</v>
      </c>
      <c r="AL505" s="503" t="str">
        <f>IF($G505="","",IF(AND($G505&gt;=30,$AT$3&lt;=AK$7),ROUND(AK505*($AP$3+#REF!),-1),""))</f>
        <v/>
      </c>
      <c r="AM505" s="506" t="s">
        <v>621</v>
      </c>
      <c r="AN505" s="503" t="str">
        <f>IF($G505="","",IF(AND($G505&gt;=30,$AT$3&lt;=AM$7),ROUND(AM505*($AP$3+#REF!),-1),""))</f>
        <v/>
      </c>
      <c r="AO505" s="503" t="e">
        <v>#REF!</v>
      </c>
      <c r="AP505" s="503" t="str">
        <f>IF($G505="","",IF(AND($G505&gt;=30,$AT$3&lt;=AO$7),ROUND(AO505*($AP$3+#REF!),-1),""))</f>
        <v/>
      </c>
      <c r="AQ505" s="503" t="s">
        <v>621</v>
      </c>
      <c r="AR505" s="503" t="str">
        <f>IF($G505="","",IF(AND($G505&gt;=30,$AT$3&lt;=AQ$7),ROUND(AQ505*($AP$3+#REF!),-1),""))</f>
        <v/>
      </c>
      <c r="AS505" s="503" t="s">
        <v>621</v>
      </c>
      <c r="AT505" s="503" t="str">
        <f>IF($G505="","",IF(AND($G505&gt;=30,$AT$3&lt;=AS$7),ROUND(AS505*($AP$3+#REF!),-1),""))</f>
        <v/>
      </c>
      <c r="AU505" s="503" t="s">
        <v>621</v>
      </c>
      <c r="AV505" s="503" t="str">
        <f>IF($G505="","",IF(AND($G505&gt;=30,$AT$3&lt;=AU$7),ROUND(AU505*($AP$3+#REF!),-1),""))</f>
        <v/>
      </c>
      <c r="AW505" s="503" t="s">
        <v>621</v>
      </c>
      <c r="AX505" s="503" t="str">
        <f>IF($G505="","",IF(AND($G505&gt;=30,$AT$3&lt;=AW$7),ROUND(AW505*($AP$3+#REF!),-1),""))</f>
        <v/>
      </c>
      <c r="AY505" s="503" t="s">
        <v>621</v>
      </c>
      <c r="AZ505" s="503" t="str">
        <f>IF($G505="","",IF(AND($G505&gt;=30,$AT$3&lt;=AY$7),ROUND(AY505*($AP$3+#REF!),-1),""))</f>
        <v/>
      </c>
      <c r="BA505" s="503" t="s">
        <v>621</v>
      </c>
      <c r="BB505" s="503" t="str">
        <f>IF($G505="","",IF(AND($G505&gt;=30,$AT$3&lt;=BA$7),ROUND(BA505*($AP$3+#REF!),-1),""))</f>
        <v/>
      </c>
      <c r="BC505" s="503" t="s">
        <v>621</v>
      </c>
      <c r="BD505" s="503" t="str">
        <f>IF($G505="","",IF(AND($G505&gt;=30,$AT$3&lt;=BC$7),ROUND(BC505*($AP$3+#REF!),-1),""))</f>
        <v/>
      </c>
      <c r="BE505" s="503" t="s">
        <v>621</v>
      </c>
      <c r="BF505" s="503" t="str">
        <f>IF($G505="","",IF(AND($G505&gt;=30,$AT$3&lt;=BE$7),ROUND(BE505*($AP$3+#REF!),-1),""))</f>
        <v/>
      </c>
      <c r="BG505" s="503" t="s">
        <v>621</v>
      </c>
      <c r="BH505" s="503" t="str">
        <f>IF($G505="","",IF(AND($G505&gt;=30,$AT$3&lt;=BG$7),ROUND(BG505*($AP$3+#REF!),-1),""))</f>
        <v/>
      </c>
      <c r="BI505" s="503" t="s">
        <v>621</v>
      </c>
      <c r="BJ505" s="503" t="str">
        <f>IF($G505="","",IF(AND($G505&gt;=30,$AT$3&lt;=BI$7),ROUND(BI505*($AP$3+#REF!),-1),""))</f>
        <v/>
      </c>
      <c r="BK505" s="503" t="s">
        <v>621</v>
      </c>
      <c r="BL505" s="503" t="str">
        <f>IF($G505="","",IF(AND($G505&gt;=30,$AT$3&lt;=BK$7),ROUND(BK505*($AP$3+#REF!),-1),""))</f>
        <v/>
      </c>
      <c r="BM505" s="503" t="s">
        <v>621</v>
      </c>
      <c r="BN505" s="503" t="str">
        <f>IF($G505="","",IF(AND($G505&gt;=30,$AT$3&lt;=BM$7),ROUND(BM505*($AP$3+#REF!),-1),""))</f>
        <v/>
      </c>
      <c r="BO505" s="503" t="s">
        <v>621</v>
      </c>
      <c r="BP505" s="503" t="str">
        <f>IF($G505="","",IF(AND($G505&gt;=30,$AT$3&lt;=BO$7),ROUND(BO505*($AP$3+#REF!),-1),""))</f>
        <v/>
      </c>
      <c r="BQ505" s="503" t="s">
        <v>621</v>
      </c>
      <c r="BR505" s="503" t="str">
        <f>IF($G505="","",IF(AND($G505&gt;=30,$AT$3&lt;=BQ$7),ROUND(BQ505*($AP$3+#REF!),-1),""))</f>
        <v/>
      </c>
      <c r="BS505" s="503" t="s">
        <v>621</v>
      </c>
      <c r="BT505" s="503" t="str">
        <f>IF($G505="","",IF(AND($G505&gt;=30,$AT$3&lt;=BS$7),ROUND(BS505*($AP$3+#REF!),-1),""))</f>
        <v/>
      </c>
      <c r="BU505" s="503" t="s">
        <v>621</v>
      </c>
      <c r="BV505" s="503" t="str">
        <f>IF($G505="","",IF(AND($G505&gt;=30,$AT$3&lt;=BU$7),ROUND(BU505*($AP$3+#REF!),-1),""))</f>
        <v/>
      </c>
      <c r="BW505" s="503" t="s">
        <v>621</v>
      </c>
      <c r="BX505" s="503" t="str">
        <f>IF($G505="","",IF(AND($G505&gt;=30,$AT$3&lt;=BW$7),ROUND(BW505*($AP$3+#REF!),-1),""))</f>
        <v/>
      </c>
      <c r="BY505" s="503" t="s">
        <v>621</v>
      </c>
      <c r="BZ505" s="503" t="str">
        <f>IF($G505="","",IF(AND($G505&gt;=30,$AT$3&lt;=BY$7),ROUND(BY505*($AP$3+#REF!),-1),""))</f>
        <v/>
      </c>
      <c r="CA505" s="503" t="s">
        <v>621</v>
      </c>
      <c r="CB505" s="503" t="str">
        <f>IF($G505="","",IF(AND($G505&gt;=30,$AT$3&lt;=CA$7),ROUND(CA505*($AP$3+#REF!),-1),""))</f>
        <v/>
      </c>
      <c r="CC505" s="503" t="s">
        <v>621</v>
      </c>
      <c r="CD505" s="503" t="str">
        <f>IF($G505="","",IF(AND($G505&gt;=30,$AT$3&lt;=CC$7),ROUND(CC505*($AP$3+#REF!),-1),""))</f>
        <v/>
      </c>
      <c r="CE505" s="503" t="s">
        <v>621</v>
      </c>
      <c r="CF505" s="503" t="str">
        <f>IF($G505="","",IF(AND($G505&gt;=30,$AT$3&lt;=CE$7),ROUND(CE505*($AP$3+#REF!),-1),""))</f>
        <v/>
      </c>
      <c r="CG505" s="503" t="s">
        <v>621</v>
      </c>
      <c r="CH505" s="503" t="str">
        <f>IF($G505="","",IF(AND($G505&gt;=30,$AT$3&lt;=CG$7),ROUND(CG505*($AP$3+#REF!),-1),""))</f>
        <v/>
      </c>
      <c r="CI505" s="503" t="s">
        <v>621</v>
      </c>
      <c r="CJ505" s="503" t="str">
        <f>IF($G505="","",IF(AND($G505&gt;=30,$AT$3&lt;=CI$7),ROUND(CI505*($AP$3+#REF!),-1),""))</f>
        <v/>
      </c>
      <c r="CK505" s="503" t="s">
        <v>621</v>
      </c>
      <c r="CL505" s="503" t="str">
        <f>IF($G505="","",IF(AND($G505&gt;=30,$AT$3&lt;=CK$7),ROUND(CK505*($AP$3+#REF!),-1),""))</f>
        <v/>
      </c>
      <c r="CM505" s="503" t="s">
        <v>621</v>
      </c>
      <c r="CN505" s="503" t="str">
        <f>IF($G505="","",IF(AND($G505&gt;=30,$AT$3&lt;=CM$7),ROUND(CM505*($AP$3+#REF!),-1),""))</f>
        <v/>
      </c>
      <c r="CO505" s="503" t="s">
        <v>621</v>
      </c>
      <c r="CP505" s="503" t="str">
        <f>IF($G505="","",IF(AND($G505&gt;=30,$AT$3&lt;=CO$7),ROUND(CO505*($AP$3+#REF!),-1),""))</f>
        <v/>
      </c>
      <c r="CQ505" s="503" t="s">
        <v>621</v>
      </c>
      <c r="CR505" s="503" t="str">
        <f>IF($G505="","",IF(AND($G505&gt;=30,$AT$3&lt;=CQ$7),ROUND(CQ505*($AP$3+#REF!),-1),""))</f>
        <v/>
      </c>
      <c r="CS505" s="503" t="s">
        <v>621</v>
      </c>
      <c r="CT505" s="503" t="str">
        <f>IF($G505="","",IF(AND($G505&gt;=30,$AT$3&lt;=CS$7),ROUND(CS505*($AP$3+#REF!),-1),""))</f>
        <v/>
      </c>
      <c r="CU505" s="503" t="s">
        <v>621</v>
      </c>
      <c r="CV505" s="503" t="str">
        <f>IF($G505="","",IF(AND($G505&gt;=30,$AT$3&lt;=CU$7),ROUND(CU505*($AP$3+#REF!),-1),""))</f>
        <v/>
      </c>
      <c r="CW505" s="503" t="s">
        <v>621</v>
      </c>
      <c r="CX505" s="503" t="str">
        <f>IF($G505="","",IF(AND($G505&gt;=30,$AT$3&lt;=CW$7),ROUND(CW505*($AP$3+#REF!),-1),""))</f>
        <v/>
      </c>
      <c r="CY505" s="503" t="s">
        <v>621</v>
      </c>
      <c r="CZ505" s="503" t="str">
        <f>IF($G505="","",IF(AND($G505&gt;=30,$AT$3&lt;=CY$7),ROUND(CY505*($AP$3+#REF!),-1),""))</f>
        <v/>
      </c>
      <c r="DA505" s="503" t="s">
        <v>621</v>
      </c>
      <c r="DB505" s="503" t="str">
        <f>IF($G505="","",IF(AND($G505&gt;=30,$AT$3&lt;=DA$7),ROUND(DA505*($AP$3+#REF!),-1),""))</f>
        <v/>
      </c>
      <c r="DC505" s="503" t="s">
        <v>621</v>
      </c>
      <c r="DD505" s="503" t="str">
        <f>IF($G505="","",IF(AND($G505&gt;=30,$AT$3&lt;=DC$7),ROUND(DC505*($AP$3+#REF!),-1),""))</f>
        <v/>
      </c>
      <c r="DE505" s="503" t="s">
        <v>621</v>
      </c>
      <c r="DF505" s="503" t="str">
        <f>IF($G505="","",IF(AND($G505&gt;=30,$AT$3&lt;=DE$7),ROUND(DE505*($AP$3+#REF!),-1),""))</f>
        <v/>
      </c>
      <c r="DG505" s="503" t="s">
        <v>621</v>
      </c>
      <c r="DH505" s="503" t="str">
        <f>IF($G505="","",IF(AND($G505&gt;=30,$AT$3&lt;=DG$7),ROUND(DG505*($AP$3+#REF!),-1),""))</f>
        <v/>
      </c>
      <c r="DI505" s="503" t="s">
        <v>621</v>
      </c>
      <c r="DJ505" s="503" t="str">
        <f>IF($G505="","",IF(AND($G505&gt;=30,$AT$3&lt;=DI$7),ROUND(DI505*($AP$3+#REF!),-1),""))</f>
        <v/>
      </c>
      <c r="DK505" s="517" t="e">
        <v>#REF!</v>
      </c>
      <c r="DL505" s="503" t="str">
        <f>IF($G505="","",IF(AND($G505&gt;=30,$AT$3&lt;=DK$7),ROUND(DK505*($AP$3+#REF!),-1),""))</f>
        <v/>
      </c>
      <c r="DM505" s="503"/>
      <c r="DN505" s="503" t="str">
        <f>IF($G505="","",IF(AND($G505&gt;=30,$AT$3&lt;=DM$7),ROUND(DM505*($AP$3+#REF!),-1),""))</f>
        <v/>
      </c>
      <c r="DO505" s="503"/>
      <c r="DP505" s="503" t="str">
        <f>IF($G505="","",IF(AND($G505&gt;=30,$AT$3&lt;=DO$7),ROUND(DO505*($AP$3+#REF!),-1),""))</f>
        <v/>
      </c>
      <c r="DQ505" s="503"/>
      <c r="DR505" s="503" t="str">
        <f>IF($G505="","",IF(AND($G505&gt;=30,$AT$3&lt;=DQ$7),ROUND(DQ505*($AP$3+#REF!),-1),""))</f>
        <v/>
      </c>
      <c r="DS505" s="503"/>
      <c r="DT505" s="503" t="str">
        <f>IF($G505="","",IF(AND($G505&gt;=30,$AT$3&lt;=DS$7),ROUND(DS505*($AP$3+#REF!),-1),""))</f>
        <v/>
      </c>
      <c r="DU505" s="503"/>
      <c r="DV505" s="503" t="str">
        <f>IF($G505="","",IF(AND($G505&gt;=30,$AT$3&lt;=DU$7),ROUND(DU505*($AP$3+#REF!),-1),""))</f>
        <v/>
      </c>
      <c r="DW505" s="503"/>
      <c r="DX505" s="503" t="str">
        <f>IF($G505="","",IF(AND($G505&gt;=30,$AT$3&lt;=DW$7),ROUND(DW505*($AP$3+#REF!),-1),""))</f>
        <v/>
      </c>
      <c r="DY505" s="503"/>
      <c r="DZ505" s="503" t="str">
        <f>IF($G505="","",IF(AND($G505&gt;=30,$AT$3&lt;=DY$7),ROUND(DY505*($AP$3+#REF!),-1),""))</f>
        <v/>
      </c>
      <c r="EA505" s="503"/>
      <c r="EB505" s="503" t="str">
        <f>IF($G505="","",IF(AND($G505&gt;=30,$AT$3&lt;=EA$7),ROUND(EA505*($AP$3+#REF!),-1),""))</f>
        <v/>
      </c>
      <c r="EC505" s="436"/>
      <c r="ED505" s="436"/>
      <c r="EE505" s="394"/>
    </row>
    <row r="506" spans="1:135" ht="9.75" customHeight="1">
      <c r="A506" s="321" t="str">
        <f t="shared" ref="A506:A569" si="124">G506</f>
        <v/>
      </c>
      <c r="B506" s="567">
        <f>(ii!$D$13*12+V506)+1</f>
        <v>400</v>
      </c>
      <c r="C506" s="337">
        <f t="shared" si="114"/>
        <v>57526</v>
      </c>
      <c r="D506" s="484">
        <f t="shared" si="117"/>
        <v>2057</v>
      </c>
      <c r="E506" s="484">
        <f t="shared" si="115"/>
        <v>0.5</v>
      </c>
      <c r="F506" s="484">
        <f t="shared" si="118"/>
        <v>2057.5</v>
      </c>
      <c r="G506" s="485" t="str">
        <f>IF(OR(C506&lt;$I$2,C506&gt;$J$3),"",(ii!$D$13*12+V506+1)/12)</f>
        <v/>
      </c>
      <c r="H506" s="486"/>
      <c r="I506" s="486"/>
      <c r="J506" s="487"/>
      <c r="K506" s="488"/>
      <c r="L506" s="548"/>
      <c r="M506" s="489" t="str">
        <f t="shared" si="119"/>
        <v/>
      </c>
      <c r="N506" s="490" t="s">
        <v>621</v>
      </c>
      <c r="O506" s="490" t="str">
        <f t="shared" si="112"/>
        <v/>
      </c>
      <c r="P506" s="491"/>
      <c r="Q506" s="491"/>
      <c r="R506" s="491" t="str">
        <f t="shared" si="113"/>
        <v/>
      </c>
      <c r="S506" s="528" t="str">
        <f t="shared" si="111"/>
        <v/>
      </c>
      <c r="T506" s="528" t="str">
        <f t="shared" si="123"/>
        <v/>
      </c>
      <c r="U506" s="493" t="str">
        <f>IF(H506="","",#REF!*12+#REF!+#REF!*12+#REF!)</f>
        <v/>
      </c>
      <c r="V506" s="338">
        <f>IF(ii!$J$3&gt;gg!C506,"",IF(AND((YEAR(C506)=YEAR($I$2)),MONTH(C506)=MONTH($I$2)),ii!$B$14*12+ii!$C$14+ii!$B$15*12+ii!$C$15-1,V505+1))</f>
        <v>399</v>
      </c>
      <c r="W506" s="339">
        <f t="shared" si="116"/>
        <v>33.25</v>
      </c>
      <c r="X506" s="494" t="s">
        <v>621</v>
      </c>
      <c r="Y506" s="495" t="s">
        <v>621</v>
      </c>
      <c r="Z506" s="496"/>
      <c r="AA506" s="497"/>
      <c r="AB506" s="498" t="e">
        <f t="shared" si="122"/>
        <v>#VALUE!</v>
      </c>
      <c r="AC506" s="484" t="str">
        <f t="shared" si="120"/>
        <v/>
      </c>
      <c r="AD506" s="495" t="str">
        <f t="shared" si="121"/>
        <v/>
      </c>
      <c r="AE506" s="499" t="s">
        <v>621</v>
      </c>
      <c r="AF506" s="500" t="s">
        <v>621</v>
      </c>
      <c r="AG506" s="556" t="s">
        <v>621</v>
      </c>
      <c r="AH506" s="503" t="str">
        <f>IF($G506="","",IF(AND($G506&gt;=30,$AT$3&lt;=AG$7),ROUND(AG506*($AP$3+#REF!),-1),""))</f>
        <v/>
      </c>
      <c r="AI506" s="506" t="s">
        <v>621</v>
      </c>
      <c r="AJ506" s="503" t="str">
        <f>IF($G506="","",IF(AND($G506&gt;=30,$AT$3&lt;=AI$7),ROUND(AI506*($AP$3+#REF!),-1),""))</f>
        <v/>
      </c>
      <c r="AK506" s="506" t="s">
        <v>621</v>
      </c>
      <c r="AL506" s="503" t="str">
        <f>IF($G506="","",IF(AND($G506&gt;=30,$AT$3&lt;=AK$7),ROUND(AK506*($AP$3+#REF!),-1),""))</f>
        <v/>
      </c>
      <c r="AM506" s="506" t="s">
        <v>621</v>
      </c>
      <c r="AN506" s="503" t="str">
        <f>IF($G506="","",IF(AND($G506&gt;=30,$AT$3&lt;=AM$7),ROUND(AM506*($AP$3+#REF!),-1),""))</f>
        <v/>
      </c>
      <c r="AO506" s="503" t="e">
        <v>#REF!</v>
      </c>
      <c r="AP506" s="503" t="str">
        <f>IF($G506="","",IF(AND($G506&gt;=30,$AT$3&lt;=AO$7),ROUND(AO506*($AP$3+#REF!),-1),""))</f>
        <v/>
      </c>
      <c r="AQ506" s="503" t="s">
        <v>621</v>
      </c>
      <c r="AR506" s="503" t="str">
        <f>IF($G506="","",IF(AND($G506&gt;=30,$AT$3&lt;=AQ$7),ROUND(AQ506*($AP$3+#REF!),-1),""))</f>
        <v/>
      </c>
      <c r="AS506" s="503" t="s">
        <v>621</v>
      </c>
      <c r="AT506" s="503" t="str">
        <f>IF($G506="","",IF(AND($G506&gt;=30,$AT$3&lt;=AS$7),ROUND(AS506*($AP$3+#REF!),-1),""))</f>
        <v/>
      </c>
      <c r="AU506" s="503" t="s">
        <v>621</v>
      </c>
      <c r="AV506" s="503" t="str">
        <f>IF($G506="","",IF(AND($G506&gt;=30,$AT$3&lt;=AU$7),ROUND(AU506*($AP$3+#REF!),-1),""))</f>
        <v/>
      </c>
      <c r="AW506" s="503" t="s">
        <v>621</v>
      </c>
      <c r="AX506" s="503" t="str">
        <f>IF($G506="","",IF(AND($G506&gt;=30,$AT$3&lt;=AW$7),ROUND(AW506*($AP$3+#REF!),-1),""))</f>
        <v/>
      </c>
      <c r="AY506" s="503" t="s">
        <v>621</v>
      </c>
      <c r="AZ506" s="503" t="str">
        <f>IF($G506="","",IF(AND($G506&gt;=30,$AT$3&lt;=AY$7),ROUND(AY506*($AP$3+#REF!),-1),""))</f>
        <v/>
      </c>
      <c r="BA506" s="503" t="s">
        <v>621</v>
      </c>
      <c r="BB506" s="503" t="str">
        <f>IF($G506="","",IF(AND($G506&gt;=30,$AT$3&lt;=BA$7),ROUND(BA506*($AP$3+#REF!),-1),""))</f>
        <v/>
      </c>
      <c r="BC506" s="503" t="s">
        <v>621</v>
      </c>
      <c r="BD506" s="503" t="str">
        <f>IF($G506="","",IF(AND($G506&gt;=30,$AT$3&lt;=BC$7),ROUND(BC506*($AP$3+#REF!),-1),""))</f>
        <v/>
      </c>
      <c r="BE506" s="503" t="s">
        <v>621</v>
      </c>
      <c r="BF506" s="503" t="str">
        <f>IF($G506="","",IF(AND($G506&gt;=30,$AT$3&lt;=BE$7),ROUND(BE506*($AP$3+#REF!),-1),""))</f>
        <v/>
      </c>
      <c r="BG506" s="503" t="s">
        <v>621</v>
      </c>
      <c r="BH506" s="503" t="str">
        <f>IF($G506="","",IF(AND($G506&gt;=30,$AT$3&lt;=BG$7),ROUND(BG506*($AP$3+#REF!),-1),""))</f>
        <v/>
      </c>
      <c r="BI506" s="503" t="s">
        <v>621</v>
      </c>
      <c r="BJ506" s="503" t="str">
        <f>IF($G506="","",IF(AND($G506&gt;=30,$AT$3&lt;=BI$7),ROUND(BI506*($AP$3+#REF!),-1),""))</f>
        <v/>
      </c>
      <c r="BK506" s="503" t="s">
        <v>621</v>
      </c>
      <c r="BL506" s="503" t="str">
        <f>IF($G506="","",IF(AND($G506&gt;=30,$AT$3&lt;=BK$7),ROUND(BK506*($AP$3+#REF!),-1),""))</f>
        <v/>
      </c>
      <c r="BM506" s="503" t="s">
        <v>621</v>
      </c>
      <c r="BN506" s="503" t="str">
        <f>IF($G506="","",IF(AND($G506&gt;=30,$AT$3&lt;=BM$7),ROUND(BM506*($AP$3+#REF!),-1),""))</f>
        <v/>
      </c>
      <c r="BO506" s="503" t="s">
        <v>621</v>
      </c>
      <c r="BP506" s="503" t="str">
        <f>IF($G506="","",IF(AND($G506&gt;=30,$AT$3&lt;=BO$7),ROUND(BO506*($AP$3+#REF!),-1),""))</f>
        <v/>
      </c>
      <c r="BQ506" s="503" t="s">
        <v>621</v>
      </c>
      <c r="BR506" s="503" t="str">
        <f>IF($G506="","",IF(AND($G506&gt;=30,$AT$3&lt;=BQ$7),ROUND(BQ506*($AP$3+#REF!),-1),""))</f>
        <v/>
      </c>
      <c r="BS506" s="503" t="s">
        <v>621</v>
      </c>
      <c r="BT506" s="503" t="str">
        <f>IF($G506="","",IF(AND($G506&gt;=30,$AT$3&lt;=BS$7),ROUND(BS506*($AP$3+#REF!),-1),""))</f>
        <v/>
      </c>
      <c r="BU506" s="503" t="s">
        <v>621</v>
      </c>
      <c r="BV506" s="503" t="str">
        <f>IF($G506="","",IF(AND($G506&gt;=30,$AT$3&lt;=BU$7),ROUND(BU506*($AP$3+#REF!),-1),""))</f>
        <v/>
      </c>
      <c r="BW506" s="503" t="s">
        <v>621</v>
      </c>
      <c r="BX506" s="503" t="str">
        <f>IF($G506="","",IF(AND($G506&gt;=30,$AT$3&lt;=BW$7),ROUND(BW506*($AP$3+#REF!),-1),""))</f>
        <v/>
      </c>
      <c r="BY506" s="503" t="s">
        <v>621</v>
      </c>
      <c r="BZ506" s="503" t="str">
        <f>IF($G506="","",IF(AND($G506&gt;=30,$AT$3&lt;=BY$7),ROUND(BY506*($AP$3+#REF!),-1),""))</f>
        <v/>
      </c>
      <c r="CA506" s="503" t="s">
        <v>621</v>
      </c>
      <c r="CB506" s="503" t="str">
        <f>IF($G506="","",IF(AND($G506&gt;=30,$AT$3&lt;=CA$7),ROUND(CA506*($AP$3+#REF!),-1),""))</f>
        <v/>
      </c>
      <c r="CC506" s="503" t="s">
        <v>621</v>
      </c>
      <c r="CD506" s="503" t="str">
        <f>IF($G506="","",IF(AND($G506&gt;=30,$AT$3&lt;=CC$7),ROUND(CC506*($AP$3+#REF!),-1),""))</f>
        <v/>
      </c>
      <c r="CE506" s="503" t="s">
        <v>621</v>
      </c>
      <c r="CF506" s="503" t="str">
        <f>IF($G506="","",IF(AND($G506&gt;=30,$AT$3&lt;=CE$7),ROUND(CE506*($AP$3+#REF!),-1),""))</f>
        <v/>
      </c>
      <c r="CG506" s="503" t="s">
        <v>621</v>
      </c>
      <c r="CH506" s="503" t="str">
        <f>IF($G506="","",IF(AND($G506&gt;=30,$AT$3&lt;=CG$7),ROUND(CG506*($AP$3+#REF!),-1),""))</f>
        <v/>
      </c>
      <c r="CI506" s="503" t="s">
        <v>621</v>
      </c>
      <c r="CJ506" s="503" t="str">
        <f>IF($G506="","",IF(AND($G506&gt;=30,$AT$3&lt;=CI$7),ROUND(CI506*($AP$3+#REF!),-1),""))</f>
        <v/>
      </c>
      <c r="CK506" s="503" t="s">
        <v>621</v>
      </c>
      <c r="CL506" s="503" t="str">
        <f>IF($G506="","",IF(AND($G506&gt;=30,$AT$3&lt;=CK$7),ROUND(CK506*($AP$3+#REF!),-1),""))</f>
        <v/>
      </c>
      <c r="CM506" s="503" t="s">
        <v>621</v>
      </c>
      <c r="CN506" s="503" t="str">
        <f>IF($G506="","",IF(AND($G506&gt;=30,$AT$3&lt;=CM$7),ROUND(CM506*($AP$3+#REF!),-1),""))</f>
        <v/>
      </c>
      <c r="CO506" s="503" t="s">
        <v>621</v>
      </c>
      <c r="CP506" s="503" t="str">
        <f>IF($G506="","",IF(AND($G506&gt;=30,$AT$3&lt;=CO$7),ROUND(CO506*($AP$3+#REF!),-1),""))</f>
        <v/>
      </c>
      <c r="CQ506" s="503" t="s">
        <v>621</v>
      </c>
      <c r="CR506" s="503" t="str">
        <f>IF($G506="","",IF(AND($G506&gt;=30,$AT$3&lt;=CQ$7),ROUND(CQ506*($AP$3+#REF!),-1),""))</f>
        <v/>
      </c>
      <c r="CS506" s="503" t="s">
        <v>621</v>
      </c>
      <c r="CT506" s="503" t="str">
        <f>IF($G506="","",IF(AND($G506&gt;=30,$AT$3&lt;=CS$7),ROUND(CS506*($AP$3+#REF!),-1),""))</f>
        <v/>
      </c>
      <c r="CU506" s="503" t="s">
        <v>621</v>
      </c>
      <c r="CV506" s="503" t="str">
        <f>IF($G506="","",IF(AND($G506&gt;=30,$AT$3&lt;=CU$7),ROUND(CU506*($AP$3+#REF!),-1),""))</f>
        <v/>
      </c>
      <c r="CW506" s="503" t="s">
        <v>621</v>
      </c>
      <c r="CX506" s="503" t="str">
        <f>IF($G506="","",IF(AND($G506&gt;=30,$AT$3&lt;=CW$7),ROUND(CW506*($AP$3+#REF!),-1),""))</f>
        <v/>
      </c>
      <c r="CY506" s="503" t="s">
        <v>621</v>
      </c>
      <c r="CZ506" s="503" t="str">
        <f>IF($G506="","",IF(AND($G506&gt;=30,$AT$3&lt;=CY$7),ROUND(CY506*($AP$3+#REF!),-1),""))</f>
        <v/>
      </c>
      <c r="DA506" s="503" t="s">
        <v>621</v>
      </c>
      <c r="DB506" s="503" t="str">
        <f>IF($G506="","",IF(AND($G506&gt;=30,$AT$3&lt;=DA$7),ROUND(DA506*($AP$3+#REF!),-1),""))</f>
        <v/>
      </c>
      <c r="DC506" s="503" t="s">
        <v>621</v>
      </c>
      <c r="DD506" s="503" t="str">
        <f>IF($G506="","",IF(AND($G506&gt;=30,$AT$3&lt;=DC$7),ROUND(DC506*($AP$3+#REF!),-1),""))</f>
        <v/>
      </c>
      <c r="DE506" s="503" t="s">
        <v>621</v>
      </c>
      <c r="DF506" s="503" t="str">
        <f>IF($G506="","",IF(AND($G506&gt;=30,$AT$3&lt;=DE$7),ROUND(DE506*($AP$3+#REF!),-1),""))</f>
        <v/>
      </c>
      <c r="DG506" s="503" t="s">
        <v>621</v>
      </c>
      <c r="DH506" s="503" t="str">
        <f>IF($G506="","",IF(AND($G506&gt;=30,$AT$3&lt;=DG$7),ROUND(DG506*($AP$3+#REF!),-1),""))</f>
        <v/>
      </c>
      <c r="DI506" s="503" t="s">
        <v>621</v>
      </c>
      <c r="DJ506" s="503" t="str">
        <f>IF($G506="","",IF(AND($G506&gt;=30,$AT$3&lt;=DI$7),ROUND(DI506*($AP$3+#REF!),-1),""))</f>
        <v/>
      </c>
      <c r="DK506" s="517" t="e">
        <v>#REF!</v>
      </c>
      <c r="DL506" s="503" t="str">
        <f>IF($G506="","",IF(AND($G506&gt;=30,$AT$3&lt;=DK$7),ROUND(DK506*($AP$3+#REF!),-1),""))</f>
        <v/>
      </c>
      <c r="DM506" s="503"/>
      <c r="DN506" s="503" t="str">
        <f>IF($G506="","",IF(AND($G506&gt;=30,$AT$3&lt;=DM$7),ROUND(DM506*($AP$3+#REF!),-1),""))</f>
        <v/>
      </c>
      <c r="DO506" s="503"/>
      <c r="DP506" s="503" t="str">
        <f>IF($G506="","",IF(AND($G506&gt;=30,$AT$3&lt;=DO$7),ROUND(DO506*($AP$3+#REF!),-1),""))</f>
        <v/>
      </c>
      <c r="DQ506" s="503"/>
      <c r="DR506" s="503" t="str">
        <f>IF($G506="","",IF(AND($G506&gt;=30,$AT$3&lt;=DQ$7),ROUND(DQ506*($AP$3+#REF!),-1),""))</f>
        <v/>
      </c>
      <c r="DS506" s="503"/>
      <c r="DT506" s="503" t="str">
        <f>IF($G506="","",IF(AND($G506&gt;=30,$AT$3&lt;=DS$7),ROUND(DS506*($AP$3+#REF!),-1),""))</f>
        <v/>
      </c>
      <c r="DU506" s="503"/>
      <c r="DV506" s="503" t="str">
        <f>IF($G506="","",IF(AND($G506&gt;=30,$AT$3&lt;=DU$7),ROUND(DU506*($AP$3+#REF!),-1),""))</f>
        <v/>
      </c>
      <c r="DW506" s="503"/>
      <c r="DX506" s="503" t="str">
        <f>IF($G506="","",IF(AND($G506&gt;=30,$AT$3&lt;=DW$7),ROUND(DW506*($AP$3+#REF!),-1),""))</f>
        <v/>
      </c>
      <c r="DY506" s="503"/>
      <c r="DZ506" s="503" t="str">
        <f>IF($G506="","",IF(AND($G506&gt;=30,$AT$3&lt;=DY$7),ROUND(DY506*($AP$3+#REF!),-1),""))</f>
        <v/>
      </c>
      <c r="EA506" s="503"/>
      <c r="EB506" s="503" t="str">
        <f>IF($G506="","",IF(AND($G506&gt;=30,$AT$3&lt;=EA$7),ROUND(EA506*($AP$3+#REF!),-1),""))</f>
        <v/>
      </c>
      <c r="EC506" s="436"/>
      <c r="ED506" s="436"/>
      <c r="EE506" s="394"/>
    </row>
    <row r="507" spans="1:135" ht="9.75" customHeight="1">
      <c r="A507" s="321" t="str">
        <f t="shared" si="124"/>
        <v/>
      </c>
      <c r="B507" s="567">
        <f>(ii!$D$13*12+V507)+1</f>
        <v>401</v>
      </c>
      <c r="C507" s="337">
        <f t="shared" si="114"/>
        <v>57557</v>
      </c>
      <c r="D507" s="484">
        <f t="shared" si="117"/>
        <v>2057</v>
      </c>
      <c r="E507" s="484">
        <f t="shared" si="115"/>
        <v>0.58333333333333337</v>
      </c>
      <c r="F507" s="484">
        <f t="shared" si="118"/>
        <v>2057.5833333333335</v>
      </c>
      <c r="G507" s="485" t="str">
        <f>IF(OR(C507&lt;$I$2,C507&gt;$J$3),"",(ii!$D$13*12+V507+1)/12)</f>
        <v/>
      </c>
      <c r="H507" s="486"/>
      <c r="I507" s="486"/>
      <c r="J507" s="487"/>
      <c r="K507" s="488"/>
      <c r="L507" s="548"/>
      <c r="M507" s="489" t="str">
        <f t="shared" si="119"/>
        <v/>
      </c>
      <c r="N507" s="490" t="s">
        <v>621</v>
      </c>
      <c r="O507" s="490" t="str">
        <f t="shared" si="112"/>
        <v/>
      </c>
      <c r="P507" s="491"/>
      <c r="Q507" s="491"/>
      <c r="R507" s="491" t="str">
        <f t="shared" si="113"/>
        <v/>
      </c>
      <c r="S507" s="528" t="str">
        <f t="shared" si="111"/>
        <v/>
      </c>
      <c r="T507" s="528" t="str">
        <f t="shared" si="123"/>
        <v/>
      </c>
      <c r="U507" s="493" t="str">
        <f>IF(H507="","",#REF!*12+#REF!+#REF!*12+#REF!)</f>
        <v/>
      </c>
      <c r="V507" s="338">
        <f>IF(ii!$J$3&gt;gg!C507,"",IF(AND((YEAR(C507)=YEAR($I$2)),MONTH(C507)=MONTH($I$2)),ii!$B$14*12+ii!$C$14+ii!$B$15*12+ii!$C$15-1,V506+1))</f>
        <v>400</v>
      </c>
      <c r="W507" s="339">
        <f t="shared" si="116"/>
        <v>33.333333333333336</v>
      </c>
      <c r="X507" s="494" t="s">
        <v>621</v>
      </c>
      <c r="Y507" s="495" t="s">
        <v>621</v>
      </c>
      <c r="Z507" s="496"/>
      <c r="AA507" s="497"/>
      <c r="AB507" s="498" t="e">
        <f t="shared" si="122"/>
        <v>#VALUE!</v>
      </c>
      <c r="AC507" s="484" t="str">
        <f t="shared" si="120"/>
        <v/>
      </c>
      <c r="AD507" s="495" t="str">
        <f t="shared" si="121"/>
        <v/>
      </c>
      <c r="AE507" s="499" t="s">
        <v>621</v>
      </c>
      <c r="AF507" s="500" t="s">
        <v>621</v>
      </c>
      <c r="AG507" s="556" t="s">
        <v>621</v>
      </c>
      <c r="AH507" s="503" t="str">
        <f>IF($G507="","",IF(AND($G507&gt;=30,$AT$3&lt;=AG$7),ROUND(AG507*($AP$3+#REF!),-1),""))</f>
        <v/>
      </c>
      <c r="AI507" s="506" t="s">
        <v>621</v>
      </c>
      <c r="AJ507" s="503" t="str">
        <f>IF($G507="","",IF(AND($G507&gt;=30,$AT$3&lt;=AI$7),ROUND(AI507*($AP$3+#REF!),-1),""))</f>
        <v/>
      </c>
      <c r="AK507" s="506" t="s">
        <v>621</v>
      </c>
      <c r="AL507" s="503" t="str">
        <f>IF($G507="","",IF(AND($G507&gt;=30,$AT$3&lt;=AK$7),ROUND(AK507*($AP$3+#REF!),-1),""))</f>
        <v/>
      </c>
      <c r="AM507" s="506" t="s">
        <v>621</v>
      </c>
      <c r="AN507" s="503" t="str">
        <f>IF($G507="","",IF(AND($G507&gt;=30,$AT$3&lt;=AM$7),ROUND(AM507*($AP$3+#REF!),-1),""))</f>
        <v/>
      </c>
      <c r="AO507" s="503" t="e">
        <v>#REF!</v>
      </c>
      <c r="AP507" s="503" t="str">
        <f>IF($G507="","",IF(AND($G507&gt;=30,$AT$3&lt;=AO$7),ROUND(AO507*($AP$3+#REF!),-1),""))</f>
        <v/>
      </c>
      <c r="AQ507" s="503" t="s">
        <v>621</v>
      </c>
      <c r="AR507" s="503" t="str">
        <f>IF($G507="","",IF(AND($G507&gt;=30,$AT$3&lt;=AQ$7),ROUND(AQ507*($AP$3+#REF!),-1),""))</f>
        <v/>
      </c>
      <c r="AS507" s="503" t="s">
        <v>621</v>
      </c>
      <c r="AT507" s="503" t="str">
        <f>IF($G507="","",IF(AND($G507&gt;=30,$AT$3&lt;=AS$7),ROUND(AS507*($AP$3+#REF!),-1),""))</f>
        <v/>
      </c>
      <c r="AU507" s="503" t="s">
        <v>621</v>
      </c>
      <c r="AV507" s="503" t="str">
        <f>IF($G507="","",IF(AND($G507&gt;=30,$AT$3&lt;=AU$7),ROUND(AU507*($AP$3+#REF!),-1),""))</f>
        <v/>
      </c>
      <c r="AW507" s="503" t="s">
        <v>621</v>
      </c>
      <c r="AX507" s="503" t="str">
        <f>IF($G507="","",IF(AND($G507&gt;=30,$AT$3&lt;=AW$7),ROUND(AW507*($AP$3+#REF!),-1),""))</f>
        <v/>
      </c>
      <c r="AY507" s="503" t="s">
        <v>621</v>
      </c>
      <c r="AZ507" s="503" t="str">
        <f>IF($G507="","",IF(AND($G507&gt;=30,$AT$3&lt;=AY$7),ROUND(AY507*($AP$3+#REF!),-1),""))</f>
        <v/>
      </c>
      <c r="BA507" s="503" t="s">
        <v>621</v>
      </c>
      <c r="BB507" s="503" t="str">
        <f>IF($G507="","",IF(AND($G507&gt;=30,$AT$3&lt;=BA$7),ROUND(BA507*($AP$3+#REF!),-1),""))</f>
        <v/>
      </c>
      <c r="BC507" s="503" t="s">
        <v>621</v>
      </c>
      <c r="BD507" s="503" t="str">
        <f>IF($G507="","",IF(AND($G507&gt;=30,$AT$3&lt;=BC$7),ROUND(BC507*($AP$3+#REF!),-1),""))</f>
        <v/>
      </c>
      <c r="BE507" s="503" t="s">
        <v>621</v>
      </c>
      <c r="BF507" s="503" t="str">
        <f>IF($G507="","",IF(AND($G507&gt;=30,$AT$3&lt;=BE$7),ROUND(BE507*($AP$3+#REF!),-1),""))</f>
        <v/>
      </c>
      <c r="BG507" s="503" t="s">
        <v>621</v>
      </c>
      <c r="BH507" s="503" t="str">
        <f>IF($G507="","",IF(AND($G507&gt;=30,$AT$3&lt;=BG$7),ROUND(BG507*($AP$3+#REF!),-1),""))</f>
        <v/>
      </c>
      <c r="BI507" s="503" t="s">
        <v>621</v>
      </c>
      <c r="BJ507" s="503" t="str">
        <f>IF($G507="","",IF(AND($G507&gt;=30,$AT$3&lt;=BI$7),ROUND(BI507*($AP$3+#REF!),-1),""))</f>
        <v/>
      </c>
      <c r="BK507" s="503" t="s">
        <v>621</v>
      </c>
      <c r="BL507" s="503" t="str">
        <f>IF($G507="","",IF(AND($G507&gt;=30,$AT$3&lt;=BK$7),ROUND(BK507*($AP$3+#REF!),-1),""))</f>
        <v/>
      </c>
      <c r="BM507" s="503" t="s">
        <v>621</v>
      </c>
      <c r="BN507" s="503" t="str">
        <f>IF($G507="","",IF(AND($G507&gt;=30,$AT$3&lt;=BM$7),ROUND(BM507*($AP$3+#REF!),-1),""))</f>
        <v/>
      </c>
      <c r="BO507" s="503" t="s">
        <v>621</v>
      </c>
      <c r="BP507" s="503" t="str">
        <f>IF($G507="","",IF(AND($G507&gt;=30,$AT$3&lt;=BO$7),ROUND(BO507*($AP$3+#REF!),-1),""))</f>
        <v/>
      </c>
      <c r="BQ507" s="503" t="s">
        <v>621</v>
      </c>
      <c r="BR507" s="503" t="str">
        <f>IF($G507="","",IF(AND($G507&gt;=30,$AT$3&lt;=BQ$7),ROUND(BQ507*($AP$3+#REF!),-1),""))</f>
        <v/>
      </c>
      <c r="BS507" s="503" t="s">
        <v>621</v>
      </c>
      <c r="BT507" s="503" t="str">
        <f>IF($G507="","",IF(AND($G507&gt;=30,$AT$3&lt;=BS$7),ROUND(BS507*($AP$3+#REF!),-1),""))</f>
        <v/>
      </c>
      <c r="BU507" s="503" t="s">
        <v>621</v>
      </c>
      <c r="BV507" s="503" t="str">
        <f>IF($G507="","",IF(AND($G507&gt;=30,$AT$3&lt;=BU$7),ROUND(BU507*($AP$3+#REF!),-1),""))</f>
        <v/>
      </c>
      <c r="BW507" s="503" t="s">
        <v>621</v>
      </c>
      <c r="BX507" s="503" t="str">
        <f>IF($G507="","",IF(AND($G507&gt;=30,$AT$3&lt;=BW$7),ROUND(BW507*($AP$3+#REF!),-1),""))</f>
        <v/>
      </c>
      <c r="BY507" s="503" t="s">
        <v>621</v>
      </c>
      <c r="BZ507" s="503" t="str">
        <f>IF($G507="","",IF(AND($G507&gt;=30,$AT$3&lt;=BY$7),ROUND(BY507*($AP$3+#REF!),-1),""))</f>
        <v/>
      </c>
      <c r="CA507" s="503" t="s">
        <v>621</v>
      </c>
      <c r="CB507" s="503" t="str">
        <f>IF($G507="","",IF(AND($G507&gt;=30,$AT$3&lt;=CA$7),ROUND(CA507*($AP$3+#REF!),-1),""))</f>
        <v/>
      </c>
      <c r="CC507" s="503" t="s">
        <v>621</v>
      </c>
      <c r="CD507" s="503" t="str">
        <f>IF($G507="","",IF(AND($G507&gt;=30,$AT$3&lt;=CC$7),ROUND(CC507*($AP$3+#REF!),-1),""))</f>
        <v/>
      </c>
      <c r="CE507" s="503" t="s">
        <v>621</v>
      </c>
      <c r="CF507" s="503" t="str">
        <f>IF($G507="","",IF(AND($G507&gt;=30,$AT$3&lt;=CE$7),ROUND(CE507*($AP$3+#REF!),-1),""))</f>
        <v/>
      </c>
      <c r="CG507" s="503" t="s">
        <v>621</v>
      </c>
      <c r="CH507" s="503" t="str">
        <f>IF($G507="","",IF(AND($G507&gt;=30,$AT$3&lt;=CG$7),ROUND(CG507*($AP$3+#REF!),-1),""))</f>
        <v/>
      </c>
      <c r="CI507" s="503" t="s">
        <v>621</v>
      </c>
      <c r="CJ507" s="503" t="str">
        <f>IF($G507="","",IF(AND($G507&gt;=30,$AT$3&lt;=CI$7),ROUND(CI507*($AP$3+#REF!),-1),""))</f>
        <v/>
      </c>
      <c r="CK507" s="503" t="s">
        <v>621</v>
      </c>
      <c r="CL507" s="503" t="str">
        <f>IF($G507="","",IF(AND($G507&gt;=30,$AT$3&lt;=CK$7),ROUND(CK507*($AP$3+#REF!),-1),""))</f>
        <v/>
      </c>
      <c r="CM507" s="503" t="s">
        <v>621</v>
      </c>
      <c r="CN507" s="503" t="str">
        <f>IF($G507="","",IF(AND($G507&gt;=30,$AT$3&lt;=CM$7),ROUND(CM507*($AP$3+#REF!),-1),""))</f>
        <v/>
      </c>
      <c r="CO507" s="503" t="s">
        <v>621</v>
      </c>
      <c r="CP507" s="503" t="str">
        <f>IF($G507="","",IF(AND($G507&gt;=30,$AT$3&lt;=CO$7),ROUND(CO507*($AP$3+#REF!),-1),""))</f>
        <v/>
      </c>
      <c r="CQ507" s="503" t="s">
        <v>621</v>
      </c>
      <c r="CR507" s="503" t="str">
        <f>IF($G507="","",IF(AND($G507&gt;=30,$AT$3&lt;=CQ$7),ROUND(CQ507*($AP$3+#REF!),-1),""))</f>
        <v/>
      </c>
      <c r="CS507" s="503" t="s">
        <v>621</v>
      </c>
      <c r="CT507" s="503" t="str">
        <f>IF($G507="","",IF(AND($G507&gt;=30,$AT$3&lt;=CS$7),ROUND(CS507*($AP$3+#REF!),-1),""))</f>
        <v/>
      </c>
      <c r="CU507" s="503" t="s">
        <v>621</v>
      </c>
      <c r="CV507" s="503" t="str">
        <f>IF($G507="","",IF(AND($G507&gt;=30,$AT$3&lt;=CU$7),ROUND(CU507*($AP$3+#REF!),-1),""))</f>
        <v/>
      </c>
      <c r="CW507" s="503" t="s">
        <v>621</v>
      </c>
      <c r="CX507" s="503" t="str">
        <f>IF($G507="","",IF(AND($G507&gt;=30,$AT$3&lt;=CW$7),ROUND(CW507*($AP$3+#REF!),-1),""))</f>
        <v/>
      </c>
      <c r="CY507" s="503" t="s">
        <v>621</v>
      </c>
      <c r="CZ507" s="503" t="str">
        <f>IF($G507="","",IF(AND($G507&gt;=30,$AT$3&lt;=CY$7),ROUND(CY507*($AP$3+#REF!),-1),""))</f>
        <v/>
      </c>
      <c r="DA507" s="503" t="s">
        <v>621</v>
      </c>
      <c r="DB507" s="503" t="str">
        <f>IF($G507="","",IF(AND($G507&gt;=30,$AT$3&lt;=DA$7),ROUND(DA507*($AP$3+#REF!),-1),""))</f>
        <v/>
      </c>
      <c r="DC507" s="503" t="s">
        <v>621</v>
      </c>
      <c r="DD507" s="503" t="str">
        <f>IF($G507="","",IF(AND($G507&gt;=30,$AT$3&lt;=DC$7),ROUND(DC507*($AP$3+#REF!),-1),""))</f>
        <v/>
      </c>
      <c r="DE507" s="503" t="s">
        <v>621</v>
      </c>
      <c r="DF507" s="503" t="str">
        <f>IF($G507="","",IF(AND($G507&gt;=30,$AT$3&lt;=DE$7),ROUND(DE507*($AP$3+#REF!),-1),""))</f>
        <v/>
      </c>
      <c r="DG507" s="503" t="s">
        <v>621</v>
      </c>
      <c r="DH507" s="503" t="str">
        <f>IF($G507="","",IF(AND($G507&gt;=30,$AT$3&lt;=DG$7),ROUND(DG507*($AP$3+#REF!),-1),""))</f>
        <v/>
      </c>
      <c r="DI507" s="503" t="s">
        <v>621</v>
      </c>
      <c r="DJ507" s="503" t="str">
        <f>IF($G507="","",IF(AND($G507&gt;=30,$AT$3&lt;=DI$7),ROUND(DI507*($AP$3+#REF!),-1),""))</f>
        <v/>
      </c>
      <c r="DK507" s="517" t="e">
        <v>#REF!</v>
      </c>
      <c r="DL507" s="503" t="str">
        <f>IF($G507="","",IF(AND($G507&gt;=30,$AT$3&lt;=DK$7),ROUND(DK507*($AP$3+#REF!),-1),""))</f>
        <v/>
      </c>
      <c r="DM507" s="503"/>
      <c r="DN507" s="503" t="str">
        <f>IF($G507="","",IF(AND($G507&gt;=30,$AT$3&lt;=DM$7),ROUND(DM507*($AP$3+#REF!),-1),""))</f>
        <v/>
      </c>
      <c r="DO507" s="503"/>
      <c r="DP507" s="503" t="str">
        <f>IF($G507="","",IF(AND($G507&gt;=30,$AT$3&lt;=DO$7),ROUND(DO507*($AP$3+#REF!),-1),""))</f>
        <v/>
      </c>
      <c r="DQ507" s="503"/>
      <c r="DR507" s="503" t="str">
        <f>IF($G507="","",IF(AND($G507&gt;=30,$AT$3&lt;=DQ$7),ROUND(DQ507*($AP$3+#REF!),-1),""))</f>
        <v/>
      </c>
      <c r="DS507" s="503"/>
      <c r="DT507" s="503" t="str">
        <f>IF($G507="","",IF(AND($G507&gt;=30,$AT$3&lt;=DS$7),ROUND(DS507*($AP$3+#REF!),-1),""))</f>
        <v/>
      </c>
      <c r="DU507" s="503"/>
      <c r="DV507" s="503" t="str">
        <f>IF($G507="","",IF(AND($G507&gt;=30,$AT$3&lt;=DU$7),ROUND(DU507*($AP$3+#REF!),-1),""))</f>
        <v/>
      </c>
      <c r="DW507" s="503"/>
      <c r="DX507" s="503" t="str">
        <f>IF($G507="","",IF(AND($G507&gt;=30,$AT$3&lt;=DW$7),ROUND(DW507*($AP$3+#REF!),-1),""))</f>
        <v/>
      </c>
      <c r="DY507" s="503"/>
      <c r="DZ507" s="503" t="str">
        <f>IF($G507="","",IF(AND($G507&gt;=30,$AT$3&lt;=DY$7),ROUND(DY507*($AP$3+#REF!),-1),""))</f>
        <v/>
      </c>
      <c r="EA507" s="503"/>
      <c r="EB507" s="503" t="str">
        <f>IF($G507="","",IF(AND($G507&gt;=30,$AT$3&lt;=EA$7),ROUND(EA507*($AP$3+#REF!),-1),""))</f>
        <v/>
      </c>
      <c r="EC507" s="436"/>
      <c r="ED507" s="436"/>
      <c r="EE507" s="394"/>
    </row>
    <row r="508" spans="1:135" ht="9.75" customHeight="1">
      <c r="A508" s="321" t="str">
        <f t="shared" si="124"/>
        <v/>
      </c>
      <c r="B508" s="567">
        <f>(ii!$D$13*12+V508)+1</f>
        <v>402</v>
      </c>
      <c r="C508" s="337">
        <f t="shared" si="114"/>
        <v>57588</v>
      </c>
      <c r="D508" s="484">
        <f t="shared" si="117"/>
        <v>2057</v>
      </c>
      <c r="E508" s="484">
        <f t="shared" si="115"/>
        <v>0.66666666666666663</v>
      </c>
      <c r="F508" s="484">
        <f t="shared" si="118"/>
        <v>2057.6666666666665</v>
      </c>
      <c r="G508" s="485" t="str">
        <f>IF(OR(C508&lt;$I$2,C508&gt;$J$3),"",(ii!$D$13*12+V508+1)/12)</f>
        <v/>
      </c>
      <c r="H508" s="486"/>
      <c r="I508" s="486"/>
      <c r="J508" s="487"/>
      <c r="K508" s="488"/>
      <c r="L508" s="548"/>
      <c r="M508" s="489" t="str">
        <f t="shared" si="119"/>
        <v/>
      </c>
      <c r="N508" s="490" t="s">
        <v>621</v>
      </c>
      <c r="O508" s="490" t="str">
        <f t="shared" si="112"/>
        <v/>
      </c>
      <c r="P508" s="491"/>
      <c r="Q508" s="491"/>
      <c r="R508" s="491" t="str">
        <f t="shared" si="113"/>
        <v/>
      </c>
      <c r="S508" s="528" t="str">
        <f t="shared" si="111"/>
        <v/>
      </c>
      <c r="T508" s="528" t="str">
        <f t="shared" si="123"/>
        <v/>
      </c>
      <c r="U508" s="493" t="str">
        <f>IF(H508="","",#REF!*12+#REF!+#REF!*12+#REF!)</f>
        <v/>
      </c>
      <c r="V508" s="338">
        <f>IF(ii!$J$3&gt;gg!C508,"",IF(AND((YEAR(C508)=YEAR($I$2)),MONTH(C508)=MONTH($I$2)),ii!$B$14*12+ii!$C$14+ii!$B$15*12+ii!$C$15-1,V507+1))</f>
        <v>401</v>
      </c>
      <c r="W508" s="339">
        <f t="shared" si="116"/>
        <v>33.416666666666664</v>
      </c>
      <c r="X508" s="494" t="s">
        <v>621</v>
      </c>
      <c r="Y508" s="495" t="s">
        <v>621</v>
      </c>
      <c r="Z508" s="496"/>
      <c r="AA508" s="497"/>
      <c r="AB508" s="498" t="e">
        <f t="shared" si="122"/>
        <v>#VALUE!</v>
      </c>
      <c r="AC508" s="484" t="str">
        <f t="shared" si="120"/>
        <v/>
      </c>
      <c r="AD508" s="495" t="str">
        <f t="shared" si="121"/>
        <v/>
      </c>
      <c r="AE508" s="499" t="s">
        <v>621</v>
      </c>
      <c r="AF508" s="500" t="s">
        <v>621</v>
      </c>
      <c r="AG508" s="556" t="s">
        <v>621</v>
      </c>
      <c r="AH508" s="503" t="str">
        <f>IF($G508="","",IF(AND($G508&gt;=30,$AT$3&lt;=AG$7),ROUND(AG508*($AP$3+#REF!),-1),""))</f>
        <v/>
      </c>
      <c r="AI508" s="506" t="s">
        <v>621</v>
      </c>
      <c r="AJ508" s="503" t="str">
        <f>IF($G508="","",IF(AND($G508&gt;=30,$AT$3&lt;=AI$7),ROUND(AI508*($AP$3+#REF!),-1),""))</f>
        <v/>
      </c>
      <c r="AK508" s="506" t="s">
        <v>621</v>
      </c>
      <c r="AL508" s="503" t="str">
        <f>IF($G508="","",IF(AND($G508&gt;=30,$AT$3&lt;=AK$7),ROUND(AK508*($AP$3+#REF!),-1),""))</f>
        <v/>
      </c>
      <c r="AM508" s="506" t="s">
        <v>621</v>
      </c>
      <c r="AN508" s="503" t="str">
        <f>IF($G508="","",IF(AND($G508&gt;=30,$AT$3&lt;=AM$7),ROUND(AM508*($AP$3+#REF!),-1),""))</f>
        <v/>
      </c>
      <c r="AO508" s="503" t="e">
        <v>#REF!</v>
      </c>
      <c r="AP508" s="503" t="str">
        <f>IF($G508="","",IF(AND($G508&gt;=30,$AT$3&lt;=AO$7),ROUND(AO508*($AP$3+#REF!),-1),""))</f>
        <v/>
      </c>
      <c r="AQ508" s="503" t="s">
        <v>621</v>
      </c>
      <c r="AR508" s="503" t="str">
        <f>IF($G508="","",IF(AND($G508&gt;=30,$AT$3&lt;=AQ$7),ROUND(AQ508*($AP$3+#REF!),-1),""))</f>
        <v/>
      </c>
      <c r="AS508" s="503" t="s">
        <v>621</v>
      </c>
      <c r="AT508" s="503" t="str">
        <f>IF($G508="","",IF(AND($G508&gt;=30,$AT$3&lt;=AS$7),ROUND(AS508*($AP$3+#REF!),-1),""))</f>
        <v/>
      </c>
      <c r="AU508" s="503" t="s">
        <v>621</v>
      </c>
      <c r="AV508" s="503" t="str">
        <f>IF($G508="","",IF(AND($G508&gt;=30,$AT$3&lt;=AU$7),ROUND(AU508*($AP$3+#REF!),-1),""))</f>
        <v/>
      </c>
      <c r="AW508" s="503" t="s">
        <v>621</v>
      </c>
      <c r="AX508" s="503" t="str">
        <f>IF($G508="","",IF(AND($G508&gt;=30,$AT$3&lt;=AW$7),ROUND(AW508*($AP$3+#REF!),-1),""))</f>
        <v/>
      </c>
      <c r="AY508" s="503" t="s">
        <v>621</v>
      </c>
      <c r="AZ508" s="503" t="str">
        <f>IF($G508="","",IF(AND($G508&gt;=30,$AT$3&lt;=AY$7),ROUND(AY508*($AP$3+#REF!),-1),""))</f>
        <v/>
      </c>
      <c r="BA508" s="503" t="s">
        <v>621</v>
      </c>
      <c r="BB508" s="503" t="str">
        <f>IF($G508="","",IF(AND($G508&gt;=30,$AT$3&lt;=BA$7),ROUND(BA508*($AP$3+#REF!),-1),""))</f>
        <v/>
      </c>
      <c r="BC508" s="503" t="s">
        <v>621</v>
      </c>
      <c r="BD508" s="503" t="str">
        <f>IF($G508="","",IF(AND($G508&gt;=30,$AT$3&lt;=BC$7),ROUND(BC508*($AP$3+#REF!),-1),""))</f>
        <v/>
      </c>
      <c r="BE508" s="503" t="s">
        <v>621</v>
      </c>
      <c r="BF508" s="503" t="str">
        <f>IF($G508="","",IF(AND($G508&gt;=30,$AT$3&lt;=BE$7),ROUND(BE508*($AP$3+#REF!),-1),""))</f>
        <v/>
      </c>
      <c r="BG508" s="503" t="s">
        <v>621</v>
      </c>
      <c r="BH508" s="503" t="str">
        <f>IF($G508="","",IF(AND($G508&gt;=30,$AT$3&lt;=BG$7),ROUND(BG508*($AP$3+#REF!),-1),""))</f>
        <v/>
      </c>
      <c r="BI508" s="503" t="s">
        <v>621</v>
      </c>
      <c r="BJ508" s="503" t="str">
        <f>IF($G508="","",IF(AND($G508&gt;=30,$AT$3&lt;=BI$7),ROUND(BI508*($AP$3+#REF!),-1),""))</f>
        <v/>
      </c>
      <c r="BK508" s="503" t="s">
        <v>621</v>
      </c>
      <c r="BL508" s="503" t="str">
        <f>IF($G508="","",IF(AND($G508&gt;=30,$AT$3&lt;=BK$7),ROUND(BK508*($AP$3+#REF!),-1),""))</f>
        <v/>
      </c>
      <c r="BM508" s="503" t="s">
        <v>621</v>
      </c>
      <c r="BN508" s="503" t="str">
        <f>IF($G508="","",IF(AND($G508&gt;=30,$AT$3&lt;=BM$7),ROUND(BM508*($AP$3+#REF!),-1),""))</f>
        <v/>
      </c>
      <c r="BO508" s="503" t="s">
        <v>621</v>
      </c>
      <c r="BP508" s="503" t="str">
        <f>IF($G508="","",IF(AND($G508&gt;=30,$AT$3&lt;=BO$7),ROUND(BO508*($AP$3+#REF!),-1),""))</f>
        <v/>
      </c>
      <c r="BQ508" s="503" t="s">
        <v>621</v>
      </c>
      <c r="BR508" s="503" t="str">
        <f>IF($G508="","",IF(AND($G508&gt;=30,$AT$3&lt;=BQ$7),ROUND(BQ508*($AP$3+#REF!),-1),""))</f>
        <v/>
      </c>
      <c r="BS508" s="503" t="s">
        <v>621</v>
      </c>
      <c r="BT508" s="503" t="str">
        <f>IF($G508="","",IF(AND($G508&gt;=30,$AT$3&lt;=BS$7),ROUND(BS508*($AP$3+#REF!),-1),""))</f>
        <v/>
      </c>
      <c r="BU508" s="503" t="s">
        <v>621</v>
      </c>
      <c r="BV508" s="503" t="str">
        <f>IF($G508="","",IF(AND($G508&gt;=30,$AT$3&lt;=BU$7),ROUND(BU508*($AP$3+#REF!),-1),""))</f>
        <v/>
      </c>
      <c r="BW508" s="503" t="s">
        <v>621</v>
      </c>
      <c r="BX508" s="503" t="str">
        <f>IF($G508="","",IF(AND($G508&gt;=30,$AT$3&lt;=BW$7),ROUND(BW508*($AP$3+#REF!),-1),""))</f>
        <v/>
      </c>
      <c r="BY508" s="503" t="s">
        <v>621</v>
      </c>
      <c r="BZ508" s="503" t="str">
        <f>IF($G508="","",IF(AND($G508&gt;=30,$AT$3&lt;=BY$7),ROUND(BY508*($AP$3+#REF!),-1),""))</f>
        <v/>
      </c>
      <c r="CA508" s="503" t="s">
        <v>621</v>
      </c>
      <c r="CB508" s="503" t="str">
        <f>IF($G508="","",IF(AND($G508&gt;=30,$AT$3&lt;=CA$7),ROUND(CA508*($AP$3+#REF!),-1),""))</f>
        <v/>
      </c>
      <c r="CC508" s="503" t="s">
        <v>621</v>
      </c>
      <c r="CD508" s="503" t="str">
        <f>IF($G508="","",IF(AND($G508&gt;=30,$AT$3&lt;=CC$7),ROUND(CC508*($AP$3+#REF!),-1),""))</f>
        <v/>
      </c>
      <c r="CE508" s="503" t="s">
        <v>621</v>
      </c>
      <c r="CF508" s="503" t="str">
        <f>IF($G508="","",IF(AND($G508&gt;=30,$AT$3&lt;=CE$7),ROUND(CE508*($AP$3+#REF!),-1),""))</f>
        <v/>
      </c>
      <c r="CG508" s="503" t="s">
        <v>621</v>
      </c>
      <c r="CH508" s="503" t="str">
        <f>IF($G508="","",IF(AND($G508&gt;=30,$AT$3&lt;=CG$7),ROUND(CG508*($AP$3+#REF!),-1),""))</f>
        <v/>
      </c>
      <c r="CI508" s="503" t="s">
        <v>621</v>
      </c>
      <c r="CJ508" s="503" t="str">
        <f>IF($G508="","",IF(AND($G508&gt;=30,$AT$3&lt;=CI$7),ROUND(CI508*($AP$3+#REF!),-1),""))</f>
        <v/>
      </c>
      <c r="CK508" s="503" t="s">
        <v>621</v>
      </c>
      <c r="CL508" s="503" t="str">
        <f>IF($G508="","",IF(AND($G508&gt;=30,$AT$3&lt;=CK$7),ROUND(CK508*($AP$3+#REF!),-1),""))</f>
        <v/>
      </c>
      <c r="CM508" s="503" t="s">
        <v>621</v>
      </c>
      <c r="CN508" s="503" t="str">
        <f>IF($G508="","",IF(AND($G508&gt;=30,$AT$3&lt;=CM$7),ROUND(CM508*($AP$3+#REF!),-1),""))</f>
        <v/>
      </c>
      <c r="CO508" s="503" t="s">
        <v>621</v>
      </c>
      <c r="CP508" s="503" t="str">
        <f>IF($G508="","",IF(AND($G508&gt;=30,$AT$3&lt;=CO$7),ROUND(CO508*($AP$3+#REF!),-1),""))</f>
        <v/>
      </c>
      <c r="CQ508" s="503" t="s">
        <v>621</v>
      </c>
      <c r="CR508" s="503" t="str">
        <f>IF($G508="","",IF(AND($G508&gt;=30,$AT$3&lt;=CQ$7),ROUND(CQ508*($AP$3+#REF!),-1),""))</f>
        <v/>
      </c>
      <c r="CS508" s="503" t="s">
        <v>621</v>
      </c>
      <c r="CT508" s="503" t="str">
        <f>IF($G508="","",IF(AND($G508&gt;=30,$AT$3&lt;=CS$7),ROUND(CS508*($AP$3+#REF!),-1),""))</f>
        <v/>
      </c>
      <c r="CU508" s="503" t="s">
        <v>621</v>
      </c>
      <c r="CV508" s="503" t="str">
        <f>IF($G508="","",IF(AND($G508&gt;=30,$AT$3&lt;=CU$7),ROUND(CU508*($AP$3+#REF!),-1),""))</f>
        <v/>
      </c>
      <c r="CW508" s="503" t="s">
        <v>621</v>
      </c>
      <c r="CX508" s="503" t="str">
        <f>IF($G508="","",IF(AND($G508&gt;=30,$AT$3&lt;=CW$7),ROUND(CW508*($AP$3+#REF!),-1),""))</f>
        <v/>
      </c>
      <c r="CY508" s="503" t="s">
        <v>621</v>
      </c>
      <c r="CZ508" s="503" t="str">
        <f>IF($G508="","",IF(AND($G508&gt;=30,$AT$3&lt;=CY$7),ROUND(CY508*($AP$3+#REF!),-1),""))</f>
        <v/>
      </c>
      <c r="DA508" s="503" t="s">
        <v>621</v>
      </c>
      <c r="DB508" s="503" t="str">
        <f>IF($G508="","",IF(AND($G508&gt;=30,$AT$3&lt;=DA$7),ROUND(DA508*($AP$3+#REF!),-1),""))</f>
        <v/>
      </c>
      <c r="DC508" s="503" t="s">
        <v>621</v>
      </c>
      <c r="DD508" s="503" t="str">
        <f>IF($G508="","",IF(AND($G508&gt;=30,$AT$3&lt;=DC$7),ROUND(DC508*($AP$3+#REF!),-1),""))</f>
        <v/>
      </c>
      <c r="DE508" s="503" t="s">
        <v>621</v>
      </c>
      <c r="DF508" s="503" t="str">
        <f>IF($G508="","",IF(AND($G508&gt;=30,$AT$3&lt;=DE$7),ROUND(DE508*($AP$3+#REF!),-1),""))</f>
        <v/>
      </c>
      <c r="DG508" s="503" t="s">
        <v>621</v>
      </c>
      <c r="DH508" s="503" t="str">
        <f>IF($G508="","",IF(AND($G508&gt;=30,$AT$3&lt;=DG$7),ROUND(DG508*($AP$3+#REF!),-1),""))</f>
        <v/>
      </c>
      <c r="DI508" s="503" t="s">
        <v>621</v>
      </c>
      <c r="DJ508" s="503" t="str">
        <f>IF($G508="","",IF(AND($G508&gt;=30,$AT$3&lt;=DI$7),ROUND(DI508*($AP$3+#REF!),-1),""))</f>
        <v/>
      </c>
      <c r="DK508" s="517" t="e">
        <v>#REF!</v>
      </c>
      <c r="DL508" s="503" t="str">
        <f>IF($G508="","",IF(AND($G508&gt;=30,$AT$3&lt;=DK$7),ROUND(DK508*($AP$3+#REF!),-1),""))</f>
        <v/>
      </c>
      <c r="DM508" s="503"/>
      <c r="DN508" s="503" t="str">
        <f>IF($G508="","",IF(AND($G508&gt;=30,$AT$3&lt;=DM$7),ROUND(DM508*($AP$3+#REF!),-1),""))</f>
        <v/>
      </c>
      <c r="DO508" s="503"/>
      <c r="DP508" s="503" t="str">
        <f>IF($G508="","",IF(AND($G508&gt;=30,$AT$3&lt;=DO$7),ROUND(DO508*($AP$3+#REF!),-1),""))</f>
        <v/>
      </c>
      <c r="DQ508" s="503"/>
      <c r="DR508" s="503" t="str">
        <f>IF($G508="","",IF(AND($G508&gt;=30,$AT$3&lt;=DQ$7),ROUND(DQ508*($AP$3+#REF!),-1),""))</f>
        <v/>
      </c>
      <c r="DS508" s="503"/>
      <c r="DT508" s="503" t="str">
        <f>IF($G508="","",IF(AND($G508&gt;=30,$AT$3&lt;=DS$7),ROUND(DS508*($AP$3+#REF!),-1),""))</f>
        <v/>
      </c>
      <c r="DU508" s="503"/>
      <c r="DV508" s="503" t="str">
        <f>IF($G508="","",IF(AND($G508&gt;=30,$AT$3&lt;=DU$7),ROUND(DU508*($AP$3+#REF!),-1),""))</f>
        <v/>
      </c>
      <c r="DW508" s="503"/>
      <c r="DX508" s="503" t="str">
        <f>IF($G508="","",IF(AND($G508&gt;=30,$AT$3&lt;=DW$7),ROUND(DW508*($AP$3+#REF!),-1),""))</f>
        <v/>
      </c>
      <c r="DY508" s="503"/>
      <c r="DZ508" s="503" t="str">
        <f>IF($G508="","",IF(AND($G508&gt;=30,$AT$3&lt;=DY$7),ROUND(DY508*($AP$3+#REF!),-1),""))</f>
        <v/>
      </c>
      <c r="EA508" s="503"/>
      <c r="EB508" s="503" t="str">
        <f>IF($G508="","",IF(AND($G508&gt;=30,$AT$3&lt;=EA$7),ROUND(EA508*($AP$3+#REF!),-1),""))</f>
        <v/>
      </c>
      <c r="EC508" s="436"/>
      <c r="ED508" s="436"/>
      <c r="EE508" s="394"/>
    </row>
    <row r="509" spans="1:135" ht="9.75" customHeight="1">
      <c r="A509" s="321" t="str">
        <f t="shared" si="124"/>
        <v/>
      </c>
      <c r="B509" s="567">
        <f>(ii!$D$13*12+V509)+1</f>
        <v>403</v>
      </c>
      <c r="C509" s="337">
        <f t="shared" si="114"/>
        <v>57618</v>
      </c>
      <c r="D509" s="484">
        <f t="shared" si="117"/>
        <v>2057</v>
      </c>
      <c r="E509" s="484">
        <f t="shared" si="115"/>
        <v>0.75</v>
      </c>
      <c r="F509" s="484">
        <f t="shared" si="118"/>
        <v>2057.75</v>
      </c>
      <c r="G509" s="485" t="str">
        <f>IF(OR(C509&lt;$I$2,C509&gt;$J$3),"",(ii!$D$13*12+V509+1)/12)</f>
        <v/>
      </c>
      <c r="H509" s="486"/>
      <c r="I509" s="486"/>
      <c r="J509" s="487"/>
      <c r="K509" s="488"/>
      <c r="L509" s="548"/>
      <c r="M509" s="489" t="str">
        <f t="shared" si="119"/>
        <v/>
      </c>
      <c r="N509" s="490" t="s">
        <v>621</v>
      </c>
      <c r="O509" s="490" t="str">
        <f t="shared" si="112"/>
        <v/>
      </c>
      <c r="P509" s="491"/>
      <c r="Q509" s="491"/>
      <c r="R509" s="491" t="str">
        <f t="shared" si="113"/>
        <v/>
      </c>
      <c r="S509" s="528" t="str">
        <f t="shared" si="111"/>
        <v/>
      </c>
      <c r="T509" s="528" t="str">
        <f t="shared" si="123"/>
        <v/>
      </c>
      <c r="U509" s="493" t="str">
        <f>IF(H509="","",#REF!*12+#REF!+#REF!*12+#REF!)</f>
        <v/>
      </c>
      <c r="V509" s="338">
        <f>IF(ii!$J$3&gt;gg!C509,"",IF(AND((YEAR(C509)=YEAR($I$2)),MONTH(C509)=MONTH($I$2)),ii!$B$14*12+ii!$C$14+ii!$B$15*12+ii!$C$15-1,V508+1))</f>
        <v>402</v>
      </c>
      <c r="W509" s="339">
        <f t="shared" si="116"/>
        <v>33.5</v>
      </c>
      <c r="X509" s="494" t="s">
        <v>621</v>
      </c>
      <c r="Y509" s="495" t="s">
        <v>621</v>
      </c>
      <c r="Z509" s="496"/>
      <c r="AA509" s="497"/>
      <c r="AB509" s="498" t="e">
        <f t="shared" si="122"/>
        <v>#VALUE!</v>
      </c>
      <c r="AC509" s="484" t="str">
        <f t="shared" si="120"/>
        <v/>
      </c>
      <c r="AD509" s="495" t="str">
        <f t="shared" si="121"/>
        <v/>
      </c>
      <c r="AE509" s="499" t="s">
        <v>621</v>
      </c>
      <c r="AF509" s="500" t="s">
        <v>621</v>
      </c>
      <c r="AG509" s="556" t="s">
        <v>621</v>
      </c>
      <c r="AH509" s="503" t="str">
        <f>IF($G509="","",IF(AND($G509&gt;=30,$AT$3&lt;=AG$7),ROUND(AG509*($AP$3+#REF!),-1),""))</f>
        <v/>
      </c>
      <c r="AI509" s="506" t="s">
        <v>621</v>
      </c>
      <c r="AJ509" s="503" t="str">
        <f>IF($G509="","",IF(AND($G509&gt;=30,$AT$3&lt;=AI$7),ROUND(AI509*($AP$3+#REF!),-1),""))</f>
        <v/>
      </c>
      <c r="AK509" s="506" t="s">
        <v>621</v>
      </c>
      <c r="AL509" s="503" t="str">
        <f>IF($G509="","",IF(AND($G509&gt;=30,$AT$3&lt;=AK$7),ROUND(AK509*($AP$3+#REF!),-1),""))</f>
        <v/>
      </c>
      <c r="AM509" s="506" t="s">
        <v>621</v>
      </c>
      <c r="AN509" s="503" t="str">
        <f>IF($G509="","",IF(AND($G509&gt;=30,$AT$3&lt;=AM$7),ROUND(AM509*($AP$3+#REF!),-1),""))</f>
        <v/>
      </c>
      <c r="AO509" s="503" t="e">
        <v>#REF!</v>
      </c>
      <c r="AP509" s="503" t="str">
        <f>IF($G509="","",IF(AND($G509&gt;=30,$AT$3&lt;=AO$7),ROUND(AO509*($AP$3+#REF!),-1),""))</f>
        <v/>
      </c>
      <c r="AQ509" s="503" t="s">
        <v>621</v>
      </c>
      <c r="AR509" s="503" t="str">
        <f>IF($G509="","",IF(AND($G509&gt;=30,$AT$3&lt;=AQ$7),ROUND(AQ509*($AP$3+#REF!),-1),""))</f>
        <v/>
      </c>
      <c r="AS509" s="503" t="s">
        <v>621</v>
      </c>
      <c r="AT509" s="503" t="str">
        <f>IF($G509="","",IF(AND($G509&gt;=30,$AT$3&lt;=AS$7),ROUND(AS509*($AP$3+#REF!),-1),""))</f>
        <v/>
      </c>
      <c r="AU509" s="503" t="s">
        <v>621</v>
      </c>
      <c r="AV509" s="503" t="str">
        <f>IF($G509="","",IF(AND($G509&gt;=30,$AT$3&lt;=AU$7),ROUND(AU509*($AP$3+#REF!),-1),""))</f>
        <v/>
      </c>
      <c r="AW509" s="503" t="s">
        <v>621</v>
      </c>
      <c r="AX509" s="503" t="str">
        <f>IF($G509="","",IF(AND($G509&gt;=30,$AT$3&lt;=AW$7),ROUND(AW509*($AP$3+#REF!),-1),""))</f>
        <v/>
      </c>
      <c r="AY509" s="503" t="s">
        <v>621</v>
      </c>
      <c r="AZ509" s="503" t="str">
        <f>IF($G509="","",IF(AND($G509&gt;=30,$AT$3&lt;=AY$7),ROUND(AY509*($AP$3+#REF!),-1),""))</f>
        <v/>
      </c>
      <c r="BA509" s="503" t="s">
        <v>621</v>
      </c>
      <c r="BB509" s="503" t="str">
        <f>IF($G509="","",IF(AND($G509&gt;=30,$AT$3&lt;=BA$7),ROUND(BA509*($AP$3+#REF!),-1),""))</f>
        <v/>
      </c>
      <c r="BC509" s="503" t="s">
        <v>621</v>
      </c>
      <c r="BD509" s="503" t="str">
        <f>IF($G509="","",IF(AND($G509&gt;=30,$AT$3&lt;=BC$7),ROUND(BC509*($AP$3+#REF!),-1),""))</f>
        <v/>
      </c>
      <c r="BE509" s="503" t="s">
        <v>621</v>
      </c>
      <c r="BF509" s="503" t="str">
        <f>IF($G509="","",IF(AND($G509&gt;=30,$AT$3&lt;=BE$7),ROUND(BE509*($AP$3+#REF!),-1),""))</f>
        <v/>
      </c>
      <c r="BG509" s="503" t="s">
        <v>621</v>
      </c>
      <c r="BH509" s="503" t="str">
        <f>IF($G509="","",IF(AND($G509&gt;=30,$AT$3&lt;=BG$7),ROUND(BG509*($AP$3+#REF!),-1),""))</f>
        <v/>
      </c>
      <c r="BI509" s="503" t="s">
        <v>621</v>
      </c>
      <c r="BJ509" s="503" t="str">
        <f>IF($G509="","",IF(AND($G509&gt;=30,$AT$3&lt;=BI$7),ROUND(BI509*($AP$3+#REF!),-1),""))</f>
        <v/>
      </c>
      <c r="BK509" s="503" t="s">
        <v>621</v>
      </c>
      <c r="BL509" s="503" t="str">
        <f>IF($G509="","",IF(AND($G509&gt;=30,$AT$3&lt;=BK$7),ROUND(BK509*($AP$3+#REF!),-1),""))</f>
        <v/>
      </c>
      <c r="BM509" s="503" t="s">
        <v>621</v>
      </c>
      <c r="BN509" s="503" t="str">
        <f>IF($G509="","",IF(AND($G509&gt;=30,$AT$3&lt;=BM$7),ROUND(BM509*($AP$3+#REF!),-1),""))</f>
        <v/>
      </c>
      <c r="BO509" s="503" t="s">
        <v>621</v>
      </c>
      <c r="BP509" s="503" t="str">
        <f>IF($G509="","",IF(AND($G509&gt;=30,$AT$3&lt;=BO$7),ROUND(BO509*($AP$3+#REF!),-1),""))</f>
        <v/>
      </c>
      <c r="BQ509" s="503" t="s">
        <v>621</v>
      </c>
      <c r="BR509" s="503" t="str">
        <f>IF($G509="","",IF(AND($G509&gt;=30,$AT$3&lt;=BQ$7),ROUND(BQ509*($AP$3+#REF!),-1),""))</f>
        <v/>
      </c>
      <c r="BS509" s="503" t="s">
        <v>621</v>
      </c>
      <c r="BT509" s="503" t="str">
        <f>IF($G509="","",IF(AND($G509&gt;=30,$AT$3&lt;=BS$7),ROUND(BS509*($AP$3+#REF!),-1),""))</f>
        <v/>
      </c>
      <c r="BU509" s="503" t="s">
        <v>621</v>
      </c>
      <c r="BV509" s="503" t="str">
        <f>IF($G509="","",IF(AND($G509&gt;=30,$AT$3&lt;=BU$7),ROUND(BU509*($AP$3+#REF!),-1),""))</f>
        <v/>
      </c>
      <c r="BW509" s="503" t="s">
        <v>621</v>
      </c>
      <c r="BX509" s="503" t="str">
        <f>IF($G509="","",IF(AND($G509&gt;=30,$AT$3&lt;=BW$7),ROUND(BW509*($AP$3+#REF!),-1),""))</f>
        <v/>
      </c>
      <c r="BY509" s="503" t="s">
        <v>621</v>
      </c>
      <c r="BZ509" s="503" t="str">
        <f>IF($G509="","",IF(AND($G509&gt;=30,$AT$3&lt;=BY$7),ROUND(BY509*($AP$3+#REF!),-1),""))</f>
        <v/>
      </c>
      <c r="CA509" s="503" t="s">
        <v>621</v>
      </c>
      <c r="CB509" s="503" t="str">
        <f>IF($G509="","",IF(AND($G509&gt;=30,$AT$3&lt;=CA$7),ROUND(CA509*($AP$3+#REF!),-1),""))</f>
        <v/>
      </c>
      <c r="CC509" s="503" t="s">
        <v>621</v>
      </c>
      <c r="CD509" s="503" t="str">
        <f>IF($G509="","",IF(AND($G509&gt;=30,$AT$3&lt;=CC$7),ROUND(CC509*($AP$3+#REF!),-1),""))</f>
        <v/>
      </c>
      <c r="CE509" s="503" t="s">
        <v>621</v>
      </c>
      <c r="CF509" s="503" t="str">
        <f>IF($G509="","",IF(AND($G509&gt;=30,$AT$3&lt;=CE$7),ROUND(CE509*($AP$3+#REF!),-1),""))</f>
        <v/>
      </c>
      <c r="CG509" s="503" t="s">
        <v>621</v>
      </c>
      <c r="CH509" s="503" t="str">
        <f>IF($G509="","",IF(AND($G509&gt;=30,$AT$3&lt;=CG$7),ROUND(CG509*($AP$3+#REF!),-1),""))</f>
        <v/>
      </c>
      <c r="CI509" s="503" t="s">
        <v>621</v>
      </c>
      <c r="CJ509" s="503" t="str">
        <f>IF($G509="","",IF(AND($G509&gt;=30,$AT$3&lt;=CI$7),ROUND(CI509*($AP$3+#REF!),-1),""))</f>
        <v/>
      </c>
      <c r="CK509" s="503" t="s">
        <v>621</v>
      </c>
      <c r="CL509" s="503" t="str">
        <f>IF($G509="","",IF(AND($G509&gt;=30,$AT$3&lt;=CK$7),ROUND(CK509*($AP$3+#REF!),-1),""))</f>
        <v/>
      </c>
      <c r="CM509" s="503" t="s">
        <v>621</v>
      </c>
      <c r="CN509" s="503" t="str">
        <f>IF($G509="","",IF(AND($G509&gt;=30,$AT$3&lt;=CM$7),ROUND(CM509*($AP$3+#REF!),-1),""))</f>
        <v/>
      </c>
      <c r="CO509" s="503" t="s">
        <v>621</v>
      </c>
      <c r="CP509" s="503" t="str">
        <f>IF($G509="","",IF(AND($G509&gt;=30,$AT$3&lt;=CO$7),ROUND(CO509*($AP$3+#REF!),-1),""))</f>
        <v/>
      </c>
      <c r="CQ509" s="503" t="s">
        <v>621</v>
      </c>
      <c r="CR509" s="503" t="str">
        <f>IF($G509="","",IF(AND($G509&gt;=30,$AT$3&lt;=CQ$7),ROUND(CQ509*($AP$3+#REF!),-1),""))</f>
        <v/>
      </c>
      <c r="CS509" s="503" t="s">
        <v>621</v>
      </c>
      <c r="CT509" s="503" t="str">
        <f>IF($G509="","",IF(AND($G509&gt;=30,$AT$3&lt;=CS$7),ROUND(CS509*($AP$3+#REF!),-1),""))</f>
        <v/>
      </c>
      <c r="CU509" s="503" t="s">
        <v>621</v>
      </c>
      <c r="CV509" s="503" t="str">
        <f>IF($G509="","",IF(AND($G509&gt;=30,$AT$3&lt;=CU$7),ROUND(CU509*($AP$3+#REF!),-1),""))</f>
        <v/>
      </c>
      <c r="CW509" s="503" t="s">
        <v>621</v>
      </c>
      <c r="CX509" s="503" t="str">
        <f>IF($G509="","",IF(AND($G509&gt;=30,$AT$3&lt;=CW$7),ROUND(CW509*($AP$3+#REF!),-1),""))</f>
        <v/>
      </c>
      <c r="CY509" s="503" t="s">
        <v>621</v>
      </c>
      <c r="CZ509" s="503" t="str">
        <f>IF($G509="","",IF(AND($G509&gt;=30,$AT$3&lt;=CY$7),ROUND(CY509*($AP$3+#REF!),-1),""))</f>
        <v/>
      </c>
      <c r="DA509" s="503" t="s">
        <v>621</v>
      </c>
      <c r="DB509" s="503" t="str">
        <f>IF($G509="","",IF(AND($G509&gt;=30,$AT$3&lt;=DA$7),ROUND(DA509*($AP$3+#REF!),-1),""))</f>
        <v/>
      </c>
      <c r="DC509" s="503" t="s">
        <v>621</v>
      </c>
      <c r="DD509" s="503" t="str">
        <f>IF($G509="","",IF(AND($G509&gt;=30,$AT$3&lt;=DC$7),ROUND(DC509*($AP$3+#REF!),-1),""))</f>
        <v/>
      </c>
      <c r="DE509" s="503" t="s">
        <v>621</v>
      </c>
      <c r="DF509" s="503" t="str">
        <f>IF($G509="","",IF(AND($G509&gt;=30,$AT$3&lt;=DE$7),ROUND(DE509*($AP$3+#REF!),-1),""))</f>
        <v/>
      </c>
      <c r="DG509" s="503" t="s">
        <v>621</v>
      </c>
      <c r="DH509" s="503" t="str">
        <f>IF($G509="","",IF(AND($G509&gt;=30,$AT$3&lt;=DG$7),ROUND(DG509*($AP$3+#REF!),-1),""))</f>
        <v/>
      </c>
      <c r="DI509" s="503" t="s">
        <v>621</v>
      </c>
      <c r="DJ509" s="503" t="str">
        <f>IF($G509="","",IF(AND($G509&gt;=30,$AT$3&lt;=DI$7),ROUND(DI509*($AP$3+#REF!),-1),""))</f>
        <v/>
      </c>
      <c r="DK509" s="517" t="e">
        <v>#REF!</v>
      </c>
      <c r="DL509" s="503" t="str">
        <f>IF($G509="","",IF(AND($G509&gt;=30,$AT$3&lt;=DK$7),ROUND(DK509*($AP$3+#REF!),-1),""))</f>
        <v/>
      </c>
      <c r="DM509" s="503"/>
      <c r="DN509" s="503" t="str">
        <f>IF($G509="","",IF(AND($G509&gt;=30,$AT$3&lt;=DM$7),ROUND(DM509*($AP$3+#REF!),-1),""))</f>
        <v/>
      </c>
      <c r="DO509" s="503"/>
      <c r="DP509" s="503" t="str">
        <f>IF($G509="","",IF(AND($G509&gt;=30,$AT$3&lt;=DO$7),ROUND(DO509*($AP$3+#REF!),-1),""))</f>
        <v/>
      </c>
      <c r="DQ509" s="503"/>
      <c r="DR509" s="503" t="str">
        <f>IF($G509="","",IF(AND($G509&gt;=30,$AT$3&lt;=DQ$7),ROUND(DQ509*($AP$3+#REF!),-1),""))</f>
        <v/>
      </c>
      <c r="DS509" s="503"/>
      <c r="DT509" s="503" t="str">
        <f>IF($G509="","",IF(AND($G509&gt;=30,$AT$3&lt;=DS$7),ROUND(DS509*($AP$3+#REF!),-1),""))</f>
        <v/>
      </c>
      <c r="DU509" s="503"/>
      <c r="DV509" s="503" t="str">
        <f>IF($G509="","",IF(AND($G509&gt;=30,$AT$3&lt;=DU$7),ROUND(DU509*($AP$3+#REF!),-1),""))</f>
        <v/>
      </c>
      <c r="DW509" s="503"/>
      <c r="DX509" s="503" t="str">
        <f>IF($G509="","",IF(AND($G509&gt;=30,$AT$3&lt;=DW$7),ROUND(DW509*($AP$3+#REF!),-1),""))</f>
        <v/>
      </c>
      <c r="DY509" s="503"/>
      <c r="DZ509" s="503" t="str">
        <f>IF($G509="","",IF(AND($G509&gt;=30,$AT$3&lt;=DY$7),ROUND(DY509*($AP$3+#REF!),-1),""))</f>
        <v/>
      </c>
      <c r="EA509" s="503"/>
      <c r="EB509" s="503" t="str">
        <f>IF($G509="","",IF(AND($G509&gt;=30,$AT$3&lt;=EA$7),ROUND(EA509*($AP$3+#REF!),-1),""))</f>
        <v/>
      </c>
      <c r="EC509" s="436"/>
      <c r="ED509" s="436"/>
      <c r="EE509" s="394"/>
    </row>
    <row r="510" spans="1:135" ht="9.75" customHeight="1">
      <c r="A510" s="321" t="str">
        <f t="shared" si="124"/>
        <v/>
      </c>
      <c r="B510" s="567">
        <f>(ii!$D$13*12+V510)+1</f>
        <v>404</v>
      </c>
      <c r="C510" s="337">
        <f t="shared" si="114"/>
        <v>57649</v>
      </c>
      <c r="D510" s="484">
        <f t="shared" si="117"/>
        <v>2057</v>
      </c>
      <c r="E510" s="484">
        <f t="shared" si="115"/>
        <v>0.83333333333333337</v>
      </c>
      <c r="F510" s="484">
        <f t="shared" si="118"/>
        <v>2057.8333333333335</v>
      </c>
      <c r="G510" s="485" t="str">
        <f>IF(OR(C510&lt;$I$2,C510&gt;$J$3),"",(ii!$D$13*12+V510+1)/12)</f>
        <v/>
      </c>
      <c r="H510" s="486"/>
      <c r="I510" s="486"/>
      <c r="J510" s="487"/>
      <c r="K510" s="488"/>
      <c r="L510" s="548"/>
      <c r="M510" s="489" t="str">
        <f t="shared" si="119"/>
        <v/>
      </c>
      <c r="N510" s="490" t="s">
        <v>621</v>
      </c>
      <c r="O510" s="490" t="str">
        <f t="shared" si="112"/>
        <v/>
      </c>
      <c r="P510" s="491"/>
      <c r="Q510" s="491"/>
      <c r="R510" s="491" t="str">
        <f t="shared" si="113"/>
        <v/>
      </c>
      <c r="S510" s="528" t="str">
        <f t="shared" si="111"/>
        <v/>
      </c>
      <c r="T510" s="528" t="str">
        <f t="shared" si="123"/>
        <v/>
      </c>
      <c r="U510" s="493" t="str">
        <f>IF(H510="","",#REF!*12+#REF!+#REF!*12+#REF!)</f>
        <v/>
      </c>
      <c r="V510" s="338">
        <f>IF(ii!$J$3&gt;gg!C510,"",IF(AND((YEAR(C510)=YEAR($I$2)),MONTH(C510)=MONTH($I$2)),ii!$B$14*12+ii!$C$14+ii!$B$15*12+ii!$C$15-1,V509+1))</f>
        <v>403</v>
      </c>
      <c r="W510" s="339">
        <f t="shared" si="116"/>
        <v>33.583333333333336</v>
      </c>
      <c r="X510" s="494" t="s">
        <v>621</v>
      </c>
      <c r="Y510" s="495" t="s">
        <v>621</v>
      </c>
      <c r="Z510" s="496"/>
      <c r="AA510" s="497"/>
      <c r="AB510" s="498" t="e">
        <f t="shared" si="122"/>
        <v>#VALUE!</v>
      </c>
      <c r="AC510" s="484" t="str">
        <f t="shared" si="120"/>
        <v/>
      </c>
      <c r="AD510" s="495" t="str">
        <f t="shared" si="121"/>
        <v/>
      </c>
      <c r="AE510" s="499" t="s">
        <v>621</v>
      </c>
      <c r="AF510" s="500" t="s">
        <v>621</v>
      </c>
      <c r="AG510" s="556" t="s">
        <v>621</v>
      </c>
      <c r="AH510" s="503" t="str">
        <f>IF($G510="","",IF(AND($G510&gt;=30,$AT$3&lt;=AG$7),ROUND(AG510*($AP$3+#REF!),-1),""))</f>
        <v/>
      </c>
      <c r="AI510" s="506" t="s">
        <v>621</v>
      </c>
      <c r="AJ510" s="503" t="str">
        <f>IF($G510="","",IF(AND($G510&gt;=30,$AT$3&lt;=AI$7),ROUND(AI510*($AP$3+#REF!),-1),""))</f>
        <v/>
      </c>
      <c r="AK510" s="506" t="s">
        <v>621</v>
      </c>
      <c r="AL510" s="503" t="str">
        <f>IF($G510="","",IF(AND($G510&gt;=30,$AT$3&lt;=AK$7),ROUND(AK510*($AP$3+#REF!),-1),""))</f>
        <v/>
      </c>
      <c r="AM510" s="506" t="s">
        <v>621</v>
      </c>
      <c r="AN510" s="503" t="str">
        <f>IF($G510="","",IF(AND($G510&gt;=30,$AT$3&lt;=AM$7),ROUND(AM510*($AP$3+#REF!),-1),""))</f>
        <v/>
      </c>
      <c r="AO510" s="503" t="e">
        <v>#REF!</v>
      </c>
      <c r="AP510" s="503" t="str">
        <f>IF($G510="","",IF(AND($G510&gt;=30,$AT$3&lt;=AO$7),ROUND(AO510*($AP$3+#REF!),-1),""))</f>
        <v/>
      </c>
      <c r="AQ510" s="503" t="s">
        <v>621</v>
      </c>
      <c r="AR510" s="503" t="str">
        <f>IF($G510="","",IF(AND($G510&gt;=30,$AT$3&lt;=AQ$7),ROUND(AQ510*($AP$3+#REF!),-1),""))</f>
        <v/>
      </c>
      <c r="AS510" s="503" t="s">
        <v>621</v>
      </c>
      <c r="AT510" s="503" t="str">
        <f>IF($G510="","",IF(AND($G510&gt;=30,$AT$3&lt;=AS$7),ROUND(AS510*($AP$3+#REF!),-1),""))</f>
        <v/>
      </c>
      <c r="AU510" s="503" t="s">
        <v>621</v>
      </c>
      <c r="AV510" s="503" t="str">
        <f>IF($G510="","",IF(AND($G510&gt;=30,$AT$3&lt;=AU$7),ROUND(AU510*($AP$3+#REF!),-1),""))</f>
        <v/>
      </c>
      <c r="AW510" s="503" t="s">
        <v>621</v>
      </c>
      <c r="AX510" s="503" t="str">
        <f>IF($G510="","",IF(AND($G510&gt;=30,$AT$3&lt;=AW$7),ROUND(AW510*($AP$3+#REF!),-1),""))</f>
        <v/>
      </c>
      <c r="AY510" s="503" t="s">
        <v>621</v>
      </c>
      <c r="AZ510" s="503" t="str">
        <f>IF($G510="","",IF(AND($G510&gt;=30,$AT$3&lt;=AY$7),ROUND(AY510*($AP$3+#REF!),-1),""))</f>
        <v/>
      </c>
      <c r="BA510" s="503" t="s">
        <v>621</v>
      </c>
      <c r="BB510" s="503" t="str">
        <f>IF($G510="","",IF(AND($G510&gt;=30,$AT$3&lt;=BA$7),ROUND(BA510*($AP$3+#REF!),-1),""))</f>
        <v/>
      </c>
      <c r="BC510" s="503" t="s">
        <v>621</v>
      </c>
      <c r="BD510" s="503" t="str">
        <f>IF($G510="","",IF(AND($G510&gt;=30,$AT$3&lt;=BC$7),ROUND(BC510*($AP$3+#REF!),-1),""))</f>
        <v/>
      </c>
      <c r="BE510" s="503" t="s">
        <v>621</v>
      </c>
      <c r="BF510" s="503" t="str">
        <f>IF($G510="","",IF(AND($G510&gt;=30,$AT$3&lt;=BE$7),ROUND(BE510*($AP$3+#REF!),-1),""))</f>
        <v/>
      </c>
      <c r="BG510" s="503" t="s">
        <v>621</v>
      </c>
      <c r="BH510" s="503" t="str">
        <f>IF($G510="","",IF(AND($G510&gt;=30,$AT$3&lt;=BG$7),ROUND(BG510*($AP$3+#REF!),-1),""))</f>
        <v/>
      </c>
      <c r="BI510" s="503" t="s">
        <v>621</v>
      </c>
      <c r="BJ510" s="503" t="str">
        <f>IF($G510="","",IF(AND($G510&gt;=30,$AT$3&lt;=BI$7),ROUND(BI510*($AP$3+#REF!),-1),""))</f>
        <v/>
      </c>
      <c r="BK510" s="503" t="s">
        <v>621</v>
      </c>
      <c r="BL510" s="503" t="str">
        <f>IF($G510="","",IF(AND($G510&gt;=30,$AT$3&lt;=BK$7),ROUND(BK510*($AP$3+#REF!),-1),""))</f>
        <v/>
      </c>
      <c r="BM510" s="503" t="s">
        <v>621</v>
      </c>
      <c r="BN510" s="503" t="str">
        <f>IF($G510="","",IF(AND($G510&gt;=30,$AT$3&lt;=BM$7),ROUND(BM510*($AP$3+#REF!),-1),""))</f>
        <v/>
      </c>
      <c r="BO510" s="503" t="s">
        <v>621</v>
      </c>
      <c r="BP510" s="503" t="str">
        <f>IF($G510="","",IF(AND($G510&gt;=30,$AT$3&lt;=BO$7),ROUND(BO510*($AP$3+#REF!),-1),""))</f>
        <v/>
      </c>
      <c r="BQ510" s="503" t="s">
        <v>621</v>
      </c>
      <c r="BR510" s="503" t="str">
        <f>IF($G510="","",IF(AND($G510&gt;=30,$AT$3&lt;=BQ$7),ROUND(BQ510*($AP$3+#REF!),-1),""))</f>
        <v/>
      </c>
      <c r="BS510" s="503" t="s">
        <v>621</v>
      </c>
      <c r="BT510" s="503" t="str">
        <f>IF($G510="","",IF(AND($G510&gt;=30,$AT$3&lt;=BS$7),ROUND(BS510*($AP$3+#REF!),-1),""))</f>
        <v/>
      </c>
      <c r="BU510" s="503" t="s">
        <v>621</v>
      </c>
      <c r="BV510" s="503" t="str">
        <f>IF($G510="","",IF(AND($G510&gt;=30,$AT$3&lt;=BU$7),ROUND(BU510*($AP$3+#REF!),-1),""))</f>
        <v/>
      </c>
      <c r="BW510" s="503" t="s">
        <v>621</v>
      </c>
      <c r="BX510" s="503" t="str">
        <f>IF($G510="","",IF(AND($G510&gt;=30,$AT$3&lt;=BW$7),ROUND(BW510*($AP$3+#REF!),-1),""))</f>
        <v/>
      </c>
      <c r="BY510" s="503" t="s">
        <v>621</v>
      </c>
      <c r="BZ510" s="503" t="str">
        <f>IF($G510="","",IF(AND($G510&gt;=30,$AT$3&lt;=BY$7),ROUND(BY510*($AP$3+#REF!),-1),""))</f>
        <v/>
      </c>
      <c r="CA510" s="503" t="s">
        <v>621</v>
      </c>
      <c r="CB510" s="503" t="str">
        <f>IF($G510="","",IF(AND($G510&gt;=30,$AT$3&lt;=CA$7),ROUND(CA510*($AP$3+#REF!),-1),""))</f>
        <v/>
      </c>
      <c r="CC510" s="503" t="s">
        <v>621</v>
      </c>
      <c r="CD510" s="503" t="str">
        <f>IF($G510="","",IF(AND($G510&gt;=30,$AT$3&lt;=CC$7),ROUND(CC510*($AP$3+#REF!),-1),""))</f>
        <v/>
      </c>
      <c r="CE510" s="503" t="s">
        <v>621</v>
      </c>
      <c r="CF510" s="503" t="str">
        <f>IF($G510="","",IF(AND($G510&gt;=30,$AT$3&lt;=CE$7),ROUND(CE510*($AP$3+#REF!),-1),""))</f>
        <v/>
      </c>
      <c r="CG510" s="503" t="s">
        <v>621</v>
      </c>
      <c r="CH510" s="503" t="str">
        <f>IF($G510="","",IF(AND($G510&gt;=30,$AT$3&lt;=CG$7),ROUND(CG510*($AP$3+#REF!),-1),""))</f>
        <v/>
      </c>
      <c r="CI510" s="503" t="s">
        <v>621</v>
      </c>
      <c r="CJ510" s="503" t="str">
        <f>IF($G510="","",IF(AND($G510&gt;=30,$AT$3&lt;=CI$7),ROUND(CI510*($AP$3+#REF!),-1),""))</f>
        <v/>
      </c>
      <c r="CK510" s="503" t="s">
        <v>621</v>
      </c>
      <c r="CL510" s="503" t="str">
        <f>IF($G510="","",IF(AND($G510&gt;=30,$AT$3&lt;=CK$7),ROUND(CK510*($AP$3+#REF!),-1),""))</f>
        <v/>
      </c>
      <c r="CM510" s="503" t="s">
        <v>621</v>
      </c>
      <c r="CN510" s="503" t="str">
        <f>IF($G510="","",IF(AND($G510&gt;=30,$AT$3&lt;=CM$7),ROUND(CM510*($AP$3+#REF!),-1),""))</f>
        <v/>
      </c>
      <c r="CO510" s="503" t="s">
        <v>621</v>
      </c>
      <c r="CP510" s="503" t="str">
        <f>IF($G510="","",IF(AND($G510&gt;=30,$AT$3&lt;=CO$7),ROUND(CO510*($AP$3+#REF!),-1),""))</f>
        <v/>
      </c>
      <c r="CQ510" s="503" t="s">
        <v>621</v>
      </c>
      <c r="CR510" s="503" t="str">
        <f>IF($G510="","",IF(AND($G510&gt;=30,$AT$3&lt;=CQ$7),ROUND(CQ510*($AP$3+#REF!),-1),""))</f>
        <v/>
      </c>
      <c r="CS510" s="503" t="s">
        <v>621</v>
      </c>
      <c r="CT510" s="503" t="str">
        <f>IF($G510="","",IF(AND($G510&gt;=30,$AT$3&lt;=CS$7),ROUND(CS510*($AP$3+#REF!),-1),""))</f>
        <v/>
      </c>
      <c r="CU510" s="503" t="s">
        <v>621</v>
      </c>
      <c r="CV510" s="503" t="str">
        <f>IF($G510="","",IF(AND($G510&gt;=30,$AT$3&lt;=CU$7),ROUND(CU510*($AP$3+#REF!),-1),""))</f>
        <v/>
      </c>
      <c r="CW510" s="503" t="s">
        <v>621</v>
      </c>
      <c r="CX510" s="503" t="str">
        <f>IF($G510="","",IF(AND($G510&gt;=30,$AT$3&lt;=CW$7),ROUND(CW510*($AP$3+#REF!),-1),""))</f>
        <v/>
      </c>
      <c r="CY510" s="503" t="s">
        <v>621</v>
      </c>
      <c r="CZ510" s="503" t="str">
        <f>IF($G510="","",IF(AND($G510&gt;=30,$AT$3&lt;=CY$7),ROUND(CY510*($AP$3+#REF!),-1),""))</f>
        <v/>
      </c>
      <c r="DA510" s="503" t="s">
        <v>621</v>
      </c>
      <c r="DB510" s="503" t="str">
        <f>IF($G510="","",IF(AND($G510&gt;=30,$AT$3&lt;=DA$7),ROUND(DA510*($AP$3+#REF!),-1),""))</f>
        <v/>
      </c>
      <c r="DC510" s="503" t="s">
        <v>621</v>
      </c>
      <c r="DD510" s="503" t="str">
        <f>IF($G510="","",IF(AND($G510&gt;=30,$AT$3&lt;=DC$7),ROUND(DC510*($AP$3+#REF!),-1),""))</f>
        <v/>
      </c>
      <c r="DE510" s="503" t="s">
        <v>621</v>
      </c>
      <c r="DF510" s="503" t="str">
        <f>IF($G510="","",IF(AND($G510&gt;=30,$AT$3&lt;=DE$7),ROUND(DE510*($AP$3+#REF!),-1),""))</f>
        <v/>
      </c>
      <c r="DG510" s="503" t="s">
        <v>621</v>
      </c>
      <c r="DH510" s="503" t="str">
        <f>IF($G510="","",IF(AND($G510&gt;=30,$AT$3&lt;=DG$7),ROUND(DG510*($AP$3+#REF!),-1),""))</f>
        <v/>
      </c>
      <c r="DI510" s="503" t="s">
        <v>621</v>
      </c>
      <c r="DJ510" s="503" t="str">
        <f>IF($G510="","",IF(AND($G510&gt;=30,$AT$3&lt;=DI$7),ROUND(DI510*($AP$3+#REF!),-1),""))</f>
        <v/>
      </c>
      <c r="DK510" s="517" t="e">
        <v>#REF!</v>
      </c>
      <c r="DL510" s="503" t="str">
        <f>IF($G510="","",IF(AND($G510&gt;=30,$AT$3&lt;=DK$7),ROUND(DK510*($AP$3+#REF!),-1),""))</f>
        <v/>
      </c>
      <c r="DM510" s="503"/>
      <c r="DN510" s="503" t="str">
        <f>IF($G510="","",IF(AND($G510&gt;=30,$AT$3&lt;=DM$7),ROUND(DM510*($AP$3+#REF!),-1),""))</f>
        <v/>
      </c>
      <c r="DO510" s="503"/>
      <c r="DP510" s="503" t="str">
        <f>IF($G510="","",IF(AND($G510&gt;=30,$AT$3&lt;=DO$7),ROUND(DO510*($AP$3+#REF!),-1),""))</f>
        <v/>
      </c>
      <c r="DQ510" s="503"/>
      <c r="DR510" s="503" t="str">
        <f>IF($G510="","",IF(AND($G510&gt;=30,$AT$3&lt;=DQ$7),ROUND(DQ510*($AP$3+#REF!),-1),""))</f>
        <v/>
      </c>
      <c r="DS510" s="503"/>
      <c r="DT510" s="503" t="str">
        <f>IF($G510="","",IF(AND($G510&gt;=30,$AT$3&lt;=DS$7),ROUND(DS510*($AP$3+#REF!),-1),""))</f>
        <v/>
      </c>
      <c r="DU510" s="503"/>
      <c r="DV510" s="503" t="str">
        <f>IF($G510="","",IF(AND($G510&gt;=30,$AT$3&lt;=DU$7),ROUND(DU510*($AP$3+#REF!),-1),""))</f>
        <v/>
      </c>
      <c r="DW510" s="503"/>
      <c r="DX510" s="503" t="str">
        <f>IF($G510="","",IF(AND($G510&gt;=30,$AT$3&lt;=DW$7),ROUND(DW510*($AP$3+#REF!),-1),""))</f>
        <v/>
      </c>
      <c r="DY510" s="503"/>
      <c r="DZ510" s="503" t="str">
        <f>IF($G510="","",IF(AND($G510&gt;=30,$AT$3&lt;=DY$7),ROUND(DY510*($AP$3+#REF!),-1),""))</f>
        <v/>
      </c>
      <c r="EA510" s="503"/>
      <c r="EB510" s="503" t="str">
        <f>IF($G510="","",IF(AND($G510&gt;=30,$AT$3&lt;=EA$7),ROUND(EA510*($AP$3+#REF!),-1),""))</f>
        <v/>
      </c>
      <c r="EC510" s="436"/>
      <c r="ED510" s="436"/>
      <c r="EE510" s="394"/>
    </row>
    <row r="511" spans="1:135" ht="9.75" customHeight="1">
      <c r="A511" s="321" t="str">
        <f t="shared" si="124"/>
        <v/>
      </c>
      <c r="B511" s="567">
        <f>(ii!$D$13*12+V511)+1</f>
        <v>405</v>
      </c>
      <c r="C511" s="337">
        <f t="shared" si="114"/>
        <v>57679</v>
      </c>
      <c r="D511" s="484">
        <f t="shared" si="117"/>
        <v>2057</v>
      </c>
      <c r="E511" s="484">
        <f t="shared" si="115"/>
        <v>0.91666666666666663</v>
      </c>
      <c r="F511" s="484">
        <f t="shared" si="118"/>
        <v>2057.9166666666665</v>
      </c>
      <c r="G511" s="485" t="str">
        <f>IF(OR(C511&lt;$I$2,C511&gt;$J$3),"",(ii!$D$13*12+V511+1)/12)</f>
        <v/>
      </c>
      <c r="H511" s="486"/>
      <c r="I511" s="486"/>
      <c r="J511" s="487"/>
      <c r="K511" s="488"/>
      <c r="L511" s="548"/>
      <c r="M511" s="489" t="str">
        <f t="shared" si="119"/>
        <v/>
      </c>
      <c r="N511" s="490" t="s">
        <v>621</v>
      </c>
      <c r="O511" s="490" t="str">
        <f t="shared" si="112"/>
        <v/>
      </c>
      <c r="P511" s="491"/>
      <c r="Q511" s="491"/>
      <c r="R511" s="491" t="str">
        <f t="shared" si="113"/>
        <v/>
      </c>
      <c r="S511" s="528" t="str">
        <f t="shared" si="111"/>
        <v/>
      </c>
      <c r="T511" s="528" t="str">
        <f t="shared" si="123"/>
        <v/>
      </c>
      <c r="U511" s="493" t="str">
        <f>IF(H511="","",#REF!*12+#REF!+#REF!*12+#REF!)</f>
        <v/>
      </c>
      <c r="V511" s="338">
        <f>IF(ii!$J$3&gt;gg!C511,"",IF(AND((YEAR(C511)=YEAR($I$2)),MONTH(C511)=MONTH($I$2)),ii!$B$14*12+ii!$C$14+ii!$B$15*12+ii!$C$15-1,V510+1))</f>
        <v>404</v>
      </c>
      <c r="W511" s="339">
        <f t="shared" si="116"/>
        <v>33.666666666666664</v>
      </c>
      <c r="X511" s="494" t="s">
        <v>621</v>
      </c>
      <c r="Y511" s="495" t="s">
        <v>621</v>
      </c>
      <c r="Z511" s="496"/>
      <c r="AA511" s="497"/>
      <c r="AB511" s="498" t="e">
        <f t="shared" si="122"/>
        <v>#VALUE!</v>
      </c>
      <c r="AC511" s="484" t="str">
        <f t="shared" si="120"/>
        <v/>
      </c>
      <c r="AD511" s="495" t="str">
        <f t="shared" si="121"/>
        <v/>
      </c>
      <c r="AE511" s="499" t="s">
        <v>621</v>
      </c>
      <c r="AF511" s="500" t="s">
        <v>621</v>
      </c>
      <c r="AG511" s="556" t="s">
        <v>621</v>
      </c>
      <c r="AH511" s="503" t="str">
        <f>IF($G511="","",IF(AND($G511&gt;=30,$AT$3&lt;=AG$7),ROUND(AG511*($AP$3+#REF!),-1),""))</f>
        <v/>
      </c>
      <c r="AI511" s="506" t="s">
        <v>621</v>
      </c>
      <c r="AJ511" s="503" t="str">
        <f>IF($G511="","",IF(AND($G511&gt;=30,$AT$3&lt;=AI$7),ROUND(AI511*($AP$3+#REF!),-1),""))</f>
        <v/>
      </c>
      <c r="AK511" s="506" t="s">
        <v>621</v>
      </c>
      <c r="AL511" s="503" t="str">
        <f>IF($G511="","",IF(AND($G511&gt;=30,$AT$3&lt;=AK$7),ROUND(AK511*($AP$3+#REF!),-1),""))</f>
        <v/>
      </c>
      <c r="AM511" s="506" t="s">
        <v>621</v>
      </c>
      <c r="AN511" s="503" t="str">
        <f>IF($G511="","",IF(AND($G511&gt;=30,$AT$3&lt;=AM$7),ROUND(AM511*($AP$3+#REF!),-1),""))</f>
        <v/>
      </c>
      <c r="AO511" s="503" t="e">
        <v>#REF!</v>
      </c>
      <c r="AP511" s="503" t="str">
        <f>IF($G511="","",IF(AND($G511&gt;=30,$AT$3&lt;=AO$7),ROUND(AO511*($AP$3+#REF!),-1),""))</f>
        <v/>
      </c>
      <c r="AQ511" s="503" t="s">
        <v>621</v>
      </c>
      <c r="AR511" s="503" t="str">
        <f>IF($G511="","",IF(AND($G511&gt;=30,$AT$3&lt;=AQ$7),ROUND(AQ511*($AP$3+#REF!),-1),""))</f>
        <v/>
      </c>
      <c r="AS511" s="503" t="s">
        <v>621</v>
      </c>
      <c r="AT511" s="503" t="str">
        <f>IF($G511="","",IF(AND($G511&gt;=30,$AT$3&lt;=AS$7),ROUND(AS511*($AP$3+#REF!),-1),""))</f>
        <v/>
      </c>
      <c r="AU511" s="503" t="s">
        <v>621</v>
      </c>
      <c r="AV511" s="503" t="str">
        <f>IF($G511="","",IF(AND($G511&gt;=30,$AT$3&lt;=AU$7),ROUND(AU511*($AP$3+#REF!),-1),""))</f>
        <v/>
      </c>
      <c r="AW511" s="503" t="s">
        <v>621</v>
      </c>
      <c r="AX511" s="503" t="str">
        <f>IF($G511="","",IF(AND($G511&gt;=30,$AT$3&lt;=AW$7),ROUND(AW511*($AP$3+#REF!),-1),""))</f>
        <v/>
      </c>
      <c r="AY511" s="503" t="s">
        <v>621</v>
      </c>
      <c r="AZ511" s="503" t="str">
        <f>IF($G511="","",IF(AND($G511&gt;=30,$AT$3&lt;=AY$7),ROUND(AY511*($AP$3+#REF!),-1),""))</f>
        <v/>
      </c>
      <c r="BA511" s="503" t="s">
        <v>621</v>
      </c>
      <c r="BB511" s="503" t="str">
        <f>IF($G511="","",IF(AND($G511&gt;=30,$AT$3&lt;=BA$7),ROUND(BA511*($AP$3+#REF!),-1),""))</f>
        <v/>
      </c>
      <c r="BC511" s="503" t="s">
        <v>621</v>
      </c>
      <c r="BD511" s="503" t="str">
        <f>IF($G511="","",IF(AND($G511&gt;=30,$AT$3&lt;=BC$7),ROUND(BC511*($AP$3+#REF!),-1),""))</f>
        <v/>
      </c>
      <c r="BE511" s="503" t="s">
        <v>621</v>
      </c>
      <c r="BF511" s="503" t="str">
        <f>IF($G511="","",IF(AND($G511&gt;=30,$AT$3&lt;=BE$7),ROUND(BE511*($AP$3+#REF!),-1),""))</f>
        <v/>
      </c>
      <c r="BG511" s="503" t="s">
        <v>621</v>
      </c>
      <c r="BH511" s="503" t="str">
        <f>IF($G511="","",IF(AND($G511&gt;=30,$AT$3&lt;=BG$7),ROUND(BG511*($AP$3+#REF!),-1),""))</f>
        <v/>
      </c>
      <c r="BI511" s="503" t="s">
        <v>621</v>
      </c>
      <c r="BJ511" s="503" t="str">
        <f>IF($G511="","",IF(AND($G511&gt;=30,$AT$3&lt;=BI$7),ROUND(BI511*($AP$3+#REF!),-1),""))</f>
        <v/>
      </c>
      <c r="BK511" s="503" t="s">
        <v>621</v>
      </c>
      <c r="BL511" s="503" t="str">
        <f>IF($G511="","",IF(AND($G511&gt;=30,$AT$3&lt;=BK$7),ROUND(BK511*($AP$3+#REF!),-1),""))</f>
        <v/>
      </c>
      <c r="BM511" s="503" t="s">
        <v>621</v>
      </c>
      <c r="BN511" s="503" t="str">
        <f>IF($G511="","",IF(AND($G511&gt;=30,$AT$3&lt;=BM$7),ROUND(BM511*($AP$3+#REF!),-1),""))</f>
        <v/>
      </c>
      <c r="BO511" s="503" t="s">
        <v>621</v>
      </c>
      <c r="BP511" s="503" t="str">
        <f>IF($G511="","",IF(AND($G511&gt;=30,$AT$3&lt;=BO$7),ROUND(BO511*($AP$3+#REF!),-1),""))</f>
        <v/>
      </c>
      <c r="BQ511" s="503" t="s">
        <v>621</v>
      </c>
      <c r="BR511" s="503" t="str">
        <f>IF($G511="","",IF(AND($G511&gt;=30,$AT$3&lt;=BQ$7),ROUND(BQ511*($AP$3+#REF!),-1),""))</f>
        <v/>
      </c>
      <c r="BS511" s="503" t="s">
        <v>621</v>
      </c>
      <c r="BT511" s="503" t="str">
        <f>IF($G511="","",IF(AND($G511&gt;=30,$AT$3&lt;=BS$7),ROUND(BS511*($AP$3+#REF!),-1),""))</f>
        <v/>
      </c>
      <c r="BU511" s="503" t="s">
        <v>621</v>
      </c>
      <c r="BV511" s="503" t="str">
        <f>IF($G511="","",IF(AND($G511&gt;=30,$AT$3&lt;=BU$7),ROUND(BU511*($AP$3+#REF!),-1),""))</f>
        <v/>
      </c>
      <c r="BW511" s="503" t="s">
        <v>621</v>
      </c>
      <c r="BX511" s="503" t="str">
        <f>IF($G511="","",IF(AND($G511&gt;=30,$AT$3&lt;=BW$7),ROUND(BW511*($AP$3+#REF!),-1),""))</f>
        <v/>
      </c>
      <c r="BY511" s="503" t="s">
        <v>621</v>
      </c>
      <c r="BZ511" s="503" t="str">
        <f>IF($G511="","",IF(AND($G511&gt;=30,$AT$3&lt;=BY$7),ROUND(BY511*($AP$3+#REF!),-1),""))</f>
        <v/>
      </c>
      <c r="CA511" s="503" t="s">
        <v>621</v>
      </c>
      <c r="CB511" s="503" t="str">
        <f>IF($G511="","",IF(AND($G511&gt;=30,$AT$3&lt;=CA$7),ROUND(CA511*($AP$3+#REF!),-1),""))</f>
        <v/>
      </c>
      <c r="CC511" s="503" t="s">
        <v>621</v>
      </c>
      <c r="CD511" s="503" t="str">
        <f>IF($G511="","",IF(AND($G511&gt;=30,$AT$3&lt;=CC$7),ROUND(CC511*($AP$3+#REF!),-1),""))</f>
        <v/>
      </c>
      <c r="CE511" s="503" t="s">
        <v>621</v>
      </c>
      <c r="CF511" s="503" t="str">
        <f>IF($G511="","",IF(AND($G511&gt;=30,$AT$3&lt;=CE$7),ROUND(CE511*($AP$3+#REF!),-1),""))</f>
        <v/>
      </c>
      <c r="CG511" s="503" t="s">
        <v>621</v>
      </c>
      <c r="CH511" s="503" t="str">
        <f>IF($G511="","",IF(AND($G511&gt;=30,$AT$3&lt;=CG$7),ROUND(CG511*($AP$3+#REF!),-1),""))</f>
        <v/>
      </c>
      <c r="CI511" s="503" t="s">
        <v>621</v>
      </c>
      <c r="CJ511" s="503" t="str">
        <f>IF($G511="","",IF(AND($G511&gt;=30,$AT$3&lt;=CI$7),ROUND(CI511*($AP$3+#REF!),-1),""))</f>
        <v/>
      </c>
      <c r="CK511" s="503" t="s">
        <v>621</v>
      </c>
      <c r="CL511" s="503" t="str">
        <f>IF($G511="","",IF(AND($G511&gt;=30,$AT$3&lt;=CK$7),ROUND(CK511*($AP$3+#REF!),-1),""))</f>
        <v/>
      </c>
      <c r="CM511" s="503" t="s">
        <v>621</v>
      </c>
      <c r="CN511" s="503" t="str">
        <f>IF($G511="","",IF(AND($G511&gt;=30,$AT$3&lt;=CM$7),ROUND(CM511*($AP$3+#REF!),-1),""))</f>
        <v/>
      </c>
      <c r="CO511" s="503" t="s">
        <v>621</v>
      </c>
      <c r="CP511" s="503" t="str">
        <f>IF($G511="","",IF(AND($G511&gt;=30,$AT$3&lt;=CO$7),ROUND(CO511*($AP$3+#REF!),-1),""))</f>
        <v/>
      </c>
      <c r="CQ511" s="503" t="s">
        <v>621</v>
      </c>
      <c r="CR511" s="503" t="str">
        <f>IF($G511="","",IF(AND($G511&gt;=30,$AT$3&lt;=CQ$7),ROUND(CQ511*($AP$3+#REF!),-1),""))</f>
        <v/>
      </c>
      <c r="CS511" s="503" t="s">
        <v>621</v>
      </c>
      <c r="CT511" s="503" t="str">
        <f>IF($G511="","",IF(AND($G511&gt;=30,$AT$3&lt;=CS$7),ROUND(CS511*($AP$3+#REF!),-1),""))</f>
        <v/>
      </c>
      <c r="CU511" s="503" t="s">
        <v>621</v>
      </c>
      <c r="CV511" s="503" t="str">
        <f>IF($G511="","",IF(AND($G511&gt;=30,$AT$3&lt;=CU$7),ROUND(CU511*($AP$3+#REF!),-1),""))</f>
        <v/>
      </c>
      <c r="CW511" s="503" t="s">
        <v>621</v>
      </c>
      <c r="CX511" s="503" t="str">
        <f>IF($G511="","",IF(AND($G511&gt;=30,$AT$3&lt;=CW$7),ROUND(CW511*($AP$3+#REF!),-1),""))</f>
        <v/>
      </c>
      <c r="CY511" s="503" t="s">
        <v>621</v>
      </c>
      <c r="CZ511" s="503" t="str">
        <f>IF($G511="","",IF(AND($G511&gt;=30,$AT$3&lt;=CY$7),ROUND(CY511*($AP$3+#REF!),-1),""))</f>
        <v/>
      </c>
      <c r="DA511" s="503" t="s">
        <v>621</v>
      </c>
      <c r="DB511" s="503" t="str">
        <f>IF($G511="","",IF(AND($G511&gt;=30,$AT$3&lt;=DA$7),ROUND(DA511*($AP$3+#REF!),-1),""))</f>
        <v/>
      </c>
      <c r="DC511" s="503" t="s">
        <v>621</v>
      </c>
      <c r="DD511" s="503" t="str">
        <f>IF($G511="","",IF(AND($G511&gt;=30,$AT$3&lt;=DC$7),ROUND(DC511*($AP$3+#REF!),-1),""))</f>
        <v/>
      </c>
      <c r="DE511" s="503" t="s">
        <v>621</v>
      </c>
      <c r="DF511" s="503" t="str">
        <f>IF($G511="","",IF(AND($G511&gt;=30,$AT$3&lt;=DE$7),ROUND(DE511*($AP$3+#REF!),-1),""))</f>
        <v/>
      </c>
      <c r="DG511" s="503" t="s">
        <v>621</v>
      </c>
      <c r="DH511" s="503" t="str">
        <f>IF($G511="","",IF(AND($G511&gt;=30,$AT$3&lt;=DG$7),ROUND(DG511*($AP$3+#REF!),-1),""))</f>
        <v/>
      </c>
      <c r="DI511" s="503" t="s">
        <v>621</v>
      </c>
      <c r="DJ511" s="503" t="str">
        <f>IF($G511="","",IF(AND($G511&gt;=30,$AT$3&lt;=DI$7),ROUND(DI511*($AP$3+#REF!),-1),""))</f>
        <v/>
      </c>
      <c r="DK511" s="517" t="e">
        <v>#REF!</v>
      </c>
      <c r="DL511" s="503" t="str">
        <f>IF($G511="","",IF(AND($G511&gt;=30,$AT$3&lt;=DK$7),ROUND(DK511*($AP$3+#REF!),-1),""))</f>
        <v/>
      </c>
      <c r="DM511" s="503"/>
      <c r="DN511" s="503" t="str">
        <f>IF($G511="","",IF(AND($G511&gt;=30,$AT$3&lt;=DM$7),ROUND(DM511*($AP$3+#REF!),-1),""))</f>
        <v/>
      </c>
      <c r="DO511" s="503"/>
      <c r="DP511" s="503" t="str">
        <f>IF($G511="","",IF(AND($G511&gt;=30,$AT$3&lt;=DO$7),ROUND(DO511*($AP$3+#REF!),-1),""))</f>
        <v/>
      </c>
      <c r="DQ511" s="503"/>
      <c r="DR511" s="503" t="str">
        <f>IF($G511="","",IF(AND($G511&gt;=30,$AT$3&lt;=DQ$7),ROUND(DQ511*($AP$3+#REF!),-1),""))</f>
        <v/>
      </c>
      <c r="DS511" s="503"/>
      <c r="DT511" s="503" t="str">
        <f>IF($G511="","",IF(AND($G511&gt;=30,$AT$3&lt;=DS$7),ROUND(DS511*($AP$3+#REF!),-1),""))</f>
        <v/>
      </c>
      <c r="DU511" s="503"/>
      <c r="DV511" s="503" t="str">
        <f>IF($G511="","",IF(AND($G511&gt;=30,$AT$3&lt;=DU$7),ROUND(DU511*($AP$3+#REF!),-1),""))</f>
        <v/>
      </c>
      <c r="DW511" s="503"/>
      <c r="DX511" s="503" t="str">
        <f>IF($G511="","",IF(AND($G511&gt;=30,$AT$3&lt;=DW$7),ROUND(DW511*($AP$3+#REF!),-1),""))</f>
        <v/>
      </c>
      <c r="DY511" s="503"/>
      <c r="DZ511" s="503" t="str">
        <f>IF($G511="","",IF(AND($G511&gt;=30,$AT$3&lt;=DY$7),ROUND(DY511*($AP$3+#REF!),-1),""))</f>
        <v/>
      </c>
      <c r="EA511" s="503"/>
      <c r="EB511" s="503" t="str">
        <f>IF($G511="","",IF(AND($G511&gt;=30,$AT$3&lt;=EA$7),ROUND(EA511*($AP$3+#REF!),-1),""))</f>
        <v/>
      </c>
      <c r="EC511" s="436"/>
      <c r="ED511" s="436"/>
      <c r="EE511" s="394"/>
    </row>
    <row r="512" spans="1:135" ht="9.75" customHeight="1">
      <c r="A512" s="321" t="str">
        <f t="shared" si="124"/>
        <v/>
      </c>
      <c r="B512" s="567">
        <f>(ii!$D$13*12+V512)+1</f>
        <v>406</v>
      </c>
      <c r="C512" s="337">
        <f t="shared" si="114"/>
        <v>57710</v>
      </c>
      <c r="D512" s="484">
        <f t="shared" si="117"/>
        <v>2057</v>
      </c>
      <c r="E512" s="484">
        <f t="shared" si="115"/>
        <v>1</v>
      </c>
      <c r="F512" s="484">
        <f t="shared" si="118"/>
        <v>2058</v>
      </c>
      <c r="G512" s="485" t="str">
        <f>IF(OR(C512&lt;$I$2,C512&gt;$J$3),"",(ii!$D$13*12+V512+1)/12)</f>
        <v/>
      </c>
      <c r="H512" s="486"/>
      <c r="I512" s="486"/>
      <c r="J512" s="487"/>
      <c r="K512" s="488"/>
      <c r="L512" s="548"/>
      <c r="M512" s="489" t="str">
        <f t="shared" si="119"/>
        <v/>
      </c>
      <c r="N512" s="490" t="s">
        <v>621</v>
      </c>
      <c r="O512" s="490" t="str">
        <f t="shared" si="112"/>
        <v/>
      </c>
      <c r="P512" s="491"/>
      <c r="Q512" s="491"/>
      <c r="R512" s="491" t="str">
        <f t="shared" si="113"/>
        <v/>
      </c>
      <c r="S512" s="528" t="str">
        <f t="shared" ref="S512:S575" si="125">IF(G512="","",SUM(AF512:EB512))</f>
        <v/>
      </c>
      <c r="T512" s="528" t="str">
        <f t="shared" si="123"/>
        <v/>
      </c>
      <c r="U512" s="493" t="str">
        <f>IF(H512="","",#REF!*12+#REF!+#REF!*12+#REF!)</f>
        <v/>
      </c>
      <c r="V512" s="338">
        <f>IF(ii!$J$3&gt;gg!C512,"",IF(AND((YEAR(C512)=YEAR($I$2)),MONTH(C512)=MONTH($I$2)),ii!$B$14*12+ii!$C$14+ii!$B$15*12+ii!$C$15-1,V511+1))</f>
        <v>405</v>
      </c>
      <c r="W512" s="339">
        <f t="shared" si="116"/>
        <v>33.75</v>
      </c>
      <c r="X512" s="494" t="s">
        <v>621</v>
      </c>
      <c r="Y512" s="495" t="s">
        <v>621</v>
      </c>
      <c r="Z512" s="496"/>
      <c r="AA512" s="497"/>
      <c r="AB512" s="498" t="e">
        <f t="shared" si="122"/>
        <v>#VALUE!</v>
      </c>
      <c r="AC512" s="484" t="str">
        <f t="shared" si="120"/>
        <v/>
      </c>
      <c r="AD512" s="495" t="str">
        <f t="shared" si="121"/>
        <v/>
      </c>
      <c r="AE512" s="499" t="s">
        <v>621</v>
      </c>
      <c r="AF512" s="500" t="s">
        <v>621</v>
      </c>
      <c r="AG512" s="556" t="s">
        <v>621</v>
      </c>
      <c r="AH512" s="503" t="str">
        <f>IF($G512="","",IF(AND($G512&gt;=30,$AT$3&lt;=AG$7),ROUND(AG512*($AP$3+#REF!),-1),""))</f>
        <v/>
      </c>
      <c r="AI512" s="506" t="s">
        <v>621</v>
      </c>
      <c r="AJ512" s="503" t="str">
        <f>IF($G512="","",IF(AND($G512&gt;=30,$AT$3&lt;=AI$7),ROUND(AI512*($AP$3+#REF!),-1),""))</f>
        <v/>
      </c>
      <c r="AK512" s="506" t="s">
        <v>621</v>
      </c>
      <c r="AL512" s="503" t="str">
        <f>IF($G512="","",IF(AND($G512&gt;=30,$AT$3&lt;=AK$7),ROUND(AK512*($AP$3+#REF!),-1),""))</f>
        <v/>
      </c>
      <c r="AM512" s="506" t="s">
        <v>621</v>
      </c>
      <c r="AN512" s="503" t="str">
        <f>IF($G512="","",IF(AND($G512&gt;=30,$AT$3&lt;=AM$7),ROUND(AM512*($AP$3+#REF!),-1),""))</f>
        <v/>
      </c>
      <c r="AO512" s="503" t="e">
        <v>#REF!</v>
      </c>
      <c r="AP512" s="503" t="str">
        <f>IF($G512="","",IF(AND($G512&gt;=30,$AT$3&lt;=AO$7),ROUND(AO512*($AP$3+#REF!),-1),""))</f>
        <v/>
      </c>
      <c r="AQ512" s="503" t="s">
        <v>621</v>
      </c>
      <c r="AR512" s="503" t="str">
        <f>IF($G512="","",IF(AND($G512&gt;=30,$AT$3&lt;=AQ$7),ROUND(AQ512*($AP$3+#REF!),-1),""))</f>
        <v/>
      </c>
      <c r="AS512" s="503" t="s">
        <v>621</v>
      </c>
      <c r="AT512" s="503" t="str">
        <f>IF($G512="","",IF(AND($G512&gt;=30,$AT$3&lt;=AS$7),ROUND(AS512*($AP$3+#REF!),-1),""))</f>
        <v/>
      </c>
      <c r="AU512" s="503" t="s">
        <v>621</v>
      </c>
      <c r="AV512" s="503" t="str">
        <f>IF($G512="","",IF(AND($G512&gt;=30,$AT$3&lt;=AU$7),ROUND(AU512*($AP$3+#REF!),-1),""))</f>
        <v/>
      </c>
      <c r="AW512" s="503" t="s">
        <v>621</v>
      </c>
      <c r="AX512" s="503" t="str">
        <f>IF($G512="","",IF(AND($G512&gt;=30,$AT$3&lt;=AW$7),ROUND(AW512*($AP$3+#REF!),-1),""))</f>
        <v/>
      </c>
      <c r="AY512" s="503" t="s">
        <v>621</v>
      </c>
      <c r="AZ512" s="503" t="str">
        <f>IF($G512="","",IF(AND($G512&gt;=30,$AT$3&lt;=AY$7),ROUND(AY512*($AP$3+#REF!),-1),""))</f>
        <v/>
      </c>
      <c r="BA512" s="503" t="s">
        <v>621</v>
      </c>
      <c r="BB512" s="503" t="str">
        <f>IF($G512="","",IF(AND($G512&gt;=30,$AT$3&lt;=BA$7),ROUND(BA512*($AP$3+#REF!),-1),""))</f>
        <v/>
      </c>
      <c r="BC512" s="503" t="s">
        <v>621</v>
      </c>
      <c r="BD512" s="503" t="str">
        <f>IF($G512="","",IF(AND($G512&gt;=30,$AT$3&lt;=BC$7),ROUND(BC512*($AP$3+#REF!),-1),""))</f>
        <v/>
      </c>
      <c r="BE512" s="503" t="s">
        <v>621</v>
      </c>
      <c r="BF512" s="503" t="str">
        <f>IF($G512="","",IF(AND($G512&gt;=30,$AT$3&lt;=BE$7),ROUND(BE512*($AP$3+#REF!),-1),""))</f>
        <v/>
      </c>
      <c r="BG512" s="503" t="s">
        <v>621</v>
      </c>
      <c r="BH512" s="503" t="str">
        <f>IF($G512="","",IF(AND($G512&gt;=30,$AT$3&lt;=BG$7),ROUND(BG512*($AP$3+#REF!),-1),""))</f>
        <v/>
      </c>
      <c r="BI512" s="503" t="s">
        <v>621</v>
      </c>
      <c r="BJ512" s="503" t="str">
        <f>IF($G512="","",IF(AND($G512&gt;=30,$AT$3&lt;=BI$7),ROUND(BI512*($AP$3+#REF!),-1),""))</f>
        <v/>
      </c>
      <c r="BK512" s="503" t="s">
        <v>621</v>
      </c>
      <c r="BL512" s="503" t="str">
        <f>IF($G512="","",IF(AND($G512&gt;=30,$AT$3&lt;=BK$7),ROUND(BK512*($AP$3+#REF!),-1),""))</f>
        <v/>
      </c>
      <c r="BM512" s="503" t="s">
        <v>621</v>
      </c>
      <c r="BN512" s="503" t="str">
        <f>IF($G512="","",IF(AND($G512&gt;=30,$AT$3&lt;=BM$7),ROUND(BM512*($AP$3+#REF!),-1),""))</f>
        <v/>
      </c>
      <c r="BO512" s="503" t="s">
        <v>621</v>
      </c>
      <c r="BP512" s="503" t="str">
        <f>IF($G512="","",IF(AND($G512&gt;=30,$AT$3&lt;=BO$7),ROUND(BO512*($AP$3+#REF!),-1),""))</f>
        <v/>
      </c>
      <c r="BQ512" s="503" t="s">
        <v>621</v>
      </c>
      <c r="BR512" s="503" t="str">
        <f>IF($G512="","",IF(AND($G512&gt;=30,$AT$3&lt;=BQ$7),ROUND(BQ512*($AP$3+#REF!),-1),""))</f>
        <v/>
      </c>
      <c r="BS512" s="503" t="s">
        <v>621</v>
      </c>
      <c r="BT512" s="503" t="str">
        <f>IF($G512="","",IF(AND($G512&gt;=30,$AT$3&lt;=BS$7),ROUND(BS512*($AP$3+#REF!),-1),""))</f>
        <v/>
      </c>
      <c r="BU512" s="503" t="s">
        <v>621</v>
      </c>
      <c r="BV512" s="503" t="str">
        <f>IF($G512="","",IF(AND($G512&gt;=30,$AT$3&lt;=BU$7),ROUND(BU512*($AP$3+#REF!),-1),""))</f>
        <v/>
      </c>
      <c r="BW512" s="503" t="s">
        <v>621</v>
      </c>
      <c r="BX512" s="503" t="str">
        <f>IF($G512="","",IF(AND($G512&gt;=30,$AT$3&lt;=BW$7),ROUND(BW512*($AP$3+#REF!),-1),""))</f>
        <v/>
      </c>
      <c r="BY512" s="503" t="s">
        <v>621</v>
      </c>
      <c r="BZ512" s="503" t="str">
        <f>IF($G512="","",IF(AND($G512&gt;=30,$AT$3&lt;=BY$7),ROUND(BY512*($AP$3+#REF!),-1),""))</f>
        <v/>
      </c>
      <c r="CA512" s="503" t="s">
        <v>621</v>
      </c>
      <c r="CB512" s="503" t="str">
        <f>IF($G512="","",IF(AND($G512&gt;=30,$AT$3&lt;=CA$7),ROUND(CA512*($AP$3+#REF!),-1),""))</f>
        <v/>
      </c>
      <c r="CC512" s="503" t="s">
        <v>621</v>
      </c>
      <c r="CD512" s="503" t="str">
        <f>IF($G512="","",IF(AND($G512&gt;=30,$AT$3&lt;=CC$7),ROUND(CC512*($AP$3+#REF!),-1),""))</f>
        <v/>
      </c>
      <c r="CE512" s="503" t="s">
        <v>621</v>
      </c>
      <c r="CF512" s="503" t="str">
        <f>IF($G512="","",IF(AND($G512&gt;=30,$AT$3&lt;=CE$7),ROUND(CE512*($AP$3+#REF!),-1),""))</f>
        <v/>
      </c>
      <c r="CG512" s="503" t="s">
        <v>621</v>
      </c>
      <c r="CH512" s="503" t="str">
        <f>IF($G512="","",IF(AND($G512&gt;=30,$AT$3&lt;=CG$7),ROUND(CG512*($AP$3+#REF!),-1),""))</f>
        <v/>
      </c>
      <c r="CI512" s="503" t="s">
        <v>621</v>
      </c>
      <c r="CJ512" s="503" t="str">
        <f>IF($G512="","",IF(AND($G512&gt;=30,$AT$3&lt;=CI$7),ROUND(CI512*($AP$3+#REF!),-1),""))</f>
        <v/>
      </c>
      <c r="CK512" s="503" t="s">
        <v>621</v>
      </c>
      <c r="CL512" s="503" t="str">
        <f>IF($G512="","",IF(AND($G512&gt;=30,$AT$3&lt;=CK$7),ROUND(CK512*($AP$3+#REF!),-1),""))</f>
        <v/>
      </c>
      <c r="CM512" s="503" t="s">
        <v>621</v>
      </c>
      <c r="CN512" s="503" t="str">
        <f>IF($G512="","",IF(AND($G512&gt;=30,$AT$3&lt;=CM$7),ROUND(CM512*($AP$3+#REF!),-1),""))</f>
        <v/>
      </c>
      <c r="CO512" s="503" t="s">
        <v>621</v>
      </c>
      <c r="CP512" s="503" t="str">
        <f>IF($G512="","",IF(AND($G512&gt;=30,$AT$3&lt;=CO$7),ROUND(CO512*($AP$3+#REF!),-1),""))</f>
        <v/>
      </c>
      <c r="CQ512" s="503" t="s">
        <v>621</v>
      </c>
      <c r="CR512" s="503" t="str">
        <f>IF($G512="","",IF(AND($G512&gt;=30,$AT$3&lt;=CQ$7),ROUND(CQ512*($AP$3+#REF!),-1),""))</f>
        <v/>
      </c>
      <c r="CS512" s="503" t="s">
        <v>621</v>
      </c>
      <c r="CT512" s="503" t="str">
        <f>IF($G512="","",IF(AND($G512&gt;=30,$AT$3&lt;=CS$7),ROUND(CS512*($AP$3+#REF!),-1),""))</f>
        <v/>
      </c>
      <c r="CU512" s="503" t="s">
        <v>621</v>
      </c>
      <c r="CV512" s="503" t="str">
        <f>IF($G512="","",IF(AND($G512&gt;=30,$AT$3&lt;=CU$7),ROUND(CU512*($AP$3+#REF!),-1),""))</f>
        <v/>
      </c>
      <c r="CW512" s="503" t="s">
        <v>621</v>
      </c>
      <c r="CX512" s="503" t="str">
        <f>IF($G512="","",IF(AND($G512&gt;=30,$AT$3&lt;=CW$7),ROUND(CW512*($AP$3+#REF!),-1),""))</f>
        <v/>
      </c>
      <c r="CY512" s="503" t="s">
        <v>621</v>
      </c>
      <c r="CZ512" s="503" t="str">
        <f>IF($G512="","",IF(AND($G512&gt;=30,$AT$3&lt;=CY$7),ROUND(CY512*($AP$3+#REF!),-1),""))</f>
        <v/>
      </c>
      <c r="DA512" s="503" t="s">
        <v>621</v>
      </c>
      <c r="DB512" s="503" t="str">
        <f>IF($G512="","",IF(AND($G512&gt;=30,$AT$3&lt;=DA$7),ROUND(DA512*($AP$3+#REF!),-1),""))</f>
        <v/>
      </c>
      <c r="DC512" s="503" t="s">
        <v>621</v>
      </c>
      <c r="DD512" s="503" t="str">
        <f>IF($G512="","",IF(AND($G512&gt;=30,$AT$3&lt;=DC$7),ROUND(DC512*($AP$3+#REF!),-1),""))</f>
        <v/>
      </c>
      <c r="DE512" s="503" t="s">
        <v>621</v>
      </c>
      <c r="DF512" s="503" t="str">
        <f>IF($G512="","",IF(AND($G512&gt;=30,$AT$3&lt;=DE$7),ROUND(DE512*($AP$3+#REF!),-1),""))</f>
        <v/>
      </c>
      <c r="DG512" s="503" t="s">
        <v>621</v>
      </c>
      <c r="DH512" s="503" t="str">
        <f>IF($G512="","",IF(AND($G512&gt;=30,$AT$3&lt;=DG$7),ROUND(DG512*($AP$3+#REF!),-1),""))</f>
        <v/>
      </c>
      <c r="DI512" s="503" t="s">
        <v>621</v>
      </c>
      <c r="DJ512" s="503" t="str">
        <f>IF($G512="","",IF(AND($G512&gt;=30,$AT$3&lt;=DI$7),ROUND(DI512*($AP$3+#REF!),-1),""))</f>
        <v/>
      </c>
      <c r="DK512" s="517" t="e">
        <v>#REF!</v>
      </c>
      <c r="DL512" s="503" t="str">
        <f>IF($G512="","",IF(AND($G512&gt;=30,$AT$3&lt;=DK$7),ROUND(DK512*($AP$3+#REF!),-1),""))</f>
        <v/>
      </c>
      <c r="DM512" s="503"/>
      <c r="DN512" s="503" t="str">
        <f>IF($G512="","",IF(AND($G512&gt;=30,$AT$3&lt;=DM$7),ROUND(DM512*($AP$3+#REF!),-1),""))</f>
        <v/>
      </c>
      <c r="DO512" s="503"/>
      <c r="DP512" s="503" t="str">
        <f>IF($G512="","",IF(AND($G512&gt;=30,$AT$3&lt;=DO$7),ROUND(DO512*($AP$3+#REF!),-1),""))</f>
        <v/>
      </c>
      <c r="DQ512" s="503"/>
      <c r="DR512" s="503" t="str">
        <f>IF($G512="","",IF(AND($G512&gt;=30,$AT$3&lt;=DQ$7),ROUND(DQ512*($AP$3+#REF!),-1),""))</f>
        <v/>
      </c>
      <c r="DS512" s="503"/>
      <c r="DT512" s="503" t="str">
        <f>IF($G512="","",IF(AND($G512&gt;=30,$AT$3&lt;=DS$7),ROUND(DS512*($AP$3+#REF!),-1),""))</f>
        <v/>
      </c>
      <c r="DU512" s="503"/>
      <c r="DV512" s="503" t="str">
        <f>IF($G512="","",IF(AND($G512&gt;=30,$AT$3&lt;=DU$7),ROUND(DU512*($AP$3+#REF!),-1),""))</f>
        <v/>
      </c>
      <c r="DW512" s="503"/>
      <c r="DX512" s="503" t="str">
        <f>IF($G512="","",IF(AND($G512&gt;=30,$AT$3&lt;=DW$7),ROUND(DW512*($AP$3+#REF!),-1),""))</f>
        <v/>
      </c>
      <c r="DY512" s="503"/>
      <c r="DZ512" s="503" t="str">
        <f>IF($G512="","",IF(AND($G512&gt;=30,$AT$3&lt;=DY$7),ROUND(DY512*($AP$3+#REF!),-1),""))</f>
        <v/>
      </c>
      <c r="EA512" s="503"/>
      <c r="EB512" s="503" t="str">
        <f>IF($G512="","",IF(AND($G512&gt;=30,$AT$3&lt;=EA$7),ROUND(EA512*($AP$3+#REF!),-1),""))</f>
        <v/>
      </c>
      <c r="EC512" s="436"/>
      <c r="ED512" s="436"/>
      <c r="EE512" s="394"/>
    </row>
    <row r="513" spans="1:135" ht="9.75" customHeight="1">
      <c r="A513" s="321" t="str">
        <f t="shared" si="124"/>
        <v/>
      </c>
      <c r="B513" s="569">
        <f>(ii!$D$13*12+V513)+1</f>
        <v>407</v>
      </c>
      <c r="C513" s="345">
        <f t="shared" si="114"/>
        <v>57741</v>
      </c>
      <c r="D513" s="340">
        <f t="shared" si="117"/>
        <v>2058</v>
      </c>
      <c r="E513" s="340">
        <f t="shared" si="115"/>
        <v>8.3333333333333329E-2</v>
      </c>
      <c r="F513" s="340">
        <f t="shared" si="118"/>
        <v>2058.0833333333335</v>
      </c>
      <c r="G513" s="531" t="str">
        <f>IF(OR(C513&lt;$I$2,C513&gt;$J$3),"",(ii!$D$13*12+V513+1)/12)</f>
        <v/>
      </c>
      <c r="H513" s="532"/>
      <c r="I513" s="532"/>
      <c r="J513" s="533"/>
      <c r="K513" s="553"/>
      <c r="L513" s="534"/>
      <c r="M513" s="489" t="str">
        <f t="shared" si="119"/>
        <v/>
      </c>
      <c r="N513" s="536" t="s">
        <v>621</v>
      </c>
      <c r="O513" s="490" t="str">
        <f t="shared" si="112"/>
        <v/>
      </c>
      <c r="P513" s="537"/>
      <c r="Q513" s="537"/>
      <c r="R513" s="533" t="str">
        <f t="shared" si="113"/>
        <v/>
      </c>
      <c r="S513" s="538" t="str">
        <f t="shared" si="125"/>
        <v/>
      </c>
      <c r="T513" s="538" t="str">
        <f t="shared" si="123"/>
        <v/>
      </c>
      <c r="U513" s="539" t="str">
        <f>IF(H513="","",#REF!*12+#REF!+#REF!*12+#REF!)</f>
        <v/>
      </c>
      <c r="V513" s="338">
        <f>IF(ii!$J$3&gt;gg!C513,"",IF(AND((YEAR(C513)=YEAR($I$2)),MONTH(C513)=MONTH($I$2)),ii!$B$14*12+ii!$C$14+ii!$B$15*12+ii!$C$15-1,V512+1))</f>
        <v>406</v>
      </c>
      <c r="W513" s="339">
        <f t="shared" si="116"/>
        <v>33.833333333333336</v>
      </c>
      <c r="X513" s="540" t="s">
        <v>621</v>
      </c>
      <c r="Y513" s="538" t="s">
        <v>621</v>
      </c>
      <c r="Z513" s="541">
        <f>Z501+$Z$26</f>
        <v>1.2000000000000008</v>
      </c>
      <c r="AA513" s="542" t="str">
        <f>IF(Y513="","",(Y513-Y512)/Y512)</f>
        <v/>
      </c>
      <c r="AB513" s="543" t="e">
        <f t="shared" si="122"/>
        <v>#VALUE!</v>
      </c>
      <c r="AC513" s="544" t="str">
        <f t="shared" si="120"/>
        <v/>
      </c>
      <c r="AD513" s="538" t="str">
        <f t="shared" si="121"/>
        <v/>
      </c>
      <c r="AE513" s="545" t="s">
        <v>621</v>
      </c>
      <c r="AF513" s="546" t="s">
        <v>621</v>
      </c>
      <c r="AG513" s="558" t="s">
        <v>621</v>
      </c>
      <c r="AH513" s="547" t="str">
        <f>IF($G513="","",IF(AND($G513&gt;=30,$AT$3&lt;=AG$7),ROUND(AG513*($AP$3+#REF!),-1),""))</f>
        <v/>
      </c>
      <c r="AI513" s="558" t="s">
        <v>621</v>
      </c>
      <c r="AJ513" s="547" t="str">
        <f>IF($G513="","",IF(AND($G513&gt;=30,$AT$3&lt;=AI$7),ROUND(AI513*($AP$3+#REF!),-1),""))</f>
        <v/>
      </c>
      <c r="AK513" s="560" t="s">
        <v>621</v>
      </c>
      <c r="AL513" s="547" t="str">
        <f>IF($G513="","",IF(AND($G513&gt;=30,$AT$3&lt;=AK$7),ROUND(AK513*($AP$3+#REF!),-1),""))</f>
        <v/>
      </c>
      <c r="AM513" s="560" t="s">
        <v>621</v>
      </c>
      <c r="AN513" s="547" t="str">
        <f>IF($G513="","",IF(AND($G513&gt;=30,$AT$3&lt;=AM$7),ROUND(AM513*($AP$3+#REF!),-1),""))</f>
        <v/>
      </c>
      <c r="AO513" s="547" t="e">
        <v>#REF!</v>
      </c>
      <c r="AP513" s="547" t="str">
        <f>IF($G513="","",IF(AND($G513&gt;=30,$AT$3&lt;=AO$7),ROUND(AO513*($AP$3+#REF!),-1),""))</f>
        <v/>
      </c>
      <c r="AQ513" s="547" t="s">
        <v>621</v>
      </c>
      <c r="AR513" s="547" t="str">
        <f>IF($G513="","",IF(AND($G513&gt;=30,$AT$3&lt;=AQ$7),ROUND(AQ513*($AP$3+#REF!),-1),""))</f>
        <v/>
      </c>
      <c r="AS513" s="547" t="s">
        <v>621</v>
      </c>
      <c r="AT513" s="547" t="str">
        <f>IF($G513="","",IF(AND($G513&gt;=30,$AT$3&lt;=AS$7),ROUND(AS513*($AP$3+#REF!),-1),""))</f>
        <v/>
      </c>
      <c r="AU513" s="547" t="s">
        <v>621</v>
      </c>
      <c r="AV513" s="547" t="str">
        <f>IF($G513="","",IF(AND($G513&gt;=30,$AT$3&lt;=AU$7),ROUND(AU513*($AP$3+#REF!),-1),""))</f>
        <v/>
      </c>
      <c r="AW513" s="547" t="s">
        <v>621</v>
      </c>
      <c r="AX513" s="547" t="str">
        <f>IF($G513="","",IF(AND($G513&gt;=30,$AT$3&lt;=AW$7),ROUND(AW513*($AP$3+#REF!),-1),""))</f>
        <v/>
      </c>
      <c r="AY513" s="547" t="s">
        <v>621</v>
      </c>
      <c r="AZ513" s="547" t="str">
        <f>IF($G513="","",IF(AND($G513&gt;=30,$AT$3&lt;=AY$7),ROUND(AY513*($AP$3+#REF!),-1),""))</f>
        <v/>
      </c>
      <c r="BA513" s="547" t="s">
        <v>621</v>
      </c>
      <c r="BB513" s="547" t="str">
        <f>IF($G513="","",IF(AND($G513&gt;=30,$AT$3&lt;=BA$7),ROUND(BA513*($AP$3+#REF!),-1),""))</f>
        <v/>
      </c>
      <c r="BC513" s="547" t="s">
        <v>621</v>
      </c>
      <c r="BD513" s="547" t="str">
        <f>IF($G513="","",IF(AND($G513&gt;=30,$AT$3&lt;=BC$7),ROUND(BC513*($AP$3+#REF!),-1),""))</f>
        <v/>
      </c>
      <c r="BE513" s="547" t="s">
        <v>621</v>
      </c>
      <c r="BF513" s="547" t="str">
        <f>IF($G513="","",IF(AND($G513&gt;=30,$AT$3&lt;=BE$7),ROUND(BE513*($AP$3+#REF!),-1),""))</f>
        <v/>
      </c>
      <c r="BG513" s="547" t="s">
        <v>621</v>
      </c>
      <c r="BH513" s="547" t="str">
        <f>IF($G513="","",IF(AND($G513&gt;=30,$AT$3&lt;=BG$7),ROUND(BG513*($AP$3+#REF!),-1),""))</f>
        <v/>
      </c>
      <c r="BI513" s="547" t="s">
        <v>621</v>
      </c>
      <c r="BJ513" s="547" t="str">
        <f>IF($G513="","",IF(AND($G513&gt;=30,$AT$3&lt;=BI$7),ROUND(BI513*($AP$3+#REF!),-1),""))</f>
        <v/>
      </c>
      <c r="BK513" s="547" t="s">
        <v>621</v>
      </c>
      <c r="BL513" s="547" t="str">
        <f>IF($G513="","",IF(AND($G513&gt;=30,$AT$3&lt;=BK$7),ROUND(BK513*($AP$3+#REF!),-1),""))</f>
        <v/>
      </c>
      <c r="BM513" s="547" t="s">
        <v>621</v>
      </c>
      <c r="BN513" s="547" t="str">
        <f>IF($G513="","",IF(AND($G513&gt;=30,$AT$3&lt;=BM$7),ROUND(BM513*($AP$3+#REF!),-1),""))</f>
        <v/>
      </c>
      <c r="BO513" s="547" t="s">
        <v>621</v>
      </c>
      <c r="BP513" s="547" t="str">
        <f>IF($G513="","",IF(AND($G513&gt;=30,$AT$3&lt;=BO$7),ROUND(BO513*($AP$3+#REF!),-1),""))</f>
        <v/>
      </c>
      <c r="BQ513" s="547" t="s">
        <v>621</v>
      </c>
      <c r="BR513" s="547" t="str">
        <f>IF($G513="","",IF(AND($G513&gt;=30,$AT$3&lt;=BQ$7),ROUND(BQ513*($AP$3+#REF!),-1),""))</f>
        <v/>
      </c>
      <c r="BS513" s="547" t="s">
        <v>621</v>
      </c>
      <c r="BT513" s="547" t="str">
        <f>IF($G513="","",IF(AND($G513&gt;=30,$AT$3&lt;=BS$7),ROUND(BS513*($AP$3+#REF!),-1),""))</f>
        <v/>
      </c>
      <c r="BU513" s="547" t="s">
        <v>621</v>
      </c>
      <c r="BV513" s="547" t="str">
        <f>IF($G513="","",IF(AND($G513&gt;=30,$AT$3&lt;=BU$7),ROUND(BU513*($AP$3+#REF!),-1),""))</f>
        <v/>
      </c>
      <c r="BW513" s="547" t="s">
        <v>621</v>
      </c>
      <c r="BX513" s="547" t="str">
        <f>IF($G513="","",IF(AND($G513&gt;=30,$AT$3&lt;=BW$7),ROUND(BW513*($AP$3+#REF!),-1),""))</f>
        <v/>
      </c>
      <c r="BY513" s="547" t="s">
        <v>621</v>
      </c>
      <c r="BZ513" s="547" t="str">
        <f>IF($G513="","",IF(AND($G513&gt;=30,$AT$3&lt;=BY$7),ROUND(BY513*($AP$3+#REF!),-1),""))</f>
        <v/>
      </c>
      <c r="CA513" s="547" t="s">
        <v>621</v>
      </c>
      <c r="CB513" s="547" t="str">
        <f>IF($G513="","",IF(AND($G513&gt;=30,$AT$3&lt;=CA$7),ROUND(CA513*($AP$3+#REF!),-1),""))</f>
        <v/>
      </c>
      <c r="CC513" s="547" t="s">
        <v>621</v>
      </c>
      <c r="CD513" s="547" t="str">
        <f>IF($G513="","",IF(AND($G513&gt;=30,$AT$3&lt;=CC$7),ROUND(CC513*($AP$3+#REF!),-1),""))</f>
        <v/>
      </c>
      <c r="CE513" s="547" t="s">
        <v>621</v>
      </c>
      <c r="CF513" s="547" t="str">
        <f>IF($G513="","",IF(AND($G513&gt;=30,$AT$3&lt;=CE$7),ROUND(CE513*($AP$3+#REF!),-1),""))</f>
        <v/>
      </c>
      <c r="CG513" s="547" t="s">
        <v>621</v>
      </c>
      <c r="CH513" s="547" t="str">
        <f>IF($G513="","",IF(AND($G513&gt;=30,$AT$3&lt;=CG$7),ROUND(CG513*($AP$3+#REF!),-1),""))</f>
        <v/>
      </c>
      <c r="CI513" s="547" t="s">
        <v>621</v>
      </c>
      <c r="CJ513" s="547" t="str">
        <f>IF($G513="","",IF(AND($G513&gt;=30,$AT$3&lt;=CI$7),ROUND(CI513*($AP$3+#REF!),-1),""))</f>
        <v/>
      </c>
      <c r="CK513" s="547" t="s">
        <v>621</v>
      </c>
      <c r="CL513" s="547" t="str">
        <f>IF($G513="","",IF(AND($G513&gt;=30,$AT$3&lt;=CK$7),ROUND(CK513*($AP$3+#REF!),-1),""))</f>
        <v/>
      </c>
      <c r="CM513" s="547" t="s">
        <v>621</v>
      </c>
      <c r="CN513" s="547" t="str">
        <f>IF($G513="","",IF(AND($G513&gt;=30,$AT$3&lt;=CM$7),ROUND(CM513*($AP$3+#REF!),-1),""))</f>
        <v/>
      </c>
      <c r="CO513" s="547" t="s">
        <v>621</v>
      </c>
      <c r="CP513" s="547" t="str">
        <f>IF($G513="","",IF(AND($G513&gt;=30,$AT$3&lt;=CO$7),ROUND(CO513*($AP$3+#REF!),-1),""))</f>
        <v/>
      </c>
      <c r="CQ513" s="547" t="s">
        <v>621</v>
      </c>
      <c r="CR513" s="547" t="str">
        <f>IF($G513="","",IF(AND($G513&gt;=30,$AT$3&lt;=CQ$7),ROUND(CQ513*($AP$3+#REF!),-1),""))</f>
        <v/>
      </c>
      <c r="CS513" s="547" t="s">
        <v>621</v>
      </c>
      <c r="CT513" s="547" t="str">
        <f>IF($G513="","",IF(AND($G513&gt;=30,$AT$3&lt;=CS$7),ROUND(CS513*($AP$3+#REF!),-1),""))</f>
        <v/>
      </c>
      <c r="CU513" s="547" t="s">
        <v>621</v>
      </c>
      <c r="CV513" s="547" t="str">
        <f>IF($G513="","",IF(AND($G513&gt;=30,$AT$3&lt;=CU$7),ROUND(CU513*($AP$3+#REF!),-1),""))</f>
        <v/>
      </c>
      <c r="CW513" s="547" t="s">
        <v>621</v>
      </c>
      <c r="CX513" s="547" t="str">
        <f>IF($G513="","",IF(AND($G513&gt;=30,$AT$3&lt;=CW$7),ROUND(CW513*($AP$3+#REF!),-1),""))</f>
        <v/>
      </c>
      <c r="CY513" s="547" t="s">
        <v>621</v>
      </c>
      <c r="CZ513" s="547" t="str">
        <f>IF($G513="","",IF(AND($G513&gt;=30,$AT$3&lt;=CY$7),ROUND(CY513*($AP$3+#REF!),-1),""))</f>
        <v/>
      </c>
      <c r="DA513" s="547" t="s">
        <v>621</v>
      </c>
      <c r="DB513" s="547" t="str">
        <f>IF($G513="","",IF(AND($G513&gt;=30,$AT$3&lt;=DA$7),ROUND(DA513*($AP$3+#REF!),-1),""))</f>
        <v/>
      </c>
      <c r="DC513" s="547" t="s">
        <v>621</v>
      </c>
      <c r="DD513" s="547" t="str">
        <f>IF($G513="","",IF(AND($G513&gt;=30,$AT$3&lt;=DC$7),ROUND(DC513*($AP$3+#REF!),-1),""))</f>
        <v/>
      </c>
      <c r="DE513" s="547" t="s">
        <v>621</v>
      </c>
      <c r="DF513" s="547" t="str">
        <f>IF($G513="","",IF(AND($G513&gt;=30,$AT$3&lt;=DE$7),ROUND(DE513*($AP$3+#REF!),-1),""))</f>
        <v/>
      </c>
      <c r="DG513" s="547" t="s">
        <v>621</v>
      </c>
      <c r="DH513" s="547" t="str">
        <f>IF($G513="","",IF(AND($G513&gt;=30,$AT$3&lt;=DG$7),ROUND(DG513*($AP$3+#REF!),-1),""))</f>
        <v/>
      </c>
      <c r="DI513" s="547" t="s">
        <v>621</v>
      </c>
      <c r="DJ513" s="547" t="str">
        <f>IF($G513="","",IF(AND($G513&gt;=30,$AT$3&lt;=DI$7),ROUND(DI513*($AP$3+#REF!),-1),""))</f>
        <v/>
      </c>
      <c r="DK513" s="547" t="s">
        <v>621</v>
      </c>
      <c r="DL513" s="547" t="str">
        <f>IF($G513="","",IF(AND($G513&gt;=30,$AT$3&lt;=DK$7),ROUND(DK513*($AP$3+#REF!),-1),""))</f>
        <v/>
      </c>
      <c r="DM513" s="533" t="e">
        <v>#REF!</v>
      </c>
      <c r="DN513" s="547" t="str">
        <f>IF($G513="","",IF(AND($G513&gt;=30,$AT$3&lt;=DM$7),ROUND(DM513*($AP$3+#REF!),-1),""))</f>
        <v/>
      </c>
      <c r="DO513" s="547"/>
      <c r="DP513" s="547" t="str">
        <f>IF($G513="","",IF(AND($G513&gt;=30,$AT$3&lt;=DO$7),ROUND(DO513*($AP$3+#REF!),-1),""))</f>
        <v/>
      </c>
      <c r="DQ513" s="547"/>
      <c r="DR513" s="547" t="str">
        <f>IF($G513="","",IF(AND($G513&gt;=30,$AT$3&lt;=DQ$7),ROUND(DQ513*($AP$3+#REF!),-1),""))</f>
        <v/>
      </c>
      <c r="DS513" s="547"/>
      <c r="DT513" s="547" t="str">
        <f>IF($G513="","",IF(AND($G513&gt;=30,$AT$3&lt;=DS$7),ROUND(DS513*($AP$3+#REF!),-1),""))</f>
        <v/>
      </c>
      <c r="DU513" s="547"/>
      <c r="DV513" s="547" t="str">
        <f>IF($G513="","",IF(AND($G513&gt;=30,$AT$3&lt;=DU$7),ROUND(DU513*($AP$3+#REF!),-1),""))</f>
        <v/>
      </c>
      <c r="DW513" s="547"/>
      <c r="DX513" s="547" t="str">
        <f>IF($G513="","",IF(AND($G513&gt;=30,$AT$3&lt;=DW$7),ROUND(DW513*($AP$3+#REF!),-1),""))</f>
        <v/>
      </c>
      <c r="DY513" s="547"/>
      <c r="DZ513" s="547" t="str">
        <f>IF($G513="","",IF(AND($G513&gt;=30,$AT$3&lt;=DY$7),ROUND(DY513*($AP$3+#REF!),-1),""))</f>
        <v/>
      </c>
      <c r="EA513" s="547"/>
      <c r="EB513" s="547" t="str">
        <f>IF($G513="","",IF(AND($G513&gt;=30,$AT$3&lt;=EA$7),ROUND(EA513*($AP$3+#REF!),-1),""))</f>
        <v/>
      </c>
      <c r="EC513" s="547"/>
      <c r="ED513" s="436"/>
      <c r="EE513" s="394"/>
    </row>
    <row r="514" spans="1:135" ht="9.75" customHeight="1">
      <c r="A514" s="321" t="str">
        <f t="shared" si="124"/>
        <v/>
      </c>
      <c r="B514" s="567">
        <f>(ii!$D$13*12+V514)+1</f>
        <v>408</v>
      </c>
      <c r="C514" s="337">
        <f t="shared" si="114"/>
        <v>57769</v>
      </c>
      <c r="D514" s="484">
        <f t="shared" si="117"/>
        <v>2058</v>
      </c>
      <c r="E514" s="484">
        <f t="shared" si="115"/>
        <v>0.16666666666666666</v>
      </c>
      <c r="F514" s="484">
        <f t="shared" si="118"/>
        <v>2058.1666666666665</v>
      </c>
      <c r="G514" s="485" t="str">
        <f>IF(OR(C514&lt;$I$2,C514&gt;$J$3),"",(ii!$D$13*12+V514+1)/12)</f>
        <v/>
      </c>
      <c r="H514" s="486"/>
      <c r="I514" s="486"/>
      <c r="J514" s="487"/>
      <c r="K514" s="488"/>
      <c r="L514" s="548"/>
      <c r="M514" s="489" t="str">
        <f t="shared" si="119"/>
        <v/>
      </c>
      <c r="N514" s="490" t="s">
        <v>621</v>
      </c>
      <c r="O514" s="490" t="str">
        <f t="shared" si="112"/>
        <v/>
      </c>
      <c r="P514" s="491"/>
      <c r="Q514" s="491"/>
      <c r="R514" s="491" t="str">
        <f t="shared" si="113"/>
        <v/>
      </c>
      <c r="S514" s="528" t="str">
        <f t="shared" si="125"/>
        <v/>
      </c>
      <c r="T514" s="528" t="str">
        <f t="shared" si="123"/>
        <v/>
      </c>
      <c r="U514" s="493" t="str">
        <f>IF(H514="","",#REF!*12+#REF!+#REF!*12+#REF!)</f>
        <v/>
      </c>
      <c r="V514" s="338">
        <f>IF(ii!$J$3&gt;gg!C514,"",IF(AND((YEAR(C514)=YEAR($I$2)),MONTH(C514)=MONTH($I$2)),ii!$B$14*12+ii!$C$14+ii!$B$15*12+ii!$C$15-1,V513+1))</f>
        <v>407</v>
      </c>
      <c r="W514" s="339">
        <f t="shared" si="116"/>
        <v>33.916666666666664</v>
      </c>
      <c r="X514" s="494" t="s">
        <v>621</v>
      </c>
      <c r="Y514" s="495" t="s">
        <v>621</v>
      </c>
      <c r="Z514" s="496"/>
      <c r="AA514" s="497"/>
      <c r="AB514" s="498" t="e">
        <f t="shared" si="122"/>
        <v>#VALUE!</v>
      </c>
      <c r="AC514" s="484" t="str">
        <f t="shared" si="120"/>
        <v/>
      </c>
      <c r="AD514" s="495" t="str">
        <f t="shared" si="121"/>
        <v/>
      </c>
      <c r="AE514" s="499" t="s">
        <v>621</v>
      </c>
      <c r="AF514" s="500" t="s">
        <v>621</v>
      </c>
      <c r="AG514" s="556" t="s">
        <v>621</v>
      </c>
      <c r="AH514" s="503" t="str">
        <f>IF($G514="","",IF(AND($G514&gt;=30,$AT$3&lt;=AG$7),ROUND(AG514*($AP$3+#REF!),-1),""))</f>
        <v/>
      </c>
      <c r="AI514" s="506" t="s">
        <v>621</v>
      </c>
      <c r="AJ514" s="503" t="str">
        <f>IF($G514="","",IF(AND($G514&gt;=30,$AT$3&lt;=AI$7),ROUND(AI514*($AP$3+#REF!),-1),""))</f>
        <v/>
      </c>
      <c r="AK514" s="506" t="s">
        <v>621</v>
      </c>
      <c r="AL514" s="503" t="str">
        <f>IF($G514="","",IF(AND($G514&gt;=30,$AT$3&lt;=AK$7),ROUND(AK514*($AP$3+#REF!),-1),""))</f>
        <v/>
      </c>
      <c r="AM514" s="506" t="s">
        <v>621</v>
      </c>
      <c r="AN514" s="503" t="str">
        <f>IF($G514="","",IF(AND($G514&gt;=30,$AT$3&lt;=AM$7),ROUND(AM514*($AP$3+#REF!),-1),""))</f>
        <v/>
      </c>
      <c r="AO514" s="503" t="e">
        <f>IF(AO513="","",AO513*1.001)</f>
        <v>#REF!</v>
      </c>
      <c r="AP514" s="503" t="str">
        <f>IF($G514="","",IF(AND($G514&gt;=30,$AT$3&lt;=AO$7),ROUND(AO514*($AP$3+#REF!),-1),""))</f>
        <v/>
      </c>
      <c r="AQ514" s="503" t="s">
        <v>621</v>
      </c>
      <c r="AR514" s="503" t="str">
        <f>IF($G514="","",IF(AND($G514&gt;=30,$AT$3&lt;=AQ$7),ROUND(AQ514*($AP$3+#REF!),-1),""))</f>
        <v/>
      </c>
      <c r="AS514" s="503" t="s">
        <v>621</v>
      </c>
      <c r="AT514" s="503" t="str">
        <f>IF($G514="","",IF(AND($G514&gt;=30,$AT$3&lt;=AS$7),ROUND(AS514*($AP$3+#REF!),-1),""))</f>
        <v/>
      </c>
      <c r="AU514" s="503" t="s">
        <v>621</v>
      </c>
      <c r="AV514" s="503" t="str">
        <f>IF($G514="","",IF(AND($G514&gt;=30,$AT$3&lt;=AU$7),ROUND(AU514*($AP$3+#REF!),-1),""))</f>
        <v/>
      </c>
      <c r="AW514" s="503" t="s">
        <v>621</v>
      </c>
      <c r="AX514" s="503" t="str">
        <f>IF($G514="","",IF(AND($G514&gt;=30,$AT$3&lt;=AW$7),ROUND(AW514*($AP$3+#REF!),-1),""))</f>
        <v/>
      </c>
      <c r="AY514" s="503" t="s">
        <v>621</v>
      </c>
      <c r="AZ514" s="503" t="str">
        <f>IF($G514="","",IF(AND($G514&gt;=30,$AT$3&lt;=AY$7),ROUND(AY514*($AP$3+#REF!),-1),""))</f>
        <v/>
      </c>
      <c r="BA514" s="503" t="s">
        <v>621</v>
      </c>
      <c r="BB514" s="503" t="str">
        <f>IF($G514="","",IF(AND($G514&gt;=30,$AT$3&lt;=BA$7),ROUND(BA514*($AP$3+#REF!),-1),""))</f>
        <v/>
      </c>
      <c r="BC514" s="503" t="s">
        <v>621</v>
      </c>
      <c r="BD514" s="503" t="str">
        <f>IF($G514="","",IF(AND($G514&gt;=30,$AT$3&lt;=BC$7),ROUND(BC514*($AP$3+#REF!),-1),""))</f>
        <v/>
      </c>
      <c r="BE514" s="503" t="s">
        <v>621</v>
      </c>
      <c r="BF514" s="503" t="str">
        <f>IF($G514="","",IF(AND($G514&gt;=30,$AT$3&lt;=BE$7),ROUND(BE514*($AP$3+#REF!),-1),""))</f>
        <v/>
      </c>
      <c r="BG514" s="503" t="s">
        <v>621</v>
      </c>
      <c r="BH514" s="503" t="str">
        <f>IF($G514="","",IF(AND($G514&gt;=30,$AT$3&lt;=BG$7),ROUND(BG514*($AP$3+#REF!),-1),""))</f>
        <v/>
      </c>
      <c r="BI514" s="503" t="s">
        <v>621</v>
      </c>
      <c r="BJ514" s="503" t="str">
        <f>IF($G514="","",IF(AND($G514&gt;=30,$AT$3&lt;=BI$7),ROUND(BI514*($AP$3+#REF!),-1),""))</f>
        <v/>
      </c>
      <c r="BK514" s="503" t="s">
        <v>621</v>
      </c>
      <c r="BL514" s="503" t="str">
        <f>IF($G514="","",IF(AND($G514&gt;=30,$AT$3&lt;=BK$7),ROUND(BK514*($AP$3+#REF!),-1),""))</f>
        <v/>
      </c>
      <c r="BM514" s="503" t="s">
        <v>621</v>
      </c>
      <c r="BN514" s="503" t="str">
        <f>IF($G514="","",IF(AND($G514&gt;=30,$AT$3&lt;=BM$7),ROUND(BM514*($AP$3+#REF!),-1),""))</f>
        <v/>
      </c>
      <c r="BO514" s="503" t="s">
        <v>621</v>
      </c>
      <c r="BP514" s="503" t="str">
        <f>IF($G514="","",IF(AND($G514&gt;=30,$AT$3&lt;=BO$7),ROUND(BO514*($AP$3+#REF!),-1),""))</f>
        <v/>
      </c>
      <c r="BQ514" s="503" t="s">
        <v>621</v>
      </c>
      <c r="BR514" s="503" t="str">
        <f>IF($G514="","",IF(AND($G514&gt;=30,$AT$3&lt;=BQ$7),ROUND(BQ514*($AP$3+#REF!),-1),""))</f>
        <v/>
      </c>
      <c r="BS514" s="503" t="s">
        <v>621</v>
      </c>
      <c r="BT514" s="503" t="str">
        <f>IF($G514="","",IF(AND($G514&gt;=30,$AT$3&lt;=BS$7),ROUND(BS514*($AP$3+#REF!),-1),""))</f>
        <v/>
      </c>
      <c r="BU514" s="503" t="s">
        <v>621</v>
      </c>
      <c r="BV514" s="503" t="str">
        <f>IF($G514="","",IF(AND($G514&gt;=30,$AT$3&lt;=BU$7),ROUND(BU514*($AP$3+#REF!),-1),""))</f>
        <v/>
      </c>
      <c r="BW514" s="503" t="s">
        <v>621</v>
      </c>
      <c r="BX514" s="503" t="str">
        <f>IF($G514="","",IF(AND($G514&gt;=30,$AT$3&lt;=BW$7),ROUND(BW514*($AP$3+#REF!),-1),""))</f>
        <v/>
      </c>
      <c r="BY514" s="503" t="s">
        <v>621</v>
      </c>
      <c r="BZ514" s="503" t="str">
        <f>IF($G514="","",IF(AND($G514&gt;=30,$AT$3&lt;=BY$7),ROUND(BY514*($AP$3+#REF!),-1),""))</f>
        <v/>
      </c>
      <c r="CA514" s="503" t="s">
        <v>621</v>
      </c>
      <c r="CB514" s="503" t="str">
        <f>IF($G514="","",IF(AND($G514&gt;=30,$AT$3&lt;=CA$7),ROUND(CA514*($AP$3+#REF!),-1),""))</f>
        <v/>
      </c>
      <c r="CC514" s="503" t="s">
        <v>621</v>
      </c>
      <c r="CD514" s="503" t="str">
        <f>IF($G514="","",IF(AND($G514&gt;=30,$AT$3&lt;=CC$7),ROUND(CC514*($AP$3+#REF!),-1),""))</f>
        <v/>
      </c>
      <c r="CE514" s="503" t="s">
        <v>621</v>
      </c>
      <c r="CF514" s="503" t="str">
        <f>IF($G514="","",IF(AND($G514&gt;=30,$AT$3&lt;=CE$7),ROUND(CE514*($AP$3+#REF!),-1),""))</f>
        <v/>
      </c>
      <c r="CG514" s="503" t="s">
        <v>621</v>
      </c>
      <c r="CH514" s="503" t="str">
        <f>IF($G514="","",IF(AND($G514&gt;=30,$AT$3&lt;=CG$7),ROUND(CG514*($AP$3+#REF!),-1),""))</f>
        <v/>
      </c>
      <c r="CI514" s="503" t="s">
        <v>621</v>
      </c>
      <c r="CJ514" s="503" t="str">
        <f>IF($G514="","",IF(AND($G514&gt;=30,$AT$3&lt;=CI$7),ROUND(CI514*($AP$3+#REF!),-1),""))</f>
        <v/>
      </c>
      <c r="CK514" s="503" t="s">
        <v>621</v>
      </c>
      <c r="CL514" s="503" t="str">
        <f>IF($G514="","",IF(AND($G514&gt;=30,$AT$3&lt;=CK$7),ROUND(CK514*($AP$3+#REF!),-1),""))</f>
        <v/>
      </c>
      <c r="CM514" s="503" t="s">
        <v>621</v>
      </c>
      <c r="CN514" s="503" t="str">
        <f>IF($G514="","",IF(AND($G514&gt;=30,$AT$3&lt;=CM$7),ROUND(CM514*($AP$3+#REF!),-1),""))</f>
        <v/>
      </c>
      <c r="CO514" s="503" t="s">
        <v>621</v>
      </c>
      <c r="CP514" s="503" t="str">
        <f>IF($G514="","",IF(AND($G514&gt;=30,$AT$3&lt;=CO$7),ROUND(CO514*($AP$3+#REF!),-1),""))</f>
        <v/>
      </c>
      <c r="CQ514" s="503" t="s">
        <v>621</v>
      </c>
      <c r="CR514" s="503" t="str">
        <f>IF($G514="","",IF(AND($G514&gt;=30,$AT$3&lt;=CQ$7),ROUND(CQ514*($AP$3+#REF!),-1),""))</f>
        <v/>
      </c>
      <c r="CS514" s="503" t="s">
        <v>621</v>
      </c>
      <c r="CT514" s="503" t="str">
        <f>IF($G514="","",IF(AND($G514&gt;=30,$AT$3&lt;=CS$7),ROUND(CS514*($AP$3+#REF!),-1),""))</f>
        <v/>
      </c>
      <c r="CU514" s="503" t="s">
        <v>621</v>
      </c>
      <c r="CV514" s="503" t="str">
        <f>IF($G514="","",IF(AND($G514&gt;=30,$AT$3&lt;=CU$7),ROUND(CU514*($AP$3+#REF!),-1),""))</f>
        <v/>
      </c>
      <c r="CW514" s="503" t="s">
        <v>621</v>
      </c>
      <c r="CX514" s="503" t="str">
        <f>IF($G514="","",IF(AND($G514&gt;=30,$AT$3&lt;=CW$7),ROUND(CW514*($AP$3+#REF!),-1),""))</f>
        <v/>
      </c>
      <c r="CY514" s="503" t="s">
        <v>621</v>
      </c>
      <c r="CZ514" s="503" t="str">
        <f>IF($G514="","",IF(AND($G514&gt;=30,$AT$3&lt;=CY$7),ROUND(CY514*($AP$3+#REF!),-1),""))</f>
        <v/>
      </c>
      <c r="DA514" s="503" t="s">
        <v>621</v>
      </c>
      <c r="DB514" s="503" t="str">
        <f>IF($G514="","",IF(AND($G514&gt;=30,$AT$3&lt;=DA$7),ROUND(DA514*($AP$3+#REF!),-1),""))</f>
        <v/>
      </c>
      <c r="DC514" s="503" t="s">
        <v>621</v>
      </c>
      <c r="DD514" s="503" t="str">
        <f>IF($G514="","",IF(AND($G514&gt;=30,$AT$3&lt;=DC$7),ROUND(DC514*($AP$3+#REF!),-1),""))</f>
        <v/>
      </c>
      <c r="DE514" s="503" t="s">
        <v>621</v>
      </c>
      <c r="DF514" s="503" t="str">
        <f>IF($G514="","",IF(AND($G514&gt;=30,$AT$3&lt;=DE$7),ROUND(DE514*($AP$3+#REF!),-1),""))</f>
        <v/>
      </c>
      <c r="DG514" s="503" t="s">
        <v>621</v>
      </c>
      <c r="DH514" s="503" t="str">
        <f>IF($G514="","",IF(AND($G514&gt;=30,$AT$3&lt;=DG$7),ROUND(DG514*($AP$3+#REF!),-1),""))</f>
        <v/>
      </c>
      <c r="DI514" s="503" t="s">
        <v>621</v>
      </c>
      <c r="DJ514" s="503" t="str">
        <f>IF($G514="","",IF(AND($G514&gt;=30,$AT$3&lt;=DI$7),ROUND(DI514*($AP$3+#REF!),-1),""))</f>
        <v/>
      </c>
      <c r="DK514" s="503" t="s">
        <v>621</v>
      </c>
      <c r="DL514" s="503" t="str">
        <f>IF($G514="","",IF(AND($G514&gt;=30,$AT$3&lt;=DK$7),ROUND(DK514*($AP$3+#REF!),-1),""))</f>
        <v/>
      </c>
      <c r="DM514" s="517" t="e">
        <v>#REF!</v>
      </c>
      <c r="DN514" s="503" t="str">
        <f>IF($G514="","",IF(AND($G514&gt;=30,$AT$3&lt;=DM$7),ROUND(DM514*($AP$3+#REF!),-1),""))</f>
        <v/>
      </c>
      <c r="DO514" s="503"/>
      <c r="DP514" s="503" t="str">
        <f>IF($G514="","",IF(AND($G514&gt;=30,$AT$3&lt;=DO$7),ROUND(DO514*($AP$3+#REF!),-1),""))</f>
        <v/>
      </c>
      <c r="DQ514" s="503"/>
      <c r="DR514" s="503" t="str">
        <f>IF($G514="","",IF(AND($G514&gt;=30,$AT$3&lt;=DQ$7),ROUND(DQ514*($AP$3+#REF!),-1),""))</f>
        <v/>
      </c>
      <c r="DS514" s="503"/>
      <c r="DT514" s="503" t="str">
        <f>IF($G514="","",IF(AND($G514&gt;=30,$AT$3&lt;=DS$7),ROUND(DS514*($AP$3+#REF!),-1),""))</f>
        <v/>
      </c>
      <c r="DU514" s="503"/>
      <c r="DV514" s="503" t="str">
        <f>IF($G514="","",IF(AND($G514&gt;=30,$AT$3&lt;=DU$7),ROUND(DU514*($AP$3+#REF!),-1),""))</f>
        <v/>
      </c>
      <c r="DW514" s="503"/>
      <c r="DX514" s="503" t="str">
        <f>IF($G514="","",IF(AND($G514&gt;=30,$AT$3&lt;=DW$7),ROUND(DW514*($AP$3+#REF!),-1),""))</f>
        <v/>
      </c>
      <c r="DY514" s="503"/>
      <c r="DZ514" s="503" t="str">
        <f>IF($G514="","",IF(AND($G514&gt;=30,$AT$3&lt;=DY$7),ROUND(DY514*($AP$3+#REF!),-1),""))</f>
        <v/>
      </c>
      <c r="EA514" s="503"/>
      <c r="EB514" s="503" t="str">
        <f>IF($G514="","",IF(AND($G514&gt;=30,$AT$3&lt;=EA$7),ROUND(EA514*($AP$3+#REF!),-1),""))</f>
        <v/>
      </c>
      <c r="EC514" s="436"/>
      <c r="ED514" s="436"/>
      <c r="EE514" s="394"/>
    </row>
    <row r="515" spans="1:135" ht="9.75" customHeight="1">
      <c r="A515" s="321" t="str">
        <f t="shared" si="124"/>
        <v/>
      </c>
      <c r="B515" s="567">
        <f>(ii!$D$13*12+V515)+1</f>
        <v>409</v>
      </c>
      <c r="C515" s="337">
        <f t="shared" si="114"/>
        <v>57800</v>
      </c>
      <c r="D515" s="484">
        <f t="shared" si="117"/>
        <v>2058</v>
      </c>
      <c r="E515" s="484">
        <f t="shared" si="115"/>
        <v>0.25</v>
      </c>
      <c r="F515" s="484">
        <f t="shared" si="118"/>
        <v>2058.25</v>
      </c>
      <c r="G515" s="485" t="str">
        <f>IF(OR(C515&lt;$I$2,C515&gt;$J$3),"",(ii!$D$13*12+V515+1)/12)</f>
        <v/>
      </c>
      <c r="H515" s="486"/>
      <c r="I515" s="486"/>
      <c r="J515" s="487"/>
      <c r="K515" s="488"/>
      <c r="L515" s="548"/>
      <c r="M515" s="489" t="str">
        <f t="shared" si="119"/>
        <v/>
      </c>
      <c r="N515" s="490" t="s">
        <v>621</v>
      </c>
      <c r="O515" s="490" t="str">
        <f t="shared" si="112"/>
        <v/>
      </c>
      <c r="P515" s="491"/>
      <c r="Q515" s="491"/>
      <c r="R515" s="491" t="str">
        <f t="shared" si="113"/>
        <v/>
      </c>
      <c r="S515" s="528" t="str">
        <f t="shared" si="125"/>
        <v/>
      </c>
      <c r="T515" s="528" t="str">
        <f t="shared" si="123"/>
        <v/>
      </c>
      <c r="U515" s="493" t="str">
        <f>IF(H515="","",#REF!*12+#REF!+#REF!*12+#REF!)</f>
        <v/>
      </c>
      <c r="V515" s="338">
        <f>IF(ii!$J$3&gt;gg!C515,"",IF(AND((YEAR(C515)=YEAR($I$2)),MONTH(C515)=MONTH($I$2)),ii!$B$14*12+ii!$C$14+ii!$B$15*12+ii!$C$15-1,V514+1))</f>
        <v>408</v>
      </c>
      <c r="W515" s="339">
        <f t="shared" si="116"/>
        <v>34</v>
      </c>
      <c r="X515" s="494" t="s">
        <v>621</v>
      </c>
      <c r="Y515" s="495" t="s">
        <v>621</v>
      </c>
      <c r="Z515" s="496"/>
      <c r="AA515" s="497"/>
      <c r="AB515" s="498" t="e">
        <f t="shared" si="122"/>
        <v>#VALUE!</v>
      </c>
      <c r="AC515" s="484" t="str">
        <f t="shared" si="120"/>
        <v/>
      </c>
      <c r="AD515" s="495" t="str">
        <f t="shared" si="121"/>
        <v/>
      </c>
      <c r="AE515" s="499" t="s">
        <v>621</v>
      </c>
      <c r="AF515" s="500" t="s">
        <v>621</v>
      </c>
      <c r="AG515" s="556" t="s">
        <v>621</v>
      </c>
      <c r="AH515" s="503" t="str">
        <f>IF($G515="","",IF(AND($G515&gt;=30,$AT$3&lt;=AG$7),ROUND(AG515*($AP$3+#REF!),-1),""))</f>
        <v/>
      </c>
      <c r="AI515" s="506" t="s">
        <v>621</v>
      </c>
      <c r="AJ515" s="503" t="str">
        <f>IF($G515="","",IF(AND($G515&gt;=30,$AT$3&lt;=AI$7),ROUND(AI515*($AP$3+#REF!),-1),""))</f>
        <v/>
      </c>
      <c r="AK515" s="506" t="s">
        <v>621</v>
      </c>
      <c r="AL515" s="503" t="str">
        <f>IF($G515="","",IF(AND($G515&gt;=30,$AT$3&lt;=AK$7),ROUND(AK515*($AP$3+#REF!),-1),""))</f>
        <v/>
      </c>
      <c r="AM515" s="506" t="s">
        <v>621</v>
      </c>
      <c r="AN515" s="503" t="str">
        <f>IF($G515="","",IF(AND($G515&gt;=30,$AT$3&lt;=AM$7),ROUND(AM515*($AP$3+#REF!),-1),""))</f>
        <v/>
      </c>
      <c r="AO515" s="503" t="e">
        <v>#REF!</v>
      </c>
      <c r="AP515" s="503" t="str">
        <f>IF($G515="","",IF(AND($G515&gt;=30,$AT$3&lt;=AO$7),ROUND(AO515*($AP$3+#REF!),-1),""))</f>
        <v/>
      </c>
      <c r="AQ515" s="503" t="s">
        <v>621</v>
      </c>
      <c r="AR515" s="503" t="str">
        <f>IF($G515="","",IF(AND($G515&gt;=30,$AT$3&lt;=AQ$7),ROUND(AQ515*($AP$3+#REF!),-1),""))</f>
        <v/>
      </c>
      <c r="AS515" s="503" t="s">
        <v>621</v>
      </c>
      <c r="AT515" s="503" t="str">
        <f>IF($G515="","",IF(AND($G515&gt;=30,$AT$3&lt;=AS$7),ROUND(AS515*($AP$3+#REF!),-1),""))</f>
        <v/>
      </c>
      <c r="AU515" s="503" t="s">
        <v>621</v>
      </c>
      <c r="AV515" s="503" t="str">
        <f>IF($G515="","",IF(AND($G515&gt;=30,$AT$3&lt;=AU$7),ROUND(AU515*($AP$3+#REF!),-1),""))</f>
        <v/>
      </c>
      <c r="AW515" s="503" t="s">
        <v>621</v>
      </c>
      <c r="AX515" s="503" t="str">
        <f>IF($G515="","",IF(AND($G515&gt;=30,$AT$3&lt;=AW$7),ROUND(AW515*($AP$3+#REF!),-1),""))</f>
        <v/>
      </c>
      <c r="AY515" s="503" t="s">
        <v>621</v>
      </c>
      <c r="AZ515" s="503" t="str">
        <f>IF($G515="","",IF(AND($G515&gt;=30,$AT$3&lt;=AY$7),ROUND(AY515*($AP$3+#REF!),-1),""))</f>
        <v/>
      </c>
      <c r="BA515" s="503" t="s">
        <v>621</v>
      </c>
      <c r="BB515" s="503" t="str">
        <f>IF($G515="","",IF(AND($G515&gt;=30,$AT$3&lt;=BA$7),ROUND(BA515*($AP$3+#REF!),-1),""))</f>
        <v/>
      </c>
      <c r="BC515" s="503" t="s">
        <v>621</v>
      </c>
      <c r="BD515" s="503" t="str">
        <f>IF($G515="","",IF(AND($G515&gt;=30,$AT$3&lt;=BC$7),ROUND(BC515*($AP$3+#REF!),-1),""))</f>
        <v/>
      </c>
      <c r="BE515" s="503" t="s">
        <v>621</v>
      </c>
      <c r="BF515" s="503" t="str">
        <f>IF($G515="","",IF(AND($G515&gt;=30,$AT$3&lt;=BE$7),ROUND(BE515*($AP$3+#REF!),-1),""))</f>
        <v/>
      </c>
      <c r="BG515" s="503" t="s">
        <v>621</v>
      </c>
      <c r="BH515" s="503" t="str">
        <f>IF($G515="","",IF(AND($G515&gt;=30,$AT$3&lt;=BG$7),ROUND(BG515*($AP$3+#REF!),-1),""))</f>
        <v/>
      </c>
      <c r="BI515" s="503" t="s">
        <v>621</v>
      </c>
      <c r="BJ515" s="503" t="str">
        <f>IF($G515="","",IF(AND($G515&gt;=30,$AT$3&lt;=BI$7),ROUND(BI515*($AP$3+#REF!),-1),""))</f>
        <v/>
      </c>
      <c r="BK515" s="503" t="s">
        <v>621</v>
      </c>
      <c r="BL515" s="503" t="str">
        <f>IF($G515="","",IF(AND($G515&gt;=30,$AT$3&lt;=BK$7),ROUND(BK515*($AP$3+#REF!),-1),""))</f>
        <v/>
      </c>
      <c r="BM515" s="503" t="s">
        <v>621</v>
      </c>
      <c r="BN515" s="503" t="str">
        <f>IF($G515="","",IF(AND($G515&gt;=30,$AT$3&lt;=BM$7),ROUND(BM515*($AP$3+#REF!),-1),""))</f>
        <v/>
      </c>
      <c r="BO515" s="503" t="s">
        <v>621</v>
      </c>
      <c r="BP515" s="503" t="str">
        <f>IF($G515="","",IF(AND($G515&gt;=30,$AT$3&lt;=BO$7),ROUND(BO515*($AP$3+#REF!),-1),""))</f>
        <v/>
      </c>
      <c r="BQ515" s="503" t="s">
        <v>621</v>
      </c>
      <c r="BR515" s="503" t="str">
        <f>IF($G515="","",IF(AND($G515&gt;=30,$AT$3&lt;=BQ$7),ROUND(BQ515*($AP$3+#REF!),-1),""))</f>
        <v/>
      </c>
      <c r="BS515" s="503" t="s">
        <v>621</v>
      </c>
      <c r="BT515" s="503" t="str">
        <f>IF($G515="","",IF(AND($G515&gt;=30,$AT$3&lt;=BS$7),ROUND(BS515*($AP$3+#REF!),-1),""))</f>
        <v/>
      </c>
      <c r="BU515" s="503" t="s">
        <v>621</v>
      </c>
      <c r="BV515" s="503" t="str">
        <f>IF($G515="","",IF(AND($G515&gt;=30,$AT$3&lt;=BU$7),ROUND(BU515*($AP$3+#REF!),-1),""))</f>
        <v/>
      </c>
      <c r="BW515" s="503" t="s">
        <v>621</v>
      </c>
      <c r="BX515" s="503" t="str">
        <f>IF($G515="","",IF(AND($G515&gt;=30,$AT$3&lt;=BW$7),ROUND(BW515*($AP$3+#REF!),-1),""))</f>
        <v/>
      </c>
      <c r="BY515" s="503" t="s">
        <v>621</v>
      </c>
      <c r="BZ515" s="503" t="str">
        <f>IF($G515="","",IF(AND($G515&gt;=30,$AT$3&lt;=BY$7),ROUND(BY515*($AP$3+#REF!),-1),""))</f>
        <v/>
      </c>
      <c r="CA515" s="503" t="s">
        <v>621</v>
      </c>
      <c r="CB515" s="503" t="str">
        <f>IF($G515="","",IF(AND($G515&gt;=30,$AT$3&lt;=CA$7),ROUND(CA515*($AP$3+#REF!),-1),""))</f>
        <v/>
      </c>
      <c r="CC515" s="503" t="s">
        <v>621</v>
      </c>
      <c r="CD515" s="503" t="str">
        <f>IF($G515="","",IF(AND($G515&gt;=30,$AT$3&lt;=CC$7),ROUND(CC515*($AP$3+#REF!),-1),""))</f>
        <v/>
      </c>
      <c r="CE515" s="503" t="s">
        <v>621</v>
      </c>
      <c r="CF515" s="503" t="str">
        <f>IF($G515="","",IF(AND($G515&gt;=30,$AT$3&lt;=CE$7),ROUND(CE515*($AP$3+#REF!),-1),""))</f>
        <v/>
      </c>
      <c r="CG515" s="503" t="s">
        <v>621</v>
      </c>
      <c r="CH515" s="503" t="str">
        <f>IF($G515="","",IF(AND($G515&gt;=30,$AT$3&lt;=CG$7),ROUND(CG515*($AP$3+#REF!),-1),""))</f>
        <v/>
      </c>
      <c r="CI515" s="503" t="s">
        <v>621</v>
      </c>
      <c r="CJ515" s="503" t="str">
        <f>IF($G515="","",IF(AND($G515&gt;=30,$AT$3&lt;=CI$7),ROUND(CI515*($AP$3+#REF!),-1),""))</f>
        <v/>
      </c>
      <c r="CK515" s="503" t="s">
        <v>621</v>
      </c>
      <c r="CL515" s="503" t="str">
        <f>IF($G515="","",IF(AND($G515&gt;=30,$AT$3&lt;=CK$7),ROUND(CK515*($AP$3+#REF!),-1),""))</f>
        <v/>
      </c>
      <c r="CM515" s="503" t="s">
        <v>621</v>
      </c>
      <c r="CN515" s="503" t="str">
        <f>IF($G515="","",IF(AND($G515&gt;=30,$AT$3&lt;=CM$7),ROUND(CM515*($AP$3+#REF!),-1),""))</f>
        <v/>
      </c>
      <c r="CO515" s="503" t="s">
        <v>621</v>
      </c>
      <c r="CP515" s="503" t="str">
        <f>IF($G515="","",IF(AND($G515&gt;=30,$AT$3&lt;=CO$7),ROUND(CO515*($AP$3+#REF!),-1),""))</f>
        <v/>
      </c>
      <c r="CQ515" s="503" t="s">
        <v>621</v>
      </c>
      <c r="CR515" s="503" t="str">
        <f>IF($G515="","",IF(AND($G515&gt;=30,$AT$3&lt;=CQ$7),ROUND(CQ515*($AP$3+#REF!),-1),""))</f>
        <v/>
      </c>
      <c r="CS515" s="503" t="s">
        <v>621</v>
      </c>
      <c r="CT515" s="503" t="str">
        <f>IF($G515="","",IF(AND($G515&gt;=30,$AT$3&lt;=CS$7),ROUND(CS515*($AP$3+#REF!),-1),""))</f>
        <v/>
      </c>
      <c r="CU515" s="503" t="s">
        <v>621</v>
      </c>
      <c r="CV515" s="503" t="str">
        <f>IF($G515="","",IF(AND($G515&gt;=30,$AT$3&lt;=CU$7),ROUND(CU515*($AP$3+#REF!),-1),""))</f>
        <v/>
      </c>
      <c r="CW515" s="503" t="s">
        <v>621</v>
      </c>
      <c r="CX515" s="503" t="str">
        <f>IF($G515="","",IF(AND($G515&gt;=30,$AT$3&lt;=CW$7),ROUND(CW515*($AP$3+#REF!),-1),""))</f>
        <v/>
      </c>
      <c r="CY515" s="503" t="s">
        <v>621</v>
      </c>
      <c r="CZ515" s="503" t="str">
        <f>IF($G515="","",IF(AND($G515&gt;=30,$AT$3&lt;=CY$7),ROUND(CY515*($AP$3+#REF!),-1),""))</f>
        <v/>
      </c>
      <c r="DA515" s="503" t="s">
        <v>621</v>
      </c>
      <c r="DB515" s="503" t="str">
        <f>IF($G515="","",IF(AND($G515&gt;=30,$AT$3&lt;=DA$7),ROUND(DA515*($AP$3+#REF!),-1),""))</f>
        <v/>
      </c>
      <c r="DC515" s="503" t="s">
        <v>621</v>
      </c>
      <c r="DD515" s="503" t="str">
        <f>IF($G515="","",IF(AND($G515&gt;=30,$AT$3&lt;=DC$7),ROUND(DC515*($AP$3+#REF!),-1),""))</f>
        <v/>
      </c>
      <c r="DE515" s="503" t="s">
        <v>621</v>
      </c>
      <c r="DF515" s="503" t="str">
        <f>IF($G515="","",IF(AND($G515&gt;=30,$AT$3&lt;=DE$7),ROUND(DE515*($AP$3+#REF!),-1),""))</f>
        <v/>
      </c>
      <c r="DG515" s="503" t="s">
        <v>621</v>
      </c>
      <c r="DH515" s="503" t="str">
        <f>IF($G515="","",IF(AND($G515&gt;=30,$AT$3&lt;=DG$7),ROUND(DG515*($AP$3+#REF!),-1),""))</f>
        <v/>
      </c>
      <c r="DI515" s="503" t="s">
        <v>621</v>
      </c>
      <c r="DJ515" s="503" t="str">
        <f>IF($G515="","",IF(AND($G515&gt;=30,$AT$3&lt;=DI$7),ROUND(DI515*($AP$3+#REF!),-1),""))</f>
        <v/>
      </c>
      <c r="DK515" s="503" t="s">
        <v>621</v>
      </c>
      <c r="DL515" s="503" t="str">
        <f>IF($G515="","",IF(AND($G515&gt;=30,$AT$3&lt;=DK$7),ROUND(DK515*($AP$3+#REF!),-1),""))</f>
        <v/>
      </c>
      <c r="DM515" s="517" t="e">
        <v>#REF!</v>
      </c>
      <c r="DN515" s="503" t="str">
        <f>IF($G515="","",IF(AND($G515&gt;=30,$AT$3&lt;=DM$7),ROUND(DM515*($AP$3+#REF!),-1),""))</f>
        <v/>
      </c>
      <c r="DO515" s="503"/>
      <c r="DP515" s="503" t="str">
        <f>IF($G515="","",IF(AND($G515&gt;=30,$AT$3&lt;=DO$7),ROUND(DO515*($AP$3+#REF!),-1),""))</f>
        <v/>
      </c>
      <c r="DQ515" s="503"/>
      <c r="DR515" s="503" t="str">
        <f>IF($G515="","",IF(AND($G515&gt;=30,$AT$3&lt;=DQ$7),ROUND(DQ515*($AP$3+#REF!),-1),""))</f>
        <v/>
      </c>
      <c r="DS515" s="503"/>
      <c r="DT515" s="503" t="str">
        <f>IF($G515="","",IF(AND($G515&gt;=30,$AT$3&lt;=DS$7),ROUND(DS515*($AP$3+#REF!),-1),""))</f>
        <v/>
      </c>
      <c r="DU515" s="503"/>
      <c r="DV515" s="503" t="str">
        <f>IF($G515="","",IF(AND($G515&gt;=30,$AT$3&lt;=DU$7),ROUND(DU515*($AP$3+#REF!),-1),""))</f>
        <v/>
      </c>
      <c r="DW515" s="503"/>
      <c r="DX515" s="503" t="str">
        <f>IF($G515="","",IF(AND($G515&gt;=30,$AT$3&lt;=DW$7),ROUND(DW515*($AP$3+#REF!),-1),""))</f>
        <v/>
      </c>
      <c r="DY515" s="503"/>
      <c r="DZ515" s="503" t="str">
        <f>IF($G515="","",IF(AND($G515&gt;=30,$AT$3&lt;=DY$7),ROUND(DY515*($AP$3+#REF!),-1),""))</f>
        <v/>
      </c>
      <c r="EA515" s="503"/>
      <c r="EB515" s="503" t="str">
        <f>IF($G515="","",IF(AND($G515&gt;=30,$AT$3&lt;=EA$7),ROUND(EA515*($AP$3+#REF!),-1),""))</f>
        <v/>
      </c>
      <c r="EC515" s="436"/>
      <c r="ED515" s="436"/>
      <c r="EE515" s="394"/>
    </row>
    <row r="516" spans="1:135" ht="9.75" customHeight="1">
      <c r="A516" s="321" t="str">
        <f t="shared" si="124"/>
        <v/>
      </c>
      <c r="B516" s="567">
        <f>(ii!$D$13*12+V516)+1</f>
        <v>410</v>
      </c>
      <c r="C516" s="337">
        <f t="shared" si="114"/>
        <v>57830</v>
      </c>
      <c r="D516" s="484">
        <f t="shared" si="117"/>
        <v>2058</v>
      </c>
      <c r="E516" s="484">
        <f t="shared" si="115"/>
        <v>0.33333333333333331</v>
      </c>
      <c r="F516" s="484">
        <f t="shared" si="118"/>
        <v>2058.3333333333335</v>
      </c>
      <c r="G516" s="485" t="str">
        <f>IF(OR(C516&lt;$I$2,C516&gt;$J$3),"",(ii!$D$13*12+V516+1)/12)</f>
        <v/>
      </c>
      <c r="H516" s="486"/>
      <c r="I516" s="486"/>
      <c r="J516" s="487"/>
      <c r="K516" s="488"/>
      <c r="L516" s="548"/>
      <c r="M516" s="489" t="str">
        <f t="shared" si="119"/>
        <v/>
      </c>
      <c r="N516" s="490" t="s">
        <v>621</v>
      </c>
      <c r="O516" s="490" t="str">
        <f t="shared" si="112"/>
        <v/>
      </c>
      <c r="P516" s="491"/>
      <c r="Q516" s="491"/>
      <c r="R516" s="491" t="str">
        <f t="shared" si="113"/>
        <v/>
      </c>
      <c r="S516" s="528" t="str">
        <f t="shared" si="125"/>
        <v/>
      </c>
      <c r="T516" s="528" t="str">
        <f t="shared" si="123"/>
        <v/>
      </c>
      <c r="U516" s="493" t="str">
        <f>IF(H516="","",#REF!*12+#REF!+#REF!*12+#REF!)</f>
        <v/>
      </c>
      <c r="V516" s="338">
        <f>IF(ii!$J$3&gt;gg!C516,"",IF(AND((YEAR(C516)=YEAR($I$2)),MONTH(C516)=MONTH($I$2)),ii!$B$14*12+ii!$C$14+ii!$B$15*12+ii!$C$15-1,V515+1))</f>
        <v>409</v>
      </c>
      <c r="W516" s="339">
        <f t="shared" si="116"/>
        <v>34.083333333333336</v>
      </c>
      <c r="X516" s="494" t="s">
        <v>621</v>
      </c>
      <c r="Y516" s="495" t="s">
        <v>621</v>
      </c>
      <c r="Z516" s="496"/>
      <c r="AA516" s="497"/>
      <c r="AB516" s="498" t="e">
        <f t="shared" si="122"/>
        <v>#VALUE!</v>
      </c>
      <c r="AC516" s="484" t="str">
        <f t="shared" si="120"/>
        <v/>
      </c>
      <c r="AD516" s="495" t="str">
        <f t="shared" si="121"/>
        <v/>
      </c>
      <c r="AE516" s="499" t="s">
        <v>621</v>
      </c>
      <c r="AF516" s="500" t="s">
        <v>621</v>
      </c>
      <c r="AG516" s="556" t="s">
        <v>621</v>
      </c>
      <c r="AH516" s="503" t="str">
        <f>IF($G516="","",IF(AND($G516&gt;=30,$AT$3&lt;=AG$7),ROUND(AG516*($AP$3+#REF!),-1),""))</f>
        <v/>
      </c>
      <c r="AI516" s="506" t="s">
        <v>621</v>
      </c>
      <c r="AJ516" s="503" t="str">
        <f>IF($G516="","",IF(AND($G516&gt;=30,$AT$3&lt;=AI$7),ROUND(AI516*($AP$3+#REF!),-1),""))</f>
        <v/>
      </c>
      <c r="AK516" s="506" t="s">
        <v>621</v>
      </c>
      <c r="AL516" s="503" t="str">
        <f>IF($G516="","",IF(AND($G516&gt;=30,$AT$3&lt;=AK$7),ROUND(AK516*($AP$3+#REF!),-1),""))</f>
        <v/>
      </c>
      <c r="AM516" s="506" t="s">
        <v>621</v>
      </c>
      <c r="AN516" s="503" t="str">
        <f>IF($G516="","",IF(AND($G516&gt;=30,$AT$3&lt;=AM$7),ROUND(AM516*($AP$3+#REF!),-1),""))</f>
        <v/>
      </c>
      <c r="AO516" s="503" t="e">
        <v>#REF!</v>
      </c>
      <c r="AP516" s="503" t="str">
        <f>IF($G516="","",IF(AND($G516&gt;=30,$AT$3&lt;=AO$7),ROUND(AO516*($AP$3+#REF!),-1),""))</f>
        <v/>
      </c>
      <c r="AQ516" s="503" t="s">
        <v>621</v>
      </c>
      <c r="AR516" s="503" t="str">
        <f>IF($G516="","",IF(AND($G516&gt;=30,$AT$3&lt;=AQ$7),ROUND(AQ516*($AP$3+#REF!),-1),""))</f>
        <v/>
      </c>
      <c r="AS516" s="503" t="s">
        <v>621</v>
      </c>
      <c r="AT516" s="503" t="str">
        <f>IF($G516="","",IF(AND($G516&gt;=30,$AT$3&lt;=AS$7),ROUND(AS516*($AP$3+#REF!),-1),""))</f>
        <v/>
      </c>
      <c r="AU516" s="503" t="s">
        <v>621</v>
      </c>
      <c r="AV516" s="503" t="str">
        <f>IF($G516="","",IF(AND($G516&gt;=30,$AT$3&lt;=AU$7),ROUND(AU516*($AP$3+#REF!),-1),""))</f>
        <v/>
      </c>
      <c r="AW516" s="503" t="s">
        <v>621</v>
      </c>
      <c r="AX516" s="503" t="str">
        <f>IF($G516="","",IF(AND($G516&gt;=30,$AT$3&lt;=AW$7),ROUND(AW516*($AP$3+#REF!),-1),""))</f>
        <v/>
      </c>
      <c r="AY516" s="503" t="s">
        <v>621</v>
      </c>
      <c r="AZ516" s="503" t="str">
        <f>IF($G516="","",IF(AND($G516&gt;=30,$AT$3&lt;=AY$7),ROUND(AY516*($AP$3+#REF!),-1),""))</f>
        <v/>
      </c>
      <c r="BA516" s="503" t="s">
        <v>621</v>
      </c>
      <c r="BB516" s="503" t="str">
        <f>IF($G516="","",IF(AND($G516&gt;=30,$AT$3&lt;=BA$7),ROUND(BA516*($AP$3+#REF!),-1),""))</f>
        <v/>
      </c>
      <c r="BC516" s="503" t="s">
        <v>621</v>
      </c>
      <c r="BD516" s="503" t="str">
        <f>IF($G516="","",IF(AND($G516&gt;=30,$AT$3&lt;=BC$7),ROUND(BC516*($AP$3+#REF!),-1),""))</f>
        <v/>
      </c>
      <c r="BE516" s="503" t="s">
        <v>621</v>
      </c>
      <c r="BF516" s="503" t="str">
        <f>IF($G516="","",IF(AND($G516&gt;=30,$AT$3&lt;=BE$7),ROUND(BE516*($AP$3+#REF!),-1),""))</f>
        <v/>
      </c>
      <c r="BG516" s="503" t="s">
        <v>621</v>
      </c>
      <c r="BH516" s="503" t="str">
        <f>IF($G516="","",IF(AND($G516&gt;=30,$AT$3&lt;=BG$7),ROUND(BG516*($AP$3+#REF!),-1),""))</f>
        <v/>
      </c>
      <c r="BI516" s="503" t="s">
        <v>621</v>
      </c>
      <c r="BJ516" s="503" t="str">
        <f>IF($G516="","",IF(AND($G516&gt;=30,$AT$3&lt;=BI$7),ROUND(BI516*($AP$3+#REF!),-1),""))</f>
        <v/>
      </c>
      <c r="BK516" s="503" t="s">
        <v>621</v>
      </c>
      <c r="BL516" s="503" t="str">
        <f>IF($G516="","",IF(AND($G516&gt;=30,$AT$3&lt;=BK$7),ROUND(BK516*($AP$3+#REF!),-1),""))</f>
        <v/>
      </c>
      <c r="BM516" s="503" t="s">
        <v>621</v>
      </c>
      <c r="BN516" s="503" t="str">
        <f>IF($G516="","",IF(AND($G516&gt;=30,$AT$3&lt;=BM$7),ROUND(BM516*($AP$3+#REF!),-1),""))</f>
        <v/>
      </c>
      <c r="BO516" s="503" t="s">
        <v>621</v>
      </c>
      <c r="BP516" s="503" t="str">
        <f>IF($G516="","",IF(AND($G516&gt;=30,$AT$3&lt;=BO$7),ROUND(BO516*($AP$3+#REF!),-1),""))</f>
        <v/>
      </c>
      <c r="BQ516" s="503" t="s">
        <v>621</v>
      </c>
      <c r="BR516" s="503" t="str">
        <f>IF($G516="","",IF(AND($G516&gt;=30,$AT$3&lt;=BQ$7),ROUND(BQ516*($AP$3+#REF!),-1),""))</f>
        <v/>
      </c>
      <c r="BS516" s="503" t="s">
        <v>621</v>
      </c>
      <c r="BT516" s="503" t="str">
        <f>IF($G516="","",IF(AND($G516&gt;=30,$AT$3&lt;=BS$7),ROUND(BS516*($AP$3+#REF!),-1),""))</f>
        <v/>
      </c>
      <c r="BU516" s="503" t="s">
        <v>621</v>
      </c>
      <c r="BV516" s="503" t="str">
        <f>IF($G516="","",IF(AND($G516&gt;=30,$AT$3&lt;=BU$7),ROUND(BU516*($AP$3+#REF!),-1),""))</f>
        <v/>
      </c>
      <c r="BW516" s="503" t="s">
        <v>621</v>
      </c>
      <c r="BX516" s="503" t="str">
        <f>IF($G516="","",IF(AND($G516&gt;=30,$AT$3&lt;=BW$7),ROUND(BW516*($AP$3+#REF!),-1),""))</f>
        <v/>
      </c>
      <c r="BY516" s="503" t="s">
        <v>621</v>
      </c>
      <c r="BZ516" s="503" t="str">
        <f>IF($G516="","",IF(AND($G516&gt;=30,$AT$3&lt;=BY$7),ROUND(BY516*($AP$3+#REF!),-1),""))</f>
        <v/>
      </c>
      <c r="CA516" s="503" t="s">
        <v>621</v>
      </c>
      <c r="CB516" s="503" t="str">
        <f>IF($G516="","",IF(AND($G516&gt;=30,$AT$3&lt;=CA$7),ROUND(CA516*($AP$3+#REF!),-1),""))</f>
        <v/>
      </c>
      <c r="CC516" s="503" t="s">
        <v>621</v>
      </c>
      <c r="CD516" s="503" t="str">
        <f>IF($G516="","",IF(AND($G516&gt;=30,$AT$3&lt;=CC$7),ROUND(CC516*($AP$3+#REF!),-1),""))</f>
        <v/>
      </c>
      <c r="CE516" s="503" t="s">
        <v>621</v>
      </c>
      <c r="CF516" s="503" t="str">
        <f>IF($G516="","",IF(AND($G516&gt;=30,$AT$3&lt;=CE$7),ROUND(CE516*($AP$3+#REF!),-1),""))</f>
        <v/>
      </c>
      <c r="CG516" s="503" t="s">
        <v>621</v>
      </c>
      <c r="CH516" s="503" t="str">
        <f>IF($G516="","",IF(AND($G516&gt;=30,$AT$3&lt;=CG$7),ROUND(CG516*($AP$3+#REF!),-1),""))</f>
        <v/>
      </c>
      <c r="CI516" s="503" t="s">
        <v>621</v>
      </c>
      <c r="CJ516" s="503" t="str">
        <f>IF($G516="","",IF(AND($G516&gt;=30,$AT$3&lt;=CI$7),ROUND(CI516*($AP$3+#REF!),-1),""))</f>
        <v/>
      </c>
      <c r="CK516" s="503" t="s">
        <v>621</v>
      </c>
      <c r="CL516" s="503" t="str">
        <f>IF($G516="","",IF(AND($G516&gt;=30,$AT$3&lt;=CK$7),ROUND(CK516*($AP$3+#REF!),-1),""))</f>
        <v/>
      </c>
      <c r="CM516" s="503" t="s">
        <v>621</v>
      </c>
      <c r="CN516" s="503" t="str">
        <f>IF($G516="","",IF(AND($G516&gt;=30,$AT$3&lt;=CM$7),ROUND(CM516*($AP$3+#REF!),-1),""))</f>
        <v/>
      </c>
      <c r="CO516" s="503" t="s">
        <v>621</v>
      </c>
      <c r="CP516" s="503" t="str">
        <f>IF($G516="","",IF(AND($G516&gt;=30,$AT$3&lt;=CO$7),ROUND(CO516*($AP$3+#REF!),-1),""))</f>
        <v/>
      </c>
      <c r="CQ516" s="503" t="s">
        <v>621</v>
      </c>
      <c r="CR516" s="503" t="str">
        <f>IF($G516="","",IF(AND($G516&gt;=30,$AT$3&lt;=CQ$7),ROUND(CQ516*($AP$3+#REF!),-1),""))</f>
        <v/>
      </c>
      <c r="CS516" s="503" t="s">
        <v>621</v>
      </c>
      <c r="CT516" s="503" t="str">
        <f>IF($G516="","",IF(AND($G516&gt;=30,$AT$3&lt;=CS$7),ROUND(CS516*($AP$3+#REF!),-1),""))</f>
        <v/>
      </c>
      <c r="CU516" s="503" t="s">
        <v>621</v>
      </c>
      <c r="CV516" s="503" t="str">
        <f>IF($G516="","",IF(AND($G516&gt;=30,$AT$3&lt;=CU$7),ROUND(CU516*($AP$3+#REF!),-1),""))</f>
        <v/>
      </c>
      <c r="CW516" s="503" t="s">
        <v>621</v>
      </c>
      <c r="CX516" s="503" t="str">
        <f>IF($G516="","",IF(AND($G516&gt;=30,$AT$3&lt;=CW$7),ROUND(CW516*($AP$3+#REF!),-1),""))</f>
        <v/>
      </c>
      <c r="CY516" s="503" t="s">
        <v>621</v>
      </c>
      <c r="CZ516" s="503" t="str">
        <f>IF($G516="","",IF(AND($G516&gt;=30,$AT$3&lt;=CY$7),ROUND(CY516*($AP$3+#REF!),-1),""))</f>
        <v/>
      </c>
      <c r="DA516" s="503" t="s">
        <v>621</v>
      </c>
      <c r="DB516" s="503" t="str">
        <f>IF($G516="","",IF(AND($G516&gt;=30,$AT$3&lt;=DA$7),ROUND(DA516*($AP$3+#REF!),-1),""))</f>
        <v/>
      </c>
      <c r="DC516" s="503" t="s">
        <v>621</v>
      </c>
      <c r="DD516" s="503" t="str">
        <f>IF($G516="","",IF(AND($G516&gt;=30,$AT$3&lt;=DC$7),ROUND(DC516*($AP$3+#REF!),-1),""))</f>
        <v/>
      </c>
      <c r="DE516" s="503" t="s">
        <v>621</v>
      </c>
      <c r="DF516" s="503" t="str">
        <f>IF($G516="","",IF(AND($G516&gt;=30,$AT$3&lt;=DE$7),ROUND(DE516*($AP$3+#REF!),-1),""))</f>
        <v/>
      </c>
      <c r="DG516" s="503" t="s">
        <v>621</v>
      </c>
      <c r="DH516" s="503" t="str">
        <f>IF($G516="","",IF(AND($G516&gt;=30,$AT$3&lt;=DG$7),ROUND(DG516*($AP$3+#REF!),-1),""))</f>
        <v/>
      </c>
      <c r="DI516" s="503" t="s">
        <v>621</v>
      </c>
      <c r="DJ516" s="503" t="str">
        <f>IF($G516="","",IF(AND($G516&gt;=30,$AT$3&lt;=DI$7),ROUND(DI516*($AP$3+#REF!),-1),""))</f>
        <v/>
      </c>
      <c r="DK516" s="503" t="s">
        <v>621</v>
      </c>
      <c r="DL516" s="503" t="str">
        <f>IF($G516="","",IF(AND($G516&gt;=30,$AT$3&lt;=DK$7),ROUND(DK516*($AP$3+#REF!),-1),""))</f>
        <v/>
      </c>
      <c r="DM516" s="517" t="e">
        <v>#REF!</v>
      </c>
      <c r="DN516" s="503" t="str">
        <f>IF($G516="","",IF(AND($G516&gt;=30,$AT$3&lt;=DM$7),ROUND(DM516*($AP$3+#REF!),-1),""))</f>
        <v/>
      </c>
      <c r="DO516" s="503"/>
      <c r="DP516" s="503" t="str">
        <f>IF($G516="","",IF(AND($G516&gt;=30,$AT$3&lt;=DO$7),ROUND(DO516*($AP$3+#REF!),-1),""))</f>
        <v/>
      </c>
      <c r="DQ516" s="503"/>
      <c r="DR516" s="503" t="str">
        <f>IF($G516="","",IF(AND($G516&gt;=30,$AT$3&lt;=DQ$7),ROUND(DQ516*($AP$3+#REF!),-1),""))</f>
        <v/>
      </c>
      <c r="DS516" s="503"/>
      <c r="DT516" s="503" t="str">
        <f>IF($G516="","",IF(AND($G516&gt;=30,$AT$3&lt;=DS$7),ROUND(DS516*($AP$3+#REF!),-1),""))</f>
        <v/>
      </c>
      <c r="DU516" s="503"/>
      <c r="DV516" s="503" t="str">
        <f>IF($G516="","",IF(AND($G516&gt;=30,$AT$3&lt;=DU$7),ROUND(DU516*($AP$3+#REF!),-1),""))</f>
        <v/>
      </c>
      <c r="DW516" s="503"/>
      <c r="DX516" s="503" t="str">
        <f>IF($G516="","",IF(AND($G516&gt;=30,$AT$3&lt;=DW$7),ROUND(DW516*($AP$3+#REF!),-1),""))</f>
        <v/>
      </c>
      <c r="DY516" s="503"/>
      <c r="DZ516" s="503" t="str">
        <f>IF($G516="","",IF(AND($G516&gt;=30,$AT$3&lt;=DY$7),ROUND(DY516*($AP$3+#REF!),-1),""))</f>
        <v/>
      </c>
      <c r="EA516" s="503"/>
      <c r="EB516" s="503" t="str">
        <f>IF($G516="","",IF(AND($G516&gt;=30,$AT$3&lt;=EA$7),ROUND(EA516*($AP$3+#REF!),-1),""))</f>
        <v/>
      </c>
      <c r="EC516" s="436"/>
      <c r="ED516" s="436"/>
      <c r="EE516" s="394"/>
    </row>
    <row r="517" spans="1:135" ht="9.75" customHeight="1">
      <c r="A517" s="321" t="str">
        <f t="shared" si="124"/>
        <v/>
      </c>
      <c r="B517" s="567">
        <f>(ii!$D$13*12+V517)+1</f>
        <v>411</v>
      </c>
      <c r="C517" s="337">
        <f t="shared" si="114"/>
        <v>57861</v>
      </c>
      <c r="D517" s="484">
        <f t="shared" si="117"/>
        <v>2058</v>
      </c>
      <c r="E517" s="484">
        <f t="shared" si="115"/>
        <v>0.41666666666666669</v>
      </c>
      <c r="F517" s="484">
        <f t="shared" si="118"/>
        <v>2058.4166666666665</v>
      </c>
      <c r="G517" s="485" t="str">
        <f>IF(OR(C517&lt;$I$2,C517&gt;$J$3),"",(ii!$D$13*12+V517+1)/12)</f>
        <v/>
      </c>
      <c r="H517" s="486"/>
      <c r="I517" s="486"/>
      <c r="J517" s="507"/>
      <c r="K517" s="508"/>
      <c r="L517" s="548"/>
      <c r="M517" s="489" t="str">
        <f t="shared" si="119"/>
        <v/>
      </c>
      <c r="N517" s="490" t="s">
        <v>621</v>
      </c>
      <c r="O517" s="490" t="str">
        <f t="shared" si="112"/>
        <v/>
      </c>
      <c r="P517" s="507"/>
      <c r="Q517" s="507"/>
      <c r="R517" s="491" t="str">
        <f t="shared" si="113"/>
        <v/>
      </c>
      <c r="S517" s="528" t="str">
        <f t="shared" si="125"/>
        <v/>
      </c>
      <c r="T517" s="528" t="str">
        <f t="shared" si="123"/>
        <v/>
      </c>
      <c r="U517" s="493" t="str">
        <f>IF(H517="","",#REF!*12+#REF!+#REF!*12+#REF!)</f>
        <v/>
      </c>
      <c r="V517" s="338">
        <f>IF(ii!$J$3&gt;gg!C517,"",IF(AND((YEAR(C517)=YEAR($I$2)),MONTH(C517)=MONTH($I$2)),ii!$B$14*12+ii!$C$14+ii!$B$15*12+ii!$C$15-1,V516+1))</f>
        <v>410</v>
      </c>
      <c r="W517" s="339">
        <f t="shared" si="116"/>
        <v>34.166666666666664</v>
      </c>
      <c r="X517" s="494" t="s">
        <v>621</v>
      </c>
      <c r="Y517" s="495" t="s">
        <v>621</v>
      </c>
      <c r="Z517" s="496"/>
      <c r="AA517" s="497"/>
      <c r="AB517" s="498" t="e">
        <f t="shared" si="122"/>
        <v>#VALUE!</v>
      </c>
      <c r="AC517" s="484" t="str">
        <f t="shared" si="120"/>
        <v/>
      </c>
      <c r="AD517" s="495" t="str">
        <f t="shared" si="121"/>
        <v/>
      </c>
      <c r="AE517" s="499" t="s">
        <v>621</v>
      </c>
      <c r="AF517" s="500" t="s">
        <v>621</v>
      </c>
      <c r="AG517" s="556" t="s">
        <v>621</v>
      </c>
      <c r="AH517" s="503" t="str">
        <f>IF($G517="","",IF(AND($G517&gt;=30,$AT$3&lt;=AG$7),ROUND(AG517*($AP$3+#REF!),-1),""))</f>
        <v/>
      </c>
      <c r="AI517" s="506" t="s">
        <v>621</v>
      </c>
      <c r="AJ517" s="503" t="str">
        <f>IF($G517="","",IF(AND($G517&gt;=30,$AT$3&lt;=AI$7),ROUND(AI517*($AP$3+#REF!),-1),""))</f>
        <v/>
      </c>
      <c r="AK517" s="506" t="s">
        <v>621</v>
      </c>
      <c r="AL517" s="503" t="str">
        <f>IF($G517="","",IF(AND($G517&gt;=30,$AT$3&lt;=AK$7),ROUND(AK517*($AP$3+#REF!),-1),""))</f>
        <v/>
      </c>
      <c r="AM517" s="506" t="s">
        <v>621</v>
      </c>
      <c r="AN517" s="503" t="str">
        <f>IF($G517="","",IF(AND($G517&gt;=30,$AT$3&lt;=AM$7),ROUND(AM517*($AP$3+#REF!),-1),""))</f>
        <v/>
      </c>
      <c r="AO517" s="503" t="e">
        <v>#REF!</v>
      </c>
      <c r="AP517" s="503" t="str">
        <f>IF($G517="","",IF(AND($G517&gt;=30,$AT$3&lt;=AO$7),ROUND(AO517*($AP$3+#REF!),-1),""))</f>
        <v/>
      </c>
      <c r="AQ517" s="503" t="s">
        <v>621</v>
      </c>
      <c r="AR517" s="503" t="str">
        <f>IF($G517="","",IF(AND($G517&gt;=30,$AT$3&lt;=AQ$7),ROUND(AQ517*($AP$3+#REF!),-1),""))</f>
        <v/>
      </c>
      <c r="AS517" s="503" t="s">
        <v>621</v>
      </c>
      <c r="AT517" s="503" t="str">
        <f>IF($G517="","",IF(AND($G517&gt;=30,$AT$3&lt;=AS$7),ROUND(AS517*($AP$3+#REF!),-1),""))</f>
        <v/>
      </c>
      <c r="AU517" s="503" t="s">
        <v>621</v>
      </c>
      <c r="AV517" s="503" t="str">
        <f>IF($G517="","",IF(AND($G517&gt;=30,$AT$3&lt;=AU$7),ROUND(AU517*($AP$3+#REF!),-1),""))</f>
        <v/>
      </c>
      <c r="AW517" s="503" t="s">
        <v>621</v>
      </c>
      <c r="AX517" s="503" t="str">
        <f>IF($G517="","",IF(AND($G517&gt;=30,$AT$3&lt;=AW$7),ROUND(AW517*($AP$3+#REF!),-1),""))</f>
        <v/>
      </c>
      <c r="AY517" s="503" t="s">
        <v>621</v>
      </c>
      <c r="AZ517" s="503" t="str">
        <f>IF($G517="","",IF(AND($G517&gt;=30,$AT$3&lt;=AY$7),ROUND(AY517*($AP$3+#REF!),-1),""))</f>
        <v/>
      </c>
      <c r="BA517" s="503" t="s">
        <v>621</v>
      </c>
      <c r="BB517" s="503" t="str">
        <f>IF($G517="","",IF(AND($G517&gt;=30,$AT$3&lt;=BA$7),ROUND(BA517*($AP$3+#REF!),-1),""))</f>
        <v/>
      </c>
      <c r="BC517" s="503" t="s">
        <v>621</v>
      </c>
      <c r="BD517" s="503" t="str">
        <f>IF($G517="","",IF(AND($G517&gt;=30,$AT$3&lt;=BC$7),ROUND(BC517*($AP$3+#REF!),-1),""))</f>
        <v/>
      </c>
      <c r="BE517" s="503" t="s">
        <v>621</v>
      </c>
      <c r="BF517" s="503" t="str">
        <f>IF($G517="","",IF(AND($G517&gt;=30,$AT$3&lt;=BE$7),ROUND(BE517*($AP$3+#REF!),-1),""))</f>
        <v/>
      </c>
      <c r="BG517" s="503" t="s">
        <v>621</v>
      </c>
      <c r="BH517" s="503" t="str">
        <f>IF($G517="","",IF(AND($G517&gt;=30,$AT$3&lt;=BG$7),ROUND(BG517*($AP$3+#REF!),-1),""))</f>
        <v/>
      </c>
      <c r="BI517" s="503" t="s">
        <v>621</v>
      </c>
      <c r="BJ517" s="503" t="str">
        <f>IF($G517="","",IF(AND($G517&gt;=30,$AT$3&lt;=BI$7),ROUND(BI517*($AP$3+#REF!),-1),""))</f>
        <v/>
      </c>
      <c r="BK517" s="503" t="s">
        <v>621</v>
      </c>
      <c r="BL517" s="503" t="str">
        <f>IF($G517="","",IF(AND($G517&gt;=30,$AT$3&lt;=BK$7),ROUND(BK517*($AP$3+#REF!),-1),""))</f>
        <v/>
      </c>
      <c r="BM517" s="503" t="s">
        <v>621</v>
      </c>
      <c r="BN517" s="503" t="str">
        <f>IF($G517="","",IF(AND($G517&gt;=30,$AT$3&lt;=BM$7),ROUND(BM517*($AP$3+#REF!),-1),""))</f>
        <v/>
      </c>
      <c r="BO517" s="503" t="s">
        <v>621</v>
      </c>
      <c r="BP517" s="503" t="str">
        <f>IF($G517="","",IF(AND($G517&gt;=30,$AT$3&lt;=BO$7),ROUND(BO517*($AP$3+#REF!),-1),""))</f>
        <v/>
      </c>
      <c r="BQ517" s="503" t="s">
        <v>621</v>
      </c>
      <c r="BR517" s="503" t="str">
        <f>IF($G517="","",IF(AND($G517&gt;=30,$AT$3&lt;=BQ$7),ROUND(BQ517*($AP$3+#REF!),-1),""))</f>
        <v/>
      </c>
      <c r="BS517" s="503" t="s">
        <v>621</v>
      </c>
      <c r="BT517" s="503" t="str">
        <f>IF($G517="","",IF(AND($G517&gt;=30,$AT$3&lt;=BS$7),ROUND(BS517*($AP$3+#REF!),-1),""))</f>
        <v/>
      </c>
      <c r="BU517" s="503" t="s">
        <v>621</v>
      </c>
      <c r="BV517" s="503" t="str">
        <f>IF($G517="","",IF(AND($G517&gt;=30,$AT$3&lt;=BU$7),ROUND(BU517*($AP$3+#REF!),-1),""))</f>
        <v/>
      </c>
      <c r="BW517" s="503" t="s">
        <v>621</v>
      </c>
      <c r="BX517" s="503" t="str">
        <f>IF($G517="","",IF(AND($G517&gt;=30,$AT$3&lt;=BW$7),ROUND(BW517*($AP$3+#REF!),-1),""))</f>
        <v/>
      </c>
      <c r="BY517" s="503" t="s">
        <v>621</v>
      </c>
      <c r="BZ517" s="503" t="str">
        <f>IF($G517="","",IF(AND($G517&gt;=30,$AT$3&lt;=BY$7),ROUND(BY517*($AP$3+#REF!),-1),""))</f>
        <v/>
      </c>
      <c r="CA517" s="503" t="s">
        <v>621</v>
      </c>
      <c r="CB517" s="503" t="str">
        <f>IF($G517="","",IF(AND($G517&gt;=30,$AT$3&lt;=CA$7),ROUND(CA517*($AP$3+#REF!),-1),""))</f>
        <v/>
      </c>
      <c r="CC517" s="503" t="s">
        <v>621</v>
      </c>
      <c r="CD517" s="503" t="str">
        <f>IF($G517="","",IF(AND($G517&gt;=30,$AT$3&lt;=CC$7),ROUND(CC517*($AP$3+#REF!),-1),""))</f>
        <v/>
      </c>
      <c r="CE517" s="503" t="s">
        <v>621</v>
      </c>
      <c r="CF517" s="503" t="str">
        <f>IF($G517="","",IF(AND($G517&gt;=30,$AT$3&lt;=CE$7),ROUND(CE517*($AP$3+#REF!),-1),""))</f>
        <v/>
      </c>
      <c r="CG517" s="503" t="s">
        <v>621</v>
      </c>
      <c r="CH517" s="503" t="str">
        <f>IF($G517="","",IF(AND($G517&gt;=30,$AT$3&lt;=CG$7),ROUND(CG517*($AP$3+#REF!),-1),""))</f>
        <v/>
      </c>
      <c r="CI517" s="503" t="s">
        <v>621</v>
      </c>
      <c r="CJ517" s="503" t="str">
        <f>IF($G517="","",IF(AND($G517&gt;=30,$AT$3&lt;=CI$7),ROUND(CI517*($AP$3+#REF!),-1),""))</f>
        <v/>
      </c>
      <c r="CK517" s="503" t="s">
        <v>621</v>
      </c>
      <c r="CL517" s="503" t="str">
        <f>IF($G517="","",IF(AND($G517&gt;=30,$AT$3&lt;=CK$7),ROUND(CK517*($AP$3+#REF!),-1),""))</f>
        <v/>
      </c>
      <c r="CM517" s="503" t="s">
        <v>621</v>
      </c>
      <c r="CN517" s="503" t="str">
        <f>IF($G517="","",IF(AND($G517&gt;=30,$AT$3&lt;=CM$7),ROUND(CM517*($AP$3+#REF!),-1),""))</f>
        <v/>
      </c>
      <c r="CO517" s="503" t="s">
        <v>621</v>
      </c>
      <c r="CP517" s="503" t="str">
        <f>IF($G517="","",IF(AND($G517&gt;=30,$AT$3&lt;=CO$7),ROUND(CO517*($AP$3+#REF!),-1),""))</f>
        <v/>
      </c>
      <c r="CQ517" s="503" t="s">
        <v>621</v>
      </c>
      <c r="CR517" s="503" t="str">
        <f>IF($G517="","",IF(AND($G517&gt;=30,$AT$3&lt;=CQ$7),ROUND(CQ517*($AP$3+#REF!),-1),""))</f>
        <v/>
      </c>
      <c r="CS517" s="503" t="s">
        <v>621</v>
      </c>
      <c r="CT517" s="503" t="str">
        <f>IF($G517="","",IF(AND($G517&gt;=30,$AT$3&lt;=CS$7),ROUND(CS517*($AP$3+#REF!),-1),""))</f>
        <v/>
      </c>
      <c r="CU517" s="503" t="s">
        <v>621</v>
      </c>
      <c r="CV517" s="503" t="str">
        <f>IF($G517="","",IF(AND($G517&gt;=30,$AT$3&lt;=CU$7),ROUND(CU517*($AP$3+#REF!),-1),""))</f>
        <v/>
      </c>
      <c r="CW517" s="503" t="s">
        <v>621</v>
      </c>
      <c r="CX517" s="503" t="str">
        <f>IF($G517="","",IF(AND($G517&gt;=30,$AT$3&lt;=CW$7),ROUND(CW517*($AP$3+#REF!),-1),""))</f>
        <v/>
      </c>
      <c r="CY517" s="503" t="s">
        <v>621</v>
      </c>
      <c r="CZ517" s="503" t="str">
        <f>IF($G517="","",IF(AND($G517&gt;=30,$AT$3&lt;=CY$7),ROUND(CY517*($AP$3+#REF!),-1),""))</f>
        <v/>
      </c>
      <c r="DA517" s="503" t="s">
        <v>621</v>
      </c>
      <c r="DB517" s="503" t="str">
        <f>IF($G517="","",IF(AND($G517&gt;=30,$AT$3&lt;=DA$7),ROUND(DA517*($AP$3+#REF!),-1),""))</f>
        <v/>
      </c>
      <c r="DC517" s="503" t="s">
        <v>621</v>
      </c>
      <c r="DD517" s="503" t="str">
        <f>IF($G517="","",IF(AND($G517&gt;=30,$AT$3&lt;=DC$7),ROUND(DC517*($AP$3+#REF!),-1),""))</f>
        <v/>
      </c>
      <c r="DE517" s="503" t="s">
        <v>621</v>
      </c>
      <c r="DF517" s="503" t="str">
        <f>IF($G517="","",IF(AND($G517&gt;=30,$AT$3&lt;=DE$7),ROUND(DE517*($AP$3+#REF!),-1),""))</f>
        <v/>
      </c>
      <c r="DG517" s="503" t="s">
        <v>621</v>
      </c>
      <c r="DH517" s="503" t="str">
        <f>IF($G517="","",IF(AND($G517&gt;=30,$AT$3&lt;=DG$7),ROUND(DG517*($AP$3+#REF!),-1),""))</f>
        <v/>
      </c>
      <c r="DI517" s="503" t="s">
        <v>621</v>
      </c>
      <c r="DJ517" s="503" t="str">
        <f>IF($G517="","",IF(AND($G517&gt;=30,$AT$3&lt;=DI$7),ROUND(DI517*($AP$3+#REF!),-1),""))</f>
        <v/>
      </c>
      <c r="DK517" s="503" t="s">
        <v>621</v>
      </c>
      <c r="DL517" s="503" t="str">
        <f>IF($G517="","",IF(AND($G517&gt;=30,$AT$3&lt;=DK$7),ROUND(DK517*($AP$3+#REF!),-1),""))</f>
        <v/>
      </c>
      <c r="DM517" s="517" t="e">
        <v>#REF!</v>
      </c>
      <c r="DN517" s="503" t="str">
        <f>IF($G517="","",IF(AND($G517&gt;=30,$AT$3&lt;=DM$7),ROUND(DM517*($AP$3+#REF!),-1),""))</f>
        <v/>
      </c>
      <c r="DO517" s="503"/>
      <c r="DP517" s="503" t="str">
        <f>IF($G517="","",IF(AND($G517&gt;=30,$AT$3&lt;=DO$7),ROUND(DO517*($AP$3+#REF!),-1),""))</f>
        <v/>
      </c>
      <c r="DQ517" s="503"/>
      <c r="DR517" s="503" t="str">
        <f>IF($G517="","",IF(AND($G517&gt;=30,$AT$3&lt;=DQ$7),ROUND(DQ517*($AP$3+#REF!),-1),""))</f>
        <v/>
      </c>
      <c r="DS517" s="503"/>
      <c r="DT517" s="503" t="str">
        <f>IF($G517="","",IF(AND($G517&gt;=30,$AT$3&lt;=DS$7),ROUND(DS517*($AP$3+#REF!),-1),""))</f>
        <v/>
      </c>
      <c r="DU517" s="503"/>
      <c r="DV517" s="503" t="str">
        <f>IF($G517="","",IF(AND($G517&gt;=30,$AT$3&lt;=DU$7),ROUND(DU517*($AP$3+#REF!),-1),""))</f>
        <v/>
      </c>
      <c r="DW517" s="503"/>
      <c r="DX517" s="503" t="str">
        <f>IF($G517="","",IF(AND($G517&gt;=30,$AT$3&lt;=DW$7),ROUND(DW517*($AP$3+#REF!),-1),""))</f>
        <v/>
      </c>
      <c r="DY517" s="503"/>
      <c r="DZ517" s="503" t="str">
        <f>IF($G517="","",IF(AND($G517&gt;=30,$AT$3&lt;=DY$7),ROUND(DY517*($AP$3+#REF!),-1),""))</f>
        <v/>
      </c>
      <c r="EA517" s="503"/>
      <c r="EB517" s="503" t="str">
        <f>IF($G517="","",IF(AND($G517&gt;=30,$AT$3&lt;=EA$7),ROUND(EA517*($AP$3+#REF!),-1),""))</f>
        <v/>
      </c>
      <c r="EC517" s="436"/>
      <c r="ED517" s="436"/>
      <c r="EE517" s="394"/>
    </row>
    <row r="518" spans="1:135" ht="9.75" customHeight="1">
      <c r="A518" s="321" t="str">
        <f t="shared" si="124"/>
        <v/>
      </c>
      <c r="B518" s="567">
        <f>(ii!$D$13*12+V518)+1</f>
        <v>412</v>
      </c>
      <c r="C518" s="337">
        <f t="shared" si="114"/>
        <v>57891</v>
      </c>
      <c r="D518" s="484">
        <f t="shared" si="117"/>
        <v>2058</v>
      </c>
      <c r="E518" s="484">
        <f t="shared" si="115"/>
        <v>0.5</v>
      </c>
      <c r="F518" s="484">
        <f t="shared" si="118"/>
        <v>2058.5</v>
      </c>
      <c r="G518" s="485" t="str">
        <f>IF(OR(C518&lt;$I$2,C518&gt;$J$3),"",(ii!$D$13*12+V518+1)/12)</f>
        <v/>
      </c>
      <c r="H518" s="486"/>
      <c r="I518" s="486"/>
      <c r="J518" s="487"/>
      <c r="K518" s="488"/>
      <c r="L518" s="548"/>
      <c r="M518" s="489" t="str">
        <f t="shared" si="119"/>
        <v/>
      </c>
      <c r="N518" s="490" t="s">
        <v>621</v>
      </c>
      <c r="O518" s="490" t="str">
        <f t="shared" si="112"/>
        <v/>
      </c>
      <c r="P518" s="491"/>
      <c r="Q518" s="491"/>
      <c r="R518" s="491" t="str">
        <f t="shared" si="113"/>
        <v/>
      </c>
      <c r="S518" s="528" t="str">
        <f t="shared" si="125"/>
        <v/>
      </c>
      <c r="T518" s="528" t="str">
        <f t="shared" si="123"/>
        <v/>
      </c>
      <c r="U518" s="493" t="str">
        <f>IF(H518="","",#REF!*12+#REF!+#REF!*12+#REF!)</f>
        <v/>
      </c>
      <c r="V518" s="338">
        <f>IF(ii!$J$3&gt;gg!C518,"",IF(AND((YEAR(C518)=YEAR($I$2)),MONTH(C518)=MONTH($I$2)),ii!$B$14*12+ii!$C$14+ii!$B$15*12+ii!$C$15-1,V517+1))</f>
        <v>411</v>
      </c>
      <c r="W518" s="339">
        <f t="shared" si="116"/>
        <v>34.25</v>
      </c>
      <c r="X518" s="494" t="s">
        <v>621</v>
      </c>
      <c r="Y518" s="495" t="s">
        <v>621</v>
      </c>
      <c r="Z518" s="496"/>
      <c r="AA518" s="497"/>
      <c r="AB518" s="498" t="e">
        <f t="shared" si="122"/>
        <v>#VALUE!</v>
      </c>
      <c r="AC518" s="484" t="str">
        <f t="shared" si="120"/>
        <v/>
      </c>
      <c r="AD518" s="495" t="str">
        <f t="shared" si="121"/>
        <v/>
      </c>
      <c r="AE518" s="499" t="s">
        <v>621</v>
      </c>
      <c r="AF518" s="500" t="s">
        <v>621</v>
      </c>
      <c r="AG518" s="556" t="s">
        <v>621</v>
      </c>
      <c r="AH518" s="503" t="str">
        <f>IF($G518="","",IF(AND($G518&gt;=30,$AT$3&lt;=AG$7),ROUND(AG518*($AP$3+#REF!),-1),""))</f>
        <v/>
      </c>
      <c r="AI518" s="506" t="s">
        <v>621</v>
      </c>
      <c r="AJ518" s="503" t="str">
        <f>IF($G518="","",IF(AND($G518&gt;=30,$AT$3&lt;=AI$7),ROUND(AI518*($AP$3+#REF!),-1),""))</f>
        <v/>
      </c>
      <c r="AK518" s="506" t="s">
        <v>621</v>
      </c>
      <c r="AL518" s="503" t="str">
        <f>IF($G518="","",IF(AND($G518&gt;=30,$AT$3&lt;=AK$7),ROUND(AK518*($AP$3+#REF!),-1),""))</f>
        <v/>
      </c>
      <c r="AM518" s="506" t="s">
        <v>621</v>
      </c>
      <c r="AN518" s="503" t="str">
        <f>IF($G518="","",IF(AND($G518&gt;=30,$AT$3&lt;=AM$7),ROUND(AM518*($AP$3+#REF!),-1),""))</f>
        <v/>
      </c>
      <c r="AO518" s="503" t="e">
        <v>#REF!</v>
      </c>
      <c r="AP518" s="503" t="str">
        <f>IF($G518="","",IF(AND($G518&gt;=30,$AT$3&lt;=AO$7),ROUND(AO518*($AP$3+#REF!),-1),""))</f>
        <v/>
      </c>
      <c r="AQ518" s="503" t="s">
        <v>621</v>
      </c>
      <c r="AR518" s="503" t="str">
        <f>IF($G518="","",IF(AND($G518&gt;=30,$AT$3&lt;=AQ$7),ROUND(AQ518*($AP$3+#REF!),-1),""))</f>
        <v/>
      </c>
      <c r="AS518" s="503" t="s">
        <v>621</v>
      </c>
      <c r="AT518" s="503" t="str">
        <f>IF($G518="","",IF(AND($G518&gt;=30,$AT$3&lt;=AS$7),ROUND(AS518*($AP$3+#REF!),-1),""))</f>
        <v/>
      </c>
      <c r="AU518" s="503" t="s">
        <v>621</v>
      </c>
      <c r="AV518" s="503" t="str">
        <f>IF($G518="","",IF(AND($G518&gt;=30,$AT$3&lt;=AU$7),ROUND(AU518*($AP$3+#REF!),-1),""))</f>
        <v/>
      </c>
      <c r="AW518" s="503" t="s">
        <v>621</v>
      </c>
      <c r="AX518" s="503" t="str">
        <f>IF($G518="","",IF(AND($G518&gt;=30,$AT$3&lt;=AW$7),ROUND(AW518*($AP$3+#REF!),-1),""))</f>
        <v/>
      </c>
      <c r="AY518" s="503" t="s">
        <v>621</v>
      </c>
      <c r="AZ518" s="503" t="str">
        <f>IF($G518="","",IF(AND($G518&gt;=30,$AT$3&lt;=AY$7),ROUND(AY518*($AP$3+#REF!),-1),""))</f>
        <v/>
      </c>
      <c r="BA518" s="503" t="s">
        <v>621</v>
      </c>
      <c r="BB518" s="503" t="str">
        <f>IF($G518="","",IF(AND($G518&gt;=30,$AT$3&lt;=BA$7),ROUND(BA518*($AP$3+#REF!),-1),""))</f>
        <v/>
      </c>
      <c r="BC518" s="503" t="s">
        <v>621</v>
      </c>
      <c r="BD518" s="503" t="str">
        <f>IF($G518="","",IF(AND($G518&gt;=30,$AT$3&lt;=BC$7),ROUND(BC518*($AP$3+#REF!),-1),""))</f>
        <v/>
      </c>
      <c r="BE518" s="503" t="s">
        <v>621</v>
      </c>
      <c r="BF518" s="503" t="str">
        <f>IF($G518="","",IF(AND($G518&gt;=30,$AT$3&lt;=BE$7),ROUND(BE518*($AP$3+#REF!),-1),""))</f>
        <v/>
      </c>
      <c r="BG518" s="503" t="s">
        <v>621</v>
      </c>
      <c r="BH518" s="503" t="str">
        <f>IF($G518="","",IF(AND($G518&gt;=30,$AT$3&lt;=BG$7),ROUND(BG518*($AP$3+#REF!),-1),""))</f>
        <v/>
      </c>
      <c r="BI518" s="503" t="s">
        <v>621</v>
      </c>
      <c r="BJ518" s="503" t="str">
        <f>IF($G518="","",IF(AND($G518&gt;=30,$AT$3&lt;=BI$7),ROUND(BI518*($AP$3+#REF!),-1),""))</f>
        <v/>
      </c>
      <c r="BK518" s="503" t="s">
        <v>621</v>
      </c>
      <c r="BL518" s="503" t="str">
        <f>IF($G518="","",IF(AND($G518&gt;=30,$AT$3&lt;=BK$7),ROUND(BK518*($AP$3+#REF!),-1),""))</f>
        <v/>
      </c>
      <c r="BM518" s="503" t="s">
        <v>621</v>
      </c>
      <c r="BN518" s="503" t="str">
        <f>IF($G518="","",IF(AND($G518&gt;=30,$AT$3&lt;=BM$7),ROUND(BM518*($AP$3+#REF!),-1),""))</f>
        <v/>
      </c>
      <c r="BO518" s="503" t="s">
        <v>621</v>
      </c>
      <c r="BP518" s="503" t="str">
        <f>IF($G518="","",IF(AND($G518&gt;=30,$AT$3&lt;=BO$7),ROUND(BO518*($AP$3+#REF!),-1),""))</f>
        <v/>
      </c>
      <c r="BQ518" s="503" t="s">
        <v>621</v>
      </c>
      <c r="BR518" s="503" t="str">
        <f>IF($G518="","",IF(AND($G518&gt;=30,$AT$3&lt;=BQ$7),ROUND(BQ518*($AP$3+#REF!),-1),""))</f>
        <v/>
      </c>
      <c r="BS518" s="503" t="s">
        <v>621</v>
      </c>
      <c r="BT518" s="503" t="str">
        <f>IF($G518="","",IF(AND($G518&gt;=30,$AT$3&lt;=BS$7),ROUND(BS518*($AP$3+#REF!),-1),""))</f>
        <v/>
      </c>
      <c r="BU518" s="503" t="s">
        <v>621</v>
      </c>
      <c r="BV518" s="503" t="str">
        <f>IF($G518="","",IF(AND($G518&gt;=30,$AT$3&lt;=BU$7),ROUND(BU518*($AP$3+#REF!),-1),""))</f>
        <v/>
      </c>
      <c r="BW518" s="503" t="s">
        <v>621</v>
      </c>
      <c r="BX518" s="503" t="str">
        <f>IF($G518="","",IF(AND($G518&gt;=30,$AT$3&lt;=BW$7),ROUND(BW518*($AP$3+#REF!),-1),""))</f>
        <v/>
      </c>
      <c r="BY518" s="503" t="s">
        <v>621</v>
      </c>
      <c r="BZ518" s="503" t="str">
        <f>IF($G518="","",IF(AND($G518&gt;=30,$AT$3&lt;=BY$7),ROUND(BY518*($AP$3+#REF!),-1),""))</f>
        <v/>
      </c>
      <c r="CA518" s="503" t="s">
        <v>621</v>
      </c>
      <c r="CB518" s="503" t="str">
        <f>IF($G518="","",IF(AND($G518&gt;=30,$AT$3&lt;=CA$7),ROUND(CA518*($AP$3+#REF!),-1),""))</f>
        <v/>
      </c>
      <c r="CC518" s="503" t="s">
        <v>621</v>
      </c>
      <c r="CD518" s="503" t="str">
        <f>IF($G518="","",IF(AND($G518&gt;=30,$AT$3&lt;=CC$7),ROUND(CC518*($AP$3+#REF!),-1),""))</f>
        <v/>
      </c>
      <c r="CE518" s="503" t="s">
        <v>621</v>
      </c>
      <c r="CF518" s="503" t="str">
        <f>IF($G518="","",IF(AND($G518&gt;=30,$AT$3&lt;=CE$7),ROUND(CE518*($AP$3+#REF!),-1),""))</f>
        <v/>
      </c>
      <c r="CG518" s="503" t="s">
        <v>621</v>
      </c>
      <c r="CH518" s="503" t="str">
        <f>IF($G518="","",IF(AND($G518&gt;=30,$AT$3&lt;=CG$7),ROUND(CG518*($AP$3+#REF!),-1),""))</f>
        <v/>
      </c>
      <c r="CI518" s="503" t="s">
        <v>621</v>
      </c>
      <c r="CJ518" s="503" t="str">
        <f>IF($G518="","",IF(AND($G518&gt;=30,$AT$3&lt;=CI$7),ROUND(CI518*($AP$3+#REF!),-1),""))</f>
        <v/>
      </c>
      <c r="CK518" s="503" t="s">
        <v>621</v>
      </c>
      <c r="CL518" s="503" t="str">
        <f>IF($G518="","",IF(AND($G518&gt;=30,$AT$3&lt;=CK$7),ROUND(CK518*($AP$3+#REF!),-1),""))</f>
        <v/>
      </c>
      <c r="CM518" s="503" t="s">
        <v>621</v>
      </c>
      <c r="CN518" s="503" t="str">
        <f>IF($G518="","",IF(AND($G518&gt;=30,$AT$3&lt;=CM$7),ROUND(CM518*($AP$3+#REF!),-1),""))</f>
        <v/>
      </c>
      <c r="CO518" s="503" t="s">
        <v>621</v>
      </c>
      <c r="CP518" s="503" t="str">
        <f>IF($G518="","",IF(AND($G518&gt;=30,$AT$3&lt;=CO$7),ROUND(CO518*($AP$3+#REF!),-1),""))</f>
        <v/>
      </c>
      <c r="CQ518" s="503" t="s">
        <v>621</v>
      </c>
      <c r="CR518" s="503" t="str">
        <f>IF($G518="","",IF(AND($G518&gt;=30,$AT$3&lt;=CQ$7),ROUND(CQ518*($AP$3+#REF!),-1),""))</f>
        <v/>
      </c>
      <c r="CS518" s="503" t="s">
        <v>621</v>
      </c>
      <c r="CT518" s="503" t="str">
        <f>IF($G518="","",IF(AND($G518&gt;=30,$AT$3&lt;=CS$7),ROUND(CS518*($AP$3+#REF!),-1),""))</f>
        <v/>
      </c>
      <c r="CU518" s="503" t="s">
        <v>621</v>
      </c>
      <c r="CV518" s="503" t="str">
        <f>IF($G518="","",IF(AND($G518&gt;=30,$AT$3&lt;=CU$7),ROUND(CU518*($AP$3+#REF!),-1),""))</f>
        <v/>
      </c>
      <c r="CW518" s="503" t="s">
        <v>621</v>
      </c>
      <c r="CX518" s="503" t="str">
        <f>IF($G518="","",IF(AND($G518&gt;=30,$AT$3&lt;=CW$7),ROUND(CW518*($AP$3+#REF!),-1),""))</f>
        <v/>
      </c>
      <c r="CY518" s="503" t="s">
        <v>621</v>
      </c>
      <c r="CZ518" s="503" t="str">
        <f>IF($G518="","",IF(AND($G518&gt;=30,$AT$3&lt;=CY$7),ROUND(CY518*($AP$3+#REF!),-1),""))</f>
        <v/>
      </c>
      <c r="DA518" s="503" t="s">
        <v>621</v>
      </c>
      <c r="DB518" s="503" t="str">
        <f>IF($G518="","",IF(AND($G518&gt;=30,$AT$3&lt;=DA$7),ROUND(DA518*($AP$3+#REF!),-1),""))</f>
        <v/>
      </c>
      <c r="DC518" s="503" t="s">
        <v>621</v>
      </c>
      <c r="DD518" s="503" t="str">
        <f>IF($G518="","",IF(AND($G518&gt;=30,$AT$3&lt;=DC$7),ROUND(DC518*($AP$3+#REF!),-1),""))</f>
        <v/>
      </c>
      <c r="DE518" s="503" t="s">
        <v>621</v>
      </c>
      <c r="DF518" s="503" t="str">
        <f>IF($G518="","",IF(AND($G518&gt;=30,$AT$3&lt;=DE$7),ROUND(DE518*($AP$3+#REF!),-1),""))</f>
        <v/>
      </c>
      <c r="DG518" s="503" t="s">
        <v>621</v>
      </c>
      <c r="DH518" s="503" t="str">
        <f>IF($G518="","",IF(AND($G518&gt;=30,$AT$3&lt;=DG$7),ROUND(DG518*($AP$3+#REF!),-1),""))</f>
        <v/>
      </c>
      <c r="DI518" s="503" t="s">
        <v>621</v>
      </c>
      <c r="DJ518" s="503" t="str">
        <f>IF($G518="","",IF(AND($G518&gt;=30,$AT$3&lt;=DI$7),ROUND(DI518*($AP$3+#REF!),-1),""))</f>
        <v/>
      </c>
      <c r="DK518" s="503" t="s">
        <v>621</v>
      </c>
      <c r="DL518" s="503" t="str">
        <f>IF($G518="","",IF(AND($G518&gt;=30,$AT$3&lt;=DK$7),ROUND(DK518*($AP$3+#REF!),-1),""))</f>
        <v/>
      </c>
      <c r="DM518" s="517" t="e">
        <v>#REF!</v>
      </c>
      <c r="DN518" s="503" t="str">
        <f>IF($G518="","",IF(AND($G518&gt;=30,$AT$3&lt;=DM$7),ROUND(DM518*($AP$3+#REF!),-1),""))</f>
        <v/>
      </c>
      <c r="DO518" s="503"/>
      <c r="DP518" s="503" t="str">
        <f>IF($G518="","",IF(AND($G518&gt;=30,$AT$3&lt;=DO$7),ROUND(DO518*($AP$3+#REF!),-1),""))</f>
        <v/>
      </c>
      <c r="DQ518" s="503"/>
      <c r="DR518" s="503" t="str">
        <f>IF($G518="","",IF(AND($G518&gt;=30,$AT$3&lt;=DQ$7),ROUND(DQ518*($AP$3+#REF!),-1),""))</f>
        <v/>
      </c>
      <c r="DS518" s="503"/>
      <c r="DT518" s="503" t="str">
        <f>IF($G518="","",IF(AND($G518&gt;=30,$AT$3&lt;=DS$7),ROUND(DS518*($AP$3+#REF!),-1),""))</f>
        <v/>
      </c>
      <c r="DU518" s="503"/>
      <c r="DV518" s="503" t="str">
        <f>IF($G518="","",IF(AND($G518&gt;=30,$AT$3&lt;=DU$7),ROUND(DU518*($AP$3+#REF!),-1),""))</f>
        <v/>
      </c>
      <c r="DW518" s="503"/>
      <c r="DX518" s="503" t="str">
        <f>IF($G518="","",IF(AND($G518&gt;=30,$AT$3&lt;=DW$7),ROUND(DW518*($AP$3+#REF!),-1),""))</f>
        <v/>
      </c>
      <c r="DY518" s="503"/>
      <c r="DZ518" s="503" t="str">
        <f>IF($G518="","",IF(AND($G518&gt;=30,$AT$3&lt;=DY$7),ROUND(DY518*($AP$3+#REF!),-1),""))</f>
        <v/>
      </c>
      <c r="EA518" s="503"/>
      <c r="EB518" s="503" t="str">
        <f>IF($G518="","",IF(AND($G518&gt;=30,$AT$3&lt;=EA$7),ROUND(EA518*($AP$3+#REF!),-1),""))</f>
        <v/>
      </c>
      <c r="EC518" s="436"/>
      <c r="ED518" s="436"/>
      <c r="EE518" s="394"/>
    </row>
    <row r="519" spans="1:135" ht="9.75" customHeight="1">
      <c r="A519" s="321" t="str">
        <f t="shared" si="124"/>
        <v/>
      </c>
      <c r="B519" s="567">
        <f>(ii!$D$13*12+V519)+1</f>
        <v>413</v>
      </c>
      <c r="C519" s="337">
        <f t="shared" si="114"/>
        <v>57922</v>
      </c>
      <c r="D519" s="484">
        <f t="shared" si="117"/>
        <v>2058</v>
      </c>
      <c r="E519" s="484">
        <f t="shared" si="115"/>
        <v>0.58333333333333337</v>
      </c>
      <c r="F519" s="484">
        <f t="shared" si="118"/>
        <v>2058.5833333333335</v>
      </c>
      <c r="G519" s="485" t="str">
        <f>IF(OR(C519&lt;$I$2,C519&gt;$J$3),"",(ii!$D$13*12+V519+1)/12)</f>
        <v/>
      </c>
      <c r="H519" s="486"/>
      <c r="I519" s="486"/>
      <c r="J519" s="487"/>
      <c r="K519" s="488"/>
      <c r="L519" s="548"/>
      <c r="M519" s="489" t="str">
        <f t="shared" si="119"/>
        <v/>
      </c>
      <c r="N519" s="490" t="s">
        <v>621</v>
      </c>
      <c r="O519" s="490" t="str">
        <f t="shared" si="112"/>
        <v/>
      </c>
      <c r="P519" s="491"/>
      <c r="Q519" s="491"/>
      <c r="R519" s="491" t="str">
        <f t="shared" si="113"/>
        <v/>
      </c>
      <c r="S519" s="528" t="str">
        <f t="shared" si="125"/>
        <v/>
      </c>
      <c r="T519" s="528" t="str">
        <f t="shared" si="123"/>
        <v/>
      </c>
      <c r="U519" s="493" t="str">
        <f>IF(H519="","",#REF!*12+#REF!+#REF!*12+#REF!)</f>
        <v/>
      </c>
      <c r="V519" s="338">
        <f>IF(ii!$J$3&gt;gg!C519,"",IF(AND((YEAR(C519)=YEAR($I$2)),MONTH(C519)=MONTH($I$2)),ii!$B$14*12+ii!$C$14+ii!$B$15*12+ii!$C$15-1,V518+1))</f>
        <v>412</v>
      </c>
      <c r="W519" s="339">
        <f t="shared" si="116"/>
        <v>34.333333333333336</v>
      </c>
      <c r="X519" s="494" t="s">
        <v>621</v>
      </c>
      <c r="Y519" s="495" t="s">
        <v>621</v>
      </c>
      <c r="Z519" s="496"/>
      <c r="AA519" s="497"/>
      <c r="AB519" s="498" t="e">
        <f t="shared" si="122"/>
        <v>#VALUE!</v>
      </c>
      <c r="AC519" s="484" t="str">
        <f t="shared" si="120"/>
        <v/>
      </c>
      <c r="AD519" s="495" t="str">
        <f t="shared" si="121"/>
        <v/>
      </c>
      <c r="AE519" s="499" t="s">
        <v>621</v>
      </c>
      <c r="AF519" s="500" t="s">
        <v>621</v>
      </c>
      <c r="AG519" s="556" t="s">
        <v>621</v>
      </c>
      <c r="AH519" s="503" t="str">
        <f>IF($G519="","",IF(AND($G519&gt;=30,$AT$3&lt;=AG$7),ROUND(AG519*($AP$3+#REF!),-1),""))</f>
        <v/>
      </c>
      <c r="AI519" s="506" t="s">
        <v>621</v>
      </c>
      <c r="AJ519" s="503" t="str">
        <f>IF($G519="","",IF(AND($G519&gt;=30,$AT$3&lt;=AI$7),ROUND(AI519*($AP$3+#REF!),-1),""))</f>
        <v/>
      </c>
      <c r="AK519" s="506" t="s">
        <v>621</v>
      </c>
      <c r="AL519" s="503" t="str">
        <f>IF($G519="","",IF(AND($G519&gt;=30,$AT$3&lt;=AK$7),ROUND(AK519*($AP$3+#REF!),-1),""))</f>
        <v/>
      </c>
      <c r="AM519" s="506" t="s">
        <v>621</v>
      </c>
      <c r="AN519" s="503" t="str">
        <f>IF($G519="","",IF(AND($G519&gt;=30,$AT$3&lt;=AM$7),ROUND(AM519*($AP$3+#REF!),-1),""))</f>
        <v/>
      </c>
      <c r="AO519" s="503" t="e">
        <v>#REF!</v>
      </c>
      <c r="AP519" s="503" t="str">
        <f>IF($G519="","",IF(AND($G519&gt;=30,$AT$3&lt;=AO$7),ROUND(AO519*($AP$3+#REF!),-1),""))</f>
        <v/>
      </c>
      <c r="AQ519" s="503" t="s">
        <v>621</v>
      </c>
      <c r="AR519" s="503" t="str">
        <f>IF($G519="","",IF(AND($G519&gt;=30,$AT$3&lt;=AQ$7),ROUND(AQ519*($AP$3+#REF!),-1),""))</f>
        <v/>
      </c>
      <c r="AS519" s="503" t="s">
        <v>621</v>
      </c>
      <c r="AT519" s="503" t="str">
        <f>IF($G519="","",IF(AND($G519&gt;=30,$AT$3&lt;=AS$7),ROUND(AS519*($AP$3+#REF!),-1),""))</f>
        <v/>
      </c>
      <c r="AU519" s="503" t="s">
        <v>621</v>
      </c>
      <c r="AV519" s="503" t="str">
        <f>IF($G519="","",IF(AND($G519&gt;=30,$AT$3&lt;=AU$7),ROUND(AU519*($AP$3+#REF!),-1),""))</f>
        <v/>
      </c>
      <c r="AW519" s="503" t="s">
        <v>621</v>
      </c>
      <c r="AX519" s="503" t="str">
        <f>IF($G519="","",IF(AND($G519&gt;=30,$AT$3&lt;=AW$7),ROUND(AW519*($AP$3+#REF!),-1),""))</f>
        <v/>
      </c>
      <c r="AY519" s="503" t="s">
        <v>621</v>
      </c>
      <c r="AZ519" s="503" t="str">
        <f>IF($G519="","",IF(AND($G519&gt;=30,$AT$3&lt;=AY$7),ROUND(AY519*($AP$3+#REF!),-1),""))</f>
        <v/>
      </c>
      <c r="BA519" s="503" t="s">
        <v>621</v>
      </c>
      <c r="BB519" s="503" t="str">
        <f>IF($G519="","",IF(AND($G519&gt;=30,$AT$3&lt;=BA$7),ROUND(BA519*($AP$3+#REF!),-1),""))</f>
        <v/>
      </c>
      <c r="BC519" s="503" t="s">
        <v>621</v>
      </c>
      <c r="BD519" s="503" t="str">
        <f>IF($G519="","",IF(AND($G519&gt;=30,$AT$3&lt;=BC$7),ROUND(BC519*($AP$3+#REF!),-1),""))</f>
        <v/>
      </c>
      <c r="BE519" s="503" t="s">
        <v>621</v>
      </c>
      <c r="BF519" s="503" t="str">
        <f>IF($G519="","",IF(AND($G519&gt;=30,$AT$3&lt;=BE$7),ROUND(BE519*($AP$3+#REF!),-1),""))</f>
        <v/>
      </c>
      <c r="BG519" s="503" t="s">
        <v>621</v>
      </c>
      <c r="BH519" s="503" t="str">
        <f>IF($G519="","",IF(AND($G519&gt;=30,$AT$3&lt;=BG$7),ROUND(BG519*($AP$3+#REF!),-1),""))</f>
        <v/>
      </c>
      <c r="BI519" s="503" t="s">
        <v>621</v>
      </c>
      <c r="BJ519" s="503" t="str">
        <f>IF($G519="","",IF(AND($G519&gt;=30,$AT$3&lt;=BI$7),ROUND(BI519*($AP$3+#REF!),-1),""))</f>
        <v/>
      </c>
      <c r="BK519" s="503" t="s">
        <v>621</v>
      </c>
      <c r="BL519" s="503" t="str">
        <f>IF($G519="","",IF(AND($G519&gt;=30,$AT$3&lt;=BK$7),ROUND(BK519*($AP$3+#REF!),-1),""))</f>
        <v/>
      </c>
      <c r="BM519" s="503" t="s">
        <v>621</v>
      </c>
      <c r="BN519" s="503" t="str">
        <f>IF($G519="","",IF(AND($G519&gt;=30,$AT$3&lt;=BM$7),ROUND(BM519*($AP$3+#REF!),-1),""))</f>
        <v/>
      </c>
      <c r="BO519" s="503" t="s">
        <v>621</v>
      </c>
      <c r="BP519" s="503" t="str">
        <f>IF($G519="","",IF(AND($G519&gt;=30,$AT$3&lt;=BO$7),ROUND(BO519*($AP$3+#REF!),-1),""))</f>
        <v/>
      </c>
      <c r="BQ519" s="503" t="s">
        <v>621</v>
      </c>
      <c r="BR519" s="503" t="str">
        <f>IF($G519="","",IF(AND($G519&gt;=30,$AT$3&lt;=BQ$7),ROUND(BQ519*($AP$3+#REF!),-1),""))</f>
        <v/>
      </c>
      <c r="BS519" s="503" t="s">
        <v>621</v>
      </c>
      <c r="BT519" s="503" t="str">
        <f>IF($G519="","",IF(AND($G519&gt;=30,$AT$3&lt;=BS$7),ROUND(BS519*($AP$3+#REF!),-1),""))</f>
        <v/>
      </c>
      <c r="BU519" s="503" t="s">
        <v>621</v>
      </c>
      <c r="BV519" s="503" t="str">
        <f>IF($G519="","",IF(AND($G519&gt;=30,$AT$3&lt;=BU$7),ROUND(BU519*($AP$3+#REF!),-1),""))</f>
        <v/>
      </c>
      <c r="BW519" s="503" t="s">
        <v>621</v>
      </c>
      <c r="BX519" s="503" t="str">
        <f>IF($G519="","",IF(AND($G519&gt;=30,$AT$3&lt;=BW$7),ROUND(BW519*($AP$3+#REF!),-1),""))</f>
        <v/>
      </c>
      <c r="BY519" s="503" t="s">
        <v>621</v>
      </c>
      <c r="BZ519" s="503" t="str">
        <f>IF($G519="","",IF(AND($G519&gt;=30,$AT$3&lt;=BY$7),ROUND(BY519*($AP$3+#REF!),-1),""))</f>
        <v/>
      </c>
      <c r="CA519" s="503" t="s">
        <v>621</v>
      </c>
      <c r="CB519" s="503" t="str">
        <f>IF($G519="","",IF(AND($G519&gt;=30,$AT$3&lt;=CA$7),ROUND(CA519*($AP$3+#REF!),-1),""))</f>
        <v/>
      </c>
      <c r="CC519" s="503" t="s">
        <v>621</v>
      </c>
      <c r="CD519" s="503" t="str">
        <f>IF($G519="","",IF(AND($G519&gt;=30,$AT$3&lt;=CC$7),ROUND(CC519*($AP$3+#REF!),-1),""))</f>
        <v/>
      </c>
      <c r="CE519" s="503" t="s">
        <v>621</v>
      </c>
      <c r="CF519" s="503" t="str">
        <f>IF($G519="","",IF(AND($G519&gt;=30,$AT$3&lt;=CE$7),ROUND(CE519*($AP$3+#REF!),-1),""))</f>
        <v/>
      </c>
      <c r="CG519" s="503" t="s">
        <v>621</v>
      </c>
      <c r="CH519" s="503" t="str">
        <f>IF($G519="","",IF(AND($G519&gt;=30,$AT$3&lt;=CG$7),ROUND(CG519*($AP$3+#REF!),-1),""))</f>
        <v/>
      </c>
      <c r="CI519" s="503" t="s">
        <v>621</v>
      </c>
      <c r="CJ519" s="503" t="str">
        <f>IF($G519="","",IF(AND($G519&gt;=30,$AT$3&lt;=CI$7),ROUND(CI519*($AP$3+#REF!),-1),""))</f>
        <v/>
      </c>
      <c r="CK519" s="503" t="s">
        <v>621</v>
      </c>
      <c r="CL519" s="503" t="str">
        <f>IF($G519="","",IF(AND($G519&gt;=30,$AT$3&lt;=CK$7),ROUND(CK519*($AP$3+#REF!),-1),""))</f>
        <v/>
      </c>
      <c r="CM519" s="503" t="s">
        <v>621</v>
      </c>
      <c r="CN519" s="503" t="str">
        <f>IF($G519="","",IF(AND($G519&gt;=30,$AT$3&lt;=CM$7),ROUND(CM519*($AP$3+#REF!),-1),""))</f>
        <v/>
      </c>
      <c r="CO519" s="503" t="s">
        <v>621</v>
      </c>
      <c r="CP519" s="503" t="str">
        <f>IF($G519="","",IF(AND($G519&gt;=30,$AT$3&lt;=CO$7),ROUND(CO519*($AP$3+#REF!),-1),""))</f>
        <v/>
      </c>
      <c r="CQ519" s="503" t="s">
        <v>621</v>
      </c>
      <c r="CR519" s="503" t="str">
        <f>IF($G519="","",IF(AND($G519&gt;=30,$AT$3&lt;=CQ$7),ROUND(CQ519*($AP$3+#REF!),-1),""))</f>
        <v/>
      </c>
      <c r="CS519" s="503" t="s">
        <v>621</v>
      </c>
      <c r="CT519" s="503" t="str">
        <f>IF($G519="","",IF(AND($G519&gt;=30,$AT$3&lt;=CS$7),ROUND(CS519*($AP$3+#REF!),-1),""))</f>
        <v/>
      </c>
      <c r="CU519" s="503" t="s">
        <v>621</v>
      </c>
      <c r="CV519" s="503" t="str">
        <f>IF($G519="","",IF(AND($G519&gt;=30,$AT$3&lt;=CU$7),ROUND(CU519*($AP$3+#REF!),-1),""))</f>
        <v/>
      </c>
      <c r="CW519" s="503" t="s">
        <v>621</v>
      </c>
      <c r="CX519" s="503" t="str">
        <f>IF($G519="","",IF(AND($G519&gt;=30,$AT$3&lt;=CW$7),ROUND(CW519*($AP$3+#REF!),-1),""))</f>
        <v/>
      </c>
      <c r="CY519" s="503" t="s">
        <v>621</v>
      </c>
      <c r="CZ519" s="503" t="str">
        <f>IF($G519="","",IF(AND($G519&gt;=30,$AT$3&lt;=CY$7),ROUND(CY519*($AP$3+#REF!),-1),""))</f>
        <v/>
      </c>
      <c r="DA519" s="503" t="s">
        <v>621</v>
      </c>
      <c r="DB519" s="503" t="str">
        <f>IF($G519="","",IF(AND($G519&gt;=30,$AT$3&lt;=DA$7),ROUND(DA519*($AP$3+#REF!),-1),""))</f>
        <v/>
      </c>
      <c r="DC519" s="503" t="s">
        <v>621</v>
      </c>
      <c r="DD519" s="503" t="str">
        <f>IF($G519="","",IF(AND($G519&gt;=30,$AT$3&lt;=DC$7),ROUND(DC519*($AP$3+#REF!),-1),""))</f>
        <v/>
      </c>
      <c r="DE519" s="503" t="s">
        <v>621</v>
      </c>
      <c r="DF519" s="503" t="str">
        <f>IF($G519="","",IF(AND($G519&gt;=30,$AT$3&lt;=DE$7),ROUND(DE519*($AP$3+#REF!),-1),""))</f>
        <v/>
      </c>
      <c r="DG519" s="503" t="s">
        <v>621</v>
      </c>
      <c r="DH519" s="503" t="str">
        <f>IF($G519="","",IF(AND($G519&gt;=30,$AT$3&lt;=DG$7),ROUND(DG519*($AP$3+#REF!),-1),""))</f>
        <v/>
      </c>
      <c r="DI519" s="503" t="s">
        <v>621</v>
      </c>
      <c r="DJ519" s="503" t="str">
        <f>IF($G519="","",IF(AND($G519&gt;=30,$AT$3&lt;=DI$7),ROUND(DI519*($AP$3+#REF!),-1),""))</f>
        <v/>
      </c>
      <c r="DK519" s="503" t="s">
        <v>621</v>
      </c>
      <c r="DL519" s="503" t="str">
        <f>IF($G519="","",IF(AND($G519&gt;=30,$AT$3&lt;=DK$7),ROUND(DK519*($AP$3+#REF!),-1),""))</f>
        <v/>
      </c>
      <c r="DM519" s="517" t="e">
        <v>#REF!</v>
      </c>
      <c r="DN519" s="503" t="str">
        <f>IF($G519="","",IF(AND($G519&gt;=30,$AT$3&lt;=DM$7),ROUND(DM519*($AP$3+#REF!),-1),""))</f>
        <v/>
      </c>
      <c r="DO519" s="503"/>
      <c r="DP519" s="503" t="str">
        <f>IF($G519="","",IF(AND($G519&gt;=30,$AT$3&lt;=DO$7),ROUND(DO519*($AP$3+#REF!),-1),""))</f>
        <v/>
      </c>
      <c r="DQ519" s="503"/>
      <c r="DR519" s="503" t="str">
        <f>IF($G519="","",IF(AND($G519&gt;=30,$AT$3&lt;=DQ$7),ROUND(DQ519*($AP$3+#REF!),-1),""))</f>
        <v/>
      </c>
      <c r="DS519" s="503"/>
      <c r="DT519" s="503" t="str">
        <f>IF($G519="","",IF(AND($G519&gt;=30,$AT$3&lt;=DS$7),ROUND(DS519*($AP$3+#REF!),-1),""))</f>
        <v/>
      </c>
      <c r="DU519" s="503"/>
      <c r="DV519" s="503" t="str">
        <f>IF($G519="","",IF(AND($G519&gt;=30,$AT$3&lt;=DU$7),ROUND(DU519*($AP$3+#REF!),-1),""))</f>
        <v/>
      </c>
      <c r="DW519" s="503"/>
      <c r="DX519" s="503" t="str">
        <f>IF($G519="","",IF(AND($G519&gt;=30,$AT$3&lt;=DW$7),ROUND(DW519*($AP$3+#REF!),-1),""))</f>
        <v/>
      </c>
      <c r="DY519" s="503"/>
      <c r="DZ519" s="503" t="str">
        <f>IF($G519="","",IF(AND($G519&gt;=30,$AT$3&lt;=DY$7),ROUND(DY519*($AP$3+#REF!),-1),""))</f>
        <v/>
      </c>
      <c r="EA519" s="503"/>
      <c r="EB519" s="503" t="str">
        <f>IF($G519="","",IF(AND($G519&gt;=30,$AT$3&lt;=EA$7),ROUND(EA519*($AP$3+#REF!),-1),""))</f>
        <v/>
      </c>
      <c r="EC519" s="436"/>
      <c r="ED519" s="436"/>
      <c r="EE519" s="394"/>
    </row>
    <row r="520" spans="1:135" ht="9.75" customHeight="1">
      <c r="A520" s="321" t="str">
        <f t="shared" si="124"/>
        <v/>
      </c>
      <c r="B520" s="567">
        <f>(ii!$D$13*12+V520)+1</f>
        <v>414</v>
      </c>
      <c r="C520" s="337">
        <f t="shared" si="114"/>
        <v>57953</v>
      </c>
      <c r="D520" s="484">
        <f t="shared" si="117"/>
        <v>2058</v>
      </c>
      <c r="E520" s="484">
        <f t="shared" si="115"/>
        <v>0.66666666666666663</v>
      </c>
      <c r="F520" s="484">
        <f t="shared" si="118"/>
        <v>2058.6666666666665</v>
      </c>
      <c r="G520" s="485" t="str">
        <f>IF(OR(C520&lt;$I$2,C520&gt;$J$3),"",(ii!$D$13*12+V520+1)/12)</f>
        <v/>
      </c>
      <c r="H520" s="486"/>
      <c r="I520" s="486"/>
      <c r="J520" s="487"/>
      <c r="K520" s="488"/>
      <c r="L520" s="548"/>
      <c r="M520" s="489" t="str">
        <f t="shared" si="119"/>
        <v/>
      </c>
      <c r="N520" s="490" t="s">
        <v>621</v>
      </c>
      <c r="O520" s="490" t="str">
        <f t="shared" si="112"/>
        <v/>
      </c>
      <c r="P520" s="491"/>
      <c r="Q520" s="491"/>
      <c r="R520" s="491" t="str">
        <f t="shared" si="113"/>
        <v/>
      </c>
      <c r="S520" s="528" t="str">
        <f t="shared" si="125"/>
        <v/>
      </c>
      <c r="T520" s="528" t="str">
        <f t="shared" si="123"/>
        <v/>
      </c>
      <c r="U520" s="493" t="str">
        <f>IF(H520="","",#REF!*12+#REF!+#REF!*12+#REF!)</f>
        <v/>
      </c>
      <c r="V520" s="338">
        <f>IF(ii!$J$3&gt;gg!C520,"",IF(AND((YEAR(C520)=YEAR($I$2)),MONTH(C520)=MONTH($I$2)),ii!$B$14*12+ii!$C$14+ii!$B$15*12+ii!$C$15-1,V519+1))</f>
        <v>413</v>
      </c>
      <c r="W520" s="339">
        <f t="shared" si="116"/>
        <v>34.416666666666664</v>
      </c>
      <c r="X520" s="494" t="s">
        <v>621</v>
      </c>
      <c r="Y520" s="495" t="s">
        <v>621</v>
      </c>
      <c r="Z520" s="496"/>
      <c r="AA520" s="497"/>
      <c r="AB520" s="498" t="e">
        <f t="shared" si="122"/>
        <v>#VALUE!</v>
      </c>
      <c r="AC520" s="484" t="str">
        <f t="shared" si="120"/>
        <v/>
      </c>
      <c r="AD520" s="495" t="str">
        <f t="shared" si="121"/>
        <v/>
      </c>
      <c r="AE520" s="499" t="s">
        <v>621</v>
      </c>
      <c r="AF520" s="500" t="s">
        <v>621</v>
      </c>
      <c r="AG520" s="556" t="s">
        <v>621</v>
      </c>
      <c r="AH520" s="503" t="str">
        <f>IF($G520="","",IF(AND($G520&gt;=30,$AT$3&lt;=AG$7),ROUND(AG520*($AP$3+#REF!),-1),""))</f>
        <v/>
      </c>
      <c r="AI520" s="506" t="s">
        <v>621</v>
      </c>
      <c r="AJ520" s="503" t="str">
        <f>IF($G520="","",IF(AND($G520&gt;=30,$AT$3&lt;=AI$7),ROUND(AI520*($AP$3+#REF!),-1),""))</f>
        <v/>
      </c>
      <c r="AK520" s="506" t="s">
        <v>621</v>
      </c>
      <c r="AL520" s="503" t="str">
        <f>IF($G520="","",IF(AND($G520&gt;=30,$AT$3&lt;=AK$7),ROUND(AK520*($AP$3+#REF!),-1),""))</f>
        <v/>
      </c>
      <c r="AM520" s="506" t="s">
        <v>621</v>
      </c>
      <c r="AN520" s="503" t="str">
        <f>IF($G520="","",IF(AND($G520&gt;=30,$AT$3&lt;=AM$7),ROUND(AM520*($AP$3+#REF!),-1),""))</f>
        <v/>
      </c>
      <c r="AO520" s="503" t="e">
        <v>#REF!</v>
      </c>
      <c r="AP520" s="503" t="str">
        <f>IF($G520="","",IF(AND($G520&gt;=30,$AT$3&lt;=AO$7),ROUND(AO520*($AP$3+#REF!),-1),""))</f>
        <v/>
      </c>
      <c r="AQ520" s="503" t="s">
        <v>621</v>
      </c>
      <c r="AR520" s="503" t="str">
        <f>IF($G520="","",IF(AND($G520&gt;=30,$AT$3&lt;=AQ$7),ROUND(AQ520*($AP$3+#REF!),-1),""))</f>
        <v/>
      </c>
      <c r="AS520" s="503" t="s">
        <v>621</v>
      </c>
      <c r="AT520" s="503" t="str">
        <f>IF($G520="","",IF(AND($G520&gt;=30,$AT$3&lt;=AS$7),ROUND(AS520*($AP$3+#REF!),-1),""))</f>
        <v/>
      </c>
      <c r="AU520" s="503" t="s">
        <v>621</v>
      </c>
      <c r="AV520" s="503" t="str">
        <f>IF($G520="","",IF(AND($G520&gt;=30,$AT$3&lt;=AU$7),ROUND(AU520*($AP$3+#REF!),-1),""))</f>
        <v/>
      </c>
      <c r="AW520" s="503" t="s">
        <v>621</v>
      </c>
      <c r="AX520" s="503" t="str">
        <f>IF($G520="","",IF(AND($G520&gt;=30,$AT$3&lt;=AW$7),ROUND(AW520*($AP$3+#REF!),-1),""))</f>
        <v/>
      </c>
      <c r="AY520" s="503" t="s">
        <v>621</v>
      </c>
      <c r="AZ520" s="503" t="str">
        <f>IF($G520="","",IF(AND($G520&gt;=30,$AT$3&lt;=AY$7),ROUND(AY520*($AP$3+#REF!),-1),""))</f>
        <v/>
      </c>
      <c r="BA520" s="503" t="s">
        <v>621</v>
      </c>
      <c r="BB520" s="503" t="str">
        <f>IF($G520="","",IF(AND($G520&gt;=30,$AT$3&lt;=BA$7),ROUND(BA520*($AP$3+#REF!),-1),""))</f>
        <v/>
      </c>
      <c r="BC520" s="503" t="s">
        <v>621</v>
      </c>
      <c r="BD520" s="503" t="str">
        <f>IF($G520="","",IF(AND($G520&gt;=30,$AT$3&lt;=BC$7),ROUND(BC520*($AP$3+#REF!),-1),""))</f>
        <v/>
      </c>
      <c r="BE520" s="503" t="s">
        <v>621</v>
      </c>
      <c r="BF520" s="503" t="str">
        <f>IF($G520="","",IF(AND($G520&gt;=30,$AT$3&lt;=BE$7),ROUND(BE520*($AP$3+#REF!),-1),""))</f>
        <v/>
      </c>
      <c r="BG520" s="503" t="s">
        <v>621</v>
      </c>
      <c r="BH520" s="503" t="str">
        <f>IF($G520="","",IF(AND($G520&gt;=30,$AT$3&lt;=BG$7),ROUND(BG520*($AP$3+#REF!),-1),""))</f>
        <v/>
      </c>
      <c r="BI520" s="503" t="s">
        <v>621</v>
      </c>
      <c r="BJ520" s="503" t="str">
        <f>IF($G520="","",IF(AND($G520&gt;=30,$AT$3&lt;=BI$7),ROUND(BI520*($AP$3+#REF!),-1),""))</f>
        <v/>
      </c>
      <c r="BK520" s="503" t="s">
        <v>621</v>
      </c>
      <c r="BL520" s="503" t="str">
        <f>IF($G520="","",IF(AND($G520&gt;=30,$AT$3&lt;=BK$7),ROUND(BK520*($AP$3+#REF!),-1),""))</f>
        <v/>
      </c>
      <c r="BM520" s="503" t="s">
        <v>621</v>
      </c>
      <c r="BN520" s="503" t="str">
        <f>IF($G520="","",IF(AND($G520&gt;=30,$AT$3&lt;=BM$7),ROUND(BM520*($AP$3+#REF!),-1),""))</f>
        <v/>
      </c>
      <c r="BO520" s="503" t="s">
        <v>621</v>
      </c>
      <c r="BP520" s="503" t="str">
        <f>IF($G520="","",IF(AND($G520&gt;=30,$AT$3&lt;=BO$7),ROUND(BO520*($AP$3+#REF!),-1),""))</f>
        <v/>
      </c>
      <c r="BQ520" s="503" t="s">
        <v>621</v>
      </c>
      <c r="BR520" s="503" t="str">
        <f>IF($G520="","",IF(AND($G520&gt;=30,$AT$3&lt;=BQ$7),ROUND(BQ520*($AP$3+#REF!),-1),""))</f>
        <v/>
      </c>
      <c r="BS520" s="503" t="s">
        <v>621</v>
      </c>
      <c r="BT520" s="503" t="str">
        <f>IF($G520="","",IF(AND($G520&gt;=30,$AT$3&lt;=BS$7),ROUND(BS520*($AP$3+#REF!),-1),""))</f>
        <v/>
      </c>
      <c r="BU520" s="503" t="s">
        <v>621</v>
      </c>
      <c r="BV520" s="503" t="str">
        <f>IF($G520="","",IF(AND($G520&gt;=30,$AT$3&lt;=BU$7),ROUND(BU520*($AP$3+#REF!),-1),""))</f>
        <v/>
      </c>
      <c r="BW520" s="503" t="s">
        <v>621</v>
      </c>
      <c r="BX520" s="503" t="str">
        <f>IF($G520="","",IF(AND($G520&gt;=30,$AT$3&lt;=BW$7),ROUND(BW520*($AP$3+#REF!),-1),""))</f>
        <v/>
      </c>
      <c r="BY520" s="503" t="s">
        <v>621</v>
      </c>
      <c r="BZ520" s="503" t="str">
        <f>IF($G520="","",IF(AND($G520&gt;=30,$AT$3&lt;=BY$7),ROUND(BY520*($AP$3+#REF!),-1),""))</f>
        <v/>
      </c>
      <c r="CA520" s="503" t="s">
        <v>621</v>
      </c>
      <c r="CB520" s="503" t="str">
        <f>IF($G520="","",IF(AND($G520&gt;=30,$AT$3&lt;=CA$7),ROUND(CA520*($AP$3+#REF!),-1),""))</f>
        <v/>
      </c>
      <c r="CC520" s="503" t="s">
        <v>621</v>
      </c>
      <c r="CD520" s="503" t="str">
        <f>IF($G520="","",IF(AND($G520&gt;=30,$AT$3&lt;=CC$7),ROUND(CC520*($AP$3+#REF!),-1),""))</f>
        <v/>
      </c>
      <c r="CE520" s="503" t="s">
        <v>621</v>
      </c>
      <c r="CF520" s="503" t="str">
        <f>IF($G520="","",IF(AND($G520&gt;=30,$AT$3&lt;=CE$7),ROUND(CE520*($AP$3+#REF!),-1),""))</f>
        <v/>
      </c>
      <c r="CG520" s="503" t="s">
        <v>621</v>
      </c>
      <c r="CH520" s="503" t="str">
        <f>IF($G520="","",IF(AND($G520&gt;=30,$AT$3&lt;=CG$7),ROUND(CG520*($AP$3+#REF!),-1),""))</f>
        <v/>
      </c>
      <c r="CI520" s="503" t="s">
        <v>621</v>
      </c>
      <c r="CJ520" s="503" t="str">
        <f>IF($G520="","",IF(AND($G520&gt;=30,$AT$3&lt;=CI$7),ROUND(CI520*($AP$3+#REF!),-1),""))</f>
        <v/>
      </c>
      <c r="CK520" s="503" t="s">
        <v>621</v>
      </c>
      <c r="CL520" s="503" t="str">
        <f>IF($G520="","",IF(AND($G520&gt;=30,$AT$3&lt;=CK$7),ROUND(CK520*($AP$3+#REF!),-1),""))</f>
        <v/>
      </c>
      <c r="CM520" s="503" t="s">
        <v>621</v>
      </c>
      <c r="CN520" s="503" t="str">
        <f>IF($G520="","",IF(AND($G520&gt;=30,$AT$3&lt;=CM$7),ROUND(CM520*($AP$3+#REF!),-1),""))</f>
        <v/>
      </c>
      <c r="CO520" s="503" t="s">
        <v>621</v>
      </c>
      <c r="CP520" s="503" t="str">
        <f>IF($G520="","",IF(AND($G520&gt;=30,$AT$3&lt;=CO$7),ROUND(CO520*($AP$3+#REF!),-1),""))</f>
        <v/>
      </c>
      <c r="CQ520" s="503" t="s">
        <v>621</v>
      </c>
      <c r="CR520" s="503" t="str">
        <f>IF($G520="","",IF(AND($G520&gt;=30,$AT$3&lt;=CQ$7),ROUND(CQ520*($AP$3+#REF!),-1),""))</f>
        <v/>
      </c>
      <c r="CS520" s="503" t="s">
        <v>621</v>
      </c>
      <c r="CT520" s="503" t="str">
        <f>IF($G520="","",IF(AND($G520&gt;=30,$AT$3&lt;=CS$7),ROUND(CS520*($AP$3+#REF!),-1),""))</f>
        <v/>
      </c>
      <c r="CU520" s="503" t="s">
        <v>621</v>
      </c>
      <c r="CV520" s="503" t="str">
        <f>IF($G520="","",IF(AND($G520&gt;=30,$AT$3&lt;=CU$7),ROUND(CU520*($AP$3+#REF!),-1),""))</f>
        <v/>
      </c>
      <c r="CW520" s="503" t="s">
        <v>621</v>
      </c>
      <c r="CX520" s="503" t="str">
        <f>IF($G520="","",IF(AND($G520&gt;=30,$AT$3&lt;=CW$7),ROUND(CW520*($AP$3+#REF!),-1),""))</f>
        <v/>
      </c>
      <c r="CY520" s="503" t="s">
        <v>621</v>
      </c>
      <c r="CZ520" s="503" t="str">
        <f>IF($G520="","",IF(AND($G520&gt;=30,$AT$3&lt;=CY$7),ROUND(CY520*($AP$3+#REF!),-1),""))</f>
        <v/>
      </c>
      <c r="DA520" s="503" t="s">
        <v>621</v>
      </c>
      <c r="DB520" s="503" t="str">
        <f>IF($G520="","",IF(AND($G520&gt;=30,$AT$3&lt;=DA$7),ROUND(DA520*($AP$3+#REF!),-1),""))</f>
        <v/>
      </c>
      <c r="DC520" s="503" t="s">
        <v>621</v>
      </c>
      <c r="DD520" s="503" t="str">
        <f>IF($G520="","",IF(AND($G520&gt;=30,$AT$3&lt;=DC$7),ROUND(DC520*($AP$3+#REF!),-1),""))</f>
        <v/>
      </c>
      <c r="DE520" s="503" t="s">
        <v>621</v>
      </c>
      <c r="DF520" s="503" t="str">
        <f>IF($G520="","",IF(AND($G520&gt;=30,$AT$3&lt;=DE$7),ROUND(DE520*($AP$3+#REF!),-1),""))</f>
        <v/>
      </c>
      <c r="DG520" s="503" t="s">
        <v>621</v>
      </c>
      <c r="DH520" s="503" t="str">
        <f>IF($G520="","",IF(AND($G520&gt;=30,$AT$3&lt;=DG$7),ROUND(DG520*($AP$3+#REF!),-1),""))</f>
        <v/>
      </c>
      <c r="DI520" s="503" t="s">
        <v>621</v>
      </c>
      <c r="DJ520" s="503" t="str">
        <f>IF($G520="","",IF(AND($G520&gt;=30,$AT$3&lt;=DI$7),ROUND(DI520*($AP$3+#REF!),-1),""))</f>
        <v/>
      </c>
      <c r="DK520" s="503" t="s">
        <v>621</v>
      </c>
      <c r="DL520" s="503" t="str">
        <f>IF($G520="","",IF(AND($G520&gt;=30,$AT$3&lt;=DK$7),ROUND(DK520*($AP$3+#REF!),-1),""))</f>
        <v/>
      </c>
      <c r="DM520" s="517" t="e">
        <v>#REF!</v>
      </c>
      <c r="DN520" s="503" t="str">
        <f>IF($G520="","",IF(AND($G520&gt;=30,$AT$3&lt;=DM$7),ROUND(DM520*($AP$3+#REF!),-1),""))</f>
        <v/>
      </c>
      <c r="DO520" s="503"/>
      <c r="DP520" s="503" t="str">
        <f>IF($G520="","",IF(AND($G520&gt;=30,$AT$3&lt;=DO$7),ROUND(DO520*($AP$3+#REF!),-1),""))</f>
        <v/>
      </c>
      <c r="DQ520" s="503"/>
      <c r="DR520" s="503" t="str">
        <f>IF($G520="","",IF(AND($G520&gt;=30,$AT$3&lt;=DQ$7),ROUND(DQ520*($AP$3+#REF!),-1),""))</f>
        <v/>
      </c>
      <c r="DS520" s="503"/>
      <c r="DT520" s="503" t="str">
        <f>IF($G520="","",IF(AND($G520&gt;=30,$AT$3&lt;=DS$7),ROUND(DS520*($AP$3+#REF!),-1),""))</f>
        <v/>
      </c>
      <c r="DU520" s="503"/>
      <c r="DV520" s="503" t="str">
        <f>IF($G520="","",IF(AND($G520&gt;=30,$AT$3&lt;=DU$7),ROUND(DU520*($AP$3+#REF!),-1),""))</f>
        <v/>
      </c>
      <c r="DW520" s="503"/>
      <c r="DX520" s="503" t="str">
        <f>IF($G520="","",IF(AND($G520&gt;=30,$AT$3&lt;=DW$7),ROUND(DW520*($AP$3+#REF!),-1),""))</f>
        <v/>
      </c>
      <c r="DY520" s="503"/>
      <c r="DZ520" s="503" t="str">
        <f>IF($G520="","",IF(AND($G520&gt;=30,$AT$3&lt;=DY$7),ROUND(DY520*($AP$3+#REF!),-1),""))</f>
        <v/>
      </c>
      <c r="EA520" s="503"/>
      <c r="EB520" s="503" t="str">
        <f>IF($G520="","",IF(AND($G520&gt;=30,$AT$3&lt;=EA$7),ROUND(EA520*($AP$3+#REF!),-1),""))</f>
        <v/>
      </c>
      <c r="EC520" s="436"/>
      <c r="ED520" s="436"/>
      <c r="EE520" s="394"/>
    </row>
    <row r="521" spans="1:135" ht="9.75" customHeight="1">
      <c r="A521" s="321" t="str">
        <f t="shared" si="124"/>
        <v/>
      </c>
      <c r="B521" s="567">
        <f>(ii!$D$13*12+V521)+1</f>
        <v>415</v>
      </c>
      <c r="C521" s="337">
        <f t="shared" si="114"/>
        <v>57983</v>
      </c>
      <c r="D521" s="484">
        <f t="shared" si="117"/>
        <v>2058</v>
      </c>
      <c r="E521" s="484">
        <f t="shared" si="115"/>
        <v>0.75</v>
      </c>
      <c r="F521" s="484">
        <f t="shared" si="118"/>
        <v>2058.75</v>
      </c>
      <c r="G521" s="485" t="str">
        <f>IF(OR(C521&lt;$I$2,C521&gt;$J$3),"",(ii!$D$13*12+V521+1)/12)</f>
        <v/>
      </c>
      <c r="H521" s="486"/>
      <c r="I521" s="486"/>
      <c r="J521" s="487"/>
      <c r="K521" s="488"/>
      <c r="L521" s="548"/>
      <c r="M521" s="489" t="str">
        <f t="shared" si="119"/>
        <v/>
      </c>
      <c r="N521" s="490" t="s">
        <v>621</v>
      </c>
      <c r="O521" s="490" t="str">
        <f t="shared" ref="O521:O584" si="126">IF(OR(N521="",N520=""),"",N521-N520)</f>
        <v/>
      </c>
      <c r="P521" s="491"/>
      <c r="Q521" s="491"/>
      <c r="R521" s="491" t="str">
        <f t="shared" ref="R521:R584" si="127">IF(OR(P521="",P520=""),"",P521-P520)</f>
        <v/>
      </c>
      <c r="S521" s="528" t="str">
        <f t="shared" si="125"/>
        <v/>
      </c>
      <c r="T521" s="528" t="str">
        <f t="shared" si="123"/>
        <v/>
      </c>
      <c r="U521" s="493" t="str">
        <f>IF(H521="","",#REF!*12+#REF!+#REF!*12+#REF!)</f>
        <v/>
      </c>
      <c r="V521" s="338">
        <f>IF(ii!$J$3&gt;gg!C521,"",IF(AND((YEAR(C521)=YEAR($I$2)),MONTH(C521)=MONTH($I$2)),ii!$B$14*12+ii!$C$14+ii!$B$15*12+ii!$C$15-1,V520+1))</f>
        <v>414</v>
      </c>
      <c r="W521" s="339">
        <f t="shared" si="116"/>
        <v>34.5</v>
      </c>
      <c r="X521" s="494" t="s">
        <v>621</v>
      </c>
      <c r="Y521" s="495" t="s">
        <v>621</v>
      </c>
      <c r="Z521" s="496"/>
      <c r="AA521" s="497"/>
      <c r="AB521" s="498" t="e">
        <f t="shared" si="122"/>
        <v>#VALUE!</v>
      </c>
      <c r="AC521" s="484" t="str">
        <f t="shared" si="120"/>
        <v/>
      </c>
      <c r="AD521" s="495" t="str">
        <f t="shared" si="121"/>
        <v/>
      </c>
      <c r="AE521" s="499" t="s">
        <v>621</v>
      </c>
      <c r="AF521" s="500" t="s">
        <v>621</v>
      </c>
      <c r="AG521" s="556" t="s">
        <v>621</v>
      </c>
      <c r="AH521" s="503" t="str">
        <f>IF($G521="","",IF(AND($G521&gt;=30,$AT$3&lt;=AG$7),ROUND(AG521*($AP$3+#REF!),-1),""))</f>
        <v/>
      </c>
      <c r="AI521" s="506" t="s">
        <v>621</v>
      </c>
      <c r="AJ521" s="503" t="str">
        <f>IF($G521="","",IF(AND($G521&gt;=30,$AT$3&lt;=AI$7),ROUND(AI521*($AP$3+#REF!),-1),""))</f>
        <v/>
      </c>
      <c r="AK521" s="506" t="s">
        <v>621</v>
      </c>
      <c r="AL521" s="503" t="str">
        <f>IF($G521="","",IF(AND($G521&gt;=30,$AT$3&lt;=AK$7),ROUND(AK521*($AP$3+#REF!),-1),""))</f>
        <v/>
      </c>
      <c r="AM521" s="506" t="s">
        <v>621</v>
      </c>
      <c r="AN521" s="503" t="str">
        <f>IF($G521="","",IF(AND($G521&gt;=30,$AT$3&lt;=AM$7),ROUND(AM521*($AP$3+#REF!),-1),""))</f>
        <v/>
      </c>
      <c r="AO521" s="503" t="e">
        <v>#REF!</v>
      </c>
      <c r="AP521" s="503" t="str">
        <f>IF($G521="","",IF(AND($G521&gt;=30,$AT$3&lt;=AO$7),ROUND(AO521*($AP$3+#REF!),-1),""))</f>
        <v/>
      </c>
      <c r="AQ521" s="503" t="s">
        <v>621</v>
      </c>
      <c r="AR521" s="503" t="str">
        <f>IF($G521="","",IF(AND($G521&gt;=30,$AT$3&lt;=AQ$7),ROUND(AQ521*($AP$3+#REF!),-1),""))</f>
        <v/>
      </c>
      <c r="AS521" s="503" t="s">
        <v>621</v>
      </c>
      <c r="AT521" s="503" t="str">
        <f>IF($G521="","",IF(AND($G521&gt;=30,$AT$3&lt;=AS$7),ROUND(AS521*($AP$3+#REF!),-1),""))</f>
        <v/>
      </c>
      <c r="AU521" s="503" t="s">
        <v>621</v>
      </c>
      <c r="AV521" s="503" t="str">
        <f>IF($G521="","",IF(AND($G521&gt;=30,$AT$3&lt;=AU$7),ROUND(AU521*($AP$3+#REF!),-1),""))</f>
        <v/>
      </c>
      <c r="AW521" s="503" t="s">
        <v>621</v>
      </c>
      <c r="AX521" s="503" t="str">
        <f>IF($G521="","",IF(AND($G521&gt;=30,$AT$3&lt;=AW$7),ROUND(AW521*($AP$3+#REF!),-1),""))</f>
        <v/>
      </c>
      <c r="AY521" s="503" t="s">
        <v>621</v>
      </c>
      <c r="AZ521" s="503" t="str">
        <f>IF($G521="","",IF(AND($G521&gt;=30,$AT$3&lt;=AY$7),ROUND(AY521*($AP$3+#REF!),-1),""))</f>
        <v/>
      </c>
      <c r="BA521" s="503" t="s">
        <v>621</v>
      </c>
      <c r="BB521" s="503" t="str">
        <f>IF($G521="","",IF(AND($G521&gt;=30,$AT$3&lt;=BA$7),ROUND(BA521*($AP$3+#REF!),-1),""))</f>
        <v/>
      </c>
      <c r="BC521" s="503" t="s">
        <v>621</v>
      </c>
      <c r="BD521" s="503" t="str">
        <f>IF($G521="","",IF(AND($G521&gt;=30,$AT$3&lt;=BC$7),ROUND(BC521*($AP$3+#REF!),-1),""))</f>
        <v/>
      </c>
      <c r="BE521" s="503" t="s">
        <v>621</v>
      </c>
      <c r="BF521" s="503" t="str">
        <f>IF($G521="","",IF(AND($G521&gt;=30,$AT$3&lt;=BE$7),ROUND(BE521*($AP$3+#REF!),-1),""))</f>
        <v/>
      </c>
      <c r="BG521" s="503" t="s">
        <v>621</v>
      </c>
      <c r="BH521" s="503" t="str">
        <f>IF($G521="","",IF(AND($G521&gt;=30,$AT$3&lt;=BG$7),ROUND(BG521*($AP$3+#REF!),-1),""))</f>
        <v/>
      </c>
      <c r="BI521" s="503" t="s">
        <v>621</v>
      </c>
      <c r="BJ521" s="503" t="str">
        <f>IF($G521="","",IF(AND($G521&gt;=30,$AT$3&lt;=BI$7),ROUND(BI521*($AP$3+#REF!),-1),""))</f>
        <v/>
      </c>
      <c r="BK521" s="503" t="s">
        <v>621</v>
      </c>
      <c r="BL521" s="503" t="str">
        <f>IF($G521="","",IF(AND($G521&gt;=30,$AT$3&lt;=BK$7),ROUND(BK521*($AP$3+#REF!),-1),""))</f>
        <v/>
      </c>
      <c r="BM521" s="503" t="s">
        <v>621</v>
      </c>
      <c r="BN521" s="503" t="str">
        <f>IF($G521="","",IF(AND($G521&gt;=30,$AT$3&lt;=BM$7),ROUND(BM521*($AP$3+#REF!),-1),""))</f>
        <v/>
      </c>
      <c r="BO521" s="503" t="s">
        <v>621</v>
      </c>
      <c r="BP521" s="503" t="str">
        <f>IF($G521="","",IF(AND($G521&gt;=30,$AT$3&lt;=BO$7),ROUND(BO521*($AP$3+#REF!),-1),""))</f>
        <v/>
      </c>
      <c r="BQ521" s="503" t="s">
        <v>621</v>
      </c>
      <c r="BR521" s="503" t="str">
        <f>IF($G521="","",IF(AND($G521&gt;=30,$AT$3&lt;=BQ$7),ROUND(BQ521*($AP$3+#REF!),-1),""))</f>
        <v/>
      </c>
      <c r="BS521" s="503" t="s">
        <v>621</v>
      </c>
      <c r="BT521" s="503" t="str">
        <f>IF($G521="","",IF(AND($G521&gt;=30,$AT$3&lt;=BS$7),ROUND(BS521*($AP$3+#REF!),-1),""))</f>
        <v/>
      </c>
      <c r="BU521" s="503" t="s">
        <v>621</v>
      </c>
      <c r="BV521" s="503" t="str">
        <f>IF($G521="","",IF(AND($G521&gt;=30,$AT$3&lt;=BU$7),ROUND(BU521*($AP$3+#REF!),-1),""))</f>
        <v/>
      </c>
      <c r="BW521" s="503" t="s">
        <v>621</v>
      </c>
      <c r="BX521" s="503" t="str">
        <f>IF($G521="","",IF(AND($G521&gt;=30,$AT$3&lt;=BW$7),ROUND(BW521*($AP$3+#REF!),-1),""))</f>
        <v/>
      </c>
      <c r="BY521" s="503" t="s">
        <v>621</v>
      </c>
      <c r="BZ521" s="503" t="str">
        <f>IF($G521="","",IF(AND($G521&gt;=30,$AT$3&lt;=BY$7),ROUND(BY521*($AP$3+#REF!),-1),""))</f>
        <v/>
      </c>
      <c r="CA521" s="503" t="s">
        <v>621</v>
      </c>
      <c r="CB521" s="503" t="str">
        <f>IF($G521="","",IF(AND($G521&gt;=30,$AT$3&lt;=CA$7),ROUND(CA521*($AP$3+#REF!),-1),""))</f>
        <v/>
      </c>
      <c r="CC521" s="503" t="s">
        <v>621</v>
      </c>
      <c r="CD521" s="503" t="str">
        <f>IF($G521="","",IF(AND($G521&gt;=30,$AT$3&lt;=CC$7),ROUND(CC521*($AP$3+#REF!),-1),""))</f>
        <v/>
      </c>
      <c r="CE521" s="503" t="s">
        <v>621</v>
      </c>
      <c r="CF521" s="503" t="str">
        <f>IF($G521="","",IF(AND($G521&gt;=30,$AT$3&lt;=CE$7),ROUND(CE521*($AP$3+#REF!),-1),""))</f>
        <v/>
      </c>
      <c r="CG521" s="503" t="s">
        <v>621</v>
      </c>
      <c r="CH521" s="503" t="str">
        <f>IF($G521="","",IF(AND($G521&gt;=30,$AT$3&lt;=CG$7),ROUND(CG521*($AP$3+#REF!),-1),""))</f>
        <v/>
      </c>
      <c r="CI521" s="503" t="s">
        <v>621</v>
      </c>
      <c r="CJ521" s="503" t="str">
        <f>IF($G521="","",IF(AND($G521&gt;=30,$AT$3&lt;=CI$7),ROUND(CI521*($AP$3+#REF!),-1),""))</f>
        <v/>
      </c>
      <c r="CK521" s="503" t="s">
        <v>621</v>
      </c>
      <c r="CL521" s="503" t="str">
        <f>IF($G521="","",IF(AND($G521&gt;=30,$AT$3&lt;=CK$7),ROUND(CK521*($AP$3+#REF!),-1),""))</f>
        <v/>
      </c>
      <c r="CM521" s="503" t="s">
        <v>621</v>
      </c>
      <c r="CN521" s="503" t="str">
        <f>IF($G521="","",IF(AND($G521&gt;=30,$AT$3&lt;=CM$7),ROUND(CM521*($AP$3+#REF!),-1),""))</f>
        <v/>
      </c>
      <c r="CO521" s="503" t="s">
        <v>621</v>
      </c>
      <c r="CP521" s="503" t="str">
        <f>IF($G521="","",IF(AND($G521&gt;=30,$AT$3&lt;=CO$7),ROUND(CO521*($AP$3+#REF!),-1),""))</f>
        <v/>
      </c>
      <c r="CQ521" s="503" t="s">
        <v>621</v>
      </c>
      <c r="CR521" s="503" t="str">
        <f>IF($G521="","",IF(AND($G521&gt;=30,$AT$3&lt;=CQ$7),ROUND(CQ521*($AP$3+#REF!),-1),""))</f>
        <v/>
      </c>
      <c r="CS521" s="503" t="s">
        <v>621</v>
      </c>
      <c r="CT521" s="503" t="str">
        <f>IF($G521="","",IF(AND($G521&gt;=30,$AT$3&lt;=CS$7),ROUND(CS521*($AP$3+#REF!),-1),""))</f>
        <v/>
      </c>
      <c r="CU521" s="503" t="s">
        <v>621</v>
      </c>
      <c r="CV521" s="503" t="str">
        <f>IF($G521="","",IF(AND($G521&gt;=30,$AT$3&lt;=CU$7),ROUND(CU521*($AP$3+#REF!),-1),""))</f>
        <v/>
      </c>
      <c r="CW521" s="503" t="s">
        <v>621</v>
      </c>
      <c r="CX521" s="503" t="str">
        <f>IF($G521="","",IF(AND($G521&gt;=30,$AT$3&lt;=CW$7),ROUND(CW521*($AP$3+#REF!),-1),""))</f>
        <v/>
      </c>
      <c r="CY521" s="503" t="s">
        <v>621</v>
      </c>
      <c r="CZ521" s="503" t="str">
        <f>IF($G521="","",IF(AND($G521&gt;=30,$AT$3&lt;=CY$7),ROUND(CY521*($AP$3+#REF!),-1),""))</f>
        <v/>
      </c>
      <c r="DA521" s="503" t="s">
        <v>621</v>
      </c>
      <c r="DB521" s="503" t="str">
        <f>IF($G521="","",IF(AND($G521&gt;=30,$AT$3&lt;=DA$7),ROUND(DA521*($AP$3+#REF!),-1),""))</f>
        <v/>
      </c>
      <c r="DC521" s="503" t="s">
        <v>621</v>
      </c>
      <c r="DD521" s="503" t="str">
        <f>IF($G521="","",IF(AND($G521&gt;=30,$AT$3&lt;=DC$7),ROUND(DC521*($AP$3+#REF!),-1),""))</f>
        <v/>
      </c>
      <c r="DE521" s="503" t="s">
        <v>621</v>
      </c>
      <c r="DF521" s="503" t="str">
        <f>IF($G521="","",IF(AND($G521&gt;=30,$AT$3&lt;=DE$7),ROUND(DE521*($AP$3+#REF!),-1),""))</f>
        <v/>
      </c>
      <c r="DG521" s="503" t="s">
        <v>621</v>
      </c>
      <c r="DH521" s="503" t="str">
        <f>IF($G521="","",IF(AND($G521&gt;=30,$AT$3&lt;=DG$7),ROUND(DG521*($AP$3+#REF!),-1),""))</f>
        <v/>
      </c>
      <c r="DI521" s="503" t="s">
        <v>621</v>
      </c>
      <c r="DJ521" s="503" t="str">
        <f>IF($G521="","",IF(AND($G521&gt;=30,$AT$3&lt;=DI$7),ROUND(DI521*($AP$3+#REF!),-1),""))</f>
        <v/>
      </c>
      <c r="DK521" s="503" t="s">
        <v>621</v>
      </c>
      <c r="DL521" s="503" t="str">
        <f>IF($G521="","",IF(AND($G521&gt;=30,$AT$3&lt;=DK$7),ROUND(DK521*($AP$3+#REF!),-1),""))</f>
        <v/>
      </c>
      <c r="DM521" s="517" t="e">
        <v>#REF!</v>
      </c>
      <c r="DN521" s="503" t="str">
        <f>IF($G521="","",IF(AND($G521&gt;=30,$AT$3&lt;=DM$7),ROUND(DM521*($AP$3+#REF!),-1),""))</f>
        <v/>
      </c>
      <c r="DO521" s="503"/>
      <c r="DP521" s="503" t="str">
        <f>IF($G521="","",IF(AND($G521&gt;=30,$AT$3&lt;=DO$7),ROUND(DO521*($AP$3+#REF!),-1),""))</f>
        <v/>
      </c>
      <c r="DQ521" s="503"/>
      <c r="DR521" s="503" t="str">
        <f>IF($G521="","",IF(AND($G521&gt;=30,$AT$3&lt;=DQ$7),ROUND(DQ521*($AP$3+#REF!),-1),""))</f>
        <v/>
      </c>
      <c r="DS521" s="503"/>
      <c r="DT521" s="503" t="str">
        <f>IF($G521="","",IF(AND($G521&gt;=30,$AT$3&lt;=DS$7),ROUND(DS521*($AP$3+#REF!),-1),""))</f>
        <v/>
      </c>
      <c r="DU521" s="503"/>
      <c r="DV521" s="503" t="str">
        <f>IF($G521="","",IF(AND($G521&gt;=30,$AT$3&lt;=DU$7),ROUND(DU521*($AP$3+#REF!),-1),""))</f>
        <v/>
      </c>
      <c r="DW521" s="503"/>
      <c r="DX521" s="503" t="str">
        <f>IF($G521="","",IF(AND($G521&gt;=30,$AT$3&lt;=DW$7),ROUND(DW521*($AP$3+#REF!),-1),""))</f>
        <v/>
      </c>
      <c r="DY521" s="503"/>
      <c r="DZ521" s="503" t="str">
        <f>IF($G521="","",IF(AND($G521&gt;=30,$AT$3&lt;=DY$7),ROUND(DY521*($AP$3+#REF!),-1),""))</f>
        <v/>
      </c>
      <c r="EA521" s="503"/>
      <c r="EB521" s="503" t="str">
        <f>IF($G521="","",IF(AND($G521&gt;=30,$AT$3&lt;=EA$7),ROUND(EA521*($AP$3+#REF!),-1),""))</f>
        <v/>
      </c>
      <c r="EC521" s="436"/>
      <c r="ED521" s="436"/>
      <c r="EE521" s="394"/>
    </row>
    <row r="522" spans="1:135" ht="9.75" customHeight="1">
      <c r="A522" s="321" t="str">
        <f t="shared" si="124"/>
        <v/>
      </c>
      <c r="B522" s="567">
        <f>(ii!$D$13*12+V522)+1</f>
        <v>416</v>
      </c>
      <c r="C522" s="337">
        <f t="shared" si="114"/>
        <v>58014</v>
      </c>
      <c r="D522" s="484">
        <f t="shared" si="117"/>
        <v>2058</v>
      </c>
      <c r="E522" s="484">
        <f t="shared" si="115"/>
        <v>0.83333333333333337</v>
      </c>
      <c r="F522" s="484">
        <f t="shared" si="118"/>
        <v>2058.8333333333335</v>
      </c>
      <c r="G522" s="485" t="str">
        <f>IF(OR(C522&lt;$I$2,C522&gt;$J$3),"",(ii!$D$13*12+V522+1)/12)</f>
        <v/>
      </c>
      <c r="H522" s="486"/>
      <c r="I522" s="486"/>
      <c r="J522" s="487"/>
      <c r="K522" s="488"/>
      <c r="L522" s="548"/>
      <c r="M522" s="489" t="str">
        <f t="shared" si="119"/>
        <v/>
      </c>
      <c r="N522" s="490" t="s">
        <v>621</v>
      </c>
      <c r="O522" s="490" t="str">
        <f t="shared" si="126"/>
        <v/>
      </c>
      <c r="P522" s="491"/>
      <c r="Q522" s="491"/>
      <c r="R522" s="491" t="str">
        <f t="shared" si="127"/>
        <v/>
      </c>
      <c r="S522" s="528" t="str">
        <f t="shared" si="125"/>
        <v/>
      </c>
      <c r="T522" s="528" t="str">
        <f t="shared" si="123"/>
        <v/>
      </c>
      <c r="U522" s="493" t="str">
        <f>IF(H522="","",#REF!*12+#REF!+#REF!*12+#REF!)</f>
        <v/>
      </c>
      <c r="V522" s="338">
        <f>IF(ii!$J$3&gt;gg!C522,"",IF(AND((YEAR(C522)=YEAR($I$2)),MONTH(C522)=MONTH($I$2)),ii!$B$14*12+ii!$C$14+ii!$B$15*12+ii!$C$15-1,V521+1))</f>
        <v>415</v>
      </c>
      <c r="W522" s="339">
        <f t="shared" si="116"/>
        <v>34.583333333333336</v>
      </c>
      <c r="X522" s="494" t="s">
        <v>621</v>
      </c>
      <c r="Y522" s="495" t="s">
        <v>621</v>
      </c>
      <c r="Z522" s="496"/>
      <c r="AA522" s="497"/>
      <c r="AB522" s="498" t="e">
        <f t="shared" si="122"/>
        <v>#VALUE!</v>
      </c>
      <c r="AC522" s="484" t="str">
        <f t="shared" si="120"/>
        <v/>
      </c>
      <c r="AD522" s="495" t="str">
        <f t="shared" si="121"/>
        <v/>
      </c>
      <c r="AE522" s="499" t="s">
        <v>621</v>
      </c>
      <c r="AF522" s="500" t="s">
        <v>621</v>
      </c>
      <c r="AG522" s="556" t="s">
        <v>621</v>
      </c>
      <c r="AH522" s="503" t="str">
        <f>IF($G522="","",IF(AND($G522&gt;=30,$AT$3&lt;=AG$7),ROUND(AG522*($AP$3+#REF!),-1),""))</f>
        <v/>
      </c>
      <c r="AI522" s="506" t="s">
        <v>621</v>
      </c>
      <c r="AJ522" s="503" t="str">
        <f>IF($G522="","",IF(AND($G522&gt;=30,$AT$3&lt;=AI$7),ROUND(AI522*($AP$3+#REF!),-1),""))</f>
        <v/>
      </c>
      <c r="AK522" s="506" t="s">
        <v>621</v>
      </c>
      <c r="AL522" s="503" t="str">
        <f>IF($G522="","",IF(AND($G522&gt;=30,$AT$3&lt;=AK$7),ROUND(AK522*($AP$3+#REF!),-1),""))</f>
        <v/>
      </c>
      <c r="AM522" s="506" t="s">
        <v>621</v>
      </c>
      <c r="AN522" s="503" t="str">
        <f>IF($G522="","",IF(AND($G522&gt;=30,$AT$3&lt;=AM$7),ROUND(AM522*($AP$3+#REF!),-1),""))</f>
        <v/>
      </c>
      <c r="AO522" s="503" t="e">
        <v>#REF!</v>
      </c>
      <c r="AP522" s="503" t="str">
        <f>IF($G522="","",IF(AND($G522&gt;=30,$AT$3&lt;=AO$7),ROUND(AO522*($AP$3+#REF!),-1),""))</f>
        <v/>
      </c>
      <c r="AQ522" s="503" t="s">
        <v>621</v>
      </c>
      <c r="AR522" s="503" t="str">
        <f>IF($G522="","",IF(AND($G522&gt;=30,$AT$3&lt;=AQ$7),ROUND(AQ522*($AP$3+#REF!),-1),""))</f>
        <v/>
      </c>
      <c r="AS522" s="503" t="s">
        <v>621</v>
      </c>
      <c r="AT522" s="503" t="str">
        <f>IF($G522="","",IF(AND($G522&gt;=30,$AT$3&lt;=AS$7),ROUND(AS522*($AP$3+#REF!),-1),""))</f>
        <v/>
      </c>
      <c r="AU522" s="503" t="s">
        <v>621</v>
      </c>
      <c r="AV522" s="503" t="str">
        <f>IF($G522="","",IF(AND($G522&gt;=30,$AT$3&lt;=AU$7),ROUND(AU522*($AP$3+#REF!),-1),""))</f>
        <v/>
      </c>
      <c r="AW522" s="503" t="s">
        <v>621</v>
      </c>
      <c r="AX522" s="503" t="str">
        <f>IF($G522="","",IF(AND($G522&gt;=30,$AT$3&lt;=AW$7),ROUND(AW522*($AP$3+#REF!),-1),""))</f>
        <v/>
      </c>
      <c r="AY522" s="503" t="s">
        <v>621</v>
      </c>
      <c r="AZ522" s="503" t="str">
        <f>IF($G522="","",IF(AND($G522&gt;=30,$AT$3&lt;=AY$7),ROUND(AY522*($AP$3+#REF!),-1),""))</f>
        <v/>
      </c>
      <c r="BA522" s="503" t="s">
        <v>621</v>
      </c>
      <c r="BB522" s="503" t="str">
        <f>IF($G522="","",IF(AND($G522&gt;=30,$AT$3&lt;=BA$7),ROUND(BA522*($AP$3+#REF!),-1),""))</f>
        <v/>
      </c>
      <c r="BC522" s="503" t="s">
        <v>621</v>
      </c>
      <c r="BD522" s="503" t="str">
        <f>IF($G522="","",IF(AND($G522&gt;=30,$AT$3&lt;=BC$7),ROUND(BC522*($AP$3+#REF!),-1),""))</f>
        <v/>
      </c>
      <c r="BE522" s="503" t="s">
        <v>621</v>
      </c>
      <c r="BF522" s="503" t="str">
        <f>IF($G522="","",IF(AND($G522&gt;=30,$AT$3&lt;=BE$7),ROUND(BE522*($AP$3+#REF!),-1),""))</f>
        <v/>
      </c>
      <c r="BG522" s="503" t="s">
        <v>621</v>
      </c>
      <c r="BH522" s="503" t="str">
        <f>IF($G522="","",IF(AND($G522&gt;=30,$AT$3&lt;=BG$7),ROUND(BG522*($AP$3+#REF!),-1),""))</f>
        <v/>
      </c>
      <c r="BI522" s="503" t="s">
        <v>621</v>
      </c>
      <c r="BJ522" s="503" t="str">
        <f>IF($G522="","",IF(AND($G522&gt;=30,$AT$3&lt;=BI$7),ROUND(BI522*($AP$3+#REF!),-1),""))</f>
        <v/>
      </c>
      <c r="BK522" s="503" t="s">
        <v>621</v>
      </c>
      <c r="BL522" s="503" t="str">
        <f>IF($G522="","",IF(AND($G522&gt;=30,$AT$3&lt;=BK$7),ROUND(BK522*($AP$3+#REF!),-1),""))</f>
        <v/>
      </c>
      <c r="BM522" s="503" t="s">
        <v>621</v>
      </c>
      <c r="BN522" s="503" t="str">
        <f>IF($G522="","",IF(AND($G522&gt;=30,$AT$3&lt;=BM$7),ROUND(BM522*($AP$3+#REF!),-1),""))</f>
        <v/>
      </c>
      <c r="BO522" s="503" t="s">
        <v>621</v>
      </c>
      <c r="BP522" s="503" t="str">
        <f>IF($G522="","",IF(AND($G522&gt;=30,$AT$3&lt;=BO$7),ROUND(BO522*($AP$3+#REF!),-1),""))</f>
        <v/>
      </c>
      <c r="BQ522" s="503" t="s">
        <v>621</v>
      </c>
      <c r="BR522" s="503" t="str">
        <f>IF($G522="","",IF(AND($G522&gt;=30,$AT$3&lt;=BQ$7),ROUND(BQ522*($AP$3+#REF!),-1),""))</f>
        <v/>
      </c>
      <c r="BS522" s="503" t="s">
        <v>621</v>
      </c>
      <c r="BT522" s="503" t="str">
        <f>IF($G522="","",IF(AND($G522&gt;=30,$AT$3&lt;=BS$7),ROUND(BS522*($AP$3+#REF!),-1),""))</f>
        <v/>
      </c>
      <c r="BU522" s="503" t="s">
        <v>621</v>
      </c>
      <c r="BV522" s="503" t="str">
        <f>IF($G522="","",IF(AND($G522&gt;=30,$AT$3&lt;=BU$7),ROUND(BU522*($AP$3+#REF!),-1),""))</f>
        <v/>
      </c>
      <c r="BW522" s="503" t="s">
        <v>621</v>
      </c>
      <c r="BX522" s="503" t="str">
        <f>IF($G522="","",IF(AND($G522&gt;=30,$AT$3&lt;=BW$7),ROUND(BW522*($AP$3+#REF!),-1),""))</f>
        <v/>
      </c>
      <c r="BY522" s="503" t="s">
        <v>621</v>
      </c>
      <c r="BZ522" s="503" t="str">
        <f>IF($G522="","",IF(AND($G522&gt;=30,$AT$3&lt;=BY$7),ROUND(BY522*($AP$3+#REF!),-1),""))</f>
        <v/>
      </c>
      <c r="CA522" s="503" t="s">
        <v>621</v>
      </c>
      <c r="CB522" s="503" t="str">
        <f>IF($G522="","",IF(AND($G522&gt;=30,$AT$3&lt;=CA$7),ROUND(CA522*($AP$3+#REF!),-1),""))</f>
        <v/>
      </c>
      <c r="CC522" s="503" t="s">
        <v>621</v>
      </c>
      <c r="CD522" s="503" t="str">
        <f>IF($G522="","",IF(AND($G522&gt;=30,$AT$3&lt;=CC$7),ROUND(CC522*($AP$3+#REF!),-1),""))</f>
        <v/>
      </c>
      <c r="CE522" s="503" t="s">
        <v>621</v>
      </c>
      <c r="CF522" s="503" t="str">
        <f>IF($G522="","",IF(AND($G522&gt;=30,$AT$3&lt;=CE$7),ROUND(CE522*($AP$3+#REF!),-1),""))</f>
        <v/>
      </c>
      <c r="CG522" s="503" t="s">
        <v>621</v>
      </c>
      <c r="CH522" s="503" t="str">
        <f>IF($G522="","",IF(AND($G522&gt;=30,$AT$3&lt;=CG$7),ROUND(CG522*($AP$3+#REF!),-1),""))</f>
        <v/>
      </c>
      <c r="CI522" s="503" t="s">
        <v>621</v>
      </c>
      <c r="CJ522" s="503" t="str">
        <f>IF($G522="","",IF(AND($G522&gt;=30,$AT$3&lt;=CI$7),ROUND(CI522*($AP$3+#REF!),-1),""))</f>
        <v/>
      </c>
      <c r="CK522" s="503" t="s">
        <v>621</v>
      </c>
      <c r="CL522" s="503" t="str">
        <f>IF($G522="","",IF(AND($G522&gt;=30,$AT$3&lt;=CK$7),ROUND(CK522*($AP$3+#REF!),-1),""))</f>
        <v/>
      </c>
      <c r="CM522" s="503" t="s">
        <v>621</v>
      </c>
      <c r="CN522" s="503" t="str">
        <f>IF($G522="","",IF(AND($G522&gt;=30,$AT$3&lt;=CM$7),ROUND(CM522*($AP$3+#REF!),-1),""))</f>
        <v/>
      </c>
      <c r="CO522" s="503" t="s">
        <v>621</v>
      </c>
      <c r="CP522" s="503" t="str">
        <f>IF($G522="","",IF(AND($G522&gt;=30,$AT$3&lt;=CO$7),ROUND(CO522*($AP$3+#REF!),-1),""))</f>
        <v/>
      </c>
      <c r="CQ522" s="503" t="s">
        <v>621</v>
      </c>
      <c r="CR522" s="503" t="str">
        <f>IF($G522="","",IF(AND($G522&gt;=30,$AT$3&lt;=CQ$7),ROUND(CQ522*($AP$3+#REF!),-1),""))</f>
        <v/>
      </c>
      <c r="CS522" s="503" t="s">
        <v>621</v>
      </c>
      <c r="CT522" s="503" t="str">
        <f>IF($G522="","",IF(AND($G522&gt;=30,$AT$3&lt;=CS$7),ROUND(CS522*($AP$3+#REF!),-1),""))</f>
        <v/>
      </c>
      <c r="CU522" s="503" t="s">
        <v>621</v>
      </c>
      <c r="CV522" s="503" t="str">
        <f>IF($G522="","",IF(AND($G522&gt;=30,$AT$3&lt;=CU$7),ROUND(CU522*($AP$3+#REF!),-1),""))</f>
        <v/>
      </c>
      <c r="CW522" s="503" t="s">
        <v>621</v>
      </c>
      <c r="CX522" s="503" t="str">
        <f>IF($G522="","",IF(AND($G522&gt;=30,$AT$3&lt;=CW$7),ROUND(CW522*($AP$3+#REF!),-1),""))</f>
        <v/>
      </c>
      <c r="CY522" s="503" t="s">
        <v>621</v>
      </c>
      <c r="CZ522" s="503" t="str">
        <f>IF($G522="","",IF(AND($G522&gt;=30,$AT$3&lt;=CY$7),ROUND(CY522*($AP$3+#REF!),-1),""))</f>
        <v/>
      </c>
      <c r="DA522" s="503" t="s">
        <v>621</v>
      </c>
      <c r="DB522" s="503" t="str">
        <f>IF($G522="","",IF(AND($G522&gt;=30,$AT$3&lt;=DA$7),ROUND(DA522*($AP$3+#REF!),-1),""))</f>
        <v/>
      </c>
      <c r="DC522" s="503" t="s">
        <v>621</v>
      </c>
      <c r="DD522" s="503" t="str">
        <f>IF($G522="","",IF(AND($G522&gt;=30,$AT$3&lt;=DC$7),ROUND(DC522*($AP$3+#REF!),-1),""))</f>
        <v/>
      </c>
      <c r="DE522" s="503" t="s">
        <v>621</v>
      </c>
      <c r="DF522" s="503" t="str">
        <f>IF($G522="","",IF(AND($G522&gt;=30,$AT$3&lt;=DE$7),ROUND(DE522*($AP$3+#REF!),-1),""))</f>
        <v/>
      </c>
      <c r="DG522" s="503" t="s">
        <v>621</v>
      </c>
      <c r="DH522" s="503" t="str">
        <f>IF($G522="","",IF(AND($G522&gt;=30,$AT$3&lt;=DG$7),ROUND(DG522*($AP$3+#REF!),-1),""))</f>
        <v/>
      </c>
      <c r="DI522" s="503" t="s">
        <v>621</v>
      </c>
      <c r="DJ522" s="503" t="str">
        <f>IF($G522="","",IF(AND($G522&gt;=30,$AT$3&lt;=DI$7),ROUND(DI522*($AP$3+#REF!),-1),""))</f>
        <v/>
      </c>
      <c r="DK522" s="503" t="s">
        <v>621</v>
      </c>
      <c r="DL522" s="503" t="str">
        <f>IF($G522="","",IF(AND($G522&gt;=30,$AT$3&lt;=DK$7),ROUND(DK522*($AP$3+#REF!),-1),""))</f>
        <v/>
      </c>
      <c r="DM522" s="517" t="e">
        <v>#REF!</v>
      </c>
      <c r="DN522" s="503" t="str">
        <f>IF($G522="","",IF(AND($G522&gt;=30,$AT$3&lt;=DM$7),ROUND(DM522*($AP$3+#REF!),-1),""))</f>
        <v/>
      </c>
      <c r="DO522" s="503"/>
      <c r="DP522" s="503" t="str">
        <f>IF($G522="","",IF(AND($G522&gt;=30,$AT$3&lt;=DO$7),ROUND(DO522*($AP$3+#REF!),-1),""))</f>
        <v/>
      </c>
      <c r="DQ522" s="503"/>
      <c r="DR522" s="503" t="str">
        <f>IF($G522="","",IF(AND($G522&gt;=30,$AT$3&lt;=DQ$7),ROUND(DQ522*($AP$3+#REF!),-1),""))</f>
        <v/>
      </c>
      <c r="DS522" s="503"/>
      <c r="DT522" s="503" t="str">
        <f>IF($G522="","",IF(AND($G522&gt;=30,$AT$3&lt;=DS$7),ROUND(DS522*($AP$3+#REF!),-1),""))</f>
        <v/>
      </c>
      <c r="DU522" s="503"/>
      <c r="DV522" s="503" t="str">
        <f>IF($G522="","",IF(AND($G522&gt;=30,$AT$3&lt;=DU$7),ROUND(DU522*($AP$3+#REF!),-1),""))</f>
        <v/>
      </c>
      <c r="DW522" s="503"/>
      <c r="DX522" s="503" t="str">
        <f>IF($G522="","",IF(AND($G522&gt;=30,$AT$3&lt;=DW$7),ROUND(DW522*($AP$3+#REF!),-1),""))</f>
        <v/>
      </c>
      <c r="DY522" s="503"/>
      <c r="DZ522" s="503" t="str">
        <f>IF($G522="","",IF(AND($G522&gt;=30,$AT$3&lt;=DY$7),ROUND(DY522*($AP$3+#REF!),-1),""))</f>
        <v/>
      </c>
      <c r="EA522" s="503"/>
      <c r="EB522" s="503" t="str">
        <f>IF($G522="","",IF(AND($G522&gt;=30,$AT$3&lt;=EA$7),ROUND(EA522*($AP$3+#REF!),-1),""))</f>
        <v/>
      </c>
      <c r="EC522" s="436"/>
      <c r="ED522" s="436"/>
      <c r="EE522" s="394"/>
    </row>
    <row r="523" spans="1:135" ht="9.75" customHeight="1">
      <c r="A523" s="321" t="str">
        <f t="shared" si="124"/>
        <v/>
      </c>
      <c r="B523" s="567">
        <f>(ii!$D$13*12+V523)+1</f>
        <v>417</v>
      </c>
      <c r="C523" s="337">
        <f t="shared" ref="C523:C586" si="128">EOMONTH(C522,1)</f>
        <v>58044</v>
      </c>
      <c r="D523" s="484">
        <f t="shared" si="117"/>
        <v>2058</v>
      </c>
      <c r="E523" s="484">
        <f t="shared" si="115"/>
        <v>0.91666666666666663</v>
      </c>
      <c r="F523" s="484">
        <f t="shared" si="118"/>
        <v>2058.9166666666665</v>
      </c>
      <c r="G523" s="485" t="str">
        <f>IF(OR(C523&lt;$I$2,C523&gt;$J$3),"",(ii!$D$13*12+V523+1)/12)</f>
        <v/>
      </c>
      <c r="H523" s="486"/>
      <c r="I523" s="486"/>
      <c r="J523" s="487"/>
      <c r="K523" s="488"/>
      <c r="L523" s="548"/>
      <c r="M523" s="489" t="str">
        <f t="shared" si="119"/>
        <v/>
      </c>
      <c r="N523" s="490" t="s">
        <v>621</v>
      </c>
      <c r="O523" s="490" t="str">
        <f t="shared" si="126"/>
        <v/>
      </c>
      <c r="P523" s="491"/>
      <c r="Q523" s="491"/>
      <c r="R523" s="491" t="str">
        <f t="shared" si="127"/>
        <v/>
      </c>
      <c r="S523" s="528" t="str">
        <f t="shared" si="125"/>
        <v/>
      </c>
      <c r="T523" s="528" t="str">
        <f t="shared" si="123"/>
        <v/>
      </c>
      <c r="U523" s="493" t="str">
        <f>IF(H523="","",#REF!*12+#REF!+#REF!*12+#REF!)</f>
        <v/>
      </c>
      <c r="V523" s="338">
        <f>IF(ii!$J$3&gt;gg!C523,"",IF(AND((YEAR(C523)=YEAR($I$2)),MONTH(C523)=MONTH($I$2)),ii!$B$14*12+ii!$C$14+ii!$B$15*12+ii!$C$15-1,V522+1))</f>
        <v>416</v>
      </c>
      <c r="W523" s="339">
        <f t="shared" si="116"/>
        <v>34.666666666666664</v>
      </c>
      <c r="X523" s="494" t="s">
        <v>621</v>
      </c>
      <c r="Y523" s="495" t="s">
        <v>621</v>
      </c>
      <c r="Z523" s="496"/>
      <c r="AA523" s="497"/>
      <c r="AB523" s="498" t="e">
        <f t="shared" si="122"/>
        <v>#VALUE!</v>
      </c>
      <c r="AC523" s="484" t="str">
        <f t="shared" si="120"/>
        <v/>
      </c>
      <c r="AD523" s="495" t="str">
        <f t="shared" si="121"/>
        <v/>
      </c>
      <c r="AE523" s="499" t="s">
        <v>621</v>
      </c>
      <c r="AF523" s="500" t="s">
        <v>621</v>
      </c>
      <c r="AG523" s="556" t="s">
        <v>621</v>
      </c>
      <c r="AH523" s="503" t="str">
        <f>IF($G523="","",IF(AND($G523&gt;=30,$AT$3&lt;=AG$7),ROUND(AG523*($AP$3+#REF!),-1),""))</f>
        <v/>
      </c>
      <c r="AI523" s="506" t="s">
        <v>621</v>
      </c>
      <c r="AJ523" s="503" t="str">
        <f>IF($G523="","",IF(AND($G523&gt;=30,$AT$3&lt;=AI$7),ROUND(AI523*($AP$3+#REF!),-1),""))</f>
        <v/>
      </c>
      <c r="AK523" s="506" t="s">
        <v>621</v>
      </c>
      <c r="AL523" s="503" t="str">
        <f>IF($G523="","",IF(AND($G523&gt;=30,$AT$3&lt;=AK$7),ROUND(AK523*($AP$3+#REF!),-1),""))</f>
        <v/>
      </c>
      <c r="AM523" s="506" t="s">
        <v>621</v>
      </c>
      <c r="AN523" s="503" t="str">
        <f>IF($G523="","",IF(AND($G523&gt;=30,$AT$3&lt;=AM$7),ROUND(AM523*($AP$3+#REF!),-1),""))</f>
        <v/>
      </c>
      <c r="AO523" s="503" t="e">
        <v>#REF!</v>
      </c>
      <c r="AP523" s="503" t="str">
        <f>IF($G523="","",IF(AND($G523&gt;=30,$AT$3&lt;=AO$7),ROUND(AO523*($AP$3+#REF!),-1),""))</f>
        <v/>
      </c>
      <c r="AQ523" s="503" t="s">
        <v>621</v>
      </c>
      <c r="AR523" s="503" t="str">
        <f>IF($G523="","",IF(AND($G523&gt;=30,$AT$3&lt;=AQ$7),ROUND(AQ523*($AP$3+#REF!),-1),""))</f>
        <v/>
      </c>
      <c r="AS523" s="503" t="s">
        <v>621</v>
      </c>
      <c r="AT523" s="503" t="str">
        <f>IF($G523="","",IF(AND($G523&gt;=30,$AT$3&lt;=AS$7),ROUND(AS523*($AP$3+#REF!),-1),""))</f>
        <v/>
      </c>
      <c r="AU523" s="503" t="s">
        <v>621</v>
      </c>
      <c r="AV523" s="503" t="str">
        <f>IF($G523="","",IF(AND($G523&gt;=30,$AT$3&lt;=AU$7),ROUND(AU523*($AP$3+#REF!),-1),""))</f>
        <v/>
      </c>
      <c r="AW523" s="503" t="s">
        <v>621</v>
      </c>
      <c r="AX523" s="503" t="str">
        <f>IF($G523="","",IF(AND($G523&gt;=30,$AT$3&lt;=AW$7),ROUND(AW523*($AP$3+#REF!),-1),""))</f>
        <v/>
      </c>
      <c r="AY523" s="503" t="s">
        <v>621</v>
      </c>
      <c r="AZ523" s="503" t="str">
        <f>IF($G523="","",IF(AND($G523&gt;=30,$AT$3&lt;=AY$7),ROUND(AY523*($AP$3+#REF!),-1),""))</f>
        <v/>
      </c>
      <c r="BA523" s="503" t="s">
        <v>621</v>
      </c>
      <c r="BB523" s="503" t="str">
        <f>IF($G523="","",IF(AND($G523&gt;=30,$AT$3&lt;=BA$7),ROUND(BA523*($AP$3+#REF!),-1),""))</f>
        <v/>
      </c>
      <c r="BC523" s="503" t="s">
        <v>621</v>
      </c>
      <c r="BD523" s="503" t="str">
        <f>IF($G523="","",IF(AND($G523&gt;=30,$AT$3&lt;=BC$7),ROUND(BC523*($AP$3+#REF!),-1),""))</f>
        <v/>
      </c>
      <c r="BE523" s="503" t="s">
        <v>621</v>
      </c>
      <c r="BF523" s="503" t="str">
        <f>IF($G523="","",IF(AND($G523&gt;=30,$AT$3&lt;=BE$7),ROUND(BE523*($AP$3+#REF!),-1),""))</f>
        <v/>
      </c>
      <c r="BG523" s="503" t="s">
        <v>621</v>
      </c>
      <c r="BH523" s="503" t="str">
        <f>IF($G523="","",IF(AND($G523&gt;=30,$AT$3&lt;=BG$7),ROUND(BG523*($AP$3+#REF!),-1),""))</f>
        <v/>
      </c>
      <c r="BI523" s="503" t="s">
        <v>621</v>
      </c>
      <c r="BJ523" s="503" t="str">
        <f>IF($G523="","",IF(AND($G523&gt;=30,$AT$3&lt;=BI$7),ROUND(BI523*($AP$3+#REF!),-1),""))</f>
        <v/>
      </c>
      <c r="BK523" s="503" t="s">
        <v>621</v>
      </c>
      <c r="BL523" s="503" t="str">
        <f>IF($G523="","",IF(AND($G523&gt;=30,$AT$3&lt;=BK$7),ROUND(BK523*($AP$3+#REF!),-1),""))</f>
        <v/>
      </c>
      <c r="BM523" s="503" t="s">
        <v>621</v>
      </c>
      <c r="BN523" s="503" t="str">
        <f>IF($G523="","",IF(AND($G523&gt;=30,$AT$3&lt;=BM$7),ROUND(BM523*($AP$3+#REF!),-1),""))</f>
        <v/>
      </c>
      <c r="BO523" s="503" t="s">
        <v>621</v>
      </c>
      <c r="BP523" s="503" t="str">
        <f>IF($G523="","",IF(AND($G523&gt;=30,$AT$3&lt;=BO$7),ROUND(BO523*($AP$3+#REF!),-1),""))</f>
        <v/>
      </c>
      <c r="BQ523" s="503" t="s">
        <v>621</v>
      </c>
      <c r="BR523" s="503" t="str">
        <f>IF($G523="","",IF(AND($G523&gt;=30,$AT$3&lt;=BQ$7),ROUND(BQ523*($AP$3+#REF!),-1),""))</f>
        <v/>
      </c>
      <c r="BS523" s="503" t="s">
        <v>621</v>
      </c>
      <c r="BT523" s="503" t="str">
        <f>IF($G523="","",IF(AND($G523&gt;=30,$AT$3&lt;=BS$7),ROUND(BS523*($AP$3+#REF!),-1),""))</f>
        <v/>
      </c>
      <c r="BU523" s="503" t="s">
        <v>621</v>
      </c>
      <c r="BV523" s="503" t="str">
        <f>IF($G523="","",IF(AND($G523&gt;=30,$AT$3&lt;=BU$7),ROUND(BU523*($AP$3+#REF!),-1),""))</f>
        <v/>
      </c>
      <c r="BW523" s="503" t="s">
        <v>621</v>
      </c>
      <c r="BX523" s="503" t="str">
        <f>IF($G523="","",IF(AND($G523&gt;=30,$AT$3&lt;=BW$7),ROUND(BW523*($AP$3+#REF!),-1),""))</f>
        <v/>
      </c>
      <c r="BY523" s="503" t="s">
        <v>621</v>
      </c>
      <c r="BZ523" s="503" t="str">
        <f>IF($G523="","",IF(AND($G523&gt;=30,$AT$3&lt;=BY$7),ROUND(BY523*($AP$3+#REF!),-1),""))</f>
        <v/>
      </c>
      <c r="CA523" s="503" t="s">
        <v>621</v>
      </c>
      <c r="CB523" s="503" t="str">
        <f>IF($G523="","",IF(AND($G523&gt;=30,$AT$3&lt;=CA$7),ROUND(CA523*($AP$3+#REF!),-1),""))</f>
        <v/>
      </c>
      <c r="CC523" s="503" t="s">
        <v>621</v>
      </c>
      <c r="CD523" s="503" t="str">
        <f>IF($G523="","",IF(AND($G523&gt;=30,$AT$3&lt;=CC$7),ROUND(CC523*($AP$3+#REF!),-1),""))</f>
        <v/>
      </c>
      <c r="CE523" s="503" t="s">
        <v>621</v>
      </c>
      <c r="CF523" s="503" t="str">
        <f>IF($G523="","",IF(AND($G523&gt;=30,$AT$3&lt;=CE$7),ROUND(CE523*($AP$3+#REF!),-1),""))</f>
        <v/>
      </c>
      <c r="CG523" s="503" t="s">
        <v>621</v>
      </c>
      <c r="CH523" s="503" t="str">
        <f>IF($G523="","",IF(AND($G523&gt;=30,$AT$3&lt;=CG$7),ROUND(CG523*($AP$3+#REF!),-1),""))</f>
        <v/>
      </c>
      <c r="CI523" s="503" t="s">
        <v>621</v>
      </c>
      <c r="CJ523" s="503" t="str">
        <f>IF($G523="","",IF(AND($G523&gt;=30,$AT$3&lt;=CI$7),ROUND(CI523*($AP$3+#REF!),-1),""))</f>
        <v/>
      </c>
      <c r="CK523" s="503" t="s">
        <v>621</v>
      </c>
      <c r="CL523" s="503" t="str">
        <f>IF($G523="","",IF(AND($G523&gt;=30,$AT$3&lt;=CK$7),ROUND(CK523*($AP$3+#REF!),-1),""))</f>
        <v/>
      </c>
      <c r="CM523" s="503" t="s">
        <v>621</v>
      </c>
      <c r="CN523" s="503" t="str">
        <f>IF($G523="","",IF(AND($G523&gt;=30,$AT$3&lt;=CM$7),ROUND(CM523*($AP$3+#REF!),-1),""))</f>
        <v/>
      </c>
      <c r="CO523" s="503" t="s">
        <v>621</v>
      </c>
      <c r="CP523" s="503" t="str">
        <f>IF($G523="","",IF(AND($G523&gt;=30,$AT$3&lt;=CO$7),ROUND(CO523*($AP$3+#REF!),-1),""))</f>
        <v/>
      </c>
      <c r="CQ523" s="503" t="s">
        <v>621</v>
      </c>
      <c r="CR523" s="503" t="str">
        <f>IF($G523="","",IF(AND($G523&gt;=30,$AT$3&lt;=CQ$7),ROUND(CQ523*($AP$3+#REF!),-1),""))</f>
        <v/>
      </c>
      <c r="CS523" s="503" t="s">
        <v>621</v>
      </c>
      <c r="CT523" s="503" t="str">
        <f>IF($G523="","",IF(AND($G523&gt;=30,$AT$3&lt;=CS$7),ROUND(CS523*($AP$3+#REF!),-1),""))</f>
        <v/>
      </c>
      <c r="CU523" s="503" t="s">
        <v>621</v>
      </c>
      <c r="CV523" s="503" t="str">
        <f>IF($G523="","",IF(AND($G523&gt;=30,$AT$3&lt;=CU$7),ROUND(CU523*($AP$3+#REF!),-1),""))</f>
        <v/>
      </c>
      <c r="CW523" s="503" t="s">
        <v>621</v>
      </c>
      <c r="CX523" s="503" t="str">
        <f>IF($G523="","",IF(AND($G523&gt;=30,$AT$3&lt;=CW$7),ROUND(CW523*($AP$3+#REF!),-1),""))</f>
        <v/>
      </c>
      <c r="CY523" s="503" t="s">
        <v>621</v>
      </c>
      <c r="CZ523" s="503" t="str">
        <f>IF($G523="","",IF(AND($G523&gt;=30,$AT$3&lt;=CY$7),ROUND(CY523*($AP$3+#REF!),-1),""))</f>
        <v/>
      </c>
      <c r="DA523" s="503" t="s">
        <v>621</v>
      </c>
      <c r="DB523" s="503" t="str">
        <f>IF($G523="","",IF(AND($G523&gt;=30,$AT$3&lt;=DA$7),ROUND(DA523*($AP$3+#REF!),-1),""))</f>
        <v/>
      </c>
      <c r="DC523" s="503" t="s">
        <v>621</v>
      </c>
      <c r="DD523" s="503" t="str">
        <f>IF($G523="","",IF(AND($G523&gt;=30,$AT$3&lt;=DC$7),ROUND(DC523*($AP$3+#REF!),-1),""))</f>
        <v/>
      </c>
      <c r="DE523" s="503" t="s">
        <v>621</v>
      </c>
      <c r="DF523" s="503" t="str">
        <f>IF($G523="","",IF(AND($G523&gt;=30,$AT$3&lt;=DE$7),ROUND(DE523*($AP$3+#REF!),-1),""))</f>
        <v/>
      </c>
      <c r="DG523" s="503" t="s">
        <v>621</v>
      </c>
      <c r="DH523" s="503" t="str">
        <f>IF($G523="","",IF(AND($G523&gt;=30,$AT$3&lt;=DG$7),ROUND(DG523*($AP$3+#REF!),-1),""))</f>
        <v/>
      </c>
      <c r="DI523" s="503" t="s">
        <v>621</v>
      </c>
      <c r="DJ523" s="503" t="str">
        <f>IF($G523="","",IF(AND($G523&gt;=30,$AT$3&lt;=DI$7),ROUND(DI523*($AP$3+#REF!),-1),""))</f>
        <v/>
      </c>
      <c r="DK523" s="503" t="s">
        <v>621</v>
      </c>
      <c r="DL523" s="503" t="str">
        <f>IF($G523="","",IF(AND($G523&gt;=30,$AT$3&lt;=DK$7),ROUND(DK523*($AP$3+#REF!),-1),""))</f>
        <v/>
      </c>
      <c r="DM523" s="517" t="e">
        <v>#REF!</v>
      </c>
      <c r="DN523" s="503" t="str">
        <f>IF($G523="","",IF(AND($G523&gt;=30,$AT$3&lt;=DM$7),ROUND(DM523*($AP$3+#REF!),-1),""))</f>
        <v/>
      </c>
      <c r="DO523" s="503"/>
      <c r="DP523" s="503" t="str">
        <f>IF($G523="","",IF(AND($G523&gt;=30,$AT$3&lt;=DO$7),ROUND(DO523*($AP$3+#REF!),-1),""))</f>
        <v/>
      </c>
      <c r="DQ523" s="503"/>
      <c r="DR523" s="503" t="str">
        <f>IF($G523="","",IF(AND($G523&gt;=30,$AT$3&lt;=DQ$7),ROUND(DQ523*($AP$3+#REF!),-1),""))</f>
        <v/>
      </c>
      <c r="DS523" s="503"/>
      <c r="DT523" s="503" t="str">
        <f>IF($G523="","",IF(AND($G523&gt;=30,$AT$3&lt;=DS$7),ROUND(DS523*($AP$3+#REF!),-1),""))</f>
        <v/>
      </c>
      <c r="DU523" s="503"/>
      <c r="DV523" s="503" t="str">
        <f>IF($G523="","",IF(AND($G523&gt;=30,$AT$3&lt;=DU$7),ROUND(DU523*($AP$3+#REF!),-1),""))</f>
        <v/>
      </c>
      <c r="DW523" s="503"/>
      <c r="DX523" s="503" t="str">
        <f>IF($G523="","",IF(AND($G523&gt;=30,$AT$3&lt;=DW$7),ROUND(DW523*($AP$3+#REF!),-1),""))</f>
        <v/>
      </c>
      <c r="DY523" s="503"/>
      <c r="DZ523" s="503" t="str">
        <f>IF($G523="","",IF(AND($G523&gt;=30,$AT$3&lt;=DY$7),ROUND(DY523*($AP$3+#REF!),-1),""))</f>
        <v/>
      </c>
      <c r="EA523" s="503"/>
      <c r="EB523" s="503" t="str">
        <f>IF($G523="","",IF(AND($G523&gt;=30,$AT$3&lt;=EA$7),ROUND(EA523*($AP$3+#REF!),-1),""))</f>
        <v/>
      </c>
      <c r="EC523" s="436"/>
      <c r="ED523" s="436"/>
      <c r="EE523" s="394"/>
    </row>
    <row r="524" spans="1:135" ht="9.75" customHeight="1">
      <c r="A524" s="321" t="str">
        <f t="shared" si="124"/>
        <v/>
      </c>
      <c r="B524" s="567">
        <f>(ii!$D$13*12+V524)+1</f>
        <v>418</v>
      </c>
      <c r="C524" s="337">
        <f t="shared" si="128"/>
        <v>58075</v>
      </c>
      <c r="D524" s="484">
        <f t="shared" si="117"/>
        <v>2058</v>
      </c>
      <c r="E524" s="484">
        <f t="shared" si="115"/>
        <v>1</v>
      </c>
      <c r="F524" s="484">
        <f t="shared" si="118"/>
        <v>2059</v>
      </c>
      <c r="G524" s="485" t="str">
        <f>IF(OR(C524&lt;$I$2,C524&gt;$J$3),"",(ii!$D$13*12+V524+1)/12)</f>
        <v/>
      </c>
      <c r="H524" s="486"/>
      <c r="I524" s="486"/>
      <c r="J524" s="487"/>
      <c r="K524" s="488"/>
      <c r="L524" s="548"/>
      <c r="M524" s="489" t="str">
        <f t="shared" si="119"/>
        <v/>
      </c>
      <c r="N524" s="490" t="s">
        <v>621</v>
      </c>
      <c r="O524" s="490" t="str">
        <f t="shared" si="126"/>
        <v/>
      </c>
      <c r="P524" s="491"/>
      <c r="Q524" s="491"/>
      <c r="R524" s="491" t="str">
        <f t="shared" si="127"/>
        <v/>
      </c>
      <c r="S524" s="528" t="str">
        <f t="shared" si="125"/>
        <v/>
      </c>
      <c r="T524" s="528" t="str">
        <f t="shared" si="123"/>
        <v/>
      </c>
      <c r="U524" s="493" t="str">
        <f>IF(H524="","",#REF!*12+#REF!+#REF!*12+#REF!)</f>
        <v/>
      </c>
      <c r="V524" s="338">
        <f>IF(ii!$J$3&gt;gg!C524,"",IF(AND((YEAR(C524)=YEAR($I$2)),MONTH(C524)=MONTH($I$2)),ii!$B$14*12+ii!$C$14+ii!$B$15*12+ii!$C$15-1,V523+1))</f>
        <v>417</v>
      </c>
      <c r="W524" s="339">
        <f t="shared" si="116"/>
        <v>34.75</v>
      </c>
      <c r="X524" s="494" t="s">
        <v>621</v>
      </c>
      <c r="Y524" s="495" t="s">
        <v>621</v>
      </c>
      <c r="Z524" s="496"/>
      <c r="AA524" s="497"/>
      <c r="AB524" s="498" t="e">
        <f t="shared" si="122"/>
        <v>#VALUE!</v>
      </c>
      <c r="AC524" s="484" t="str">
        <f t="shared" si="120"/>
        <v/>
      </c>
      <c r="AD524" s="495" t="str">
        <f t="shared" si="121"/>
        <v/>
      </c>
      <c r="AE524" s="499" t="s">
        <v>621</v>
      </c>
      <c r="AF524" s="500" t="s">
        <v>621</v>
      </c>
      <c r="AG524" s="556" t="s">
        <v>621</v>
      </c>
      <c r="AH524" s="503" t="str">
        <f>IF($G524="","",IF(AND($G524&gt;=30,$AT$3&lt;=AG$7),ROUND(AG524*($AP$3+#REF!),-1),""))</f>
        <v/>
      </c>
      <c r="AI524" s="506" t="s">
        <v>621</v>
      </c>
      <c r="AJ524" s="503" t="str">
        <f>IF($G524="","",IF(AND($G524&gt;=30,$AT$3&lt;=AI$7),ROUND(AI524*($AP$3+#REF!),-1),""))</f>
        <v/>
      </c>
      <c r="AK524" s="506" t="s">
        <v>621</v>
      </c>
      <c r="AL524" s="503" t="str">
        <f>IF($G524="","",IF(AND($G524&gt;=30,$AT$3&lt;=AK$7),ROUND(AK524*($AP$3+#REF!),-1),""))</f>
        <v/>
      </c>
      <c r="AM524" s="506" t="s">
        <v>621</v>
      </c>
      <c r="AN524" s="503" t="str">
        <f>IF($G524="","",IF(AND($G524&gt;=30,$AT$3&lt;=AM$7),ROUND(AM524*($AP$3+#REF!),-1),""))</f>
        <v/>
      </c>
      <c r="AO524" s="503" t="e">
        <v>#REF!</v>
      </c>
      <c r="AP524" s="503" t="str">
        <f>IF($G524="","",IF(AND($G524&gt;=30,$AT$3&lt;=AO$7),ROUND(AO524*($AP$3+#REF!),-1),""))</f>
        <v/>
      </c>
      <c r="AQ524" s="503" t="s">
        <v>621</v>
      </c>
      <c r="AR524" s="503" t="str">
        <f>IF($G524="","",IF(AND($G524&gt;=30,$AT$3&lt;=AQ$7),ROUND(AQ524*($AP$3+#REF!),-1),""))</f>
        <v/>
      </c>
      <c r="AS524" s="503" t="s">
        <v>621</v>
      </c>
      <c r="AT524" s="503" t="str">
        <f>IF($G524="","",IF(AND($G524&gt;=30,$AT$3&lt;=AS$7),ROUND(AS524*($AP$3+#REF!),-1),""))</f>
        <v/>
      </c>
      <c r="AU524" s="503" t="s">
        <v>621</v>
      </c>
      <c r="AV524" s="503" t="str">
        <f>IF($G524="","",IF(AND($G524&gt;=30,$AT$3&lt;=AU$7),ROUND(AU524*($AP$3+#REF!),-1),""))</f>
        <v/>
      </c>
      <c r="AW524" s="503" t="s">
        <v>621</v>
      </c>
      <c r="AX524" s="503" t="str">
        <f>IF($G524="","",IF(AND($G524&gt;=30,$AT$3&lt;=AW$7),ROUND(AW524*($AP$3+#REF!),-1),""))</f>
        <v/>
      </c>
      <c r="AY524" s="503" t="s">
        <v>621</v>
      </c>
      <c r="AZ524" s="503" t="str">
        <f>IF($G524="","",IF(AND($G524&gt;=30,$AT$3&lt;=AY$7),ROUND(AY524*($AP$3+#REF!),-1),""))</f>
        <v/>
      </c>
      <c r="BA524" s="503" t="s">
        <v>621</v>
      </c>
      <c r="BB524" s="503" t="str">
        <f>IF($G524="","",IF(AND($G524&gt;=30,$AT$3&lt;=BA$7),ROUND(BA524*($AP$3+#REF!),-1),""))</f>
        <v/>
      </c>
      <c r="BC524" s="503" t="s">
        <v>621</v>
      </c>
      <c r="BD524" s="503" t="str">
        <f>IF($G524="","",IF(AND($G524&gt;=30,$AT$3&lt;=BC$7),ROUND(BC524*($AP$3+#REF!),-1),""))</f>
        <v/>
      </c>
      <c r="BE524" s="503" t="s">
        <v>621</v>
      </c>
      <c r="BF524" s="503" t="str">
        <f>IF($G524="","",IF(AND($G524&gt;=30,$AT$3&lt;=BE$7),ROUND(BE524*($AP$3+#REF!),-1),""))</f>
        <v/>
      </c>
      <c r="BG524" s="503" t="s">
        <v>621</v>
      </c>
      <c r="BH524" s="503" t="str">
        <f>IF($G524="","",IF(AND($G524&gt;=30,$AT$3&lt;=BG$7),ROUND(BG524*($AP$3+#REF!),-1),""))</f>
        <v/>
      </c>
      <c r="BI524" s="503" t="s">
        <v>621</v>
      </c>
      <c r="BJ524" s="503" t="str">
        <f>IF($G524="","",IF(AND($G524&gt;=30,$AT$3&lt;=BI$7),ROUND(BI524*($AP$3+#REF!),-1),""))</f>
        <v/>
      </c>
      <c r="BK524" s="503" t="s">
        <v>621</v>
      </c>
      <c r="BL524" s="503" t="str">
        <f>IF($G524="","",IF(AND($G524&gt;=30,$AT$3&lt;=BK$7),ROUND(BK524*($AP$3+#REF!),-1),""))</f>
        <v/>
      </c>
      <c r="BM524" s="503" t="s">
        <v>621</v>
      </c>
      <c r="BN524" s="503" t="str">
        <f>IF($G524="","",IF(AND($G524&gt;=30,$AT$3&lt;=BM$7),ROUND(BM524*($AP$3+#REF!),-1),""))</f>
        <v/>
      </c>
      <c r="BO524" s="503" t="s">
        <v>621</v>
      </c>
      <c r="BP524" s="503" t="str">
        <f>IF($G524="","",IF(AND($G524&gt;=30,$AT$3&lt;=BO$7),ROUND(BO524*($AP$3+#REF!),-1),""))</f>
        <v/>
      </c>
      <c r="BQ524" s="503" t="s">
        <v>621</v>
      </c>
      <c r="BR524" s="503" t="str">
        <f>IF($G524="","",IF(AND($G524&gt;=30,$AT$3&lt;=BQ$7),ROUND(BQ524*($AP$3+#REF!),-1),""))</f>
        <v/>
      </c>
      <c r="BS524" s="503" t="s">
        <v>621</v>
      </c>
      <c r="BT524" s="503" t="str">
        <f>IF($G524="","",IF(AND($G524&gt;=30,$AT$3&lt;=BS$7),ROUND(BS524*($AP$3+#REF!),-1),""))</f>
        <v/>
      </c>
      <c r="BU524" s="503" t="s">
        <v>621</v>
      </c>
      <c r="BV524" s="503" t="str">
        <f>IF($G524="","",IF(AND($G524&gt;=30,$AT$3&lt;=BU$7),ROUND(BU524*($AP$3+#REF!),-1),""))</f>
        <v/>
      </c>
      <c r="BW524" s="503" t="s">
        <v>621</v>
      </c>
      <c r="BX524" s="503" t="str">
        <f>IF($G524="","",IF(AND($G524&gt;=30,$AT$3&lt;=BW$7),ROUND(BW524*($AP$3+#REF!),-1),""))</f>
        <v/>
      </c>
      <c r="BY524" s="503" t="s">
        <v>621</v>
      </c>
      <c r="BZ524" s="503" t="str">
        <f>IF($G524="","",IF(AND($G524&gt;=30,$AT$3&lt;=BY$7),ROUND(BY524*($AP$3+#REF!),-1),""))</f>
        <v/>
      </c>
      <c r="CA524" s="503" t="s">
        <v>621</v>
      </c>
      <c r="CB524" s="503" t="str">
        <f>IF($G524="","",IF(AND($G524&gt;=30,$AT$3&lt;=CA$7),ROUND(CA524*($AP$3+#REF!),-1),""))</f>
        <v/>
      </c>
      <c r="CC524" s="503" t="s">
        <v>621</v>
      </c>
      <c r="CD524" s="503" t="str">
        <f>IF($G524="","",IF(AND($G524&gt;=30,$AT$3&lt;=CC$7),ROUND(CC524*($AP$3+#REF!),-1),""))</f>
        <v/>
      </c>
      <c r="CE524" s="503" t="s">
        <v>621</v>
      </c>
      <c r="CF524" s="503" t="str">
        <f>IF($G524="","",IF(AND($G524&gt;=30,$AT$3&lt;=CE$7),ROUND(CE524*($AP$3+#REF!),-1),""))</f>
        <v/>
      </c>
      <c r="CG524" s="503" t="s">
        <v>621</v>
      </c>
      <c r="CH524" s="503" t="str">
        <f>IF($G524="","",IF(AND($G524&gt;=30,$AT$3&lt;=CG$7),ROUND(CG524*($AP$3+#REF!),-1),""))</f>
        <v/>
      </c>
      <c r="CI524" s="503" t="s">
        <v>621</v>
      </c>
      <c r="CJ524" s="503" t="str">
        <f>IF($G524="","",IF(AND($G524&gt;=30,$AT$3&lt;=CI$7),ROUND(CI524*($AP$3+#REF!),-1),""))</f>
        <v/>
      </c>
      <c r="CK524" s="503" t="s">
        <v>621</v>
      </c>
      <c r="CL524" s="503" t="str">
        <f>IF($G524="","",IF(AND($G524&gt;=30,$AT$3&lt;=CK$7),ROUND(CK524*($AP$3+#REF!),-1),""))</f>
        <v/>
      </c>
      <c r="CM524" s="503" t="s">
        <v>621</v>
      </c>
      <c r="CN524" s="503" t="str">
        <f>IF($G524="","",IF(AND($G524&gt;=30,$AT$3&lt;=CM$7),ROUND(CM524*($AP$3+#REF!),-1),""))</f>
        <v/>
      </c>
      <c r="CO524" s="503" t="s">
        <v>621</v>
      </c>
      <c r="CP524" s="503" t="str">
        <f>IF($G524="","",IF(AND($G524&gt;=30,$AT$3&lt;=CO$7),ROUND(CO524*($AP$3+#REF!),-1),""))</f>
        <v/>
      </c>
      <c r="CQ524" s="503" t="s">
        <v>621</v>
      </c>
      <c r="CR524" s="503" t="str">
        <f>IF($G524="","",IF(AND($G524&gt;=30,$AT$3&lt;=CQ$7),ROUND(CQ524*($AP$3+#REF!),-1),""))</f>
        <v/>
      </c>
      <c r="CS524" s="503" t="s">
        <v>621</v>
      </c>
      <c r="CT524" s="503" t="str">
        <f>IF($G524="","",IF(AND($G524&gt;=30,$AT$3&lt;=CS$7),ROUND(CS524*($AP$3+#REF!),-1),""))</f>
        <v/>
      </c>
      <c r="CU524" s="503" t="s">
        <v>621</v>
      </c>
      <c r="CV524" s="503" t="str">
        <f>IF($G524="","",IF(AND($G524&gt;=30,$AT$3&lt;=CU$7),ROUND(CU524*($AP$3+#REF!),-1),""))</f>
        <v/>
      </c>
      <c r="CW524" s="503" t="s">
        <v>621</v>
      </c>
      <c r="CX524" s="503" t="str">
        <f>IF($G524="","",IF(AND($G524&gt;=30,$AT$3&lt;=CW$7),ROUND(CW524*($AP$3+#REF!),-1),""))</f>
        <v/>
      </c>
      <c r="CY524" s="503" t="s">
        <v>621</v>
      </c>
      <c r="CZ524" s="503" t="str">
        <f>IF($G524="","",IF(AND($G524&gt;=30,$AT$3&lt;=CY$7),ROUND(CY524*($AP$3+#REF!),-1),""))</f>
        <v/>
      </c>
      <c r="DA524" s="503" t="s">
        <v>621</v>
      </c>
      <c r="DB524" s="503" t="str">
        <f>IF($G524="","",IF(AND($G524&gt;=30,$AT$3&lt;=DA$7),ROUND(DA524*($AP$3+#REF!),-1),""))</f>
        <v/>
      </c>
      <c r="DC524" s="503" t="s">
        <v>621</v>
      </c>
      <c r="DD524" s="503" t="str">
        <f>IF($G524="","",IF(AND($G524&gt;=30,$AT$3&lt;=DC$7),ROUND(DC524*($AP$3+#REF!),-1),""))</f>
        <v/>
      </c>
      <c r="DE524" s="503" t="s">
        <v>621</v>
      </c>
      <c r="DF524" s="503" t="str">
        <f>IF($G524="","",IF(AND($G524&gt;=30,$AT$3&lt;=DE$7),ROUND(DE524*($AP$3+#REF!),-1),""))</f>
        <v/>
      </c>
      <c r="DG524" s="503" t="s">
        <v>621</v>
      </c>
      <c r="DH524" s="503" t="str">
        <f>IF($G524="","",IF(AND($G524&gt;=30,$AT$3&lt;=DG$7),ROUND(DG524*($AP$3+#REF!),-1),""))</f>
        <v/>
      </c>
      <c r="DI524" s="503" t="s">
        <v>621</v>
      </c>
      <c r="DJ524" s="503" t="str">
        <f>IF($G524="","",IF(AND($G524&gt;=30,$AT$3&lt;=DI$7),ROUND(DI524*($AP$3+#REF!),-1),""))</f>
        <v/>
      </c>
      <c r="DK524" s="503" t="s">
        <v>621</v>
      </c>
      <c r="DL524" s="503" t="str">
        <f>IF($G524="","",IF(AND($G524&gt;=30,$AT$3&lt;=DK$7),ROUND(DK524*($AP$3+#REF!),-1),""))</f>
        <v/>
      </c>
      <c r="DM524" s="517" t="e">
        <v>#REF!</v>
      </c>
      <c r="DN524" s="503" t="str">
        <f>IF($G524="","",IF(AND($G524&gt;=30,$AT$3&lt;=DM$7),ROUND(DM524*($AP$3+#REF!),-1),""))</f>
        <v/>
      </c>
      <c r="DO524" s="503"/>
      <c r="DP524" s="503" t="str">
        <f>IF($G524="","",IF(AND($G524&gt;=30,$AT$3&lt;=DO$7),ROUND(DO524*($AP$3+#REF!),-1),""))</f>
        <v/>
      </c>
      <c r="DQ524" s="503"/>
      <c r="DR524" s="503" t="str">
        <f>IF($G524="","",IF(AND($G524&gt;=30,$AT$3&lt;=DQ$7),ROUND(DQ524*($AP$3+#REF!),-1),""))</f>
        <v/>
      </c>
      <c r="DS524" s="503"/>
      <c r="DT524" s="503" t="str">
        <f>IF($G524="","",IF(AND($G524&gt;=30,$AT$3&lt;=DS$7),ROUND(DS524*($AP$3+#REF!),-1),""))</f>
        <v/>
      </c>
      <c r="DU524" s="503"/>
      <c r="DV524" s="503" t="str">
        <f>IF($G524="","",IF(AND($G524&gt;=30,$AT$3&lt;=DU$7),ROUND(DU524*($AP$3+#REF!),-1),""))</f>
        <v/>
      </c>
      <c r="DW524" s="503"/>
      <c r="DX524" s="503" t="str">
        <f>IF($G524="","",IF(AND($G524&gt;=30,$AT$3&lt;=DW$7),ROUND(DW524*($AP$3+#REF!),-1),""))</f>
        <v/>
      </c>
      <c r="DY524" s="503"/>
      <c r="DZ524" s="503" t="str">
        <f>IF($G524="","",IF(AND($G524&gt;=30,$AT$3&lt;=DY$7),ROUND(DY524*($AP$3+#REF!),-1),""))</f>
        <v/>
      </c>
      <c r="EA524" s="503"/>
      <c r="EB524" s="503" t="str">
        <f>IF($G524="","",IF(AND($G524&gt;=30,$AT$3&lt;=EA$7),ROUND(EA524*($AP$3+#REF!),-1),""))</f>
        <v/>
      </c>
      <c r="EC524" s="436"/>
      <c r="ED524" s="436"/>
      <c r="EE524" s="394"/>
    </row>
    <row r="525" spans="1:135" ht="9.75" customHeight="1">
      <c r="A525" s="321" t="str">
        <f t="shared" si="124"/>
        <v/>
      </c>
      <c r="B525" s="569">
        <f>(ii!$D$13*12+V525)+1</f>
        <v>419</v>
      </c>
      <c r="C525" s="345">
        <f t="shared" si="128"/>
        <v>58106</v>
      </c>
      <c r="D525" s="340">
        <f t="shared" si="117"/>
        <v>2059</v>
      </c>
      <c r="E525" s="340">
        <f t="shared" si="115"/>
        <v>8.3333333333333329E-2</v>
      </c>
      <c r="F525" s="340">
        <f t="shared" si="118"/>
        <v>2059.0833333333335</v>
      </c>
      <c r="G525" s="531" t="str">
        <f>IF(OR(C525&lt;$I$2,C525&gt;$J$3),"",(ii!$D$13*12+V525+1)/12)</f>
        <v/>
      </c>
      <c r="H525" s="532"/>
      <c r="I525" s="532"/>
      <c r="J525" s="533"/>
      <c r="K525" s="553"/>
      <c r="L525" s="534"/>
      <c r="M525" s="489" t="str">
        <f t="shared" si="119"/>
        <v/>
      </c>
      <c r="N525" s="536" t="s">
        <v>621</v>
      </c>
      <c r="O525" s="490" t="str">
        <f t="shared" si="126"/>
        <v/>
      </c>
      <c r="P525" s="537"/>
      <c r="Q525" s="537"/>
      <c r="R525" s="533" t="str">
        <f t="shared" si="127"/>
        <v/>
      </c>
      <c r="S525" s="538" t="str">
        <f t="shared" si="125"/>
        <v/>
      </c>
      <c r="T525" s="538" t="str">
        <f t="shared" si="123"/>
        <v/>
      </c>
      <c r="U525" s="539" t="str">
        <f>IF(H525="","",#REF!*12+#REF!+#REF!*12+#REF!)</f>
        <v/>
      </c>
      <c r="V525" s="338">
        <f>IF(ii!$J$3&gt;gg!C525,"",IF(AND((YEAR(C525)=YEAR($I$2)),MONTH(C525)=MONTH($I$2)),ii!$B$14*12+ii!$C$14+ii!$B$15*12+ii!$C$15-1,V524+1))</f>
        <v>418</v>
      </c>
      <c r="W525" s="339">
        <f t="shared" si="116"/>
        <v>34.833333333333336</v>
      </c>
      <c r="X525" s="540" t="s">
        <v>621</v>
      </c>
      <c r="Y525" s="538" t="s">
        <v>621</v>
      </c>
      <c r="Z525" s="541">
        <f>Z513+$Z$26</f>
        <v>1.2300000000000009</v>
      </c>
      <c r="AA525" s="542" t="str">
        <f>IF(Y525="","",(Y525-Y524)/Y524)</f>
        <v/>
      </c>
      <c r="AB525" s="543" t="e">
        <f t="shared" si="122"/>
        <v>#VALUE!</v>
      </c>
      <c r="AC525" s="544" t="str">
        <f t="shared" si="120"/>
        <v/>
      </c>
      <c r="AD525" s="538" t="str">
        <f t="shared" si="121"/>
        <v/>
      </c>
      <c r="AE525" s="545" t="s">
        <v>621</v>
      </c>
      <c r="AF525" s="546" t="s">
        <v>621</v>
      </c>
      <c r="AG525" s="558" t="s">
        <v>621</v>
      </c>
      <c r="AH525" s="547" t="str">
        <f>IF($G525="","",IF(AND($G525&gt;=30,$AT$3&lt;=AG$7),ROUND(AG525*($AP$3+#REF!),-1),""))</f>
        <v/>
      </c>
      <c r="AI525" s="558" t="s">
        <v>621</v>
      </c>
      <c r="AJ525" s="547" t="str">
        <f>IF($G525="","",IF(AND($G525&gt;=30,$AT$3&lt;=AI$7),ROUND(AI525*($AP$3+#REF!),-1),""))</f>
        <v/>
      </c>
      <c r="AK525" s="560" t="s">
        <v>621</v>
      </c>
      <c r="AL525" s="547" t="str">
        <f>IF($G525="","",IF(AND($G525&gt;=30,$AT$3&lt;=AK$7),ROUND(AK525*($AP$3+#REF!),-1),""))</f>
        <v/>
      </c>
      <c r="AM525" s="560" t="s">
        <v>621</v>
      </c>
      <c r="AN525" s="547" t="str">
        <f>IF($G525="","",IF(AND($G525&gt;=30,$AT$3&lt;=AM$7),ROUND(AM525*($AP$3+#REF!),-1),""))</f>
        <v/>
      </c>
      <c r="AO525" s="547" t="e">
        <v>#REF!</v>
      </c>
      <c r="AP525" s="547" t="str">
        <f>IF($G525="","",IF(AND($G525&gt;=30,$AT$3&lt;=AO$7),ROUND(AO525*($AP$3+#REF!),-1),""))</f>
        <v/>
      </c>
      <c r="AQ525" s="547" t="s">
        <v>621</v>
      </c>
      <c r="AR525" s="547" t="str">
        <f>IF($G525="","",IF(AND($G525&gt;=30,$AT$3&lt;=AQ$7),ROUND(AQ525*($AP$3+#REF!),-1),""))</f>
        <v/>
      </c>
      <c r="AS525" s="547" t="s">
        <v>621</v>
      </c>
      <c r="AT525" s="547" t="str">
        <f>IF($G525="","",IF(AND($G525&gt;=30,$AT$3&lt;=AS$7),ROUND(AS525*($AP$3+#REF!),-1),""))</f>
        <v/>
      </c>
      <c r="AU525" s="547" t="s">
        <v>621</v>
      </c>
      <c r="AV525" s="547" t="str">
        <f>IF($G525="","",IF(AND($G525&gt;=30,$AT$3&lt;=AU$7),ROUND(AU525*($AP$3+#REF!),-1),""))</f>
        <v/>
      </c>
      <c r="AW525" s="547" t="s">
        <v>621</v>
      </c>
      <c r="AX525" s="547" t="str">
        <f>IF($G525="","",IF(AND($G525&gt;=30,$AT$3&lt;=AW$7),ROUND(AW525*($AP$3+#REF!),-1),""))</f>
        <v/>
      </c>
      <c r="AY525" s="547" t="s">
        <v>621</v>
      </c>
      <c r="AZ525" s="547" t="str">
        <f>IF($G525="","",IF(AND($G525&gt;=30,$AT$3&lt;=AY$7),ROUND(AY525*($AP$3+#REF!),-1),""))</f>
        <v/>
      </c>
      <c r="BA525" s="547" t="s">
        <v>621</v>
      </c>
      <c r="BB525" s="547" t="str">
        <f>IF($G525="","",IF(AND($G525&gt;=30,$AT$3&lt;=BA$7),ROUND(BA525*($AP$3+#REF!),-1),""))</f>
        <v/>
      </c>
      <c r="BC525" s="547" t="s">
        <v>621</v>
      </c>
      <c r="BD525" s="547" t="str">
        <f>IF($G525="","",IF(AND($G525&gt;=30,$AT$3&lt;=BC$7),ROUND(BC525*($AP$3+#REF!),-1),""))</f>
        <v/>
      </c>
      <c r="BE525" s="547" t="s">
        <v>621</v>
      </c>
      <c r="BF525" s="547" t="str">
        <f>IF($G525="","",IF(AND($G525&gt;=30,$AT$3&lt;=BE$7),ROUND(BE525*($AP$3+#REF!),-1),""))</f>
        <v/>
      </c>
      <c r="BG525" s="547" t="s">
        <v>621</v>
      </c>
      <c r="BH525" s="547" t="str">
        <f>IF($G525="","",IF(AND($G525&gt;=30,$AT$3&lt;=BG$7),ROUND(BG525*($AP$3+#REF!),-1),""))</f>
        <v/>
      </c>
      <c r="BI525" s="547" t="s">
        <v>621</v>
      </c>
      <c r="BJ525" s="547" t="str">
        <f>IF($G525="","",IF(AND($G525&gt;=30,$AT$3&lt;=BI$7),ROUND(BI525*($AP$3+#REF!),-1),""))</f>
        <v/>
      </c>
      <c r="BK525" s="547" t="s">
        <v>621</v>
      </c>
      <c r="BL525" s="547" t="str">
        <f>IF($G525="","",IF(AND($G525&gt;=30,$AT$3&lt;=BK$7),ROUND(BK525*($AP$3+#REF!),-1),""))</f>
        <v/>
      </c>
      <c r="BM525" s="547" t="s">
        <v>621</v>
      </c>
      <c r="BN525" s="547" t="str">
        <f>IF($G525="","",IF(AND($G525&gt;=30,$AT$3&lt;=BM$7),ROUND(BM525*($AP$3+#REF!),-1),""))</f>
        <v/>
      </c>
      <c r="BO525" s="547" t="s">
        <v>621</v>
      </c>
      <c r="BP525" s="547" t="str">
        <f>IF($G525="","",IF(AND($G525&gt;=30,$AT$3&lt;=BO$7),ROUND(BO525*($AP$3+#REF!),-1),""))</f>
        <v/>
      </c>
      <c r="BQ525" s="547" t="s">
        <v>621</v>
      </c>
      <c r="BR525" s="547" t="str">
        <f>IF($G525="","",IF(AND($G525&gt;=30,$AT$3&lt;=BQ$7),ROUND(BQ525*($AP$3+#REF!),-1),""))</f>
        <v/>
      </c>
      <c r="BS525" s="547" t="s">
        <v>621</v>
      </c>
      <c r="BT525" s="547" t="str">
        <f>IF($G525="","",IF(AND($G525&gt;=30,$AT$3&lt;=BS$7),ROUND(BS525*($AP$3+#REF!),-1),""))</f>
        <v/>
      </c>
      <c r="BU525" s="547" t="s">
        <v>621</v>
      </c>
      <c r="BV525" s="547" t="str">
        <f>IF($G525="","",IF(AND($G525&gt;=30,$AT$3&lt;=BU$7),ROUND(BU525*($AP$3+#REF!),-1),""))</f>
        <v/>
      </c>
      <c r="BW525" s="547" t="s">
        <v>621</v>
      </c>
      <c r="BX525" s="547" t="str">
        <f>IF($G525="","",IF(AND($G525&gt;=30,$AT$3&lt;=BW$7),ROUND(BW525*($AP$3+#REF!),-1),""))</f>
        <v/>
      </c>
      <c r="BY525" s="547" t="s">
        <v>621</v>
      </c>
      <c r="BZ525" s="547" t="str">
        <f>IF($G525="","",IF(AND($G525&gt;=30,$AT$3&lt;=BY$7),ROUND(BY525*($AP$3+#REF!),-1),""))</f>
        <v/>
      </c>
      <c r="CA525" s="547" t="s">
        <v>621</v>
      </c>
      <c r="CB525" s="547" t="str">
        <f>IF($G525="","",IF(AND($G525&gt;=30,$AT$3&lt;=CA$7),ROUND(CA525*($AP$3+#REF!),-1),""))</f>
        <v/>
      </c>
      <c r="CC525" s="547" t="s">
        <v>621</v>
      </c>
      <c r="CD525" s="547" t="str">
        <f>IF($G525="","",IF(AND($G525&gt;=30,$AT$3&lt;=CC$7),ROUND(CC525*($AP$3+#REF!),-1),""))</f>
        <v/>
      </c>
      <c r="CE525" s="547" t="s">
        <v>621</v>
      </c>
      <c r="CF525" s="547" t="str">
        <f>IF($G525="","",IF(AND($G525&gt;=30,$AT$3&lt;=CE$7),ROUND(CE525*($AP$3+#REF!),-1),""))</f>
        <v/>
      </c>
      <c r="CG525" s="547" t="s">
        <v>621</v>
      </c>
      <c r="CH525" s="547" t="str">
        <f>IF($G525="","",IF(AND($G525&gt;=30,$AT$3&lt;=CG$7),ROUND(CG525*($AP$3+#REF!),-1),""))</f>
        <v/>
      </c>
      <c r="CI525" s="547" t="s">
        <v>621</v>
      </c>
      <c r="CJ525" s="547" t="str">
        <f>IF($G525="","",IF(AND($G525&gt;=30,$AT$3&lt;=CI$7),ROUND(CI525*($AP$3+#REF!),-1),""))</f>
        <v/>
      </c>
      <c r="CK525" s="547" t="s">
        <v>621</v>
      </c>
      <c r="CL525" s="547" t="str">
        <f>IF($G525="","",IF(AND($G525&gt;=30,$AT$3&lt;=CK$7),ROUND(CK525*($AP$3+#REF!),-1),""))</f>
        <v/>
      </c>
      <c r="CM525" s="547" t="s">
        <v>621</v>
      </c>
      <c r="CN525" s="547" t="str">
        <f>IF($G525="","",IF(AND($G525&gt;=30,$AT$3&lt;=CM$7),ROUND(CM525*($AP$3+#REF!),-1),""))</f>
        <v/>
      </c>
      <c r="CO525" s="547" t="s">
        <v>621</v>
      </c>
      <c r="CP525" s="547" t="str">
        <f>IF($G525="","",IF(AND($G525&gt;=30,$AT$3&lt;=CO$7),ROUND(CO525*($AP$3+#REF!),-1),""))</f>
        <v/>
      </c>
      <c r="CQ525" s="547" t="s">
        <v>621</v>
      </c>
      <c r="CR525" s="547" t="str">
        <f>IF($G525="","",IF(AND($G525&gt;=30,$AT$3&lt;=CQ$7),ROUND(CQ525*($AP$3+#REF!),-1),""))</f>
        <v/>
      </c>
      <c r="CS525" s="547" t="s">
        <v>621</v>
      </c>
      <c r="CT525" s="547" t="str">
        <f>IF($G525="","",IF(AND($G525&gt;=30,$AT$3&lt;=CS$7),ROUND(CS525*($AP$3+#REF!),-1),""))</f>
        <v/>
      </c>
      <c r="CU525" s="547" t="s">
        <v>621</v>
      </c>
      <c r="CV525" s="547" t="str">
        <f>IF($G525="","",IF(AND($G525&gt;=30,$AT$3&lt;=CU$7),ROUND(CU525*($AP$3+#REF!),-1),""))</f>
        <v/>
      </c>
      <c r="CW525" s="547" t="s">
        <v>621</v>
      </c>
      <c r="CX525" s="547" t="str">
        <f>IF($G525="","",IF(AND($G525&gt;=30,$AT$3&lt;=CW$7),ROUND(CW525*($AP$3+#REF!),-1),""))</f>
        <v/>
      </c>
      <c r="CY525" s="547" t="s">
        <v>621</v>
      </c>
      <c r="CZ525" s="547" t="str">
        <f>IF($G525="","",IF(AND($G525&gt;=30,$AT$3&lt;=CY$7),ROUND(CY525*($AP$3+#REF!),-1),""))</f>
        <v/>
      </c>
      <c r="DA525" s="547" t="s">
        <v>621</v>
      </c>
      <c r="DB525" s="547" t="str">
        <f>IF($G525="","",IF(AND($G525&gt;=30,$AT$3&lt;=DA$7),ROUND(DA525*($AP$3+#REF!),-1),""))</f>
        <v/>
      </c>
      <c r="DC525" s="547" t="s">
        <v>621</v>
      </c>
      <c r="DD525" s="547" t="str">
        <f>IF($G525="","",IF(AND($G525&gt;=30,$AT$3&lt;=DC$7),ROUND(DC525*($AP$3+#REF!),-1),""))</f>
        <v/>
      </c>
      <c r="DE525" s="547" t="s">
        <v>621</v>
      </c>
      <c r="DF525" s="547" t="str">
        <f>IF($G525="","",IF(AND($G525&gt;=30,$AT$3&lt;=DE$7),ROUND(DE525*($AP$3+#REF!),-1),""))</f>
        <v/>
      </c>
      <c r="DG525" s="547" t="s">
        <v>621</v>
      </c>
      <c r="DH525" s="547" t="str">
        <f>IF($G525="","",IF(AND($G525&gt;=30,$AT$3&lt;=DG$7),ROUND(DG525*($AP$3+#REF!),-1),""))</f>
        <v/>
      </c>
      <c r="DI525" s="547" t="s">
        <v>621</v>
      </c>
      <c r="DJ525" s="547" t="str">
        <f>IF($G525="","",IF(AND($G525&gt;=30,$AT$3&lt;=DI$7),ROUND(DI525*($AP$3+#REF!),-1),""))</f>
        <v/>
      </c>
      <c r="DK525" s="547" t="s">
        <v>621</v>
      </c>
      <c r="DL525" s="547" t="str">
        <f>IF($G525="","",IF(AND($G525&gt;=30,$AT$3&lt;=DK$7),ROUND(DK525*($AP$3+#REF!),-1),""))</f>
        <v/>
      </c>
      <c r="DM525" s="547" t="s">
        <v>621</v>
      </c>
      <c r="DN525" s="547" t="str">
        <f>IF($G525="","",IF(AND($G525&gt;=30,$AT$3&lt;=DM$7),ROUND(DM525*($AP$3+#REF!),-1),""))</f>
        <v/>
      </c>
      <c r="DO525" s="533" t="e">
        <v>#REF!</v>
      </c>
      <c r="DP525" s="547" t="str">
        <f>IF($G525="","",IF(AND($G525&gt;=30,$AT$3&lt;=DO$7),ROUND(DO525*($AP$3+#REF!),-1),""))</f>
        <v/>
      </c>
      <c r="DQ525" s="547"/>
      <c r="DR525" s="547" t="str">
        <f>IF($G525="","",IF(AND($G525&gt;=30,$AT$3&lt;=DQ$7),ROUND(DQ525*($AP$3+#REF!),-1),""))</f>
        <v/>
      </c>
      <c r="DS525" s="547"/>
      <c r="DT525" s="547" t="str">
        <f>IF($G525="","",IF(AND($G525&gt;=30,$AT$3&lt;=DS$7),ROUND(DS525*($AP$3+#REF!),-1),""))</f>
        <v/>
      </c>
      <c r="DU525" s="547"/>
      <c r="DV525" s="547" t="str">
        <f>IF($G525="","",IF(AND($G525&gt;=30,$AT$3&lt;=DU$7),ROUND(DU525*($AP$3+#REF!),-1),""))</f>
        <v/>
      </c>
      <c r="DW525" s="547"/>
      <c r="DX525" s="547" t="str">
        <f>IF($G525="","",IF(AND($G525&gt;=30,$AT$3&lt;=DW$7),ROUND(DW525*($AP$3+#REF!),-1),""))</f>
        <v/>
      </c>
      <c r="DY525" s="547"/>
      <c r="DZ525" s="547" t="str">
        <f>IF($G525="","",IF(AND($G525&gt;=30,$AT$3&lt;=DY$7),ROUND(DY525*($AP$3+#REF!),-1),""))</f>
        <v/>
      </c>
      <c r="EA525" s="547"/>
      <c r="EB525" s="547" t="str">
        <f>IF($G525="","",IF(AND($G525&gt;=30,$AT$3&lt;=EA$7),ROUND(EA525*($AP$3+#REF!),-1),""))</f>
        <v/>
      </c>
      <c r="EC525" s="547"/>
      <c r="ED525" s="436"/>
      <c r="EE525" s="394"/>
    </row>
    <row r="526" spans="1:135" ht="9.75" customHeight="1">
      <c r="A526" s="321" t="str">
        <f t="shared" si="124"/>
        <v/>
      </c>
      <c r="B526" s="567">
        <f>(ii!$D$13*12+V526)+1</f>
        <v>420</v>
      </c>
      <c r="C526" s="337">
        <f t="shared" si="128"/>
        <v>58134</v>
      </c>
      <c r="D526" s="484">
        <f t="shared" si="117"/>
        <v>2059</v>
      </c>
      <c r="E526" s="484">
        <f t="shared" ref="E526:E589" si="129">MONTH(C526)/12</f>
        <v>0.16666666666666666</v>
      </c>
      <c r="F526" s="484">
        <f t="shared" si="118"/>
        <v>2059.1666666666665</v>
      </c>
      <c r="G526" s="485" t="str">
        <f>IF(OR(C526&lt;$I$2,C526&gt;$J$3),"",(ii!$D$13*12+V526+1)/12)</f>
        <v/>
      </c>
      <c r="H526" s="486"/>
      <c r="I526" s="486"/>
      <c r="J526" s="487"/>
      <c r="K526" s="488"/>
      <c r="L526" s="548"/>
      <c r="M526" s="489" t="str">
        <f t="shared" si="119"/>
        <v/>
      </c>
      <c r="N526" s="490" t="s">
        <v>621</v>
      </c>
      <c r="O526" s="490" t="str">
        <f t="shared" si="126"/>
        <v/>
      </c>
      <c r="P526" s="491"/>
      <c r="Q526" s="491"/>
      <c r="R526" s="491" t="str">
        <f t="shared" si="127"/>
        <v/>
      </c>
      <c r="S526" s="528" t="str">
        <f t="shared" si="125"/>
        <v/>
      </c>
      <c r="T526" s="528" t="str">
        <f t="shared" si="123"/>
        <v/>
      </c>
      <c r="U526" s="493" t="str">
        <f>IF(H526="","",#REF!*12+#REF!+#REF!*12+#REF!)</f>
        <v/>
      </c>
      <c r="V526" s="338">
        <f>IF(ii!$J$3&gt;gg!C526,"",IF(AND((YEAR(C526)=YEAR($I$2)),MONTH(C526)=MONTH($I$2)),ii!$B$14*12+ii!$C$14+ii!$B$15*12+ii!$C$15-1,V525+1))</f>
        <v>419</v>
      </c>
      <c r="W526" s="339">
        <f t="shared" si="116"/>
        <v>34.916666666666664</v>
      </c>
      <c r="X526" s="494" t="s">
        <v>621</v>
      </c>
      <c r="Y526" s="495" t="s">
        <v>621</v>
      </c>
      <c r="Z526" s="496"/>
      <c r="AA526" s="497"/>
      <c r="AB526" s="498" t="e">
        <f t="shared" si="122"/>
        <v>#VALUE!</v>
      </c>
      <c r="AC526" s="484" t="str">
        <f t="shared" si="120"/>
        <v/>
      </c>
      <c r="AD526" s="495" t="str">
        <f t="shared" si="121"/>
        <v/>
      </c>
      <c r="AE526" s="499" t="s">
        <v>621</v>
      </c>
      <c r="AF526" s="500" t="s">
        <v>621</v>
      </c>
      <c r="AG526" s="556" t="s">
        <v>621</v>
      </c>
      <c r="AH526" s="503" t="str">
        <f>IF($G526="","",IF(AND($G526&gt;=30,$AT$3&lt;=AG$7),ROUND(AG526*($AP$3+#REF!),-1),""))</f>
        <v/>
      </c>
      <c r="AI526" s="506" t="s">
        <v>621</v>
      </c>
      <c r="AJ526" s="503" t="str">
        <f>IF($G526="","",IF(AND($G526&gt;=30,$AT$3&lt;=AI$7),ROUND(AI526*($AP$3+#REF!),-1),""))</f>
        <v/>
      </c>
      <c r="AK526" s="506" t="s">
        <v>621</v>
      </c>
      <c r="AL526" s="503" t="str">
        <f>IF($G526="","",IF(AND($G526&gt;=30,$AT$3&lt;=AK$7),ROUND(AK526*($AP$3+#REF!),-1),""))</f>
        <v/>
      </c>
      <c r="AM526" s="506" t="s">
        <v>621</v>
      </c>
      <c r="AN526" s="503" t="str">
        <f>IF($G526="","",IF(AND($G526&gt;=30,$AT$3&lt;=AM$7),ROUND(AM526*($AP$3+#REF!),-1),""))</f>
        <v/>
      </c>
      <c r="AO526" s="503" t="e">
        <f>IF(AO525="","",AO525*1.001)</f>
        <v>#REF!</v>
      </c>
      <c r="AP526" s="503" t="str">
        <f>IF($G526="","",IF(AND($G526&gt;=30,$AT$3&lt;=AO$7),ROUND(AO526*($AP$3+#REF!),-1),""))</f>
        <v/>
      </c>
      <c r="AQ526" s="503" t="s">
        <v>621</v>
      </c>
      <c r="AR526" s="503" t="str">
        <f>IF($G526="","",IF(AND($G526&gt;=30,$AT$3&lt;=AQ$7),ROUND(AQ526*($AP$3+#REF!),-1),""))</f>
        <v/>
      </c>
      <c r="AS526" s="503" t="s">
        <v>621</v>
      </c>
      <c r="AT526" s="503" t="str">
        <f>IF($G526="","",IF(AND($G526&gt;=30,$AT$3&lt;=AS$7),ROUND(AS526*($AP$3+#REF!),-1),""))</f>
        <v/>
      </c>
      <c r="AU526" s="503" t="s">
        <v>621</v>
      </c>
      <c r="AV526" s="503" t="str">
        <f>IF($G526="","",IF(AND($G526&gt;=30,$AT$3&lt;=AU$7),ROUND(AU526*($AP$3+#REF!),-1),""))</f>
        <v/>
      </c>
      <c r="AW526" s="503" t="s">
        <v>621</v>
      </c>
      <c r="AX526" s="503" t="str">
        <f>IF($G526="","",IF(AND($G526&gt;=30,$AT$3&lt;=AW$7),ROUND(AW526*($AP$3+#REF!),-1),""))</f>
        <v/>
      </c>
      <c r="AY526" s="503" t="s">
        <v>621</v>
      </c>
      <c r="AZ526" s="503" t="str">
        <f>IF($G526="","",IF(AND($G526&gt;=30,$AT$3&lt;=AY$7),ROUND(AY526*($AP$3+#REF!),-1),""))</f>
        <v/>
      </c>
      <c r="BA526" s="503" t="s">
        <v>621</v>
      </c>
      <c r="BB526" s="503" t="str">
        <f>IF($G526="","",IF(AND($G526&gt;=30,$AT$3&lt;=BA$7),ROUND(BA526*($AP$3+#REF!),-1),""))</f>
        <v/>
      </c>
      <c r="BC526" s="503" t="s">
        <v>621</v>
      </c>
      <c r="BD526" s="503" t="str">
        <f>IF($G526="","",IF(AND($G526&gt;=30,$AT$3&lt;=BC$7),ROUND(BC526*($AP$3+#REF!),-1),""))</f>
        <v/>
      </c>
      <c r="BE526" s="503" t="s">
        <v>621</v>
      </c>
      <c r="BF526" s="503" t="str">
        <f>IF($G526="","",IF(AND($G526&gt;=30,$AT$3&lt;=BE$7),ROUND(BE526*($AP$3+#REF!),-1),""))</f>
        <v/>
      </c>
      <c r="BG526" s="503" t="s">
        <v>621</v>
      </c>
      <c r="BH526" s="503" t="str">
        <f>IF($G526="","",IF(AND($G526&gt;=30,$AT$3&lt;=BG$7),ROUND(BG526*($AP$3+#REF!),-1),""))</f>
        <v/>
      </c>
      <c r="BI526" s="503" t="s">
        <v>621</v>
      </c>
      <c r="BJ526" s="503" t="str">
        <f>IF($G526="","",IF(AND($G526&gt;=30,$AT$3&lt;=BI$7),ROUND(BI526*($AP$3+#REF!),-1),""))</f>
        <v/>
      </c>
      <c r="BK526" s="503" t="s">
        <v>621</v>
      </c>
      <c r="BL526" s="503" t="str">
        <f>IF($G526="","",IF(AND($G526&gt;=30,$AT$3&lt;=BK$7),ROUND(BK526*($AP$3+#REF!),-1),""))</f>
        <v/>
      </c>
      <c r="BM526" s="503" t="s">
        <v>621</v>
      </c>
      <c r="BN526" s="503" t="str">
        <f>IF($G526="","",IF(AND($G526&gt;=30,$AT$3&lt;=BM$7),ROUND(BM526*($AP$3+#REF!),-1),""))</f>
        <v/>
      </c>
      <c r="BO526" s="503" t="s">
        <v>621</v>
      </c>
      <c r="BP526" s="503" t="str">
        <f>IF($G526="","",IF(AND($G526&gt;=30,$AT$3&lt;=BO$7),ROUND(BO526*($AP$3+#REF!),-1),""))</f>
        <v/>
      </c>
      <c r="BQ526" s="503" t="s">
        <v>621</v>
      </c>
      <c r="BR526" s="503" t="str">
        <f>IF($G526="","",IF(AND($G526&gt;=30,$AT$3&lt;=BQ$7),ROUND(BQ526*($AP$3+#REF!),-1),""))</f>
        <v/>
      </c>
      <c r="BS526" s="503" t="s">
        <v>621</v>
      </c>
      <c r="BT526" s="503" t="str">
        <f>IF($G526="","",IF(AND($G526&gt;=30,$AT$3&lt;=BS$7),ROUND(BS526*($AP$3+#REF!),-1),""))</f>
        <v/>
      </c>
      <c r="BU526" s="503" t="s">
        <v>621</v>
      </c>
      <c r="BV526" s="503" t="str">
        <f>IF($G526="","",IF(AND($G526&gt;=30,$AT$3&lt;=BU$7),ROUND(BU526*($AP$3+#REF!),-1),""))</f>
        <v/>
      </c>
      <c r="BW526" s="503" t="s">
        <v>621</v>
      </c>
      <c r="BX526" s="503" t="str">
        <f>IF($G526="","",IF(AND($G526&gt;=30,$AT$3&lt;=BW$7),ROUND(BW526*($AP$3+#REF!),-1),""))</f>
        <v/>
      </c>
      <c r="BY526" s="503" t="s">
        <v>621</v>
      </c>
      <c r="BZ526" s="503" t="str">
        <f>IF($G526="","",IF(AND($G526&gt;=30,$AT$3&lt;=BY$7),ROUND(BY526*($AP$3+#REF!),-1),""))</f>
        <v/>
      </c>
      <c r="CA526" s="503" t="s">
        <v>621</v>
      </c>
      <c r="CB526" s="503" t="str">
        <f>IF($G526="","",IF(AND($G526&gt;=30,$AT$3&lt;=CA$7),ROUND(CA526*($AP$3+#REF!),-1),""))</f>
        <v/>
      </c>
      <c r="CC526" s="503" t="s">
        <v>621</v>
      </c>
      <c r="CD526" s="503" t="str">
        <f>IF($G526="","",IF(AND($G526&gt;=30,$AT$3&lt;=CC$7),ROUND(CC526*($AP$3+#REF!),-1),""))</f>
        <v/>
      </c>
      <c r="CE526" s="503" t="s">
        <v>621</v>
      </c>
      <c r="CF526" s="503" t="str">
        <f>IF($G526="","",IF(AND($G526&gt;=30,$AT$3&lt;=CE$7),ROUND(CE526*($AP$3+#REF!),-1),""))</f>
        <v/>
      </c>
      <c r="CG526" s="503" t="s">
        <v>621</v>
      </c>
      <c r="CH526" s="503" t="str">
        <f>IF($G526="","",IF(AND($G526&gt;=30,$AT$3&lt;=CG$7),ROUND(CG526*($AP$3+#REF!),-1),""))</f>
        <v/>
      </c>
      <c r="CI526" s="503" t="s">
        <v>621</v>
      </c>
      <c r="CJ526" s="503" t="str">
        <f>IF($G526="","",IF(AND($G526&gt;=30,$AT$3&lt;=CI$7),ROUND(CI526*($AP$3+#REF!),-1),""))</f>
        <v/>
      </c>
      <c r="CK526" s="503" t="s">
        <v>621</v>
      </c>
      <c r="CL526" s="503" t="str">
        <f>IF($G526="","",IF(AND($G526&gt;=30,$AT$3&lt;=CK$7),ROUND(CK526*($AP$3+#REF!),-1),""))</f>
        <v/>
      </c>
      <c r="CM526" s="503" t="s">
        <v>621</v>
      </c>
      <c r="CN526" s="503" t="str">
        <f>IF($G526="","",IF(AND($G526&gt;=30,$AT$3&lt;=CM$7),ROUND(CM526*($AP$3+#REF!),-1),""))</f>
        <v/>
      </c>
      <c r="CO526" s="503" t="s">
        <v>621</v>
      </c>
      <c r="CP526" s="503" t="str">
        <f>IF($G526="","",IF(AND($G526&gt;=30,$AT$3&lt;=CO$7),ROUND(CO526*($AP$3+#REF!),-1),""))</f>
        <v/>
      </c>
      <c r="CQ526" s="503" t="s">
        <v>621</v>
      </c>
      <c r="CR526" s="503" t="str">
        <f>IF($G526="","",IF(AND($G526&gt;=30,$AT$3&lt;=CQ$7),ROUND(CQ526*($AP$3+#REF!),-1),""))</f>
        <v/>
      </c>
      <c r="CS526" s="503" t="s">
        <v>621</v>
      </c>
      <c r="CT526" s="503" t="str">
        <f>IF($G526="","",IF(AND($G526&gt;=30,$AT$3&lt;=CS$7),ROUND(CS526*($AP$3+#REF!),-1),""))</f>
        <v/>
      </c>
      <c r="CU526" s="503" t="s">
        <v>621</v>
      </c>
      <c r="CV526" s="503" t="str">
        <f>IF($G526="","",IF(AND($G526&gt;=30,$AT$3&lt;=CU$7),ROUND(CU526*($AP$3+#REF!),-1),""))</f>
        <v/>
      </c>
      <c r="CW526" s="503" t="s">
        <v>621</v>
      </c>
      <c r="CX526" s="503" t="str">
        <f>IF($G526="","",IF(AND($G526&gt;=30,$AT$3&lt;=CW$7),ROUND(CW526*($AP$3+#REF!),-1),""))</f>
        <v/>
      </c>
      <c r="CY526" s="503" t="s">
        <v>621</v>
      </c>
      <c r="CZ526" s="503" t="str">
        <f>IF($G526="","",IF(AND($G526&gt;=30,$AT$3&lt;=CY$7),ROUND(CY526*($AP$3+#REF!),-1),""))</f>
        <v/>
      </c>
      <c r="DA526" s="503" t="s">
        <v>621</v>
      </c>
      <c r="DB526" s="503" t="str">
        <f>IF($G526="","",IF(AND($G526&gt;=30,$AT$3&lt;=DA$7),ROUND(DA526*($AP$3+#REF!),-1),""))</f>
        <v/>
      </c>
      <c r="DC526" s="503" t="s">
        <v>621</v>
      </c>
      <c r="DD526" s="503" t="str">
        <f>IF($G526="","",IF(AND($G526&gt;=30,$AT$3&lt;=DC$7),ROUND(DC526*($AP$3+#REF!),-1),""))</f>
        <v/>
      </c>
      <c r="DE526" s="503" t="s">
        <v>621</v>
      </c>
      <c r="DF526" s="503" t="str">
        <f>IF($G526="","",IF(AND($G526&gt;=30,$AT$3&lt;=DE$7),ROUND(DE526*($AP$3+#REF!),-1),""))</f>
        <v/>
      </c>
      <c r="DG526" s="503" t="s">
        <v>621</v>
      </c>
      <c r="DH526" s="503" t="str">
        <f>IF($G526="","",IF(AND($G526&gt;=30,$AT$3&lt;=DG$7),ROUND(DG526*($AP$3+#REF!),-1),""))</f>
        <v/>
      </c>
      <c r="DI526" s="503" t="s">
        <v>621</v>
      </c>
      <c r="DJ526" s="503" t="str">
        <f>IF($G526="","",IF(AND($G526&gt;=30,$AT$3&lt;=DI$7),ROUND(DI526*($AP$3+#REF!),-1),""))</f>
        <v/>
      </c>
      <c r="DK526" s="503" t="s">
        <v>621</v>
      </c>
      <c r="DL526" s="503" t="str">
        <f>IF($G526="","",IF(AND($G526&gt;=30,$AT$3&lt;=DK$7),ROUND(DK526*($AP$3+#REF!),-1),""))</f>
        <v/>
      </c>
      <c r="DM526" s="503" t="s">
        <v>621</v>
      </c>
      <c r="DN526" s="503" t="str">
        <f>IF($G526="","",IF(AND($G526&gt;=30,$AT$3&lt;=DM$7),ROUND(DM526*($AP$3+#REF!),-1),""))</f>
        <v/>
      </c>
      <c r="DO526" s="517" t="e">
        <v>#REF!</v>
      </c>
      <c r="DP526" s="503" t="str">
        <f>IF($G526="","",IF(AND($G526&gt;=30,$AT$3&lt;=DO$7),ROUND(DO526*($AP$3+#REF!),-1),""))</f>
        <v/>
      </c>
      <c r="DQ526" s="503"/>
      <c r="DR526" s="503" t="str">
        <f>IF($G526="","",IF(AND($G526&gt;=30,$AT$3&lt;=DQ$7),ROUND(DQ526*($AP$3+#REF!),-1),""))</f>
        <v/>
      </c>
      <c r="DS526" s="503"/>
      <c r="DT526" s="503" t="str">
        <f>IF($G526="","",IF(AND($G526&gt;=30,$AT$3&lt;=DS$7),ROUND(DS526*($AP$3+#REF!),-1),""))</f>
        <v/>
      </c>
      <c r="DU526" s="503"/>
      <c r="DV526" s="503" t="str">
        <f>IF($G526="","",IF(AND($G526&gt;=30,$AT$3&lt;=DU$7),ROUND(DU526*($AP$3+#REF!),-1),""))</f>
        <v/>
      </c>
      <c r="DW526" s="503"/>
      <c r="DX526" s="503" t="str">
        <f>IF($G526="","",IF(AND($G526&gt;=30,$AT$3&lt;=DW$7),ROUND(DW526*($AP$3+#REF!),-1),""))</f>
        <v/>
      </c>
      <c r="DY526" s="503"/>
      <c r="DZ526" s="503" t="str">
        <f>IF($G526="","",IF(AND($G526&gt;=30,$AT$3&lt;=DY$7),ROUND(DY526*($AP$3+#REF!),-1),""))</f>
        <v/>
      </c>
      <c r="EA526" s="503"/>
      <c r="EB526" s="503" t="str">
        <f>IF($G526="","",IF(AND($G526&gt;=30,$AT$3&lt;=EA$7),ROUND(EA526*($AP$3+#REF!),-1),""))</f>
        <v/>
      </c>
      <c r="EC526" s="436"/>
      <c r="ED526" s="436"/>
      <c r="EE526" s="394"/>
    </row>
    <row r="527" spans="1:135" ht="9.75" customHeight="1">
      <c r="A527" s="321" t="str">
        <f t="shared" si="124"/>
        <v/>
      </c>
      <c r="B527" s="567">
        <f>(ii!$D$13*12+V527)+1</f>
        <v>421</v>
      </c>
      <c r="C527" s="337">
        <f t="shared" si="128"/>
        <v>58165</v>
      </c>
      <c r="D527" s="484">
        <f t="shared" si="117"/>
        <v>2059</v>
      </c>
      <c r="E527" s="484">
        <f t="shared" si="129"/>
        <v>0.25</v>
      </c>
      <c r="F527" s="484">
        <f t="shared" si="118"/>
        <v>2059.25</v>
      </c>
      <c r="G527" s="485" t="str">
        <f>IF(OR(C527&lt;$I$2,C527&gt;$J$3),"",(ii!$D$13*12+V527+1)/12)</f>
        <v/>
      </c>
      <c r="H527" s="486"/>
      <c r="I527" s="486"/>
      <c r="J527" s="487"/>
      <c r="K527" s="488"/>
      <c r="L527" s="548"/>
      <c r="M527" s="489" t="str">
        <f t="shared" si="119"/>
        <v/>
      </c>
      <c r="N527" s="490" t="s">
        <v>621</v>
      </c>
      <c r="O527" s="490" t="str">
        <f t="shared" si="126"/>
        <v/>
      </c>
      <c r="P527" s="491"/>
      <c r="Q527" s="491"/>
      <c r="R527" s="491" t="str">
        <f t="shared" si="127"/>
        <v/>
      </c>
      <c r="S527" s="528" t="str">
        <f t="shared" si="125"/>
        <v/>
      </c>
      <c r="T527" s="528" t="str">
        <f t="shared" si="123"/>
        <v/>
      </c>
      <c r="U527" s="493" t="str">
        <f>IF(H527="","",#REF!*12+#REF!+#REF!*12+#REF!)</f>
        <v/>
      </c>
      <c r="V527" s="338">
        <f>IF(ii!$J$3&gt;gg!C527,"",IF(AND((YEAR(C527)=YEAR($I$2)),MONTH(C527)=MONTH($I$2)),ii!$B$14*12+ii!$C$14+ii!$B$15*12+ii!$C$15-1,V526+1))</f>
        <v>420</v>
      </c>
      <c r="W527" s="339">
        <f t="shared" si="116"/>
        <v>35</v>
      </c>
      <c r="X527" s="494" t="s">
        <v>621</v>
      </c>
      <c r="Y527" s="495" t="s">
        <v>621</v>
      </c>
      <c r="Z527" s="496"/>
      <c r="AA527" s="497"/>
      <c r="AB527" s="498" t="str">
        <f t="shared" si="122"/>
        <v/>
      </c>
      <c r="AC527" s="484" t="str">
        <f t="shared" si="120"/>
        <v/>
      </c>
      <c r="AD527" s="495" t="str">
        <f t="shared" si="121"/>
        <v/>
      </c>
      <c r="AE527" s="499" t="s">
        <v>621</v>
      </c>
      <c r="AF527" s="500" t="s">
        <v>621</v>
      </c>
      <c r="AG527" s="556" t="s">
        <v>621</v>
      </c>
      <c r="AH527" s="503" t="str">
        <f>IF($G527="","",IF(AND($G527&gt;=30,$AT$3&lt;=AG$7),ROUND(AG527*($AP$3+#REF!),-1),""))</f>
        <v/>
      </c>
      <c r="AI527" s="506" t="s">
        <v>621</v>
      </c>
      <c r="AJ527" s="503" t="str">
        <f>IF($G527="","",IF(AND($G527&gt;=30,$AT$3&lt;=AI$7),ROUND(AI527*($AP$3+#REF!),-1),""))</f>
        <v/>
      </c>
      <c r="AK527" s="506" t="s">
        <v>621</v>
      </c>
      <c r="AL527" s="503" t="str">
        <f>IF($G527="","",IF(AND($G527&gt;=30,$AT$3&lt;=AK$7),ROUND(AK527*($AP$3+#REF!),-1),""))</f>
        <v/>
      </c>
      <c r="AM527" s="506" t="s">
        <v>621</v>
      </c>
      <c r="AN527" s="503" t="str">
        <f>IF($G527="","",IF(AND($G527&gt;=30,$AT$3&lt;=AM$7),ROUND(AM527*($AP$3+#REF!),-1),""))</f>
        <v/>
      </c>
      <c r="AO527" s="503" t="e">
        <v>#REF!</v>
      </c>
      <c r="AP527" s="503" t="str">
        <f>IF($G527="","",IF(AND($G527&gt;=30,$AT$3&lt;=AO$7),ROUND(AO527*($AP$3+#REF!),-1),""))</f>
        <v/>
      </c>
      <c r="AQ527" s="503" t="s">
        <v>621</v>
      </c>
      <c r="AR527" s="503" t="str">
        <f>IF($G527="","",IF(AND($G527&gt;=30,$AT$3&lt;=AQ$7),ROUND(AQ527*($AP$3+#REF!),-1),""))</f>
        <v/>
      </c>
      <c r="AS527" s="503" t="s">
        <v>621</v>
      </c>
      <c r="AT527" s="503" t="str">
        <f>IF($G527="","",IF(AND($G527&gt;=30,$AT$3&lt;=AS$7),ROUND(AS527*($AP$3+#REF!),-1),""))</f>
        <v/>
      </c>
      <c r="AU527" s="503" t="s">
        <v>621</v>
      </c>
      <c r="AV527" s="503" t="str">
        <f>IF($G527="","",IF(AND($G527&gt;=30,$AT$3&lt;=AU$7),ROUND(AU527*($AP$3+#REF!),-1),""))</f>
        <v/>
      </c>
      <c r="AW527" s="503" t="s">
        <v>621</v>
      </c>
      <c r="AX527" s="503" t="str">
        <f>IF($G527="","",IF(AND($G527&gt;=30,$AT$3&lt;=AW$7),ROUND(AW527*($AP$3+#REF!),-1),""))</f>
        <v/>
      </c>
      <c r="AY527" s="503" t="s">
        <v>621</v>
      </c>
      <c r="AZ527" s="503" t="str">
        <f>IF($G527="","",IF(AND($G527&gt;=30,$AT$3&lt;=AY$7),ROUND(AY527*($AP$3+#REF!),-1),""))</f>
        <v/>
      </c>
      <c r="BA527" s="503" t="s">
        <v>621</v>
      </c>
      <c r="BB527" s="503" t="str">
        <f>IF($G527="","",IF(AND($G527&gt;=30,$AT$3&lt;=BA$7),ROUND(BA527*($AP$3+#REF!),-1),""))</f>
        <v/>
      </c>
      <c r="BC527" s="503" t="s">
        <v>621</v>
      </c>
      <c r="BD527" s="503" t="str">
        <f>IF($G527="","",IF(AND($G527&gt;=30,$AT$3&lt;=BC$7),ROUND(BC527*($AP$3+#REF!),-1),""))</f>
        <v/>
      </c>
      <c r="BE527" s="503" t="s">
        <v>621</v>
      </c>
      <c r="BF527" s="503" t="str">
        <f>IF($G527="","",IF(AND($G527&gt;=30,$AT$3&lt;=BE$7),ROUND(BE527*($AP$3+#REF!),-1),""))</f>
        <v/>
      </c>
      <c r="BG527" s="503" t="s">
        <v>621</v>
      </c>
      <c r="BH527" s="503" t="str">
        <f>IF($G527="","",IF(AND($G527&gt;=30,$AT$3&lt;=BG$7),ROUND(BG527*($AP$3+#REF!),-1),""))</f>
        <v/>
      </c>
      <c r="BI527" s="503" t="s">
        <v>621</v>
      </c>
      <c r="BJ527" s="503" t="str">
        <f>IF($G527="","",IF(AND($G527&gt;=30,$AT$3&lt;=BI$7),ROUND(BI527*($AP$3+#REF!),-1),""))</f>
        <v/>
      </c>
      <c r="BK527" s="503" t="s">
        <v>621</v>
      </c>
      <c r="BL527" s="503" t="str">
        <f>IF($G527="","",IF(AND($G527&gt;=30,$AT$3&lt;=BK$7),ROUND(BK527*($AP$3+#REF!),-1),""))</f>
        <v/>
      </c>
      <c r="BM527" s="503" t="s">
        <v>621</v>
      </c>
      <c r="BN527" s="503" t="str">
        <f>IF($G527="","",IF(AND($G527&gt;=30,$AT$3&lt;=BM$7),ROUND(BM527*($AP$3+#REF!),-1),""))</f>
        <v/>
      </c>
      <c r="BO527" s="503" t="s">
        <v>621</v>
      </c>
      <c r="BP527" s="503" t="str">
        <f>IF($G527="","",IF(AND($G527&gt;=30,$AT$3&lt;=BO$7),ROUND(BO527*($AP$3+#REF!),-1),""))</f>
        <v/>
      </c>
      <c r="BQ527" s="503" t="s">
        <v>621</v>
      </c>
      <c r="BR527" s="503" t="str">
        <f>IF($G527="","",IF(AND($G527&gt;=30,$AT$3&lt;=BQ$7),ROUND(BQ527*($AP$3+#REF!),-1),""))</f>
        <v/>
      </c>
      <c r="BS527" s="503" t="s">
        <v>621</v>
      </c>
      <c r="BT527" s="503" t="str">
        <f>IF($G527="","",IF(AND($G527&gt;=30,$AT$3&lt;=BS$7),ROUND(BS527*($AP$3+#REF!),-1),""))</f>
        <v/>
      </c>
      <c r="BU527" s="503" t="s">
        <v>621</v>
      </c>
      <c r="BV527" s="503" t="str">
        <f>IF($G527="","",IF(AND($G527&gt;=30,$AT$3&lt;=BU$7),ROUND(BU527*($AP$3+#REF!),-1),""))</f>
        <v/>
      </c>
      <c r="BW527" s="503" t="s">
        <v>621</v>
      </c>
      <c r="BX527" s="503" t="str">
        <f>IF($G527="","",IF(AND($G527&gt;=30,$AT$3&lt;=BW$7),ROUND(BW527*($AP$3+#REF!),-1),""))</f>
        <v/>
      </c>
      <c r="BY527" s="503" t="s">
        <v>621</v>
      </c>
      <c r="BZ527" s="503" t="str">
        <f>IF($G527="","",IF(AND($G527&gt;=30,$AT$3&lt;=BY$7),ROUND(BY527*($AP$3+#REF!),-1),""))</f>
        <v/>
      </c>
      <c r="CA527" s="503" t="s">
        <v>621</v>
      </c>
      <c r="CB527" s="503" t="str">
        <f>IF($G527="","",IF(AND($G527&gt;=30,$AT$3&lt;=CA$7),ROUND(CA527*($AP$3+#REF!),-1),""))</f>
        <v/>
      </c>
      <c r="CC527" s="503" t="s">
        <v>621</v>
      </c>
      <c r="CD527" s="503" t="str">
        <f>IF($G527="","",IF(AND($G527&gt;=30,$AT$3&lt;=CC$7),ROUND(CC527*($AP$3+#REF!),-1),""))</f>
        <v/>
      </c>
      <c r="CE527" s="503" t="s">
        <v>621</v>
      </c>
      <c r="CF527" s="503" t="str">
        <f>IF($G527="","",IF(AND($G527&gt;=30,$AT$3&lt;=CE$7),ROUND(CE527*($AP$3+#REF!),-1),""))</f>
        <v/>
      </c>
      <c r="CG527" s="503" t="s">
        <v>621</v>
      </c>
      <c r="CH527" s="503" t="str">
        <f>IF($G527="","",IF(AND($G527&gt;=30,$AT$3&lt;=CG$7),ROUND(CG527*($AP$3+#REF!),-1),""))</f>
        <v/>
      </c>
      <c r="CI527" s="503" t="s">
        <v>621</v>
      </c>
      <c r="CJ527" s="503" t="str">
        <f>IF($G527="","",IF(AND($G527&gt;=30,$AT$3&lt;=CI$7),ROUND(CI527*($AP$3+#REF!),-1),""))</f>
        <v/>
      </c>
      <c r="CK527" s="503" t="s">
        <v>621</v>
      </c>
      <c r="CL527" s="503" t="str">
        <f>IF($G527="","",IF(AND($G527&gt;=30,$AT$3&lt;=CK$7),ROUND(CK527*($AP$3+#REF!),-1),""))</f>
        <v/>
      </c>
      <c r="CM527" s="503" t="s">
        <v>621</v>
      </c>
      <c r="CN527" s="503" t="str">
        <f>IF($G527="","",IF(AND($G527&gt;=30,$AT$3&lt;=CM$7),ROUND(CM527*($AP$3+#REF!),-1),""))</f>
        <v/>
      </c>
      <c r="CO527" s="503" t="s">
        <v>621</v>
      </c>
      <c r="CP527" s="503" t="str">
        <f>IF($G527="","",IF(AND($G527&gt;=30,$AT$3&lt;=CO$7),ROUND(CO527*($AP$3+#REF!),-1),""))</f>
        <v/>
      </c>
      <c r="CQ527" s="503" t="s">
        <v>621</v>
      </c>
      <c r="CR527" s="503" t="str">
        <f>IF($G527="","",IF(AND($G527&gt;=30,$AT$3&lt;=CQ$7),ROUND(CQ527*($AP$3+#REF!),-1),""))</f>
        <v/>
      </c>
      <c r="CS527" s="503" t="s">
        <v>621</v>
      </c>
      <c r="CT527" s="503" t="str">
        <f>IF($G527="","",IF(AND($G527&gt;=30,$AT$3&lt;=CS$7),ROUND(CS527*($AP$3+#REF!),-1),""))</f>
        <v/>
      </c>
      <c r="CU527" s="503" t="s">
        <v>621</v>
      </c>
      <c r="CV527" s="503" t="str">
        <f>IF($G527="","",IF(AND($G527&gt;=30,$AT$3&lt;=CU$7),ROUND(CU527*($AP$3+#REF!),-1),""))</f>
        <v/>
      </c>
      <c r="CW527" s="503" t="s">
        <v>621</v>
      </c>
      <c r="CX527" s="503" t="str">
        <f>IF($G527="","",IF(AND($G527&gt;=30,$AT$3&lt;=CW$7),ROUND(CW527*($AP$3+#REF!),-1),""))</f>
        <v/>
      </c>
      <c r="CY527" s="503" t="s">
        <v>621</v>
      </c>
      <c r="CZ527" s="503" t="str">
        <f>IF($G527="","",IF(AND($G527&gt;=30,$AT$3&lt;=CY$7),ROUND(CY527*($AP$3+#REF!),-1),""))</f>
        <v/>
      </c>
      <c r="DA527" s="503" t="s">
        <v>621</v>
      </c>
      <c r="DB527" s="503" t="str">
        <f>IF($G527="","",IF(AND($G527&gt;=30,$AT$3&lt;=DA$7),ROUND(DA527*($AP$3+#REF!),-1),""))</f>
        <v/>
      </c>
      <c r="DC527" s="503" t="s">
        <v>621</v>
      </c>
      <c r="DD527" s="503" t="str">
        <f>IF($G527="","",IF(AND($G527&gt;=30,$AT$3&lt;=DC$7),ROUND(DC527*($AP$3+#REF!),-1),""))</f>
        <v/>
      </c>
      <c r="DE527" s="503" t="s">
        <v>621</v>
      </c>
      <c r="DF527" s="503" t="str">
        <f>IF($G527="","",IF(AND($G527&gt;=30,$AT$3&lt;=DE$7),ROUND(DE527*($AP$3+#REF!),-1),""))</f>
        <v/>
      </c>
      <c r="DG527" s="503" t="s">
        <v>621</v>
      </c>
      <c r="DH527" s="503" t="str">
        <f>IF($G527="","",IF(AND($G527&gt;=30,$AT$3&lt;=DG$7),ROUND(DG527*($AP$3+#REF!),-1),""))</f>
        <v/>
      </c>
      <c r="DI527" s="503" t="s">
        <v>621</v>
      </c>
      <c r="DJ527" s="503" t="str">
        <f>IF($G527="","",IF(AND($G527&gt;=30,$AT$3&lt;=DI$7),ROUND(DI527*($AP$3+#REF!),-1),""))</f>
        <v/>
      </c>
      <c r="DK527" s="503" t="s">
        <v>621</v>
      </c>
      <c r="DL527" s="503" t="str">
        <f>IF($G527="","",IF(AND($G527&gt;=30,$AT$3&lt;=DK$7),ROUND(DK527*($AP$3+#REF!),-1),""))</f>
        <v/>
      </c>
      <c r="DM527" s="503" t="s">
        <v>621</v>
      </c>
      <c r="DN527" s="503" t="str">
        <f>IF($G527="","",IF(AND($G527&gt;=30,$AT$3&lt;=DM$7),ROUND(DM527*($AP$3+#REF!),-1),""))</f>
        <v/>
      </c>
      <c r="DO527" s="517" t="e">
        <v>#REF!</v>
      </c>
      <c r="DP527" s="503" t="str">
        <f>IF($G527="","",IF(AND($G527&gt;=30,$AT$3&lt;=DO$7),ROUND(DO527*($AP$3+#REF!),-1),""))</f>
        <v/>
      </c>
      <c r="DQ527" s="503"/>
      <c r="DR527" s="503" t="str">
        <f>IF($G527="","",IF(AND($G527&gt;=30,$AT$3&lt;=DQ$7),ROUND(DQ527*($AP$3+#REF!),-1),""))</f>
        <v/>
      </c>
      <c r="DS527" s="503"/>
      <c r="DT527" s="503" t="str">
        <f>IF($G527="","",IF(AND($G527&gt;=30,$AT$3&lt;=DS$7),ROUND(DS527*($AP$3+#REF!),-1),""))</f>
        <v/>
      </c>
      <c r="DU527" s="503"/>
      <c r="DV527" s="503" t="str">
        <f>IF($G527="","",IF(AND($G527&gt;=30,$AT$3&lt;=DU$7),ROUND(DU527*($AP$3+#REF!),-1),""))</f>
        <v/>
      </c>
      <c r="DW527" s="503"/>
      <c r="DX527" s="503" t="str">
        <f>IF($G527="","",IF(AND($G527&gt;=30,$AT$3&lt;=DW$7),ROUND(DW527*($AP$3+#REF!),-1),""))</f>
        <v/>
      </c>
      <c r="DY527" s="503"/>
      <c r="DZ527" s="503" t="str">
        <f>IF($G527="","",IF(AND($G527&gt;=30,$AT$3&lt;=DY$7),ROUND(DY527*($AP$3+#REF!),-1),""))</f>
        <v/>
      </c>
      <c r="EA527" s="503"/>
      <c r="EB527" s="503" t="str">
        <f>IF($G527="","",IF(AND($G527&gt;=30,$AT$3&lt;=EA$7),ROUND(EA527*($AP$3+#REF!),-1),""))</f>
        <v/>
      </c>
      <c r="EC527" s="436"/>
      <c r="ED527" s="436"/>
      <c r="EE527" s="394"/>
    </row>
    <row r="528" spans="1:135" ht="9.75" customHeight="1">
      <c r="A528" s="321" t="str">
        <f t="shared" si="124"/>
        <v/>
      </c>
      <c r="B528" s="567">
        <f>(ii!$D$13*12+V528)+1</f>
        <v>422</v>
      </c>
      <c r="C528" s="337">
        <f t="shared" si="128"/>
        <v>58195</v>
      </c>
      <c r="D528" s="484">
        <f t="shared" si="117"/>
        <v>2059</v>
      </c>
      <c r="E528" s="484">
        <f t="shared" si="129"/>
        <v>0.33333333333333331</v>
      </c>
      <c r="F528" s="484">
        <f t="shared" si="118"/>
        <v>2059.3333333333335</v>
      </c>
      <c r="G528" s="485" t="str">
        <f>IF(OR(C528&lt;$I$2,C528&gt;$J$3),"",(ii!$D$13*12+V528+1)/12)</f>
        <v/>
      </c>
      <c r="H528" s="486"/>
      <c r="I528" s="486"/>
      <c r="J528" s="487"/>
      <c r="K528" s="488"/>
      <c r="L528" s="548"/>
      <c r="M528" s="489" t="str">
        <f t="shared" si="119"/>
        <v/>
      </c>
      <c r="N528" s="490" t="s">
        <v>621</v>
      </c>
      <c r="O528" s="490" t="str">
        <f t="shared" si="126"/>
        <v/>
      </c>
      <c r="P528" s="491"/>
      <c r="Q528" s="491"/>
      <c r="R528" s="491" t="str">
        <f t="shared" si="127"/>
        <v/>
      </c>
      <c r="S528" s="528" t="str">
        <f t="shared" si="125"/>
        <v/>
      </c>
      <c r="T528" s="528" t="str">
        <f t="shared" si="123"/>
        <v/>
      </c>
      <c r="U528" s="493" t="str">
        <f>IF(H528="","",#REF!*12+#REF!+#REF!*12+#REF!)</f>
        <v/>
      </c>
      <c r="V528" s="338">
        <f>IF(ii!$J$3&gt;gg!C528,"",IF(AND((YEAR(C528)=YEAR($I$2)),MONTH(C528)=MONTH($I$2)),ii!$B$14*12+ii!$C$14+ii!$B$15*12+ii!$C$15-1,V527+1))</f>
        <v>421</v>
      </c>
      <c r="W528" s="339">
        <f t="shared" si="116"/>
        <v>35.083333333333336</v>
      </c>
      <c r="X528" s="494" t="s">
        <v>621</v>
      </c>
      <c r="Y528" s="495" t="s">
        <v>621</v>
      </c>
      <c r="Z528" s="496"/>
      <c r="AA528" s="497"/>
      <c r="AB528" s="498" t="str">
        <f t="shared" si="122"/>
        <v/>
      </c>
      <c r="AC528" s="484" t="str">
        <f t="shared" si="120"/>
        <v/>
      </c>
      <c r="AD528" s="495" t="str">
        <f t="shared" si="121"/>
        <v/>
      </c>
      <c r="AE528" s="499" t="s">
        <v>621</v>
      </c>
      <c r="AF528" s="500" t="s">
        <v>621</v>
      </c>
      <c r="AG528" s="556" t="s">
        <v>621</v>
      </c>
      <c r="AH528" s="503" t="str">
        <f>IF($G528="","",IF(AND($G528&gt;=30,$AT$3&lt;=AG$7),ROUND(AG528*($AP$3+#REF!),-1),""))</f>
        <v/>
      </c>
      <c r="AI528" s="506" t="s">
        <v>621</v>
      </c>
      <c r="AJ528" s="503" t="str">
        <f>IF($G528="","",IF(AND($G528&gt;=30,$AT$3&lt;=AI$7),ROUND(AI528*($AP$3+#REF!),-1),""))</f>
        <v/>
      </c>
      <c r="AK528" s="506" t="s">
        <v>621</v>
      </c>
      <c r="AL528" s="503" t="str">
        <f>IF($G528="","",IF(AND($G528&gt;=30,$AT$3&lt;=AK$7),ROUND(AK528*($AP$3+#REF!),-1),""))</f>
        <v/>
      </c>
      <c r="AM528" s="506" t="s">
        <v>621</v>
      </c>
      <c r="AN528" s="503" t="str">
        <f>IF($G528="","",IF(AND($G528&gt;=30,$AT$3&lt;=AM$7),ROUND(AM528*($AP$3+#REF!),-1),""))</f>
        <v/>
      </c>
      <c r="AO528" s="503" t="e">
        <v>#REF!</v>
      </c>
      <c r="AP528" s="503" t="str">
        <f>IF($G528="","",IF(AND($G528&gt;=30,$AT$3&lt;=AO$7),ROUND(AO528*($AP$3+#REF!),-1),""))</f>
        <v/>
      </c>
      <c r="AQ528" s="503" t="s">
        <v>621</v>
      </c>
      <c r="AR528" s="503" t="str">
        <f>IF($G528="","",IF(AND($G528&gt;=30,$AT$3&lt;=AQ$7),ROUND(AQ528*($AP$3+#REF!),-1),""))</f>
        <v/>
      </c>
      <c r="AS528" s="503" t="s">
        <v>621</v>
      </c>
      <c r="AT528" s="503" t="str">
        <f>IF($G528="","",IF(AND($G528&gt;=30,$AT$3&lt;=AS$7),ROUND(AS528*($AP$3+#REF!),-1),""))</f>
        <v/>
      </c>
      <c r="AU528" s="503" t="s">
        <v>621</v>
      </c>
      <c r="AV528" s="503" t="str">
        <f>IF($G528="","",IF(AND($G528&gt;=30,$AT$3&lt;=AU$7),ROUND(AU528*($AP$3+#REF!),-1),""))</f>
        <v/>
      </c>
      <c r="AW528" s="503" t="s">
        <v>621</v>
      </c>
      <c r="AX528" s="503" t="str">
        <f>IF($G528="","",IF(AND($G528&gt;=30,$AT$3&lt;=AW$7),ROUND(AW528*($AP$3+#REF!),-1),""))</f>
        <v/>
      </c>
      <c r="AY528" s="503" t="s">
        <v>621</v>
      </c>
      <c r="AZ528" s="503" t="str">
        <f>IF($G528="","",IF(AND($G528&gt;=30,$AT$3&lt;=AY$7),ROUND(AY528*($AP$3+#REF!),-1),""))</f>
        <v/>
      </c>
      <c r="BA528" s="503" t="s">
        <v>621</v>
      </c>
      <c r="BB528" s="503" t="str">
        <f>IF($G528="","",IF(AND($G528&gt;=30,$AT$3&lt;=BA$7),ROUND(BA528*($AP$3+#REF!),-1),""))</f>
        <v/>
      </c>
      <c r="BC528" s="503" t="s">
        <v>621</v>
      </c>
      <c r="BD528" s="503" t="str">
        <f>IF($G528="","",IF(AND($G528&gt;=30,$AT$3&lt;=BC$7),ROUND(BC528*($AP$3+#REF!),-1),""))</f>
        <v/>
      </c>
      <c r="BE528" s="503" t="s">
        <v>621</v>
      </c>
      <c r="BF528" s="503" t="str">
        <f>IF($G528="","",IF(AND($G528&gt;=30,$AT$3&lt;=BE$7),ROUND(BE528*($AP$3+#REF!),-1),""))</f>
        <v/>
      </c>
      <c r="BG528" s="503" t="s">
        <v>621</v>
      </c>
      <c r="BH528" s="503" t="str">
        <f>IF($G528="","",IF(AND($G528&gt;=30,$AT$3&lt;=BG$7),ROUND(BG528*($AP$3+#REF!),-1),""))</f>
        <v/>
      </c>
      <c r="BI528" s="503" t="s">
        <v>621</v>
      </c>
      <c r="BJ528" s="503" t="str">
        <f>IF($G528="","",IF(AND($G528&gt;=30,$AT$3&lt;=BI$7),ROUND(BI528*($AP$3+#REF!),-1),""))</f>
        <v/>
      </c>
      <c r="BK528" s="503" t="s">
        <v>621</v>
      </c>
      <c r="BL528" s="503" t="str">
        <f>IF($G528="","",IF(AND($G528&gt;=30,$AT$3&lt;=BK$7),ROUND(BK528*($AP$3+#REF!),-1),""))</f>
        <v/>
      </c>
      <c r="BM528" s="503" t="s">
        <v>621</v>
      </c>
      <c r="BN528" s="503" t="str">
        <f>IF($G528="","",IF(AND($G528&gt;=30,$AT$3&lt;=BM$7),ROUND(BM528*($AP$3+#REF!),-1),""))</f>
        <v/>
      </c>
      <c r="BO528" s="503" t="s">
        <v>621</v>
      </c>
      <c r="BP528" s="503" t="str">
        <f>IF($G528="","",IF(AND($G528&gt;=30,$AT$3&lt;=BO$7),ROUND(BO528*($AP$3+#REF!),-1),""))</f>
        <v/>
      </c>
      <c r="BQ528" s="503" t="s">
        <v>621</v>
      </c>
      <c r="BR528" s="503" t="str">
        <f>IF($G528="","",IF(AND($G528&gt;=30,$AT$3&lt;=BQ$7),ROUND(BQ528*($AP$3+#REF!),-1),""))</f>
        <v/>
      </c>
      <c r="BS528" s="503" t="s">
        <v>621</v>
      </c>
      <c r="BT528" s="503" t="str">
        <f>IF($G528="","",IF(AND($G528&gt;=30,$AT$3&lt;=BS$7),ROUND(BS528*($AP$3+#REF!),-1),""))</f>
        <v/>
      </c>
      <c r="BU528" s="503" t="s">
        <v>621</v>
      </c>
      <c r="BV528" s="503" t="str">
        <f>IF($G528="","",IF(AND($G528&gt;=30,$AT$3&lt;=BU$7),ROUND(BU528*($AP$3+#REF!),-1),""))</f>
        <v/>
      </c>
      <c r="BW528" s="503" t="s">
        <v>621</v>
      </c>
      <c r="BX528" s="503" t="str">
        <f>IF($G528="","",IF(AND($G528&gt;=30,$AT$3&lt;=BW$7),ROUND(BW528*($AP$3+#REF!),-1),""))</f>
        <v/>
      </c>
      <c r="BY528" s="503" t="s">
        <v>621</v>
      </c>
      <c r="BZ528" s="503" t="str">
        <f>IF($G528="","",IF(AND($G528&gt;=30,$AT$3&lt;=BY$7),ROUND(BY528*($AP$3+#REF!),-1),""))</f>
        <v/>
      </c>
      <c r="CA528" s="503" t="s">
        <v>621</v>
      </c>
      <c r="CB528" s="503" t="str">
        <f>IF($G528="","",IF(AND($G528&gt;=30,$AT$3&lt;=CA$7),ROUND(CA528*($AP$3+#REF!),-1),""))</f>
        <v/>
      </c>
      <c r="CC528" s="503" t="s">
        <v>621</v>
      </c>
      <c r="CD528" s="503" t="str">
        <f>IF($G528="","",IF(AND($G528&gt;=30,$AT$3&lt;=CC$7),ROUND(CC528*($AP$3+#REF!),-1),""))</f>
        <v/>
      </c>
      <c r="CE528" s="503" t="s">
        <v>621</v>
      </c>
      <c r="CF528" s="503" t="str">
        <f>IF($G528="","",IF(AND($G528&gt;=30,$AT$3&lt;=CE$7),ROUND(CE528*($AP$3+#REF!),-1),""))</f>
        <v/>
      </c>
      <c r="CG528" s="503" t="s">
        <v>621</v>
      </c>
      <c r="CH528" s="503" t="str">
        <f>IF($G528="","",IF(AND($G528&gt;=30,$AT$3&lt;=CG$7),ROUND(CG528*($AP$3+#REF!),-1),""))</f>
        <v/>
      </c>
      <c r="CI528" s="503" t="s">
        <v>621</v>
      </c>
      <c r="CJ528" s="503" t="str">
        <f>IF($G528="","",IF(AND($G528&gt;=30,$AT$3&lt;=CI$7),ROUND(CI528*($AP$3+#REF!),-1),""))</f>
        <v/>
      </c>
      <c r="CK528" s="503" t="s">
        <v>621</v>
      </c>
      <c r="CL528" s="503" t="str">
        <f>IF($G528="","",IF(AND($G528&gt;=30,$AT$3&lt;=CK$7),ROUND(CK528*($AP$3+#REF!),-1),""))</f>
        <v/>
      </c>
      <c r="CM528" s="503" t="s">
        <v>621</v>
      </c>
      <c r="CN528" s="503" t="str">
        <f>IF($G528="","",IF(AND($G528&gt;=30,$AT$3&lt;=CM$7),ROUND(CM528*($AP$3+#REF!),-1),""))</f>
        <v/>
      </c>
      <c r="CO528" s="503" t="s">
        <v>621</v>
      </c>
      <c r="CP528" s="503" t="str">
        <f>IF($G528="","",IF(AND($G528&gt;=30,$AT$3&lt;=CO$7),ROUND(CO528*($AP$3+#REF!),-1),""))</f>
        <v/>
      </c>
      <c r="CQ528" s="503" t="s">
        <v>621</v>
      </c>
      <c r="CR528" s="503" t="str">
        <f>IF($G528="","",IF(AND($G528&gt;=30,$AT$3&lt;=CQ$7),ROUND(CQ528*($AP$3+#REF!),-1),""))</f>
        <v/>
      </c>
      <c r="CS528" s="503" t="s">
        <v>621</v>
      </c>
      <c r="CT528" s="503" t="str">
        <f>IF($G528="","",IF(AND($G528&gt;=30,$AT$3&lt;=CS$7),ROUND(CS528*($AP$3+#REF!),-1),""))</f>
        <v/>
      </c>
      <c r="CU528" s="503" t="s">
        <v>621</v>
      </c>
      <c r="CV528" s="503" t="str">
        <f>IF($G528="","",IF(AND($G528&gt;=30,$AT$3&lt;=CU$7),ROUND(CU528*($AP$3+#REF!),-1),""))</f>
        <v/>
      </c>
      <c r="CW528" s="503" t="s">
        <v>621</v>
      </c>
      <c r="CX528" s="503" t="str">
        <f>IF($G528="","",IF(AND($G528&gt;=30,$AT$3&lt;=CW$7),ROUND(CW528*($AP$3+#REF!),-1),""))</f>
        <v/>
      </c>
      <c r="CY528" s="503" t="s">
        <v>621</v>
      </c>
      <c r="CZ528" s="503" t="str">
        <f>IF($G528="","",IF(AND($G528&gt;=30,$AT$3&lt;=CY$7),ROUND(CY528*($AP$3+#REF!),-1),""))</f>
        <v/>
      </c>
      <c r="DA528" s="503" t="s">
        <v>621</v>
      </c>
      <c r="DB528" s="503" t="str">
        <f>IF($G528="","",IF(AND($G528&gt;=30,$AT$3&lt;=DA$7),ROUND(DA528*($AP$3+#REF!),-1),""))</f>
        <v/>
      </c>
      <c r="DC528" s="503" t="s">
        <v>621</v>
      </c>
      <c r="DD528" s="503" t="str">
        <f>IF($G528="","",IF(AND($G528&gt;=30,$AT$3&lt;=DC$7),ROUND(DC528*($AP$3+#REF!),-1),""))</f>
        <v/>
      </c>
      <c r="DE528" s="503" t="s">
        <v>621</v>
      </c>
      <c r="DF528" s="503" t="str">
        <f>IF($G528="","",IF(AND($G528&gt;=30,$AT$3&lt;=DE$7),ROUND(DE528*($AP$3+#REF!),-1),""))</f>
        <v/>
      </c>
      <c r="DG528" s="503" t="s">
        <v>621</v>
      </c>
      <c r="DH528" s="503" t="str">
        <f>IF($G528="","",IF(AND($G528&gt;=30,$AT$3&lt;=DG$7),ROUND(DG528*($AP$3+#REF!),-1),""))</f>
        <v/>
      </c>
      <c r="DI528" s="503" t="s">
        <v>621</v>
      </c>
      <c r="DJ528" s="503" t="str">
        <f>IF($G528="","",IF(AND($G528&gt;=30,$AT$3&lt;=DI$7),ROUND(DI528*($AP$3+#REF!),-1),""))</f>
        <v/>
      </c>
      <c r="DK528" s="503" t="s">
        <v>621</v>
      </c>
      <c r="DL528" s="503" t="str">
        <f>IF($G528="","",IF(AND($G528&gt;=30,$AT$3&lt;=DK$7),ROUND(DK528*($AP$3+#REF!),-1),""))</f>
        <v/>
      </c>
      <c r="DM528" s="503" t="s">
        <v>621</v>
      </c>
      <c r="DN528" s="503" t="str">
        <f>IF($G528="","",IF(AND($G528&gt;=30,$AT$3&lt;=DM$7),ROUND(DM528*($AP$3+#REF!),-1),""))</f>
        <v/>
      </c>
      <c r="DO528" s="517" t="e">
        <v>#REF!</v>
      </c>
      <c r="DP528" s="503" t="str">
        <f>IF($G528="","",IF(AND($G528&gt;=30,$AT$3&lt;=DO$7),ROUND(DO528*($AP$3+#REF!),-1),""))</f>
        <v/>
      </c>
      <c r="DQ528" s="503"/>
      <c r="DR528" s="503" t="str">
        <f>IF($G528="","",IF(AND($G528&gt;=30,$AT$3&lt;=DQ$7),ROUND(DQ528*($AP$3+#REF!),-1),""))</f>
        <v/>
      </c>
      <c r="DS528" s="503"/>
      <c r="DT528" s="503" t="str">
        <f>IF($G528="","",IF(AND($G528&gt;=30,$AT$3&lt;=DS$7),ROUND(DS528*($AP$3+#REF!),-1),""))</f>
        <v/>
      </c>
      <c r="DU528" s="503"/>
      <c r="DV528" s="503" t="str">
        <f>IF($G528="","",IF(AND($G528&gt;=30,$AT$3&lt;=DU$7),ROUND(DU528*($AP$3+#REF!),-1),""))</f>
        <v/>
      </c>
      <c r="DW528" s="503"/>
      <c r="DX528" s="503" t="str">
        <f>IF($G528="","",IF(AND($G528&gt;=30,$AT$3&lt;=DW$7),ROUND(DW528*($AP$3+#REF!),-1),""))</f>
        <v/>
      </c>
      <c r="DY528" s="503"/>
      <c r="DZ528" s="503" t="str">
        <f>IF($G528="","",IF(AND($G528&gt;=30,$AT$3&lt;=DY$7),ROUND(DY528*($AP$3+#REF!),-1),""))</f>
        <v/>
      </c>
      <c r="EA528" s="503"/>
      <c r="EB528" s="503" t="str">
        <f>IF($G528="","",IF(AND($G528&gt;=30,$AT$3&lt;=EA$7),ROUND(EA528*($AP$3+#REF!),-1),""))</f>
        <v/>
      </c>
      <c r="EC528" s="436"/>
      <c r="ED528" s="436"/>
      <c r="EE528" s="394"/>
    </row>
    <row r="529" spans="1:135" ht="9.75" customHeight="1">
      <c r="A529" s="321" t="str">
        <f t="shared" si="124"/>
        <v/>
      </c>
      <c r="B529" s="567">
        <f>(ii!$D$13*12+V529)+1</f>
        <v>423</v>
      </c>
      <c r="C529" s="337">
        <f t="shared" si="128"/>
        <v>58226</v>
      </c>
      <c r="D529" s="484">
        <f t="shared" si="117"/>
        <v>2059</v>
      </c>
      <c r="E529" s="484">
        <f t="shared" si="129"/>
        <v>0.41666666666666669</v>
      </c>
      <c r="F529" s="484">
        <f t="shared" si="118"/>
        <v>2059.4166666666665</v>
      </c>
      <c r="G529" s="485" t="str">
        <f>IF(OR(C529&lt;$I$2,C529&gt;$J$3),"",(ii!$D$13*12+V529+1)/12)</f>
        <v/>
      </c>
      <c r="H529" s="486"/>
      <c r="I529" s="486"/>
      <c r="J529" s="507"/>
      <c r="K529" s="508"/>
      <c r="L529" s="548"/>
      <c r="M529" s="489" t="str">
        <f t="shared" si="119"/>
        <v/>
      </c>
      <c r="N529" s="490" t="s">
        <v>621</v>
      </c>
      <c r="O529" s="490" t="str">
        <f t="shared" si="126"/>
        <v/>
      </c>
      <c r="P529" s="507"/>
      <c r="Q529" s="507"/>
      <c r="R529" s="491" t="str">
        <f t="shared" si="127"/>
        <v/>
      </c>
      <c r="S529" s="528" t="str">
        <f t="shared" si="125"/>
        <v/>
      </c>
      <c r="T529" s="528" t="str">
        <f t="shared" si="123"/>
        <v/>
      </c>
      <c r="U529" s="493" t="str">
        <f>IF(H529="","",#REF!*12+#REF!+#REF!*12+#REF!)</f>
        <v/>
      </c>
      <c r="V529" s="338">
        <f>IF(ii!$J$3&gt;gg!C529,"",IF(AND((YEAR(C529)=YEAR($I$2)),MONTH(C529)=MONTH($I$2)),ii!$B$14*12+ii!$C$14+ii!$B$15*12+ii!$C$15-1,V528+1))</f>
        <v>422</v>
      </c>
      <c r="W529" s="339">
        <f t="shared" si="116"/>
        <v>35.166666666666664</v>
      </c>
      <c r="X529" s="494" t="s">
        <v>621</v>
      </c>
      <c r="Y529" s="495" t="s">
        <v>621</v>
      </c>
      <c r="Z529" s="496"/>
      <c r="AA529" s="497"/>
      <c r="AB529" s="498" t="str">
        <f t="shared" si="122"/>
        <v/>
      </c>
      <c r="AC529" s="484" t="str">
        <f t="shared" si="120"/>
        <v/>
      </c>
      <c r="AD529" s="495" t="str">
        <f t="shared" si="121"/>
        <v/>
      </c>
      <c r="AE529" s="499" t="s">
        <v>621</v>
      </c>
      <c r="AF529" s="500" t="s">
        <v>621</v>
      </c>
      <c r="AG529" s="556" t="s">
        <v>621</v>
      </c>
      <c r="AH529" s="503" t="str">
        <f>IF($G529="","",IF(AND($G529&gt;=30,$AT$3&lt;=AG$7),ROUND(AG529*($AP$3+#REF!),-1),""))</f>
        <v/>
      </c>
      <c r="AI529" s="506" t="s">
        <v>621</v>
      </c>
      <c r="AJ529" s="503" t="str">
        <f>IF($G529="","",IF(AND($G529&gt;=30,$AT$3&lt;=AI$7),ROUND(AI529*($AP$3+#REF!),-1),""))</f>
        <v/>
      </c>
      <c r="AK529" s="506" t="s">
        <v>621</v>
      </c>
      <c r="AL529" s="503" t="str">
        <f>IF($G529="","",IF(AND($G529&gt;=30,$AT$3&lt;=AK$7),ROUND(AK529*($AP$3+#REF!),-1),""))</f>
        <v/>
      </c>
      <c r="AM529" s="506" t="s">
        <v>621</v>
      </c>
      <c r="AN529" s="503" t="str">
        <f>IF($G529="","",IF(AND($G529&gt;=30,$AT$3&lt;=AM$7),ROUND(AM529*($AP$3+#REF!),-1),""))</f>
        <v/>
      </c>
      <c r="AO529" s="503" t="e">
        <v>#REF!</v>
      </c>
      <c r="AP529" s="503" t="str">
        <f>IF($G529="","",IF(AND($G529&gt;=30,$AT$3&lt;=AO$7),ROUND(AO529*($AP$3+#REF!),-1),""))</f>
        <v/>
      </c>
      <c r="AQ529" s="503" t="s">
        <v>621</v>
      </c>
      <c r="AR529" s="503" t="str">
        <f>IF($G529="","",IF(AND($G529&gt;=30,$AT$3&lt;=AQ$7),ROUND(AQ529*($AP$3+#REF!),-1),""))</f>
        <v/>
      </c>
      <c r="AS529" s="503" t="s">
        <v>621</v>
      </c>
      <c r="AT529" s="503" t="str">
        <f>IF($G529="","",IF(AND($G529&gt;=30,$AT$3&lt;=AS$7),ROUND(AS529*($AP$3+#REF!),-1),""))</f>
        <v/>
      </c>
      <c r="AU529" s="503" t="s">
        <v>621</v>
      </c>
      <c r="AV529" s="503" t="str">
        <f>IF($G529="","",IF(AND($G529&gt;=30,$AT$3&lt;=AU$7),ROUND(AU529*($AP$3+#REF!),-1),""))</f>
        <v/>
      </c>
      <c r="AW529" s="503" t="s">
        <v>621</v>
      </c>
      <c r="AX529" s="503" t="str">
        <f>IF($G529="","",IF(AND($G529&gt;=30,$AT$3&lt;=AW$7),ROUND(AW529*($AP$3+#REF!),-1),""))</f>
        <v/>
      </c>
      <c r="AY529" s="503" t="s">
        <v>621</v>
      </c>
      <c r="AZ529" s="503" t="str">
        <f>IF($G529="","",IF(AND($G529&gt;=30,$AT$3&lt;=AY$7),ROUND(AY529*($AP$3+#REF!),-1),""))</f>
        <v/>
      </c>
      <c r="BA529" s="503" t="s">
        <v>621</v>
      </c>
      <c r="BB529" s="503" t="str">
        <f>IF($G529="","",IF(AND($G529&gt;=30,$AT$3&lt;=BA$7),ROUND(BA529*($AP$3+#REF!),-1),""))</f>
        <v/>
      </c>
      <c r="BC529" s="503" t="s">
        <v>621</v>
      </c>
      <c r="BD529" s="503" t="str">
        <f>IF($G529="","",IF(AND($G529&gt;=30,$AT$3&lt;=BC$7),ROUND(BC529*($AP$3+#REF!),-1),""))</f>
        <v/>
      </c>
      <c r="BE529" s="503" t="s">
        <v>621</v>
      </c>
      <c r="BF529" s="503" t="str">
        <f>IF($G529="","",IF(AND($G529&gt;=30,$AT$3&lt;=BE$7),ROUND(BE529*($AP$3+#REF!),-1),""))</f>
        <v/>
      </c>
      <c r="BG529" s="503" t="s">
        <v>621</v>
      </c>
      <c r="BH529" s="503" t="str">
        <f>IF($G529="","",IF(AND($G529&gt;=30,$AT$3&lt;=BG$7),ROUND(BG529*($AP$3+#REF!),-1),""))</f>
        <v/>
      </c>
      <c r="BI529" s="503" t="s">
        <v>621</v>
      </c>
      <c r="BJ529" s="503" t="str">
        <f>IF($G529="","",IF(AND($G529&gt;=30,$AT$3&lt;=BI$7),ROUND(BI529*($AP$3+#REF!),-1),""))</f>
        <v/>
      </c>
      <c r="BK529" s="503" t="s">
        <v>621</v>
      </c>
      <c r="BL529" s="503" t="str">
        <f>IF($G529="","",IF(AND($G529&gt;=30,$AT$3&lt;=BK$7),ROUND(BK529*($AP$3+#REF!),-1),""))</f>
        <v/>
      </c>
      <c r="BM529" s="503" t="s">
        <v>621</v>
      </c>
      <c r="BN529" s="503" t="str">
        <f>IF($G529="","",IF(AND($G529&gt;=30,$AT$3&lt;=BM$7),ROUND(BM529*($AP$3+#REF!),-1),""))</f>
        <v/>
      </c>
      <c r="BO529" s="503" t="s">
        <v>621</v>
      </c>
      <c r="BP529" s="503" t="str">
        <f>IF($G529="","",IF(AND($G529&gt;=30,$AT$3&lt;=BO$7),ROUND(BO529*($AP$3+#REF!),-1),""))</f>
        <v/>
      </c>
      <c r="BQ529" s="503" t="s">
        <v>621</v>
      </c>
      <c r="BR529" s="503" t="str">
        <f>IF($G529="","",IF(AND($G529&gt;=30,$AT$3&lt;=BQ$7),ROUND(BQ529*($AP$3+#REF!),-1),""))</f>
        <v/>
      </c>
      <c r="BS529" s="503" t="s">
        <v>621</v>
      </c>
      <c r="BT529" s="503" t="str">
        <f>IF($G529="","",IF(AND($G529&gt;=30,$AT$3&lt;=BS$7),ROUND(BS529*($AP$3+#REF!),-1),""))</f>
        <v/>
      </c>
      <c r="BU529" s="503" t="s">
        <v>621</v>
      </c>
      <c r="BV529" s="503" t="str">
        <f>IF($G529="","",IF(AND($G529&gt;=30,$AT$3&lt;=BU$7),ROUND(BU529*($AP$3+#REF!),-1),""))</f>
        <v/>
      </c>
      <c r="BW529" s="503" t="s">
        <v>621</v>
      </c>
      <c r="BX529" s="503" t="str">
        <f>IF($G529="","",IF(AND($G529&gt;=30,$AT$3&lt;=BW$7),ROUND(BW529*($AP$3+#REF!),-1),""))</f>
        <v/>
      </c>
      <c r="BY529" s="503" t="s">
        <v>621</v>
      </c>
      <c r="BZ529" s="503" t="str">
        <f>IF($G529="","",IF(AND($G529&gt;=30,$AT$3&lt;=BY$7),ROUND(BY529*($AP$3+#REF!),-1),""))</f>
        <v/>
      </c>
      <c r="CA529" s="503" t="s">
        <v>621</v>
      </c>
      <c r="CB529" s="503" t="str">
        <f>IF($G529="","",IF(AND($G529&gt;=30,$AT$3&lt;=CA$7),ROUND(CA529*($AP$3+#REF!),-1),""))</f>
        <v/>
      </c>
      <c r="CC529" s="503" t="s">
        <v>621</v>
      </c>
      <c r="CD529" s="503" t="str">
        <f>IF($G529="","",IF(AND($G529&gt;=30,$AT$3&lt;=CC$7),ROUND(CC529*($AP$3+#REF!),-1),""))</f>
        <v/>
      </c>
      <c r="CE529" s="503" t="s">
        <v>621</v>
      </c>
      <c r="CF529" s="503" t="str">
        <f>IF($G529="","",IF(AND($G529&gt;=30,$AT$3&lt;=CE$7),ROUND(CE529*($AP$3+#REF!),-1),""))</f>
        <v/>
      </c>
      <c r="CG529" s="503" t="s">
        <v>621</v>
      </c>
      <c r="CH529" s="503" t="str">
        <f>IF($G529="","",IF(AND($G529&gt;=30,$AT$3&lt;=CG$7),ROUND(CG529*($AP$3+#REF!),-1),""))</f>
        <v/>
      </c>
      <c r="CI529" s="503" t="s">
        <v>621</v>
      </c>
      <c r="CJ529" s="503" t="str">
        <f>IF($G529="","",IF(AND($G529&gt;=30,$AT$3&lt;=CI$7),ROUND(CI529*($AP$3+#REF!),-1),""))</f>
        <v/>
      </c>
      <c r="CK529" s="503" t="s">
        <v>621</v>
      </c>
      <c r="CL529" s="503" t="str">
        <f>IF($G529="","",IF(AND($G529&gt;=30,$AT$3&lt;=CK$7),ROUND(CK529*($AP$3+#REF!),-1),""))</f>
        <v/>
      </c>
      <c r="CM529" s="503" t="s">
        <v>621</v>
      </c>
      <c r="CN529" s="503" t="str">
        <f>IF($G529="","",IF(AND($G529&gt;=30,$AT$3&lt;=CM$7),ROUND(CM529*($AP$3+#REF!),-1),""))</f>
        <v/>
      </c>
      <c r="CO529" s="503" t="s">
        <v>621</v>
      </c>
      <c r="CP529" s="503" t="str">
        <f>IF($G529="","",IF(AND($G529&gt;=30,$AT$3&lt;=CO$7),ROUND(CO529*($AP$3+#REF!),-1),""))</f>
        <v/>
      </c>
      <c r="CQ529" s="503" t="s">
        <v>621</v>
      </c>
      <c r="CR529" s="503" t="str">
        <f>IF($G529="","",IF(AND($G529&gt;=30,$AT$3&lt;=CQ$7),ROUND(CQ529*($AP$3+#REF!),-1),""))</f>
        <v/>
      </c>
      <c r="CS529" s="503" t="s">
        <v>621</v>
      </c>
      <c r="CT529" s="503" t="str">
        <f>IF($G529="","",IF(AND($G529&gt;=30,$AT$3&lt;=CS$7),ROUND(CS529*($AP$3+#REF!),-1),""))</f>
        <v/>
      </c>
      <c r="CU529" s="503" t="s">
        <v>621</v>
      </c>
      <c r="CV529" s="503" t="str">
        <f>IF($G529="","",IF(AND($G529&gt;=30,$AT$3&lt;=CU$7),ROUND(CU529*($AP$3+#REF!),-1),""))</f>
        <v/>
      </c>
      <c r="CW529" s="503" t="s">
        <v>621</v>
      </c>
      <c r="CX529" s="503" t="str">
        <f>IF($G529="","",IF(AND($G529&gt;=30,$AT$3&lt;=CW$7),ROUND(CW529*($AP$3+#REF!),-1),""))</f>
        <v/>
      </c>
      <c r="CY529" s="503" t="s">
        <v>621</v>
      </c>
      <c r="CZ529" s="503" t="str">
        <f>IF($G529="","",IF(AND($G529&gt;=30,$AT$3&lt;=CY$7),ROUND(CY529*($AP$3+#REF!),-1),""))</f>
        <v/>
      </c>
      <c r="DA529" s="503" t="s">
        <v>621</v>
      </c>
      <c r="DB529" s="503" t="str">
        <f>IF($G529="","",IF(AND($G529&gt;=30,$AT$3&lt;=DA$7),ROUND(DA529*($AP$3+#REF!),-1),""))</f>
        <v/>
      </c>
      <c r="DC529" s="503" t="s">
        <v>621</v>
      </c>
      <c r="DD529" s="503" t="str">
        <f>IF($G529="","",IF(AND($G529&gt;=30,$AT$3&lt;=DC$7),ROUND(DC529*($AP$3+#REF!),-1),""))</f>
        <v/>
      </c>
      <c r="DE529" s="503" t="s">
        <v>621</v>
      </c>
      <c r="DF529" s="503" t="str">
        <f>IF($G529="","",IF(AND($G529&gt;=30,$AT$3&lt;=DE$7),ROUND(DE529*($AP$3+#REF!),-1),""))</f>
        <v/>
      </c>
      <c r="DG529" s="503" t="s">
        <v>621</v>
      </c>
      <c r="DH529" s="503" t="str">
        <f>IF($G529="","",IF(AND($G529&gt;=30,$AT$3&lt;=DG$7),ROUND(DG529*($AP$3+#REF!),-1),""))</f>
        <v/>
      </c>
      <c r="DI529" s="503" t="s">
        <v>621</v>
      </c>
      <c r="DJ529" s="503" t="str">
        <f>IF($G529="","",IF(AND($G529&gt;=30,$AT$3&lt;=DI$7),ROUND(DI529*($AP$3+#REF!),-1),""))</f>
        <v/>
      </c>
      <c r="DK529" s="503" t="s">
        <v>621</v>
      </c>
      <c r="DL529" s="503" t="str">
        <f>IF($G529="","",IF(AND($G529&gt;=30,$AT$3&lt;=DK$7),ROUND(DK529*($AP$3+#REF!),-1),""))</f>
        <v/>
      </c>
      <c r="DM529" s="503" t="s">
        <v>621</v>
      </c>
      <c r="DN529" s="503" t="str">
        <f>IF($G529="","",IF(AND($G529&gt;=30,$AT$3&lt;=DM$7),ROUND(DM529*($AP$3+#REF!),-1),""))</f>
        <v/>
      </c>
      <c r="DO529" s="517" t="e">
        <v>#REF!</v>
      </c>
      <c r="DP529" s="503" t="str">
        <f>IF($G529="","",IF(AND($G529&gt;=30,$AT$3&lt;=DO$7),ROUND(DO529*($AP$3+#REF!),-1),""))</f>
        <v/>
      </c>
      <c r="DQ529" s="503"/>
      <c r="DR529" s="503" t="str">
        <f>IF($G529="","",IF(AND($G529&gt;=30,$AT$3&lt;=DQ$7),ROUND(DQ529*($AP$3+#REF!),-1),""))</f>
        <v/>
      </c>
      <c r="DS529" s="503"/>
      <c r="DT529" s="503" t="str">
        <f>IF($G529="","",IF(AND($G529&gt;=30,$AT$3&lt;=DS$7),ROUND(DS529*($AP$3+#REF!),-1),""))</f>
        <v/>
      </c>
      <c r="DU529" s="503"/>
      <c r="DV529" s="503" t="str">
        <f>IF($G529="","",IF(AND($G529&gt;=30,$AT$3&lt;=DU$7),ROUND(DU529*($AP$3+#REF!),-1),""))</f>
        <v/>
      </c>
      <c r="DW529" s="503"/>
      <c r="DX529" s="503" t="str">
        <f>IF($G529="","",IF(AND($G529&gt;=30,$AT$3&lt;=DW$7),ROUND(DW529*($AP$3+#REF!),-1),""))</f>
        <v/>
      </c>
      <c r="DY529" s="503"/>
      <c r="DZ529" s="503" t="str">
        <f>IF($G529="","",IF(AND($G529&gt;=30,$AT$3&lt;=DY$7),ROUND(DY529*($AP$3+#REF!),-1),""))</f>
        <v/>
      </c>
      <c r="EA529" s="503"/>
      <c r="EB529" s="503" t="str">
        <f>IF($G529="","",IF(AND($G529&gt;=30,$AT$3&lt;=EA$7),ROUND(EA529*($AP$3+#REF!),-1),""))</f>
        <v/>
      </c>
      <c r="EC529" s="436"/>
      <c r="ED529" s="436"/>
      <c r="EE529" s="394"/>
    </row>
    <row r="530" spans="1:135" ht="9.75" customHeight="1">
      <c r="A530" s="321" t="str">
        <f t="shared" si="124"/>
        <v/>
      </c>
      <c r="B530" s="567">
        <f>(ii!$D$13*12+V530)+1</f>
        <v>424</v>
      </c>
      <c r="C530" s="337">
        <f t="shared" si="128"/>
        <v>58256</v>
      </c>
      <c r="D530" s="484">
        <f t="shared" si="117"/>
        <v>2059</v>
      </c>
      <c r="E530" s="484">
        <f t="shared" si="129"/>
        <v>0.5</v>
      </c>
      <c r="F530" s="484">
        <f t="shared" si="118"/>
        <v>2059.5</v>
      </c>
      <c r="G530" s="485" t="str">
        <f>IF(OR(C530&lt;$I$2,C530&gt;$J$3),"",(ii!$D$13*12+V530+1)/12)</f>
        <v/>
      </c>
      <c r="H530" s="486"/>
      <c r="I530" s="486"/>
      <c r="J530" s="487"/>
      <c r="K530" s="488"/>
      <c r="L530" s="548"/>
      <c r="M530" s="489" t="str">
        <f t="shared" si="119"/>
        <v/>
      </c>
      <c r="N530" s="490" t="s">
        <v>621</v>
      </c>
      <c r="O530" s="490" t="str">
        <f t="shared" si="126"/>
        <v/>
      </c>
      <c r="P530" s="491"/>
      <c r="Q530" s="491"/>
      <c r="R530" s="491" t="str">
        <f t="shared" si="127"/>
        <v/>
      </c>
      <c r="S530" s="528" t="str">
        <f t="shared" si="125"/>
        <v/>
      </c>
      <c r="T530" s="528" t="str">
        <f t="shared" si="123"/>
        <v/>
      </c>
      <c r="U530" s="493" t="str">
        <f>IF(H530="","",#REF!*12+#REF!+#REF!*12+#REF!)</f>
        <v/>
      </c>
      <c r="V530" s="338">
        <f>IF(ii!$J$3&gt;gg!C530,"",IF(AND((YEAR(C530)=YEAR($I$2)),MONTH(C530)=MONTH($I$2)),ii!$B$14*12+ii!$C$14+ii!$B$15*12+ii!$C$15-1,V529+1))</f>
        <v>423</v>
      </c>
      <c r="W530" s="339">
        <f t="shared" si="116"/>
        <v>35.25</v>
      </c>
      <c r="X530" s="494" t="s">
        <v>621</v>
      </c>
      <c r="Y530" s="495" t="s">
        <v>621</v>
      </c>
      <c r="Z530" s="496"/>
      <c r="AA530" s="497"/>
      <c r="AB530" s="498" t="str">
        <f t="shared" si="122"/>
        <v/>
      </c>
      <c r="AC530" s="484" t="str">
        <f t="shared" si="120"/>
        <v/>
      </c>
      <c r="AD530" s="495" t="str">
        <f t="shared" si="121"/>
        <v/>
      </c>
      <c r="AE530" s="499" t="s">
        <v>621</v>
      </c>
      <c r="AF530" s="500" t="s">
        <v>621</v>
      </c>
      <c r="AG530" s="556" t="s">
        <v>621</v>
      </c>
      <c r="AH530" s="503" t="str">
        <f>IF($G530="","",IF(AND($G530&gt;=30,$AT$3&lt;=AG$7),ROUND(AG530*($AP$3+#REF!),-1),""))</f>
        <v/>
      </c>
      <c r="AI530" s="506" t="s">
        <v>621</v>
      </c>
      <c r="AJ530" s="503" t="str">
        <f>IF($G530="","",IF(AND($G530&gt;=30,$AT$3&lt;=AI$7),ROUND(AI530*($AP$3+#REF!),-1),""))</f>
        <v/>
      </c>
      <c r="AK530" s="506" t="s">
        <v>621</v>
      </c>
      <c r="AL530" s="503" t="str">
        <f>IF($G530="","",IF(AND($G530&gt;=30,$AT$3&lt;=AK$7),ROUND(AK530*($AP$3+#REF!),-1),""))</f>
        <v/>
      </c>
      <c r="AM530" s="506" t="s">
        <v>621</v>
      </c>
      <c r="AN530" s="503" t="str">
        <f>IF($G530="","",IF(AND($G530&gt;=30,$AT$3&lt;=AM$7),ROUND(AM530*($AP$3+#REF!),-1),""))</f>
        <v/>
      </c>
      <c r="AO530" s="503" t="e">
        <v>#REF!</v>
      </c>
      <c r="AP530" s="503" t="str">
        <f>IF($G530="","",IF(AND($G530&gt;=30,$AT$3&lt;=AO$7),ROUND(AO530*($AP$3+#REF!),-1),""))</f>
        <v/>
      </c>
      <c r="AQ530" s="503" t="s">
        <v>621</v>
      </c>
      <c r="AR530" s="503" t="str">
        <f>IF($G530="","",IF(AND($G530&gt;=30,$AT$3&lt;=AQ$7),ROUND(AQ530*($AP$3+#REF!),-1),""))</f>
        <v/>
      </c>
      <c r="AS530" s="503" t="s">
        <v>621</v>
      </c>
      <c r="AT530" s="503" t="str">
        <f>IF($G530="","",IF(AND($G530&gt;=30,$AT$3&lt;=AS$7),ROUND(AS530*($AP$3+#REF!),-1),""))</f>
        <v/>
      </c>
      <c r="AU530" s="503" t="s">
        <v>621</v>
      </c>
      <c r="AV530" s="503" t="str">
        <f>IF($G530="","",IF(AND($G530&gt;=30,$AT$3&lt;=AU$7),ROUND(AU530*($AP$3+#REF!),-1),""))</f>
        <v/>
      </c>
      <c r="AW530" s="503" t="s">
        <v>621</v>
      </c>
      <c r="AX530" s="503" t="str">
        <f>IF($G530="","",IF(AND($G530&gt;=30,$AT$3&lt;=AW$7),ROUND(AW530*($AP$3+#REF!),-1),""))</f>
        <v/>
      </c>
      <c r="AY530" s="503" t="s">
        <v>621</v>
      </c>
      <c r="AZ530" s="503" t="str">
        <f>IF($G530="","",IF(AND($G530&gt;=30,$AT$3&lt;=AY$7),ROUND(AY530*($AP$3+#REF!),-1),""))</f>
        <v/>
      </c>
      <c r="BA530" s="503" t="s">
        <v>621</v>
      </c>
      <c r="BB530" s="503" t="str">
        <f>IF($G530="","",IF(AND($G530&gt;=30,$AT$3&lt;=BA$7),ROUND(BA530*($AP$3+#REF!),-1),""))</f>
        <v/>
      </c>
      <c r="BC530" s="503" t="s">
        <v>621</v>
      </c>
      <c r="BD530" s="503" t="str">
        <f>IF($G530="","",IF(AND($G530&gt;=30,$AT$3&lt;=BC$7),ROUND(BC530*($AP$3+#REF!),-1),""))</f>
        <v/>
      </c>
      <c r="BE530" s="503" t="s">
        <v>621</v>
      </c>
      <c r="BF530" s="503" t="str">
        <f>IF($G530="","",IF(AND($G530&gt;=30,$AT$3&lt;=BE$7),ROUND(BE530*($AP$3+#REF!),-1),""))</f>
        <v/>
      </c>
      <c r="BG530" s="503" t="s">
        <v>621</v>
      </c>
      <c r="BH530" s="503" t="str">
        <f>IF($G530="","",IF(AND($G530&gt;=30,$AT$3&lt;=BG$7),ROUND(BG530*($AP$3+#REF!),-1),""))</f>
        <v/>
      </c>
      <c r="BI530" s="503" t="s">
        <v>621</v>
      </c>
      <c r="BJ530" s="503" t="str">
        <f>IF($G530="","",IF(AND($G530&gt;=30,$AT$3&lt;=BI$7),ROUND(BI530*($AP$3+#REF!),-1),""))</f>
        <v/>
      </c>
      <c r="BK530" s="503" t="s">
        <v>621</v>
      </c>
      <c r="BL530" s="503" t="str">
        <f>IF($G530="","",IF(AND($G530&gt;=30,$AT$3&lt;=BK$7),ROUND(BK530*($AP$3+#REF!),-1),""))</f>
        <v/>
      </c>
      <c r="BM530" s="503" t="s">
        <v>621</v>
      </c>
      <c r="BN530" s="503" t="str">
        <f>IF($G530="","",IF(AND($G530&gt;=30,$AT$3&lt;=BM$7),ROUND(BM530*($AP$3+#REF!),-1),""))</f>
        <v/>
      </c>
      <c r="BO530" s="503" t="s">
        <v>621</v>
      </c>
      <c r="BP530" s="503" t="str">
        <f>IF($G530="","",IF(AND($G530&gt;=30,$AT$3&lt;=BO$7),ROUND(BO530*($AP$3+#REF!),-1),""))</f>
        <v/>
      </c>
      <c r="BQ530" s="503" t="s">
        <v>621</v>
      </c>
      <c r="BR530" s="503" t="str">
        <f>IF($G530="","",IF(AND($G530&gt;=30,$AT$3&lt;=BQ$7),ROUND(BQ530*($AP$3+#REF!),-1),""))</f>
        <v/>
      </c>
      <c r="BS530" s="503" t="s">
        <v>621</v>
      </c>
      <c r="BT530" s="503" t="str">
        <f>IF($G530="","",IF(AND($G530&gt;=30,$AT$3&lt;=BS$7),ROUND(BS530*($AP$3+#REF!),-1),""))</f>
        <v/>
      </c>
      <c r="BU530" s="503" t="s">
        <v>621</v>
      </c>
      <c r="BV530" s="503" t="str">
        <f>IF($G530="","",IF(AND($G530&gt;=30,$AT$3&lt;=BU$7),ROUND(BU530*($AP$3+#REF!),-1),""))</f>
        <v/>
      </c>
      <c r="BW530" s="503" t="s">
        <v>621</v>
      </c>
      <c r="BX530" s="503" t="str">
        <f>IF($G530="","",IF(AND($G530&gt;=30,$AT$3&lt;=BW$7),ROUND(BW530*($AP$3+#REF!),-1),""))</f>
        <v/>
      </c>
      <c r="BY530" s="503" t="s">
        <v>621</v>
      </c>
      <c r="BZ530" s="503" t="str">
        <f>IF($G530="","",IF(AND($G530&gt;=30,$AT$3&lt;=BY$7),ROUND(BY530*($AP$3+#REF!),-1),""))</f>
        <v/>
      </c>
      <c r="CA530" s="503" t="s">
        <v>621</v>
      </c>
      <c r="CB530" s="503" t="str">
        <f>IF($G530="","",IF(AND($G530&gt;=30,$AT$3&lt;=CA$7),ROUND(CA530*($AP$3+#REF!),-1),""))</f>
        <v/>
      </c>
      <c r="CC530" s="503" t="s">
        <v>621</v>
      </c>
      <c r="CD530" s="503" t="str">
        <f>IF($G530="","",IF(AND($G530&gt;=30,$AT$3&lt;=CC$7),ROUND(CC530*($AP$3+#REF!),-1),""))</f>
        <v/>
      </c>
      <c r="CE530" s="503" t="s">
        <v>621</v>
      </c>
      <c r="CF530" s="503" t="str">
        <f>IF($G530="","",IF(AND($G530&gt;=30,$AT$3&lt;=CE$7),ROUND(CE530*($AP$3+#REF!),-1),""))</f>
        <v/>
      </c>
      <c r="CG530" s="503" t="s">
        <v>621</v>
      </c>
      <c r="CH530" s="503" t="str">
        <f>IF($G530="","",IF(AND($G530&gt;=30,$AT$3&lt;=CG$7),ROUND(CG530*($AP$3+#REF!),-1),""))</f>
        <v/>
      </c>
      <c r="CI530" s="503" t="s">
        <v>621</v>
      </c>
      <c r="CJ530" s="503" t="str">
        <f>IF($G530="","",IF(AND($G530&gt;=30,$AT$3&lt;=CI$7),ROUND(CI530*($AP$3+#REF!),-1),""))</f>
        <v/>
      </c>
      <c r="CK530" s="503" t="s">
        <v>621</v>
      </c>
      <c r="CL530" s="503" t="str">
        <f>IF($G530="","",IF(AND($G530&gt;=30,$AT$3&lt;=CK$7),ROUND(CK530*($AP$3+#REF!),-1),""))</f>
        <v/>
      </c>
      <c r="CM530" s="503" t="s">
        <v>621</v>
      </c>
      <c r="CN530" s="503" t="str">
        <f>IF($G530="","",IF(AND($G530&gt;=30,$AT$3&lt;=CM$7),ROUND(CM530*($AP$3+#REF!),-1),""))</f>
        <v/>
      </c>
      <c r="CO530" s="503" t="s">
        <v>621</v>
      </c>
      <c r="CP530" s="503" t="str">
        <f>IF($G530="","",IF(AND($G530&gt;=30,$AT$3&lt;=CO$7),ROUND(CO530*($AP$3+#REF!),-1),""))</f>
        <v/>
      </c>
      <c r="CQ530" s="503" t="s">
        <v>621</v>
      </c>
      <c r="CR530" s="503" t="str">
        <f>IF($G530="","",IF(AND($G530&gt;=30,$AT$3&lt;=CQ$7),ROUND(CQ530*($AP$3+#REF!),-1),""))</f>
        <v/>
      </c>
      <c r="CS530" s="503" t="s">
        <v>621</v>
      </c>
      <c r="CT530" s="503" t="str">
        <f>IF($G530="","",IF(AND($G530&gt;=30,$AT$3&lt;=CS$7),ROUND(CS530*($AP$3+#REF!),-1),""))</f>
        <v/>
      </c>
      <c r="CU530" s="503" t="s">
        <v>621</v>
      </c>
      <c r="CV530" s="503" t="str">
        <f>IF($G530="","",IF(AND($G530&gt;=30,$AT$3&lt;=CU$7),ROUND(CU530*($AP$3+#REF!),-1),""))</f>
        <v/>
      </c>
      <c r="CW530" s="503" t="s">
        <v>621</v>
      </c>
      <c r="CX530" s="503" t="str">
        <f>IF($G530="","",IF(AND($G530&gt;=30,$AT$3&lt;=CW$7),ROUND(CW530*($AP$3+#REF!),-1),""))</f>
        <v/>
      </c>
      <c r="CY530" s="503" t="s">
        <v>621</v>
      </c>
      <c r="CZ530" s="503" t="str">
        <f>IF($G530="","",IF(AND($G530&gt;=30,$AT$3&lt;=CY$7),ROUND(CY530*($AP$3+#REF!),-1),""))</f>
        <v/>
      </c>
      <c r="DA530" s="503" t="s">
        <v>621</v>
      </c>
      <c r="DB530" s="503" t="str">
        <f>IF($G530="","",IF(AND($G530&gt;=30,$AT$3&lt;=DA$7),ROUND(DA530*($AP$3+#REF!),-1),""))</f>
        <v/>
      </c>
      <c r="DC530" s="503" t="s">
        <v>621</v>
      </c>
      <c r="DD530" s="503" t="str">
        <f>IF($G530="","",IF(AND($G530&gt;=30,$AT$3&lt;=DC$7),ROUND(DC530*($AP$3+#REF!),-1),""))</f>
        <v/>
      </c>
      <c r="DE530" s="503" t="s">
        <v>621</v>
      </c>
      <c r="DF530" s="503" t="str">
        <f>IF($G530="","",IF(AND($G530&gt;=30,$AT$3&lt;=DE$7),ROUND(DE530*($AP$3+#REF!),-1),""))</f>
        <v/>
      </c>
      <c r="DG530" s="503" t="s">
        <v>621</v>
      </c>
      <c r="DH530" s="503" t="str">
        <f>IF($G530="","",IF(AND($G530&gt;=30,$AT$3&lt;=DG$7),ROUND(DG530*($AP$3+#REF!),-1),""))</f>
        <v/>
      </c>
      <c r="DI530" s="503" t="s">
        <v>621</v>
      </c>
      <c r="DJ530" s="503" t="str">
        <f>IF($G530="","",IF(AND($G530&gt;=30,$AT$3&lt;=DI$7),ROUND(DI530*($AP$3+#REF!),-1),""))</f>
        <v/>
      </c>
      <c r="DK530" s="503" t="s">
        <v>621</v>
      </c>
      <c r="DL530" s="503" t="str">
        <f>IF($G530="","",IF(AND($G530&gt;=30,$AT$3&lt;=DK$7),ROUND(DK530*($AP$3+#REF!),-1),""))</f>
        <v/>
      </c>
      <c r="DM530" s="503" t="s">
        <v>621</v>
      </c>
      <c r="DN530" s="503" t="str">
        <f>IF($G530="","",IF(AND($G530&gt;=30,$AT$3&lt;=DM$7),ROUND(DM530*($AP$3+#REF!),-1),""))</f>
        <v/>
      </c>
      <c r="DO530" s="517" t="e">
        <v>#REF!</v>
      </c>
      <c r="DP530" s="503" t="str">
        <f>IF($G530="","",IF(AND($G530&gt;=30,$AT$3&lt;=DO$7),ROUND(DO530*($AP$3+#REF!),-1),""))</f>
        <v/>
      </c>
      <c r="DQ530" s="503"/>
      <c r="DR530" s="503" t="str">
        <f>IF($G530="","",IF(AND($G530&gt;=30,$AT$3&lt;=DQ$7),ROUND(DQ530*($AP$3+#REF!),-1),""))</f>
        <v/>
      </c>
      <c r="DS530" s="503"/>
      <c r="DT530" s="503" t="str">
        <f>IF($G530="","",IF(AND($G530&gt;=30,$AT$3&lt;=DS$7),ROUND(DS530*($AP$3+#REF!),-1),""))</f>
        <v/>
      </c>
      <c r="DU530" s="503"/>
      <c r="DV530" s="503" t="str">
        <f>IF($G530="","",IF(AND($G530&gt;=30,$AT$3&lt;=DU$7),ROUND(DU530*($AP$3+#REF!),-1),""))</f>
        <v/>
      </c>
      <c r="DW530" s="503"/>
      <c r="DX530" s="503" t="str">
        <f>IF($G530="","",IF(AND($G530&gt;=30,$AT$3&lt;=DW$7),ROUND(DW530*($AP$3+#REF!),-1),""))</f>
        <v/>
      </c>
      <c r="DY530" s="503"/>
      <c r="DZ530" s="503" t="str">
        <f>IF($G530="","",IF(AND($G530&gt;=30,$AT$3&lt;=DY$7),ROUND(DY530*($AP$3+#REF!),-1),""))</f>
        <v/>
      </c>
      <c r="EA530" s="503"/>
      <c r="EB530" s="503" t="str">
        <f>IF($G530="","",IF(AND($G530&gt;=30,$AT$3&lt;=EA$7),ROUND(EA530*($AP$3+#REF!),-1),""))</f>
        <v/>
      </c>
      <c r="EC530" s="436"/>
      <c r="ED530" s="436"/>
      <c r="EE530" s="394"/>
    </row>
    <row r="531" spans="1:135" ht="9.75" customHeight="1">
      <c r="A531" s="321" t="str">
        <f t="shared" si="124"/>
        <v/>
      </c>
      <c r="B531" s="567">
        <f>(ii!$D$13*12+V531)+1</f>
        <v>425</v>
      </c>
      <c r="C531" s="337">
        <f t="shared" si="128"/>
        <v>58287</v>
      </c>
      <c r="D531" s="484">
        <f t="shared" si="117"/>
        <v>2059</v>
      </c>
      <c r="E531" s="484">
        <f t="shared" si="129"/>
        <v>0.58333333333333337</v>
      </c>
      <c r="F531" s="484">
        <f t="shared" si="118"/>
        <v>2059.5833333333335</v>
      </c>
      <c r="G531" s="485" t="str">
        <f>IF(OR(C531&lt;$I$2,C531&gt;$J$3),"",(ii!$D$13*12+V531+1)/12)</f>
        <v/>
      </c>
      <c r="H531" s="486"/>
      <c r="I531" s="486"/>
      <c r="J531" s="487"/>
      <c r="K531" s="488"/>
      <c r="L531" s="548"/>
      <c r="M531" s="489" t="str">
        <f t="shared" si="119"/>
        <v/>
      </c>
      <c r="N531" s="490" t="s">
        <v>621</v>
      </c>
      <c r="O531" s="490" t="str">
        <f t="shared" si="126"/>
        <v/>
      </c>
      <c r="P531" s="491"/>
      <c r="Q531" s="491"/>
      <c r="R531" s="491" t="str">
        <f t="shared" si="127"/>
        <v/>
      </c>
      <c r="S531" s="528" t="str">
        <f t="shared" si="125"/>
        <v/>
      </c>
      <c r="T531" s="528" t="str">
        <f t="shared" si="123"/>
        <v/>
      </c>
      <c r="U531" s="493" t="str">
        <f>IF(H531="","",#REF!*12+#REF!+#REF!*12+#REF!)</f>
        <v/>
      </c>
      <c r="V531" s="338">
        <f>IF(ii!$J$3&gt;gg!C531,"",IF(AND((YEAR(C531)=YEAR($I$2)),MONTH(C531)=MONTH($I$2)),ii!$B$14*12+ii!$C$14+ii!$B$15*12+ii!$C$15-1,V530+1))</f>
        <v>424</v>
      </c>
      <c r="W531" s="339">
        <f t="shared" ref="W531:W594" si="130">IF(V532="","",(V532-1)/12)</f>
        <v>35.333333333333336</v>
      </c>
      <c r="X531" s="494" t="s">
        <v>621</v>
      </c>
      <c r="Y531" s="495" t="s">
        <v>621</v>
      </c>
      <c r="Z531" s="496"/>
      <c r="AA531" s="497"/>
      <c r="AB531" s="498" t="str">
        <f t="shared" si="122"/>
        <v/>
      </c>
      <c r="AC531" s="484" t="str">
        <f t="shared" si="120"/>
        <v/>
      </c>
      <c r="AD531" s="495" t="str">
        <f t="shared" si="121"/>
        <v/>
      </c>
      <c r="AE531" s="499" t="s">
        <v>621</v>
      </c>
      <c r="AF531" s="500" t="s">
        <v>621</v>
      </c>
      <c r="AG531" s="556" t="s">
        <v>621</v>
      </c>
      <c r="AH531" s="503" t="str">
        <f>IF($G531="","",IF(AND($G531&gt;=30,$AT$3&lt;=AG$7),ROUND(AG531*($AP$3+#REF!),-1),""))</f>
        <v/>
      </c>
      <c r="AI531" s="506" t="s">
        <v>621</v>
      </c>
      <c r="AJ531" s="503" t="str">
        <f>IF($G531="","",IF(AND($G531&gt;=30,$AT$3&lt;=AI$7),ROUND(AI531*($AP$3+#REF!),-1),""))</f>
        <v/>
      </c>
      <c r="AK531" s="506" t="s">
        <v>621</v>
      </c>
      <c r="AL531" s="503" t="str">
        <f>IF($G531="","",IF(AND($G531&gt;=30,$AT$3&lt;=AK$7),ROUND(AK531*($AP$3+#REF!),-1),""))</f>
        <v/>
      </c>
      <c r="AM531" s="506" t="s">
        <v>621</v>
      </c>
      <c r="AN531" s="503" t="str">
        <f>IF($G531="","",IF(AND($G531&gt;=30,$AT$3&lt;=AM$7),ROUND(AM531*($AP$3+#REF!),-1),""))</f>
        <v/>
      </c>
      <c r="AO531" s="503" t="e">
        <v>#REF!</v>
      </c>
      <c r="AP531" s="503" t="str">
        <f>IF($G531="","",IF(AND($G531&gt;=30,$AT$3&lt;=AO$7),ROUND(AO531*($AP$3+#REF!),-1),""))</f>
        <v/>
      </c>
      <c r="AQ531" s="503" t="s">
        <v>621</v>
      </c>
      <c r="AR531" s="503" t="str">
        <f>IF($G531="","",IF(AND($G531&gt;=30,$AT$3&lt;=AQ$7),ROUND(AQ531*($AP$3+#REF!),-1),""))</f>
        <v/>
      </c>
      <c r="AS531" s="503" t="s">
        <v>621</v>
      </c>
      <c r="AT531" s="503" t="str">
        <f>IF($G531="","",IF(AND($G531&gt;=30,$AT$3&lt;=AS$7),ROUND(AS531*($AP$3+#REF!),-1),""))</f>
        <v/>
      </c>
      <c r="AU531" s="503" t="s">
        <v>621</v>
      </c>
      <c r="AV531" s="503" t="str">
        <f>IF($G531="","",IF(AND($G531&gt;=30,$AT$3&lt;=AU$7),ROUND(AU531*($AP$3+#REF!),-1),""))</f>
        <v/>
      </c>
      <c r="AW531" s="503" t="s">
        <v>621</v>
      </c>
      <c r="AX531" s="503" t="str">
        <f>IF($G531="","",IF(AND($G531&gt;=30,$AT$3&lt;=AW$7),ROUND(AW531*($AP$3+#REF!),-1),""))</f>
        <v/>
      </c>
      <c r="AY531" s="503" t="s">
        <v>621</v>
      </c>
      <c r="AZ531" s="503" t="str">
        <f>IF($G531="","",IF(AND($G531&gt;=30,$AT$3&lt;=AY$7),ROUND(AY531*($AP$3+#REF!),-1),""))</f>
        <v/>
      </c>
      <c r="BA531" s="503" t="s">
        <v>621</v>
      </c>
      <c r="BB531" s="503" t="str">
        <f>IF($G531="","",IF(AND($G531&gt;=30,$AT$3&lt;=BA$7),ROUND(BA531*($AP$3+#REF!),-1),""))</f>
        <v/>
      </c>
      <c r="BC531" s="503" t="s">
        <v>621</v>
      </c>
      <c r="BD531" s="503" t="str">
        <f>IF($G531="","",IF(AND($G531&gt;=30,$AT$3&lt;=BC$7),ROUND(BC531*($AP$3+#REF!),-1),""))</f>
        <v/>
      </c>
      <c r="BE531" s="503" t="s">
        <v>621</v>
      </c>
      <c r="BF531" s="503" t="str">
        <f>IF($G531="","",IF(AND($G531&gt;=30,$AT$3&lt;=BE$7),ROUND(BE531*($AP$3+#REF!),-1),""))</f>
        <v/>
      </c>
      <c r="BG531" s="503" t="s">
        <v>621</v>
      </c>
      <c r="BH531" s="503" t="str">
        <f>IF($G531="","",IF(AND($G531&gt;=30,$AT$3&lt;=BG$7),ROUND(BG531*($AP$3+#REF!),-1),""))</f>
        <v/>
      </c>
      <c r="BI531" s="503" t="s">
        <v>621</v>
      </c>
      <c r="BJ531" s="503" t="str">
        <f>IF($G531="","",IF(AND($G531&gt;=30,$AT$3&lt;=BI$7),ROUND(BI531*($AP$3+#REF!),-1),""))</f>
        <v/>
      </c>
      <c r="BK531" s="503" t="s">
        <v>621</v>
      </c>
      <c r="BL531" s="503" t="str">
        <f>IF($G531="","",IF(AND($G531&gt;=30,$AT$3&lt;=BK$7),ROUND(BK531*($AP$3+#REF!),-1),""))</f>
        <v/>
      </c>
      <c r="BM531" s="503" t="s">
        <v>621</v>
      </c>
      <c r="BN531" s="503" t="str">
        <f>IF($G531="","",IF(AND($G531&gt;=30,$AT$3&lt;=BM$7),ROUND(BM531*($AP$3+#REF!),-1),""))</f>
        <v/>
      </c>
      <c r="BO531" s="503" t="s">
        <v>621</v>
      </c>
      <c r="BP531" s="503" t="str">
        <f>IF($G531="","",IF(AND($G531&gt;=30,$AT$3&lt;=BO$7),ROUND(BO531*($AP$3+#REF!),-1),""))</f>
        <v/>
      </c>
      <c r="BQ531" s="503" t="s">
        <v>621</v>
      </c>
      <c r="BR531" s="503" t="str">
        <f>IF($G531="","",IF(AND($G531&gt;=30,$AT$3&lt;=BQ$7),ROUND(BQ531*($AP$3+#REF!),-1),""))</f>
        <v/>
      </c>
      <c r="BS531" s="503" t="s">
        <v>621</v>
      </c>
      <c r="BT531" s="503" t="str">
        <f>IF($G531="","",IF(AND($G531&gt;=30,$AT$3&lt;=BS$7),ROUND(BS531*($AP$3+#REF!),-1),""))</f>
        <v/>
      </c>
      <c r="BU531" s="503" t="s">
        <v>621</v>
      </c>
      <c r="BV531" s="503" t="str">
        <f>IF($G531="","",IF(AND($G531&gt;=30,$AT$3&lt;=BU$7),ROUND(BU531*($AP$3+#REF!),-1),""))</f>
        <v/>
      </c>
      <c r="BW531" s="503" t="s">
        <v>621</v>
      </c>
      <c r="BX531" s="503" t="str">
        <f>IF($G531="","",IF(AND($G531&gt;=30,$AT$3&lt;=BW$7),ROUND(BW531*($AP$3+#REF!),-1),""))</f>
        <v/>
      </c>
      <c r="BY531" s="503" t="s">
        <v>621</v>
      </c>
      <c r="BZ531" s="503" t="str">
        <f>IF($G531="","",IF(AND($G531&gt;=30,$AT$3&lt;=BY$7),ROUND(BY531*($AP$3+#REF!),-1),""))</f>
        <v/>
      </c>
      <c r="CA531" s="503" t="s">
        <v>621</v>
      </c>
      <c r="CB531" s="503" t="str">
        <f>IF($G531="","",IF(AND($G531&gt;=30,$AT$3&lt;=CA$7),ROUND(CA531*($AP$3+#REF!),-1),""))</f>
        <v/>
      </c>
      <c r="CC531" s="503" t="s">
        <v>621</v>
      </c>
      <c r="CD531" s="503" t="str">
        <f>IF($G531="","",IF(AND($G531&gt;=30,$AT$3&lt;=CC$7),ROUND(CC531*($AP$3+#REF!),-1),""))</f>
        <v/>
      </c>
      <c r="CE531" s="503" t="s">
        <v>621</v>
      </c>
      <c r="CF531" s="503" t="str">
        <f>IF($G531="","",IF(AND($G531&gt;=30,$AT$3&lt;=CE$7),ROUND(CE531*($AP$3+#REF!),-1),""))</f>
        <v/>
      </c>
      <c r="CG531" s="503" t="s">
        <v>621</v>
      </c>
      <c r="CH531" s="503" t="str">
        <f>IF($G531="","",IF(AND($G531&gt;=30,$AT$3&lt;=CG$7),ROUND(CG531*($AP$3+#REF!),-1),""))</f>
        <v/>
      </c>
      <c r="CI531" s="503" t="s">
        <v>621</v>
      </c>
      <c r="CJ531" s="503" t="str">
        <f>IF($G531="","",IF(AND($G531&gt;=30,$AT$3&lt;=CI$7),ROUND(CI531*($AP$3+#REF!),-1),""))</f>
        <v/>
      </c>
      <c r="CK531" s="503" t="s">
        <v>621</v>
      </c>
      <c r="CL531" s="503" t="str">
        <f>IF($G531="","",IF(AND($G531&gt;=30,$AT$3&lt;=CK$7),ROUND(CK531*($AP$3+#REF!),-1),""))</f>
        <v/>
      </c>
      <c r="CM531" s="503" t="s">
        <v>621</v>
      </c>
      <c r="CN531" s="503" t="str">
        <f>IF($G531="","",IF(AND($G531&gt;=30,$AT$3&lt;=CM$7),ROUND(CM531*($AP$3+#REF!),-1),""))</f>
        <v/>
      </c>
      <c r="CO531" s="503" t="s">
        <v>621</v>
      </c>
      <c r="CP531" s="503" t="str">
        <f>IF($G531="","",IF(AND($G531&gt;=30,$AT$3&lt;=CO$7),ROUND(CO531*($AP$3+#REF!),-1),""))</f>
        <v/>
      </c>
      <c r="CQ531" s="503" t="s">
        <v>621</v>
      </c>
      <c r="CR531" s="503" t="str">
        <f>IF($G531="","",IF(AND($G531&gt;=30,$AT$3&lt;=CQ$7),ROUND(CQ531*($AP$3+#REF!),-1),""))</f>
        <v/>
      </c>
      <c r="CS531" s="503" t="s">
        <v>621</v>
      </c>
      <c r="CT531" s="503" t="str">
        <f>IF($G531="","",IF(AND($G531&gt;=30,$AT$3&lt;=CS$7),ROUND(CS531*($AP$3+#REF!),-1),""))</f>
        <v/>
      </c>
      <c r="CU531" s="503" t="s">
        <v>621</v>
      </c>
      <c r="CV531" s="503" t="str">
        <f>IF($G531="","",IF(AND($G531&gt;=30,$AT$3&lt;=CU$7),ROUND(CU531*($AP$3+#REF!),-1),""))</f>
        <v/>
      </c>
      <c r="CW531" s="503" t="s">
        <v>621</v>
      </c>
      <c r="CX531" s="503" t="str">
        <f>IF($G531="","",IF(AND($G531&gt;=30,$AT$3&lt;=CW$7),ROUND(CW531*($AP$3+#REF!),-1),""))</f>
        <v/>
      </c>
      <c r="CY531" s="503" t="s">
        <v>621</v>
      </c>
      <c r="CZ531" s="503" t="str">
        <f>IF($G531="","",IF(AND($G531&gt;=30,$AT$3&lt;=CY$7),ROUND(CY531*($AP$3+#REF!),-1),""))</f>
        <v/>
      </c>
      <c r="DA531" s="503" t="s">
        <v>621</v>
      </c>
      <c r="DB531" s="503" t="str">
        <f>IF($G531="","",IF(AND($G531&gt;=30,$AT$3&lt;=DA$7),ROUND(DA531*($AP$3+#REF!),-1),""))</f>
        <v/>
      </c>
      <c r="DC531" s="503" t="s">
        <v>621</v>
      </c>
      <c r="DD531" s="503" t="str">
        <f>IF($G531="","",IF(AND($G531&gt;=30,$AT$3&lt;=DC$7),ROUND(DC531*($AP$3+#REF!),-1),""))</f>
        <v/>
      </c>
      <c r="DE531" s="503" t="s">
        <v>621</v>
      </c>
      <c r="DF531" s="503" t="str">
        <f>IF($G531="","",IF(AND($G531&gt;=30,$AT$3&lt;=DE$7),ROUND(DE531*($AP$3+#REF!),-1),""))</f>
        <v/>
      </c>
      <c r="DG531" s="503" t="s">
        <v>621</v>
      </c>
      <c r="DH531" s="503" t="str">
        <f>IF($G531="","",IF(AND($G531&gt;=30,$AT$3&lt;=DG$7),ROUND(DG531*($AP$3+#REF!),-1),""))</f>
        <v/>
      </c>
      <c r="DI531" s="503" t="s">
        <v>621</v>
      </c>
      <c r="DJ531" s="503" t="str">
        <f>IF($G531="","",IF(AND($G531&gt;=30,$AT$3&lt;=DI$7),ROUND(DI531*($AP$3+#REF!),-1),""))</f>
        <v/>
      </c>
      <c r="DK531" s="503" t="s">
        <v>621</v>
      </c>
      <c r="DL531" s="503" t="str">
        <f>IF($G531="","",IF(AND($G531&gt;=30,$AT$3&lt;=DK$7),ROUND(DK531*($AP$3+#REF!),-1),""))</f>
        <v/>
      </c>
      <c r="DM531" s="503" t="s">
        <v>621</v>
      </c>
      <c r="DN531" s="503" t="str">
        <f>IF($G531="","",IF(AND($G531&gt;=30,$AT$3&lt;=DM$7),ROUND(DM531*($AP$3+#REF!),-1),""))</f>
        <v/>
      </c>
      <c r="DO531" s="517" t="e">
        <v>#REF!</v>
      </c>
      <c r="DP531" s="503" t="str">
        <f>IF($G531="","",IF(AND($G531&gt;=30,$AT$3&lt;=DO$7),ROUND(DO531*($AP$3+#REF!),-1),""))</f>
        <v/>
      </c>
      <c r="DQ531" s="503"/>
      <c r="DR531" s="503" t="str">
        <f>IF($G531="","",IF(AND($G531&gt;=30,$AT$3&lt;=DQ$7),ROUND(DQ531*($AP$3+#REF!),-1),""))</f>
        <v/>
      </c>
      <c r="DS531" s="503"/>
      <c r="DT531" s="503" t="str">
        <f>IF($G531="","",IF(AND($G531&gt;=30,$AT$3&lt;=DS$7),ROUND(DS531*($AP$3+#REF!),-1),""))</f>
        <v/>
      </c>
      <c r="DU531" s="503"/>
      <c r="DV531" s="503" t="str">
        <f>IF($G531="","",IF(AND($G531&gt;=30,$AT$3&lt;=DU$7),ROUND(DU531*($AP$3+#REF!),-1),""))</f>
        <v/>
      </c>
      <c r="DW531" s="503"/>
      <c r="DX531" s="503" t="str">
        <f>IF($G531="","",IF(AND($G531&gt;=30,$AT$3&lt;=DW$7),ROUND(DW531*($AP$3+#REF!),-1),""))</f>
        <v/>
      </c>
      <c r="DY531" s="503"/>
      <c r="DZ531" s="503" t="str">
        <f>IF($G531="","",IF(AND($G531&gt;=30,$AT$3&lt;=DY$7),ROUND(DY531*($AP$3+#REF!),-1),""))</f>
        <v/>
      </c>
      <c r="EA531" s="503"/>
      <c r="EB531" s="503" t="str">
        <f>IF($G531="","",IF(AND($G531&gt;=30,$AT$3&lt;=EA$7),ROUND(EA531*($AP$3+#REF!),-1),""))</f>
        <v/>
      </c>
      <c r="EC531" s="436"/>
      <c r="ED531" s="436"/>
      <c r="EE531" s="394"/>
    </row>
    <row r="532" spans="1:135" ht="9.75" customHeight="1">
      <c r="A532" s="321" t="str">
        <f t="shared" si="124"/>
        <v/>
      </c>
      <c r="B532" s="567">
        <f>(ii!$D$13*12+V532)+1</f>
        <v>426</v>
      </c>
      <c r="C532" s="337">
        <f t="shared" si="128"/>
        <v>58318</v>
      </c>
      <c r="D532" s="484">
        <f t="shared" si="117"/>
        <v>2059</v>
      </c>
      <c r="E532" s="484">
        <f t="shared" si="129"/>
        <v>0.66666666666666663</v>
      </c>
      <c r="F532" s="484">
        <f t="shared" si="118"/>
        <v>2059.6666666666665</v>
      </c>
      <c r="G532" s="485" t="str">
        <f>IF(OR(C532&lt;$I$2,C532&gt;$J$3),"",(ii!$D$13*12+V532+1)/12)</f>
        <v/>
      </c>
      <c r="H532" s="486"/>
      <c r="I532" s="486"/>
      <c r="J532" s="487"/>
      <c r="K532" s="488"/>
      <c r="L532" s="548"/>
      <c r="M532" s="489" t="str">
        <f t="shared" si="119"/>
        <v/>
      </c>
      <c r="N532" s="490" t="s">
        <v>621</v>
      </c>
      <c r="O532" s="490" t="str">
        <f t="shared" si="126"/>
        <v/>
      </c>
      <c r="P532" s="491"/>
      <c r="Q532" s="491"/>
      <c r="R532" s="491" t="str">
        <f t="shared" si="127"/>
        <v/>
      </c>
      <c r="S532" s="528" t="str">
        <f t="shared" si="125"/>
        <v/>
      </c>
      <c r="T532" s="528" t="str">
        <f t="shared" si="123"/>
        <v/>
      </c>
      <c r="U532" s="493" t="str">
        <f>IF(H532="","",#REF!*12+#REF!+#REF!*12+#REF!)</f>
        <v/>
      </c>
      <c r="V532" s="338">
        <f>IF(ii!$J$3&gt;gg!C532,"",IF(AND((YEAR(C532)=YEAR($I$2)),MONTH(C532)=MONTH($I$2)),ii!$B$14*12+ii!$C$14+ii!$B$15*12+ii!$C$15-1,V531+1))</f>
        <v>425</v>
      </c>
      <c r="W532" s="339">
        <f t="shared" si="130"/>
        <v>35.416666666666664</v>
      </c>
      <c r="X532" s="494" t="s">
        <v>621</v>
      </c>
      <c r="Y532" s="495" t="s">
        <v>621</v>
      </c>
      <c r="Z532" s="496"/>
      <c r="AA532" s="497"/>
      <c r="AB532" s="498" t="str">
        <f t="shared" si="122"/>
        <v/>
      </c>
      <c r="AC532" s="484" t="str">
        <f t="shared" si="120"/>
        <v/>
      </c>
      <c r="AD532" s="495" t="str">
        <f t="shared" si="121"/>
        <v/>
      </c>
      <c r="AE532" s="499" t="s">
        <v>621</v>
      </c>
      <c r="AF532" s="500" t="s">
        <v>621</v>
      </c>
      <c r="AG532" s="556" t="s">
        <v>621</v>
      </c>
      <c r="AH532" s="503" t="str">
        <f>IF($G532="","",IF(AND($G532&gt;=30,$AT$3&lt;=AG$7),ROUND(AG532*($AP$3+#REF!),-1),""))</f>
        <v/>
      </c>
      <c r="AI532" s="506" t="s">
        <v>621</v>
      </c>
      <c r="AJ532" s="503" t="str">
        <f>IF($G532="","",IF(AND($G532&gt;=30,$AT$3&lt;=AI$7),ROUND(AI532*($AP$3+#REF!),-1),""))</f>
        <v/>
      </c>
      <c r="AK532" s="506" t="s">
        <v>621</v>
      </c>
      <c r="AL532" s="503" t="str">
        <f>IF($G532="","",IF(AND($G532&gt;=30,$AT$3&lt;=AK$7),ROUND(AK532*($AP$3+#REF!),-1),""))</f>
        <v/>
      </c>
      <c r="AM532" s="506" t="s">
        <v>621</v>
      </c>
      <c r="AN532" s="503" t="str">
        <f>IF($G532="","",IF(AND($G532&gt;=30,$AT$3&lt;=AM$7),ROUND(AM532*($AP$3+#REF!),-1),""))</f>
        <v/>
      </c>
      <c r="AO532" s="503" t="e">
        <v>#REF!</v>
      </c>
      <c r="AP532" s="503" t="str">
        <f>IF($G532="","",IF(AND($G532&gt;=30,$AT$3&lt;=AO$7),ROUND(AO532*($AP$3+#REF!),-1),""))</f>
        <v/>
      </c>
      <c r="AQ532" s="503" t="s">
        <v>621</v>
      </c>
      <c r="AR532" s="503" t="str">
        <f>IF($G532="","",IF(AND($G532&gt;=30,$AT$3&lt;=AQ$7),ROUND(AQ532*($AP$3+#REF!),-1),""))</f>
        <v/>
      </c>
      <c r="AS532" s="503" t="s">
        <v>621</v>
      </c>
      <c r="AT532" s="503" t="str">
        <f>IF($G532="","",IF(AND($G532&gt;=30,$AT$3&lt;=AS$7),ROUND(AS532*($AP$3+#REF!),-1),""))</f>
        <v/>
      </c>
      <c r="AU532" s="503" t="s">
        <v>621</v>
      </c>
      <c r="AV532" s="503" t="str">
        <f>IF($G532="","",IF(AND($G532&gt;=30,$AT$3&lt;=AU$7),ROUND(AU532*($AP$3+#REF!),-1),""))</f>
        <v/>
      </c>
      <c r="AW532" s="503" t="s">
        <v>621</v>
      </c>
      <c r="AX532" s="503" t="str">
        <f>IF($G532="","",IF(AND($G532&gt;=30,$AT$3&lt;=AW$7),ROUND(AW532*($AP$3+#REF!),-1),""))</f>
        <v/>
      </c>
      <c r="AY532" s="503" t="s">
        <v>621</v>
      </c>
      <c r="AZ532" s="503" t="str">
        <f>IF($G532="","",IF(AND($G532&gt;=30,$AT$3&lt;=AY$7),ROUND(AY532*($AP$3+#REF!),-1),""))</f>
        <v/>
      </c>
      <c r="BA532" s="503" t="s">
        <v>621</v>
      </c>
      <c r="BB532" s="503" t="str">
        <f>IF($G532="","",IF(AND($G532&gt;=30,$AT$3&lt;=BA$7),ROUND(BA532*($AP$3+#REF!),-1),""))</f>
        <v/>
      </c>
      <c r="BC532" s="503" t="s">
        <v>621</v>
      </c>
      <c r="BD532" s="503" t="str">
        <f>IF($G532="","",IF(AND($G532&gt;=30,$AT$3&lt;=BC$7),ROUND(BC532*($AP$3+#REF!),-1),""))</f>
        <v/>
      </c>
      <c r="BE532" s="503" t="s">
        <v>621</v>
      </c>
      <c r="BF532" s="503" t="str">
        <f>IF($G532="","",IF(AND($G532&gt;=30,$AT$3&lt;=BE$7),ROUND(BE532*($AP$3+#REF!),-1),""))</f>
        <v/>
      </c>
      <c r="BG532" s="503" t="s">
        <v>621</v>
      </c>
      <c r="BH532" s="503" t="str">
        <f>IF($G532="","",IF(AND($G532&gt;=30,$AT$3&lt;=BG$7),ROUND(BG532*($AP$3+#REF!),-1),""))</f>
        <v/>
      </c>
      <c r="BI532" s="503" t="s">
        <v>621</v>
      </c>
      <c r="BJ532" s="503" t="str">
        <f>IF($G532="","",IF(AND($G532&gt;=30,$AT$3&lt;=BI$7),ROUND(BI532*($AP$3+#REF!),-1),""))</f>
        <v/>
      </c>
      <c r="BK532" s="503" t="s">
        <v>621</v>
      </c>
      <c r="BL532" s="503" t="str">
        <f>IF($G532="","",IF(AND($G532&gt;=30,$AT$3&lt;=BK$7),ROUND(BK532*($AP$3+#REF!),-1),""))</f>
        <v/>
      </c>
      <c r="BM532" s="503" t="s">
        <v>621</v>
      </c>
      <c r="BN532" s="503" t="str">
        <f>IF($G532="","",IF(AND($G532&gt;=30,$AT$3&lt;=BM$7),ROUND(BM532*($AP$3+#REF!),-1),""))</f>
        <v/>
      </c>
      <c r="BO532" s="503" t="s">
        <v>621</v>
      </c>
      <c r="BP532" s="503" t="str">
        <f>IF($G532="","",IF(AND($G532&gt;=30,$AT$3&lt;=BO$7),ROUND(BO532*($AP$3+#REF!),-1),""))</f>
        <v/>
      </c>
      <c r="BQ532" s="503" t="s">
        <v>621</v>
      </c>
      <c r="BR532" s="503" t="str">
        <f>IF($G532="","",IF(AND($G532&gt;=30,$AT$3&lt;=BQ$7),ROUND(BQ532*($AP$3+#REF!),-1),""))</f>
        <v/>
      </c>
      <c r="BS532" s="503" t="s">
        <v>621</v>
      </c>
      <c r="BT532" s="503" t="str">
        <f>IF($G532="","",IF(AND($G532&gt;=30,$AT$3&lt;=BS$7),ROUND(BS532*($AP$3+#REF!),-1),""))</f>
        <v/>
      </c>
      <c r="BU532" s="503" t="s">
        <v>621</v>
      </c>
      <c r="BV532" s="503" t="str">
        <f>IF($G532="","",IF(AND($G532&gt;=30,$AT$3&lt;=BU$7),ROUND(BU532*($AP$3+#REF!),-1),""))</f>
        <v/>
      </c>
      <c r="BW532" s="503" t="s">
        <v>621</v>
      </c>
      <c r="BX532" s="503" t="str">
        <f>IF($G532="","",IF(AND($G532&gt;=30,$AT$3&lt;=BW$7),ROUND(BW532*($AP$3+#REF!),-1),""))</f>
        <v/>
      </c>
      <c r="BY532" s="503" t="s">
        <v>621</v>
      </c>
      <c r="BZ532" s="503" t="str">
        <f>IF($G532="","",IF(AND($G532&gt;=30,$AT$3&lt;=BY$7),ROUND(BY532*($AP$3+#REF!),-1),""))</f>
        <v/>
      </c>
      <c r="CA532" s="503" t="s">
        <v>621</v>
      </c>
      <c r="CB532" s="503" t="str">
        <f>IF($G532="","",IF(AND($G532&gt;=30,$AT$3&lt;=CA$7),ROUND(CA532*($AP$3+#REF!),-1),""))</f>
        <v/>
      </c>
      <c r="CC532" s="503" t="s">
        <v>621</v>
      </c>
      <c r="CD532" s="503" t="str">
        <f>IF($G532="","",IF(AND($G532&gt;=30,$AT$3&lt;=CC$7),ROUND(CC532*($AP$3+#REF!),-1),""))</f>
        <v/>
      </c>
      <c r="CE532" s="503" t="s">
        <v>621</v>
      </c>
      <c r="CF532" s="503" t="str">
        <f>IF($G532="","",IF(AND($G532&gt;=30,$AT$3&lt;=CE$7),ROUND(CE532*($AP$3+#REF!),-1),""))</f>
        <v/>
      </c>
      <c r="CG532" s="503" t="s">
        <v>621</v>
      </c>
      <c r="CH532" s="503" t="str">
        <f>IF($G532="","",IF(AND($G532&gt;=30,$AT$3&lt;=CG$7),ROUND(CG532*($AP$3+#REF!),-1),""))</f>
        <v/>
      </c>
      <c r="CI532" s="503" t="s">
        <v>621</v>
      </c>
      <c r="CJ532" s="503" t="str">
        <f>IF($G532="","",IF(AND($G532&gt;=30,$AT$3&lt;=CI$7),ROUND(CI532*($AP$3+#REF!),-1),""))</f>
        <v/>
      </c>
      <c r="CK532" s="503" t="s">
        <v>621</v>
      </c>
      <c r="CL532" s="503" t="str">
        <f>IF($G532="","",IF(AND($G532&gt;=30,$AT$3&lt;=CK$7),ROUND(CK532*($AP$3+#REF!),-1),""))</f>
        <v/>
      </c>
      <c r="CM532" s="503" t="s">
        <v>621</v>
      </c>
      <c r="CN532" s="503" t="str">
        <f>IF($G532="","",IF(AND($G532&gt;=30,$AT$3&lt;=CM$7),ROUND(CM532*($AP$3+#REF!),-1),""))</f>
        <v/>
      </c>
      <c r="CO532" s="503" t="s">
        <v>621</v>
      </c>
      <c r="CP532" s="503" t="str">
        <f>IF($G532="","",IF(AND($G532&gt;=30,$AT$3&lt;=CO$7),ROUND(CO532*($AP$3+#REF!),-1),""))</f>
        <v/>
      </c>
      <c r="CQ532" s="503" t="s">
        <v>621</v>
      </c>
      <c r="CR532" s="503" t="str">
        <f>IF($G532="","",IF(AND($G532&gt;=30,$AT$3&lt;=CQ$7),ROUND(CQ532*($AP$3+#REF!),-1),""))</f>
        <v/>
      </c>
      <c r="CS532" s="503" t="s">
        <v>621</v>
      </c>
      <c r="CT532" s="503" t="str">
        <f>IF($G532="","",IF(AND($G532&gt;=30,$AT$3&lt;=CS$7),ROUND(CS532*($AP$3+#REF!),-1),""))</f>
        <v/>
      </c>
      <c r="CU532" s="503" t="s">
        <v>621</v>
      </c>
      <c r="CV532" s="503" t="str">
        <f>IF($G532="","",IF(AND($G532&gt;=30,$AT$3&lt;=CU$7),ROUND(CU532*($AP$3+#REF!),-1),""))</f>
        <v/>
      </c>
      <c r="CW532" s="503" t="s">
        <v>621</v>
      </c>
      <c r="CX532" s="503" t="str">
        <f>IF($G532="","",IF(AND($G532&gt;=30,$AT$3&lt;=CW$7),ROUND(CW532*($AP$3+#REF!),-1),""))</f>
        <v/>
      </c>
      <c r="CY532" s="503" t="s">
        <v>621</v>
      </c>
      <c r="CZ532" s="503" t="str">
        <f>IF($G532="","",IF(AND($G532&gt;=30,$AT$3&lt;=CY$7),ROUND(CY532*($AP$3+#REF!),-1),""))</f>
        <v/>
      </c>
      <c r="DA532" s="503" t="s">
        <v>621</v>
      </c>
      <c r="DB532" s="503" t="str">
        <f>IF($G532="","",IF(AND($G532&gt;=30,$AT$3&lt;=DA$7),ROUND(DA532*($AP$3+#REF!),-1),""))</f>
        <v/>
      </c>
      <c r="DC532" s="503" t="s">
        <v>621</v>
      </c>
      <c r="DD532" s="503" t="str">
        <f>IF($G532="","",IF(AND($G532&gt;=30,$AT$3&lt;=DC$7),ROUND(DC532*($AP$3+#REF!),-1),""))</f>
        <v/>
      </c>
      <c r="DE532" s="503" t="s">
        <v>621</v>
      </c>
      <c r="DF532" s="503" t="str">
        <f>IF($G532="","",IF(AND($G532&gt;=30,$AT$3&lt;=DE$7),ROUND(DE532*($AP$3+#REF!),-1),""))</f>
        <v/>
      </c>
      <c r="DG532" s="503" t="s">
        <v>621</v>
      </c>
      <c r="DH532" s="503" t="str">
        <f>IF($G532="","",IF(AND($G532&gt;=30,$AT$3&lt;=DG$7),ROUND(DG532*($AP$3+#REF!),-1),""))</f>
        <v/>
      </c>
      <c r="DI532" s="503" t="s">
        <v>621</v>
      </c>
      <c r="DJ532" s="503" t="str">
        <f>IF($G532="","",IF(AND($G532&gt;=30,$AT$3&lt;=DI$7),ROUND(DI532*($AP$3+#REF!),-1),""))</f>
        <v/>
      </c>
      <c r="DK532" s="503" t="s">
        <v>621</v>
      </c>
      <c r="DL532" s="503" t="str">
        <f>IF($G532="","",IF(AND($G532&gt;=30,$AT$3&lt;=DK$7),ROUND(DK532*($AP$3+#REF!),-1),""))</f>
        <v/>
      </c>
      <c r="DM532" s="503" t="s">
        <v>621</v>
      </c>
      <c r="DN532" s="503" t="str">
        <f>IF($G532="","",IF(AND($G532&gt;=30,$AT$3&lt;=DM$7),ROUND(DM532*($AP$3+#REF!),-1),""))</f>
        <v/>
      </c>
      <c r="DO532" s="517" t="e">
        <v>#REF!</v>
      </c>
      <c r="DP532" s="503" t="str">
        <f>IF($G532="","",IF(AND($G532&gt;=30,$AT$3&lt;=DO$7),ROUND(DO532*($AP$3+#REF!),-1),""))</f>
        <v/>
      </c>
      <c r="DQ532" s="503"/>
      <c r="DR532" s="503" t="str">
        <f>IF($G532="","",IF(AND($G532&gt;=30,$AT$3&lt;=DQ$7),ROUND(DQ532*($AP$3+#REF!),-1),""))</f>
        <v/>
      </c>
      <c r="DS532" s="503"/>
      <c r="DT532" s="503" t="str">
        <f>IF($G532="","",IF(AND($G532&gt;=30,$AT$3&lt;=DS$7),ROUND(DS532*($AP$3+#REF!),-1),""))</f>
        <v/>
      </c>
      <c r="DU532" s="503"/>
      <c r="DV532" s="503" t="str">
        <f>IF($G532="","",IF(AND($G532&gt;=30,$AT$3&lt;=DU$7),ROUND(DU532*($AP$3+#REF!),-1),""))</f>
        <v/>
      </c>
      <c r="DW532" s="503"/>
      <c r="DX532" s="503" t="str">
        <f>IF($G532="","",IF(AND($G532&gt;=30,$AT$3&lt;=DW$7),ROUND(DW532*($AP$3+#REF!),-1),""))</f>
        <v/>
      </c>
      <c r="DY532" s="503"/>
      <c r="DZ532" s="503" t="str">
        <f>IF($G532="","",IF(AND($G532&gt;=30,$AT$3&lt;=DY$7),ROUND(DY532*($AP$3+#REF!),-1),""))</f>
        <v/>
      </c>
      <c r="EA532" s="503"/>
      <c r="EB532" s="503" t="str">
        <f>IF($G532="","",IF(AND($G532&gt;=30,$AT$3&lt;=EA$7),ROUND(EA532*($AP$3+#REF!),-1),""))</f>
        <v/>
      </c>
      <c r="EC532" s="436"/>
      <c r="ED532" s="436"/>
      <c r="EE532" s="394"/>
    </row>
    <row r="533" spans="1:135" ht="9.75" customHeight="1">
      <c r="A533" s="321" t="str">
        <f t="shared" si="124"/>
        <v/>
      </c>
      <c r="B533" s="567">
        <f>(ii!$D$13*12+V533)+1</f>
        <v>427</v>
      </c>
      <c r="C533" s="337">
        <f t="shared" si="128"/>
        <v>58348</v>
      </c>
      <c r="D533" s="484">
        <f t="shared" si="117"/>
        <v>2059</v>
      </c>
      <c r="E533" s="484">
        <f t="shared" si="129"/>
        <v>0.75</v>
      </c>
      <c r="F533" s="484">
        <f t="shared" si="118"/>
        <v>2059.75</v>
      </c>
      <c r="G533" s="485" t="str">
        <f>IF(OR(C533&lt;$I$2,C533&gt;$J$3),"",(ii!$D$13*12+V533+1)/12)</f>
        <v/>
      </c>
      <c r="H533" s="486"/>
      <c r="I533" s="486"/>
      <c r="J533" s="487"/>
      <c r="K533" s="488"/>
      <c r="L533" s="548"/>
      <c r="M533" s="489" t="str">
        <f t="shared" si="119"/>
        <v/>
      </c>
      <c r="N533" s="490" t="s">
        <v>621</v>
      </c>
      <c r="O533" s="490" t="str">
        <f t="shared" si="126"/>
        <v/>
      </c>
      <c r="P533" s="491"/>
      <c r="Q533" s="491"/>
      <c r="R533" s="491" t="str">
        <f t="shared" si="127"/>
        <v/>
      </c>
      <c r="S533" s="528" t="str">
        <f t="shared" si="125"/>
        <v/>
      </c>
      <c r="T533" s="528" t="str">
        <f t="shared" si="123"/>
        <v/>
      </c>
      <c r="U533" s="493" t="str">
        <f>IF(H533="","",#REF!*12+#REF!+#REF!*12+#REF!)</f>
        <v/>
      </c>
      <c r="V533" s="338">
        <f>IF(ii!$J$3&gt;gg!C533,"",IF(AND((YEAR(C533)=YEAR($I$2)),MONTH(C533)=MONTH($I$2)),ii!$B$14*12+ii!$C$14+ii!$B$15*12+ii!$C$15-1,V532+1))</f>
        <v>426</v>
      </c>
      <c r="W533" s="339">
        <f t="shared" si="130"/>
        <v>35.5</v>
      </c>
      <c r="X533" s="494" t="s">
        <v>621</v>
      </c>
      <c r="Y533" s="495" t="s">
        <v>621</v>
      </c>
      <c r="Z533" s="496"/>
      <c r="AA533" s="497"/>
      <c r="AB533" s="498" t="str">
        <f t="shared" si="122"/>
        <v/>
      </c>
      <c r="AC533" s="484" t="str">
        <f t="shared" si="120"/>
        <v/>
      </c>
      <c r="AD533" s="495" t="str">
        <f t="shared" si="121"/>
        <v/>
      </c>
      <c r="AE533" s="499" t="s">
        <v>621</v>
      </c>
      <c r="AF533" s="500" t="s">
        <v>621</v>
      </c>
      <c r="AG533" s="556" t="s">
        <v>621</v>
      </c>
      <c r="AH533" s="503" t="str">
        <f>IF($G533="","",IF(AND($G533&gt;=30,$AT$3&lt;=AG$7),ROUND(AG533*($AP$3+#REF!),-1),""))</f>
        <v/>
      </c>
      <c r="AI533" s="506" t="s">
        <v>621</v>
      </c>
      <c r="AJ533" s="503" t="str">
        <f>IF($G533="","",IF(AND($G533&gt;=30,$AT$3&lt;=AI$7),ROUND(AI533*($AP$3+#REF!),-1),""))</f>
        <v/>
      </c>
      <c r="AK533" s="506" t="s">
        <v>621</v>
      </c>
      <c r="AL533" s="503" t="str">
        <f>IF($G533="","",IF(AND($G533&gt;=30,$AT$3&lt;=AK$7),ROUND(AK533*($AP$3+#REF!),-1),""))</f>
        <v/>
      </c>
      <c r="AM533" s="506" t="s">
        <v>621</v>
      </c>
      <c r="AN533" s="503" t="str">
        <f>IF($G533="","",IF(AND($G533&gt;=30,$AT$3&lt;=AM$7),ROUND(AM533*($AP$3+#REF!),-1),""))</f>
        <v/>
      </c>
      <c r="AO533" s="503" t="e">
        <v>#REF!</v>
      </c>
      <c r="AP533" s="503" t="str">
        <f>IF($G533="","",IF(AND($G533&gt;=30,$AT$3&lt;=AO$7),ROUND(AO533*($AP$3+#REF!),-1),""))</f>
        <v/>
      </c>
      <c r="AQ533" s="503" t="s">
        <v>621</v>
      </c>
      <c r="AR533" s="503" t="str">
        <f>IF($G533="","",IF(AND($G533&gt;=30,$AT$3&lt;=AQ$7),ROUND(AQ533*($AP$3+#REF!),-1),""))</f>
        <v/>
      </c>
      <c r="AS533" s="503" t="s">
        <v>621</v>
      </c>
      <c r="AT533" s="503" t="str">
        <f>IF($G533="","",IF(AND($G533&gt;=30,$AT$3&lt;=AS$7),ROUND(AS533*($AP$3+#REF!),-1),""))</f>
        <v/>
      </c>
      <c r="AU533" s="503" t="s">
        <v>621</v>
      </c>
      <c r="AV533" s="503" t="str">
        <f>IF($G533="","",IF(AND($G533&gt;=30,$AT$3&lt;=AU$7),ROUND(AU533*($AP$3+#REF!),-1),""))</f>
        <v/>
      </c>
      <c r="AW533" s="503" t="s">
        <v>621</v>
      </c>
      <c r="AX533" s="503" t="str">
        <f>IF($G533="","",IF(AND($G533&gt;=30,$AT$3&lt;=AW$7),ROUND(AW533*($AP$3+#REF!),-1),""))</f>
        <v/>
      </c>
      <c r="AY533" s="503" t="s">
        <v>621</v>
      </c>
      <c r="AZ533" s="503" t="str">
        <f>IF($G533="","",IF(AND($G533&gt;=30,$AT$3&lt;=AY$7),ROUND(AY533*($AP$3+#REF!),-1),""))</f>
        <v/>
      </c>
      <c r="BA533" s="503" t="s">
        <v>621</v>
      </c>
      <c r="BB533" s="503" t="str">
        <f>IF($G533="","",IF(AND($G533&gt;=30,$AT$3&lt;=BA$7),ROUND(BA533*($AP$3+#REF!),-1),""))</f>
        <v/>
      </c>
      <c r="BC533" s="503" t="s">
        <v>621</v>
      </c>
      <c r="BD533" s="503" t="str">
        <f>IF($G533="","",IF(AND($G533&gt;=30,$AT$3&lt;=BC$7),ROUND(BC533*($AP$3+#REF!),-1),""))</f>
        <v/>
      </c>
      <c r="BE533" s="503" t="s">
        <v>621</v>
      </c>
      <c r="BF533" s="503" t="str">
        <f>IF($G533="","",IF(AND($G533&gt;=30,$AT$3&lt;=BE$7),ROUND(BE533*($AP$3+#REF!),-1),""))</f>
        <v/>
      </c>
      <c r="BG533" s="503" t="s">
        <v>621</v>
      </c>
      <c r="BH533" s="503" t="str">
        <f>IF($G533="","",IF(AND($G533&gt;=30,$AT$3&lt;=BG$7),ROUND(BG533*($AP$3+#REF!),-1),""))</f>
        <v/>
      </c>
      <c r="BI533" s="503" t="s">
        <v>621</v>
      </c>
      <c r="BJ533" s="503" t="str">
        <f>IF($G533="","",IF(AND($G533&gt;=30,$AT$3&lt;=BI$7),ROUND(BI533*($AP$3+#REF!),-1),""))</f>
        <v/>
      </c>
      <c r="BK533" s="503" t="s">
        <v>621</v>
      </c>
      <c r="BL533" s="503" t="str">
        <f>IF($G533="","",IF(AND($G533&gt;=30,$AT$3&lt;=BK$7),ROUND(BK533*($AP$3+#REF!),-1),""))</f>
        <v/>
      </c>
      <c r="BM533" s="503" t="s">
        <v>621</v>
      </c>
      <c r="BN533" s="503" t="str">
        <f>IF($G533="","",IF(AND($G533&gt;=30,$AT$3&lt;=BM$7),ROUND(BM533*($AP$3+#REF!),-1),""))</f>
        <v/>
      </c>
      <c r="BO533" s="503" t="s">
        <v>621</v>
      </c>
      <c r="BP533" s="503" t="str">
        <f>IF($G533="","",IF(AND($G533&gt;=30,$AT$3&lt;=BO$7),ROUND(BO533*($AP$3+#REF!),-1),""))</f>
        <v/>
      </c>
      <c r="BQ533" s="503" t="s">
        <v>621</v>
      </c>
      <c r="BR533" s="503" t="str">
        <f>IF($G533="","",IF(AND($G533&gt;=30,$AT$3&lt;=BQ$7),ROUND(BQ533*($AP$3+#REF!),-1),""))</f>
        <v/>
      </c>
      <c r="BS533" s="503" t="s">
        <v>621</v>
      </c>
      <c r="BT533" s="503" t="str">
        <f>IF($G533="","",IF(AND($G533&gt;=30,$AT$3&lt;=BS$7),ROUND(BS533*($AP$3+#REF!),-1),""))</f>
        <v/>
      </c>
      <c r="BU533" s="503" t="s">
        <v>621</v>
      </c>
      <c r="BV533" s="503" t="str">
        <f>IF($G533="","",IF(AND($G533&gt;=30,$AT$3&lt;=BU$7),ROUND(BU533*($AP$3+#REF!),-1),""))</f>
        <v/>
      </c>
      <c r="BW533" s="503" t="s">
        <v>621</v>
      </c>
      <c r="BX533" s="503" t="str">
        <f>IF($G533="","",IF(AND($G533&gt;=30,$AT$3&lt;=BW$7),ROUND(BW533*($AP$3+#REF!),-1),""))</f>
        <v/>
      </c>
      <c r="BY533" s="503" t="s">
        <v>621</v>
      </c>
      <c r="BZ533" s="503" t="str">
        <f>IF($G533="","",IF(AND($G533&gt;=30,$AT$3&lt;=BY$7),ROUND(BY533*($AP$3+#REF!),-1),""))</f>
        <v/>
      </c>
      <c r="CA533" s="503" t="s">
        <v>621</v>
      </c>
      <c r="CB533" s="503" t="str">
        <f>IF($G533="","",IF(AND($G533&gt;=30,$AT$3&lt;=CA$7),ROUND(CA533*($AP$3+#REF!),-1),""))</f>
        <v/>
      </c>
      <c r="CC533" s="503" t="s">
        <v>621</v>
      </c>
      <c r="CD533" s="503" t="str">
        <f>IF($G533="","",IF(AND($G533&gt;=30,$AT$3&lt;=CC$7),ROUND(CC533*($AP$3+#REF!),-1),""))</f>
        <v/>
      </c>
      <c r="CE533" s="503" t="s">
        <v>621</v>
      </c>
      <c r="CF533" s="503" t="str">
        <f>IF($G533="","",IF(AND($G533&gt;=30,$AT$3&lt;=CE$7),ROUND(CE533*($AP$3+#REF!),-1),""))</f>
        <v/>
      </c>
      <c r="CG533" s="503" t="s">
        <v>621</v>
      </c>
      <c r="CH533" s="503" t="str">
        <f>IF($G533="","",IF(AND($G533&gt;=30,$AT$3&lt;=CG$7),ROUND(CG533*($AP$3+#REF!),-1),""))</f>
        <v/>
      </c>
      <c r="CI533" s="503" t="s">
        <v>621</v>
      </c>
      <c r="CJ533" s="503" t="str">
        <f>IF($G533="","",IF(AND($G533&gt;=30,$AT$3&lt;=CI$7),ROUND(CI533*($AP$3+#REF!),-1),""))</f>
        <v/>
      </c>
      <c r="CK533" s="503" t="s">
        <v>621</v>
      </c>
      <c r="CL533" s="503" t="str">
        <f>IF($G533="","",IF(AND($G533&gt;=30,$AT$3&lt;=CK$7),ROUND(CK533*($AP$3+#REF!),-1),""))</f>
        <v/>
      </c>
      <c r="CM533" s="503" t="s">
        <v>621</v>
      </c>
      <c r="CN533" s="503" t="str">
        <f>IF($G533="","",IF(AND($G533&gt;=30,$AT$3&lt;=CM$7),ROUND(CM533*($AP$3+#REF!),-1),""))</f>
        <v/>
      </c>
      <c r="CO533" s="503" t="s">
        <v>621</v>
      </c>
      <c r="CP533" s="503" t="str">
        <f>IF($G533="","",IF(AND($G533&gt;=30,$AT$3&lt;=CO$7),ROUND(CO533*($AP$3+#REF!),-1),""))</f>
        <v/>
      </c>
      <c r="CQ533" s="503" t="s">
        <v>621</v>
      </c>
      <c r="CR533" s="503" t="str">
        <f>IF($G533="","",IF(AND($G533&gt;=30,$AT$3&lt;=CQ$7),ROUND(CQ533*($AP$3+#REF!),-1),""))</f>
        <v/>
      </c>
      <c r="CS533" s="503" t="s">
        <v>621</v>
      </c>
      <c r="CT533" s="503" t="str">
        <f>IF($G533="","",IF(AND($G533&gt;=30,$AT$3&lt;=CS$7),ROUND(CS533*($AP$3+#REF!),-1),""))</f>
        <v/>
      </c>
      <c r="CU533" s="503" t="s">
        <v>621</v>
      </c>
      <c r="CV533" s="503" t="str">
        <f>IF($G533="","",IF(AND($G533&gt;=30,$AT$3&lt;=CU$7),ROUND(CU533*($AP$3+#REF!),-1),""))</f>
        <v/>
      </c>
      <c r="CW533" s="503" t="s">
        <v>621</v>
      </c>
      <c r="CX533" s="503" t="str">
        <f>IF($G533="","",IF(AND($G533&gt;=30,$AT$3&lt;=CW$7),ROUND(CW533*($AP$3+#REF!),-1),""))</f>
        <v/>
      </c>
      <c r="CY533" s="503" t="s">
        <v>621</v>
      </c>
      <c r="CZ533" s="503" t="str">
        <f>IF($G533="","",IF(AND($G533&gt;=30,$AT$3&lt;=CY$7),ROUND(CY533*($AP$3+#REF!),-1),""))</f>
        <v/>
      </c>
      <c r="DA533" s="503" t="s">
        <v>621</v>
      </c>
      <c r="DB533" s="503" t="str">
        <f>IF($G533="","",IF(AND($G533&gt;=30,$AT$3&lt;=DA$7),ROUND(DA533*($AP$3+#REF!),-1),""))</f>
        <v/>
      </c>
      <c r="DC533" s="503" t="s">
        <v>621</v>
      </c>
      <c r="DD533" s="503" t="str">
        <f>IF($G533="","",IF(AND($G533&gt;=30,$AT$3&lt;=DC$7),ROUND(DC533*($AP$3+#REF!),-1),""))</f>
        <v/>
      </c>
      <c r="DE533" s="503" t="s">
        <v>621</v>
      </c>
      <c r="DF533" s="503" t="str">
        <f>IF($G533="","",IF(AND($G533&gt;=30,$AT$3&lt;=DE$7),ROUND(DE533*($AP$3+#REF!),-1),""))</f>
        <v/>
      </c>
      <c r="DG533" s="503" t="s">
        <v>621</v>
      </c>
      <c r="DH533" s="503" t="str">
        <f>IF($G533="","",IF(AND($G533&gt;=30,$AT$3&lt;=DG$7),ROUND(DG533*($AP$3+#REF!),-1),""))</f>
        <v/>
      </c>
      <c r="DI533" s="503" t="s">
        <v>621</v>
      </c>
      <c r="DJ533" s="503" t="str">
        <f>IF($G533="","",IF(AND($G533&gt;=30,$AT$3&lt;=DI$7),ROUND(DI533*($AP$3+#REF!),-1),""))</f>
        <v/>
      </c>
      <c r="DK533" s="503" t="s">
        <v>621</v>
      </c>
      <c r="DL533" s="503" t="str">
        <f>IF($G533="","",IF(AND($G533&gt;=30,$AT$3&lt;=DK$7),ROUND(DK533*($AP$3+#REF!),-1),""))</f>
        <v/>
      </c>
      <c r="DM533" s="503" t="s">
        <v>621</v>
      </c>
      <c r="DN533" s="503" t="str">
        <f>IF($G533="","",IF(AND($G533&gt;=30,$AT$3&lt;=DM$7),ROUND(DM533*($AP$3+#REF!),-1),""))</f>
        <v/>
      </c>
      <c r="DO533" s="517" t="e">
        <v>#REF!</v>
      </c>
      <c r="DP533" s="503" t="str">
        <f>IF($G533="","",IF(AND($G533&gt;=30,$AT$3&lt;=DO$7),ROUND(DO533*($AP$3+#REF!),-1),""))</f>
        <v/>
      </c>
      <c r="DQ533" s="503"/>
      <c r="DR533" s="503" t="str">
        <f>IF($G533="","",IF(AND($G533&gt;=30,$AT$3&lt;=DQ$7),ROUND(DQ533*($AP$3+#REF!),-1),""))</f>
        <v/>
      </c>
      <c r="DS533" s="503"/>
      <c r="DT533" s="503" t="str">
        <f>IF($G533="","",IF(AND($G533&gt;=30,$AT$3&lt;=DS$7),ROUND(DS533*($AP$3+#REF!),-1),""))</f>
        <v/>
      </c>
      <c r="DU533" s="503"/>
      <c r="DV533" s="503" t="str">
        <f>IF($G533="","",IF(AND($G533&gt;=30,$AT$3&lt;=DU$7),ROUND(DU533*($AP$3+#REF!),-1),""))</f>
        <v/>
      </c>
      <c r="DW533" s="503"/>
      <c r="DX533" s="503" t="str">
        <f>IF($G533="","",IF(AND($G533&gt;=30,$AT$3&lt;=DW$7),ROUND(DW533*($AP$3+#REF!),-1),""))</f>
        <v/>
      </c>
      <c r="DY533" s="503"/>
      <c r="DZ533" s="503" t="str">
        <f>IF($G533="","",IF(AND($G533&gt;=30,$AT$3&lt;=DY$7),ROUND(DY533*($AP$3+#REF!),-1),""))</f>
        <v/>
      </c>
      <c r="EA533" s="503"/>
      <c r="EB533" s="503" t="str">
        <f>IF($G533="","",IF(AND($G533&gt;=30,$AT$3&lt;=EA$7),ROUND(EA533*($AP$3+#REF!),-1),""))</f>
        <v/>
      </c>
      <c r="EC533" s="436"/>
      <c r="ED533" s="436"/>
      <c r="EE533" s="394"/>
    </row>
    <row r="534" spans="1:135" ht="9.75" customHeight="1">
      <c r="A534" s="321" t="str">
        <f t="shared" si="124"/>
        <v/>
      </c>
      <c r="B534" s="567">
        <f>(ii!$D$13*12+V534)+1</f>
        <v>428</v>
      </c>
      <c r="C534" s="337">
        <f t="shared" si="128"/>
        <v>58379</v>
      </c>
      <c r="D534" s="484">
        <f t="shared" si="117"/>
        <v>2059</v>
      </c>
      <c r="E534" s="484">
        <f t="shared" si="129"/>
        <v>0.83333333333333337</v>
      </c>
      <c r="F534" s="484">
        <f t="shared" si="118"/>
        <v>2059.8333333333335</v>
      </c>
      <c r="G534" s="485" t="str">
        <f>IF(OR(C534&lt;$I$2,C534&gt;$J$3),"",(ii!$D$13*12+V534+1)/12)</f>
        <v/>
      </c>
      <c r="H534" s="486"/>
      <c r="I534" s="486"/>
      <c r="J534" s="487"/>
      <c r="K534" s="488"/>
      <c r="L534" s="548"/>
      <c r="M534" s="489" t="str">
        <f t="shared" si="119"/>
        <v/>
      </c>
      <c r="N534" s="490" t="s">
        <v>621</v>
      </c>
      <c r="O534" s="490" t="str">
        <f t="shared" si="126"/>
        <v/>
      </c>
      <c r="P534" s="491"/>
      <c r="Q534" s="491"/>
      <c r="R534" s="491" t="str">
        <f t="shared" si="127"/>
        <v/>
      </c>
      <c r="S534" s="528" t="str">
        <f t="shared" si="125"/>
        <v/>
      </c>
      <c r="T534" s="528" t="str">
        <f t="shared" si="123"/>
        <v/>
      </c>
      <c r="U534" s="493" t="str">
        <f>IF(H534="","",#REF!*12+#REF!+#REF!*12+#REF!)</f>
        <v/>
      </c>
      <c r="V534" s="338">
        <f>IF(ii!$J$3&gt;gg!C534,"",IF(AND((YEAR(C534)=YEAR($I$2)),MONTH(C534)=MONTH($I$2)),ii!$B$14*12+ii!$C$14+ii!$B$15*12+ii!$C$15-1,V533+1))</f>
        <v>427</v>
      </c>
      <c r="W534" s="339">
        <f t="shared" si="130"/>
        <v>35.583333333333336</v>
      </c>
      <c r="X534" s="494" t="s">
        <v>621</v>
      </c>
      <c r="Y534" s="495" t="s">
        <v>621</v>
      </c>
      <c r="Z534" s="496"/>
      <c r="AA534" s="497"/>
      <c r="AB534" s="498" t="str">
        <f t="shared" si="122"/>
        <v/>
      </c>
      <c r="AC534" s="484" t="str">
        <f t="shared" si="120"/>
        <v/>
      </c>
      <c r="AD534" s="495" t="str">
        <f t="shared" si="121"/>
        <v/>
      </c>
      <c r="AE534" s="499" t="s">
        <v>621</v>
      </c>
      <c r="AF534" s="500" t="s">
        <v>621</v>
      </c>
      <c r="AG534" s="556" t="s">
        <v>621</v>
      </c>
      <c r="AH534" s="503" t="str">
        <f>IF($G534="","",IF(AND($G534&gt;=30,$AT$3&lt;=AG$7),ROUND(AG534*($AP$3+#REF!),-1),""))</f>
        <v/>
      </c>
      <c r="AI534" s="506" t="s">
        <v>621</v>
      </c>
      <c r="AJ534" s="503" t="str">
        <f>IF($G534="","",IF(AND($G534&gt;=30,$AT$3&lt;=AI$7),ROUND(AI534*($AP$3+#REF!),-1),""))</f>
        <v/>
      </c>
      <c r="AK534" s="506" t="s">
        <v>621</v>
      </c>
      <c r="AL534" s="503" t="str">
        <f>IF($G534="","",IF(AND($G534&gt;=30,$AT$3&lt;=AK$7),ROUND(AK534*($AP$3+#REF!),-1),""))</f>
        <v/>
      </c>
      <c r="AM534" s="506" t="s">
        <v>621</v>
      </c>
      <c r="AN534" s="503" t="str">
        <f>IF($G534="","",IF(AND($G534&gt;=30,$AT$3&lt;=AM$7),ROUND(AM534*($AP$3+#REF!),-1),""))</f>
        <v/>
      </c>
      <c r="AO534" s="503" t="e">
        <v>#REF!</v>
      </c>
      <c r="AP534" s="503" t="str">
        <f>IF($G534="","",IF(AND($G534&gt;=30,$AT$3&lt;=AO$7),ROUND(AO534*($AP$3+#REF!),-1),""))</f>
        <v/>
      </c>
      <c r="AQ534" s="503" t="s">
        <v>621</v>
      </c>
      <c r="AR534" s="503" t="str">
        <f>IF($G534="","",IF(AND($G534&gt;=30,$AT$3&lt;=AQ$7),ROUND(AQ534*($AP$3+#REF!),-1),""))</f>
        <v/>
      </c>
      <c r="AS534" s="503" t="s">
        <v>621</v>
      </c>
      <c r="AT534" s="503" t="str">
        <f>IF($G534="","",IF(AND($G534&gt;=30,$AT$3&lt;=AS$7),ROUND(AS534*($AP$3+#REF!),-1),""))</f>
        <v/>
      </c>
      <c r="AU534" s="503" t="s">
        <v>621</v>
      </c>
      <c r="AV534" s="503" t="str">
        <f>IF($G534="","",IF(AND($G534&gt;=30,$AT$3&lt;=AU$7),ROUND(AU534*($AP$3+#REF!),-1),""))</f>
        <v/>
      </c>
      <c r="AW534" s="503" t="s">
        <v>621</v>
      </c>
      <c r="AX534" s="503" t="str">
        <f>IF($G534="","",IF(AND($G534&gt;=30,$AT$3&lt;=AW$7),ROUND(AW534*($AP$3+#REF!),-1),""))</f>
        <v/>
      </c>
      <c r="AY534" s="503" t="s">
        <v>621</v>
      </c>
      <c r="AZ534" s="503" t="str">
        <f>IF($G534="","",IF(AND($G534&gt;=30,$AT$3&lt;=AY$7),ROUND(AY534*($AP$3+#REF!),-1),""))</f>
        <v/>
      </c>
      <c r="BA534" s="503" t="s">
        <v>621</v>
      </c>
      <c r="BB534" s="503" t="str">
        <f>IF($G534="","",IF(AND($G534&gt;=30,$AT$3&lt;=BA$7),ROUND(BA534*($AP$3+#REF!),-1),""))</f>
        <v/>
      </c>
      <c r="BC534" s="503" t="s">
        <v>621</v>
      </c>
      <c r="BD534" s="503" t="str">
        <f>IF($G534="","",IF(AND($G534&gt;=30,$AT$3&lt;=BC$7),ROUND(BC534*($AP$3+#REF!),-1),""))</f>
        <v/>
      </c>
      <c r="BE534" s="503" t="s">
        <v>621</v>
      </c>
      <c r="BF534" s="503" t="str">
        <f>IF($G534="","",IF(AND($G534&gt;=30,$AT$3&lt;=BE$7),ROUND(BE534*($AP$3+#REF!),-1),""))</f>
        <v/>
      </c>
      <c r="BG534" s="503" t="s">
        <v>621</v>
      </c>
      <c r="BH534" s="503" t="str">
        <f>IF($G534="","",IF(AND($G534&gt;=30,$AT$3&lt;=BG$7),ROUND(BG534*($AP$3+#REF!),-1),""))</f>
        <v/>
      </c>
      <c r="BI534" s="503" t="s">
        <v>621</v>
      </c>
      <c r="BJ534" s="503" t="str">
        <f>IF($G534="","",IF(AND($G534&gt;=30,$AT$3&lt;=BI$7),ROUND(BI534*($AP$3+#REF!),-1),""))</f>
        <v/>
      </c>
      <c r="BK534" s="503" t="s">
        <v>621</v>
      </c>
      <c r="BL534" s="503" t="str">
        <f>IF($G534="","",IF(AND($G534&gt;=30,$AT$3&lt;=BK$7),ROUND(BK534*($AP$3+#REF!),-1),""))</f>
        <v/>
      </c>
      <c r="BM534" s="503" t="s">
        <v>621</v>
      </c>
      <c r="BN534" s="503" t="str">
        <f>IF($G534="","",IF(AND($G534&gt;=30,$AT$3&lt;=BM$7),ROUND(BM534*($AP$3+#REF!),-1),""))</f>
        <v/>
      </c>
      <c r="BO534" s="503" t="s">
        <v>621</v>
      </c>
      <c r="BP534" s="503" t="str">
        <f>IF($G534="","",IF(AND($G534&gt;=30,$AT$3&lt;=BO$7),ROUND(BO534*($AP$3+#REF!),-1),""))</f>
        <v/>
      </c>
      <c r="BQ534" s="503" t="s">
        <v>621</v>
      </c>
      <c r="BR534" s="503" t="str">
        <f>IF($G534="","",IF(AND($G534&gt;=30,$AT$3&lt;=BQ$7),ROUND(BQ534*($AP$3+#REF!),-1),""))</f>
        <v/>
      </c>
      <c r="BS534" s="503" t="s">
        <v>621</v>
      </c>
      <c r="BT534" s="503" t="str">
        <f>IF($G534="","",IF(AND($G534&gt;=30,$AT$3&lt;=BS$7),ROUND(BS534*($AP$3+#REF!),-1),""))</f>
        <v/>
      </c>
      <c r="BU534" s="503" t="s">
        <v>621</v>
      </c>
      <c r="BV534" s="503" t="str">
        <f>IF($G534="","",IF(AND($G534&gt;=30,$AT$3&lt;=BU$7),ROUND(BU534*($AP$3+#REF!),-1),""))</f>
        <v/>
      </c>
      <c r="BW534" s="503" t="s">
        <v>621</v>
      </c>
      <c r="BX534" s="503" t="str">
        <f>IF($G534="","",IF(AND($G534&gt;=30,$AT$3&lt;=BW$7),ROUND(BW534*($AP$3+#REF!),-1),""))</f>
        <v/>
      </c>
      <c r="BY534" s="503" t="s">
        <v>621</v>
      </c>
      <c r="BZ534" s="503" t="str">
        <f>IF($G534="","",IF(AND($G534&gt;=30,$AT$3&lt;=BY$7),ROUND(BY534*($AP$3+#REF!),-1),""))</f>
        <v/>
      </c>
      <c r="CA534" s="503" t="s">
        <v>621</v>
      </c>
      <c r="CB534" s="503" t="str">
        <f>IF($G534="","",IF(AND($G534&gt;=30,$AT$3&lt;=CA$7),ROUND(CA534*($AP$3+#REF!),-1),""))</f>
        <v/>
      </c>
      <c r="CC534" s="503" t="s">
        <v>621</v>
      </c>
      <c r="CD534" s="503" t="str">
        <f>IF($G534="","",IF(AND($G534&gt;=30,$AT$3&lt;=CC$7),ROUND(CC534*($AP$3+#REF!),-1),""))</f>
        <v/>
      </c>
      <c r="CE534" s="503" t="s">
        <v>621</v>
      </c>
      <c r="CF534" s="503" t="str">
        <f>IF($G534="","",IF(AND($G534&gt;=30,$AT$3&lt;=CE$7),ROUND(CE534*($AP$3+#REF!),-1),""))</f>
        <v/>
      </c>
      <c r="CG534" s="503" t="s">
        <v>621</v>
      </c>
      <c r="CH534" s="503" t="str">
        <f>IF($G534="","",IF(AND($G534&gt;=30,$AT$3&lt;=CG$7),ROUND(CG534*($AP$3+#REF!),-1),""))</f>
        <v/>
      </c>
      <c r="CI534" s="503" t="s">
        <v>621</v>
      </c>
      <c r="CJ534" s="503" t="str">
        <f>IF($G534="","",IF(AND($G534&gt;=30,$AT$3&lt;=CI$7),ROUND(CI534*($AP$3+#REF!),-1),""))</f>
        <v/>
      </c>
      <c r="CK534" s="503" t="s">
        <v>621</v>
      </c>
      <c r="CL534" s="503" t="str">
        <f>IF($G534="","",IF(AND($G534&gt;=30,$AT$3&lt;=CK$7),ROUND(CK534*($AP$3+#REF!),-1),""))</f>
        <v/>
      </c>
      <c r="CM534" s="503" t="s">
        <v>621</v>
      </c>
      <c r="CN534" s="503" t="str">
        <f>IF($G534="","",IF(AND($G534&gt;=30,$AT$3&lt;=CM$7),ROUND(CM534*($AP$3+#REF!),-1),""))</f>
        <v/>
      </c>
      <c r="CO534" s="503" t="s">
        <v>621</v>
      </c>
      <c r="CP534" s="503" t="str">
        <f>IF($G534="","",IF(AND($G534&gt;=30,$AT$3&lt;=CO$7),ROUND(CO534*($AP$3+#REF!),-1),""))</f>
        <v/>
      </c>
      <c r="CQ534" s="503" t="s">
        <v>621</v>
      </c>
      <c r="CR534" s="503" t="str">
        <f>IF($G534="","",IF(AND($G534&gt;=30,$AT$3&lt;=CQ$7),ROUND(CQ534*($AP$3+#REF!),-1),""))</f>
        <v/>
      </c>
      <c r="CS534" s="503" t="s">
        <v>621</v>
      </c>
      <c r="CT534" s="503" t="str">
        <f>IF($G534="","",IF(AND($G534&gt;=30,$AT$3&lt;=CS$7),ROUND(CS534*($AP$3+#REF!),-1),""))</f>
        <v/>
      </c>
      <c r="CU534" s="503" t="s">
        <v>621</v>
      </c>
      <c r="CV534" s="503" t="str">
        <f>IF($G534="","",IF(AND($G534&gt;=30,$AT$3&lt;=CU$7),ROUND(CU534*($AP$3+#REF!),-1),""))</f>
        <v/>
      </c>
      <c r="CW534" s="503" t="s">
        <v>621</v>
      </c>
      <c r="CX534" s="503" t="str">
        <f>IF($G534="","",IF(AND($G534&gt;=30,$AT$3&lt;=CW$7),ROUND(CW534*($AP$3+#REF!),-1),""))</f>
        <v/>
      </c>
      <c r="CY534" s="503" t="s">
        <v>621</v>
      </c>
      <c r="CZ534" s="503" t="str">
        <f>IF($G534="","",IF(AND($G534&gt;=30,$AT$3&lt;=CY$7),ROUND(CY534*($AP$3+#REF!),-1),""))</f>
        <v/>
      </c>
      <c r="DA534" s="503" t="s">
        <v>621</v>
      </c>
      <c r="DB534" s="503" t="str">
        <f>IF($G534="","",IF(AND($G534&gt;=30,$AT$3&lt;=DA$7),ROUND(DA534*($AP$3+#REF!),-1),""))</f>
        <v/>
      </c>
      <c r="DC534" s="503" t="s">
        <v>621</v>
      </c>
      <c r="DD534" s="503" t="str">
        <f>IF($G534="","",IF(AND($G534&gt;=30,$AT$3&lt;=DC$7),ROUND(DC534*($AP$3+#REF!),-1),""))</f>
        <v/>
      </c>
      <c r="DE534" s="503" t="s">
        <v>621</v>
      </c>
      <c r="DF534" s="503" t="str">
        <f>IF($G534="","",IF(AND($G534&gt;=30,$AT$3&lt;=DE$7),ROUND(DE534*($AP$3+#REF!),-1),""))</f>
        <v/>
      </c>
      <c r="DG534" s="503" t="s">
        <v>621</v>
      </c>
      <c r="DH534" s="503" t="str">
        <f>IF($G534="","",IF(AND($G534&gt;=30,$AT$3&lt;=DG$7),ROUND(DG534*($AP$3+#REF!),-1),""))</f>
        <v/>
      </c>
      <c r="DI534" s="503" t="s">
        <v>621</v>
      </c>
      <c r="DJ534" s="503" t="str">
        <f>IF($G534="","",IF(AND($G534&gt;=30,$AT$3&lt;=DI$7),ROUND(DI534*($AP$3+#REF!),-1),""))</f>
        <v/>
      </c>
      <c r="DK534" s="503" t="s">
        <v>621</v>
      </c>
      <c r="DL534" s="503" t="str">
        <f>IF($G534="","",IF(AND($G534&gt;=30,$AT$3&lt;=DK$7),ROUND(DK534*($AP$3+#REF!),-1),""))</f>
        <v/>
      </c>
      <c r="DM534" s="503" t="s">
        <v>621</v>
      </c>
      <c r="DN534" s="503" t="str">
        <f>IF($G534="","",IF(AND($G534&gt;=30,$AT$3&lt;=DM$7),ROUND(DM534*($AP$3+#REF!),-1),""))</f>
        <v/>
      </c>
      <c r="DO534" s="517" t="e">
        <v>#REF!</v>
      </c>
      <c r="DP534" s="503" t="str">
        <f>IF($G534="","",IF(AND($G534&gt;=30,$AT$3&lt;=DO$7),ROUND(DO534*($AP$3+#REF!),-1),""))</f>
        <v/>
      </c>
      <c r="DQ534" s="503"/>
      <c r="DR534" s="503" t="str">
        <f>IF($G534="","",IF(AND($G534&gt;=30,$AT$3&lt;=DQ$7),ROUND(DQ534*($AP$3+#REF!),-1),""))</f>
        <v/>
      </c>
      <c r="DS534" s="503"/>
      <c r="DT534" s="503" t="str">
        <f>IF($G534="","",IF(AND($G534&gt;=30,$AT$3&lt;=DS$7),ROUND(DS534*($AP$3+#REF!),-1),""))</f>
        <v/>
      </c>
      <c r="DU534" s="503"/>
      <c r="DV534" s="503" t="str">
        <f>IF($G534="","",IF(AND($G534&gt;=30,$AT$3&lt;=DU$7),ROUND(DU534*($AP$3+#REF!),-1),""))</f>
        <v/>
      </c>
      <c r="DW534" s="503"/>
      <c r="DX534" s="503" t="str">
        <f>IF($G534="","",IF(AND($G534&gt;=30,$AT$3&lt;=DW$7),ROUND(DW534*($AP$3+#REF!),-1),""))</f>
        <v/>
      </c>
      <c r="DY534" s="503"/>
      <c r="DZ534" s="503" t="str">
        <f>IF($G534="","",IF(AND($G534&gt;=30,$AT$3&lt;=DY$7),ROUND(DY534*($AP$3+#REF!),-1),""))</f>
        <v/>
      </c>
      <c r="EA534" s="503"/>
      <c r="EB534" s="503" t="str">
        <f>IF($G534="","",IF(AND($G534&gt;=30,$AT$3&lt;=EA$7),ROUND(EA534*($AP$3+#REF!),-1),""))</f>
        <v/>
      </c>
      <c r="EC534" s="436"/>
      <c r="ED534" s="436"/>
      <c r="EE534" s="394"/>
    </row>
    <row r="535" spans="1:135" ht="9.75" customHeight="1">
      <c r="A535" s="321" t="str">
        <f t="shared" si="124"/>
        <v/>
      </c>
      <c r="B535" s="567">
        <f>(ii!$D$13*12+V535)+1</f>
        <v>429</v>
      </c>
      <c r="C535" s="337">
        <f t="shared" si="128"/>
        <v>58409</v>
      </c>
      <c r="D535" s="484">
        <f t="shared" si="117"/>
        <v>2059</v>
      </c>
      <c r="E535" s="484">
        <f t="shared" si="129"/>
        <v>0.91666666666666663</v>
      </c>
      <c r="F535" s="484">
        <f t="shared" si="118"/>
        <v>2059.9166666666665</v>
      </c>
      <c r="G535" s="485" t="str">
        <f>IF(OR(C535&lt;$I$2,C535&gt;$J$3),"",(ii!$D$13*12+V535+1)/12)</f>
        <v/>
      </c>
      <c r="H535" s="486"/>
      <c r="I535" s="486"/>
      <c r="J535" s="487"/>
      <c r="K535" s="488"/>
      <c r="L535" s="548"/>
      <c r="M535" s="489" t="str">
        <f t="shared" si="119"/>
        <v/>
      </c>
      <c r="N535" s="490" t="s">
        <v>621</v>
      </c>
      <c r="O535" s="490" t="str">
        <f t="shared" si="126"/>
        <v/>
      </c>
      <c r="P535" s="491"/>
      <c r="Q535" s="491"/>
      <c r="R535" s="491" t="str">
        <f t="shared" si="127"/>
        <v/>
      </c>
      <c r="S535" s="528" t="str">
        <f t="shared" si="125"/>
        <v/>
      </c>
      <c r="T535" s="528" t="str">
        <f t="shared" si="123"/>
        <v/>
      </c>
      <c r="U535" s="493" t="str">
        <f>IF(H535="","",#REF!*12+#REF!+#REF!*12+#REF!)</f>
        <v/>
      </c>
      <c r="V535" s="338">
        <f>IF(ii!$J$3&gt;gg!C535,"",IF(AND((YEAR(C535)=YEAR($I$2)),MONTH(C535)=MONTH($I$2)),ii!$B$14*12+ii!$C$14+ii!$B$15*12+ii!$C$15-1,V534+1))</f>
        <v>428</v>
      </c>
      <c r="W535" s="339">
        <f t="shared" si="130"/>
        <v>35.666666666666664</v>
      </c>
      <c r="X535" s="494" t="s">
        <v>621</v>
      </c>
      <c r="Y535" s="495" t="s">
        <v>621</v>
      </c>
      <c r="Z535" s="496"/>
      <c r="AA535" s="497"/>
      <c r="AB535" s="498" t="str">
        <f t="shared" si="122"/>
        <v/>
      </c>
      <c r="AC535" s="484" t="str">
        <f t="shared" si="120"/>
        <v/>
      </c>
      <c r="AD535" s="495" t="str">
        <f t="shared" si="121"/>
        <v/>
      </c>
      <c r="AE535" s="499" t="s">
        <v>621</v>
      </c>
      <c r="AF535" s="500" t="s">
        <v>621</v>
      </c>
      <c r="AG535" s="556" t="s">
        <v>621</v>
      </c>
      <c r="AH535" s="503" t="str">
        <f>IF($G535="","",IF(AND($G535&gt;=30,$AT$3&lt;=AG$7),ROUND(AG535*($AP$3+#REF!),-1),""))</f>
        <v/>
      </c>
      <c r="AI535" s="506" t="s">
        <v>621</v>
      </c>
      <c r="AJ535" s="503" t="str">
        <f>IF($G535="","",IF(AND($G535&gt;=30,$AT$3&lt;=AI$7),ROUND(AI535*($AP$3+#REF!),-1),""))</f>
        <v/>
      </c>
      <c r="AK535" s="506" t="s">
        <v>621</v>
      </c>
      <c r="AL535" s="503" t="str">
        <f>IF($G535="","",IF(AND($G535&gt;=30,$AT$3&lt;=AK$7),ROUND(AK535*($AP$3+#REF!),-1),""))</f>
        <v/>
      </c>
      <c r="AM535" s="506" t="s">
        <v>621</v>
      </c>
      <c r="AN535" s="503" t="str">
        <f>IF($G535="","",IF(AND($G535&gt;=30,$AT$3&lt;=AM$7),ROUND(AM535*($AP$3+#REF!),-1),""))</f>
        <v/>
      </c>
      <c r="AO535" s="503" t="e">
        <v>#REF!</v>
      </c>
      <c r="AP535" s="503" t="str">
        <f>IF($G535="","",IF(AND($G535&gt;=30,$AT$3&lt;=AO$7),ROUND(AO535*($AP$3+#REF!),-1),""))</f>
        <v/>
      </c>
      <c r="AQ535" s="503" t="s">
        <v>621</v>
      </c>
      <c r="AR535" s="503" t="str">
        <f>IF($G535="","",IF(AND($G535&gt;=30,$AT$3&lt;=AQ$7),ROUND(AQ535*($AP$3+#REF!),-1),""))</f>
        <v/>
      </c>
      <c r="AS535" s="503" t="s">
        <v>621</v>
      </c>
      <c r="AT535" s="503" t="str">
        <f>IF($G535="","",IF(AND($G535&gt;=30,$AT$3&lt;=AS$7),ROUND(AS535*($AP$3+#REF!),-1),""))</f>
        <v/>
      </c>
      <c r="AU535" s="503" t="s">
        <v>621</v>
      </c>
      <c r="AV535" s="503" t="str">
        <f>IF($G535="","",IF(AND($G535&gt;=30,$AT$3&lt;=AU$7),ROUND(AU535*($AP$3+#REF!),-1),""))</f>
        <v/>
      </c>
      <c r="AW535" s="503" t="s">
        <v>621</v>
      </c>
      <c r="AX535" s="503" t="str">
        <f>IF($G535="","",IF(AND($G535&gt;=30,$AT$3&lt;=AW$7),ROUND(AW535*($AP$3+#REF!),-1),""))</f>
        <v/>
      </c>
      <c r="AY535" s="503" t="s">
        <v>621</v>
      </c>
      <c r="AZ535" s="503" t="str">
        <f>IF($G535="","",IF(AND($G535&gt;=30,$AT$3&lt;=AY$7),ROUND(AY535*($AP$3+#REF!),-1),""))</f>
        <v/>
      </c>
      <c r="BA535" s="503" t="s">
        <v>621</v>
      </c>
      <c r="BB535" s="503" t="str">
        <f>IF($G535="","",IF(AND($G535&gt;=30,$AT$3&lt;=BA$7),ROUND(BA535*($AP$3+#REF!),-1),""))</f>
        <v/>
      </c>
      <c r="BC535" s="503" t="s">
        <v>621</v>
      </c>
      <c r="BD535" s="503" t="str">
        <f>IF($G535="","",IF(AND($G535&gt;=30,$AT$3&lt;=BC$7),ROUND(BC535*($AP$3+#REF!),-1),""))</f>
        <v/>
      </c>
      <c r="BE535" s="503" t="s">
        <v>621</v>
      </c>
      <c r="BF535" s="503" t="str">
        <f>IF($G535="","",IF(AND($G535&gt;=30,$AT$3&lt;=BE$7),ROUND(BE535*($AP$3+#REF!),-1),""))</f>
        <v/>
      </c>
      <c r="BG535" s="503" t="s">
        <v>621</v>
      </c>
      <c r="BH535" s="503" t="str">
        <f>IF($G535="","",IF(AND($G535&gt;=30,$AT$3&lt;=BG$7),ROUND(BG535*($AP$3+#REF!),-1),""))</f>
        <v/>
      </c>
      <c r="BI535" s="503" t="s">
        <v>621</v>
      </c>
      <c r="BJ535" s="503" t="str">
        <f>IF($G535="","",IF(AND($G535&gt;=30,$AT$3&lt;=BI$7),ROUND(BI535*($AP$3+#REF!),-1),""))</f>
        <v/>
      </c>
      <c r="BK535" s="503" t="s">
        <v>621</v>
      </c>
      <c r="BL535" s="503" t="str">
        <f>IF($G535="","",IF(AND($G535&gt;=30,$AT$3&lt;=BK$7),ROUND(BK535*($AP$3+#REF!),-1),""))</f>
        <v/>
      </c>
      <c r="BM535" s="503" t="s">
        <v>621</v>
      </c>
      <c r="BN535" s="503" t="str">
        <f>IF($G535="","",IF(AND($G535&gt;=30,$AT$3&lt;=BM$7),ROUND(BM535*($AP$3+#REF!),-1),""))</f>
        <v/>
      </c>
      <c r="BO535" s="503" t="s">
        <v>621</v>
      </c>
      <c r="BP535" s="503" t="str">
        <f>IF($G535="","",IF(AND($G535&gt;=30,$AT$3&lt;=BO$7),ROUND(BO535*($AP$3+#REF!),-1),""))</f>
        <v/>
      </c>
      <c r="BQ535" s="503" t="s">
        <v>621</v>
      </c>
      <c r="BR535" s="503" t="str">
        <f>IF($G535="","",IF(AND($G535&gt;=30,$AT$3&lt;=BQ$7),ROUND(BQ535*($AP$3+#REF!),-1),""))</f>
        <v/>
      </c>
      <c r="BS535" s="503" t="s">
        <v>621</v>
      </c>
      <c r="BT535" s="503" t="str">
        <f>IF($G535="","",IF(AND($G535&gt;=30,$AT$3&lt;=BS$7),ROUND(BS535*($AP$3+#REF!),-1),""))</f>
        <v/>
      </c>
      <c r="BU535" s="503" t="s">
        <v>621</v>
      </c>
      <c r="BV535" s="503" t="str">
        <f>IF($G535="","",IF(AND($G535&gt;=30,$AT$3&lt;=BU$7),ROUND(BU535*($AP$3+#REF!),-1),""))</f>
        <v/>
      </c>
      <c r="BW535" s="503" t="s">
        <v>621</v>
      </c>
      <c r="BX535" s="503" t="str">
        <f>IF($G535="","",IF(AND($G535&gt;=30,$AT$3&lt;=BW$7),ROUND(BW535*($AP$3+#REF!),-1),""))</f>
        <v/>
      </c>
      <c r="BY535" s="503" t="s">
        <v>621</v>
      </c>
      <c r="BZ535" s="503" t="str">
        <f>IF($G535="","",IF(AND($G535&gt;=30,$AT$3&lt;=BY$7),ROUND(BY535*($AP$3+#REF!),-1),""))</f>
        <v/>
      </c>
      <c r="CA535" s="503" t="s">
        <v>621</v>
      </c>
      <c r="CB535" s="503" t="str">
        <f>IF($G535="","",IF(AND($G535&gt;=30,$AT$3&lt;=CA$7),ROUND(CA535*($AP$3+#REF!),-1),""))</f>
        <v/>
      </c>
      <c r="CC535" s="503" t="s">
        <v>621</v>
      </c>
      <c r="CD535" s="503" t="str">
        <f>IF($G535="","",IF(AND($G535&gt;=30,$AT$3&lt;=CC$7),ROUND(CC535*($AP$3+#REF!),-1),""))</f>
        <v/>
      </c>
      <c r="CE535" s="503" t="s">
        <v>621</v>
      </c>
      <c r="CF535" s="503" t="str">
        <f>IF($G535="","",IF(AND($G535&gt;=30,$AT$3&lt;=CE$7),ROUND(CE535*($AP$3+#REF!),-1),""))</f>
        <v/>
      </c>
      <c r="CG535" s="503" t="s">
        <v>621</v>
      </c>
      <c r="CH535" s="503" t="str">
        <f>IF($G535="","",IF(AND($G535&gt;=30,$AT$3&lt;=CG$7),ROUND(CG535*($AP$3+#REF!),-1),""))</f>
        <v/>
      </c>
      <c r="CI535" s="503" t="s">
        <v>621</v>
      </c>
      <c r="CJ535" s="503" t="str">
        <f>IF($G535="","",IF(AND($G535&gt;=30,$AT$3&lt;=CI$7),ROUND(CI535*($AP$3+#REF!),-1),""))</f>
        <v/>
      </c>
      <c r="CK535" s="503" t="s">
        <v>621</v>
      </c>
      <c r="CL535" s="503" t="str">
        <f>IF($G535="","",IF(AND($G535&gt;=30,$AT$3&lt;=CK$7),ROUND(CK535*($AP$3+#REF!),-1),""))</f>
        <v/>
      </c>
      <c r="CM535" s="503" t="s">
        <v>621</v>
      </c>
      <c r="CN535" s="503" t="str">
        <f>IF($G535="","",IF(AND($G535&gt;=30,$AT$3&lt;=CM$7),ROUND(CM535*($AP$3+#REF!),-1),""))</f>
        <v/>
      </c>
      <c r="CO535" s="503" t="s">
        <v>621</v>
      </c>
      <c r="CP535" s="503" t="str">
        <f>IF($G535="","",IF(AND($G535&gt;=30,$AT$3&lt;=CO$7),ROUND(CO535*($AP$3+#REF!),-1),""))</f>
        <v/>
      </c>
      <c r="CQ535" s="503" t="s">
        <v>621</v>
      </c>
      <c r="CR535" s="503" t="str">
        <f>IF($G535="","",IF(AND($G535&gt;=30,$AT$3&lt;=CQ$7),ROUND(CQ535*($AP$3+#REF!),-1),""))</f>
        <v/>
      </c>
      <c r="CS535" s="503" t="s">
        <v>621</v>
      </c>
      <c r="CT535" s="503" t="str">
        <f>IF($G535="","",IF(AND($G535&gt;=30,$AT$3&lt;=CS$7),ROUND(CS535*($AP$3+#REF!),-1),""))</f>
        <v/>
      </c>
      <c r="CU535" s="503" t="s">
        <v>621</v>
      </c>
      <c r="CV535" s="503" t="str">
        <f>IF($G535="","",IF(AND($G535&gt;=30,$AT$3&lt;=CU$7),ROUND(CU535*($AP$3+#REF!),-1),""))</f>
        <v/>
      </c>
      <c r="CW535" s="503" t="s">
        <v>621</v>
      </c>
      <c r="CX535" s="503" t="str">
        <f>IF($G535="","",IF(AND($G535&gt;=30,$AT$3&lt;=CW$7),ROUND(CW535*($AP$3+#REF!),-1),""))</f>
        <v/>
      </c>
      <c r="CY535" s="503" t="s">
        <v>621</v>
      </c>
      <c r="CZ535" s="503" t="str">
        <f>IF($G535="","",IF(AND($G535&gt;=30,$AT$3&lt;=CY$7),ROUND(CY535*($AP$3+#REF!),-1),""))</f>
        <v/>
      </c>
      <c r="DA535" s="503" t="s">
        <v>621</v>
      </c>
      <c r="DB535" s="503" t="str">
        <f>IF($G535="","",IF(AND($G535&gt;=30,$AT$3&lt;=DA$7),ROUND(DA535*($AP$3+#REF!),-1),""))</f>
        <v/>
      </c>
      <c r="DC535" s="503" t="s">
        <v>621</v>
      </c>
      <c r="DD535" s="503" t="str">
        <f>IF($G535="","",IF(AND($G535&gt;=30,$AT$3&lt;=DC$7),ROUND(DC535*($AP$3+#REF!),-1),""))</f>
        <v/>
      </c>
      <c r="DE535" s="503" t="s">
        <v>621</v>
      </c>
      <c r="DF535" s="503" t="str">
        <f>IF($G535="","",IF(AND($G535&gt;=30,$AT$3&lt;=DE$7),ROUND(DE535*($AP$3+#REF!),-1),""))</f>
        <v/>
      </c>
      <c r="DG535" s="503" t="s">
        <v>621</v>
      </c>
      <c r="DH535" s="503" t="str">
        <f>IF($G535="","",IF(AND($G535&gt;=30,$AT$3&lt;=DG$7),ROUND(DG535*($AP$3+#REF!),-1),""))</f>
        <v/>
      </c>
      <c r="DI535" s="503" t="s">
        <v>621</v>
      </c>
      <c r="DJ535" s="503" t="str">
        <f>IF($G535="","",IF(AND($G535&gt;=30,$AT$3&lt;=DI$7),ROUND(DI535*($AP$3+#REF!),-1),""))</f>
        <v/>
      </c>
      <c r="DK535" s="503" t="s">
        <v>621</v>
      </c>
      <c r="DL535" s="503" t="str">
        <f>IF($G535="","",IF(AND($G535&gt;=30,$AT$3&lt;=DK$7),ROUND(DK535*($AP$3+#REF!),-1),""))</f>
        <v/>
      </c>
      <c r="DM535" s="503" t="s">
        <v>621</v>
      </c>
      <c r="DN535" s="503" t="str">
        <f>IF($G535="","",IF(AND($G535&gt;=30,$AT$3&lt;=DM$7),ROUND(DM535*($AP$3+#REF!),-1),""))</f>
        <v/>
      </c>
      <c r="DO535" s="517" t="e">
        <v>#REF!</v>
      </c>
      <c r="DP535" s="503" t="str">
        <f>IF($G535="","",IF(AND($G535&gt;=30,$AT$3&lt;=DO$7),ROUND(DO535*($AP$3+#REF!),-1),""))</f>
        <v/>
      </c>
      <c r="DQ535" s="503"/>
      <c r="DR535" s="503" t="str">
        <f>IF($G535="","",IF(AND($G535&gt;=30,$AT$3&lt;=DQ$7),ROUND(DQ535*($AP$3+#REF!),-1),""))</f>
        <v/>
      </c>
      <c r="DS535" s="503"/>
      <c r="DT535" s="503" t="str">
        <f>IF($G535="","",IF(AND($G535&gt;=30,$AT$3&lt;=DS$7),ROUND(DS535*($AP$3+#REF!),-1),""))</f>
        <v/>
      </c>
      <c r="DU535" s="503"/>
      <c r="DV535" s="503" t="str">
        <f>IF($G535="","",IF(AND($G535&gt;=30,$AT$3&lt;=DU$7),ROUND(DU535*($AP$3+#REF!),-1),""))</f>
        <v/>
      </c>
      <c r="DW535" s="503"/>
      <c r="DX535" s="503" t="str">
        <f>IF($G535="","",IF(AND($G535&gt;=30,$AT$3&lt;=DW$7),ROUND(DW535*($AP$3+#REF!),-1),""))</f>
        <v/>
      </c>
      <c r="DY535" s="503"/>
      <c r="DZ535" s="503" t="str">
        <f>IF($G535="","",IF(AND($G535&gt;=30,$AT$3&lt;=DY$7),ROUND(DY535*($AP$3+#REF!),-1),""))</f>
        <v/>
      </c>
      <c r="EA535" s="503"/>
      <c r="EB535" s="503" t="str">
        <f>IF($G535="","",IF(AND($G535&gt;=30,$AT$3&lt;=EA$7),ROUND(EA535*($AP$3+#REF!),-1),""))</f>
        <v/>
      </c>
      <c r="EC535" s="436"/>
      <c r="ED535" s="436"/>
      <c r="EE535" s="394"/>
    </row>
    <row r="536" spans="1:135" ht="9.75" customHeight="1">
      <c r="A536" s="321" t="str">
        <f t="shared" si="124"/>
        <v/>
      </c>
      <c r="B536" s="567">
        <f>(ii!$D$13*12+V536)+1</f>
        <v>430</v>
      </c>
      <c r="C536" s="337">
        <f t="shared" si="128"/>
        <v>58440</v>
      </c>
      <c r="D536" s="484">
        <f t="shared" si="117"/>
        <v>2059</v>
      </c>
      <c r="E536" s="484">
        <f t="shared" si="129"/>
        <v>1</v>
      </c>
      <c r="F536" s="484">
        <f t="shared" si="118"/>
        <v>2060</v>
      </c>
      <c r="G536" s="485" t="str">
        <f>IF(OR(C536&lt;$I$2,C536&gt;$J$3),"",(ii!$D$13*12+V536+1)/12)</f>
        <v/>
      </c>
      <c r="H536" s="486"/>
      <c r="I536" s="486"/>
      <c r="J536" s="487"/>
      <c r="K536" s="488"/>
      <c r="L536" s="548"/>
      <c r="M536" s="489" t="str">
        <f t="shared" si="119"/>
        <v/>
      </c>
      <c r="N536" s="490" t="s">
        <v>621</v>
      </c>
      <c r="O536" s="490" t="str">
        <f t="shared" si="126"/>
        <v/>
      </c>
      <c r="P536" s="491"/>
      <c r="Q536" s="491"/>
      <c r="R536" s="491" t="str">
        <f t="shared" si="127"/>
        <v/>
      </c>
      <c r="S536" s="528" t="str">
        <f t="shared" si="125"/>
        <v/>
      </c>
      <c r="T536" s="528" t="str">
        <f t="shared" si="123"/>
        <v/>
      </c>
      <c r="U536" s="493" t="str">
        <f>IF(H536="","",#REF!*12+#REF!+#REF!*12+#REF!)</f>
        <v/>
      </c>
      <c r="V536" s="338">
        <f>IF(ii!$J$3&gt;gg!C536,"",IF(AND((YEAR(C536)=YEAR($I$2)),MONTH(C536)=MONTH($I$2)),ii!$B$14*12+ii!$C$14+ii!$B$15*12+ii!$C$15-1,V535+1))</f>
        <v>429</v>
      </c>
      <c r="W536" s="339">
        <f t="shared" si="130"/>
        <v>35.75</v>
      </c>
      <c r="X536" s="494" t="s">
        <v>621</v>
      </c>
      <c r="Y536" s="495" t="s">
        <v>621</v>
      </c>
      <c r="Z536" s="496"/>
      <c r="AA536" s="497"/>
      <c r="AB536" s="498" t="str">
        <f t="shared" si="122"/>
        <v/>
      </c>
      <c r="AC536" s="484" t="str">
        <f t="shared" si="120"/>
        <v/>
      </c>
      <c r="AD536" s="495" t="str">
        <f t="shared" si="121"/>
        <v/>
      </c>
      <c r="AE536" s="499" t="s">
        <v>621</v>
      </c>
      <c r="AF536" s="500" t="s">
        <v>621</v>
      </c>
      <c r="AG536" s="556" t="s">
        <v>621</v>
      </c>
      <c r="AH536" s="503" t="str">
        <f>IF($G536="","",IF(AND($G536&gt;=30,$AT$3&lt;=AG$7),ROUND(AG536*($AP$3+#REF!),-1),""))</f>
        <v/>
      </c>
      <c r="AI536" s="506" t="s">
        <v>621</v>
      </c>
      <c r="AJ536" s="503" t="str">
        <f>IF($G536="","",IF(AND($G536&gt;=30,$AT$3&lt;=AI$7),ROUND(AI536*($AP$3+#REF!),-1),""))</f>
        <v/>
      </c>
      <c r="AK536" s="506" t="s">
        <v>621</v>
      </c>
      <c r="AL536" s="503" t="str">
        <f>IF($G536="","",IF(AND($G536&gt;=30,$AT$3&lt;=AK$7),ROUND(AK536*($AP$3+#REF!),-1),""))</f>
        <v/>
      </c>
      <c r="AM536" s="506" t="s">
        <v>621</v>
      </c>
      <c r="AN536" s="503" t="str">
        <f>IF($G536="","",IF(AND($G536&gt;=30,$AT$3&lt;=AM$7),ROUND(AM536*($AP$3+#REF!),-1),""))</f>
        <v/>
      </c>
      <c r="AO536" s="503" t="e">
        <v>#REF!</v>
      </c>
      <c r="AP536" s="503" t="str">
        <f>IF($G536="","",IF(AND($G536&gt;=30,$AT$3&lt;=AO$7),ROUND(AO536*($AP$3+#REF!),-1),""))</f>
        <v/>
      </c>
      <c r="AQ536" s="503" t="s">
        <v>621</v>
      </c>
      <c r="AR536" s="503" t="str">
        <f>IF($G536="","",IF(AND($G536&gt;=30,$AT$3&lt;=AQ$7),ROUND(AQ536*($AP$3+#REF!),-1),""))</f>
        <v/>
      </c>
      <c r="AS536" s="503" t="s">
        <v>621</v>
      </c>
      <c r="AT536" s="503" t="str">
        <f>IF($G536="","",IF(AND($G536&gt;=30,$AT$3&lt;=AS$7),ROUND(AS536*($AP$3+#REF!),-1),""))</f>
        <v/>
      </c>
      <c r="AU536" s="503" t="s">
        <v>621</v>
      </c>
      <c r="AV536" s="503" t="str">
        <f>IF($G536="","",IF(AND($G536&gt;=30,$AT$3&lt;=AU$7),ROUND(AU536*($AP$3+#REF!),-1),""))</f>
        <v/>
      </c>
      <c r="AW536" s="503" t="s">
        <v>621</v>
      </c>
      <c r="AX536" s="503" t="str">
        <f>IF($G536="","",IF(AND($G536&gt;=30,$AT$3&lt;=AW$7),ROUND(AW536*($AP$3+#REF!),-1),""))</f>
        <v/>
      </c>
      <c r="AY536" s="503" t="s">
        <v>621</v>
      </c>
      <c r="AZ536" s="503" t="str">
        <f>IF($G536="","",IF(AND($G536&gt;=30,$AT$3&lt;=AY$7),ROUND(AY536*($AP$3+#REF!),-1),""))</f>
        <v/>
      </c>
      <c r="BA536" s="503" t="s">
        <v>621</v>
      </c>
      <c r="BB536" s="503" t="str">
        <f>IF($G536="","",IF(AND($G536&gt;=30,$AT$3&lt;=BA$7),ROUND(BA536*($AP$3+#REF!),-1),""))</f>
        <v/>
      </c>
      <c r="BC536" s="503" t="s">
        <v>621</v>
      </c>
      <c r="BD536" s="503" t="str">
        <f>IF($G536="","",IF(AND($G536&gt;=30,$AT$3&lt;=BC$7),ROUND(BC536*($AP$3+#REF!),-1),""))</f>
        <v/>
      </c>
      <c r="BE536" s="503" t="s">
        <v>621</v>
      </c>
      <c r="BF536" s="503" t="str">
        <f>IF($G536="","",IF(AND($G536&gt;=30,$AT$3&lt;=BE$7),ROUND(BE536*($AP$3+#REF!),-1),""))</f>
        <v/>
      </c>
      <c r="BG536" s="503" t="s">
        <v>621</v>
      </c>
      <c r="BH536" s="503" t="str">
        <f>IF($G536="","",IF(AND($G536&gt;=30,$AT$3&lt;=BG$7),ROUND(BG536*($AP$3+#REF!),-1),""))</f>
        <v/>
      </c>
      <c r="BI536" s="503" t="s">
        <v>621</v>
      </c>
      <c r="BJ536" s="503" t="str">
        <f>IF($G536="","",IF(AND($G536&gt;=30,$AT$3&lt;=BI$7),ROUND(BI536*($AP$3+#REF!),-1),""))</f>
        <v/>
      </c>
      <c r="BK536" s="503" t="s">
        <v>621</v>
      </c>
      <c r="BL536" s="503" t="str">
        <f>IF($G536="","",IF(AND($G536&gt;=30,$AT$3&lt;=BK$7),ROUND(BK536*($AP$3+#REF!),-1),""))</f>
        <v/>
      </c>
      <c r="BM536" s="503" t="s">
        <v>621</v>
      </c>
      <c r="BN536" s="503" t="str">
        <f>IF($G536="","",IF(AND($G536&gt;=30,$AT$3&lt;=BM$7),ROUND(BM536*($AP$3+#REF!),-1),""))</f>
        <v/>
      </c>
      <c r="BO536" s="503" t="s">
        <v>621</v>
      </c>
      <c r="BP536" s="503" t="str">
        <f>IF($G536="","",IF(AND($G536&gt;=30,$AT$3&lt;=BO$7),ROUND(BO536*($AP$3+#REF!),-1),""))</f>
        <v/>
      </c>
      <c r="BQ536" s="503" t="s">
        <v>621</v>
      </c>
      <c r="BR536" s="503" t="str">
        <f>IF($G536="","",IF(AND($G536&gt;=30,$AT$3&lt;=BQ$7),ROUND(BQ536*($AP$3+#REF!),-1),""))</f>
        <v/>
      </c>
      <c r="BS536" s="503" t="s">
        <v>621</v>
      </c>
      <c r="BT536" s="503" t="str">
        <f>IF($G536="","",IF(AND($G536&gt;=30,$AT$3&lt;=BS$7),ROUND(BS536*($AP$3+#REF!),-1),""))</f>
        <v/>
      </c>
      <c r="BU536" s="503" t="s">
        <v>621</v>
      </c>
      <c r="BV536" s="503" t="str">
        <f>IF($G536="","",IF(AND($G536&gt;=30,$AT$3&lt;=BU$7),ROUND(BU536*($AP$3+#REF!),-1),""))</f>
        <v/>
      </c>
      <c r="BW536" s="503" t="s">
        <v>621</v>
      </c>
      <c r="BX536" s="503" t="str">
        <f>IF($G536="","",IF(AND($G536&gt;=30,$AT$3&lt;=BW$7),ROUND(BW536*($AP$3+#REF!),-1),""))</f>
        <v/>
      </c>
      <c r="BY536" s="503" t="s">
        <v>621</v>
      </c>
      <c r="BZ536" s="503" t="str">
        <f>IF($G536="","",IF(AND($G536&gt;=30,$AT$3&lt;=BY$7),ROUND(BY536*($AP$3+#REF!),-1),""))</f>
        <v/>
      </c>
      <c r="CA536" s="503" t="s">
        <v>621</v>
      </c>
      <c r="CB536" s="503" t="str">
        <f>IF($G536="","",IF(AND($G536&gt;=30,$AT$3&lt;=CA$7),ROUND(CA536*($AP$3+#REF!),-1),""))</f>
        <v/>
      </c>
      <c r="CC536" s="503" t="s">
        <v>621</v>
      </c>
      <c r="CD536" s="503" t="str">
        <f>IF($G536="","",IF(AND($G536&gt;=30,$AT$3&lt;=CC$7),ROUND(CC536*($AP$3+#REF!),-1),""))</f>
        <v/>
      </c>
      <c r="CE536" s="503" t="s">
        <v>621</v>
      </c>
      <c r="CF536" s="503" t="str">
        <f>IF($G536="","",IF(AND($G536&gt;=30,$AT$3&lt;=CE$7),ROUND(CE536*($AP$3+#REF!),-1),""))</f>
        <v/>
      </c>
      <c r="CG536" s="503" t="s">
        <v>621</v>
      </c>
      <c r="CH536" s="503" t="str">
        <f>IF($G536="","",IF(AND($G536&gt;=30,$AT$3&lt;=CG$7),ROUND(CG536*($AP$3+#REF!),-1),""))</f>
        <v/>
      </c>
      <c r="CI536" s="503" t="s">
        <v>621</v>
      </c>
      <c r="CJ536" s="503" t="str">
        <f>IF($G536="","",IF(AND($G536&gt;=30,$AT$3&lt;=CI$7),ROUND(CI536*($AP$3+#REF!),-1),""))</f>
        <v/>
      </c>
      <c r="CK536" s="503" t="s">
        <v>621</v>
      </c>
      <c r="CL536" s="503" t="str">
        <f>IF($G536="","",IF(AND($G536&gt;=30,$AT$3&lt;=CK$7),ROUND(CK536*($AP$3+#REF!),-1),""))</f>
        <v/>
      </c>
      <c r="CM536" s="503" t="s">
        <v>621</v>
      </c>
      <c r="CN536" s="503" t="str">
        <f>IF($G536="","",IF(AND($G536&gt;=30,$AT$3&lt;=CM$7),ROUND(CM536*($AP$3+#REF!),-1),""))</f>
        <v/>
      </c>
      <c r="CO536" s="503" t="s">
        <v>621</v>
      </c>
      <c r="CP536" s="503" t="str">
        <f>IF($G536="","",IF(AND($G536&gt;=30,$AT$3&lt;=CO$7),ROUND(CO536*($AP$3+#REF!),-1),""))</f>
        <v/>
      </c>
      <c r="CQ536" s="503" t="s">
        <v>621</v>
      </c>
      <c r="CR536" s="503" t="str">
        <f>IF($G536="","",IF(AND($G536&gt;=30,$AT$3&lt;=CQ$7),ROUND(CQ536*($AP$3+#REF!),-1),""))</f>
        <v/>
      </c>
      <c r="CS536" s="503" t="s">
        <v>621</v>
      </c>
      <c r="CT536" s="503" t="str">
        <f>IF($G536="","",IF(AND($G536&gt;=30,$AT$3&lt;=CS$7),ROUND(CS536*($AP$3+#REF!),-1),""))</f>
        <v/>
      </c>
      <c r="CU536" s="503" t="s">
        <v>621</v>
      </c>
      <c r="CV536" s="503" t="str">
        <f>IF($G536="","",IF(AND($G536&gt;=30,$AT$3&lt;=CU$7),ROUND(CU536*($AP$3+#REF!),-1),""))</f>
        <v/>
      </c>
      <c r="CW536" s="503" t="s">
        <v>621</v>
      </c>
      <c r="CX536" s="503" t="str">
        <f>IF($G536="","",IF(AND($G536&gt;=30,$AT$3&lt;=CW$7),ROUND(CW536*($AP$3+#REF!),-1),""))</f>
        <v/>
      </c>
      <c r="CY536" s="503" t="s">
        <v>621</v>
      </c>
      <c r="CZ536" s="503" t="str">
        <f>IF($G536="","",IF(AND($G536&gt;=30,$AT$3&lt;=CY$7),ROUND(CY536*($AP$3+#REF!),-1),""))</f>
        <v/>
      </c>
      <c r="DA536" s="503" t="s">
        <v>621</v>
      </c>
      <c r="DB536" s="503" t="str">
        <f>IF($G536="","",IF(AND($G536&gt;=30,$AT$3&lt;=DA$7),ROUND(DA536*($AP$3+#REF!),-1),""))</f>
        <v/>
      </c>
      <c r="DC536" s="503" t="s">
        <v>621</v>
      </c>
      <c r="DD536" s="503" t="str">
        <f>IF($G536="","",IF(AND($G536&gt;=30,$AT$3&lt;=DC$7),ROUND(DC536*($AP$3+#REF!),-1),""))</f>
        <v/>
      </c>
      <c r="DE536" s="503" t="s">
        <v>621</v>
      </c>
      <c r="DF536" s="503" t="str">
        <f>IF($G536="","",IF(AND($G536&gt;=30,$AT$3&lt;=DE$7),ROUND(DE536*($AP$3+#REF!),-1),""))</f>
        <v/>
      </c>
      <c r="DG536" s="503" t="s">
        <v>621</v>
      </c>
      <c r="DH536" s="503" t="str">
        <f>IF($G536="","",IF(AND($G536&gt;=30,$AT$3&lt;=DG$7),ROUND(DG536*($AP$3+#REF!),-1),""))</f>
        <v/>
      </c>
      <c r="DI536" s="503" t="s">
        <v>621</v>
      </c>
      <c r="DJ536" s="503" t="str">
        <f>IF($G536="","",IF(AND($G536&gt;=30,$AT$3&lt;=DI$7),ROUND(DI536*($AP$3+#REF!),-1),""))</f>
        <v/>
      </c>
      <c r="DK536" s="503" t="s">
        <v>621</v>
      </c>
      <c r="DL536" s="503" t="str">
        <f>IF($G536="","",IF(AND($G536&gt;=30,$AT$3&lt;=DK$7),ROUND(DK536*($AP$3+#REF!),-1),""))</f>
        <v/>
      </c>
      <c r="DM536" s="503" t="s">
        <v>621</v>
      </c>
      <c r="DN536" s="503" t="str">
        <f>IF($G536="","",IF(AND($G536&gt;=30,$AT$3&lt;=DM$7),ROUND(DM536*($AP$3+#REF!),-1),""))</f>
        <v/>
      </c>
      <c r="DO536" s="517" t="e">
        <v>#REF!</v>
      </c>
      <c r="DP536" s="503" t="str">
        <f>IF($G536="","",IF(AND($G536&gt;=30,$AT$3&lt;=DO$7),ROUND(DO536*($AP$3+#REF!),-1),""))</f>
        <v/>
      </c>
      <c r="DQ536" s="503"/>
      <c r="DR536" s="503" t="str">
        <f>IF($G536="","",IF(AND($G536&gt;=30,$AT$3&lt;=DQ$7),ROUND(DQ536*($AP$3+#REF!),-1),""))</f>
        <v/>
      </c>
      <c r="DS536" s="503"/>
      <c r="DT536" s="503" t="str">
        <f>IF($G536="","",IF(AND($G536&gt;=30,$AT$3&lt;=DS$7),ROUND(DS536*($AP$3+#REF!),-1),""))</f>
        <v/>
      </c>
      <c r="DU536" s="503"/>
      <c r="DV536" s="503" t="str">
        <f>IF($G536="","",IF(AND($G536&gt;=30,$AT$3&lt;=DU$7),ROUND(DU536*($AP$3+#REF!),-1),""))</f>
        <v/>
      </c>
      <c r="DW536" s="503"/>
      <c r="DX536" s="503" t="str">
        <f>IF($G536="","",IF(AND($G536&gt;=30,$AT$3&lt;=DW$7),ROUND(DW536*($AP$3+#REF!),-1),""))</f>
        <v/>
      </c>
      <c r="DY536" s="503"/>
      <c r="DZ536" s="503" t="str">
        <f>IF($G536="","",IF(AND($G536&gt;=30,$AT$3&lt;=DY$7),ROUND(DY536*($AP$3+#REF!),-1),""))</f>
        <v/>
      </c>
      <c r="EA536" s="503"/>
      <c r="EB536" s="503" t="str">
        <f>IF($G536="","",IF(AND($G536&gt;=30,$AT$3&lt;=EA$7),ROUND(EA536*($AP$3+#REF!),-1),""))</f>
        <v/>
      </c>
      <c r="EC536" s="436"/>
      <c r="ED536" s="436"/>
      <c r="EE536" s="394"/>
    </row>
    <row r="537" spans="1:135" ht="9.75" customHeight="1">
      <c r="A537" s="321" t="str">
        <f t="shared" si="124"/>
        <v/>
      </c>
      <c r="B537" s="569">
        <f>(ii!$D$13*12+V537)+1</f>
        <v>431</v>
      </c>
      <c r="C537" s="345">
        <f t="shared" si="128"/>
        <v>58471</v>
      </c>
      <c r="D537" s="340">
        <f t="shared" si="117"/>
        <v>2060</v>
      </c>
      <c r="E537" s="340">
        <f t="shared" si="129"/>
        <v>8.3333333333333329E-2</v>
      </c>
      <c r="F537" s="340">
        <f t="shared" si="118"/>
        <v>2060.0833333333335</v>
      </c>
      <c r="G537" s="531" t="str">
        <f>IF(OR(C537&lt;$I$2,C537&gt;$J$3),"",(ii!$D$13*12+V537+1)/12)</f>
        <v/>
      </c>
      <c r="H537" s="532"/>
      <c r="I537" s="532"/>
      <c r="J537" s="533"/>
      <c r="K537" s="553"/>
      <c r="L537" s="534"/>
      <c r="M537" s="489" t="str">
        <f t="shared" si="119"/>
        <v/>
      </c>
      <c r="N537" s="536" t="s">
        <v>621</v>
      </c>
      <c r="O537" s="490" t="str">
        <f t="shared" si="126"/>
        <v/>
      </c>
      <c r="P537" s="537"/>
      <c r="Q537" s="537"/>
      <c r="R537" s="533" t="str">
        <f t="shared" si="127"/>
        <v/>
      </c>
      <c r="S537" s="538" t="str">
        <f t="shared" si="125"/>
        <v/>
      </c>
      <c r="T537" s="538" t="str">
        <f t="shared" si="123"/>
        <v/>
      </c>
      <c r="U537" s="539" t="str">
        <f>IF(H537="","",#REF!*12+#REF!+#REF!*12+#REF!)</f>
        <v/>
      </c>
      <c r="V537" s="338">
        <f>IF(ii!$J$3&gt;gg!C537,"",IF(AND((YEAR(C537)=YEAR($I$2)),MONTH(C537)=MONTH($I$2)),ii!$B$14*12+ii!$C$14+ii!$B$15*12+ii!$C$15-1,V536+1))</f>
        <v>430</v>
      </c>
      <c r="W537" s="339">
        <f t="shared" si="130"/>
        <v>35.833333333333336</v>
      </c>
      <c r="X537" s="540" t="s">
        <v>621</v>
      </c>
      <c r="Y537" s="538" t="s">
        <v>621</v>
      </c>
      <c r="Z537" s="541">
        <f>Z525+$Z$26</f>
        <v>1.2600000000000009</v>
      </c>
      <c r="AA537" s="542" t="str">
        <f>IF(Y537="","",(Y537-Y536)/Y536)</f>
        <v/>
      </c>
      <c r="AB537" s="543" t="str">
        <f t="shared" si="122"/>
        <v/>
      </c>
      <c r="AC537" s="544" t="str">
        <f t="shared" si="120"/>
        <v/>
      </c>
      <c r="AD537" s="538" t="str">
        <f t="shared" si="121"/>
        <v/>
      </c>
      <c r="AE537" s="545" t="s">
        <v>621</v>
      </c>
      <c r="AF537" s="546" t="s">
        <v>621</v>
      </c>
      <c r="AG537" s="558" t="s">
        <v>621</v>
      </c>
      <c r="AH537" s="547" t="str">
        <f>IF($G537="","",IF(AND($G537&gt;=30,$AT$3&lt;=AG$7),ROUND(AG537*($AP$3+#REF!),-1),""))</f>
        <v/>
      </c>
      <c r="AI537" s="558" t="s">
        <v>621</v>
      </c>
      <c r="AJ537" s="547" t="str">
        <f>IF($G537="","",IF(AND($G537&gt;=30,$AT$3&lt;=AI$7),ROUND(AI537*($AP$3+#REF!),-1),""))</f>
        <v/>
      </c>
      <c r="AK537" s="560" t="s">
        <v>621</v>
      </c>
      <c r="AL537" s="547" t="str">
        <f>IF($G537="","",IF(AND($G537&gt;=30,$AT$3&lt;=AK$7),ROUND(AK537*($AP$3+#REF!),-1),""))</f>
        <v/>
      </c>
      <c r="AM537" s="560" t="s">
        <v>621</v>
      </c>
      <c r="AN537" s="547" t="str">
        <f>IF($G537="","",IF(AND($G537&gt;=30,$AT$3&lt;=AM$7),ROUND(AM537*($AP$3+#REF!),-1),""))</f>
        <v/>
      </c>
      <c r="AO537" s="547" t="e">
        <v>#REF!</v>
      </c>
      <c r="AP537" s="547" t="str">
        <f>IF($G537="","",IF(AND($G537&gt;=30,$AT$3&lt;=AO$7),ROUND(AO537*($AP$3+#REF!),-1),""))</f>
        <v/>
      </c>
      <c r="AQ537" s="547" t="s">
        <v>621</v>
      </c>
      <c r="AR537" s="547" t="str">
        <f>IF($G537="","",IF(AND($G537&gt;=30,$AT$3&lt;=AQ$7),ROUND(AQ537*($AP$3+#REF!),-1),""))</f>
        <v/>
      </c>
      <c r="AS537" s="547" t="s">
        <v>621</v>
      </c>
      <c r="AT537" s="547" t="str">
        <f>IF($G537="","",IF(AND($G537&gt;=30,$AT$3&lt;=AS$7),ROUND(AS537*($AP$3+#REF!),-1),""))</f>
        <v/>
      </c>
      <c r="AU537" s="547" t="s">
        <v>621</v>
      </c>
      <c r="AV537" s="547" t="str">
        <f>IF($G537="","",IF(AND($G537&gt;=30,$AT$3&lt;=AU$7),ROUND(AU537*($AP$3+#REF!),-1),""))</f>
        <v/>
      </c>
      <c r="AW537" s="547" t="s">
        <v>621</v>
      </c>
      <c r="AX537" s="547" t="str">
        <f>IF($G537="","",IF(AND($G537&gt;=30,$AT$3&lt;=AW$7),ROUND(AW537*($AP$3+#REF!),-1),""))</f>
        <v/>
      </c>
      <c r="AY537" s="547" t="s">
        <v>621</v>
      </c>
      <c r="AZ537" s="547" t="str">
        <f>IF($G537="","",IF(AND($G537&gt;=30,$AT$3&lt;=AY$7),ROUND(AY537*($AP$3+#REF!),-1),""))</f>
        <v/>
      </c>
      <c r="BA537" s="547" t="s">
        <v>621</v>
      </c>
      <c r="BB537" s="547" t="str">
        <f>IF($G537="","",IF(AND($G537&gt;=30,$AT$3&lt;=BA$7),ROUND(BA537*($AP$3+#REF!),-1),""))</f>
        <v/>
      </c>
      <c r="BC537" s="547" t="s">
        <v>621</v>
      </c>
      <c r="BD537" s="547" t="str">
        <f>IF($G537="","",IF(AND($G537&gt;=30,$AT$3&lt;=BC$7),ROUND(BC537*($AP$3+#REF!),-1),""))</f>
        <v/>
      </c>
      <c r="BE537" s="547" t="s">
        <v>621</v>
      </c>
      <c r="BF537" s="547" t="str">
        <f>IF($G537="","",IF(AND($G537&gt;=30,$AT$3&lt;=BE$7),ROUND(BE537*($AP$3+#REF!),-1),""))</f>
        <v/>
      </c>
      <c r="BG537" s="547" t="s">
        <v>621</v>
      </c>
      <c r="BH537" s="547" t="str">
        <f>IF($G537="","",IF(AND($G537&gt;=30,$AT$3&lt;=BG$7),ROUND(BG537*($AP$3+#REF!),-1),""))</f>
        <v/>
      </c>
      <c r="BI537" s="547" t="s">
        <v>621</v>
      </c>
      <c r="BJ537" s="547" t="str">
        <f>IF($G537="","",IF(AND($G537&gt;=30,$AT$3&lt;=BI$7),ROUND(BI537*($AP$3+#REF!),-1),""))</f>
        <v/>
      </c>
      <c r="BK537" s="547" t="s">
        <v>621</v>
      </c>
      <c r="BL537" s="547" t="str">
        <f>IF($G537="","",IF(AND($G537&gt;=30,$AT$3&lt;=BK$7),ROUND(BK537*($AP$3+#REF!),-1),""))</f>
        <v/>
      </c>
      <c r="BM537" s="547" t="s">
        <v>621</v>
      </c>
      <c r="BN537" s="547" t="str">
        <f>IF($G537="","",IF(AND($G537&gt;=30,$AT$3&lt;=BM$7),ROUND(BM537*($AP$3+#REF!),-1),""))</f>
        <v/>
      </c>
      <c r="BO537" s="547" t="s">
        <v>621</v>
      </c>
      <c r="BP537" s="547" t="str">
        <f>IF($G537="","",IF(AND($G537&gt;=30,$AT$3&lt;=BO$7),ROUND(BO537*($AP$3+#REF!),-1),""))</f>
        <v/>
      </c>
      <c r="BQ537" s="547" t="s">
        <v>621</v>
      </c>
      <c r="BR537" s="547" t="str">
        <f>IF($G537="","",IF(AND($G537&gt;=30,$AT$3&lt;=BQ$7),ROUND(BQ537*($AP$3+#REF!),-1),""))</f>
        <v/>
      </c>
      <c r="BS537" s="547" t="s">
        <v>621</v>
      </c>
      <c r="BT537" s="547" t="str">
        <f>IF($G537="","",IF(AND($G537&gt;=30,$AT$3&lt;=BS$7),ROUND(BS537*($AP$3+#REF!),-1),""))</f>
        <v/>
      </c>
      <c r="BU537" s="547" t="s">
        <v>621</v>
      </c>
      <c r="BV537" s="547" t="str">
        <f>IF($G537="","",IF(AND($G537&gt;=30,$AT$3&lt;=BU$7),ROUND(BU537*($AP$3+#REF!),-1),""))</f>
        <v/>
      </c>
      <c r="BW537" s="547" t="s">
        <v>621</v>
      </c>
      <c r="BX537" s="547" t="str">
        <f>IF($G537="","",IF(AND($G537&gt;=30,$AT$3&lt;=BW$7),ROUND(BW537*($AP$3+#REF!),-1),""))</f>
        <v/>
      </c>
      <c r="BY537" s="547" t="s">
        <v>621</v>
      </c>
      <c r="BZ537" s="547" t="str">
        <f>IF($G537="","",IF(AND($G537&gt;=30,$AT$3&lt;=BY$7),ROUND(BY537*($AP$3+#REF!),-1),""))</f>
        <v/>
      </c>
      <c r="CA537" s="547" t="s">
        <v>621</v>
      </c>
      <c r="CB537" s="547" t="str">
        <f>IF($G537="","",IF(AND($G537&gt;=30,$AT$3&lt;=CA$7),ROUND(CA537*($AP$3+#REF!),-1),""))</f>
        <v/>
      </c>
      <c r="CC537" s="547" t="s">
        <v>621</v>
      </c>
      <c r="CD537" s="547" t="str">
        <f>IF($G537="","",IF(AND($G537&gt;=30,$AT$3&lt;=CC$7),ROUND(CC537*($AP$3+#REF!),-1),""))</f>
        <v/>
      </c>
      <c r="CE537" s="547" t="s">
        <v>621</v>
      </c>
      <c r="CF537" s="547" t="str">
        <f>IF($G537="","",IF(AND($G537&gt;=30,$AT$3&lt;=CE$7),ROUND(CE537*($AP$3+#REF!),-1),""))</f>
        <v/>
      </c>
      <c r="CG537" s="547" t="s">
        <v>621</v>
      </c>
      <c r="CH537" s="547" t="str">
        <f>IF($G537="","",IF(AND($G537&gt;=30,$AT$3&lt;=CG$7),ROUND(CG537*($AP$3+#REF!),-1),""))</f>
        <v/>
      </c>
      <c r="CI537" s="547" t="s">
        <v>621</v>
      </c>
      <c r="CJ537" s="547" t="str">
        <f>IF($G537="","",IF(AND($G537&gt;=30,$AT$3&lt;=CI$7),ROUND(CI537*($AP$3+#REF!),-1),""))</f>
        <v/>
      </c>
      <c r="CK537" s="547" t="s">
        <v>621</v>
      </c>
      <c r="CL537" s="547" t="str">
        <f>IF($G537="","",IF(AND($G537&gt;=30,$AT$3&lt;=CK$7),ROUND(CK537*($AP$3+#REF!),-1),""))</f>
        <v/>
      </c>
      <c r="CM537" s="547" t="s">
        <v>621</v>
      </c>
      <c r="CN537" s="547" t="str">
        <f>IF($G537="","",IF(AND($G537&gt;=30,$AT$3&lt;=CM$7),ROUND(CM537*($AP$3+#REF!),-1),""))</f>
        <v/>
      </c>
      <c r="CO537" s="547" t="s">
        <v>621</v>
      </c>
      <c r="CP537" s="547" t="str">
        <f>IF($G537="","",IF(AND($G537&gt;=30,$AT$3&lt;=CO$7),ROUND(CO537*($AP$3+#REF!),-1),""))</f>
        <v/>
      </c>
      <c r="CQ537" s="547" t="s">
        <v>621</v>
      </c>
      <c r="CR537" s="547" t="str">
        <f>IF($G537="","",IF(AND($G537&gt;=30,$AT$3&lt;=CQ$7),ROUND(CQ537*($AP$3+#REF!),-1),""))</f>
        <v/>
      </c>
      <c r="CS537" s="547" t="s">
        <v>621</v>
      </c>
      <c r="CT537" s="547" t="str">
        <f>IF($G537="","",IF(AND($G537&gt;=30,$AT$3&lt;=CS$7),ROUND(CS537*($AP$3+#REF!),-1),""))</f>
        <v/>
      </c>
      <c r="CU537" s="547" t="s">
        <v>621</v>
      </c>
      <c r="CV537" s="547" t="str">
        <f>IF($G537="","",IF(AND($G537&gt;=30,$AT$3&lt;=CU$7),ROUND(CU537*($AP$3+#REF!),-1),""))</f>
        <v/>
      </c>
      <c r="CW537" s="547" t="s">
        <v>621</v>
      </c>
      <c r="CX537" s="547" t="str">
        <f>IF($G537="","",IF(AND($G537&gt;=30,$AT$3&lt;=CW$7),ROUND(CW537*($AP$3+#REF!),-1),""))</f>
        <v/>
      </c>
      <c r="CY537" s="547" t="s">
        <v>621</v>
      </c>
      <c r="CZ537" s="547" t="str">
        <f>IF($G537="","",IF(AND($G537&gt;=30,$AT$3&lt;=CY$7),ROUND(CY537*($AP$3+#REF!),-1),""))</f>
        <v/>
      </c>
      <c r="DA537" s="547" t="s">
        <v>621</v>
      </c>
      <c r="DB537" s="547" t="str">
        <f>IF($G537="","",IF(AND($G537&gt;=30,$AT$3&lt;=DA$7),ROUND(DA537*($AP$3+#REF!),-1),""))</f>
        <v/>
      </c>
      <c r="DC537" s="547" t="s">
        <v>621</v>
      </c>
      <c r="DD537" s="547" t="str">
        <f>IF($G537="","",IF(AND($G537&gt;=30,$AT$3&lt;=DC$7),ROUND(DC537*($AP$3+#REF!),-1),""))</f>
        <v/>
      </c>
      <c r="DE537" s="547" t="s">
        <v>621</v>
      </c>
      <c r="DF537" s="547" t="str">
        <f>IF($G537="","",IF(AND($G537&gt;=30,$AT$3&lt;=DE$7),ROUND(DE537*($AP$3+#REF!),-1),""))</f>
        <v/>
      </c>
      <c r="DG537" s="547" t="s">
        <v>621</v>
      </c>
      <c r="DH537" s="547" t="str">
        <f>IF($G537="","",IF(AND($G537&gt;=30,$AT$3&lt;=DG$7),ROUND(DG537*($AP$3+#REF!),-1),""))</f>
        <v/>
      </c>
      <c r="DI537" s="547" t="s">
        <v>621</v>
      </c>
      <c r="DJ537" s="547" t="str">
        <f>IF($G537="","",IF(AND($G537&gt;=30,$AT$3&lt;=DI$7),ROUND(DI537*($AP$3+#REF!),-1),""))</f>
        <v/>
      </c>
      <c r="DK537" s="547" t="s">
        <v>621</v>
      </c>
      <c r="DL537" s="547" t="str">
        <f>IF($G537="","",IF(AND($G537&gt;=30,$AT$3&lt;=DK$7),ROUND(DK537*($AP$3+#REF!),-1),""))</f>
        <v/>
      </c>
      <c r="DM537" s="547" t="s">
        <v>621</v>
      </c>
      <c r="DN537" s="547" t="str">
        <f>IF($G537="","",IF(AND($G537&gt;=30,$AT$3&lt;=DM$7),ROUND(DM537*($AP$3+#REF!),-1),""))</f>
        <v/>
      </c>
      <c r="DO537" s="547" t="s">
        <v>621</v>
      </c>
      <c r="DP537" s="547" t="str">
        <f>IF($G537="","",IF(AND($G537&gt;=30,$AT$3&lt;=DO$7),ROUND(DO537*($AP$3+#REF!),-1),""))</f>
        <v/>
      </c>
      <c r="DQ537" s="533" t="e">
        <v>#REF!</v>
      </c>
      <c r="DR537" s="547" t="str">
        <f>IF($G537="","",IF(AND($G537&gt;=30,$AT$3&lt;=DQ$7),ROUND(DQ537*($AP$3+#REF!),-1),""))</f>
        <v/>
      </c>
      <c r="DS537" s="547"/>
      <c r="DT537" s="547" t="str">
        <f>IF($G537="","",IF(AND($G537&gt;=30,$AT$3&lt;=DS$7),ROUND(DS537*($AP$3+#REF!),-1),""))</f>
        <v/>
      </c>
      <c r="DU537" s="547"/>
      <c r="DV537" s="547" t="str">
        <f>IF($G537="","",IF(AND($G537&gt;=30,$AT$3&lt;=DU$7),ROUND(DU537*($AP$3+#REF!),-1),""))</f>
        <v/>
      </c>
      <c r="DW537" s="547"/>
      <c r="DX537" s="547" t="str">
        <f>IF($G537="","",IF(AND($G537&gt;=30,$AT$3&lt;=DW$7),ROUND(DW537*($AP$3+#REF!),-1),""))</f>
        <v/>
      </c>
      <c r="DY537" s="547"/>
      <c r="DZ537" s="547" t="str">
        <f>IF($G537="","",IF(AND($G537&gt;=30,$AT$3&lt;=DY$7),ROUND(DY537*($AP$3+#REF!),-1),""))</f>
        <v/>
      </c>
      <c r="EA537" s="547"/>
      <c r="EB537" s="547" t="str">
        <f>IF($G537="","",IF(AND($G537&gt;=30,$AT$3&lt;=EA$7),ROUND(EA537*($AP$3+#REF!),-1),""))</f>
        <v/>
      </c>
      <c r="EC537" s="547"/>
      <c r="ED537" s="436"/>
      <c r="EE537" s="394"/>
    </row>
    <row r="538" spans="1:135" ht="9.75" customHeight="1">
      <c r="A538" s="321" t="str">
        <f t="shared" si="124"/>
        <v/>
      </c>
      <c r="B538" s="567">
        <f>(ii!$D$13*12+V538)+1</f>
        <v>432</v>
      </c>
      <c r="C538" s="337">
        <f t="shared" si="128"/>
        <v>58500</v>
      </c>
      <c r="D538" s="484">
        <f t="shared" ref="D538:D601" si="131">YEAR(C538)</f>
        <v>2060</v>
      </c>
      <c r="E538" s="484">
        <f t="shared" si="129"/>
        <v>0.16666666666666666</v>
      </c>
      <c r="F538" s="484">
        <f t="shared" ref="F538:F601" si="132">D538+E538</f>
        <v>2060.1666666666665</v>
      </c>
      <c r="G538" s="485" t="str">
        <f>IF(OR(C538&lt;$I$2,C538&gt;$J$3),"",(ii!$D$13*12+V538+1)/12)</f>
        <v/>
      </c>
      <c r="H538" s="486"/>
      <c r="I538" s="486"/>
      <c r="J538" s="487"/>
      <c r="K538" s="488"/>
      <c r="L538" s="548"/>
      <c r="M538" s="489" t="str">
        <f t="shared" ref="M538:M601" si="133">IF(K538="","",IF(OR(J536=0,J535=0,J536=""),"",(J538-J537)/J537))</f>
        <v/>
      </c>
      <c r="N538" s="490" t="s">
        <v>621</v>
      </c>
      <c r="O538" s="490" t="str">
        <f t="shared" si="126"/>
        <v/>
      </c>
      <c r="P538" s="491"/>
      <c r="Q538" s="491"/>
      <c r="R538" s="491" t="str">
        <f t="shared" si="127"/>
        <v/>
      </c>
      <c r="S538" s="528" t="str">
        <f t="shared" si="125"/>
        <v/>
      </c>
      <c r="T538" s="528" t="str">
        <f t="shared" si="123"/>
        <v/>
      </c>
      <c r="U538" s="493" t="str">
        <f>IF(H538="","",#REF!*12+#REF!+#REF!*12+#REF!)</f>
        <v/>
      </c>
      <c r="V538" s="338">
        <f>IF(ii!$J$3&gt;gg!C538,"",IF(AND((YEAR(C538)=YEAR($I$2)),MONTH(C538)=MONTH($I$2)),ii!$B$14*12+ii!$C$14+ii!$B$15*12+ii!$C$15-1,V537+1))</f>
        <v>431</v>
      </c>
      <c r="W538" s="339">
        <f t="shared" si="130"/>
        <v>35.916666666666664</v>
      </c>
      <c r="X538" s="494" t="s">
        <v>621</v>
      </c>
      <c r="Y538" s="495" t="s">
        <v>621</v>
      </c>
      <c r="Z538" s="496"/>
      <c r="AA538" s="497"/>
      <c r="AB538" s="498" t="str">
        <f t="shared" si="122"/>
        <v/>
      </c>
      <c r="AC538" s="484" t="str">
        <f t="shared" si="120"/>
        <v/>
      </c>
      <c r="AD538" s="495" t="str">
        <f t="shared" si="121"/>
        <v/>
      </c>
      <c r="AE538" s="499" t="s">
        <v>621</v>
      </c>
      <c r="AF538" s="500" t="s">
        <v>621</v>
      </c>
      <c r="AG538" s="556" t="s">
        <v>621</v>
      </c>
      <c r="AH538" s="503" t="str">
        <f>IF($G538="","",IF(AND($G538&gt;=30,$AT$3&lt;=AG$7),ROUND(AG538*($AP$3+#REF!),-1),""))</f>
        <v/>
      </c>
      <c r="AI538" s="506" t="s">
        <v>621</v>
      </c>
      <c r="AJ538" s="503" t="str">
        <f>IF($G538="","",IF(AND($G538&gt;=30,$AT$3&lt;=AI$7),ROUND(AI538*($AP$3+#REF!),-1),""))</f>
        <v/>
      </c>
      <c r="AK538" s="506" t="s">
        <v>621</v>
      </c>
      <c r="AL538" s="503" t="str">
        <f>IF($G538="","",IF(AND($G538&gt;=30,$AT$3&lt;=AK$7),ROUND(AK538*($AP$3+#REF!),-1),""))</f>
        <v/>
      </c>
      <c r="AM538" s="506" t="s">
        <v>621</v>
      </c>
      <c r="AN538" s="503" t="str">
        <f>IF($G538="","",IF(AND($G538&gt;=30,$AT$3&lt;=AM$7),ROUND(AM538*($AP$3+#REF!),-1),""))</f>
        <v/>
      </c>
      <c r="AO538" s="503" t="e">
        <f>IF(AO537="","",AO537*1.001)</f>
        <v>#REF!</v>
      </c>
      <c r="AP538" s="503" t="str">
        <f>IF($G538="","",IF(AND($G538&gt;=30,$AT$3&lt;=AO$7),ROUND(AO538*($AP$3+#REF!),-1),""))</f>
        <v/>
      </c>
      <c r="AQ538" s="503" t="s">
        <v>621</v>
      </c>
      <c r="AR538" s="503" t="str">
        <f>IF($G538="","",IF(AND($G538&gt;=30,$AT$3&lt;=AQ$7),ROUND(AQ538*($AP$3+#REF!),-1),""))</f>
        <v/>
      </c>
      <c r="AS538" s="503" t="s">
        <v>621</v>
      </c>
      <c r="AT538" s="503" t="str">
        <f>IF($G538="","",IF(AND($G538&gt;=30,$AT$3&lt;=AS$7),ROUND(AS538*($AP$3+#REF!),-1),""))</f>
        <v/>
      </c>
      <c r="AU538" s="503" t="s">
        <v>621</v>
      </c>
      <c r="AV538" s="503" t="str">
        <f>IF($G538="","",IF(AND($G538&gt;=30,$AT$3&lt;=AU$7),ROUND(AU538*($AP$3+#REF!),-1),""))</f>
        <v/>
      </c>
      <c r="AW538" s="503" t="s">
        <v>621</v>
      </c>
      <c r="AX538" s="503" t="str">
        <f>IF($G538="","",IF(AND($G538&gt;=30,$AT$3&lt;=AW$7),ROUND(AW538*($AP$3+#REF!),-1),""))</f>
        <v/>
      </c>
      <c r="AY538" s="503" t="s">
        <v>621</v>
      </c>
      <c r="AZ538" s="503" t="str">
        <f>IF($G538="","",IF(AND($G538&gt;=30,$AT$3&lt;=AY$7),ROUND(AY538*($AP$3+#REF!),-1),""))</f>
        <v/>
      </c>
      <c r="BA538" s="503" t="s">
        <v>621</v>
      </c>
      <c r="BB538" s="503" t="str">
        <f>IF($G538="","",IF(AND($G538&gt;=30,$AT$3&lt;=BA$7),ROUND(BA538*($AP$3+#REF!),-1),""))</f>
        <v/>
      </c>
      <c r="BC538" s="503" t="s">
        <v>621</v>
      </c>
      <c r="BD538" s="503" t="str">
        <f>IF($G538="","",IF(AND($G538&gt;=30,$AT$3&lt;=BC$7),ROUND(BC538*($AP$3+#REF!),-1),""))</f>
        <v/>
      </c>
      <c r="BE538" s="503" t="s">
        <v>621</v>
      </c>
      <c r="BF538" s="503" t="str">
        <f>IF($G538="","",IF(AND($G538&gt;=30,$AT$3&lt;=BE$7),ROUND(BE538*($AP$3+#REF!),-1),""))</f>
        <v/>
      </c>
      <c r="BG538" s="503" t="s">
        <v>621</v>
      </c>
      <c r="BH538" s="503" t="str">
        <f>IF($G538="","",IF(AND($G538&gt;=30,$AT$3&lt;=BG$7),ROUND(BG538*($AP$3+#REF!),-1),""))</f>
        <v/>
      </c>
      <c r="BI538" s="503" t="s">
        <v>621</v>
      </c>
      <c r="BJ538" s="503" t="str">
        <f>IF($G538="","",IF(AND($G538&gt;=30,$AT$3&lt;=BI$7),ROUND(BI538*($AP$3+#REF!),-1),""))</f>
        <v/>
      </c>
      <c r="BK538" s="503" t="s">
        <v>621</v>
      </c>
      <c r="BL538" s="503" t="str">
        <f>IF($G538="","",IF(AND($G538&gt;=30,$AT$3&lt;=BK$7),ROUND(BK538*($AP$3+#REF!),-1),""))</f>
        <v/>
      </c>
      <c r="BM538" s="503" t="s">
        <v>621</v>
      </c>
      <c r="BN538" s="503" t="str">
        <f>IF($G538="","",IF(AND($G538&gt;=30,$AT$3&lt;=BM$7),ROUND(BM538*($AP$3+#REF!),-1),""))</f>
        <v/>
      </c>
      <c r="BO538" s="503" t="s">
        <v>621</v>
      </c>
      <c r="BP538" s="503" t="str">
        <f>IF($G538="","",IF(AND($G538&gt;=30,$AT$3&lt;=BO$7),ROUND(BO538*($AP$3+#REF!),-1),""))</f>
        <v/>
      </c>
      <c r="BQ538" s="503" t="s">
        <v>621</v>
      </c>
      <c r="BR538" s="503" t="str">
        <f>IF($G538="","",IF(AND($G538&gt;=30,$AT$3&lt;=BQ$7),ROUND(BQ538*($AP$3+#REF!),-1),""))</f>
        <v/>
      </c>
      <c r="BS538" s="503" t="s">
        <v>621</v>
      </c>
      <c r="BT538" s="503" t="str">
        <f>IF($G538="","",IF(AND($G538&gt;=30,$AT$3&lt;=BS$7),ROUND(BS538*($AP$3+#REF!),-1),""))</f>
        <v/>
      </c>
      <c r="BU538" s="503" t="s">
        <v>621</v>
      </c>
      <c r="BV538" s="503" t="str">
        <f>IF($G538="","",IF(AND($G538&gt;=30,$AT$3&lt;=BU$7),ROUND(BU538*($AP$3+#REF!),-1),""))</f>
        <v/>
      </c>
      <c r="BW538" s="503" t="s">
        <v>621</v>
      </c>
      <c r="BX538" s="503" t="str">
        <f>IF($G538="","",IF(AND($G538&gt;=30,$AT$3&lt;=BW$7),ROUND(BW538*($AP$3+#REF!),-1),""))</f>
        <v/>
      </c>
      <c r="BY538" s="503" t="s">
        <v>621</v>
      </c>
      <c r="BZ538" s="503" t="str">
        <f>IF($G538="","",IF(AND($G538&gt;=30,$AT$3&lt;=BY$7),ROUND(BY538*($AP$3+#REF!),-1),""))</f>
        <v/>
      </c>
      <c r="CA538" s="503" t="s">
        <v>621</v>
      </c>
      <c r="CB538" s="503" t="str">
        <f>IF($G538="","",IF(AND($G538&gt;=30,$AT$3&lt;=CA$7),ROUND(CA538*($AP$3+#REF!),-1),""))</f>
        <v/>
      </c>
      <c r="CC538" s="503" t="s">
        <v>621</v>
      </c>
      <c r="CD538" s="503" t="str">
        <f>IF($G538="","",IF(AND($G538&gt;=30,$AT$3&lt;=CC$7),ROUND(CC538*($AP$3+#REF!),-1),""))</f>
        <v/>
      </c>
      <c r="CE538" s="503" t="s">
        <v>621</v>
      </c>
      <c r="CF538" s="503" t="str">
        <f>IF($G538="","",IF(AND($G538&gt;=30,$AT$3&lt;=CE$7),ROUND(CE538*($AP$3+#REF!),-1),""))</f>
        <v/>
      </c>
      <c r="CG538" s="503" t="s">
        <v>621</v>
      </c>
      <c r="CH538" s="503" t="str">
        <f>IF($G538="","",IF(AND($G538&gt;=30,$AT$3&lt;=CG$7),ROUND(CG538*($AP$3+#REF!),-1),""))</f>
        <v/>
      </c>
      <c r="CI538" s="503" t="s">
        <v>621</v>
      </c>
      <c r="CJ538" s="503" t="str">
        <f>IF($G538="","",IF(AND($G538&gt;=30,$AT$3&lt;=CI$7),ROUND(CI538*($AP$3+#REF!),-1),""))</f>
        <v/>
      </c>
      <c r="CK538" s="503" t="s">
        <v>621</v>
      </c>
      <c r="CL538" s="503" t="str">
        <f>IF($G538="","",IF(AND($G538&gt;=30,$AT$3&lt;=CK$7),ROUND(CK538*($AP$3+#REF!),-1),""))</f>
        <v/>
      </c>
      <c r="CM538" s="503" t="s">
        <v>621</v>
      </c>
      <c r="CN538" s="503" t="str">
        <f>IF($G538="","",IF(AND($G538&gt;=30,$AT$3&lt;=CM$7),ROUND(CM538*($AP$3+#REF!),-1),""))</f>
        <v/>
      </c>
      <c r="CO538" s="503" t="s">
        <v>621</v>
      </c>
      <c r="CP538" s="503" t="str">
        <f>IF($G538="","",IF(AND($G538&gt;=30,$AT$3&lt;=CO$7),ROUND(CO538*($AP$3+#REF!),-1),""))</f>
        <v/>
      </c>
      <c r="CQ538" s="503" t="s">
        <v>621</v>
      </c>
      <c r="CR538" s="503" t="str">
        <f>IF($G538="","",IF(AND($G538&gt;=30,$AT$3&lt;=CQ$7),ROUND(CQ538*($AP$3+#REF!),-1),""))</f>
        <v/>
      </c>
      <c r="CS538" s="503" t="s">
        <v>621</v>
      </c>
      <c r="CT538" s="503" t="str">
        <f>IF($G538="","",IF(AND($G538&gt;=30,$AT$3&lt;=CS$7),ROUND(CS538*($AP$3+#REF!),-1),""))</f>
        <v/>
      </c>
      <c r="CU538" s="503" t="s">
        <v>621</v>
      </c>
      <c r="CV538" s="503" t="str">
        <f>IF($G538="","",IF(AND($G538&gt;=30,$AT$3&lt;=CU$7),ROUND(CU538*($AP$3+#REF!),-1),""))</f>
        <v/>
      </c>
      <c r="CW538" s="503" t="s">
        <v>621</v>
      </c>
      <c r="CX538" s="503" t="str">
        <f>IF($G538="","",IF(AND($G538&gt;=30,$AT$3&lt;=CW$7),ROUND(CW538*($AP$3+#REF!),-1),""))</f>
        <v/>
      </c>
      <c r="CY538" s="503" t="s">
        <v>621</v>
      </c>
      <c r="CZ538" s="503" t="str">
        <f>IF($G538="","",IF(AND($G538&gt;=30,$AT$3&lt;=CY$7),ROUND(CY538*($AP$3+#REF!),-1),""))</f>
        <v/>
      </c>
      <c r="DA538" s="503" t="s">
        <v>621</v>
      </c>
      <c r="DB538" s="503" t="str">
        <f>IF($G538="","",IF(AND($G538&gt;=30,$AT$3&lt;=DA$7),ROUND(DA538*($AP$3+#REF!),-1),""))</f>
        <v/>
      </c>
      <c r="DC538" s="503" t="s">
        <v>621</v>
      </c>
      <c r="DD538" s="503" t="str">
        <f>IF($G538="","",IF(AND($G538&gt;=30,$AT$3&lt;=DC$7),ROUND(DC538*($AP$3+#REF!),-1),""))</f>
        <v/>
      </c>
      <c r="DE538" s="503" t="s">
        <v>621</v>
      </c>
      <c r="DF538" s="503" t="str">
        <f>IF($G538="","",IF(AND($G538&gt;=30,$AT$3&lt;=DE$7),ROUND(DE538*($AP$3+#REF!),-1),""))</f>
        <v/>
      </c>
      <c r="DG538" s="503" t="s">
        <v>621</v>
      </c>
      <c r="DH538" s="503" t="str">
        <f>IF($G538="","",IF(AND($G538&gt;=30,$AT$3&lt;=DG$7),ROUND(DG538*($AP$3+#REF!),-1),""))</f>
        <v/>
      </c>
      <c r="DI538" s="503" t="s">
        <v>621</v>
      </c>
      <c r="DJ538" s="503" t="str">
        <f>IF($G538="","",IF(AND($G538&gt;=30,$AT$3&lt;=DI$7),ROUND(DI538*($AP$3+#REF!),-1),""))</f>
        <v/>
      </c>
      <c r="DK538" s="503" t="s">
        <v>621</v>
      </c>
      <c r="DL538" s="503" t="str">
        <f>IF($G538="","",IF(AND($G538&gt;=30,$AT$3&lt;=DK$7),ROUND(DK538*($AP$3+#REF!),-1),""))</f>
        <v/>
      </c>
      <c r="DM538" s="503" t="s">
        <v>621</v>
      </c>
      <c r="DN538" s="503" t="str">
        <f>IF($G538="","",IF(AND($G538&gt;=30,$AT$3&lt;=DM$7),ROUND(DM538*($AP$3+#REF!),-1),""))</f>
        <v/>
      </c>
      <c r="DO538" s="503" t="s">
        <v>621</v>
      </c>
      <c r="DP538" s="503" t="str">
        <f>IF($G538="","",IF(AND($G538&gt;=30,$AT$3&lt;=DO$7),ROUND(DO538*($AP$3+#REF!),-1),""))</f>
        <v/>
      </c>
      <c r="DQ538" s="517" t="e">
        <v>#REF!</v>
      </c>
      <c r="DR538" s="503" t="str">
        <f>IF($G538="","",IF(AND($G538&gt;=30,$AT$3&lt;=DQ$7),ROUND(DQ538*($AP$3+#REF!),-1),""))</f>
        <v/>
      </c>
      <c r="DS538" s="503"/>
      <c r="DT538" s="503" t="str">
        <f>IF($G538="","",IF(AND($G538&gt;=30,$AT$3&lt;=DS$7),ROUND(DS538*($AP$3+#REF!),-1),""))</f>
        <v/>
      </c>
      <c r="DU538" s="503"/>
      <c r="DV538" s="503" t="str">
        <f>IF($G538="","",IF(AND($G538&gt;=30,$AT$3&lt;=DU$7),ROUND(DU538*($AP$3+#REF!),-1),""))</f>
        <v/>
      </c>
      <c r="DW538" s="503"/>
      <c r="DX538" s="503" t="str">
        <f>IF($G538="","",IF(AND($G538&gt;=30,$AT$3&lt;=DW$7),ROUND(DW538*($AP$3+#REF!),-1),""))</f>
        <v/>
      </c>
      <c r="DY538" s="503"/>
      <c r="DZ538" s="503" t="str">
        <f>IF($G538="","",IF(AND($G538&gt;=30,$AT$3&lt;=DY$7),ROUND(DY538*($AP$3+#REF!),-1),""))</f>
        <v/>
      </c>
      <c r="EA538" s="503"/>
      <c r="EB538" s="503" t="str">
        <f>IF($G538="","",IF(AND($G538&gt;=30,$AT$3&lt;=EA$7),ROUND(EA538*($AP$3+#REF!),-1),""))</f>
        <v/>
      </c>
      <c r="EC538" s="436"/>
      <c r="ED538" s="436"/>
      <c r="EE538" s="394"/>
    </row>
    <row r="539" spans="1:135" ht="9.75" customHeight="1">
      <c r="A539" s="321" t="str">
        <f t="shared" si="124"/>
        <v/>
      </c>
      <c r="B539" s="567">
        <f>(ii!$D$13*12+V539)+1</f>
        <v>433</v>
      </c>
      <c r="C539" s="337">
        <f t="shared" si="128"/>
        <v>58531</v>
      </c>
      <c r="D539" s="484">
        <f t="shared" si="131"/>
        <v>2060</v>
      </c>
      <c r="E539" s="484">
        <f t="shared" si="129"/>
        <v>0.25</v>
      </c>
      <c r="F539" s="484">
        <f t="shared" si="132"/>
        <v>2060.25</v>
      </c>
      <c r="G539" s="485" t="str">
        <f>IF(OR(C539&lt;$I$2,C539&gt;$J$3),"",(ii!$D$13*12+V539+1)/12)</f>
        <v/>
      </c>
      <c r="H539" s="486"/>
      <c r="I539" s="486"/>
      <c r="J539" s="487"/>
      <c r="K539" s="488"/>
      <c r="L539" s="548"/>
      <c r="M539" s="489" t="str">
        <f t="shared" si="133"/>
        <v/>
      </c>
      <c r="N539" s="490" t="s">
        <v>621</v>
      </c>
      <c r="O539" s="490" t="str">
        <f t="shared" si="126"/>
        <v/>
      </c>
      <c r="P539" s="491"/>
      <c r="Q539" s="491"/>
      <c r="R539" s="491" t="str">
        <f t="shared" si="127"/>
        <v/>
      </c>
      <c r="S539" s="528" t="str">
        <f t="shared" si="125"/>
        <v/>
      </c>
      <c r="T539" s="528" t="str">
        <f t="shared" si="123"/>
        <v/>
      </c>
      <c r="U539" s="493" t="str">
        <f>IF(H539="","",#REF!*12+#REF!+#REF!*12+#REF!)</f>
        <v/>
      </c>
      <c r="V539" s="338">
        <f>IF(ii!$J$3&gt;gg!C539,"",IF(AND((YEAR(C539)=YEAR($I$2)),MONTH(C539)=MONTH($I$2)),ii!$B$14*12+ii!$C$14+ii!$B$15*12+ii!$C$15-1,V538+1))</f>
        <v>432</v>
      </c>
      <c r="W539" s="339">
        <f t="shared" si="130"/>
        <v>36</v>
      </c>
      <c r="X539" s="494" t="s">
        <v>621</v>
      </c>
      <c r="Y539" s="495" t="s">
        <v>621</v>
      </c>
      <c r="Z539" s="496"/>
      <c r="AA539" s="497"/>
      <c r="AB539" s="498" t="str">
        <f t="shared" si="122"/>
        <v/>
      </c>
      <c r="AC539" s="484" t="str">
        <f t="shared" ref="AC539:AC602" si="134">IF(OR(C539&lt;$I$2,C539&gt;$J$3),"",IF(AB539&lt;0.3,300,IF(AND(AB539&gt;=0.3,AB539&lt;0.4),216.67,IF(AND(AB539&gt;=0.4,AB539&lt;0.5),175,IF(AND(AB539&gt;=0.5,AB539&lt;0.6),150,IF(AND(AB539&gt;=0.6,AB539&lt;0.7),133.33,IF(AND(AB539&gt;=0.7,AB539&lt;0.8),121.43,IF(AND(AB539&gt;=0.8,AB539&lt;0.9),112.5,IF(AND(AB539&gt;=0.9,AB539&lt;1),105.56,IF(AND(AB539&gt;=1,AB539&lt;1.1),100,IF(AND(AB539&gt;=1.1,AB539&lt;1.2),95.45,IF(AND(AB539&gt;=1.2,AB539&lt;1.3),91.67,IF(AND(AB539&gt;=1.3,AB539&lt;1.4),88.46,IF(AND(AB539&gt;=1.4,AB539&lt;1.5),85.71,IF(AND(AB539&gt;=1.5,AB539&lt;1.6),83.33,IF(AB539&gt;=1.6,81.25,"???"))))))))))))))))</f>
        <v/>
      </c>
      <c r="AD539" s="495" t="str">
        <f t="shared" ref="AD539:AD602" si="135">IF(AC539="","",P539*AC539%)</f>
        <v/>
      </c>
      <c r="AE539" s="499" t="s">
        <v>621</v>
      </c>
      <c r="AF539" s="500" t="s">
        <v>621</v>
      </c>
      <c r="AG539" s="556" t="s">
        <v>621</v>
      </c>
      <c r="AH539" s="503" t="str">
        <f>IF($G539="","",IF(AND($G539&gt;=30,$AT$3&lt;=AG$7),ROUND(AG539*($AP$3+#REF!),-1),""))</f>
        <v/>
      </c>
      <c r="AI539" s="506" t="s">
        <v>621</v>
      </c>
      <c r="AJ539" s="503" t="str">
        <f>IF($G539="","",IF(AND($G539&gt;=30,$AT$3&lt;=AI$7),ROUND(AI539*($AP$3+#REF!),-1),""))</f>
        <v/>
      </c>
      <c r="AK539" s="506" t="s">
        <v>621</v>
      </c>
      <c r="AL539" s="503" t="str">
        <f>IF($G539="","",IF(AND($G539&gt;=30,$AT$3&lt;=AK$7),ROUND(AK539*($AP$3+#REF!),-1),""))</f>
        <v/>
      </c>
      <c r="AM539" s="506" t="s">
        <v>621</v>
      </c>
      <c r="AN539" s="503" t="str">
        <f>IF($G539="","",IF(AND($G539&gt;=30,$AT$3&lt;=AM$7),ROUND(AM539*($AP$3+#REF!),-1),""))</f>
        <v/>
      </c>
      <c r="AO539" s="503" t="e">
        <v>#REF!</v>
      </c>
      <c r="AP539" s="503" t="str">
        <f>IF($G539="","",IF(AND($G539&gt;=30,$AT$3&lt;=AO$7),ROUND(AO539*($AP$3+#REF!),-1),""))</f>
        <v/>
      </c>
      <c r="AQ539" s="503" t="s">
        <v>621</v>
      </c>
      <c r="AR539" s="503" t="str">
        <f>IF($G539="","",IF(AND($G539&gt;=30,$AT$3&lt;=AQ$7),ROUND(AQ539*($AP$3+#REF!),-1),""))</f>
        <v/>
      </c>
      <c r="AS539" s="503" t="s">
        <v>621</v>
      </c>
      <c r="AT539" s="503" t="str">
        <f>IF($G539="","",IF(AND($G539&gt;=30,$AT$3&lt;=AS$7),ROUND(AS539*($AP$3+#REF!),-1),""))</f>
        <v/>
      </c>
      <c r="AU539" s="503" t="s">
        <v>621</v>
      </c>
      <c r="AV539" s="503" t="str">
        <f>IF($G539="","",IF(AND($G539&gt;=30,$AT$3&lt;=AU$7),ROUND(AU539*($AP$3+#REF!),-1),""))</f>
        <v/>
      </c>
      <c r="AW539" s="503" t="s">
        <v>621</v>
      </c>
      <c r="AX539" s="503" t="str">
        <f>IF($G539="","",IF(AND($G539&gt;=30,$AT$3&lt;=AW$7),ROUND(AW539*($AP$3+#REF!),-1),""))</f>
        <v/>
      </c>
      <c r="AY539" s="503" t="s">
        <v>621</v>
      </c>
      <c r="AZ539" s="503" t="str">
        <f>IF($G539="","",IF(AND($G539&gt;=30,$AT$3&lt;=AY$7),ROUND(AY539*($AP$3+#REF!),-1),""))</f>
        <v/>
      </c>
      <c r="BA539" s="503" t="s">
        <v>621</v>
      </c>
      <c r="BB539" s="503" t="str">
        <f>IF($G539="","",IF(AND($G539&gt;=30,$AT$3&lt;=BA$7),ROUND(BA539*($AP$3+#REF!),-1),""))</f>
        <v/>
      </c>
      <c r="BC539" s="503" t="s">
        <v>621</v>
      </c>
      <c r="BD539" s="503" t="str">
        <f>IF($G539="","",IF(AND($G539&gt;=30,$AT$3&lt;=BC$7),ROUND(BC539*($AP$3+#REF!),-1),""))</f>
        <v/>
      </c>
      <c r="BE539" s="503" t="s">
        <v>621</v>
      </c>
      <c r="BF539" s="503" t="str">
        <f>IF($G539="","",IF(AND($G539&gt;=30,$AT$3&lt;=BE$7),ROUND(BE539*($AP$3+#REF!),-1),""))</f>
        <v/>
      </c>
      <c r="BG539" s="503" t="s">
        <v>621</v>
      </c>
      <c r="BH539" s="503" t="str">
        <f>IF($G539="","",IF(AND($G539&gt;=30,$AT$3&lt;=BG$7),ROUND(BG539*($AP$3+#REF!),-1),""))</f>
        <v/>
      </c>
      <c r="BI539" s="503" t="s">
        <v>621</v>
      </c>
      <c r="BJ539" s="503" t="str">
        <f>IF($G539="","",IF(AND($G539&gt;=30,$AT$3&lt;=BI$7),ROUND(BI539*($AP$3+#REF!),-1),""))</f>
        <v/>
      </c>
      <c r="BK539" s="503" t="s">
        <v>621</v>
      </c>
      <c r="BL539" s="503" t="str">
        <f>IF($G539="","",IF(AND($G539&gt;=30,$AT$3&lt;=BK$7),ROUND(BK539*($AP$3+#REF!),-1),""))</f>
        <v/>
      </c>
      <c r="BM539" s="503" t="s">
        <v>621</v>
      </c>
      <c r="BN539" s="503" t="str">
        <f>IF($G539="","",IF(AND($G539&gt;=30,$AT$3&lt;=BM$7),ROUND(BM539*($AP$3+#REF!),-1),""))</f>
        <v/>
      </c>
      <c r="BO539" s="503" t="s">
        <v>621</v>
      </c>
      <c r="BP539" s="503" t="str">
        <f>IF($G539="","",IF(AND($G539&gt;=30,$AT$3&lt;=BO$7),ROUND(BO539*($AP$3+#REF!),-1),""))</f>
        <v/>
      </c>
      <c r="BQ539" s="503" t="s">
        <v>621</v>
      </c>
      <c r="BR539" s="503" t="str">
        <f>IF($G539="","",IF(AND($G539&gt;=30,$AT$3&lt;=BQ$7),ROUND(BQ539*($AP$3+#REF!),-1),""))</f>
        <v/>
      </c>
      <c r="BS539" s="503" t="s">
        <v>621</v>
      </c>
      <c r="BT539" s="503" t="str">
        <f>IF($G539="","",IF(AND($G539&gt;=30,$AT$3&lt;=BS$7),ROUND(BS539*($AP$3+#REF!),-1),""))</f>
        <v/>
      </c>
      <c r="BU539" s="503" t="s">
        <v>621</v>
      </c>
      <c r="BV539" s="503" t="str">
        <f>IF($G539="","",IF(AND($G539&gt;=30,$AT$3&lt;=BU$7),ROUND(BU539*($AP$3+#REF!),-1),""))</f>
        <v/>
      </c>
      <c r="BW539" s="503" t="s">
        <v>621</v>
      </c>
      <c r="BX539" s="503" t="str">
        <f>IF($G539="","",IF(AND($G539&gt;=30,$AT$3&lt;=BW$7),ROUND(BW539*($AP$3+#REF!),-1),""))</f>
        <v/>
      </c>
      <c r="BY539" s="503" t="s">
        <v>621</v>
      </c>
      <c r="BZ539" s="503" t="str">
        <f>IF($G539="","",IF(AND($G539&gt;=30,$AT$3&lt;=BY$7),ROUND(BY539*($AP$3+#REF!),-1),""))</f>
        <v/>
      </c>
      <c r="CA539" s="503" t="s">
        <v>621</v>
      </c>
      <c r="CB539" s="503" t="str">
        <f>IF($G539="","",IF(AND($G539&gt;=30,$AT$3&lt;=CA$7),ROUND(CA539*($AP$3+#REF!),-1),""))</f>
        <v/>
      </c>
      <c r="CC539" s="503" t="s">
        <v>621</v>
      </c>
      <c r="CD539" s="503" t="str">
        <f>IF($G539="","",IF(AND($G539&gt;=30,$AT$3&lt;=CC$7),ROUND(CC539*($AP$3+#REF!),-1),""))</f>
        <v/>
      </c>
      <c r="CE539" s="503" t="s">
        <v>621</v>
      </c>
      <c r="CF539" s="503" t="str">
        <f>IF($G539="","",IF(AND($G539&gt;=30,$AT$3&lt;=CE$7),ROUND(CE539*($AP$3+#REF!),-1),""))</f>
        <v/>
      </c>
      <c r="CG539" s="503" t="s">
        <v>621</v>
      </c>
      <c r="CH539" s="503" t="str">
        <f>IF($G539="","",IF(AND($G539&gt;=30,$AT$3&lt;=CG$7),ROUND(CG539*($AP$3+#REF!),-1),""))</f>
        <v/>
      </c>
      <c r="CI539" s="503" t="s">
        <v>621</v>
      </c>
      <c r="CJ539" s="503" t="str">
        <f>IF($G539="","",IF(AND($G539&gt;=30,$AT$3&lt;=CI$7),ROUND(CI539*($AP$3+#REF!),-1),""))</f>
        <v/>
      </c>
      <c r="CK539" s="503" t="s">
        <v>621</v>
      </c>
      <c r="CL539" s="503" t="str">
        <f>IF($G539="","",IF(AND($G539&gt;=30,$AT$3&lt;=CK$7),ROUND(CK539*($AP$3+#REF!),-1),""))</f>
        <v/>
      </c>
      <c r="CM539" s="503" t="s">
        <v>621</v>
      </c>
      <c r="CN539" s="503" t="str">
        <f>IF($G539="","",IF(AND($G539&gt;=30,$AT$3&lt;=CM$7),ROUND(CM539*($AP$3+#REF!),-1),""))</f>
        <v/>
      </c>
      <c r="CO539" s="503" t="s">
        <v>621</v>
      </c>
      <c r="CP539" s="503" t="str">
        <f>IF($G539="","",IF(AND($G539&gt;=30,$AT$3&lt;=CO$7),ROUND(CO539*($AP$3+#REF!),-1),""))</f>
        <v/>
      </c>
      <c r="CQ539" s="503" t="s">
        <v>621</v>
      </c>
      <c r="CR539" s="503" t="str">
        <f>IF($G539="","",IF(AND($G539&gt;=30,$AT$3&lt;=CQ$7),ROUND(CQ539*($AP$3+#REF!),-1),""))</f>
        <v/>
      </c>
      <c r="CS539" s="503" t="s">
        <v>621</v>
      </c>
      <c r="CT539" s="503" t="str">
        <f>IF($G539="","",IF(AND($G539&gt;=30,$AT$3&lt;=CS$7),ROUND(CS539*($AP$3+#REF!),-1),""))</f>
        <v/>
      </c>
      <c r="CU539" s="503" t="s">
        <v>621</v>
      </c>
      <c r="CV539" s="503" t="str">
        <f>IF($G539="","",IF(AND($G539&gt;=30,$AT$3&lt;=CU$7),ROUND(CU539*($AP$3+#REF!),-1),""))</f>
        <v/>
      </c>
      <c r="CW539" s="503" t="s">
        <v>621</v>
      </c>
      <c r="CX539" s="503" t="str">
        <f>IF($G539="","",IF(AND($G539&gt;=30,$AT$3&lt;=CW$7),ROUND(CW539*($AP$3+#REF!),-1),""))</f>
        <v/>
      </c>
      <c r="CY539" s="503" t="s">
        <v>621</v>
      </c>
      <c r="CZ539" s="503" t="str">
        <f>IF($G539="","",IF(AND($G539&gt;=30,$AT$3&lt;=CY$7),ROUND(CY539*($AP$3+#REF!),-1),""))</f>
        <v/>
      </c>
      <c r="DA539" s="503" t="s">
        <v>621</v>
      </c>
      <c r="DB539" s="503" t="str">
        <f>IF($G539="","",IF(AND($G539&gt;=30,$AT$3&lt;=DA$7),ROUND(DA539*($AP$3+#REF!),-1),""))</f>
        <v/>
      </c>
      <c r="DC539" s="503" t="s">
        <v>621</v>
      </c>
      <c r="DD539" s="503" t="str">
        <f>IF($G539="","",IF(AND($G539&gt;=30,$AT$3&lt;=DC$7),ROUND(DC539*($AP$3+#REF!),-1),""))</f>
        <v/>
      </c>
      <c r="DE539" s="503" t="s">
        <v>621</v>
      </c>
      <c r="DF539" s="503" t="str">
        <f>IF($G539="","",IF(AND($G539&gt;=30,$AT$3&lt;=DE$7),ROUND(DE539*($AP$3+#REF!),-1),""))</f>
        <v/>
      </c>
      <c r="DG539" s="503" t="s">
        <v>621</v>
      </c>
      <c r="DH539" s="503" t="str">
        <f>IF($G539="","",IF(AND($G539&gt;=30,$AT$3&lt;=DG$7),ROUND(DG539*($AP$3+#REF!),-1),""))</f>
        <v/>
      </c>
      <c r="DI539" s="503" t="s">
        <v>621</v>
      </c>
      <c r="DJ539" s="503" t="str">
        <f>IF($G539="","",IF(AND($G539&gt;=30,$AT$3&lt;=DI$7),ROUND(DI539*($AP$3+#REF!),-1),""))</f>
        <v/>
      </c>
      <c r="DK539" s="503" t="s">
        <v>621</v>
      </c>
      <c r="DL539" s="503" t="str">
        <f>IF($G539="","",IF(AND($G539&gt;=30,$AT$3&lt;=DK$7),ROUND(DK539*($AP$3+#REF!),-1),""))</f>
        <v/>
      </c>
      <c r="DM539" s="503" t="s">
        <v>621</v>
      </c>
      <c r="DN539" s="503" t="str">
        <f>IF($G539="","",IF(AND($G539&gt;=30,$AT$3&lt;=DM$7),ROUND(DM539*($AP$3+#REF!),-1),""))</f>
        <v/>
      </c>
      <c r="DO539" s="503" t="s">
        <v>621</v>
      </c>
      <c r="DP539" s="503" t="str">
        <f>IF($G539="","",IF(AND($G539&gt;=30,$AT$3&lt;=DO$7),ROUND(DO539*($AP$3+#REF!),-1),""))</f>
        <v/>
      </c>
      <c r="DQ539" s="517" t="e">
        <v>#REF!</v>
      </c>
      <c r="DR539" s="503" t="str">
        <f>IF($G539="","",IF(AND($G539&gt;=30,$AT$3&lt;=DQ$7),ROUND(DQ539*($AP$3+#REF!),-1),""))</f>
        <v/>
      </c>
      <c r="DS539" s="503"/>
      <c r="DT539" s="503" t="str">
        <f>IF($G539="","",IF(AND($G539&gt;=30,$AT$3&lt;=DS$7),ROUND(DS539*($AP$3+#REF!),-1),""))</f>
        <v/>
      </c>
      <c r="DU539" s="503"/>
      <c r="DV539" s="503" t="str">
        <f>IF($G539="","",IF(AND($G539&gt;=30,$AT$3&lt;=DU$7),ROUND(DU539*($AP$3+#REF!),-1),""))</f>
        <v/>
      </c>
      <c r="DW539" s="503"/>
      <c r="DX539" s="503" t="str">
        <f>IF($G539="","",IF(AND($G539&gt;=30,$AT$3&lt;=DW$7),ROUND(DW539*($AP$3+#REF!),-1),""))</f>
        <v/>
      </c>
      <c r="DY539" s="503"/>
      <c r="DZ539" s="503" t="str">
        <f>IF($G539="","",IF(AND($G539&gt;=30,$AT$3&lt;=DY$7),ROUND(DY539*($AP$3+#REF!),-1),""))</f>
        <v/>
      </c>
      <c r="EA539" s="503"/>
      <c r="EB539" s="503" t="str">
        <f>IF($G539="","",IF(AND($G539&gt;=30,$AT$3&lt;=EA$7),ROUND(EA539*($AP$3+#REF!),-1),""))</f>
        <v/>
      </c>
      <c r="EC539" s="436"/>
      <c r="ED539" s="436"/>
      <c r="EE539" s="394"/>
    </row>
    <row r="540" spans="1:135" ht="9.75" customHeight="1">
      <c r="A540" s="321" t="str">
        <f t="shared" si="124"/>
        <v/>
      </c>
      <c r="B540" s="567">
        <f>(ii!$D$13*12+V540)+1</f>
        <v>434</v>
      </c>
      <c r="C540" s="337">
        <f t="shared" si="128"/>
        <v>58561</v>
      </c>
      <c r="D540" s="484">
        <f t="shared" si="131"/>
        <v>2060</v>
      </c>
      <c r="E540" s="484">
        <f t="shared" si="129"/>
        <v>0.33333333333333331</v>
      </c>
      <c r="F540" s="484">
        <f t="shared" si="132"/>
        <v>2060.3333333333335</v>
      </c>
      <c r="G540" s="485" t="str">
        <f>IF(OR(C540&lt;$I$2,C540&gt;$J$3),"",(ii!$D$13*12+V540+1)/12)</f>
        <v/>
      </c>
      <c r="H540" s="486"/>
      <c r="I540" s="486"/>
      <c r="J540" s="487"/>
      <c r="K540" s="488"/>
      <c r="L540" s="548"/>
      <c r="M540" s="489" t="str">
        <f t="shared" si="133"/>
        <v/>
      </c>
      <c r="N540" s="490" t="s">
        <v>621</v>
      </c>
      <c r="O540" s="490" t="str">
        <f t="shared" si="126"/>
        <v/>
      </c>
      <c r="P540" s="491"/>
      <c r="Q540" s="491"/>
      <c r="R540" s="491" t="str">
        <f t="shared" si="127"/>
        <v/>
      </c>
      <c r="S540" s="528" t="str">
        <f t="shared" si="125"/>
        <v/>
      </c>
      <c r="T540" s="528" t="str">
        <f t="shared" si="123"/>
        <v/>
      </c>
      <c r="U540" s="493" t="str">
        <f>IF(H540="","",#REF!*12+#REF!+#REF!*12+#REF!)</f>
        <v/>
      </c>
      <c r="V540" s="338">
        <f>IF(ii!$J$3&gt;gg!C540,"",IF(AND((YEAR(C540)=YEAR($I$2)),MONTH(C540)=MONTH($I$2)),ii!$B$14*12+ii!$C$14+ii!$B$15*12+ii!$C$15-1,V539+1))</f>
        <v>433</v>
      </c>
      <c r="W540" s="339">
        <f t="shared" si="130"/>
        <v>36.083333333333336</v>
      </c>
      <c r="X540" s="494" t="s">
        <v>621</v>
      </c>
      <c r="Y540" s="495" t="s">
        <v>621</v>
      </c>
      <c r="Z540" s="496"/>
      <c r="AA540" s="497"/>
      <c r="AB540" s="498" t="str">
        <f t="shared" si="122"/>
        <v/>
      </c>
      <c r="AC540" s="484" t="str">
        <f t="shared" si="134"/>
        <v/>
      </c>
      <c r="AD540" s="495" t="str">
        <f t="shared" si="135"/>
        <v/>
      </c>
      <c r="AE540" s="499" t="s">
        <v>621</v>
      </c>
      <c r="AF540" s="500" t="s">
        <v>621</v>
      </c>
      <c r="AG540" s="556" t="s">
        <v>621</v>
      </c>
      <c r="AH540" s="503" t="str">
        <f>IF($G540="","",IF(AND($G540&gt;=30,$AT$3&lt;=AG$7),ROUND(AG540*($AP$3+#REF!),-1),""))</f>
        <v/>
      </c>
      <c r="AI540" s="506" t="s">
        <v>621</v>
      </c>
      <c r="AJ540" s="503" t="str">
        <f>IF($G540="","",IF(AND($G540&gt;=30,$AT$3&lt;=AI$7),ROUND(AI540*($AP$3+#REF!),-1),""))</f>
        <v/>
      </c>
      <c r="AK540" s="506" t="s">
        <v>621</v>
      </c>
      <c r="AL540" s="503" t="str">
        <f>IF($G540="","",IF(AND($G540&gt;=30,$AT$3&lt;=AK$7),ROUND(AK540*($AP$3+#REF!),-1),""))</f>
        <v/>
      </c>
      <c r="AM540" s="506" t="s">
        <v>621</v>
      </c>
      <c r="AN540" s="503" t="str">
        <f>IF($G540="","",IF(AND($G540&gt;=30,$AT$3&lt;=AM$7),ROUND(AM540*($AP$3+#REF!),-1),""))</f>
        <v/>
      </c>
      <c r="AO540" s="503" t="e">
        <v>#REF!</v>
      </c>
      <c r="AP540" s="503" t="str">
        <f>IF($G540="","",IF(AND($G540&gt;=30,$AT$3&lt;=AO$7),ROUND(AO540*($AP$3+#REF!),-1),""))</f>
        <v/>
      </c>
      <c r="AQ540" s="503" t="s">
        <v>621</v>
      </c>
      <c r="AR540" s="503" t="str">
        <f>IF($G540="","",IF(AND($G540&gt;=30,$AT$3&lt;=AQ$7),ROUND(AQ540*($AP$3+#REF!),-1),""))</f>
        <v/>
      </c>
      <c r="AS540" s="503" t="s">
        <v>621</v>
      </c>
      <c r="AT540" s="503" t="str">
        <f>IF($G540="","",IF(AND($G540&gt;=30,$AT$3&lt;=AS$7),ROUND(AS540*($AP$3+#REF!),-1),""))</f>
        <v/>
      </c>
      <c r="AU540" s="503" t="s">
        <v>621</v>
      </c>
      <c r="AV540" s="503" t="str">
        <f>IF($G540="","",IF(AND($G540&gt;=30,$AT$3&lt;=AU$7),ROUND(AU540*($AP$3+#REF!),-1),""))</f>
        <v/>
      </c>
      <c r="AW540" s="503" t="s">
        <v>621</v>
      </c>
      <c r="AX540" s="503" t="str">
        <f>IF($G540="","",IF(AND($G540&gt;=30,$AT$3&lt;=AW$7),ROUND(AW540*($AP$3+#REF!),-1),""))</f>
        <v/>
      </c>
      <c r="AY540" s="503" t="s">
        <v>621</v>
      </c>
      <c r="AZ540" s="503" t="str">
        <f>IF($G540="","",IF(AND($G540&gt;=30,$AT$3&lt;=AY$7),ROUND(AY540*($AP$3+#REF!),-1),""))</f>
        <v/>
      </c>
      <c r="BA540" s="503" t="s">
        <v>621</v>
      </c>
      <c r="BB540" s="503" t="str">
        <f>IF($G540="","",IF(AND($G540&gt;=30,$AT$3&lt;=BA$7),ROUND(BA540*($AP$3+#REF!),-1),""))</f>
        <v/>
      </c>
      <c r="BC540" s="503" t="s">
        <v>621</v>
      </c>
      <c r="BD540" s="503" t="str">
        <f>IF($G540="","",IF(AND($G540&gt;=30,$AT$3&lt;=BC$7),ROUND(BC540*($AP$3+#REF!),-1),""))</f>
        <v/>
      </c>
      <c r="BE540" s="503" t="s">
        <v>621</v>
      </c>
      <c r="BF540" s="503" t="str">
        <f>IF($G540="","",IF(AND($G540&gt;=30,$AT$3&lt;=BE$7),ROUND(BE540*($AP$3+#REF!),-1),""))</f>
        <v/>
      </c>
      <c r="BG540" s="503" t="s">
        <v>621</v>
      </c>
      <c r="BH540" s="503" t="str">
        <f>IF($G540="","",IF(AND($G540&gt;=30,$AT$3&lt;=BG$7),ROUND(BG540*($AP$3+#REF!),-1),""))</f>
        <v/>
      </c>
      <c r="BI540" s="503" t="s">
        <v>621</v>
      </c>
      <c r="BJ540" s="503" t="str">
        <f>IF($G540="","",IF(AND($G540&gt;=30,$AT$3&lt;=BI$7),ROUND(BI540*($AP$3+#REF!),-1),""))</f>
        <v/>
      </c>
      <c r="BK540" s="503" t="s">
        <v>621</v>
      </c>
      <c r="BL540" s="503" t="str">
        <f>IF($G540="","",IF(AND($G540&gt;=30,$AT$3&lt;=BK$7),ROUND(BK540*($AP$3+#REF!),-1),""))</f>
        <v/>
      </c>
      <c r="BM540" s="503" t="s">
        <v>621</v>
      </c>
      <c r="BN540" s="503" t="str">
        <f>IF($G540="","",IF(AND($G540&gt;=30,$AT$3&lt;=BM$7),ROUND(BM540*($AP$3+#REF!),-1),""))</f>
        <v/>
      </c>
      <c r="BO540" s="503" t="s">
        <v>621</v>
      </c>
      <c r="BP540" s="503" t="str">
        <f>IF($G540="","",IF(AND($G540&gt;=30,$AT$3&lt;=BO$7),ROUND(BO540*($AP$3+#REF!),-1),""))</f>
        <v/>
      </c>
      <c r="BQ540" s="503" t="s">
        <v>621</v>
      </c>
      <c r="BR540" s="503" t="str">
        <f>IF($G540="","",IF(AND($G540&gt;=30,$AT$3&lt;=BQ$7),ROUND(BQ540*($AP$3+#REF!),-1),""))</f>
        <v/>
      </c>
      <c r="BS540" s="503" t="s">
        <v>621</v>
      </c>
      <c r="BT540" s="503" t="str">
        <f>IF($G540="","",IF(AND($G540&gt;=30,$AT$3&lt;=BS$7),ROUND(BS540*($AP$3+#REF!),-1),""))</f>
        <v/>
      </c>
      <c r="BU540" s="503" t="s">
        <v>621</v>
      </c>
      <c r="BV540" s="503" t="str">
        <f>IF($G540="","",IF(AND($G540&gt;=30,$AT$3&lt;=BU$7),ROUND(BU540*($AP$3+#REF!),-1),""))</f>
        <v/>
      </c>
      <c r="BW540" s="503" t="s">
        <v>621</v>
      </c>
      <c r="BX540" s="503" t="str">
        <f>IF($G540="","",IF(AND($G540&gt;=30,$AT$3&lt;=BW$7),ROUND(BW540*($AP$3+#REF!),-1),""))</f>
        <v/>
      </c>
      <c r="BY540" s="503" t="s">
        <v>621</v>
      </c>
      <c r="BZ540" s="503" t="str">
        <f>IF($G540="","",IF(AND($G540&gt;=30,$AT$3&lt;=BY$7),ROUND(BY540*($AP$3+#REF!),-1),""))</f>
        <v/>
      </c>
      <c r="CA540" s="503" t="s">
        <v>621</v>
      </c>
      <c r="CB540" s="503" t="str">
        <f>IF($G540="","",IF(AND($G540&gt;=30,$AT$3&lt;=CA$7),ROUND(CA540*($AP$3+#REF!),-1),""))</f>
        <v/>
      </c>
      <c r="CC540" s="503" t="s">
        <v>621</v>
      </c>
      <c r="CD540" s="503" t="str">
        <f>IF($G540="","",IF(AND($G540&gt;=30,$AT$3&lt;=CC$7),ROUND(CC540*($AP$3+#REF!),-1),""))</f>
        <v/>
      </c>
      <c r="CE540" s="503" t="s">
        <v>621</v>
      </c>
      <c r="CF540" s="503" t="str">
        <f>IF($G540="","",IF(AND($G540&gt;=30,$AT$3&lt;=CE$7),ROUND(CE540*($AP$3+#REF!),-1),""))</f>
        <v/>
      </c>
      <c r="CG540" s="503" t="s">
        <v>621</v>
      </c>
      <c r="CH540" s="503" t="str">
        <f>IF($G540="","",IF(AND($G540&gt;=30,$AT$3&lt;=CG$7),ROUND(CG540*($AP$3+#REF!),-1),""))</f>
        <v/>
      </c>
      <c r="CI540" s="503" t="s">
        <v>621</v>
      </c>
      <c r="CJ540" s="503" t="str">
        <f>IF($G540="","",IF(AND($G540&gt;=30,$AT$3&lt;=CI$7),ROUND(CI540*($AP$3+#REF!),-1),""))</f>
        <v/>
      </c>
      <c r="CK540" s="503" t="s">
        <v>621</v>
      </c>
      <c r="CL540" s="503" t="str">
        <f>IF($G540="","",IF(AND($G540&gt;=30,$AT$3&lt;=CK$7),ROUND(CK540*($AP$3+#REF!),-1),""))</f>
        <v/>
      </c>
      <c r="CM540" s="503" t="s">
        <v>621</v>
      </c>
      <c r="CN540" s="503" t="str">
        <f>IF($G540="","",IF(AND($G540&gt;=30,$AT$3&lt;=CM$7),ROUND(CM540*($AP$3+#REF!),-1),""))</f>
        <v/>
      </c>
      <c r="CO540" s="503" t="s">
        <v>621</v>
      </c>
      <c r="CP540" s="503" t="str">
        <f>IF($G540="","",IF(AND($G540&gt;=30,$AT$3&lt;=CO$7),ROUND(CO540*($AP$3+#REF!),-1),""))</f>
        <v/>
      </c>
      <c r="CQ540" s="503" t="s">
        <v>621</v>
      </c>
      <c r="CR540" s="503" t="str">
        <f>IF($G540="","",IF(AND($G540&gt;=30,$AT$3&lt;=CQ$7),ROUND(CQ540*($AP$3+#REF!),-1),""))</f>
        <v/>
      </c>
      <c r="CS540" s="503" t="s">
        <v>621</v>
      </c>
      <c r="CT540" s="503" t="str">
        <f>IF($G540="","",IF(AND($G540&gt;=30,$AT$3&lt;=CS$7),ROUND(CS540*($AP$3+#REF!),-1),""))</f>
        <v/>
      </c>
      <c r="CU540" s="503" t="s">
        <v>621</v>
      </c>
      <c r="CV540" s="503" t="str">
        <f>IF($G540="","",IF(AND($G540&gt;=30,$AT$3&lt;=CU$7),ROUND(CU540*($AP$3+#REF!),-1),""))</f>
        <v/>
      </c>
      <c r="CW540" s="503" t="s">
        <v>621</v>
      </c>
      <c r="CX540" s="503" t="str">
        <f>IF($G540="","",IF(AND($G540&gt;=30,$AT$3&lt;=CW$7),ROUND(CW540*($AP$3+#REF!),-1),""))</f>
        <v/>
      </c>
      <c r="CY540" s="503" t="s">
        <v>621</v>
      </c>
      <c r="CZ540" s="503" t="str">
        <f>IF($G540="","",IF(AND($G540&gt;=30,$AT$3&lt;=CY$7),ROUND(CY540*($AP$3+#REF!),-1),""))</f>
        <v/>
      </c>
      <c r="DA540" s="503" t="s">
        <v>621</v>
      </c>
      <c r="DB540" s="503" t="str">
        <f>IF($G540="","",IF(AND($G540&gt;=30,$AT$3&lt;=DA$7),ROUND(DA540*($AP$3+#REF!),-1),""))</f>
        <v/>
      </c>
      <c r="DC540" s="503" t="s">
        <v>621</v>
      </c>
      <c r="DD540" s="503" t="str">
        <f>IF($G540="","",IF(AND($G540&gt;=30,$AT$3&lt;=DC$7),ROUND(DC540*($AP$3+#REF!),-1),""))</f>
        <v/>
      </c>
      <c r="DE540" s="503" t="s">
        <v>621</v>
      </c>
      <c r="DF540" s="503" t="str">
        <f>IF($G540="","",IF(AND($G540&gt;=30,$AT$3&lt;=DE$7),ROUND(DE540*($AP$3+#REF!),-1),""))</f>
        <v/>
      </c>
      <c r="DG540" s="503" t="s">
        <v>621</v>
      </c>
      <c r="DH540" s="503" t="str">
        <f>IF($G540="","",IF(AND($G540&gt;=30,$AT$3&lt;=DG$7),ROUND(DG540*($AP$3+#REF!),-1),""))</f>
        <v/>
      </c>
      <c r="DI540" s="503" t="s">
        <v>621</v>
      </c>
      <c r="DJ540" s="503" t="str">
        <f>IF($G540="","",IF(AND($G540&gt;=30,$AT$3&lt;=DI$7),ROUND(DI540*($AP$3+#REF!),-1),""))</f>
        <v/>
      </c>
      <c r="DK540" s="503" t="s">
        <v>621</v>
      </c>
      <c r="DL540" s="503" t="str">
        <f>IF($G540="","",IF(AND($G540&gt;=30,$AT$3&lt;=DK$7),ROUND(DK540*($AP$3+#REF!),-1),""))</f>
        <v/>
      </c>
      <c r="DM540" s="503" t="s">
        <v>621</v>
      </c>
      <c r="DN540" s="503" t="str">
        <f>IF($G540="","",IF(AND($G540&gt;=30,$AT$3&lt;=DM$7),ROUND(DM540*($AP$3+#REF!),-1),""))</f>
        <v/>
      </c>
      <c r="DO540" s="503" t="s">
        <v>621</v>
      </c>
      <c r="DP540" s="503" t="str">
        <f>IF($G540="","",IF(AND($G540&gt;=30,$AT$3&lt;=DO$7),ROUND(DO540*($AP$3+#REF!),-1),""))</f>
        <v/>
      </c>
      <c r="DQ540" s="517" t="e">
        <v>#REF!</v>
      </c>
      <c r="DR540" s="503" t="str">
        <f>IF($G540="","",IF(AND($G540&gt;=30,$AT$3&lt;=DQ$7),ROUND(DQ540*($AP$3+#REF!),-1),""))</f>
        <v/>
      </c>
      <c r="DS540" s="503"/>
      <c r="DT540" s="503" t="str">
        <f>IF($G540="","",IF(AND($G540&gt;=30,$AT$3&lt;=DS$7),ROUND(DS540*($AP$3+#REF!),-1),""))</f>
        <v/>
      </c>
      <c r="DU540" s="503"/>
      <c r="DV540" s="503" t="str">
        <f>IF($G540="","",IF(AND($G540&gt;=30,$AT$3&lt;=DU$7),ROUND(DU540*($AP$3+#REF!),-1),""))</f>
        <v/>
      </c>
      <c r="DW540" s="503"/>
      <c r="DX540" s="503" t="str">
        <f>IF($G540="","",IF(AND($G540&gt;=30,$AT$3&lt;=DW$7),ROUND(DW540*($AP$3+#REF!),-1),""))</f>
        <v/>
      </c>
      <c r="DY540" s="503"/>
      <c r="DZ540" s="503" t="str">
        <f>IF($G540="","",IF(AND($G540&gt;=30,$AT$3&lt;=DY$7),ROUND(DY540*($AP$3+#REF!),-1),""))</f>
        <v/>
      </c>
      <c r="EA540" s="503"/>
      <c r="EB540" s="503" t="str">
        <f>IF($G540="","",IF(AND($G540&gt;=30,$AT$3&lt;=EA$7),ROUND(EA540*($AP$3+#REF!),-1),""))</f>
        <v/>
      </c>
      <c r="EC540" s="436"/>
      <c r="ED540" s="436"/>
      <c r="EE540" s="394"/>
    </row>
    <row r="541" spans="1:135" ht="9.75" customHeight="1">
      <c r="A541" s="321" t="str">
        <f t="shared" si="124"/>
        <v/>
      </c>
      <c r="B541" s="567">
        <f>(ii!$D$13*12+V541)+1</f>
        <v>435</v>
      </c>
      <c r="C541" s="337">
        <f t="shared" si="128"/>
        <v>58592</v>
      </c>
      <c r="D541" s="484">
        <f t="shared" si="131"/>
        <v>2060</v>
      </c>
      <c r="E541" s="484">
        <f t="shared" si="129"/>
        <v>0.41666666666666669</v>
      </c>
      <c r="F541" s="484">
        <f t="shared" si="132"/>
        <v>2060.4166666666665</v>
      </c>
      <c r="G541" s="485" t="str">
        <f>IF(OR(C541&lt;$I$2,C541&gt;$J$3),"",(ii!$D$13*12+V541+1)/12)</f>
        <v/>
      </c>
      <c r="H541" s="486"/>
      <c r="I541" s="486"/>
      <c r="J541" s="507"/>
      <c r="K541" s="508"/>
      <c r="L541" s="548"/>
      <c r="M541" s="489" t="str">
        <f t="shared" si="133"/>
        <v/>
      </c>
      <c r="N541" s="490" t="s">
        <v>621</v>
      </c>
      <c r="O541" s="490" t="str">
        <f t="shared" si="126"/>
        <v/>
      </c>
      <c r="P541" s="507"/>
      <c r="Q541" s="507"/>
      <c r="R541" s="491" t="str">
        <f t="shared" si="127"/>
        <v/>
      </c>
      <c r="S541" s="528" t="str">
        <f t="shared" si="125"/>
        <v/>
      </c>
      <c r="T541" s="528" t="str">
        <f t="shared" si="123"/>
        <v/>
      </c>
      <c r="U541" s="493" t="str">
        <f>IF(H541="","",#REF!*12+#REF!+#REF!*12+#REF!)</f>
        <v/>
      </c>
      <c r="V541" s="338">
        <f>IF(ii!$J$3&gt;gg!C541,"",IF(AND((YEAR(C541)=YEAR($I$2)),MONTH(C541)=MONTH($I$2)),ii!$B$14*12+ii!$C$14+ii!$B$15*12+ii!$C$15-1,V540+1))</f>
        <v>434</v>
      </c>
      <c r="W541" s="339">
        <f t="shared" si="130"/>
        <v>36.166666666666664</v>
      </c>
      <c r="X541" s="494" t="s">
        <v>621</v>
      </c>
      <c r="Y541" s="495" t="s">
        <v>621</v>
      </c>
      <c r="Z541" s="496"/>
      <c r="AA541" s="497"/>
      <c r="AB541" s="498" t="str">
        <f t="shared" si="122"/>
        <v/>
      </c>
      <c r="AC541" s="484" t="str">
        <f t="shared" si="134"/>
        <v/>
      </c>
      <c r="AD541" s="495" t="str">
        <f t="shared" si="135"/>
        <v/>
      </c>
      <c r="AE541" s="499" t="s">
        <v>621</v>
      </c>
      <c r="AF541" s="500" t="s">
        <v>621</v>
      </c>
      <c r="AG541" s="556" t="s">
        <v>621</v>
      </c>
      <c r="AH541" s="503" t="str">
        <f>IF($G541="","",IF(AND($G541&gt;=30,$AT$3&lt;=AG$7),ROUND(AG541*($AP$3+#REF!),-1),""))</f>
        <v/>
      </c>
      <c r="AI541" s="506" t="s">
        <v>621</v>
      </c>
      <c r="AJ541" s="503" t="str">
        <f>IF($G541="","",IF(AND($G541&gt;=30,$AT$3&lt;=AI$7),ROUND(AI541*($AP$3+#REF!),-1),""))</f>
        <v/>
      </c>
      <c r="AK541" s="506" t="s">
        <v>621</v>
      </c>
      <c r="AL541" s="503" t="str">
        <f>IF($G541="","",IF(AND($G541&gt;=30,$AT$3&lt;=AK$7),ROUND(AK541*($AP$3+#REF!),-1),""))</f>
        <v/>
      </c>
      <c r="AM541" s="506" t="s">
        <v>621</v>
      </c>
      <c r="AN541" s="503" t="str">
        <f>IF($G541="","",IF(AND($G541&gt;=30,$AT$3&lt;=AM$7),ROUND(AM541*($AP$3+#REF!),-1),""))</f>
        <v/>
      </c>
      <c r="AO541" s="503" t="e">
        <v>#REF!</v>
      </c>
      <c r="AP541" s="503" t="str">
        <f>IF($G541="","",IF(AND($G541&gt;=30,$AT$3&lt;=AO$7),ROUND(AO541*($AP$3+#REF!),-1),""))</f>
        <v/>
      </c>
      <c r="AQ541" s="503" t="s">
        <v>621</v>
      </c>
      <c r="AR541" s="503" t="str">
        <f>IF($G541="","",IF(AND($G541&gt;=30,$AT$3&lt;=AQ$7),ROUND(AQ541*($AP$3+#REF!),-1),""))</f>
        <v/>
      </c>
      <c r="AS541" s="503" t="s">
        <v>621</v>
      </c>
      <c r="AT541" s="503" t="str">
        <f>IF($G541="","",IF(AND($G541&gt;=30,$AT$3&lt;=AS$7),ROUND(AS541*($AP$3+#REF!),-1),""))</f>
        <v/>
      </c>
      <c r="AU541" s="503" t="s">
        <v>621</v>
      </c>
      <c r="AV541" s="503" t="str">
        <f>IF($G541="","",IF(AND($G541&gt;=30,$AT$3&lt;=AU$7),ROUND(AU541*($AP$3+#REF!),-1),""))</f>
        <v/>
      </c>
      <c r="AW541" s="503" t="s">
        <v>621</v>
      </c>
      <c r="AX541" s="503" t="str">
        <f>IF($G541="","",IF(AND($G541&gt;=30,$AT$3&lt;=AW$7),ROUND(AW541*($AP$3+#REF!),-1),""))</f>
        <v/>
      </c>
      <c r="AY541" s="503" t="s">
        <v>621</v>
      </c>
      <c r="AZ541" s="503" t="str">
        <f>IF($G541="","",IF(AND($G541&gt;=30,$AT$3&lt;=AY$7),ROUND(AY541*($AP$3+#REF!),-1),""))</f>
        <v/>
      </c>
      <c r="BA541" s="503" t="s">
        <v>621</v>
      </c>
      <c r="BB541" s="503" t="str">
        <f>IF($G541="","",IF(AND($G541&gt;=30,$AT$3&lt;=BA$7),ROUND(BA541*($AP$3+#REF!),-1),""))</f>
        <v/>
      </c>
      <c r="BC541" s="503" t="s">
        <v>621</v>
      </c>
      <c r="BD541" s="503" t="str">
        <f>IF($G541="","",IF(AND($G541&gt;=30,$AT$3&lt;=BC$7),ROUND(BC541*($AP$3+#REF!),-1),""))</f>
        <v/>
      </c>
      <c r="BE541" s="503" t="s">
        <v>621</v>
      </c>
      <c r="BF541" s="503" t="str">
        <f>IF($G541="","",IF(AND($G541&gt;=30,$AT$3&lt;=BE$7),ROUND(BE541*($AP$3+#REF!),-1),""))</f>
        <v/>
      </c>
      <c r="BG541" s="503" t="s">
        <v>621</v>
      </c>
      <c r="BH541" s="503" t="str">
        <f>IF($G541="","",IF(AND($G541&gt;=30,$AT$3&lt;=BG$7),ROUND(BG541*($AP$3+#REF!),-1),""))</f>
        <v/>
      </c>
      <c r="BI541" s="503" t="s">
        <v>621</v>
      </c>
      <c r="BJ541" s="503" t="str">
        <f>IF($G541="","",IF(AND($G541&gt;=30,$AT$3&lt;=BI$7),ROUND(BI541*($AP$3+#REF!),-1),""))</f>
        <v/>
      </c>
      <c r="BK541" s="503" t="s">
        <v>621</v>
      </c>
      <c r="BL541" s="503" t="str">
        <f>IF($G541="","",IF(AND($G541&gt;=30,$AT$3&lt;=BK$7),ROUND(BK541*($AP$3+#REF!),-1),""))</f>
        <v/>
      </c>
      <c r="BM541" s="503" t="s">
        <v>621</v>
      </c>
      <c r="BN541" s="503" t="str">
        <f>IF($G541="","",IF(AND($G541&gt;=30,$AT$3&lt;=BM$7),ROUND(BM541*($AP$3+#REF!),-1),""))</f>
        <v/>
      </c>
      <c r="BO541" s="503" t="s">
        <v>621</v>
      </c>
      <c r="BP541" s="503" t="str">
        <f>IF($G541="","",IF(AND($G541&gt;=30,$AT$3&lt;=BO$7),ROUND(BO541*($AP$3+#REF!),-1),""))</f>
        <v/>
      </c>
      <c r="BQ541" s="503" t="s">
        <v>621</v>
      </c>
      <c r="BR541" s="503" t="str">
        <f>IF($G541="","",IF(AND($G541&gt;=30,$AT$3&lt;=BQ$7),ROUND(BQ541*($AP$3+#REF!),-1),""))</f>
        <v/>
      </c>
      <c r="BS541" s="503" t="s">
        <v>621</v>
      </c>
      <c r="BT541" s="503" t="str">
        <f>IF($G541="","",IF(AND($G541&gt;=30,$AT$3&lt;=BS$7),ROUND(BS541*($AP$3+#REF!),-1),""))</f>
        <v/>
      </c>
      <c r="BU541" s="503" t="s">
        <v>621</v>
      </c>
      <c r="BV541" s="503" t="str">
        <f>IF($G541="","",IF(AND($G541&gt;=30,$AT$3&lt;=BU$7),ROUND(BU541*($AP$3+#REF!),-1),""))</f>
        <v/>
      </c>
      <c r="BW541" s="503" t="s">
        <v>621</v>
      </c>
      <c r="BX541" s="503" t="str">
        <f>IF($G541="","",IF(AND($G541&gt;=30,$AT$3&lt;=BW$7),ROUND(BW541*($AP$3+#REF!),-1),""))</f>
        <v/>
      </c>
      <c r="BY541" s="503" t="s">
        <v>621</v>
      </c>
      <c r="BZ541" s="503" t="str">
        <f>IF($G541="","",IF(AND($G541&gt;=30,$AT$3&lt;=BY$7),ROUND(BY541*($AP$3+#REF!),-1),""))</f>
        <v/>
      </c>
      <c r="CA541" s="503" t="s">
        <v>621</v>
      </c>
      <c r="CB541" s="503" t="str">
        <f>IF($G541="","",IF(AND($G541&gt;=30,$AT$3&lt;=CA$7),ROUND(CA541*($AP$3+#REF!),-1),""))</f>
        <v/>
      </c>
      <c r="CC541" s="503" t="s">
        <v>621</v>
      </c>
      <c r="CD541" s="503" t="str">
        <f>IF($G541="","",IF(AND($G541&gt;=30,$AT$3&lt;=CC$7),ROUND(CC541*($AP$3+#REF!),-1),""))</f>
        <v/>
      </c>
      <c r="CE541" s="503" t="s">
        <v>621</v>
      </c>
      <c r="CF541" s="503" t="str">
        <f>IF($G541="","",IF(AND($G541&gt;=30,$AT$3&lt;=CE$7),ROUND(CE541*($AP$3+#REF!),-1),""))</f>
        <v/>
      </c>
      <c r="CG541" s="503" t="s">
        <v>621</v>
      </c>
      <c r="CH541" s="503" t="str">
        <f>IF($G541="","",IF(AND($G541&gt;=30,$AT$3&lt;=CG$7),ROUND(CG541*($AP$3+#REF!),-1),""))</f>
        <v/>
      </c>
      <c r="CI541" s="503" t="s">
        <v>621</v>
      </c>
      <c r="CJ541" s="503" t="str">
        <f>IF($G541="","",IF(AND($G541&gt;=30,$AT$3&lt;=CI$7),ROUND(CI541*($AP$3+#REF!),-1),""))</f>
        <v/>
      </c>
      <c r="CK541" s="503" t="s">
        <v>621</v>
      </c>
      <c r="CL541" s="503" t="str">
        <f>IF($G541="","",IF(AND($G541&gt;=30,$AT$3&lt;=CK$7),ROUND(CK541*($AP$3+#REF!),-1),""))</f>
        <v/>
      </c>
      <c r="CM541" s="503" t="s">
        <v>621</v>
      </c>
      <c r="CN541" s="503" t="str">
        <f>IF($G541="","",IF(AND($G541&gt;=30,$AT$3&lt;=CM$7),ROUND(CM541*($AP$3+#REF!),-1),""))</f>
        <v/>
      </c>
      <c r="CO541" s="503" t="s">
        <v>621</v>
      </c>
      <c r="CP541" s="503" t="str">
        <f>IF($G541="","",IF(AND($G541&gt;=30,$AT$3&lt;=CO$7),ROUND(CO541*($AP$3+#REF!),-1),""))</f>
        <v/>
      </c>
      <c r="CQ541" s="503" t="s">
        <v>621</v>
      </c>
      <c r="CR541" s="503" t="str">
        <f>IF($G541="","",IF(AND($G541&gt;=30,$AT$3&lt;=CQ$7),ROUND(CQ541*($AP$3+#REF!),-1),""))</f>
        <v/>
      </c>
      <c r="CS541" s="503" t="s">
        <v>621</v>
      </c>
      <c r="CT541" s="503" t="str">
        <f>IF($G541="","",IF(AND($G541&gt;=30,$AT$3&lt;=CS$7),ROUND(CS541*($AP$3+#REF!),-1),""))</f>
        <v/>
      </c>
      <c r="CU541" s="503" t="s">
        <v>621</v>
      </c>
      <c r="CV541" s="503" t="str">
        <f>IF($G541="","",IF(AND($G541&gt;=30,$AT$3&lt;=CU$7),ROUND(CU541*($AP$3+#REF!),-1),""))</f>
        <v/>
      </c>
      <c r="CW541" s="503" t="s">
        <v>621</v>
      </c>
      <c r="CX541" s="503" t="str">
        <f>IF($G541="","",IF(AND($G541&gt;=30,$AT$3&lt;=CW$7),ROUND(CW541*($AP$3+#REF!),-1),""))</f>
        <v/>
      </c>
      <c r="CY541" s="503" t="s">
        <v>621</v>
      </c>
      <c r="CZ541" s="503" t="str">
        <f>IF($G541="","",IF(AND($G541&gt;=30,$AT$3&lt;=CY$7),ROUND(CY541*($AP$3+#REF!),-1),""))</f>
        <v/>
      </c>
      <c r="DA541" s="503" t="s">
        <v>621</v>
      </c>
      <c r="DB541" s="503" t="str">
        <f>IF($G541="","",IF(AND($G541&gt;=30,$AT$3&lt;=DA$7),ROUND(DA541*($AP$3+#REF!),-1),""))</f>
        <v/>
      </c>
      <c r="DC541" s="503" t="s">
        <v>621</v>
      </c>
      <c r="DD541" s="503" t="str">
        <f>IF($G541="","",IF(AND($G541&gt;=30,$AT$3&lt;=DC$7),ROUND(DC541*($AP$3+#REF!),-1),""))</f>
        <v/>
      </c>
      <c r="DE541" s="503" t="s">
        <v>621</v>
      </c>
      <c r="DF541" s="503" t="str">
        <f>IF($G541="","",IF(AND($G541&gt;=30,$AT$3&lt;=DE$7),ROUND(DE541*($AP$3+#REF!),-1),""))</f>
        <v/>
      </c>
      <c r="DG541" s="503" t="s">
        <v>621</v>
      </c>
      <c r="DH541" s="503" t="str">
        <f>IF($G541="","",IF(AND($G541&gt;=30,$AT$3&lt;=DG$7),ROUND(DG541*($AP$3+#REF!),-1),""))</f>
        <v/>
      </c>
      <c r="DI541" s="503" t="s">
        <v>621</v>
      </c>
      <c r="DJ541" s="503" t="str">
        <f>IF($G541="","",IF(AND($G541&gt;=30,$AT$3&lt;=DI$7),ROUND(DI541*($AP$3+#REF!),-1),""))</f>
        <v/>
      </c>
      <c r="DK541" s="503" t="s">
        <v>621</v>
      </c>
      <c r="DL541" s="503" t="str">
        <f>IF($G541="","",IF(AND($G541&gt;=30,$AT$3&lt;=DK$7),ROUND(DK541*($AP$3+#REF!),-1),""))</f>
        <v/>
      </c>
      <c r="DM541" s="503" t="s">
        <v>621</v>
      </c>
      <c r="DN541" s="503" t="str">
        <f>IF($G541="","",IF(AND($G541&gt;=30,$AT$3&lt;=DM$7),ROUND(DM541*($AP$3+#REF!),-1),""))</f>
        <v/>
      </c>
      <c r="DO541" s="503" t="s">
        <v>621</v>
      </c>
      <c r="DP541" s="503" t="str">
        <f>IF($G541="","",IF(AND($G541&gt;=30,$AT$3&lt;=DO$7),ROUND(DO541*($AP$3+#REF!),-1),""))</f>
        <v/>
      </c>
      <c r="DQ541" s="517" t="e">
        <v>#REF!</v>
      </c>
      <c r="DR541" s="503" t="str">
        <f>IF($G541="","",IF(AND($G541&gt;=30,$AT$3&lt;=DQ$7),ROUND(DQ541*($AP$3+#REF!),-1),""))</f>
        <v/>
      </c>
      <c r="DS541" s="503"/>
      <c r="DT541" s="503" t="str">
        <f>IF($G541="","",IF(AND($G541&gt;=30,$AT$3&lt;=DS$7),ROUND(DS541*($AP$3+#REF!),-1),""))</f>
        <v/>
      </c>
      <c r="DU541" s="503"/>
      <c r="DV541" s="503" t="str">
        <f>IF($G541="","",IF(AND($G541&gt;=30,$AT$3&lt;=DU$7),ROUND(DU541*($AP$3+#REF!),-1),""))</f>
        <v/>
      </c>
      <c r="DW541" s="503"/>
      <c r="DX541" s="503" t="str">
        <f>IF($G541="","",IF(AND($G541&gt;=30,$AT$3&lt;=DW$7),ROUND(DW541*($AP$3+#REF!),-1),""))</f>
        <v/>
      </c>
      <c r="DY541" s="503"/>
      <c r="DZ541" s="503" t="str">
        <f>IF($G541="","",IF(AND($G541&gt;=30,$AT$3&lt;=DY$7),ROUND(DY541*($AP$3+#REF!),-1),""))</f>
        <v/>
      </c>
      <c r="EA541" s="503"/>
      <c r="EB541" s="503" t="str">
        <f>IF($G541="","",IF(AND($G541&gt;=30,$AT$3&lt;=EA$7),ROUND(EA541*($AP$3+#REF!),-1),""))</f>
        <v/>
      </c>
      <c r="EC541" s="436"/>
      <c r="ED541" s="436"/>
      <c r="EE541" s="394"/>
    </row>
    <row r="542" spans="1:135" ht="9.75" customHeight="1">
      <c r="A542" s="321" t="str">
        <f t="shared" si="124"/>
        <v/>
      </c>
      <c r="B542" s="567">
        <f>(ii!$D$13*12+V542)+1</f>
        <v>436</v>
      </c>
      <c r="C542" s="337">
        <f t="shared" si="128"/>
        <v>58622</v>
      </c>
      <c r="D542" s="484">
        <f t="shared" si="131"/>
        <v>2060</v>
      </c>
      <c r="E542" s="484">
        <f t="shared" si="129"/>
        <v>0.5</v>
      </c>
      <c r="F542" s="484">
        <f t="shared" si="132"/>
        <v>2060.5</v>
      </c>
      <c r="G542" s="485" t="str">
        <f>IF(OR(C542&lt;$I$2,C542&gt;$J$3),"",(ii!$D$13*12+V542+1)/12)</f>
        <v/>
      </c>
      <c r="H542" s="486"/>
      <c r="I542" s="486"/>
      <c r="J542" s="487"/>
      <c r="K542" s="488"/>
      <c r="L542" s="548"/>
      <c r="M542" s="489" t="str">
        <f t="shared" si="133"/>
        <v/>
      </c>
      <c r="N542" s="490" t="s">
        <v>621</v>
      </c>
      <c r="O542" s="490" t="str">
        <f t="shared" si="126"/>
        <v/>
      </c>
      <c r="P542" s="491"/>
      <c r="Q542" s="491"/>
      <c r="R542" s="491" t="str">
        <f t="shared" si="127"/>
        <v/>
      </c>
      <c r="S542" s="528" t="str">
        <f t="shared" si="125"/>
        <v/>
      </c>
      <c r="T542" s="528" t="str">
        <f t="shared" si="123"/>
        <v/>
      </c>
      <c r="U542" s="493" t="str">
        <f>IF(H542="","",#REF!*12+#REF!+#REF!*12+#REF!)</f>
        <v/>
      </c>
      <c r="V542" s="338">
        <f>IF(ii!$J$3&gt;gg!C542,"",IF(AND((YEAR(C542)=YEAR($I$2)),MONTH(C542)=MONTH($I$2)),ii!$B$14*12+ii!$C$14+ii!$B$15*12+ii!$C$15-1,V541+1))</f>
        <v>435</v>
      </c>
      <c r="W542" s="339">
        <f t="shared" si="130"/>
        <v>36.25</v>
      </c>
      <c r="X542" s="494" t="s">
        <v>621</v>
      </c>
      <c r="Y542" s="495" t="s">
        <v>621</v>
      </c>
      <c r="Z542" s="496"/>
      <c r="AA542" s="497"/>
      <c r="AB542" s="498" t="str">
        <f t="shared" ref="AB542:AB608" si="136">IF(F542&lt;$I$3,"",IF(F542&gt;$F$3,"",(P542/Y542)))</f>
        <v/>
      </c>
      <c r="AC542" s="484" t="str">
        <f t="shared" si="134"/>
        <v/>
      </c>
      <c r="AD542" s="495" t="str">
        <f t="shared" si="135"/>
        <v/>
      </c>
      <c r="AE542" s="499" t="s">
        <v>621</v>
      </c>
      <c r="AF542" s="500" t="s">
        <v>621</v>
      </c>
      <c r="AG542" s="556" t="s">
        <v>621</v>
      </c>
      <c r="AH542" s="503" t="str">
        <f>IF($G542="","",IF(AND($G542&gt;=30,$AT$3&lt;=AG$7),ROUND(AG542*($AP$3+#REF!),-1),""))</f>
        <v/>
      </c>
      <c r="AI542" s="506" t="s">
        <v>621</v>
      </c>
      <c r="AJ542" s="503" t="str">
        <f>IF($G542="","",IF(AND($G542&gt;=30,$AT$3&lt;=AI$7),ROUND(AI542*($AP$3+#REF!),-1),""))</f>
        <v/>
      </c>
      <c r="AK542" s="506" t="s">
        <v>621</v>
      </c>
      <c r="AL542" s="503" t="str">
        <f>IF($G542="","",IF(AND($G542&gt;=30,$AT$3&lt;=AK$7),ROUND(AK542*($AP$3+#REF!),-1),""))</f>
        <v/>
      </c>
      <c r="AM542" s="506" t="s">
        <v>621</v>
      </c>
      <c r="AN542" s="503" t="str">
        <f>IF($G542="","",IF(AND($G542&gt;=30,$AT$3&lt;=AM$7),ROUND(AM542*($AP$3+#REF!),-1),""))</f>
        <v/>
      </c>
      <c r="AO542" s="503" t="e">
        <v>#REF!</v>
      </c>
      <c r="AP542" s="503" t="str">
        <f>IF($G542="","",IF(AND($G542&gt;=30,$AT$3&lt;=AO$7),ROUND(AO542*($AP$3+#REF!),-1),""))</f>
        <v/>
      </c>
      <c r="AQ542" s="503" t="s">
        <v>621</v>
      </c>
      <c r="AR542" s="503" t="str">
        <f>IF($G542="","",IF(AND($G542&gt;=30,$AT$3&lt;=AQ$7),ROUND(AQ542*($AP$3+#REF!),-1),""))</f>
        <v/>
      </c>
      <c r="AS542" s="503" t="s">
        <v>621</v>
      </c>
      <c r="AT542" s="503" t="str">
        <f>IF($G542="","",IF(AND($G542&gt;=30,$AT$3&lt;=AS$7),ROUND(AS542*($AP$3+#REF!),-1),""))</f>
        <v/>
      </c>
      <c r="AU542" s="503" t="s">
        <v>621</v>
      </c>
      <c r="AV542" s="503" t="str">
        <f>IF($G542="","",IF(AND($G542&gt;=30,$AT$3&lt;=AU$7),ROUND(AU542*($AP$3+#REF!),-1),""))</f>
        <v/>
      </c>
      <c r="AW542" s="503" t="s">
        <v>621</v>
      </c>
      <c r="AX542" s="503" t="str">
        <f>IF($G542="","",IF(AND($G542&gt;=30,$AT$3&lt;=AW$7),ROUND(AW542*($AP$3+#REF!),-1),""))</f>
        <v/>
      </c>
      <c r="AY542" s="503" t="s">
        <v>621</v>
      </c>
      <c r="AZ542" s="503" t="str">
        <f>IF($G542="","",IF(AND($G542&gt;=30,$AT$3&lt;=AY$7),ROUND(AY542*($AP$3+#REF!),-1),""))</f>
        <v/>
      </c>
      <c r="BA542" s="503" t="s">
        <v>621</v>
      </c>
      <c r="BB542" s="503" t="str">
        <f>IF($G542="","",IF(AND($G542&gt;=30,$AT$3&lt;=BA$7),ROUND(BA542*($AP$3+#REF!),-1),""))</f>
        <v/>
      </c>
      <c r="BC542" s="503" t="s">
        <v>621</v>
      </c>
      <c r="BD542" s="503" t="str">
        <f>IF($G542="","",IF(AND($G542&gt;=30,$AT$3&lt;=BC$7),ROUND(BC542*($AP$3+#REF!),-1),""))</f>
        <v/>
      </c>
      <c r="BE542" s="503" t="s">
        <v>621</v>
      </c>
      <c r="BF542" s="503" t="str">
        <f>IF($G542="","",IF(AND($G542&gt;=30,$AT$3&lt;=BE$7),ROUND(BE542*($AP$3+#REF!),-1),""))</f>
        <v/>
      </c>
      <c r="BG542" s="503" t="s">
        <v>621</v>
      </c>
      <c r="BH542" s="503" t="str">
        <f>IF($G542="","",IF(AND($G542&gt;=30,$AT$3&lt;=BG$7),ROUND(BG542*($AP$3+#REF!),-1),""))</f>
        <v/>
      </c>
      <c r="BI542" s="503" t="s">
        <v>621</v>
      </c>
      <c r="BJ542" s="503" t="str">
        <f>IF($G542="","",IF(AND($G542&gt;=30,$AT$3&lt;=BI$7),ROUND(BI542*($AP$3+#REF!),-1),""))</f>
        <v/>
      </c>
      <c r="BK542" s="503" t="s">
        <v>621</v>
      </c>
      <c r="BL542" s="503" t="str">
        <f>IF($G542="","",IF(AND($G542&gt;=30,$AT$3&lt;=BK$7),ROUND(BK542*($AP$3+#REF!),-1),""))</f>
        <v/>
      </c>
      <c r="BM542" s="503" t="s">
        <v>621</v>
      </c>
      <c r="BN542" s="503" t="str">
        <f>IF($G542="","",IF(AND($G542&gt;=30,$AT$3&lt;=BM$7),ROUND(BM542*($AP$3+#REF!),-1),""))</f>
        <v/>
      </c>
      <c r="BO542" s="503" t="s">
        <v>621</v>
      </c>
      <c r="BP542" s="503" t="str">
        <f>IF($G542="","",IF(AND($G542&gt;=30,$AT$3&lt;=BO$7),ROUND(BO542*($AP$3+#REF!),-1),""))</f>
        <v/>
      </c>
      <c r="BQ542" s="503" t="s">
        <v>621</v>
      </c>
      <c r="BR542" s="503" t="str">
        <f>IF($G542="","",IF(AND($G542&gt;=30,$AT$3&lt;=BQ$7),ROUND(BQ542*($AP$3+#REF!),-1),""))</f>
        <v/>
      </c>
      <c r="BS542" s="503" t="s">
        <v>621</v>
      </c>
      <c r="BT542" s="503" t="str">
        <f>IF($G542="","",IF(AND($G542&gt;=30,$AT$3&lt;=BS$7),ROUND(BS542*($AP$3+#REF!),-1),""))</f>
        <v/>
      </c>
      <c r="BU542" s="503" t="s">
        <v>621</v>
      </c>
      <c r="BV542" s="503" t="str">
        <f>IF($G542="","",IF(AND($G542&gt;=30,$AT$3&lt;=BU$7),ROUND(BU542*($AP$3+#REF!),-1),""))</f>
        <v/>
      </c>
      <c r="BW542" s="503" t="s">
        <v>621</v>
      </c>
      <c r="BX542" s="503" t="str">
        <f>IF($G542="","",IF(AND($G542&gt;=30,$AT$3&lt;=BW$7),ROUND(BW542*($AP$3+#REF!),-1),""))</f>
        <v/>
      </c>
      <c r="BY542" s="503" t="s">
        <v>621</v>
      </c>
      <c r="BZ542" s="503" t="str">
        <f>IF($G542="","",IF(AND($G542&gt;=30,$AT$3&lt;=BY$7),ROUND(BY542*($AP$3+#REF!),-1),""))</f>
        <v/>
      </c>
      <c r="CA542" s="503" t="s">
        <v>621</v>
      </c>
      <c r="CB542" s="503" t="str">
        <f>IF($G542="","",IF(AND($G542&gt;=30,$AT$3&lt;=CA$7),ROUND(CA542*($AP$3+#REF!),-1),""))</f>
        <v/>
      </c>
      <c r="CC542" s="503" t="s">
        <v>621</v>
      </c>
      <c r="CD542" s="503" t="str">
        <f>IF($G542="","",IF(AND($G542&gt;=30,$AT$3&lt;=CC$7),ROUND(CC542*($AP$3+#REF!),-1),""))</f>
        <v/>
      </c>
      <c r="CE542" s="503" t="s">
        <v>621</v>
      </c>
      <c r="CF542" s="503" t="str">
        <f>IF($G542="","",IF(AND($G542&gt;=30,$AT$3&lt;=CE$7),ROUND(CE542*($AP$3+#REF!),-1),""))</f>
        <v/>
      </c>
      <c r="CG542" s="503" t="s">
        <v>621</v>
      </c>
      <c r="CH542" s="503" t="str">
        <f>IF($G542="","",IF(AND($G542&gt;=30,$AT$3&lt;=CG$7),ROUND(CG542*($AP$3+#REF!),-1),""))</f>
        <v/>
      </c>
      <c r="CI542" s="503" t="s">
        <v>621</v>
      </c>
      <c r="CJ542" s="503" t="str">
        <f>IF($G542="","",IF(AND($G542&gt;=30,$AT$3&lt;=CI$7),ROUND(CI542*($AP$3+#REF!),-1),""))</f>
        <v/>
      </c>
      <c r="CK542" s="503" t="s">
        <v>621</v>
      </c>
      <c r="CL542" s="503" t="str">
        <f>IF($G542="","",IF(AND($G542&gt;=30,$AT$3&lt;=CK$7),ROUND(CK542*($AP$3+#REF!),-1),""))</f>
        <v/>
      </c>
      <c r="CM542" s="503" t="s">
        <v>621</v>
      </c>
      <c r="CN542" s="503" t="str">
        <f>IF($G542="","",IF(AND($G542&gt;=30,$AT$3&lt;=CM$7),ROUND(CM542*($AP$3+#REF!),-1),""))</f>
        <v/>
      </c>
      <c r="CO542" s="503" t="s">
        <v>621</v>
      </c>
      <c r="CP542" s="503" t="str">
        <f>IF($G542="","",IF(AND($G542&gt;=30,$AT$3&lt;=CO$7),ROUND(CO542*($AP$3+#REF!),-1),""))</f>
        <v/>
      </c>
      <c r="CQ542" s="503" t="s">
        <v>621</v>
      </c>
      <c r="CR542" s="503" t="str">
        <f>IF($G542="","",IF(AND($G542&gt;=30,$AT$3&lt;=CQ$7),ROUND(CQ542*($AP$3+#REF!),-1),""))</f>
        <v/>
      </c>
      <c r="CS542" s="503" t="s">
        <v>621</v>
      </c>
      <c r="CT542" s="503" t="str">
        <f>IF($G542="","",IF(AND($G542&gt;=30,$AT$3&lt;=CS$7),ROUND(CS542*($AP$3+#REF!),-1),""))</f>
        <v/>
      </c>
      <c r="CU542" s="503" t="s">
        <v>621</v>
      </c>
      <c r="CV542" s="503" t="str">
        <f>IF($G542="","",IF(AND($G542&gt;=30,$AT$3&lt;=CU$7),ROUND(CU542*($AP$3+#REF!),-1),""))</f>
        <v/>
      </c>
      <c r="CW542" s="503" t="s">
        <v>621</v>
      </c>
      <c r="CX542" s="503" t="str">
        <f>IF($G542="","",IF(AND($G542&gt;=30,$AT$3&lt;=CW$7),ROUND(CW542*($AP$3+#REF!),-1),""))</f>
        <v/>
      </c>
      <c r="CY542" s="503" t="s">
        <v>621</v>
      </c>
      <c r="CZ542" s="503" t="str">
        <f>IF($G542="","",IF(AND($G542&gt;=30,$AT$3&lt;=CY$7),ROUND(CY542*($AP$3+#REF!),-1),""))</f>
        <v/>
      </c>
      <c r="DA542" s="503" t="s">
        <v>621</v>
      </c>
      <c r="DB542" s="503" t="str">
        <f>IF($G542="","",IF(AND($G542&gt;=30,$AT$3&lt;=DA$7),ROUND(DA542*($AP$3+#REF!),-1),""))</f>
        <v/>
      </c>
      <c r="DC542" s="503" t="s">
        <v>621</v>
      </c>
      <c r="DD542" s="503" t="str">
        <f>IF($G542="","",IF(AND($G542&gt;=30,$AT$3&lt;=DC$7),ROUND(DC542*($AP$3+#REF!),-1),""))</f>
        <v/>
      </c>
      <c r="DE542" s="503" t="s">
        <v>621</v>
      </c>
      <c r="DF542" s="503" t="str">
        <f>IF($G542="","",IF(AND($G542&gt;=30,$AT$3&lt;=DE$7),ROUND(DE542*($AP$3+#REF!),-1),""))</f>
        <v/>
      </c>
      <c r="DG542" s="503" t="s">
        <v>621</v>
      </c>
      <c r="DH542" s="503" t="str">
        <f>IF($G542="","",IF(AND($G542&gt;=30,$AT$3&lt;=DG$7),ROUND(DG542*($AP$3+#REF!),-1),""))</f>
        <v/>
      </c>
      <c r="DI542" s="503" t="s">
        <v>621</v>
      </c>
      <c r="DJ542" s="503" t="str">
        <f>IF($G542="","",IF(AND($G542&gt;=30,$AT$3&lt;=DI$7),ROUND(DI542*($AP$3+#REF!),-1),""))</f>
        <v/>
      </c>
      <c r="DK542" s="503" t="s">
        <v>621</v>
      </c>
      <c r="DL542" s="503" t="str">
        <f>IF($G542="","",IF(AND($G542&gt;=30,$AT$3&lt;=DK$7),ROUND(DK542*($AP$3+#REF!),-1),""))</f>
        <v/>
      </c>
      <c r="DM542" s="503" t="s">
        <v>621</v>
      </c>
      <c r="DN542" s="503" t="str">
        <f>IF($G542="","",IF(AND($G542&gt;=30,$AT$3&lt;=DM$7),ROUND(DM542*($AP$3+#REF!),-1),""))</f>
        <v/>
      </c>
      <c r="DO542" s="503" t="s">
        <v>621</v>
      </c>
      <c r="DP542" s="503" t="str">
        <f>IF($G542="","",IF(AND($G542&gt;=30,$AT$3&lt;=DO$7),ROUND(DO542*($AP$3+#REF!),-1),""))</f>
        <v/>
      </c>
      <c r="DQ542" s="517" t="e">
        <v>#REF!</v>
      </c>
      <c r="DR542" s="503" t="str">
        <f>IF($G542="","",IF(AND($G542&gt;=30,$AT$3&lt;=DQ$7),ROUND(DQ542*($AP$3+#REF!),-1),""))</f>
        <v/>
      </c>
      <c r="DS542" s="503"/>
      <c r="DT542" s="503" t="str">
        <f>IF($G542="","",IF(AND($G542&gt;=30,$AT$3&lt;=DS$7),ROUND(DS542*($AP$3+#REF!),-1),""))</f>
        <v/>
      </c>
      <c r="DU542" s="503"/>
      <c r="DV542" s="503" t="str">
        <f>IF($G542="","",IF(AND($G542&gt;=30,$AT$3&lt;=DU$7),ROUND(DU542*($AP$3+#REF!),-1),""))</f>
        <v/>
      </c>
      <c r="DW542" s="503"/>
      <c r="DX542" s="503" t="str">
        <f>IF($G542="","",IF(AND($G542&gt;=30,$AT$3&lt;=DW$7),ROUND(DW542*($AP$3+#REF!),-1),""))</f>
        <v/>
      </c>
      <c r="DY542" s="503"/>
      <c r="DZ542" s="503" t="str">
        <f>IF($G542="","",IF(AND($G542&gt;=30,$AT$3&lt;=DY$7),ROUND(DY542*($AP$3+#REF!),-1),""))</f>
        <v/>
      </c>
      <c r="EA542" s="503"/>
      <c r="EB542" s="503" t="str">
        <f>IF($G542="","",IF(AND($G542&gt;=30,$AT$3&lt;=EA$7),ROUND(EA542*($AP$3+#REF!),-1),""))</f>
        <v/>
      </c>
      <c r="EC542" s="436"/>
      <c r="ED542" s="436"/>
      <c r="EE542" s="394"/>
    </row>
    <row r="543" spans="1:135" ht="9.75" customHeight="1">
      <c r="A543" s="321" t="str">
        <f t="shared" si="124"/>
        <v/>
      </c>
      <c r="B543" s="567">
        <f>(ii!$D$13*12+V543)+1</f>
        <v>437</v>
      </c>
      <c r="C543" s="337">
        <f t="shared" si="128"/>
        <v>58653</v>
      </c>
      <c r="D543" s="484">
        <f t="shared" si="131"/>
        <v>2060</v>
      </c>
      <c r="E543" s="484">
        <f t="shared" si="129"/>
        <v>0.58333333333333337</v>
      </c>
      <c r="F543" s="484">
        <f t="shared" si="132"/>
        <v>2060.5833333333335</v>
      </c>
      <c r="G543" s="485" t="str">
        <f>IF(OR(C543&lt;$I$2,C543&gt;$J$3),"",(ii!$D$13*12+V543+1)/12)</f>
        <v/>
      </c>
      <c r="H543" s="486"/>
      <c r="I543" s="486"/>
      <c r="J543" s="487"/>
      <c r="K543" s="488"/>
      <c r="L543" s="548"/>
      <c r="M543" s="489" t="str">
        <f t="shared" si="133"/>
        <v/>
      </c>
      <c r="N543" s="490" t="s">
        <v>621</v>
      </c>
      <c r="O543" s="490" t="str">
        <f t="shared" si="126"/>
        <v/>
      </c>
      <c r="P543" s="491"/>
      <c r="Q543" s="491"/>
      <c r="R543" s="491" t="str">
        <f t="shared" si="127"/>
        <v/>
      </c>
      <c r="S543" s="528" t="str">
        <f t="shared" si="125"/>
        <v/>
      </c>
      <c r="T543" s="528" t="str">
        <f t="shared" si="123"/>
        <v/>
      </c>
      <c r="U543" s="493" t="str">
        <f>IF(H543="","",#REF!*12+#REF!+#REF!*12+#REF!)</f>
        <v/>
      </c>
      <c r="V543" s="338">
        <f>IF(ii!$J$3&gt;gg!C543,"",IF(AND((YEAR(C543)=YEAR($I$2)),MONTH(C543)=MONTH($I$2)),ii!$B$14*12+ii!$C$14+ii!$B$15*12+ii!$C$15-1,V542+1))</f>
        <v>436</v>
      </c>
      <c r="W543" s="339">
        <f t="shared" si="130"/>
        <v>36.333333333333336</v>
      </c>
      <c r="X543" s="494" t="s">
        <v>621</v>
      </c>
      <c r="Y543" s="495" t="s">
        <v>621</v>
      </c>
      <c r="Z543" s="496"/>
      <c r="AA543" s="497"/>
      <c r="AB543" s="498" t="str">
        <f t="shared" si="136"/>
        <v/>
      </c>
      <c r="AC543" s="484" t="str">
        <f t="shared" si="134"/>
        <v/>
      </c>
      <c r="AD543" s="495" t="str">
        <f t="shared" si="135"/>
        <v/>
      </c>
      <c r="AE543" s="499" t="s">
        <v>621</v>
      </c>
      <c r="AF543" s="500" t="s">
        <v>621</v>
      </c>
      <c r="AG543" s="556" t="s">
        <v>621</v>
      </c>
      <c r="AH543" s="503" t="str">
        <f>IF($G543="","",IF(AND($G543&gt;=30,$AT$3&lt;=AG$7),ROUND(AG543*($AP$3+#REF!),-1),""))</f>
        <v/>
      </c>
      <c r="AI543" s="506" t="s">
        <v>621</v>
      </c>
      <c r="AJ543" s="503" t="str">
        <f>IF($G543="","",IF(AND($G543&gt;=30,$AT$3&lt;=AI$7),ROUND(AI543*($AP$3+#REF!),-1),""))</f>
        <v/>
      </c>
      <c r="AK543" s="506" t="s">
        <v>621</v>
      </c>
      <c r="AL543" s="503" t="str">
        <f>IF($G543="","",IF(AND($G543&gt;=30,$AT$3&lt;=AK$7),ROUND(AK543*($AP$3+#REF!),-1),""))</f>
        <v/>
      </c>
      <c r="AM543" s="506" t="s">
        <v>621</v>
      </c>
      <c r="AN543" s="503" t="str">
        <f>IF($G543="","",IF(AND($G543&gt;=30,$AT$3&lt;=AM$7),ROUND(AM543*($AP$3+#REF!),-1),""))</f>
        <v/>
      </c>
      <c r="AO543" s="503" t="e">
        <v>#REF!</v>
      </c>
      <c r="AP543" s="503" t="str">
        <f>IF($G543="","",IF(AND($G543&gt;=30,$AT$3&lt;=AO$7),ROUND(AO543*($AP$3+#REF!),-1),""))</f>
        <v/>
      </c>
      <c r="AQ543" s="503" t="s">
        <v>621</v>
      </c>
      <c r="AR543" s="503" t="str">
        <f>IF($G543="","",IF(AND($G543&gt;=30,$AT$3&lt;=AQ$7),ROUND(AQ543*($AP$3+#REF!),-1),""))</f>
        <v/>
      </c>
      <c r="AS543" s="503" t="s">
        <v>621</v>
      </c>
      <c r="AT543" s="503" t="str">
        <f>IF($G543="","",IF(AND($G543&gt;=30,$AT$3&lt;=AS$7),ROUND(AS543*($AP$3+#REF!),-1),""))</f>
        <v/>
      </c>
      <c r="AU543" s="503" t="s">
        <v>621</v>
      </c>
      <c r="AV543" s="503" t="str">
        <f>IF($G543="","",IF(AND($G543&gt;=30,$AT$3&lt;=AU$7),ROUND(AU543*($AP$3+#REF!),-1),""))</f>
        <v/>
      </c>
      <c r="AW543" s="503" t="s">
        <v>621</v>
      </c>
      <c r="AX543" s="503" t="str">
        <f>IF($G543="","",IF(AND($G543&gt;=30,$AT$3&lt;=AW$7),ROUND(AW543*($AP$3+#REF!),-1),""))</f>
        <v/>
      </c>
      <c r="AY543" s="503" t="s">
        <v>621</v>
      </c>
      <c r="AZ543" s="503" t="str">
        <f>IF($G543="","",IF(AND($G543&gt;=30,$AT$3&lt;=AY$7),ROUND(AY543*($AP$3+#REF!),-1),""))</f>
        <v/>
      </c>
      <c r="BA543" s="503" t="s">
        <v>621</v>
      </c>
      <c r="BB543" s="503" t="str">
        <f>IF($G543="","",IF(AND($G543&gt;=30,$AT$3&lt;=BA$7),ROUND(BA543*($AP$3+#REF!),-1),""))</f>
        <v/>
      </c>
      <c r="BC543" s="503" t="s">
        <v>621</v>
      </c>
      <c r="BD543" s="503" t="str">
        <f>IF($G543="","",IF(AND($G543&gt;=30,$AT$3&lt;=BC$7),ROUND(BC543*($AP$3+#REF!),-1),""))</f>
        <v/>
      </c>
      <c r="BE543" s="503" t="s">
        <v>621</v>
      </c>
      <c r="BF543" s="503" t="str">
        <f>IF($G543="","",IF(AND($G543&gt;=30,$AT$3&lt;=BE$7),ROUND(BE543*($AP$3+#REF!),-1),""))</f>
        <v/>
      </c>
      <c r="BG543" s="503" t="s">
        <v>621</v>
      </c>
      <c r="BH543" s="503" t="str">
        <f>IF($G543="","",IF(AND($G543&gt;=30,$AT$3&lt;=BG$7),ROUND(BG543*($AP$3+#REF!),-1),""))</f>
        <v/>
      </c>
      <c r="BI543" s="503" t="s">
        <v>621</v>
      </c>
      <c r="BJ543" s="503" t="str">
        <f>IF($G543="","",IF(AND($G543&gt;=30,$AT$3&lt;=BI$7),ROUND(BI543*($AP$3+#REF!),-1),""))</f>
        <v/>
      </c>
      <c r="BK543" s="503" t="s">
        <v>621</v>
      </c>
      <c r="BL543" s="503" t="str">
        <f>IF($G543="","",IF(AND($G543&gt;=30,$AT$3&lt;=BK$7),ROUND(BK543*($AP$3+#REF!),-1),""))</f>
        <v/>
      </c>
      <c r="BM543" s="503" t="s">
        <v>621</v>
      </c>
      <c r="BN543" s="503" t="str">
        <f>IF($G543="","",IF(AND($G543&gt;=30,$AT$3&lt;=BM$7),ROUND(BM543*($AP$3+#REF!),-1),""))</f>
        <v/>
      </c>
      <c r="BO543" s="503" t="s">
        <v>621</v>
      </c>
      <c r="BP543" s="503" t="str">
        <f>IF($G543="","",IF(AND($G543&gt;=30,$AT$3&lt;=BO$7),ROUND(BO543*($AP$3+#REF!),-1),""))</f>
        <v/>
      </c>
      <c r="BQ543" s="503" t="s">
        <v>621</v>
      </c>
      <c r="BR543" s="503" t="str">
        <f>IF($G543="","",IF(AND($G543&gt;=30,$AT$3&lt;=BQ$7),ROUND(BQ543*($AP$3+#REF!),-1),""))</f>
        <v/>
      </c>
      <c r="BS543" s="503" t="s">
        <v>621</v>
      </c>
      <c r="BT543" s="503" t="str">
        <f>IF($G543="","",IF(AND($G543&gt;=30,$AT$3&lt;=BS$7),ROUND(BS543*($AP$3+#REF!),-1),""))</f>
        <v/>
      </c>
      <c r="BU543" s="503" t="s">
        <v>621</v>
      </c>
      <c r="BV543" s="503" t="str">
        <f>IF($G543="","",IF(AND($G543&gt;=30,$AT$3&lt;=BU$7),ROUND(BU543*($AP$3+#REF!),-1),""))</f>
        <v/>
      </c>
      <c r="BW543" s="503" t="s">
        <v>621</v>
      </c>
      <c r="BX543" s="503" t="str">
        <f>IF($G543="","",IF(AND($G543&gt;=30,$AT$3&lt;=BW$7),ROUND(BW543*($AP$3+#REF!),-1),""))</f>
        <v/>
      </c>
      <c r="BY543" s="503" t="s">
        <v>621</v>
      </c>
      <c r="BZ543" s="503" t="str">
        <f>IF($G543="","",IF(AND($G543&gt;=30,$AT$3&lt;=BY$7),ROUND(BY543*($AP$3+#REF!),-1),""))</f>
        <v/>
      </c>
      <c r="CA543" s="503" t="s">
        <v>621</v>
      </c>
      <c r="CB543" s="503" t="str">
        <f>IF($G543="","",IF(AND($G543&gt;=30,$AT$3&lt;=CA$7),ROUND(CA543*($AP$3+#REF!),-1),""))</f>
        <v/>
      </c>
      <c r="CC543" s="503" t="s">
        <v>621</v>
      </c>
      <c r="CD543" s="503" t="str">
        <f>IF($G543="","",IF(AND($G543&gt;=30,$AT$3&lt;=CC$7),ROUND(CC543*($AP$3+#REF!),-1),""))</f>
        <v/>
      </c>
      <c r="CE543" s="503" t="s">
        <v>621</v>
      </c>
      <c r="CF543" s="503" t="str">
        <f>IF($G543="","",IF(AND($G543&gt;=30,$AT$3&lt;=CE$7),ROUND(CE543*($AP$3+#REF!),-1),""))</f>
        <v/>
      </c>
      <c r="CG543" s="503" t="s">
        <v>621</v>
      </c>
      <c r="CH543" s="503" t="str">
        <f>IF($G543="","",IF(AND($G543&gt;=30,$AT$3&lt;=CG$7),ROUND(CG543*($AP$3+#REF!),-1),""))</f>
        <v/>
      </c>
      <c r="CI543" s="503" t="s">
        <v>621</v>
      </c>
      <c r="CJ543" s="503" t="str">
        <f>IF($G543="","",IF(AND($G543&gt;=30,$AT$3&lt;=CI$7),ROUND(CI543*($AP$3+#REF!),-1),""))</f>
        <v/>
      </c>
      <c r="CK543" s="503" t="s">
        <v>621</v>
      </c>
      <c r="CL543" s="503" t="str">
        <f>IF($G543="","",IF(AND($G543&gt;=30,$AT$3&lt;=CK$7),ROUND(CK543*($AP$3+#REF!),-1),""))</f>
        <v/>
      </c>
      <c r="CM543" s="503" t="s">
        <v>621</v>
      </c>
      <c r="CN543" s="503" t="str">
        <f>IF($G543="","",IF(AND($G543&gt;=30,$AT$3&lt;=CM$7),ROUND(CM543*($AP$3+#REF!),-1),""))</f>
        <v/>
      </c>
      <c r="CO543" s="503" t="s">
        <v>621</v>
      </c>
      <c r="CP543" s="503" t="str">
        <f>IF($G543="","",IF(AND($G543&gt;=30,$AT$3&lt;=CO$7),ROUND(CO543*($AP$3+#REF!),-1),""))</f>
        <v/>
      </c>
      <c r="CQ543" s="503" t="s">
        <v>621</v>
      </c>
      <c r="CR543" s="503" t="str">
        <f>IF($G543="","",IF(AND($G543&gt;=30,$AT$3&lt;=CQ$7),ROUND(CQ543*($AP$3+#REF!),-1),""))</f>
        <v/>
      </c>
      <c r="CS543" s="503" t="s">
        <v>621</v>
      </c>
      <c r="CT543" s="503" t="str">
        <f>IF($G543="","",IF(AND($G543&gt;=30,$AT$3&lt;=CS$7),ROUND(CS543*($AP$3+#REF!),-1),""))</f>
        <v/>
      </c>
      <c r="CU543" s="503" t="s">
        <v>621</v>
      </c>
      <c r="CV543" s="503" t="str">
        <f>IF($G543="","",IF(AND($G543&gt;=30,$AT$3&lt;=CU$7),ROUND(CU543*($AP$3+#REF!),-1),""))</f>
        <v/>
      </c>
      <c r="CW543" s="503" t="s">
        <v>621</v>
      </c>
      <c r="CX543" s="503" t="str">
        <f>IF($G543="","",IF(AND($G543&gt;=30,$AT$3&lt;=CW$7),ROUND(CW543*($AP$3+#REF!),-1),""))</f>
        <v/>
      </c>
      <c r="CY543" s="503" t="s">
        <v>621</v>
      </c>
      <c r="CZ543" s="503" t="str">
        <f>IF($G543="","",IF(AND($G543&gt;=30,$AT$3&lt;=CY$7),ROUND(CY543*($AP$3+#REF!),-1),""))</f>
        <v/>
      </c>
      <c r="DA543" s="503" t="s">
        <v>621</v>
      </c>
      <c r="DB543" s="503" t="str">
        <f>IF($G543="","",IF(AND($G543&gt;=30,$AT$3&lt;=DA$7),ROUND(DA543*($AP$3+#REF!),-1),""))</f>
        <v/>
      </c>
      <c r="DC543" s="503" t="s">
        <v>621</v>
      </c>
      <c r="DD543" s="503" t="str">
        <f>IF($G543="","",IF(AND($G543&gt;=30,$AT$3&lt;=DC$7),ROUND(DC543*($AP$3+#REF!),-1),""))</f>
        <v/>
      </c>
      <c r="DE543" s="503" t="s">
        <v>621</v>
      </c>
      <c r="DF543" s="503" t="str">
        <f>IF($G543="","",IF(AND($G543&gt;=30,$AT$3&lt;=DE$7),ROUND(DE543*($AP$3+#REF!),-1),""))</f>
        <v/>
      </c>
      <c r="DG543" s="503" t="s">
        <v>621</v>
      </c>
      <c r="DH543" s="503" t="str">
        <f>IF($G543="","",IF(AND($G543&gt;=30,$AT$3&lt;=DG$7),ROUND(DG543*($AP$3+#REF!),-1),""))</f>
        <v/>
      </c>
      <c r="DI543" s="503" t="s">
        <v>621</v>
      </c>
      <c r="DJ543" s="503" t="str">
        <f>IF($G543="","",IF(AND($G543&gt;=30,$AT$3&lt;=DI$7),ROUND(DI543*($AP$3+#REF!),-1),""))</f>
        <v/>
      </c>
      <c r="DK543" s="503" t="s">
        <v>621</v>
      </c>
      <c r="DL543" s="503" t="str">
        <f>IF($G543="","",IF(AND($G543&gt;=30,$AT$3&lt;=DK$7),ROUND(DK543*($AP$3+#REF!),-1),""))</f>
        <v/>
      </c>
      <c r="DM543" s="503" t="s">
        <v>621</v>
      </c>
      <c r="DN543" s="503" t="str">
        <f>IF($G543="","",IF(AND($G543&gt;=30,$AT$3&lt;=DM$7),ROUND(DM543*($AP$3+#REF!),-1),""))</f>
        <v/>
      </c>
      <c r="DO543" s="503" t="s">
        <v>621</v>
      </c>
      <c r="DP543" s="503" t="str">
        <f>IF($G543="","",IF(AND($G543&gt;=30,$AT$3&lt;=DO$7),ROUND(DO543*($AP$3+#REF!),-1),""))</f>
        <v/>
      </c>
      <c r="DQ543" s="517" t="e">
        <v>#REF!</v>
      </c>
      <c r="DR543" s="503" t="str">
        <f>IF($G543="","",IF(AND($G543&gt;=30,$AT$3&lt;=DQ$7),ROUND(DQ543*($AP$3+#REF!),-1),""))</f>
        <v/>
      </c>
      <c r="DS543" s="503"/>
      <c r="DT543" s="503" t="str">
        <f>IF($G543="","",IF(AND($G543&gt;=30,$AT$3&lt;=DS$7),ROUND(DS543*($AP$3+#REF!),-1),""))</f>
        <v/>
      </c>
      <c r="DU543" s="503"/>
      <c r="DV543" s="503" t="str">
        <f>IF($G543="","",IF(AND($G543&gt;=30,$AT$3&lt;=DU$7),ROUND(DU543*($AP$3+#REF!),-1),""))</f>
        <v/>
      </c>
      <c r="DW543" s="503"/>
      <c r="DX543" s="503" t="str">
        <f>IF($G543="","",IF(AND($G543&gt;=30,$AT$3&lt;=DW$7),ROUND(DW543*($AP$3+#REF!),-1),""))</f>
        <v/>
      </c>
      <c r="DY543" s="503"/>
      <c r="DZ543" s="503" t="str">
        <f>IF($G543="","",IF(AND($G543&gt;=30,$AT$3&lt;=DY$7),ROUND(DY543*($AP$3+#REF!),-1),""))</f>
        <v/>
      </c>
      <c r="EA543" s="503"/>
      <c r="EB543" s="503" t="str">
        <f>IF($G543="","",IF(AND($G543&gt;=30,$AT$3&lt;=EA$7),ROUND(EA543*($AP$3+#REF!),-1),""))</f>
        <v/>
      </c>
      <c r="EC543" s="436"/>
      <c r="ED543" s="436"/>
      <c r="EE543" s="394"/>
    </row>
    <row r="544" spans="1:135" ht="9.75" customHeight="1">
      <c r="A544" s="321" t="str">
        <f t="shared" si="124"/>
        <v/>
      </c>
      <c r="B544" s="567">
        <f>(ii!$D$13*12+V544)+1</f>
        <v>438</v>
      </c>
      <c r="C544" s="337">
        <f t="shared" si="128"/>
        <v>58684</v>
      </c>
      <c r="D544" s="484">
        <f t="shared" si="131"/>
        <v>2060</v>
      </c>
      <c r="E544" s="484">
        <f t="shared" si="129"/>
        <v>0.66666666666666663</v>
      </c>
      <c r="F544" s="484">
        <f t="shared" si="132"/>
        <v>2060.6666666666665</v>
      </c>
      <c r="G544" s="485" t="str">
        <f>IF(OR(C544&lt;$I$2,C544&gt;$J$3),"",(ii!$D$13*12+V544+1)/12)</f>
        <v/>
      </c>
      <c r="H544" s="486"/>
      <c r="I544" s="486"/>
      <c r="J544" s="487"/>
      <c r="K544" s="488"/>
      <c r="L544" s="548"/>
      <c r="M544" s="489" t="str">
        <f t="shared" si="133"/>
        <v/>
      </c>
      <c r="N544" s="490" t="s">
        <v>621</v>
      </c>
      <c r="O544" s="490" t="str">
        <f t="shared" si="126"/>
        <v/>
      </c>
      <c r="P544" s="491"/>
      <c r="Q544" s="491"/>
      <c r="R544" s="491" t="str">
        <f t="shared" si="127"/>
        <v/>
      </c>
      <c r="S544" s="528" t="str">
        <f t="shared" si="125"/>
        <v/>
      </c>
      <c r="T544" s="528" t="str">
        <f t="shared" si="123"/>
        <v/>
      </c>
      <c r="U544" s="493" t="str">
        <f>IF(H544="","",#REF!*12+#REF!+#REF!*12+#REF!)</f>
        <v/>
      </c>
      <c r="V544" s="338">
        <f>IF(ii!$J$3&gt;gg!C544,"",IF(AND((YEAR(C544)=YEAR($I$2)),MONTH(C544)=MONTH($I$2)),ii!$B$14*12+ii!$C$14+ii!$B$15*12+ii!$C$15-1,V543+1))</f>
        <v>437</v>
      </c>
      <c r="W544" s="339">
        <f t="shared" si="130"/>
        <v>36.416666666666664</v>
      </c>
      <c r="X544" s="494" t="s">
        <v>621</v>
      </c>
      <c r="Y544" s="495" t="s">
        <v>621</v>
      </c>
      <c r="Z544" s="496"/>
      <c r="AA544" s="497"/>
      <c r="AB544" s="498" t="str">
        <f t="shared" si="136"/>
        <v/>
      </c>
      <c r="AC544" s="484" t="str">
        <f t="shared" si="134"/>
        <v/>
      </c>
      <c r="AD544" s="495" t="str">
        <f t="shared" si="135"/>
        <v/>
      </c>
      <c r="AE544" s="499" t="s">
        <v>621</v>
      </c>
      <c r="AF544" s="500" t="s">
        <v>621</v>
      </c>
      <c r="AG544" s="556" t="s">
        <v>621</v>
      </c>
      <c r="AH544" s="503" t="str">
        <f>IF($G544="","",IF(AND($G544&gt;=30,$AT$3&lt;=AG$7),ROUND(AG544*($AP$3+#REF!),-1),""))</f>
        <v/>
      </c>
      <c r="AI544" s="506" t="s">
        <v>621</v>
      </c>
      <c r="AJ544" s="503" t="str">
        <f>IF($G544="","",IF(AND($G544&gt;=30,$AT$3&lt;=AI$7),ROUND(AI544*($AP$3+#REF!),-1),""))</f>
        <v/>
      </c>
      <c r="AK544" s="506" t="s">
        <v>621</v>
      </c>
      <c r="AL544" s="503" t="str">
        <f>IF($G544="","",IF(AND($G544&gt;=30,$AT$3&lt;=AK$7),ROUND(AK544*($AP$3+#REF!),-1),""))</f>
        <v/>
      </c>
      <c r="AM544" s="506" t="s">
        <v>621</v>
      </c>
      <c r="AN544" s="503" t="str">
        <f>IF($G544="","",IF(AND($G544&gt;=30,$AT$3&lt;=AM$7),ROUND(AM544*($AP$3+#REF!),-1),""))</f>
        <v/>
      </c>
      <c r="AO544" s="503" t="e">
        <v>#REF!</v>
      </c>
      <c r="AP544" s="503" t="str">
        <f>IF($G544="","",IF(AND($G544&gt;=30,$AT$3&lt;=AO$7),ROUND(AO544*($AP$3+#REF!),-1),""))</f>
        <v/>
      </c>
      <c r="AQ544" s="503" t="s">
        <v>621</v>
      </c>
      <c r="AR544" s="503" t="str">
        <f>IF($G544="","",IF(AND($G544&gt;=30,$AT$3&lt;=AQ$7),ROUND(AQ544*($AP$3+#REF!),-1),""))</f>
        <v/>
      </c>
      <c r="AS544" s="503" t="s">
        <v>621</v>
      </c>
      <c r="AT544" s="503" t="str">
        <f>IF($G544="","",IF(AND($G544&gt;=30,$AT$3&lt;=AS$7),ROUND(AS544*($AP$3+#REF!),-1),""))</f>
        <v/>
      </c>
      <c r="AU544" s="503" t="s">
        <v>621</v>
      </c>
      <c r="AV544" s="503" t="str">
        <f>IF($G544="","",IF(AND($G544&gt;=30,$AT$3&lt;=AU$7),ROUND(AU544*($AP$3+#REF!),-1),""))</f>
        <v/>
      </c>
      <c r="AW544" s="503" t="s">
        <v>621</v>
      </c>
      <c r="AX544" s="503" t="str">
        <f>IF($G544="","",IF(AND($G544&gt;=30,$AT$3&lt;=AW$7),ROUND(AW544*($AP$3+#REF!),-1),""))</f>
        <v/>
      </c>
      <c r="AY544" s="503" t="s">
        <v>621</v>
      </c>
      <c r="AZ544" s="503" t="str">
        <f>IF($G544="","",IF(AND($G544&gt;=30,$AT$3&lt;=AY$7),ROUND(AY544*($AP$3+#REF!),-1),""))</f>
        <v/>
      </c>
      <c r="BA544" s="503" t="s">
        <v>621</v>
      </c>
      <c r="BB544" s="503" t="str">
        <f>IF($G544="","",IF(AND($G544&gt;=30,$AT$3&lt;=BA$7),ROUND(BA544*($AP$3+#REF!),-1),""))</f>
        <v/>
      </c>
      <c r="BC544" s="503" t="s">
        <v>621</v>
      </c>
      <c r="BD544" s="503" t="str">
        <f>IF($G544="","",IF(AND($G544&gt;=30,$AT$3&lt;=BC$7),ROUND(BC544*($AP$3+#REF!),-1),""))</f>
        <v/>
      </c>
      <c r="BE544" s="503" t="s">
        <v>621</v>
      </c>
      <c r="BF544" s="503" t="str">
        <f>IF($G544="","",IF(AND($G544&gt;=30,$AT$3&lt;=BE$7),ROUND(BE544*($AP$3+#REF!),-1),""))</f>
        <v/>
      </c>
      <c r="BG544" s="503" t="s">
        <v>621</v>
      </c>
      <c r="BH544" s="503" t="str">
        <f>IF($G544="","",IF(AND($G544&gt;=30,$AT$3&lt;=BG$7),ROUND(BG544*($AP$3+#REF!),-1),""))</f>
        <v/>
      </c>
      <c r="BI544" s="503" t="s">
        <v>621</v>
      </c>
      <c r="BJ544" s="503" t="str">
        <f>IF($G544="","",IF(AND($G544&gt;=30,$AT$3&lt;=BI$7),ROUND(BI544*($AP$3+#REF!),-1),""))</f>
        <v/>
      </c>
      <c r="BK544" s="503" t="s">
        <v>621</v>
      </c>
      <c r="BL544" s="503" t="str">
        <f>IF($G544="","",IF(AND($G544&gt;=30,$AT$3&lt;=BK$7),ROUND(BK544*($AP$3+#REF!),-1),""))</f>
        <v/>
      </c>
      <c r="BM544" s="503" t="s">
        <v>621</v>
      </c>
      <c r="BN544" s="503" t="str">
        <f>IF($G544="","",IF(AND($G544&gt;=30,$AT$3&lt;=BM$7),ROUND(BM544*($AP$3+#REF!),-1),""))</f>
        <v/>
      </c>
      <c r="BO544" s="503" t="s">
        <v>621</v>
      </c>
      <c r="BP544" s="503" t="str">
        <f>IF($G544="","",IF(AND($G544&gt;=30,$AT$3&lt;=BO$7),ROUND(BO544*($AP$3+#REF!),-1),""))</f>
        <v/>
      </c>
      <c r="BQ544" s="503" t="s">
        <v>621</v>
      </c>
      <c r="BR544" s="503" t="str">
        <f>IF($G544="","",IF(AND($G544&gt;=30,$AT$3&lt;=BQ$7),ROUND(BQ544*($AP$3+#REF!),-1),""))</f>
        <v/>
      </c>
      <c r="BS544" s="503" t="s">
        <v>621</v>
      </c>
      <c r="BT544" s="503" t="str">
        <f>IF($G544="","",IF(AND($G544&gt;=30,$AT$3&lt;=BS$7),ROUND(BS544*($AP$3+#REF!),-1),""))</f>
        <v/>
      </c>
      <c r="BU544" s="503" t="s">
        <v>621</v>
      </c>
      <c r="BV544" s="503" t="str">
        <f>IF($G544="","",IF(AND($G544&gt;=30,$AT$3&lt;=BU$7),ROUND(BU544*($AP$3+#REF!),-1),""))</f>
        <v/>
      </c>
      <c r="BW544" s="503" t="s">
        <v>621</v>
      </c>
      <c r="BX544" s="503" t="str">
        <f>IF($G544="","",IF(AND($G544&gt;=30,$AT$3&lt;=BW$7),ROUND(BW544*($AP$3+#REF!),-1),""))</f>
        <v/>
      </c>
      <c r="BY544" s="503" t="s">
        <v>621</v>
      </c>
      <c r="BZ544" s="503" t="str">
        <f>IF($G544="","",IF(AND($G544&gt;=30,$AT$3&lt;=BY$7),ROUND(BY544*($AP$3+#REF!),-1),""))</f>
        <v/>
      </c>
      <c r="CA544" s="503" t="s">
        <v>621</v>
      </c>
      <c r="CB544" s="503" t="str">
        <f>IF($G544="","",IF(AND($G544&gt;=30,$AT$3&lt;=CA$7),ROUND(CA544*($AP$3+#REF!),-1),""))</f>
        <v/>
      </c>
      <c r="CC544" s="503" t="s">
        <v>621</v>
      </c>
      <c r="CD544" s="503" t="str">
        <f>IF($G544="","",IF(AND($G544&gt;=30,$AT$3&lt;=CC$7),ROUND(CC544*($AP$3+#REF!),-1),""))</f>
        <v/>
      </c>
      <c r="CE544" s="503" t="s">
        <v>621</v>
      </c>
      <c r="CF544" s="503" t="str">
        <f>IF($G544="","",IF(AND($G544&gt;=30,$AT$3&lt;=CE$7),ROUND(CE544*($AP$3+#REF!),-1),""))</f>
        <v/>
      </c>
      <c r="CG544" s="503" t="s">
        <v>621</v>
      </c>
      <c r="CH544" s="503" t="str">
        <f>IF($G544="","",IF(AND($G544&gt;=30,$AT$3&lt;=CG$7),ROUND(CG544*($AP$3+#REF!),-1),""))</f>
        <v/>
      </c>
      <c r="CI544" s="503" t="s">
        <v>621</v>
      </c>
      <c r="CJ544" s="503" t="str">
        <f>IF($G544="","",IF(AND($G544&gt;=30,$AT$3&lt;=CI$7),ROUND(CI544*($AP$3+#REF!),-1),""))</f>
        <v/>
      </c>
      <c r="CK544" s="503" t="s">
        <v>621</v>
      </c>
      <c r="CL544" s="503" t="str">
        <f>IF($G544="","",IF(AND($G544&gt;=30,$AT$3&lt;=CK$7),ROUND(CK544*($AP$3+#REF!),-1),""))</f>
        <v/>
      </c>
      <c r="CM544" s="503" t="s">
        <v>621</v>
      </c>
      <c r="CN544" s="503" t="str">
        <f>IF($G544="","",IF(AND($G544&gt;=30,$AT$3&lt;=CM$7),ROUND(CM544*($AP$3+#REF!),-1),""))</f>
        <v/>
      </c>
      <c r="CO544" s="503" t="s">
        <v>621</v>
      </c>
      <c r="CP544" s="503" t="str">
        <f>IF($G544="","",IF(AND($G544&gt;=30,$AT$3&lt;=CO$7),ROUND(CO544*($AP$3+#REF!),-1),""))</f>
        <v/>
      </c>
      <c r="CQ544" s="503" t="s">
        <v>621</v>
      </c>
      <c r="CR544" s="503" t="str">
        <f>IF($G544="","",IF(AND($G544&gt;=30,$AT$3&lt;=CQ$7),ROUND(CQ544*($AP$3+#REF!),-1),""))</f>
        <v/>
      </c>
      <c r="CS544" s="503" t="s">
        <v>621</v>
      </c>
      <c r="CT544" s="503" t="str">
        <f>IF($G544="","",IF(AND($G544&gt;=30,$AT$3&lt;=CS$7),ROUND(CS544*($AP$3+#REF!),-1),""))</f>
        <v/>
      </c>
      <c r="CU544" s="503" t="s">
        <v>621</v>
      </c>
      <c r="CV544" s="503" t="str">
        <f>IF($G544="","",IF(AND($G544&gt;=30,$AT$3&lt;=CU$7),ROUND(CU544*($AP$3+#REF!),-1),""))</f>
        <v/>
      </c>
      <c r="CW544" s="503" t="s">
        <v>621</v>
      </c>
      <c r="CX544" s="503" t="str">
        <f>IF($G544="","",IF(AND($G544&gt;=30,$AT$3&lt;=CW$7),ROUND(CW544*($AP$3+#REF!),-1),""))</f>
        <v/>
      </c>
      <c r="CY544" s="503" t="s">
        <v>621</v>
      </c>
      <c r="CZ544" s="503" t="str">
        <f>IF($G544="","",IF(AND($G544&gt;=30,$AT$3&lt;=CY$7),ROUND(CY544*($AP$3+#REF!),-1),""))</f>
        <v/>
      </c>
      <c r="DA544" s="503" t="s">
        <v>621</v>
      </c>
      <c r="DB544" s="503" t="str">
        <f>IF($G544="","",IF(AND($G544&gt;=30,$AT$3&lt;=DA$7),ROUND(DA544*($AP$3+#REF!),-1),""))</f>
        <v/>
      </c>
      <c r="DC544" s="503" t="s">
        <v>621</v>
      </c>
      <c r="DD544" s="503" t="str">
        <f>IF($G544="","",IF(AND($G544&gt;=30,$AT$3&lt;=DC$7),ROUND(DC544*($AP$3+#REF!),-1),""))</f>
        <v/>
      </c>
      <c r="DE544" s="503" t="s">
        <v>621</v>
      </c>
      <c r="DF544" s="503" t="str">
        <f>IF($G544="","",IF(AND($G544&gt;=30,$AT$3&lt;=DE$7),ROUND(DE544*($AP$3+#REF!),-1),""))</f>
        <v/>
      </c>
      <c r="DG544" s="503" t="s">
        <v>621</v>
      </c>
      <c r="DH544" s="503" t="str">
        <f>IF($G544="","",IF(AND($G544&gt;=30,$AT$3&lt;=DG$7),ROUND(DG544*($AP$3+#REF!),-1),""))</f>
        <v/>
      </c>
      <c r="DI544" s="503" t="s">
        <v>621</v>
      </c>
      <c r="DJ544" s="503" t="str">
        <f>IF($G544="","",IF(AND($G544&gt;=30,$AT$3&lt;=DI$7),ROUND(DI544*($AP$3+#REF!),-1),""))</f>
        <v/>
      </c>
      <c r="DK544" s="503" t="s">
        <v>621</v>
      </c>
      <c r="DL544" s="503" t="str">
        <f>IF($G544="","",IF(AND($G544&gt;=30,$AT$3&lt;=DK$7),ROUND(DK544*($AP$3+#REF!),-1),""))</f>
        <v/>
      </c>
      <c r="DM544" s="503" t="s">
        <v>621</v>
      </c>
      <c r="DN544" s="503" t="str">
        <f>IF($G544="","",IF(AND($G544&gt;=30,$AT$3&lt;=DM$7),ROUND(DM544*($AP$3+#REF!),-1),""))</f>
        <v/>
      </c>
      <c r="DO544" s="503" t="s">
        <v>621</v>
      </c>
      <c r="DP544" s="503" t="str">
        <f>IF($G544="","",IF(AND($G544&gt;=30,$AT$3&lt;=DO$7),ROUND(DO544*($AP$3+#REF!),-1),""))</f>
        <v/>
      </c>
      <c r="DQ544" s="517" t="e">
        <v>#REF!</v>
      </c>
      <c r="DR544" s="503" t="str">
        <f>IF($G544="","",IF(AND($G544&gt;=30,$AT$3&lt;=DQ$7),ROUND(DQ544*($AP$3+#REF!),-1),""))</f>
        <v/>
      </c>
      <c r="DS544" s="503"/>
      <c r="DT544" s="503" t="str">
        <f>IF($G544="","",IF(AND($G544&gt;=30,$AT$3&lt;=DS$7),ROUND(DS544*($AP$3+#REF!),-1),""))</f>
        <v/>
      </c>
      <c r="DU544" s="503"/>
      <c r="DV544" s="503" t="str">
        <f>IF($G544="","",IF(AND($G544&gt;=30,$AT$3&lt;=DU$7),ROUND(DU544*($AP$3+#REF!),-1),""))</f>
        <v/>
      </c>
      <c r="DW544" s="503"/>
      <c r="DX544" s="503" t="str">
        <f>IF($G544="","",IF(AND($G544&gt;=30,$AT$3&lt;=DW$7),ROUND(DW544*($AP$3+#REF!),-1),""))</f>
        <v/>
      </c>
      <c r="DY544" s="503"/>
      <c r="DZ544" s="503" t="str">
        <f>IF($G544="","",IF(AND($G544&gt;=30,$AT$3&lt;=DY$7),ROUND(DY544*($AP$3+#REF!),-1),""))</f>
        <v/>
      </c>
      <c r="EA544" s="503"/>
      <c r="EB544" s="503" t="str">
        <f>IF($G544="","",IF(AND($G544&gt;=30,$AT$3&lt;=EA$7),ROUND(EA544*($AP$3+#REF!),-1),""))</f>
        <v/>
      </c>
      <c r="EC544" s="436"/>
      <c r="ED544" s="436"/>
      <c r="EE544" s="394"/>
    </row>
    <row r="545" spans="1:135" ht="9.75" customHeight="1">
      <c r="A545" s="321" t="str">
        <f t="shared" si="124"/>
        <v/>
      </c>
      <c r="B545" s="567">
        <f>(ii!$D$13*12+V545)+1</f>
        <v>439</v>
      </c>
      <c r="C545" s="337">
        <f t="shared" si="128"/>
        <v>58714</v>
      </c>
      <c r="D545" s="484">
        <f t="shared" si="131"/>
        <v>2060</v>
      </c>
      <c r="E545" s="484">
        <f t="shared" si="129"/>
        <v>0.75</v>
      </c>
      <c r="F545" s="484">
        <f t="shared" si="132"/>
        <v>2060.75</v>
      </c>
      <c r="G545" s="485" t="str">
        <f>IF(OR(C545&lt;$I$2,C545&gt;$J$3),"",(ii!$D$13*12+V545+1)/12)</f>
        <v/>
      </c>
      <c r="H545" s="486"/>
      <c r="I545" s="486"/>
      <c r="J545" s="487"/>
      <c r="K545" s="488"/>
      <c r="L545" s="548"/>
      <c r="M545" s="489" t="str">
        <f t="shared" si="133"/>
        <v/>
      </c>
      <c r="N545" s="490" t="s">
        <v>621</v>
      </c>
      <c r="O545" s="490" t="str">
        <f t="shared" si="126"/>
        <v/>
      </c>
      <c r="P545" s="491"/>
      <c r="Q545" s="491"/>
      <c r="R545" s="491" t="str">
        <f t="shared" si="127"/>
        <v/>
      </c>
      <c r="S545" s="528" t="str">
        <f t="shared" si="125"/>
        <v/>
      </c>
      <c r="T545" s="528" t="str">
        <f t="shared" si="123"/>
        <v/>
      </c>
      <c r="U545" s="493" t="str">
        <f>IF(H545="","",#REF!*12+#REF!+#REF!*12+#REF!)</f>
        <v/>
      </c>
      <c r="V545" s="338">
        <f>IF(ii!$J$3&gt;gg!C545,"",IF(AND((YEAR(C545)=YEAR($I$2)),MONTH(C545)=MONTH($I$2)),ii!$B$14*12+ii!$C$14+ii!$B$15*12+ii!$C$15-1,V544+1))</f>
        <v>438</v>
      </c>
      <c r="W545" s="339">
        <f t="shared" si="130"/>
        <v>36.5</v>
      </c>
      <c r="X545" s="494" t="s">
        <v>621</v>
      </c>
      <c r="Y545" s="495" t="s">
        <v>621</v>
      </c>
      <c r="Z545" s="496"/>
      <c r="AA545" s="497"/>
      <c r="AB545" s="498" t="str">
        <f t="shared" si="136"/>
        <v/>
      </c>
      <c r="AC545" s="484" t="str">
        <f t="shared" si="134"/>
        <v/>
      </c>
      <c r="AD545" s="495" t="str">
        <f t="shared" si="135"/>
        <v/>
      </c>
      <c r="AE545" s="499" t="s">
        <v>621</v>
      </c>
      <c r="AF545" s="500" t="s">
        <v>621</v>
      </c>
      <c r="AG545" s="556" t="s">
        <v>621</v>
      </c>
      <c r="AH545" s="503" t="str">
        <f>IF($G545="","",IF(AND($G545&gt;=30,$AT$3&lt;=AG$7),ROUND(AG545*($AP$3+#REF!),-1),""))</f>
        <v/>
      </c>
      <c r="AI545" s="506" t="s">
        <v>621</v>
      </c>
      <c r="AJ545" s="503" t="str">
        <f>IF($G545="","",IF(AND($G545&gt;=30,$AT$3&lt;=AI$7),ROUND(AI545*($AP$3+#REF!),-1),""))</f>
        <v/>
      </c>
      <c r="AK545" s="506" t="s">
        <v>621</v>
      </c>
      <c r="AL545" s="503" t="str">
        <f>IF($G545="","",IF(AND($G545&gt;=30,$AT$3&lt;=AK$7),ROUND(AK545*($AP$3+#REF!),-1),""))</f>
        <v/>
      </c>
      <c r="AM545" s="506" t="s">
        <v>621</v>
      </c>
      <c r="AN545" s="503" t="str">
        <f>IF($G545="","",IF(AND($G545&gt;=30,$AT$3&lt;=AM$7),ROUND(AM545*($AP$3+#REF!),-1),""))</f>
        <v/>
      </c>
      <c r="AO545" s="503" t="e">
        <v>#REF!</v>
      </c>
      <c r="AP545" s="503" t="str">
        <f>IF($G545="","",IF(AND($G545&gt;=30,$AT$3&lt;=AO$7),ROUND(AO545*($AP$3+#REF!),-1),""))</f>
        <v/>
      </c>
      <c r="AQ545" s="503" t="s">
        <v>621</v>
      </c>
      <c r="AR545" s="503" t="str">
        <f>IF($G545="","",IF(AND($G545&gt;=30,$AT$3&lt;=AQ$7),ROUND(AQ545*($AP$3+#REF!),-1),""))</f>
        <v/>
      </c>
      <c r="AS545" s="503" t="s">
        <v>621</v>
      </c>
      <c r="AT545" s="503" t="str">
        <f>IF($G545="","",IF(AND($G545&gt;=30,$AT$3&lt;=AS$7),ROUND(AS545*($AP$3+#REF!),-1),""))</f>
        <v/>
      </c>
      <c r="AU545" s="503" t="s">
        <v>621</v>
      </c>
      <c r="AV545" s="503" t="str">
        <f>IF($G545="","",IF(AND($G545&gt;=30,$AT$3&lt;=AU$7),ROUND(AU545*($AP$3+#REF!),-1),""))</f>
        <v/>
      </c>
      <c r="AW545" s="503" t="s">
        <v>621</v>
      </c>
      <c r="AX545" s="503" t="str">
        <f>IF($G545="","",IF(AND($G545&gt;=30,$AT$3&lt;=AW$7),ROUND(AW545*($AP$3+#REF!),-1),""))</f>
        <v/>
      </c>
      <c r="AY545" s="503" t="s">
        <v>621</v>
      </c>
      <c r="AZ545" s="503" t="str">
        <f>IF($G545="","",IF(AND($G545&gt;=30,$AT$3&lt;=AY$7),ROUND(AY545*($AP$3+#REF!),-1),""))</f>
        <v/>
      </c>
      <c r="BA545" s="503" t="s">
        <v>621</v>
      </c>
      <c r="BB545" s="503" t="str">
        <f>IF($G545="","",IF(AND($G545&gt;=30,$AT$3&lt;=BA$7),ROUND(BA545*($AP$3+#REF!),-1),""))</f>
        <v/>
      </c>
      <c r="BC545" s="503" t="s">
        <v>621</v>
      </c>
      <c r="BD545" s="503" t="str">
        <f>IF($G545="","",IF(AND($G545&gt;=30,$AT$3&lt;=BC$7),ROUND(BC545*($AP$3+#REF!),-1),""))</f>
        <v/>
      </c>
      <c r="BE545" s="503" t="s">
        <v>621</v>
      </c>
      <c r="BF545" s="503" t="str">
        <f>IF($G545="","",IF(AND($G545&gt;=30,$AT$3&lt;=BE$7),ROUND(BE545*($AP$3+#REF!),-1),""))</f>
        <v/>
      </c>
      <c r="BG545" s="503" t="s">
        <v>621</v>
      </c>
      <c r="BH545" s="503" t="str">
        <f>IF($G545="","",IF(AND($G545&gt;=30,$AT$3&lt;=BG$7),ROUND(BG545*($AP$3+#REF!),-1),""))</f>
        <v/>
      </c>
      <c r="BI545" s="503" t="s">
        <v>621</v>
      </c>
      <c r="BJ545" s="503" t="str">
        <f>IF($G545="","",IF(AND($G545&gt;=30,$AT$3&lt;=BI$7),ROUND(BI545*($AP$3+#REF!),-1),""))</f>
        <v/>
      </c>
      <c r="BK545" s="503" t="s">
        <v>621</v>
      </c>
      <c r="BL545" s="503" t="str">
        <f>IF($G545="","",IF(AND($G545&gt;=30,$AT$3&lt;=BK$7),ROUND(BK545*($AP$3+#REF!),-1),""))</f>
        <v/>
      </c>
      <c r="BM545" s="503" t="s">
        <v>621</v>
      </c>
      <c r="BN545" s="503" t="str">
        <f>IF($G545="","",IF(AND($G545&gt;=30,$AT$3&lt;=BM$7),ROUND(BM545*($AP$3+#REF!),-1),""))</f>
        <v/>
      </c>
      <c r="BO545" s="503" t="s">
        <v>621</v>
      </c>
      <c r="BP545" s="503" t="str">
        <f>IF($G545="","",IF(AND($G545&gt;=30,$AT$3&lt;=BO$7),ROUND(BO545*($AP$3+#REF!),-1),""))</f>
        <v/>
      </c>
      <c r="BQ545" s="503" t="s">
        <v>621</v>
      </c>
      <c r="BR545" s="503" t="str">
        <f>IF($G545="","",IF(AND($G545&gt;=30,$AT$3&lt;=BQ$7),ROUND(BQ545*($AP$3+#REF!),-1),""))</f>
        <v/>
      </c>
      <c r="BS545" s="503" t="s">
        <v>621</v>
      </c>
      <c r="BT545" s="503" t="str">
        <f>IF($G545="","",IF(AND($G545&gt;=30,$AT$3&lt;=BS$7),ROUND(BS545*($AP$3+#REF!),-1),""))</f>
        <v/>
      </c>
      <c r="BU545" s="503" t="s">
        <v>621</v>
      </c>
      <c r="BV545" s="503" t="str">
        <f>IF($G545="","",IF(AND($G545&gt;=30,$AT$3&lt;=BU$7),ROUND(BU545*($AP$3+#REF!),-1),""))</f>
        <v/>
      </c>
      <c r="BW545" s="503" t="s">
        <v>621</v>
      </c>
      <c r="BX545" s="503" t="str">
        <f>IF($G545="","",IF(AND($G545&gt;=30,$AT$3&lt;=BW$7),ROUND(BW545*($AP$3+#REF!),-1),""))</f>
        <v/>
      </c>
      <c r="BY545" s="503" t="s">
        <v>621</v>
      </c>
      <c r="BZ545" s="503" t="str">
        <f>IF($G545="","",IF(AND($G545&gt;=30,$AT$3&lt;=BY$7),ROUND(BY545*($AP$3+#REF!),-1),""))</f>
        <v/>
      </c>
      <c r="CA545" s="503" t="s">
        <v>621</v>
      </c>
      <c r="CB545" s="503" t="str">
        <f>IF($G545="","",IF(AND($G545&gt;=30,$AT$3&lt;=CA$7),ROUND(CA545*($AP$3+#REF!),-1),""))</f>
        <v/>
      </c>
      <c r="CC545" s="503" t="s">
        <v>621</v>
      </c>
      <c r="CD545" s="503" t="str">
        <f>IF($G545="","",IF(AND($G545&gt;=30,$AT$3&lt;=CC$7),ROUND(CC545*($AP$3+#REF!),-1),""))</f>
        <v/>
      </c>
      <c r="CE545" s="503" t="s">
        <v>621</v>
      </c>
      <c r="CF545" s="503" t="str">
        <f>IF($G545="","",IF(AND($G545&gt;=30,$AT$3&lt;=CE$7),ROUND(CE545*($AP$3+#REF!),-1),""))</f>
        <v/>
      </c>
      <c r="CG545" s="503" t="s">
        <v>621</v>
      </c>
      <c r="CH545" s="503" t="str">
        <f>IF($G545="","",IF(AND($G545&gt;=30,$AT$3&lt;=CG$7),ROUND(CG545*($AP$3+#REF!),-1),""))</f>
        <v/>
      </c>
      <c r="CI545" s="503" t="s">
        <v>621</v>
      </c>
      <c r="CJ545" s="503" t="str">
        <f>IF($G545="","",IF(AND($G545&gt;=30,$AT$3&lt;=CI$7),ROUND(CI545*($AP$3+#REF!),-1),""))</f>
        <v/>
      </c>
      <c r="CK545" s="503" t="s">
        <v>621</v>
      </c>
      <c r="CL545" s="503" t="str">
        <f>IF($G545="","",IF(AND($G545&gt;=30,$AT$3&lt;=CK$7),ROUND(CK545*($AP$3+#REF!),-1),""))</f>
        <v/>
      </c>
      <c r="CM545" s="503" t="s">
        <v>621</v>
      </c>
      <c r="CN545" s="503" t="str">
        <f>IF($G545="","",IF(AND($G545&gt;=30,$AT$3&lt;=CM$7),ROUND(CM545*($AP$3+#REF!),-1),""))</f>
        <v/>
      </c>
      <c r="CO545" s="503" t="s">
        <v>621</v>
      </c>
      <c r="CP545" s="503" t="str">
        <f>IF($G545="","",IF(AND($G545&gt;=30,$AT$3&lt;=CO$7),ROUND(CO545*($AP$3+#REF!),-1),""))</f>
        <v/>
      </c>
      <c r="CQ545" s="503" t="s">
        <v>621</v>
      </c>
      <c r="CR545" s="503" t="str">
        <f>IF($G545="","",IF(AND($G545&gt;=30,$AT$3&lt;=CQ$7),ROUND(CQ545*($AP$3+#REF!),-1),""))</f>
        <v/>
      </c>
      <c r="CS545" s="503" t="s">
        <v>621</v>
      </c>
      <c r="CT545" s="503" t="str">
        <f>IF($G545="","",IF(AND($G545&gt;=30,$AT$3&lt;=CS$7),ROUND(CS545*($AP$3+#REF!),-1),""))</f>
        <v/>
      </c>
      <c r="CU545" s="503" t="s">
        <v>621</v>
      </c>
      <c r="CV545" s="503" t="str">
        <f>IF($G545="","",IF(AND($G545&gt;=30,$AT$3&lt;=CU$7),ROUND(CU545*($AP$3+#REF!),-1),""))</f>
        <v/>
      </c>
      <c r="CW545" s="503" t="s">
        <v>621</v>
      </c>
      <c r="CX545" s="503" t="str">
        <f>IF($G545="","",IF(AND($G545&gt;=30,$AT$3&lt;=CW$7),ROUND(CW545*($AP$3+#REF!),-1),""))</f>
        <v/>
      </c>
      <c r="CY545" s="503" t="s">
        <v>621</v>
      </c>
      <c r="CZ545" s="503" t="str">
        <f>IF($G545="","",IF(AND($G545&gt;=30,$AT$3&lt;=CY$7),ROUND(CY545*($AP$3+#REF!),-1),""))</f>
        <v/>
      </c>
      <c r="DA545" s="503" t="s">
        <v>621</v>
      </c>
      <c r="DB545" s="503" t="str">
        <f>IF($G545="","",IF(AND($G545&gt;=30,$AT$3&lt;=DA$7),ROUND(DA545*($AP$3+#REF!),-1),""))</f>
        <v/>
      </c>
      <c r="DC545" s="503" t="s">
        <v>621</v>
      </c>
      <c r="DD545" s="503" t="str">
        <f>IF($G545="","",IF(AND($G545&gt;=30,$AT$3&lt;=DC$7),ROUND(DC545*($AP$3+#REF!),-1),""))</f>
        <v/>
      </c>
      <c r="DE545" s="503" t="s">
        <v>621</v>
      </c>
      <c r="DF545" s="503" t="str">
        <f>IF($G545="","",IF(AND($G545&gt;=30,$AT$3&lt;=DE$7),ROUND(DE545*($AP$3+#REF!),-1),""))</f>
        <v/>
      </c>
      <c r="DG545" s="503" t="s">
        <v>621</v>
      </c>
      <c r="DH545" s="503" t="str">
        <f>IF($G545="","",IF(AND($G545&gt;=30,$AT$3&lt;=DG$7),ROUND(DG545*($AP$3+#REF!),-1),""))</f>
        <v/>
      </c>
      <c r="DI545" s="503" t="s">
        <v>621</v>
      </c>
      <c r="DJ545" s="503" t="str">
        <f>IF($G545="","",IF(AND($G545&gt;=30,$AT$3&lt;=DI$7),ROUND(DI545*($AP$3+#REF!),-1),""))</f>
        <v/>
      </c>
      <c r="DK545" s="503" t="s">
        <v>621</v>
      </c>
      <c r="DL545" s="503" t="str">
        <f>IF($G545="","",IF(AND($G545&gt;=30,$AT$3&lt;=DK$7),ROUND(DK545*($AP$3+#REF!),-1),""))</f>
        <v/>
      </c>
      <c r="DM545" s="503" t="s">
        <v>621</v>
      </c>
      <c r="DN545" s="503" t="str">
        <f>IF($G545="","",IF(AND($G545&gt;=30,$AT$3&lt;=DM$7),ROUND(DM545*($AP$3+#REF!),-1),""))</f>
        <v/>
      </c>
      <c r="DO545" s="503" t="s">
        <v>621</v>
      </c>
      <c r="DP545" s="503" t="str">
        <f>IF($G545="","",IF(AND($G545&gt;=30,$AT$3&lt;=DO$7),ROUND(DO545*($AP$3+#REF!),-1),""))</f>
        <v/>
      </c>
      <c r="DQ545" s="517" t="e">
        <v>#REF!</v>
      </c>
      <c r="DR545" s="503" t="str">
        <f>IF($G545="","",IF(AND($G545&gt;=30,$AT$3&lt;=DQ$7),ROUND(DQ545*($AP$3+#REF!),-1),""))</f>
        <v/>
      </c>
      <c r="DS545" s="503"/>
      <c r="DT545" s="503" t="str">
        <f>IF($G545="","",IF(AND($G545&gt;=30,$AT$3&lt;=DS$7),ROUND(DS545*($AP$3+#REF!),-1),""))</f>
        <v/>
      </c>
      <c r="DU545" s="503"/>
      <c r="DV545" s="503" t="str">
        <f>IF($G545="","",IF(AND($G545&gt;=30,$AT$3&lt;=DU$7),ROUND(DU545*($AP$3+#REF!),-1),""))</f>
        <v/>
      </c>
      <c r="DW545" s="503"/>
      <c r="DX545" s="503" t="str">
        <f>IF($G545="","",IF(AND($G545&gt;=30,$AT$3&lt;=DW$7),ROUND(DW545*($AP$3+#REF!),-1),""))</f>
        <v/>
      </c>
      <c r="DY545" s="503"/>
      <c r="DZ545" s="503" t="str">
        <f>IF($G545="","",IF(AND($G545&gt;=30,$AT$3&lt;=DY$7),ROUND(DY545*($AP$3+#REF!),-1),""))</f>
        <v/>
      </c>
      <c r="EA545" s="503"/>
      <c r="EB545" s="503" t="str">
        <f>IF($G545="","",IF(AND($G545&gt;=30,$AT$3&lt;=EA$7),ROUND(EA545*($AP$3+#REF!),-1),""))</f>
        <v/>
      </c>
      <c r="EC545" s="436"/>
      <c r="ED545" s="436"/>
      <c r="EE545" s="394"/>
    </row>
    <row r="546" spans="1:135" ht="9.75" customHeight="1">
      <c r="A546" s="321" t="str">
        <f t="shared" si="124"/>
        <v/>
      </c>
      <c r="B546" s="567">
        <f>(ii!$D$13*12+V546)+1</f>
        <v>440</v>
      </c>
      <c r="C546" s="337">
        <f t="shared" si="128"/>
        <v>58745</v>
      </c>
      <c r="D546" s="484">
        <f t="shared" si="131"/>
        <v>2060</v>
      </c>
      <c r="E546" s="484">
        <f t="shared" si="129"/>
        <v>0.83333333333333337</v>
      </c>
      <c r="F546" s="484">
        <f t="shared" si="132"/>
        <v>2060.8333333333335</v>
      </c>
      <c r="G546" s="485" t="str">
        <f>IF(OR(C546&lt;$I$2,C546&gt;$J$3),"",(ii!$D$13*12+V546+1)/12)</f>
        <v/>
      </c>
      <c r="H546" s="486"/>
      <c r="I546" s="486"/>
      <c r="J546" s="487"/>
      <c r="K546" s="488"/>
      <c r="L546" s="548"/>
      <c r="M546" s="489" t="str">
        <f t="shared" si="133"/>
        <v/>
      </c>
      <c r="N546" s="490" t="s">
        <v>621</v>
      </c>
      <c r="O546" s="490" t="str">
        <f t="shared" si="126"/>
        <v/>
      </c>
      <c r="P546" s="491"/>
      <c r="Q546" s="491"/>
      <c r="R546" s="491" t="str">
        <f t="shared" si="127"/>
        <v/>
      </c>
      <c r="S546" s="528" t="str">
        <f t="shared" si="125"/>
        <v/>
      </c>
      <c r="T546" s="528" t="str">
        <f t="shared" si="123"/>
        <v/>
      </c>
      <c r="U546" s="493" t="str">
        <f>IF(H546="","",#REF!*12+#REF!+#REF!*12+#REF!)</f>
        <v/>
      </c>
      <c r="V546" s="338">
        <f>IF(ii!$J$3&gt;gg!C546,"",IF(AND((YEAR(C546)=YEAR($I$2)),MONTH(C546)=MONTH($I$2)),ii!$B$14*12+ii!$C$14+ii!$B$15*12+ii!$C$15-1,V545+1))</f>
        <v>439</v>
      </c>
      <c r="W546" s="339">
        <f t="shared" si="130"/>
        <v>36.583333333333336</v>
      </c>
      <c r="X546" s="494" t="s">
        <v>621</v>
      </c>
      <c r="Y546" s="495" t="s">
        <v>621</v>
      </c>
      <c r="Z546" s="496"/>
      <c r="AA546" s="497"/>
      <c r="AB546" s="498" t="str">
        <f t="shared" si="136"/>
        <v/>
      </c>
      <c r="AC546" s="484" t="str">
        <f t="shared" si="134"/>
        <v/>
      </c>
      <c r="AD546" s="495" t="str">
        <f t="shared" si="135"/>
        <v/>
      </c>
      <c r="AE546" s="499" t="s">
        <v>621</v>
      </c>
      <c r="AF546" s="500" t="s">
        <v>621</v>
      </c>
      <c r="AG546" s="556" t="s">
        <v>621</v>
      </c>
      <c r="AH546" s="503" t="str">
        <f>IF($G546="","",IF(AND($G546&gt;=30,$AT$3&lt;=AG$7),ROUND(AG546*($AP$3+#REF!),-1),""))</f>
        <v/>
      </c>
      <c r="AI546" s="506" t="s">
        <v>621</v>
      </c>
      <c r="AJ546" s="503" t="str">
        <f>IF($G546="","",IF(AND($G546&gt;=30,$AT$3&lt;=AI$7),ROUND(AI546*($AP$3+#REF!),-1),""))</f>
        <v/>
      </c>
      <c r="AK546" s="506" t="s">
        <v>621</v>
      </c>
      <c r="AL546" s="503" t="str">
        <f>IF($G546="","",IF(AND($G546&gt;=30,$AT$3&lt;=AK$7),ROUND(AK546*($AP$3+#REF!),-1),""))</f>
        <v/>
      </c>
      <c r="AM546" s="506" t="s">
        <v>621</v>
      </c>
      <c r="AN546" s="503" t="str">
        <f>IF($G546="","",IF(AND($G546&gt;=30,$AT$3&lt;=AM$7),ROUND(AM546*($AP$3+#REF!),-1),""))</f>
        <v/>
      </c>
      <c r="AO546" s="503" t="e">
        <v>#REF!</v>
      </c>
      <c r="AP546" s="503" t="str">
        <f>IF($G546="","",IF(AND($G546&gt;=30,$AT$3&lt;=AO$7),ROUND(AO546*($AP$3+#REF!),-1),""))</f>
        <v/>
      </c>
      <c r="AQ546" s="503" t="s">
        <v>621</v>
      </c>
      <c r="AR546" s="503" t="str">
        <f>IF($G546="","",IF(AND($G546&gt;=30,$AT$3&lt;=AQ$7),ROUND(AQ546*($AP$3+#REF!),-1),""))</f>
        <v/>
      </c>
      <c r="AS546" s="503" t="s">
        <v>621</v>
      </c>
      <c r="AT546" s="503" t="str">
        <f>IF($G546="","",IF(AND($G546&gt;=30,$AT$3&lt;=AS$7),ROUND(AS546*($AP$3+#REF!),-1),""))</f>
        <v/>
      </c>
      <c r="AU546" s="503" t="s">
        <v>621</v>
      </c>
      <c r="AV546" s="503" t="str">
        <f>IF($G546="","",IF(AND($G546&gt;=30,$AT$3&lt;=AU$7),ROUND(AU546*($AP$3+#REF!),-1),""))</f>
        <v/>
      </c>
      <c r="AW546" s="503" t="s">
        <v>621</v>
      </c>
      <c r="AX546" s="503" t="str">
        <f>IF($G546="","",IF(AND($G546&gt;=30,$AT$3&lt;=AW$7),ROUND(AW546*($AP$3+#REF!),-1),""))</f>
        <v/>
      </c>
      <c r="AY546" s="503" t="s">
        <v>621</v>
      </c>
      <c r="AZ546" s="503" t="str">
        <f>IF($G546="","",IF(AND($G546&gt;=30,$AT$3&lt;=AY$7),ROUND(AY546*($AP$3+#REF!),-1),""))</f>
        <v/>
      </c>
      <c r="BA546" s="503" t="s">
        <v>621</v>
      </c>
      <c r="BB546" s="503" t="str">
        <f>IF($G546="","",IF(AND($G546&gt;=30,$AT$3&lt;=BA$7),ROUND(BA546*($AP$3+#REF!),-1),""))</f>
        <v/>
      </c>
      <c r="BC546" s="503" t="s">
        <v>621</v>
      </c>
      <c r="BD546" s="503" t="str">
        <f>IF($G546="","",IF(AND($G546&gt;=30,$AT$3&lt;=BC$7),ROUND(BC546*($AP$3+#REF!),-1),""))</f>
        <v/>
      </c>
      <c r="BE546" s="503" t="s">
        <v>621</v>
      </c>
      <c r="BF546" s="503" t="str">
        <f>IF($G546="","",IF(AND($G546&gt;=30,$AT$3&lt;=BE$7),ROUND(BE546*($AP$3+#REF!),-1),""))</f>
        <v/>
      </c>
      <c r="BG546" s="503" t="s">
        <v>621</v>
      </c>
      <c r="BH546" s="503" t="str">
        <f>IF($G546="","",IF(AND($G546&gt;=30,$AT$3&lt;=BG$7),ROUND(BG546*($AP$3+#REF!),-1),""))</f>
        <v/>
      </c>
      <c r="BI546" s="503" t="s">
        <v>621</v>
      </c>
      <c r="BJ546" s="503" t="str">
        <f>IF($G546="","",IF(AND($G546&gt;=30,$AT$3&lt;=BI$7),ROUND(BI546*($AP$3+#REF!),-1),""))</f>
        <v/>
      </c>
      <c r="BK546" s="503" t="s">
        <v>621</v>
      </c>
      <c r="BL546" s="503" t="str">
        <f>IF($G546="","",IF(AND($G546&gt;=30,$AT$3&lt;=BK$7),ROUND(BK546*($AP$3+#REF!),-1),""))</f>
        <v/>
      </c>
      <c r="BM546" s="503" t="s">
        <v>621</v>
      </c>
      <c r="BN546" s="503" t="str">
        <f>IF($G546="","",IF(AND($G546&gt;=30,$AT$3&lt;=BM$7),ROUND(BM546*($AP$3+#REF!),-1),""))</f>
        <v/>
      </c>
      <c r="BO546" s="503" t="s">
        <v>621</v>
      </c>
      <c r="BP546" s="503" t="str">
        <f>IF($G546="","",IF(AND($G546&gt;=30,$AT$3&lt;=BO$7),ROUND(BO546*($AP$3+#REF!),-1),""))</f>
        <v/>
      </c>
      <c r="BQ546" s="503" t="s">
        <v>621</v>
      </c>
      <c r="BR546" s="503" t="str">
        <f>IF($G546="","",IF(AND($G546&gt;=30,$AT$3&lt;=BQ$7),ROUND(BQ546*($AP$3+#REF!),-1),""))</f>
        <v/>
      </c>
      <c r="BS546" s="503" t="s">
        <v>621</v>
      </c>
      <c r="BT546" s="503" t="str">
        <f>IF($G546="","",IF(AND($G546&gt;=30,$AT$3&lt;=BS$7),ROUND(BS546*($AP$3+#REF!),-1),""))</f>
        <v/>
      </c>
      <c r="BU546" s="503" t="s">
        <v>621</v>
      </c>
      <c r="BV546" s="503" t="str">
        <f>IF($G546="","",IF(AND($G546&gt;=30,$AT$3&lt;=BU$7),ROUND(BU546*($AP$3+#REF!),-1),""))</f>
        <v/>
      </c>
      <c r="BW546" s="503" t="s">
        <v>621</v>
      </c>
      <c r="BX546" s="503" t="str">
        <f>IF($G546="","",IF(AND($G546&gt;=30,$AT$3&lt;=BW$7),ROUND(BW546*($AP$3+#REF!),-1),""))</f>
        <v/>
      </c>
      <c r="BY546" s="503" t="s">
        <v>621</v>
      </c>
      <c r="BZ546" s="503" t="str">
        <f>IF($G546="","",IF(AND($G546&gt;=30,$AT$3&lt;=BY$7),ROUND(BY546*($AP$3+#REF!),-1),""))</f>
        <v/>
      </c>
      <c r="CA546" s="503" t="s">
        <v>621</v>
      </c>
      <c r="CB546" s="503" t="str">
        <f>IF($G546="","",IF(AND($G546&gt;=30,$AT$3&lt;=CA$7),ROUND(CA546*($AP$3+#REF!),-1),""))</f>
        <v/>
      </c>
      <c r="CC546" s="503" t="s">
        <v>621</v>
      </c>
      <c r="CD546" s="503" t="str">
        <f>IF($G546="","",IF(AND($G546&gt;=30,$AT$3&lt;=CC$7),ROUND(CC546*($AP$3+#REF!),-1),""))</f>
        <v/>
      </c>
      <c r="CE546" s="503" t="s">
        <v>621</v>
      </c>
      <c r="CF546" s="503" t="str">
        <f>IF($G546="","",IF(AND($G546&gt;=30,$AT$3&lt;=CE$7),ROUND(CE546*($AP$3+#REF!),-1),""))</f>
        <v/>
      </c>
      <c r="CG546" s="503" t="s">
        <v>621</v>
      </c>
      <c r="CH546" s="503" t="str">
        <f>IF($G546="","",IF(AND($G546&gt;=30,$AT$3&lt;=CG$7),ROUND(CG546*($AP$3+#REF!),-1),""))</f>
        <v/>
      </c>
      <c r="CI546" s="503" t="s">
        <v>621</v>
      </c>
      <c r="CJ546" s="503" t="str">
        <f>IF($G546="","",IF(AND($G546&gt;=30,$AT$3&lt;=CI$7),ROUND(CI546*($AP$3+#REF!),-1),""))</f>
        <v/>
      </c>
      <c r="CK546" s="503" t="s">
        <v>621</v>
      </c>
      <c r="CL546" s="503" t="str">
        <f>IF($G546="","",IF(AND($G546&gt;=30,$AT$3&lt;=CK$7),ROUND(CK546*($AP$3+#REF!),-1),""))</f>
        <v/>
      </c>
      <c r="CM546" s="503" t="s">
        <v>621</v>
      </c>
      <c r="CN546" s="503" t="str">
        <f>IF($G546="","",IF(AND($G546&gt;=30,$AT$3&lt;=CM$7),ROUND(CM546*($AP$3+#REF!),-1),""))</f>
        <v/>
      </c>
      <c r="CO546" s="503" t="s">
        <v>621</v>
      </c>
      <c r="CP546" s="503" t="str">
        <f>IF($G546="","",IF(AND($G546&gt;=30,$AT$3&lt;=CO$7),ROUND(CO546*($AP$3+#REF!),-1),""))</f>
        <v/>
      </c>
      <c r="CQ546" s="503" t="s">
        <v>621</v>
      </c>
      <c r="CR546" s="503" t="str">
        <f>IF($G546="","",IF(AND($G546&gt;=30,$AT$3&lt;=CQ$7),ROUND(CQ546*($AP$3+#REF!),-1),""))</f>
        <v/>
      </c>
      <c r="CS546" s="503" t="s">
        <v>621</v>
      </c>
      <c r="CT546" s="503" t="str">
        <f>IF($G546="","",IF(AND($G546&gt;=30,$AT$3&lt;=CS$7),ROUND(CS546*($AP$3+#REF!),-1),""))</f>
        <v/>
      </c>
      <c r="CU546" s="503" t="s">
        <v>621</v>
      </c>
      <c r="CV546" s="503" t="str">
        <f>IF($G546="","",IF(AND($G546&gt;=30,$AT$3&lt;=CU$7),ROUND(CU546*($AP$3+#REF!),-1),""))</f>
        <v/>
      </c>
      <c r="CW546" s="503" t="s">
        <v>621</v>
      </c>
      <c r="CX546" s="503" t="str">
        <f>IF($G546="","",IF(AND($G546&gt;=30,$AT$3&lt;=CW$7),ROUND(CW546*($AP$3+#REF!),-1),""))</f>
        <v/>
      </c>
      <c r="CY546" s="503" t="s">
        <v>621</v>
      </c>
      <c r="CZ546" s="503" t="str">
        <f>IF($G546="","",IF(AND($G546&gt;=30,$AT$3&lt;=CY$7),ROUND(CY546*($AP$3+#REF!),-1),""))</f>
        <v/>
      </c>
      <c r="DA546" s="503" t="s">
        <v>621</v>
      </c>
      <c r="DB546" s="503" t="str">
        <f>IF($G546="","",IF(AND($G546&gt;=30,$AT$3&lt;=DA$7),ROUND(DA546*($AP$3+#REF!),-1),""))</f>
        <v/>
      </c>
      <c r="DC546" s="503" t="s">
        <v>621</v>
      </c>
      <c r="DD546" s="503" t="str">
        <f>IF($G546="","",IF(AND($G546&gt;=30,$AT$3&lt;=DC$7),ROUND(DC546*($AP$3+#REF!),-1),""))</f>
        <v/>
      </c>
      <c r="DE546" s="503" t="s">
        <v>621</v>
      </c>
      <c r="DF546" s="503" t="str">
        <f>IF($G546="","",IF(AND($G546&gt;=30,$AT$3&lt;=DE$7),ROUND(DE546*($AP$3+#REF!),-1),""))</f>
        <v/>
      </c>
      <c r="DG546" s="503" t="s">
        <v>621</v>
      </c>
      <c r="DH546" s="503" t="str">
        <f>IF($G546="","",IF(AND($G546&gt;=30,$AT$3&lt;=DG$7),ROUND(DG546*($AP$3+#REF!),-1),""))</f>
        <v/>
      </c>
      <c r="DI546" s="503" t="s">
        <v>621</v>
      </c>
      <c r="DJ546" s="503" t="str">
        <f>IF($G546="","",IF(AND($G546&gt;=30,$AT$3&lt;=DI$7),ROUND(DI546*($AP$3+#REF!),-1),""))</f>
        <v/>
      </c>
      <c r="DK546" s="503" t="s">
        <v>621</v>
      </c>
      <c r="DL546" s="503" t="str">
        <f>IF($G546="","",IF(AND($G546&gt;=30,$AT$3&lt;=DK$7),ROUND(DK546*($AP$3+#REF!),-1),""))</f>
        <v/>
      </c>
      <c r="DM546" s="503" t="s">
        <v>621</v>
      </c>
      <c r="DN546" s="503" t="str">
        <f>IF($G546="","",IF(AND($G546&gt;=30,$AT$3&lt;=DM$7),ROUND(DM546*($AP$3+#REF!),-1),""))</f>
        <v/>
      </c>
      <c r="DO546" s="503" t="s">
        <v>621</v>
      </c>
      <c r="DP546" s="503" t="str">
        <f>IF($G546="","",IF(AND($G546&gt;=30,$AT$3&lt;=DO$7),ROUND(DO546*($AP$3+#REF!),-1),""))</f>
        <v/>
      </c>
      <c r="DQ546" s="517" t="e">
        <v>#REF!</v>
      </c>
      <c r="DR546" s="503" t="str">
        <f>IF($G546="","",IF(AND($G546&gt;=30,$AT$3&lt;=DQ$7),ROUND(DQ546*($AP$3+#REF!),-1),""))</f>
        <v/>
      </c>
      <c r="DS546" s="503"/>
      <c r="DT546" s="503" t="str">
        <f>IF($G546="","",IF(AND($G546&gt;=30,$AT$3&lt;=DS$7),ROUND(DS546*($AP$3+#REF!),-1),""))</f>
        <v/>
      </c>
      <c r="DU546" s="503"/>
      <c r="DV546" s="503" t="str">
        <f>IF($G546="","",IF(AND($G546&gt;=30,$AT$3&lt;=DU$7),ROUND(DU546*($AP$3+#REF!),-1),""))</f>
        <v/>
      </c>
      <c r="DW546" s="503"/>
      <c r="DX546" s="503" t="str">
        <f>IF($G546="","",IF(AND($G546&gt;=30,$AT$3&lt;=DW$7),ROUND(DW546*($AP$3+#REF!),-1),""))</f>
        <v/>
      </c>
      <c r="DY546" s="503"/>
      <c r="DZ546" s="503" t="str">
        <f>IF($G546="","",IF(AND($G546&gt;=30,$AT$3&lt;=DY$7),ROUND(DY546*($AP$3+#REF!),-1),""))</f>
        <v/>
      </c>
      <c r="EA546" s="503"/>
      <c r="EB546" s="503" t="str">
        <f>IF($G546="","",IF(AND($G546&gt;=30,$AT$3&lt;=EA$7),ROUND(EA546*($AP$3+#REF!),-1),""))</f>
        <v/>
      </c>
      <c r="EC546" s="436"/>
      <c r="ED546" s="436"/>
      <c r="EE546" s="394"/>
    </row>
    <row r="547" spans="1:135" ht="9.75" customHeight="1">
      <c r="A547" s="321" t="str">
        <f t="shared" si="124"/>
        <v/>
      </c>
      <c r="B547" s="567">
        <f>(ii!$D$13*12+V547)+1</f>
        <v>441</v>
      </c>
      <c r="C547" s="337">
        <f t="shared" si="128"/>
        <v>58775</v>
      </c>
      <c r="D547" s="484">
        <f t="shared" si="131"/>
        <v>2060</v>
      </c>
      <c r="E547" s="484">
        <f t="shared" si="129"/>
        <v>0.91666666666666663</v>
      </c>
      <c r="F547" s="484">
        <f t="shared" si="132"/>
        <v>2060.9166666666665</v>
      </c>
      <c r="G547" s="485" t="str">
        <f>IF(OR(C547&lt;$I$2,C547&gt;$J$3),"",(ii!$D$13*12+V547+1)/12)</f>
        <v/>
      </c>
      <c r="H547" s="486"/>
      <c r="I547" s="486"/>
      <c r="J547" s="487"/>
      <c r="K547" s="488"/>
      <c r="L547" s="548"/>
      <c r="M547" s="489" t="str">
        <f t="shared" si="133"/>
        <v/>
      </c>
      <c r="N547" s="490" t="s">
        <v>621</v>
      </c>
      <c r="O547" s="490" t="str">
        <f t="shared" si="126"/>
        <v/>
      </c>
      <c r="P547" s="491"/>
      <c r="Q547" s="491"/>
      <c r="R547" s="491" t="str">
        <f t="shared" si="127"/>
        <v/>
      </c>
      <c r="S547" s="528" t="str">
        <f t="shared" si="125"/>
        <v/>
      </c>
      <c r="T547" s="528" t="str">
        <f t="shared" si="123"/>
        <v/>
      </c>
      <c r="U547" s="493" t="str">
        <f>IF(H547="","",#REF!*12+#REF!+#REF!*12+#REF!)</f>
        <v/>
      </c>
      <c r="V547" s="338">
        <f>IF(ii!$J$3&gt;gg!C547,"",IF(AND((YEAR(C547)=YEAR($I$2)),MONTH(C547)=MONTH($I$2)),ii!$B$14*12+ii!$C$14+ii!$B$15*12+ii!$C$15-1,V546+1))</f>
        <v>440</v>
      </c>
      <c r="W547" s="339">
        <f t="shared" si="130"/>
        <v>36.666666666666664</v>
      </c>
      <c r="X547" s="494" t="s">
        <v>621</v>
      </c>
      <c r="Y547" s="495" t="s">
        <v>621</v>
      </c>
      <c r="Z547" s="496"/>
      <c r="AA547" s="497"/>
      <c r="AB547" s="498" t="str">
        <f t="shared" si="136"/>
        <v/>
      </c>
      <c r="AC547" s="484" t="str">
        <f t="shared" si="134"/>
        <v/>
      </c>
      <c r="AD547" s="495" t="str">
        <f t="shared" si="135"/>
        <v/>
      </c>
      <c r="AE547" s="499" t="s">
        <v>621</v>
      </c>
      <c r="AF547" s="500" t="s">
        <v>621</v>
      </c>
      <c r="AG547" s="556" t="s">
        <v>621</v>
      </c>
      <c r="AH547" s="503" t="str">
        <f>IF($G547="","",IF(AND($G547&gt;=30,$AT$3&lt;=AG$7),ROUND(AG547*($AP$3+#REF!),-1),""))</f>
        <v/>
      </c>
      <c r="AI547" s="506" t="s">
        <v>621</v>
      </c>
      <c r="AJ547" s="503" t="str">
        <f>IF($G547="","",IF(AND($G547&gt;=30,$AT$3&lt;=AI$7),ROUND(AI547*($AP$3+#REF!),-1),""))</f>
        <v/>
      </c>
      <c r="AK547" s="506" t="s">
        <v>621</v>
      </c>
      <c r="AL547" s="503" t="str">
        <f>IF($G547="","",IF(AND($G547&gt;=30,$AT$3&lt;=AK$7),ROUND(AK547*($AP$3+#REF!),-1),""))</f>
        <v/>
      </c>
      <c r="AM547" s="506" t="s">
        <v>621</v>
      </c>
      <c r="AN547" s="503" t="str">
        <f>IF($G547="","",IF(AND($G547&gt;=30,$AT$3&lt;=AM$7),ROUND(AM547*($AP$3+#REF!),-1),""))</f>
        <v/>
      </c>
      <c r="AO547" s="503" t="e">
        <v>#REF!</v>
      </c>
      <c r="AP547" s="503" t="str">
        <f>IF($G547="","",IF(AND($G547&gt;=30,$AT$3&lt;=AO$7),ROUND(AO547*($AP$3+#REF!),-1),""))</f>
        <v/>
      </c>
      <c r="AQ547" s="503" t="s">
        <v>621</v>
      </c>
      <c r="AR547" s="503" t="str">
        <f>IF($G547="","",IF(AND($G547&gt;=30,$AT$3&lt;=AQ$7),ROUND(AQ547*($AP$3+#REF!),-1),""))</f>
        <v/>
      </c>
      <c r="AS547" s="503" t="s">
        <v>621</v>
      </c>
      <c r="AT547" s="503" t="str">
        <f>IF($G547="","",IF(AND($G547&gt;=30,$AT$3&lt;=AS$7),ROUND(AS547*($AP$3+#REF!),-1),""))</f>
        <v/>
      </c>
      <c r="AU547" s="503" t="s">
        <v>621</v>
      </c>
      <c r="AV547" s="503" t="str">
        <f>IF($G547="","",IF(AND($G547&gt;=30,$AT$3&lt;=AU$7),ROUND(AU547*($AP$3+#REF!),-1),""))</f>
        <v/>
      </c>
      <c r="AW547" s="503" t="s">
        <v>621</v>
      </c>
      <c r="AX547" s="503" t="str">
        <f>IF($G547="","",IF(AND($G547&gt;=30,$AT$3&lt;=AW$7),ROUND(AW547*($AP$3+#REF!),-1),""))</f>
        <v/>
      </c>
      <c r="AY547" s="503" t="s">
        <v>621</v>
      </c>
      <c r="AZ547" s="503" t="str">
        <f>IF($G547="","",IF(AND($G547&gt;=30,$AT$3&lt;=AY$7),ROUND(AY547*($AP$3+#REF!),-1),""))</f>
        <v/>
      </c>
      <c r="BA547" s="503" t="s">
        <v>621</v>
      </c>
      <c r="BB547" s="503" t="str">
        <f>IF($G547="","",IF(AND($G547&gt;=30,$AT$3&lt;=BA$7),ROUND(BA547*($AP$3+#REF!),-1),""))</f>
        <v/>
      </c>
      <c r="BC547" s="503" t="s">
        <v>621</v>
      </c>
      <c r="BD547" s="503" t="str">
        <f>IF($G547="","",IF(AND($G547&gt;=30,$AT$3&lt;=BC$7),ROUND(BC547*($AP$3+#REF!),-1),""))</f>
        <v/>
      </c>
      <c r="BE547" s="503" t="s">
        <v>621</v>
      </c>
      <c r="BF547" s="503" t="str">
        <f>IF($G547="","",IF(AND($G547&gt;=30,$AT$3&lt;=BE$7),ROUND(BE547*($AP$3+#REF!),-1),""))</f>
        <v/>
      </c>
      <c r="BG547" s="503" t="s">
        <v>621</v>
      </c>
      <c r="BH547" s="503" t="str">
        <f>IF($G547="","",IF(AND($G547&gt;=30,$AT$3&lt;=BG$7),ROUND(BG547*($AP$3+#REF!),-1),""))</f>
        <v/>
      </c>
      <c r="BI547" s="503" t="s">
        <v>621</v>
      </c>
      <c r="BJ547" s="503" t="str">
        <f>IF($G547="","",IF(AND($G547&gt;=30,$AT$3&lt;=BI$7),ROUND(BI547*($AP$3+#REF!),-1),""))</f>
        <v/>
      </c>
      <c r="BK547" s="503" t="s">
        <v>621</v>
      </c>
      <c r="BL547" s="503" t="str">
        <f>IF($G547="","",IF(AND($G547&gt;=30,$AT$3&lt;=BK$7),ROUND(BK547*($AP$3+#REF!),-1),""))</f>
        <v/>
      </c>
      <c r="BM547" s="503" t="s">
        <v>621</v>
      </c>
      <c r="BN547" s="503" t="str">
        <f>IF($G547="","",IF(AND($G547&gt;=30,$AT$3&lt;=BM$7),ROUND(BM547*($AP$3+#REF!),-1),""))</f>
        <v/>
      </c>
      <c r="BO547" s="503" t="s">
        <v>621</v>
      </c>
      <c r="BP547" s="503" t="str">
        <f>IF($G547="","",IF(AND($G547&gt;=30,$AT$3&lt;=BO$7),ROUND(BO547*($AP$3+#REF!),-1),""))</f>
        <v/>
      </c>
      <c r="BQ547" s="503" t="s">
        <v>621</v>
      </c>
      <c r="BR547" s="503" t="str">
        <f>IF($G547="","",IF(AND($G547&gt;=30,$AT$3&lt;=BQ$7),ROUND(BQ547*($AP$3+#REF!),-1),""))</f>
        <v/>
      </c>
      <c r="BS547" s="503" t="s">
        <v>621</v>
      </c>
      <c r="BT547" s="503" t="str">
        <f>IF($G547="","",IF(AND($G547&gt;=30,$AT$3&lt;=BS$7),ROUND(BS547*($AP$3+#REF!),-1),""))</f>
        <v/>
      </c>
      <c r="BU547" s="503" t="s">
        <v>621</v>
      </c>
      <c r="BV547" s="503" t="str">
        <f>IF($G547="","",IF(AND($G547&gt;=30,$AT$3&lt;=BU$7),ROUND(BU547*($AP$3+#REF!),-1),""))</f>
        <v/>
      </c>
      <c r="BW547" s="503" t="s">
        <v>621</v>
      </c>
      <c r="BX547" s="503" t="str">
        <f>IF($G547="","",IF(AND($G547&gt;=30,$AT$3&lt;=BW$7),ROUND(BW547*($AP$3+#REF!),-1),""))</f>
        <v/>
      </c>
      <c r="BY547" s="503" t="s">
        <v>621</v>
      </c>
      <c r="BZ547" s="503" t="str">
        <f>IF($G547="","",IF(AND($G547&gt;=30,$AT$3&lt;=BY$7),ROUND(BY547*($AP$3+#REF!),-1),""))</f>
        <v/>
      </c>
      <c r="CA547" s="503" t="s">
        <v>621</v>
      </c>
      <c r="CB547" s="503" t="str">
        <f>IF($G547="","",IF(AND($G547&gt;=30,$AT$3&lt;=CA$7),ROUND(CA547*($AP$3+#REF!),-1),""))</f>
        <v/>
      </c>
      <c r="CC547" s="503" t="s">
        <v>621</v>
      </c>
      <c r="CD547" s="503" t="str">
        <f>IF($G547="","",IF(AND($G547&gt;=30,$AT$3&lt;=CC$7),ROUND(CC547*($AP$3+#REF!),-1),""))</f>
        <v/>
      </c>
      <c r="CE547" s="503" t="s">
        <v>621</v>
      </c>
      <c r="CF547" s="503" t="str">
        <f>IF($G547="","",IF(AND($G547&gt;=30,$AT$3&lt;=CE$7),ROUND(CE547*($AP$3+#REF!),-1),""))</f>
        <v/>
      </c>
      <c r="CG547" s="503" t="s">
        <v>621</v>
      </c>
      <c r="CH547" s="503" t="str">
        <f>IF($G547="","",IF(AND($G547&gt;=30,$AT$3&lt;=CG$7),ROUND(CG547*($AP$3+#REF!),-1),""))</f>
        <v/>
      </c>
      <c r="CI547" s="503" t="s">
        <v>621</v>
      </c>
      <c r="CJ547" s="503" t="str">
        <f>IF($G547="","",IF(AND($G547&gt;=30,$AT$3&lt;=CI$7),ROUND(CI547*($AP$3+#REF!),-1),""))</f>
        <v/>
      </c>
      <c r="CK547" s="503" t="s">
        <v>621</v>
      </c>
      <c r="CL547" s="503" t="str">
        <f>IF($G547="","",IF(AND($G547&gt;=30,$AT$3&lt;=CK$7),ROUND(CK547*($AP$3+#REF!),-1),""))</f>
        <v/>
      </c>
      <c r="CM547" s="503" t="s">
        <v>621</v>
      </c>
      <c r="CN547" s="503" t="str">
        <f>IF($G547="","",IF(AND($G547&gt;=30,$AT$3&lt;=CM$7),ROUND(CM547*($AP$3+#REF!),-1),""))</f>
        <v/>
      </c>
      <c r="CO547" s="503" t="s">
        <v>621</v>
      </c>
      <c r="CP547" s="503" t="str">
        <f>IF($G547="","",IF(AND($G547&gt;=30,$AT$3&lt;=CO$7),ROUND(CO547*($AP$3+#REF!),-1),""))</f>
        <v/>
      </c>
      <c r="CQ547" s="503" t="s">
        <v>621</v>
      </c>
      <c r="CR547" s="503" t="str">
        <f>IF($G547="","",IF(AND($G547&gt;=30,$AT$3&lt;=CQ$7),ROUND(CQ547*($AP$3+#REF!),-1),""))</f>
        <v/>
      </c>
      <c r="CS547" s="503" t="s">
        <v>621</v>
      </c>
      <c r="CT547" s="503" t="str">
        <f>IF($G547="","",IF(AND($G547&gt;=30,$AT$3&lt;=CS$7),ROUND(CS547*($AP$3+#REF!),-1),""))</f>
        <v/>
      </c>
      <c r="CU547" s="503" t="s">
        <v>621</v>
      </c>
      <c r="CV547" s="503" t="str">
        <f>IF($G547="","",IF(AND($G547&gt;=30,$AT$3&lt;=CU$7),ROUND(CU547*($AP$3+#REF!),-1),""))</f>
        <v/>
      </c>
      <c r="CW547" s="503" t="s">
        <v>621</v>
      </c>
      <c r="CX547" s="503" t="str">
        <f>IF($G547="","",IF(AND($G547&gt;=30,$AT$3&lt;=CW$7),ROUND(CW547*($AP$3+#REF!),-1),""))</f>
        <v/>
      </c>
      <c r="CY547" s="503" t="s">
        <v>621</v>
      </c>
      <c r="CZ547" s="503" t="str">
        <f>IF($G547="","",IF(AND($G547&gt;=30,$AT$3&lt;=CY$7),ROUND(CY547*($AP$3+#REF!),-1),""))</f>
        <v/>
      </c>
      <c r="DA547" s="503" t="s">
        <v>621</v>
      </c>
      <c r="DB547" s="503" t="str">
        <f>IF($G547="","",IF(AND($G547&gt;=30,$AT$3&lt;=DA$7),ROUND(DA547*($AP$3+#REF!),-1),""))</f>
        <v/>
      </c>
      <c r="DC547" s="503" t="s">
        <v>621</v>
      </c>
      <c r="DD547" s="503" t="str">
        <f>IF($G547="","",IF(AND($G547&gt;=30,$AT$3&lt;=DC$7),ROUND(DC547*($AP$3+#REF!),-1),""))</f>
        <v/>
      </c>
      <c r="DE547" s="503" t="s">
        <v>621</v>
      </c>
      <c r="DF547" s="503" t="str">
        <f>IF($G547="","",IF(AND($G547&gt;=30,$AT$3&lt;=DE$7),ROUND(DE547*($AP$3+#REF!),-1),""))</f>
        <v/>
      </c>
      <c r="DG547" s="503" t="s">
        <v>621</v>
      </c>
      <c r="DH547" s="503" t="str">
        <f>IF($G547="","",IF(AND($G547&gt;=30,$AT$3&lt;=DG$7),ROUND(DG547*($AP$3+#REF!),-1),""))</f>
        <v/>
      </c>
      <c r="DI547" s="503" t="s">
        <v>621</v>
      </c>
      <c r="DJ547" s="503" t="str">
        <f>IF($G547="","",IF(AND($G547&gt;=30,$AT$3&lt;=DI$7),ROUND(DI547*($AP$3+#REF!),-1),""))</f>
        <v/>
      </c>
      <c r="DK547" s="503" t="s">
        <v>621</v>
      </c>
      <c r="DL547" s="503" t="str">
        <f>IF($G547="","",IF(AND($G547&gt;=30,$AT$3&lt;=DK$7),ROUND(DK547*($AP$3+#REF!),-1),""))</f>
        <v/>
      </c>
      <c r="DM547" s="503" t="s">
        <v>621</v>
      </c>
      <c r="DN547" s="503" t="str">
        <f>IF($G547="","",IF(AND($G547&gt;=30,$AT$3&lt;=DM$7),ROUND(DM547*($AP$3+#REF!),-1),""))</f>
        <v/>
      </c>
      <c r="DO547" s="503" t="s">
        <v>621</v>
      </c>
      <c r="DP547" s="503" t="str">
        <f>IF($G547="","",IF(AND($G547&gt;=30,$AT$3&lt;=DO$7),ROUND(DO547*($AP$3+#REF!),-1),""))</f>
        <v/>
      </c>
      <c r="DQ547" s="517" t="e">
        <v>#REF!</v>
      </c>
      <c r="DR547" s="503" t="str">
        <f>IF($G547="","",IF(AND($G547&gt;=30,$AT$3&lt;=DQ$7),ROUND(DQ547*($AP$3+#REF!),-1),""))</f>
        <v/>
      </c>
      <c r="DS547" s="503"/>
      <c r="DT547" s="503" t="str">
        <f>IF($G547="","",IF(AND($G547&gt;=30,$AT$3&lt;=DS$7),ROUND(DS547*($AP$3+#REF!),-1),""))</f>
        <v/>
      </c>
      <c r="DU547" s="503"/>
      <c r="DV547" s="503" t="str">
        <f>IF($G547="","",IF(AND($G547&gt;=30,$AT$3&lt;=DU$7),ROUND(DU547*($AP$3+#REF!),-1),""))</f>
        <v/>
      </c>
      <c r="DW547" s="503"/>
      <c r="DX547" s="503" t="str">
        <f>IF($G547="","",IF(AND($G547&gt;=30,$AT$3&lt;=DW$7),ROUND(DW547*($AP$3+#REF!),-1),""))</f>
        <v/>
      </c>
      <c r="DY547" s="503"/>
      <c r="DZ547" s="503" t="str">
        <f>IF($G547="","",IF(AND($G547&gt;=30,$AT$3&lt;=DY$7),ROUND(DY547*($AP$3+#REF!),-1),""))</f>
        <v/>
      </c>
      <c r="EA547" s="503"/>
      <c r="EB547" s="503" t="str">
        <f>IF($G547="","",IF(AND($G547&gt;=30,$AT$3&lt;=EA$7),ROUND(EA547*($AP$3+#REF!),-1),""))</f>
        <v/>
      </c>
      <c r="EC547" s="436"/>
      <c r="ED547" s="436"/>
      <c r="EE547" s="394"/>
    </row>
    <row r="548" spans="1:135" ht="9.75" customHeight="1">
      <c r="A548" s="321" t="str">
        <f t="shared" si="124"/>
        <v/>
      </c>
      <c r="B548" s="567">
        <f>(ii!$D$13*12+V548)+1</f>
        <v>442</v>
      </c>
      <c r="C548" s="337">
        <f t="shared" si="128"/>
        <v>58806</v>
      </c>
      <c r="D548" s="484">
        <f t="shared" si="131"/>
        <v>2060</v>
      </c>
      <c r="E548" s="484">
        <f t="shared" si="129"/>
        <v>1</v>
      </c>
      <c r="F548" s="484">
        <f t="shared" si="132"/>
        <v>2061</v>
      </c>
      <c r="G548" s="485" t="str">
        <f>IF(OR(C548&lt;$I$2,C548&gt;$J$3),"",(ii!$D$13*12+V548+1)/12)</f>
        <v/>
      </c>
      <c r="H548" s="486"/>
      <c r="I548" s="486"/>
      <c r="J548" s="487"/>
      <c r="K548" s="488"/>
      <c r="L548" s="548"/>
      <c r="M548" s="489" t="str">
        <f t="shared" si="133"/>
        <v/>
      </c>
      <c r="N548" s="490" t="s">
        <v>621</v>
      </c>
      <c r="O548" s="490" t="str">
        <f t="shared" si="126"/>
        <v/>
      </c>
      <c r="P548" s="491"/>
      <c r="Q548" s="491"/>
      <c r="R548" s="491" t="str">
        <f t="shared" si="127"/>
        <v/>
      </c>
      <c r="S548" s="528" t="str">
        <f t="shared" si="125"/>
        <v/>
      </c>
      <c r="T548" s="528" t="str">
        <f t="shared" si="123"/>
        <v/>
      </c>
      <c r="U548" s="493" t="str">
        <f>IF(H548="","",#REF!*12+#REF!+#REF!*12+#REF!)</f>
        <v/>
      </c>
      <c r="V548" s="338">
        <f>IF(ii!$J$3&gt;gg!C548,"",IF(AND((YEAR(C548)=YEAR($I$2)),MONTH(C548)=MONTH($I$2)),ii!$B$14*12+ii!$C$14+ii!$B$15*12+ii!$C$15-1,V547+1))</f>
        <v>441</v>
      </c>
      <c r="W548" s="339">
        <f t="shared" si="130"/>
        <v>36.75</v>
      </c>
      <c r="X548" s="494" t="s">
        <v>621</v>
      </c>
      <c r="Y548" s="495" t="s">
        <v>621</v>
      </c>
      <c r="Z548" s="496"/>
      <c r="AA548" s="497"/>
      <c r="AB548" s="498" t="str">
        <f t="shared" si="136"/>
        <v/>
      </c>
      <c r="AC548" s="484" t="str">
        <f t="shared" si="134"/>
        <v/>
      </c>
      <c r="AD548" s="495" t="str">
        <f t="shared" si="135"/>
        <v/>
      </c>
      <c r="AE548" s="499" t="s">
        <v>621</v>
      </c>
      <c r="AF548" s="500" t="s">
        <v>621</v>
      </c>
      <c r="AG548" s="556" t="s">
        <v>621</v>
      </c>
      <c r="AH548" s="503" t="str">
        <f>IF($G548="","",IF(AND($G548&gt;=30,$AT$3&lt;=AG$7),ROUND(AG548*($AP$3+#REF!),-1),""))</f>
        <v/>
      </c>
      <c r="AI548" s="506" t="s">
        <v>621</v>
      </c>
      <c r="AJ548" s="503" t="str">
        <f>IF($G548="","",IF(AND($G548&gt;=30,$AT$3&lt;=AI$7),ROUND(AI548*($AP$3+#REF!),-1),""))</f>
        <v/>
      </c>
      <c r="AK548" s="506" t="s">
        <v>621</v>
      </c>
      <c r="AL548" s="503" t="str">
        <f>IF($G548="","",IF(AND($G548&gt;=30,$AT$3&lt;=AK$7),ROUND(AK548*($AP$3+#REF!),-1),""))</f>
        <v/>
      </c>
      <c r="AM548" s="506" t="s">
        <v>621</v>
      </c>
      <c r="AN548" s="503" t="str">
        <f>IF($G548="","",IF(AND($G548&gt;=30,$AT$3&lt;=AM$7),ROUND(AM548*($AP$3+#REF!),-1),""))</f>
        <v/>
      </c>
      <c r="AO548" s="503" t="e">
        <v>#REF!</v>
      </c>
      <c r="AP548" s="503" t="str">
        <f>IF($G548="","",IF(AND($G548&gt;=30,$AT$3&lt;=AO$7),ROUND(AO548*($AP$3+#REF!),-1),""))</f>
        <v/>
      </c>
      <c r="AQ548" s="503" t="s">
        <v>621</v>
      </c>
      <c r="AR548" s="503" t="str">
        <f>IF($G548="","",IF(AND($G548&gt;=30,$AT$3&lt;=AQ$7),ROUND(AQ548*($AP$3+#REF!),-1),""))</f>
        <v/>
      </c>
      <c r="AS548" s="503" t="s">
        <v>621</v>
      </c>
      <c r="AT548" s="503" t="str">
        <f>IF($G548="","",IF(AND($G548&gt;=30,$AT$3&lt;=AS$7),ROUND(AS548*($AP$3+#REF!),-1),""))</f>
        <v/>
      </c>
      <c r="AU548" s="503" t="s">
        <v>621</v>
      </c>
      <c r="AV548" s="503" t="str">
        <f>IF($G548="","",IF(AND($G548&gt;=30,$AT$3&lt;=AU$7),ROUND(AU548*($AP$3+#REF!),-1),""))</f>
        <v/>
      </c>
      <c r="AW548" s="503" t="s">
        <v>621</v>
      </c>
      <c r="AX548" s="503" t="str">
        <f>IF($G548="","",IF(AND($G548&gt;=30,$AT$3&lt;=AW$7),ROUND(AW548*($AP$3+#REF!),-1),""))</f>
        <v/>
      </c>
      <c r="AY548" s="503" t="s">
        <v>621</v>
      </c>
      <c r="AZ548" s="503" t="str">
        <f>IF($G548="","",IF(AND($G548&gt;=30,$AT$3&lt;=AY$7),ROUND(AY548*($AP$3+#REF!),-1),""))</f>
        <v/>
      </c>
      <c r="BA548" s="503" t="s">
        <v>621</v>
      </c>
      <c r="BB548" s="503" t="str">
        <f>IF($G548="","",IF(AND($G548&gt;=30,$AT$3&lt;=BA$7),ROUND(BA548*($AP$3+#REF!),-1),""))</f>
        <v/>
      </c>
      <c r="BC548" s="503" t="s">
        <v>621</v>
      </c>
      <c r="BD548" s="503" t="str">
        <f>IF($G548="","",IF(AND($G548&gt;=30,$AT$3&lt;=BC$7),ROUND(BC548*($AP$3+#REF!),-1),""))</f>
        <v/>
      </c>
      <c r="BE548" s="503" t="s">
        <v>621</v>
      </c>
      <c r="BF548" s="503" t="str">
        <f>IF($G548="","",IF(AND($G548&gt;=30,$AT$3&lt;=BE$7),ROUND(BE548*($AP$3+#REF!),-1),""))</f>
        <v/>
      </c>
      <c r="BG548" s="503" t="s">
        <v>621</v>
      </c>
      <c r="BH548" s="503" t="str">
        <f>IF($G548="","",IF(AND($G548&gt;=30,$AT$3&lt;=BG$7),ROUND(BG548*($AP$3+#REF!),-1),""))</f>
        <v/>
      </c>
      <c r="BI548" s="503" t="s">
        <v>621</v>
      </c>
      <c r="BJ548" s="503" t="str">
        <f>IF($G548="","",IF(AND($G548&gt;=30,$AT$3&lt;=BI$7),ROUND(BI548*($AP$3+#REF!),-1),""))</f>
        <v/>
      </c>
      <c r="BK548" s="503" t="s">
        <v>621</v>
      </c>
      <c r="BL548" s="503" t="str">
        <f>IF($G548="","",IF(AND($G548&gt;=30,$AT$3&lt;=BK$7),ROUND(BK548*($AP$3+#REF!),-1),""))</f>
        <v/>
      </c>
      <c r="BM548" s="503" t="s">
        <v>621</v>
      </c>
      <c r="BN548" s="503" t="str">
        <f>IF($G548="","",IF(AND($G548&gt;=30,$AT$3&lt;=BM$7),ROUND(BM548*($AP$3+#REF!),-1),""))</f>
        <v/>
      </c>
      <c r="BO548" s="503" t="s">
        <v>621</v>
      </c>
      <c r="BP548" s="503" t="str">
        <f>IF($G548="","",IF(AND($G548&gt;=30,$AT$3&lt;=BO$7),ROUND(BO548*($AP$3+#REF!),-1),""))</f>
        <v/>
      </c>
      <c r="BQ548" s="503" t="s">
        <v>621</v>
      </c>
      <c r="BR548" s="503" t="str">
        <f>IF($G548="","",IF(AND($G548&gt;=30,$AT$3&lt;=BQ$7),ROUND(BQ548*($AP$3+#REF!),-1),""))</f>
        <v/>
      </c>
      <c r="BS548" s="503" t="s">
        <v>621</v>
      </c>
      <c r="BT548" s="503" t="str">
        <f>IF($G548="","",IF(AND($G548&gt;=30,$AT$3&lt;=BS$7),ROUND(BS548*($AP$3+#REF!),-1),""))</f>
        <v/>
      </c>
      <c r="BU548" s="503" t="s">
        <v>621</v>
      </c>
      <c r="BV548" s="503" t="str">
        <f>IF($G548="","",IF(AND($G548&gt;=30,$AT$3&lt;=BU$7),ROUND(BU548*($AP$3+#REF!),-1),""))</f>
        <v/>
      </c>
      <c r="BW548" s="503" t="s">
        <v>621</v>
      </c>
      <c r="BX548" s="503" t="str">
        <f>IF($G548="","",IF(AND($G548&gt;=30,$AT$3&lt;=BW$7),ROUND(BW548*($AP$3+#REF!),-1),""))</f>
        <v/>
      </c>
      <c r="BY548" s="503" t="s">
        <v>621</v>
      </c>
      <c r="BZ548" s="503" t="str">
        <f>IF($G548="","",IF(AND($G548&gt;=30,$AT$3&lt;=BY$7),ROUND(BY548*($AP$3+#REF!),-1),""))</f>
        <v/>
      </c>
      <c r="CA548" s="503" t="s">
        <v>621</v>
      </c>
      <c r="CB548" s="503" t="str">
        <f>IF($G548="","",IF(AND($G548&gt;=30,$AT$3&lt;=CA$7),ROUND(CA548*($AP$3+#REF!),-1),""))</f>
        <v/>
      </c>
      <c r="CC548" s="503" t="s">
        <v>621</v>
      </c>
      <c r="CD548" s="503" t="str">
        <f>IF($G548="","",IF(AND($G548&gt;=30,$AT$3&lt;=CC$7),ROUND(CC548*($AP$3+#REF!),-1),""))</f>
        <v/>
      </c>
      <c r="CE548" s="503" t="s">
        <v>621</v>
      </c>
      <c r="CF548" s="503" t="str">
        <f>IF($G548="","",IF(AND($G548&gt;=30,$AT$3&lt;=CE$7),ROUND(CE548*($AP$3+#REF!),-1),""))</f>
        <v/>
      </c>
      <c r="CG548" s="503" t="s">
        <v>621</v>
      </c>
      <c r="CH548" s="503" t="str">
        <f>IF($G548="","",IF(AND($G548&gt;=30,$AT$3&lt;=CG$7),ROUND(CG548*($AP$3+#REF!),-1),""))</f>
        <v/>
      </c>
      <c r="CI548" s="503" t="s">
        <v>621</v>
      </c>
      <c r="CJ548" s="503" t="str">
        <f>IF($G548="","",IF(AND($G548&gt;=30,$AT$3&lt;=CI$7),ROUND(CI548*($AP$3+#REF!),-1),""))</f>
        <v/>
      </c>
      <c r="CK548" s="503" t="s">
        <v>621</v>
      </c>
      <c r="CL548" s="503" t="str">
        <f>IF($G548="","",IF(AND($G548&gt;=30,$AT$3&lt;=CK$7),ROUND(CK548*($AP$3+#REF!),-1),""))</f>
        <v/>
      </c>
      <c r="CM548" s="503" t="s">
        <v>621</v>
      </c>
      <c r="CN548" s="503" t="str">
        <f>IF($G548="","",IF(AND($G548&gt;=30,$AT$3&lt;=CM$7),ROUND(CM548*($AP$3+#REF!),-1),""))</f>
        <v/>
      </c>
      <c r="CO548" s="503" t="s">
        <v>621</v>
      </c>
      <c r="CP548" s="503" t="str">
        <f>IF($G548="","",IF(AND($G548&gt;=30,$AT$3&lt;=CO$7),ROUND(CO548*($AP$3+#REF!),-1),""))</f>
        <v/>
      </c>
      <c r="CQ548" s="503" t="s">
        <v>621</v>
      </c>
      <c r="CR548" s="503" t="str">
        <f>IF($G548="","",IF(AND($G548&gt;=30,$AT$3&lt;=CQ$7),ROUND(CQ548*($AP$3+#REF!),-1),""))</f>
        <v/>
      </c>
      <c r="CS548" s="503" t="s">
        <v>621</v>
      </c>
      <c r="CT548" s="503" t="str">
        <f>IF($G548="","",IF(AND($G548&gt;=30,$AT$3&lt;=CS$7),ROUND(CS548*($AP$3+#REF!),-1),""))</f>
        <v/>
      </c>
      <c r="CU548" s="503" t="s">
        <v>621</v>
      </c>
      <c r="CV548" s="503" t="str">
        <f>IF($G548="","",IF(AND($G548&gt;=30,$AT$3&lt;=CU$7),ROUND(CU548*($AP$3+#REF!),-1),""))</f>
        <v/>
      </c>
      <c r="CW548" s="503" t="s">
        <v>621</v>
      </c>
      <c r="CX548" s="503" t="str">
        <f>IF($G548="","",IF(AND($G548&gt;=30,$AT$3&lt;=CW$7),ROUND(CW548*($AP$3+#REF!),-1),""))</f>
        <v/>
      </c>
      <c r="CY548" s="503" t="s">
        <v>621</v>
      </c>
      <c r="CZ548" s="503" t="str">
        <f>IF($G548="","",IF(AND($G548&gt;=30,$AT$3&lt;=CY$7),ROUND(CY548*($AP$3+#REF!),-1),""))</f>
        <v/>
      </c>
      <c r="DA548" s="503" t="s">
        <v>621</v>
      </c>
      <c r="DB548" s="503" t="str">
        <f>IF($G548="","",IF(AND($G548&gt;=30,$AT$3&lt;=DA$7),ROUND(DA548*($AP$3+#REF!),-1),""))</f>
        <v/>
      </c>
      <c r="DC548" s="503" t="s">
        <v>621</v>
      </c>
      <c r="DD548" s="503" t="str">
        <f>IF($G548="","",IF(AND($G548&gt;=30,$AT$3&lt;=DC$7),ROUND(DC548*($AP$3+#REF!),-1),""))</f>
        <v/>
      </c>
      <c r="DE548" s="503" t="s">
        <v>621</v>
      </c>
      <c r="DF548" s="503" t="str">
        <f>IF($G548="","",IF(AND($G548&gt;=30,$AT$3&lt;=DE$7),ROUND(DE548*($AP$3+#REF!),-1),""))</f>
        <v/>
      </c>
      <c r="DG548" s="503" t="s">
        <v>621</v>
      </c>
      <c r="DH548" s="503" t="str">
        <f>IF($G548="","",IF(AND($G548&gt;=30,$AT$3&lt;=DG$7),ROUND(DG548*($AP$3+#REF!),-1),""))</f>
        <v/>
      </c>
      <c r="DI548" s="503" t="s">
        <v>621</v>
      </c>
      <c r="DJ548" s="503" t="str">
        <f>IF($G548="","",IF(AND($G548&gt;=30,$AT$3&lt;=DI$7),ROUND(DI548*($AP$3+#REF!),-1),""))</f>
        <v/>
      </c>
      <c r="DK548" s="503" t="s">
        <v>621</v>
      </c>
      <c r="DL548" s="503" t="str">
        <f>IF($G548="","",IF(AND($G548&gt;=30,$AT$3&lt;=DK$7),ROUND(DK548*($AP$3+#REF!),-1),""))</f>
        <v/>
      </c>
      <c r="DM548" s="503" t="s">
        <v>621</v>
      </c>
      <c r="DN548" s="503" t="str">
        <f>IF($G548="","",IF(AND($G548&gt;=30,$AT$3&lt;=DM$7),ROUND(DM548*($AP$3+#REF!),-1),""))</f>
        <v/>
      </c>
      <c r="DO548" s="503" t="s">
        <v>621</v>
      </c>
      <c r="DP548" s="503" t="str">
        <f>IF($G548="","",IF(AND($G548&gt;=30,$AT$3&lt;=DO$7),ROUND(DO548*($AP$3+#REF!),-1),""))</f>
        <v/>
      </c>
      <c r="DQ548" s="517" t="e">
        <v>#REF!</v>
      </c>
      <c r="DR548" s="503" t="str">
        <f>IF($G548="","",IF(AND($G548&gt;=30,$AT$3&lt;=DQ$7),ROUND(DQ548*($AP$3+#REF!),-1),""))</f>
        <v/>
      </c>
      <c r="DS548" s="503"/>
      <c r="DT548" s="503" t="str">
        <f>IF($G548="","",IF(AND($G548&gt;=30,$AT$3&lt;=DS$7),ROUND(DS548*($AP$3+#REF!),-1),""))</f>
        <v/>
      </c>
      <c r="DU548" s="503"/>
      <c r="DV548" s="503" t="str">
        <f>IF($G548="","",IF(AND($G548&gt;=30,$AT$3&lt;=DU$7),ROUND(DU548*($AP$3+#REF!),-1),""))</f>
        <v/>
      </c>
      <c r="DW548" s="503"/>
      <c r="DX548" s="503" t="str">
        <f>IF($G548="","",IF(AND($G548&gt;=30,$AT$3&lt;=DW$7),ROUND(DW548*($AP$3+#REF!),-1),""))</f>
        <v/>
      </c>
      <c r="DY548" s="503"/>
      <c r="DZ548" s="503" t="str">
        <f>IF($G548="","",IF(AND($G548&gt;=30,$AT$3&lt;=DY$7),ROUND(DY548*($AP$3+#REF!),-1),""))</f>
        <v/>
      </c>
      <c r="EA548" s="503"/>
      <c r="EB548" s="503" t="str">
        <f>IF($G548="","",IF(AND($G548&gt;=30,$AT$3&lt;=EA$7),ROUND(EA548*($AP$3+#REF!),-1),""))</f>
        <v/>
      </c>
      <c r="EC548" s="436"/>
      <c r="ED548" s="436"/>
      <c r="EE548" s="394"/>
    </row>
    <row r="549" spans="1:135" ht="9.75" customHeight="1">
      <c r="A549" s="321" t="str">
        <f t="shared" si="124"/>
        <v/>
      </c>
      <c r="B549" s="569">
        <f>(ii!$D$13*12+V549)+1</f>
        <v>443</v>
      </c>
      <c r="C549" s="345">
        <f t="shared" si="128"/>
        <v>58837</v>
      </c>
      <c r="D549" s="340">
        <f t="shared" si="131"/>
        <v>2061</v>
      </c>
      <c r="E549" s="340">
        <f t="shared" si="129"/>
        <v>8.3333333333333329E-2</v>
      </c>
      <c r="F549" s="340">
        <f t="shared" si="132"/>
        <v>2061.0833333333335</v>
      </c>
      <c r="G549" s="531" t="str">
        <f>IF(OR(C549&lt;$I$2,C549&gt;$J$3),"",(ii!$D$13*12+V549+1)/12)</f>
        <v/>
      </c>
      <c r="H549" s="532"/>
      <c r="I549" s="532"/>
      <c r="J549" s="533"/>
      <c r="K549" s="553"/>
      <c r="L549" s="534"/>
      <c r="M549" s="489" t="str">
        <f t="shared" si="133"/>
        <v/>
      </c>
      <c r="N549" s="536" t="s">
        <v>621</v>
      </c>
      <c r="O549" s="490" t="str">
        <f t="shared" si="126"/>
        <v/>
      </c>
      <c r="P549" s="537"/>
      <c r="Q549" s="537"/>
      <c r="R549" s="533" t="str">
        <f t="shared" si="127"/>
        <v/>
      </c>
      <c r="S549" s="538" t="str">
        <f t="shared" si="125"/>
        <v/>
      </c>
      <c r="T549" s="538" t="str">
        <f t="shared" si="123"/>
        <v/>
      </c>
      <c r="U549" s="539" t="str">
        <f>IF(H549="","",#REF!*12+#REF!+#REF!*12+#REF!)</f>
        <v/>
      </c>
      <c r="V549" s="338">
        <f>IF(ii!$J$3&gt;gg!C549,"",IF(AND((YEAR(C549)=YEAR($I$2)),MONTH(C549)=MONTH($I$2)),ii!$B$14*12+ii!$C$14+ii!$B$15*12+ii!$C$15-1,V548+1))</f>
        <v>442</v>
      </c>
      <c r="W549" s="339">
        <f t="shared" si="130"/>
        <v>36.833333333333336</v>
      </c>
      <c r="X549" s="540" t="s">
        <v>621</v>
      </c>
      <c r="Y549" s="538" t="s">
        <v>621</v>
      </c>
      <c r="Z549" s="541">
        <f>Z537+$Z$26</f>
        <v>1.2900000000000009</v>
      </c>
      <c r="AA549" s="542" t="str">
        <f>IF(Y549="","",(Y549-Y548)/Y548)</f>
        <v/>
      </c>
      <c r="AB549" s="543" t="str">
        <f t="shared" si="136"/>
        <v/>
      </c>
      <c r="AC549" s="544" t="str">
        <f t="shared" si="134"/>
        <v/>
      </c>
      <c r="AD549" s="538" t="str">
        <f t="shared" si="135"/>
        <v/>
      </c>
      <c r="AE549" s="545" t="s">
        <v>621</v>
      </c>
      <c r="AF549" s="546" t="s">
        <v>621</v>
      </c>
      <c r="AG549" s="558" t="s">
        <v>621</v>
      </c>
      <c r="AH549" s="547" t="str">
        <f>IF($G549="","",IF(AND($G549&gt;=30,$AT$3&lt;=AG$7),ROUND(AG549*($AP$3+#REF!),-1),""))</f>
        <v/>
      </c>
      <c r="AI549" s="558" t="s">
        <v>621</v>
      </c>
      <c r="AJ549" s="547" t="str">
        <f>IF($G549="","",IF(AND($G549&gt;=30,$AT$3&lt;=AI$7),ROUND(AI549*($AP$3+#REF!),-1),""))</f>
        <v/>
      </c>
      <c r="AK549" s="560" t="s">
        <v>621</v>
      </c>
      <c r="AL549" s="547" t="str">
        <f>IF($G549="","",IF(AND($G549&gt;=30,$AT$3&lt;=AK$7),ROUND(AK549*($AP$3+#REF!),-1),""))</f>
        <v/>
      </c>
      <c r="AM549" s="560" t="s">
        <v>621</v>
      </c>
      <c r="AN549" s="547" t="str">
        <f>IF($G549="","",IF(AND($G549&gt;=30,$AT$3&lt;=AM$7),ROUND(AM549*($AP$3+#REF!),-1),""))</f>
        <v/>
      </c>
      <c r="AO549" s="547" t="e">
        <v>#REF!</v>
      </c>
      <c r="AP549" s="547" t="str">
        <f>IF($G549="","",IF(AND($G549&gt;=30,$AT$3&lt;=AO$7),ROUND(AO549*($AP$3+#REF!),-1),""))</f>
        <v/>
      </c>
      <c r="AQ549" s="547" t="s">
        <v>621</v>
      </c>
      <c r="AR549" s="547" t="str">
        <f>IF($G549="","",IF(AND($G549&gt;=30,$AT$3&lt;=AQ$7),ROUND(AQ549*($AP$3+#REF!),-1),""))</f>
        <v/>
      </c>
      <c r="AS549" s="547" t="s">
        <v>621</v>
      </c>
      <c r="AT549" s="547" t="str">
        <f>IF($G549="","",IF(AND($G549&gt;=30,$AT$3&lt;=AS$7),ROUND(AS549*($AP$3+#REF!),-1),""))</f>
        <v/>
      </c>
      <c r="AU549" s="547" t="s">
        <v>621</v>
      </c>
      <c r="AV549" s="547" t="str">
        <f>IF($G549="","",IF(AND($G549&gt;=30,$AT$3&lt;=AU$7),ROUND(AU549*($AP$3+#REF!),-1),""))</f>
        <v/>
      </c>
      <c r="AW549" s="547" t="s">
        <v>621</v>
      </c>
      <c r="AX549" s="547" t="str">
        <f>IF($G549="","",IF(AND($G549&gt;=30,$AT$3&lt;=AW$7),ROUND(AW549*($AP$3+#REF!),-1),""))</f>
        <v/>
      </c>
      <c r="AY549" s="547" t="s">
        <v>621</v>
      </c>
      <c r="AZ549" s="547" t="str">
        <f>IF($G549="","",IF(AND($G549&gt;=30,$AT$3&lt;=AY$7),ROUND(AY549*($AP$3+#REF!),-1),""))</f>
        <v/>
      </c>
      <c r="BA549" s="547" t="s">
        <v>621</v>
      </c>
      <c r="BB549" s="547" t="str">
        <f>IF($G549="","",IF(AND($G549&gt;=30,$AT$3&lt;=BA$7),ROUND(BA549*($AP$3+#REF!),-1),""))</f>
        <v/>
      </c>
      <c r="BC549" s="547" t="s">
        <v>621</v>
      </c>
      <c r="BD549" s="547" t="str">
        <f>IF($G549="","",IF(AND($G549&gt;=30,$AT$3&lt;=BC$7),ROUND(BC549*($AP$3+#REF!),-1),""))</f>
        <v/>
      </c>
      <c r="BE549" s="547" t="s">
        <v>621</v>
      </c>
      <c r="BF549" s="547" t="str">
        <f>IF($G549="","",IF(AND($G549&gt;=30,$AT$3&lt;=BE$7),ROUND(BE549*($AP$3+#REF!),-1),""))</f>
        <v/>
      </c>
      <c r="BG549" s="547" t="s">
        <v>621</v>
      </c>
      <c r="BH549" s="547" t="str">
        <f>IF($G549="","",IF(AND($G549&gt;=30,$AT$3&lt;=BG$7),ROUND(BG549*($AP$3+#REF!),-1),""))</f>
        <v/>
      </c>
      <c r="BI549" s="547" t="s">
        <v>621</v>
      </c>
      <c r="BJ549" s="547" t="str">
        <f>IF($G549="","",IF(AND($G549&gt;=30,$AT$3&lt;=BI$7),ROUND(BI549*($AP$3+#REF!),-1),""))</f>
        <v/>
      </c>
      <c r="BK549" s="547" t="s">
        <v>621</v>
      </c>
      <c r="BL549" s="547" t="str">
        <f>IF($G549="","",IF(AND($G549&gt;=30,$AT$3&lt;=BK$7),ROUND(BK549*($AP$3+#REF!),-1),""))</f>
        <v/>
      </c>
      <c r="BM549" s="547" t="s">
        <v>621</v>
      </c>
      <c r="BN549" s="547" t="str">
        <f>IF($G549="","",IF(AND($G549&gt;=30,$AT$3&lt;=BM$7),ROUND(BM549*($AP$3+#REF!),-1),""))</f>
        <v/>
      </c>
      <c r="BO549" s="547" t="s">
        <v>621</v>
      </c>
      <c r="BP549" s="547" t="str">
        <f>IF($G549="","",IF(AND($G549&gt;=30,$AT$3&lt;=BO$7),ROUND(BO549*($AP$3+#REF!),-1),""))</f>
        <v/>
      </c>
      <c r="BQ549" s="547" t="s">
        <v>621</v>
      </c>
      <c r="BR549" s="547" t="str">
        <f>IF($G549="","",IF(AND($G549&gt;=30,$AT$3&lt;=BQ$7),ROUND(BQ549*($AP$3+#REF!),-1),""))</f>
        <v/>
      </c>
      <c r="BS549" s="547" t="s">
        <v>621</v>
      </c>
      <c r="BT549" s="547" t="str">
        <f>IF($G549="","",IF(AND($G549&gt;=30,$AT$3&lt;=BS$7),ROUND(BS549*($AP$3+#REF!),-1),""))</f>
        <v/>
      </c>
      <c r="BU549" s="547" t="s">
        <v>621</v>
      </c>
      <c r="BV549" s="547" t="str">
        <f>IF($G549="","",IF(AND($G549&gt;=30,$AT$3&lt;=BU$7),ROUND(BU549*($AP$3+#REF!),-1),""))</f>
        <v/>
      </c>
      <c r="BW549" s="547" t="s">
        <v>621</v>
      </c>
      <c r="BX549" s="547" t="str">
        <f>IF($G549="","",IF(AND($G549&gt;=30,$AT$3&lt;=BW$7),ROUND(BW549*($AP$3+#REF!),-1),""))</f>
        <v/>
      </c>
      <c r="BY549" s="547" t="s">
        <v>621</v>
      </c>
      <c r="BZ549" s="547" t="str">
        <f>IF($G549="","",IF(AND($G549&gt;=30,$AT$3&lt;=BY$7),ROUND(BY549*($AP$3+#REF!),-1),""))</f>
        <v/>
      </c>
      <c r="CA549" s="547" t="s">
        <v>621</v>
      </c>
      <c r="CB549" s="547" t="str">
        <f>IF($G549="","",IF(AND($G549&gt;=30,$AT$3&lt;=CA$7),ROUND(CA549*($AP$3+#REF!),-1),""))</f>
        <v/>
      </c>
      <c r="CC549" s="547" t="s">
        <v>621</v>
      </c>
      <c r="CD549" s="547" t="str">
        <f>IF($G549="","",IF(AND($G549&gt;=30,$AT$3&lt;=CC$7),ROUND(CC549*($AP$3+#REF!),-1),""))</f>
        <v/>
      </c>
      <c r="CE549" s="547" t="s">
        <v>621</v>
      </c>
      <c r="CF549" s="547" t="str">
        <f>IF($G549="","",IF(AND($G549&gt;=30,$AT$3&lt;=CE$7),ROUND(CE549*($AP$3+#REF!),-1),""))</f>
        <v/>
      </c>
      <c r="CG549" s="547" t="s">
        <v>621</v>
      </c>
      <c r="CH549" s="547" t="str">
        <f>IF($G549="","",IF(AND($G549&gt;=30,$AT$3&lt;=CG$7),ROUND(CG549*($AP$3+#REF!),-1),""))</f>
        <v/>
      </c>
      <c r="CI549" s="547" t="s">
        <v>621</v>
      </c>
      <c r="CJ549" s="547" t="str">
        <f>IF($G549="","",IF(AND($G549&gt;=30,$AT$3&lt;=CI$7),ROUND(CI549*($AP$3+#REF!),-1),""))</f>
        <v/>
      </c>
      <c r="CK549" s="547" t="s">
        <v>621</v>
      </c>
      <c r="CL549" s="547" t="str">
        <f>IF($G549="","",IF(AND($G549&gt;=30,$AT$3&lt;=CK$7),ROUND(CK549*($AP$3+#REF!),-1),""))</f>
        <v/>
      </c>
      <c r="CM549" s="547" t="s">
        <v>621</v>
      </c>
      <c r="CN549" s="547" t="str">
        <f>IF($G549="","",IF(AND($G549&gt;=30,$AT$3&lt;=CM$7),ROUND(CM549*($AP$3+#REF!),-1),""))</f>
        <v/>
      </c>
      <c r="CO549" s="547" t="s">
        <v>621</v>
      </c>
      <c r="CP549" s="547" t="str">
        <f>IF($G549="","",IF(AND($G549&gt;=30,$AT$3&lt;=CO$7),ROUND(CO549*($AP$3+#REF!),-1),""))</f>
        <v/>
      </c>
      <c r="CQ549" s="547" t="s">
        <v>621</v>
      </c>
      <c r="CR549" s="547" t="str">
        <f>IF($G549="","",IF(AND($G549&gt;=30,$AT$3&lt;=CQ$7),ROUND(CQ549*($AP$3+#REF!),-1),""))</f>
        <v/>
      </c>
      <c r="CS549" s="547" t="s">
        <v>621</v>
      </c>
      <c r="CT549" s="547" t="str">
        <f>IF($G549="","",IF(AND($G549&gt;=30,$AT$3&lt;=CS$7),ROUND(CS549*($AP$3+#REF!),-1),""))</f>
        <v/>
      </c>
      <c r="CU549" s="547" t="s">
        <v>621</v>
      </c>
      <c r="CV549" s="547" t="str">
        <f>IF($G549="","",IF(AND($G549&gt;=30,$AT$3&lt;=CU$7),ROUND(CU549*($AP$3+#REF!),-1),""))</f>
        <v/>
      </c>
      <c r="CW549" s="547" t="s">
        <v>621</v>
      </c>
      <c r="CX549" s="547" t="str">
        <f>IF($G549="","",IF(AND($G549&gt;=30,$AT$3&lt;=CW$7),ROUND(CW549*($AP$3+#REF!),-1),""))</f>
        <v/>
      </c>
      <c r="CY549" s="547" t="s">
        <v>621</v>
      </c>
      <c r="CZ549" s="547" t="str">
        <f>IF($G549="","",IF(AND($G549&gt;=30,$AT$3&lt;=CY$7),ROUND(CY549*($AP$3+#REF!),-1),""))</f>
        <v/>
      </c>
      <c r="DA549" s="547" t="s">
        <v>621</v>
      </c>
      <c r="DB549" s="547" t="str">
        <f>IF($G549="","",IF(AND($G549&gt;=30,$AT$3&lt;=DA$7),ROUND(DA549*($AP$3+#REF!),-1),""))</f>
        <v/>
      </c>
      <c r="DC549" s="547" t="s">
        <v>621</v>
      </c>
      <c r="DD549" s="547" t="str">
        <f>IF($G549="","",IF(AND($G549&gt;=30,$AT$3&lt;=DC$7),ROUND(DC549*($AP$3+#REF!),-1),""))</f>
        <v/>
      </c>
      <c r="DE549" s="547" t="s">
        <v>621</v>
      </c>
      <c r="DF549" s="547" t="str">
        <f>IF($G549="","",IF(AND($G549&gt;=30,$AT$3&lt;=DE$7),ROUND(DE549*($AP$3+#REF!),-1),""))</f>
        <v/>
      </c>
      <c r="DG549" s="547" t="s">
        <v>621</v>
      </c>
      <c r="DH549" s="547" t="str">
        <f>IF($G549="","",IF(AND($G549&gt;=30,$AT$3&lt;=DG$7),ROUND(DG549*($AP$3+#REF!),-1),""))</f>
        <v/>
      </c>
      <c r="DI549" s="547" t="s">
        <v>621</v>
      </c>
      <c r="DJ549" s="547" t="str">
        <f>IF($G549="","",IF(AND($G549&gt;=30,$AT$3&lt;=DI$7),ROUND(DI549*($AP$3+#REF!),-1),""))</f>
        <v/>
      </c>
      <c r="DK549" s="547" t="s">
        <v>621</v>
      </c>
      <c r="DL549" s="547" t="str">
        <f>IF($G549="","",IF(AND($G549&gt;=30,$AT$3&lt;=DK$7),ROUND(DK549*($AP$3+#REF!),-1),""))</f>
        <v/>
      </c>
      <c r="DM549" s="547" t="s">
        <v>621</v>
      </c>
      <c r="DN549" s="547" t="str">
        <f>IF($G549="","",IF(AND($G549&gt;=30,$AT$3&lt;=DM$7),ROUND(DM549*($AP$3+#REF!),-1),""))</f>
        <v/>
      </c>
      <c r="DO549" s="547" t="s">
        <v>621</v>
      </c>
      <c r="DP549" s="547" t="str">
        <f>IF($G549="","",IF(AND($G549&gt;=30,$AT$3&lt;=DO$7),ROUND(DO549*($AP$3+#REF!),-1),""))</f>
        <v/>
      </c>
      <c r="DQ549" s="547" t="s">
        <v>621</v>
      </c>
      <c r="DR549" s="547" t="str">
        <f>IF($G549="","",IF(AND($G549&gt;=30,$AT$3&lt;=DQ$7),ROUND(DQ549*($AP$3+#REF!),-1),""))</f>
        <v/>
      </c>
      <c r="DS549" s="533" t="e">
        <v>#REF!</v>
      </c>
      <c r="DT549" s="547" t="str">
        <f>IF($G549="","",IF(AND($G549&gt;=30,$AT$3&lt;=DS$7),ROUND(DS549*($AP$3+#REF!),-1),""))</f>
        <v/>
      </c>
      <c r="DU549" s="547"/>
      <c r="DV549" s="547" t="str">
        <f>IF($G549="","",IF(AND($G549&gt;=30,$AT$3&lt;=DU$7),ROUND(DU549*($AP$3+#REF!),-1),""))</f>
        <v/>
      </c>
      <c r="DW549" s="547"/>
      <c r="DX549" s="547" t="str">
        <f>IF($G549="","",IF(AND($G549&gt;=30,$AT$3&lt;=DW$7),ROUND(DW549*($AP$3+#REF!),-1),""))</f>
        <v/>
      </c>
      <c r="DY549" s="547"/>
      <c r="DZ549" s="547" t="str">
        <f>IF($G549="","",IF(AND($G549&gt;=30,$AT$3&lt;=DY$7),ROUND(DY549*($AP$3+#REF!),-1),""))</f>
        <v/>
      </c>
      <c r="EA549" s="547"/>
      <c r="EB549" s="547" t="str">
        <f>IF($G549="","",IF(AND($G549&gt;=30,$AT$3&lt;=EA$7),ROUND(EA549*($AP$3+#REF!),-1),""))</f>
        <v/>
      </c>
      <c r="EC549" s="547"/>
      <c r="ED549" s="436"/>
      <c r="EE549" s="394"/>
    </row>
    <row r="550" spans="1:135" ht="9.75" customHeight="1">
      <c r="A550" s="321" t="str">
        <f t="shared" si="124"/>
        <v/>
      </c>
      <c r="B550" s="567">
        <f>(ii!$D$13*12+V550)+1</f>
        <v>444</v>
      </c>
      <c r="C550" s="337">
        <f t="shared" si="128"/>
        <v>58865</v>
      </c>
      <c r="D550" s="484">
        <f t="shared" si="131"/>
        <v>2061</v>
      </c>
      <c r="E550" s="484">
        <f t="shared" si="129"/>
        <v>0.16666666666666666</v>
      </c>
      <c r="F550" s="484">
        <f t="shared" si="132"/>
        <v>2061.1666666666665</v>
      </c>
      <c r="G550" s="485" t="str">
        <f>IF(OR(C550&lt;$I$2,C550&gt;$J$3),"",(ii!$D$13*12+V550+1)/12)</f>
        <v/>
      </c>
      <c r="H550" s="486"/>
      <c r="I550" s="486"/>
      <c r="J550" s="487"/>
      <c r="K550" s="488"/>
      <c r="L550" s="548"/>
      <c r="M550" s="489" t="str">
        <f t="shared" si="133"/>
        <v/>
      </c>
      <c r="N550" s="490" t="s">
        <v>621</v>
      </c>
      <c r="O550" s="490" t="str">
        <f t="shared" si="126"/>
        <v/>
      </c>
      <c r="P550" s="491"/>
      <c r="Q550" s="491"/>
      <c r="R550" s="491" t="str">
        <f t="shared" si="127"/>
        <v/>
      </c>
      <c r="S550" s="528" t="str">
        <f t="shared" si="125"/>
        <v/>
      </c>
      <c r="T550" s="528" t="str">
        <f t="shared" si="123"/>
        <v/>
      </c>
      <c r="U550" s="493" t="str">
        <f>IF(H550="","",#REF!*12+#REF!+#REF!*12+#REF!)</f>
        <v/>
      </c>
      <c r="V550" s="338">
        <f>IF(ii!$J$3&gt;gg!C550,"",IF(AND((YEAR(C550)=YEAR($I$2)),MONTH(C550)=MONTH($I$2)),ii!$B$14*12+ii!$C$14+ii!$B$15*12+ii!$C$15-1,V549+1))</f>
        <v>443</v>
      </c>
      <c r="W550" s="339">
        <f t="shared" si="130"/>
        <v>36.916666666666664</v>
      </c>
      <c r="X550" s="494" t="s">
        <v>621</v>
      </c>
      <c r="Y550" s="495" t="s">
        <v>621</v>
      </c>
      <c r="Z550" s="496"/>
      <c r="AA550" s="497"/>
      <c r="AB550" s="498" t="str">
        <f t="shared" si="136"/>
        <v/>
      </c>
      <c r="AC550" s="484" t="str">
        <f t="shared" si="134"/>
        <v/>
      </c>
      <c r="AD550" s="495" t="str">
        <f t="shared" si="135"/>
        <v/>
      </c>
      <c r="AE550" s="499" t="s">
        <v>621</v>
      </c>
      <c r="AF550" s="500" t="s">
        <v>621</v>
      </c>
      <c r="AG550" s="556" t="s">
        <v>621</v>
      </c>
      <c r="AH550" s="503" t="str">
        <f>IF($G550="","",IF(AND($G550&gt;=30,$AT$3&lt;=AG$7),ROUND(AG550*($AP$3+#REF!),-1),""))</f>
        <v/>
      </c>
      <c r="AI550" s="506" t="s">
        <v>621</v>
      </c>
      <c r="AJ550" s="503" t="str">
        <f>IF($G550="","",IF(AND($G550&gt;=30,$AT$3&lt;=AI$7),ROUND(AI550*($AP$3+#REF!),-1),""))</f>
        <v/>
      </c>
      <c r="AK550" s="506" t="s">
        <v>621</v>
      </c>
      <c r="AL550" s="503" t="str">
        <f>IF($G550="","",IF(AND($G550&gt;=30,$AT$3&lt;=AK$7),ROUND(AK550*($AP$3+#REF!),-1),""))</f>
        <v/>
      </c>
      <c r="AM550" s="506" t="s">
        <v>621</v>
      </c>
      <c r="AN550" s="503" t="str">
        <f>IF($G550="","",IF(AND($G550&gt;=30,$AT$3&lt;=AM$7),ROUND(AM550*($AP$3+#REF!),-1),""))</f>
        <v/>
      </c>
      <c r="AO550" s="503" t="e">
        <f>IF(AO549="","",AO549*1.001)</f>
        <v>#REF!</v>
      </c>
      <c r="AP550" s="503" t="str">
        <f>IF($G550="","",IF(AND($G550&gt;=30,$AT$3&lt;=AO$7),ROUND(AO550*($AP$3+#REF!),-1),""))</f>
        <v/>
      </c>
      <c r="AQ550" s="503" t="s">
        <v>621</v>
      </c>
      <c r="AR550" s="503" t="str">
        <f>IF($G550="","",IF(AND($G550&gt;=30,$AT$3&lt;=AQ$7),ROUND(AQ550*($AP$3+#REF!),-1),""))</f>
        <v/>
      </c>
      <c r="AS550" s="503" t="s">
        <v>621</v>
      </c>
      <c r="AT550" s="503" t="str">
        <f>IF($G550="","",IF(AND($G550&gt;=30,$AT$3&lt;=AS$7),ROUND(AS550*($AP$3+#REF!),-1),""))</f>
        <v/>
      </c>
      <c r="AU550" s="503" t="s">
        <v>621</v>
      </c>
      <c r="AV550" s="503" t="str">
        <f>IF($G550="","",IF(AND($G550&gt;=30,$AT$3&lt;=AU$7),ROUND(AU550*($AP$3+#REF!),-1),""))</f>
        <v/>
      </c>
      <c r="AW550" s="503" t="s">
        <v>621</v>
      </c>
      <c r="AX550" s="503" t="str">
        <f>IF($G550="","",IF(AND($G550&gt;=30,$AT$3&lt;=AW$7),ROUND(AW550*($AP$3+#REF!),-1),""))</f>
        <v/>
      </c>
      <c r="AY550" s="503" t="s">
        <v>621</v>
      </c>
      <c r="AZ550" s="503" t="str">
        <f>IF($G550="","",IF(AND($G550&gt;=30,$AT$3&lt;=AY$7),ROUND(AY550*($AP$3+#REF!),-1),""))</f>
        <v/>
      </c>
      <c r="BA550" s="503" t="s">
        <v>621</v>
      </c>
      <c r="BB550" s="503" t="str">
        <f>IF($G550="","",IF(AND($G550&gt;=30,$AT$3&lt;=BA$7),ROUND(BA550*($AP$3+#REF!),-1),""))</f>
        <v/>
      </c>
      <c r="BC550" s="503" t="s">
        <v>621</v>
      </c>
      <c r="BD550" s="503" t="str">
        <f>IF($G550="","",IF(AND($G550&gt;=30,$AT$3&lt;=BC$7),ROUND(BC550*($AP$3+#REF!),-1),""))</f>
        <v/>
      </c>
      <c r="BE550" s="503" t="s">
        <v>621</v>
      </c>
      <c r="BF550" s="503" t="str">
        <f>IF($G550="","",IF(AND($G550&gt;=30,$AT$3&lt;=BE$7),ROUND(BE550*($AP$3+#REF!),-1),""))</f>
        <v/>
      </c>
      <c r="BG550" s="503" t="s">
        <v>621</v>
      </c>
      <c r="BH550" s="503" t="str">
        <f>IF($G550="","",IF(AND($G550&gt;=30,$AT$3&lt;=BG$7),ROUND(BG550*($AP$3+#REF!),-1),""))</f>
        <v/>
      </c>
      <c r="BI550" s="503" t="s">
        <v>621</v>
      </c>
      <c r="BJ550" s="503" t="str">
        <f>IF($G550="","",IF(AND($G550&gt;=30,$AT$3&lt;=BI$7),ROUND(BI550*($AP$3+#REF!),-1),""))</f>
        <v/>
      </c>
      <c r="BK550" s="503" t="s">
        <v>621</v>
      </c>
      <c r="BL550" s="503" t="str">
        <f>IF($G550="","",IF(AND($G550&gt;=30,$AT$3&lt;=BK$7),ROUND(BK550*($AP$3+#REF!),-1),""))</f>
        <v/>
      </c>
      <c r="BM550" s="503" t="s">
        <v>621</v>
      </c>
      <c r="BN550" s="503" t="str">
        <f>IF($G550="","",IF(AND($G550&gt;=30,$AT$3&lt;=BM$7),ROUND(BM550*($AP$3+#REF!),-1),""))</f>
        <v/>
      </c>
      <c r="BO550" s="503" t="s">
        <v>621</v>
      </c>
      <c r="BP550" s="503" t="str">
        <f>IF($G550="","",IF(AND($G550&gt;=30,$AT$3&lt;=BO$7),ROUND(BO550*($AP$3+#REF!),-1),""))</f>
        <v/>
      </c>
      <c r="BQ550" s="503" t="s">
        <v>621</v>
      </c>
      <c r="BR550" s="503" t="str">
        <f>IF($G550="","",IF(AND($G550&gt;=30,$AT$3&lt;=BQ$7),ROUND(BQ550*($AP$3+#REF!),-1),""))</f>
        <v/>
      </c>
      <c r="BS550" s="503" t="s">
        <v>621</v>
      </c>
      <c r="BT550" s="503" t="str">
        <f>IF($G550="","",IF(AND($G550&gt;=30,$AT$3&lt;=BS$7),ROUND(BS550*($AP$3+#REF!),-1),""))</f>
        <v/>
      </c>
      <c r="BU550" s="503" t="s">
        <v>621</v>
      </c>
      <c r="BV550" s="503" t="str">
        <f>IF($G550="","",IF(AND($G550&gt;=30,$AT$3&lt;=BU$7),ROUND(BU550*($AP$3+#REF!),-1),""))</f>
        <v/>
      </c>
      <c r="BW550" s="503" t="s">
        <v>621</v>
      </c>
      <c r="BX550" s="503" t="str">
        <f>IF($G550="","",IF(AND($G550&gt;=30,$AT$3&lt;=BW$7),ROUND(BW550*($AP$3+#REF!),-1),""))</f>
        <v/>
      </c>
      <c r="BY550" s="503" t="s">
        <v>621</v>
      </c>
      <c r="BZ550" s="503" t="str">
        <f>IF($G550="","",IF(AND($G550&gt;=30,$AT$3&lt;=BY$7),ROUND(BY550*($AP$3+#REF!),-1),""))</f>
        <v/>
      </c>
      <c r="CA550" s="503" t="s">
        <v>621</v>
      </c>
      <c r="CB550" s="503" t="str">
        <f>IF($G550="","",IF(AND($G550&gt;=30,$AT$3&lt;=CA$7),ROUND(CA550*($AP$3+#REF!),-1),""))</f>
        <v/>
      </c>
      <c r="CC550" s="503" t="s">
        <v>621</v>
      </c>
      <c r="CD550" s="503" t="str">
        <f>IF($G550="","",IF(AND($G550&gt;=30,$AT$3&lt;=CC$7),ROUND(CC550*($AP$3+#REF!),-1),""))</f>
        <v/>
      </c>
      <c r="CE550" s="503" t="s">
        <v>621</v>
      </c>
      <c r="CF550" s="503" t="str">
        <f>IF($G550="","",IF(AND($G550&gt;=30,$AT$3&lt;=CE$7),ROUND(CE550*($AP$3+#REF!),-1),""))</f>
        <v/>
      </c>
      <c r="CG550" s="503" t="s">
        <v>621</v>
      </c>
      <c r="CH550" s="503" t="str">
        <f>IF($G550="","",IF(AND($G550&gt;=30,$AT$3&lt;=CG$7),ROUND(CG550*($AP$3+#REF!),-1),""))</f>
        <v/>
      </c>
      <c r="CI550" s="503" t="s">
        <v>621</v>
      </c>
      <c r="CJ550" s="503" t="str">
        <f>IF($G550="","",IF(AND($G550&gt;=30,$AT$3&lt;=CI$7),ROUND(CI550*($AP$3+#REF!),-1),""))</f>
        <v/>
      </c>
      <c r="CK550" s="503" t="s">
        <v>621</v>
      </c>
      <c r="CL550" s="503" t="str">
        <f>IF($G550="","",IF(AND($G550&gt;=30,$AT$3&lt;=CK$7),ROUND(CK550*($AP$3+#REF!),-1),""))</f>
        <v/>
      </c>
      <c r="CM550" s="503" t="s">
        <v>621</v>
      </c>
      <c r="CN550" s="503" t="str">
        <f>IF($G550="","",IF(AND($G550&gt;=30,$AT$3&lt;=CM$7),ROUND(CM550*($AP$3+#REF!),-1),""))</f>
        <v/>
      </c>
      <c r="CO550" s="503" t="s">
        <v>621</v>
      </c>
      <c r="CP550" s="503" t="str">
        <f>IF($G550="","",IF(AND($G550&gt;=30,$AT$3&lt;=CO$7),ROUND(CO550*($AP$3+#REF!),-1),""))</f>
        <v/>
      </c>
      <c r="CQ550" s="503" t="s">
        <v>621</v>
      </c>
      <c r="CR550" s="503" t="str">
        <f>IF($G550="","",IF(AND($G550&gt;=30,$AT$3&lt;=CQ$7),ROUND(CQ550*($AP$3+#REF!),-1),""))</f>
        <v/>
      </c>
      <c r="CS550" s="503" t="s">
        <v>621</v>
      </c>
      <c r="CT550" s="503" t="str">
        <f>IF($G550="","",IF(AND($G550&gt;=30,$AT$3&lt;=CS$7),ROUND(CS550*($AP$3+#REF!),-1),""))</f>
        <v/>
      </c>
      <c r="CU550" s="503" t="s">
        <v>621</v>
      </c>
      <c r="CV550" s="503" t="str">
        <f>IF($G550="","",IF(AND($G550&gt;=30,$AT$3&lt;=CU$7),ROUND(CU550*($AP$3+#REF!),-1),""))</f>
        <v/>
      </c>
      <c r="CW550" s="503" t="s">
        <v>621</v>
      </c>
      <c r="CX550" s="503" t="str">
        <f>IF($G550="","",IF(AND($G550&gt;=30,$AT$3&lt;=CW$7),ROUND(CW550*($AP$3+#REF!),-1),""))</f>
        <v/>
      </c>
      <c r="CY550" s="503" t="s">
        <v>621</v>
      </c>
      <c r="CZ550" s="503" t="str">
        <f>IF($G550="","",IF(AND($G550&gt;=30,$AT$3&lt;=CY$7),ROUND(CY550*($AP$3+#REF!),-1),""))</f>
        <v/>
      </c>
      <c r="DA550" s="503" t="s">
        <v>621</v>
      </c>
      <c r="DB550" s="503" t="str">
        <f>IF($G550="","",IF(AND($G550&gt;=30,$AT$3&lt;=DA$7),ROUND(DA550*($AP$3+#REF!),-1),""))</f>
        <v/>
      </c>
      <c r="DC550" s="503" t="s">
        <v>621</v>
      </c>
      <c r="DD550" s="503" t="str">
        <f>IF($G550="","",IF(AND($G550&gt;=30,$AT$3&lt;=DC$7),ROUND(DC550*($AP$3+#REF!),-1),""))</f>
        <v/>
      </c>
      <c r="DE550" s="503" t="s">
        <v>621</v>
      </c>
      <c r="DF550" s="503" t="str">
        <f>IF($G550="","",IF(AND($G550&gt;=30,$AT$3&lt;=DE$7),ROUND(DE550*($AP$3+#REF!),-1),""))</f>
        <v/>
      </c>
      <c r="DG550" s="503" t="s">
        <v>621</v>
      </c>
      <c r="DH550" s="503" t="str">
        <f>IF($G550="","",IF(AND($G550&gt;=30,$AT$3&lt;=DG$7),ROUND(DG550*($AP$3+#REF!),-1),""))</f>
        <v/>
      </c>
      <c r="DI550" s="503" t="s">
        <v>621</v>
      </c>
      <c r="DJ550" s="503" t="str">
        <f>IF($G550="","",IF(AND($G550&gt;=30,$AT$3&lt;=DI$7),ROUND(DI550*($AP$3+#REF!),-1),""))</f>
        <v/>
      </c>
      <c r="DK550" s="503" t="s">
        <v>621</v>
      </c>
      <c r="DL550" s="503" t="str">
        <f>IF($G550="","",IF(AND($G550&gt;=30,$AT$3&lt;=DK$7),ROUND(DK550*($AP$3+#REF!),-1),""))</f>
        <v/>
      </c>
      <c r="DM550" s="503" t="s">
        <v>621</v>
      </c>
      <c r="DN550" s="503" t="str">
        <f>IF($G550="","",IF(AND($G550&gt;=30,$AT$3&lt;=DM$7),ROUND(DM550*($AP$3+#REF!),-1),""))</f>
        <v/>
      </c>
      <c r="DO550" s="503" t="s">
        <v>621</v>
      </c>
      <c r="DP550" s="503" t="str">
        <f>IF($G550="","",IF(AND($G550&gt;=30,$AT$3&lt;=DO$7),ROUND(DO550*($AP$3+#REF!),-1),""))</f>
        <v/>
      </c>
      <c r="DQ550" s="503" t="s">
        <v>621</v>
      </c>
      <c r="DR550" s="503" t="str">
        <f>IF($G550="","",IF(AND($G550&gt;=30,$AT$3&lt;=DQ$7),ROUND(DQ550*($AP$3+#REF!),-1),""))</f>
        <v/>
      </c>
      <c r="DS550" s="517" t="e">
        <v>#REF!</v>
      </c>
      <c r="DT550" s="503" t="str">
        <f>IF($G550="","",IF(AND($G550&gt;=30,$AT$3&lt;=DS$7),ROUND(DS550*($AP$3+#REF!),-1),""))</f>
        <v/>
      </c>
      <c r="DU550" s="503"/>
      <c r="DV550" s="503" t="str">
        <f>IF($G550="","",IF(AND($G550&gt;=30,$AT$3&lt;=DU$7),ROUND(DU550*($AP$3+#REF!),-1),""))</f>
        <v/>
      </c>
      <c r="DW550" s="503"/>
      <c r="DX550" s="503" t="str">
        <f>IF($G550="","",IF(AND($G550&gt;=30,$AT$3&lt;=DW$7),ROUND(DW550*($AP$3+#REF!),-1),""))</f>
        <v/>
      </c>
      <c r="DY550" s="503"/>
      <c r="DZ550" s="503" t="str">
        <f>IF($G550="","",IF(AND($G550&gt;=30,$AT$3&lt;=DY$7),ROUND(DY550*($AP$3+#REF!),-1),""))</f>
        <v/>
      </c>
      <c r="EA550" s="503"/>
      <c r="EB550" s="503" t="str">
        <f>IF($G550="","",IF(AND($G550&gt;=30,$AT$3&lt;=EA$7),ROUND(EA550*($AP$3+#REF!),-1),""))</f>
        <v/>
      </c>
      <c r="EC550" s="436"/>
      <c r="ED550" s="436"/>
      <c r="EE550" s="394"/>
    </row>
    <row r="551" spans="1:135" ht="9.75" customHeight="1">
      <c r="A551" s="321" t="str">
        <f t="shared" si="124"/>
        <v/>
      </c>
      <c r="B551" s="567">
        <f>(ii!$D$13*12+V551)+1</f>
        <v>445</v>
      </c>
      <c r="C551" s="337">
        <f t="shared" si="128"/>
        <v>58896</v>
      </c>
      <c r="D551" s="484">
        <f t="shared" si="131"/>
        <v>2061</v>
      </c>
      <c r="E551" s="484">
        <f t="shared" si="129"/>
        <v>0.25</v>
      </c>
      <c r="F551" s="484">
        <f t="shared" si="132"/>
        <v>2061.25</v>
      </c>
      <c r="G551" s="485" t="str">
        <f>IF(OR(C551&lt;$I$2,C551&gt;$J$3),"",(ii!$D$13*12+V551+1)/12)</f>
        <v/>
      </c>
      <c r="H551" s="486"/>
      <c r="I551" s="486"/>
      <c r="J551" s="487"/>
      <c r="K551" s="488"/>
      <c r="L551" s="548"/>
      <c r="M551" s="489" t="str">
        <f t="shared" si="133"/>
        <v/>
      </c>
      <c r="N551" s="490" t="s">
        <v>621</v>
      </c>
      <c r="O551" s="490" t="str">
        <f t="shared" si="126"/>
        <v/>
      </c>
      <c r="P551" s="491"/>
      <c r="Q551" s="491"/>
      <c r="R551" s="491" t="str">
        <f t="shared" si="127"/>
        <v/>
      </c>
      <c r="S551" s="528" t="str">
        <f t="shared" si="125"/>
        <v/>
      </c>
      <c r="T551" s="528" t="str">
        <f t="shared" si="123"/>
        <v/>
      </c>
      <c r="U551" s="493" t="str">
        <f>IF(H551="","",#REF!*12+#REF!+#REF!*12+#REF!)</f>
        <v/>
      </c>
      <c r="V551" s="338">
        <f>IF(ii!$J$3&gt;gg!C551,"",IF(AND((YEAR(C551)=YEAR($I$2)),MONTH(C551)=MONTH($I$2)),ii!$B$14*12+ii!$C$14+ii!$B$15*12+ii!$C$15-1,V550+1))</f>
        <v>444</v>
      </c>
      <c r="W551" s="339">
        <f t="shared" si="130"/>
        <v>37</v>
      </c>
      <c r="X551" s="494" t="s">
        <v>621</v>
      </c>
      <c r="Y551" s="495" t="s">
        <v>621</v>
      </c>
      <c r="Z551" s="496"/>
      <c r="AA551" s="497"/>
      <c r="AB551" s="498" t="str">
        <f t="shared" si="136"/>
        <v/>
      </c>
      <c r="AC551" s="484" t="str">
        <f t="shared" si="134"/>
        <v/>
      </c>
      <c r="AD551" s="495" t="str">
        <f t="shared" si="135"/>
        <v/>
      </c>
      <c r="AE551" s="499" t="s">
        <v>621</v>
      </c>
      <c r="AF551" s="500" t="s">
        <v>621</v>
      </c>
      <c r="AG551" s="556" t="s">
        <v>621</v>
      </c>
      <c r="AH551" s="503" t="str">
        <f>IF($G551="","",IF(AND($G551&gt;=30,$AT$3&lt;=AG$7),ROUND(AG551*($AP$3+#REF!),-1),""))</f>
        <v/>
      </c>
      <c r="AI551" s="506" t="s">
        <v>621</v>
      </c>
      <c r="AJ551" s="503" t="str">
        <f>IF($G551="","",IF(AND($G551&gt;=30,$AT$3&lt;=AI$7),ROUND(AI551*($AP$3+#REF!),-1),""))</f>
        <v/>
      </c>
      <c r="AK551" s="506" t="s">
        <v>621</v>
      </c>
      <c r="AL551" s="503" t="str">
        <f>IF($G551="","",IF(AND($G551&gt;=30,$AT$3&lt;=AK$7),ROUND(AK551*($AP$3+#REF!),-1),""))</f>
        <v/>
      </c>
      <c r="AM551" s="506" t="s">
        <v>621</v>
      </c>
      <c r="AN551" s="503" t="str">
        <f>IF($G551="","",IF(AND($G551&gt;=30,$AT$3&lt;=AM$7),ROUND(AM551*($AP$3+#REF!),-1),""))</f>
        <v/>
      </c>
      <c r="AO551" s="503" t="e">
        <v>#REF!</v>
      </c>
      <c r="AP551" s="503" t="str">
        <f>IF($G551="","",IF(AND($G551&gt;=30,$AT$3&lt;=AO$7),ROUND(AO551*($AP$3+#REF!),-1),""))</f>
        <v/>
      </c>
      <c r="AQ551" s="503" t="s">
        <v>621</v>
      </c>
      <c r="AR551" s="503" t="str">
        <f>IF($G551="","",IF(AND($G551&gt;=30,$AT$3&lt;=AQ$7),ROUND(AQ551*($AP$3+#REF!),-1),""))</f>
        <v/>
      </c>
      <c r="AS551" s="503" t="s">
        <v>621</v>
      </c>
      <c r="AT551" s="503" t="str">
        <f>IF($G551="","",IF(AND($G551&gt;=30,$AT$3&lt;=AS$7),ROUND(AS551*($AP$3+#REF!),-1),""))</f>
        <v/>
      </c>
      <c r="AU551" s="503" t="s">
        <v>621</v>
      </c>
      <c r="AV551" s="503" t="str">
        <f>IF($G551="","",IF(AND($G551&gt;=30,$AT$3&lt;=AU$7),ROUND(AU551*($AP$3+#REF!),-1),""))</f>
        <v/>
      </c>
      <c r="AW551" s="503" t="s">
        <v>621</v>
      </c>
      <c r="AX551" s="503" t="str">
        <f>IF($G551="","",IF(AND($G551&gt;=30,$AT$3&lt;=AW$7),ROUND(AW551*($AP$3+#REF!),-1),""))</f>
        <v/>
      </c>
      <c r="AY551" s="503" t="s">
        <v>621</v>
      </c>
      <c r="AZ551" s="503" t="str">
        <f>IF($G551="","",IF(AND($G551&gt;=30,$AT$3&lt;=AY$7),ROUND(AY551*($AP$3+#REF!),-1),""))</f>
        <v/>
      </c>
      <c r="BA551" s="503" t="s">
        <v>621</v>
      </c>
      <c r="BB551" s="503" t="str">
        <f>IF($G551="","",IF(AND($G551&gt;=30,$AT$3&lt;=BA$7),ROUND(BA551*($AP$3+#REF!),-1),""))</f>
        <v/>
      </c>
      <c r="BC551" s="503" t="s">
        <v>621</v>
      </c>
      <c r="BD551" s="503" t="str">
        <f>IF($G551="","",IF(AND($G551&gt;=30,$AT$3&lt;=BC$7),ROUND(BC551*($AP$3+#REF!),-1),""))</f>
        <v/>
      </c>
      <c r="BE551" s="503" t="s">
        <v>621</v>
      </c>
      <c r="BF551" s="503" t="str">
        <f>IF($G551="","",IF(AND($G551&gt;=30,$AT$3&lt;=BE$7),ROUND(BE551*($AP$3+#REF!),-1),""))</f>
        <v/>
      </c>
      <c r="BG551" s="503" t="s">
        <v>621</v>
      </c>
      <c r="BH551" s="503" t="str">
        <f>IF($G551="","",IF(AND($G551&gt;=30,$AT$3&lt;=BG$7),ROUND(BG551*($AP$3+#REF!),-1),""))</f>
        <v/>
      </c>
      <c r="BI551" s="503" t="s">
        <v>621</v>
      </c>
      <c r="BJ551" s="503" t="str">
        <f>IF($G551="","",IF(AND($G551&gt;=30,$AT$3&lt;=BI$7),ROUND(BI551*($AP$3+#REF!),-1),""))</f>
        <v/>
      </c>
      <c r="BK551" s="503" t="s">
        <v>621</v>
      </c>
      <c r="BL551" s="503" t="str">
        <f>IF($G551="","",IF(AND($G551&gt;=30,$AT$3&lt;=BK$7),ROUND(BK551*($AP$3+#REF!),-1),""))</f>
        <v/>
      </c>
      <c r="BM551" s="503" t="s">
        <v>621</v>
      </c>
      <c r="BN551" s="503" t="str">
        <f>IF($G551="","",IF(AND($G551&gt;=30,$AT$3&lt;=BM$7),ROUND(BM551*($AP$3+#REF!),-1),""))</f>
        <v/>
      </c>
      <c r="BO551" s="503" t="s">
        <v>621</v>
      </c>
      <c r="BP551" s="503" t="str">
        <f>IF($G551="","",IF(AND($G551&gt;=30,$AT$3&lt;=BO$7),ROUND(BO551*($AP$3+#REF!),-1),""))</f>
        <v/>
      </c>
      <c r="BQ551" s="503" t="s">
        <v>621</v>
      </c>
      <c r="BR551" s="503" t="str">
        <f>IF($G551="","",IF(AND($G551&gt;=30,$AT$3&lt;=BQ$7),ROUND(BQ551*($AP$3+#REF!),-1),""))</f>
        <v/>
      </c>
      <c r="BS551" s="503" t="s">
        <v>621</v>
      </c>
      <c r="BT551" s="503" t="str">
        <f>IF($G551="","",IF(AND($G551&gt;=30,$AT$3&lt;=BS$7),ROUND(BS551*($AP$3+#REF!),-1),""))</f>
        <v/>
      </c>
      <c r="BU551" s="503" t="s">
        <v>621</v>
      </c>
      <c r="BV551" s="503" t="str">
        <f>IF($G551="","",IF(AND($G551&gt;=30,$AT$3&lt;=BU$7),ROUND(BU551*($AP$3+#REF!),-1),""))</f>
        <v/>
      </c>
      <c r="BW551" s="503" t="s">
        <v>621</v>
      </c>
      <c r="BX551" s="503" t="str">
        <f>IF($G551="","",IF(AND($G551&gt;=30,$AT$3&lt;=BW$7),ROUND(BW551*($AP$3+#REF!),-1),""))</f>
        <v/>
      </c>
      <c r="BY551" s="503" t="s">
        <v>621</v>
      </c>
      <c r="BZ551" s="503" t="str">
        <f>IF($G551="","",IF(AND($G551&gt;=30,$AT$3&lt;=BY$7),ROUND(BY551*($AP$3+#REF!),-1),""))</f>
        <v/>
      </c>
      <c r="CA551" s="503" t="s">
        <v>621</v>
      </c>
      <c r="CB551" s="503" t="str">
        <f>IF($G551="","",IF(AND($G551&gt;=30,$AT$3&lt;=CA$7),ROUND(CA551*($AP$3+#REF!),-1),""))</f>
        <v/>
      </c>
      <c r="CC551" s="503" t="s">
        <v>621</v>
      </c>
      <c r="CD551" s="503" t="str">
        <f>IF($G551="","",IF(AND($G551&gt;=30,$AT$3&lt;=CC$7),ROUND(CC551*($AP$3+#REF!),-1),""))</f>
        <v/>
      </c>
      <c r="CE551" s="503" t="s">
        <v>621</v>
      </c>
      <c r="CF551" s="503" t="str">
        <f>IF($G551="","",IF(AND($G551&gt;=30,$AT$3&lt;=CE$7),ROUND(CE551*($AP$3+#REF!),-1),""))</f>
        <v/>
      </c>
      <c r="CG551" s="503" t="s">
        <v>621</v>
      </c>
      <c r="CH551" s="503" t="str">
        <f>IF($G551="","",IF(AND($G551&gt;=30,$AT$3&lt;=CG$7),ROUND(CG551*($AP$3+#REF!),-1),""))</f>
        <v/>
      </c>
      <c r="CI551" s="503" t="s">
        <v>621</v>
      </c>
      <c r="CJ551" s="503" t="str">
        <f>IF($G551="","",IF(AND($G551&gt;=30,$AT$3&lt;=CI$7),ROUND(CI551*($AP$3+#REF!),-1),""))</f>
        <v/>
      </c>
      <c r="CK551" s="503" t="s">
        <v>621</v>
      </c>
      <c r="CL551" s="503" t="str">
        <f>IF($G551="","",IF(AND($G551&gt;=30,$AT$3&lt;=CK$7),ROUND(CK551*($AP$3+#REF!),-1),""))</f>
        <v/>
      </c>
      <c r="CM551" s="503" t="s">
        <v>621</v>
      </c>
      <c r="CN551" s="503" t="str">
        <f>IF($G551="","",IF(AND($G551&gt;=30,$AT$3&lt;=CM$7),ROUND(CM551*($AP$3+#REF!),-1),""))</f>
        <v/>
      </c>
      <c r="CO551" s="503" t="s">
        <v>621</v>
      </c>
      <c r="CP551" s="503" t="str">
        <f>IF($G551="","",IF(AND($G551&gt;=30,$AT$3&lt;=CO$7),ROUND(CO551*($AP$3+#REF!),-1),""))</f>
        <v/>
      </c>
      <c r="CQ551" s="503" t="s">
        <v>621</v>
      </c>
      <c r="CR551" s="503" t="str">
        <f>IF($G551="","",IF(AND($G551&gt;=30,$AT$3&lt;=CQ$7),ROUND(CQ551*($AP$3+#REF!),-1),""))</f>
        <v/>
      </c>
      <c r="CS551" s="503" t="s">
        <v>621</v>
      </c>
      <c r="CT551" s="503" t="str">
        <f>IF($G551="","",IF(AND($G551&gt;=30,$AT$3&lt;=CS$7),ROUND(CS551*($AP$3+#REF!),-1),""))</f>
        <v/>
      </c>
      <c r="CU551" s="503" t="s">
        <v>621</v>
      </c>
      <c r="CV551" s="503" t="str">
        <f>IF($G551="","",IF(AND($G551&gt;=30,$AT$3&lt;=CU$7),ROUND(CU551*($AP$3+#REF!),-1),""))</f>
        <v/>
      </c>
      <c r="CW551" s="503" t="s">
        <v>621</v>
      </c>
      <c r="CX551" s="503" t="str">
        <f>IF($G551="","",IF(AND($G551&gt;=30,$AT$3&lt;=CW$7),ROUND(CW551*($AP$3+#REF!),-1),""))</f>
        <v/>
      </c>
      <c r="CY551" s="503" t="s">
        <v>621</v>
      </c>
      <c r="CZ551" s="503" t="str">
        <f>IF($G551="","",IF(AND($G551&gt;=30,$AT$3&lt;=CY$7),ROUND(CY551*($AP$3+#REF!),-1),""))</f>
        <v/>
      </c>
      <c r="DA551" s="503" t="s">
        <v>621</v>
      </c>
      <c r="DB551" s="503" t="str">
        <f>IF($G551="","",IF(AND($G551&gt;=30,$AT$3&lt;=DA$7),ROUND(DA551*($AP$3+#REF!),-1),""))</f>
        <v/>
      </c>
      <c r="DC551" s="503" t="s">
        <v>621</v>
      </c>
      <c r="DD551" s="503" t="str">
        <f>IF($G551="","",IF(AND($G551&gt;=30,$AT$3&lt;=DC$7),ROUND(DC551*($AP$3+#REF!),-1),""))</f>
        <v/>
      </c>
      <c r="DE551" s="503" t="s">
        <v>621</v>
      </c>
      <c r="DF551" s="503" t="str">
        <f>IF($G551="","",IF(AND($G551&gt;=30,$AT$3&lt;=DE$7),ROUND(DE551*($AP$3+#REF!),-1),""))</f>
        <v/>
      </c>
      <c r="DG551" s="503" t="s">
        <v>621</v>
      </c>
      <c r="DH551" s="503" t="str">
        <f>IF($G551="","",IF(AND($G551&gt;=30,$AT$3&lt;=DG$7),ROUND(DG551*($AP$3+#REF!),-1),""))</f>
        <v/>
      </c>
      <c r="DI551" s="503" t="s">
        <v>621</v>
      </c>
      <c r="DJ551" s="503" t="str">
        <f>IF($G551="","",IF(AND($G551&gt;=30,$AT$3&lt;=DI$7),ROUND(DI551*($AP$3+#REF!),-1),""))</f>
        <v/>
      </c>
      <c r="DK551" s="503" t="s">
        <v>621</v>
      </c>
      <c r="DL551" s="503" t="str">
        <f>IF($G551="","",IF(AND($G551&gt;=30,$AT$3&lt;=DK$7),ROUND(DK551*($AP$3+#REF!),-1),""))</f>
        <v/>
      </c>
      <c r="DM551" s="503" t="s">
        <v>621</v>
      </c>
      <c r="DN551" s="503" t="str">
        <f>IF($G551="","",IF(AND($G551&gt;=30,$AT$3&lt;=DM$7),ROUND(DM551*($AP$3+#REF!),-1),""))</f>
        <v/>
      </c>
      <c r="DO551" s="503" t="s">
        <v>621</v>
      </c>
      <c r="DP551" s="503" t="str">
        <f>IF($G551="","",IF(AND($G551&gt;=30,$AT$3&lt;=DO$7),ROUND(DO551*($AP$3+#REF!),-1),""))</f>
        <v/>
      </c>
      <c r="DQ551" s="503" t="s">
        <v>621</v>
      </c>
      <c r="DR551" s="503" t="str">
        <f>IF($G551="","",IF(AND($G551&gt;=30,$AT$3&lt;=DQ$7),ROUND(DQ551*($AP$3+#REF!),-1),""))</f>
        <v/>
      </c>
      <c r="DS551" s="517" t="e">
        <v>#REF!</v>
      </c>
      <c r="DT551" s="503" t="str">
        <f>IF($G551="","",IF(AND($G551&gt;=30,$AT$3&lt;=DS$7),ROUND(DS551*($AP$3+#REF!),-1),""))</f>
        <v/>
      </c>
      <c r="DU551" s="503"/>
      <c r="DV551" s="503" t="str">
        <f>IF($G551="","",IF(AND($G551&gt;=30,$AT$3&lt;=DU$7),ROUND(DU551*($AP$3+#REF!),-1),""))</f>
        <v/>
      </c>
      <c r="DW551" s="503"/>
      <c r="DX551" s="503" t="str">
        <f>IF($G551="","",IF(AND($G551&gt;=30,$AT$3&lt;=DW$7),ROUND(DW551*($AP$3+#REF!),-1),""))</f>
        <v/>
      </c>
      <c r="DY551" s="503"/>
      <c r="DZ551" s="503" t="str">
        <f>IF($G551="","",IF(AND($G551&gt;=30,$AT$3&lt;=DY$7),ROUND(DY551*($AP$3+#REF!),-1),""))</f>
        <v/>
      </c>
      <c r="EA551" s="503"/>
      <c r="EB551" s="503" t="str">
        <f>IF($G551="","",IF(AND($G551&gt;=30,$AT$3&lt;=EA$7),ROUND(EA551*($AP$3+#REF!),-1),""))</f>
        <v/>
      </c>
      <c r="EC551" s="436"/>
      <c r="ED551" s="436"/>
      <c r="EE551" s="394"/>
    </row>
    <row r="552" spans="1:135" ht="9.75" customHeight="1">
      <c r="A552" s="321" t="str">
        <f t="shared" si="124"/>
        <v/>
      </c>
      <c r="B552" s="567">
        <f>(ii!$D$13*12+V552)+1</f>
        <v>446</v>
      </c>
      <c r="C552" s="337">
        <f t="shared" si="128"/>
        <v>58926</v>
      </c>
      <c r="D552" s="484">
        <f t="shared" si="131"/>
        <v>2061</v>
      </c>
      <c r="E552" s="484">
        <f t="shared" si="129"/>
        <v>0.33333333333333331</v>
      </c>
      <c r="F552" s="484">
        <f t="shared" si="132"/>
        <v>2061.3333333333335</v>
      </c>
      <c r="G552" s="485" t="str">
        <f>IF(OR(C552&lt;$I$2,C552&gt;$J$3),"",(ii!$D$13*12+V552+1)/12)</f>
        <v/>
      </c>
      <c r="H552" s="486"/>
      <c r="I552" s="486"/>
      <c r="J552" s="487"/>
      <c r="K552" s="488"/>
      <c r="L552" s="548"/>
      <c r="M552" s="489" t="str">
        <f t="shared" si="133"/>
        <v/>
      </c>
      <c r="N552" s="490" t="s">
        <v>621</v>
      </c>
      <c r="O552" s="490" t="str">
        <f t="shared" si="126"/>
        <v/>
      </c>
      <c r="P552" s="491"/>
      <c r="Q552" s="491"/>
      <c r="R552" s="491" t="str">
        <f t="shared" si="127"/>
        <v/>
      </c>
      <c r="S552" s="528" t="str">
        <f t="shared" si="125"/>
        <v/>
      </c>
      <c r="T552" s="528" t="str">
        <f t="shared" si="123"/>
        <v/>
      </c>
      <c r="U552" s="493" t="str">
        <f>IF(H552="","",#REF!*12+#REF!+#REF!*12+#REF!)</f>
        <v/>
      </c>
      <c r="V552" s="338">
        <f>IF(ii!$J$3&gt;gg!C552,"",IF(AND((YEAR(C552)=YEAR($I$2)),MONTH(C552)=MONTH($I$2)),ii!$B$14*12+ii!$C$14+ii!$B$15*12+ii!$C$15-1,V551+1))</f>
        <v>445</v>
      </c>
      <c r="W552" s="339">
        <f t="shared" si="130"/>
        <v>37.083333333333336</v>
      </c>
      <c r="X552" s="494" t="s">
        <v>621</v>
      </c>
      <c r="Y552" s="495" t="s">
        <v>621</v>
      </c>
      <c r="Z552" s="496"/>
      <c r="AA552" s="497"/>
      <c r="AB552" s="498" t="str">
        <f t="shared" si="136"/>
        <v/>
      </c>
      <c r="AC552" s="484" t="str">
        <f t="shared" si="134"/>
        <v/>
      </c>
      <c r="AD552" s="495" t="str">
        <f t="shared" si="135"/>
        <v/>
      </c>
      <c r="AE552" s="499" t="s">
        <v>621</v>
      </c>
      <c r="AF552" s="500" t="s">
        <v>621</v>
      </c>
      <c r="AG552" s="556" t="s">
        <v>621</v>
      </c>
      <c r="AH552" s="503" t="str">
        <f>IF($G552="","",IF(AND($G552&gt;=30,$AT$3&lt;=AG$7),ROUND(AG552*($AP$3+#REF!),-1),""))</f>
        <v/>
      </c>
      <c r="AI552" s="506" t="s">
        <v>621</v>
      </c>
      <c r="AJ552" s="503" t="str">
        <f>IF($G552="","",IF(AND($G552&gt;=30,$AT$3&lt;=AI$7),ROUND(AI552*($AP$3+#REF!),-1),""))</f>
        <v/>
      </c>
      <c r="AK552" s="506" t="s">
        <v>621</v>
      </c>
      <c r="AL552" s="503" t="str">
        <f>IF($G552="","",IF(AND($G552&gt;=30,$AT$3&lt;=AK$7),ROUND(AK552*($AP$3+#REF!),-1),""))</f>
        <v/>
      </c>
      <c r="AM552" s="506" t="s">
        <v>621</v>
      </c>
      <c r="AN552" s="503" t="str">
        <f>IF($G552="","",IF(AND($G552&gt;=30,$AT$3&lt;=AM$7),ROUND(AM552*($AP$3+#REF!),-1),""))</f>
        <v/>
      </c>
      <c r="AO552" s="503" t="e">
        <v>#REF!</v>
      </c>
      <c r="AP552" s="503" t="str">
        <f>IF($G552="","",IF(AND($G552&gt;=30,$AT$3&lt;=AO$7),ROUND(AO552*($AP$3+#REF!),-1),""))</f>
        <v/>
      </c>
      <c r="AQ552" s="503" t="s">
        <v>621</v>
      </c>
      <c r="AR552" s="503" t="str">
        <f>IF($G552="","",IF(AND($G552&gt;=30,$AT$3&lt;=AQ$7),ROUND(AQ552*($AP$3+#REF!),-1),""))</f>
        <v/>
      </c>
      <c r="AS552" s="503" t="s">
        <v>621</v>
      </c>
      <c r="AT552" s="503" t="str">
        <f>IF($G552="","",IF(AND($G552&gt;=30,$AT$3&lt;=AS$7),ROUND(AS552*($AP$3+#REF!),-1),""))</f>
        <v/>
      </c>
      <c r="AU552" s="503" t="s">
        <v>621</v>
      </c>
      <c r="AV552" s="503" t="str">
        <f>IF($G552="","",IF(AND($G552&gt;=30,$AT$3&lt;=AU$7),ROUND(AU552*($AP$3+#REF!),-1),""))</f>
        <v/>
      </c>
      <c r="AW552" s="503" t="s">
        <v>621</v>
      </c>
      <c r="AX552" s="503" t="str">
        <f>IF($G552="","",IF(AND($G552&gt;=30,$AT$3&lt;=AW$7),ROUND(AW552*($AP$3+#REF!),-1),""))</f>
        <v/>
      </c>
      <c r="AY552" s="503" t="s">
        <v>621</v>
      </c>
      <c r="AZ552" s="503" t="str">
        <f>IF($G552="","",IF(AND($G552&gt;=30,$AT$3&lt;=AY$7),ROUND(AY552*($AP$3+#REF!),-1),""))</f>
        <v/>
      </c>
      <c r="BA552" s="503" t="s">
        <v>621</v>
      </c>
      <c r="BB552" s="503" t="str">
        <f>IF($G552="","",IF(AND($G552&gt;=30,$AT$3&lt;=BA$7),ROUND(BA552*($AP$3+#REF!),-1),""))</f>
        <v/>
      </c>
      <c r="BC552" s="503" t="s">
        <v>621</v>
      </c>
      <c r="BD552" s="503" t="str">
        <f>IF($G552="","",IF(AND($G552&gt;=30,$AT$3&lt;=BC$7),ROUND(BC552*($AP$3+#REF!),-1),""))</f>
        <v/>
      </c>
      <c r="BE552" s="503" t="s">
        <v>621</v>
      </c>
      <c r="BF552" s="503" t="str">
        <f>IF($G552="","",IF(AND($G552&gt;=30,$AT$3&lt;=BE$7),ROUND(BE552*($AP$3+#REF!),-1),""))</f>
        <v/>
      </c>
      <c r="BG552" s="503" t="s">
        <v>621</v>
      </c>
      <c r="BH552" s="503" t="str">
        <f>IF($G552="","",IF(AND($G552&gt;=30,$AT$3&lt;=BG$7),ROUND(BG552*($AP$3+#REF!),-1),""))</f>
        <v/>
      </c>
      <c r="BI552" s="503" t="s">
        <v>621</v>
      </c>
      <c r="BJ552" s="503" t="str">
        <f>IF($G552="","",IF(AND($G552&gt;=30,$AT$3&lt;=BI$7),ROUND(BI552*($AP$3+#REF!),-1),""))</f>
        <v/>
      </c>
      <c r="BK552" s="503" t="s">
        <v>621</v>
      </c>
      <c r="BL552" s="503" t="str">
        <f>IF($G552="","",IF(AND($G552&gt;=30,$AT$3&lt;=BK$7),ROUND(BK552*($AP$3+#REF!),-1),""))</f>
        <v/>
      </c>
      <c r="BM552" s="503" t="s">
        <v>621</v>
      </c>
      <c r="BN552" s="503" t="str">
        <f>IF($G552="","",IF(AND($G552&gt;=30,$AT$3&lt;=BM$7),ROUND(BM552*($AP$3+#REF!),-1),""))</f>
        <v/>
      </c>
      <c r="BO552" s="503" t="s">
        <v>621</v>
      </c>
      <c r="BP552" s="503" t="str">
        <f>IF($G552="","",IF(AND($G552&gt;=30,$AT$3&lt;=BO$7),ROUND(BO552*($AP$3+#REF!),-1),""))</f>
        <v/>
      </c>
      <c r="BQ552" s="503" t="s">
        <v>621</v>
      </c>
      <c r="BR552" s="503" t="str">
        <f>IF($G552="","",IF(AND($G552&gt;=30,$AT$3&lt;=BQ$7),ROUND(BQ552*($AP$3+#REF!),-1),""))</f>
        <v/>
      </c>
      <c r="BS552" s="503" t="s">
        <v>621</v>
      </c>
      <c r="BT552" s="503" t="str">
        <f>IF($G552="","",IF(AND($G552&gt;=30,$AT$3&lt;=BS$7),ROUND(BS552*($AP$3+#REF!),-1),""))</f>
        <v/>
      </c>
      <c r="BU552" s="503" t="s">
        <v>621</v>
      </c>
      <c r="BV552" s="503" t="str">
        <f>IF($G552="","",IF(AND($G552&gt;=30,$AT$3&lt;=BU$7),ROUND(BU552*($AP$3+#REF!),-1),""))</f>
        <v/>
      </c>
      <c r="BW552" s="503" t="s">
        <v>621</v>
      </c>
      <c r="BX552" s="503" t="str">
        <f>IF($G552="","",IF(AND($G552&gt;=30,$AT$3&lt;=BW$7),ROUND(BW552*($AP$3+#REF!),-1),""))</f>
        <v/>
      </c>
      <c r="BY552" s="503" t="s">
        <v>621</v>
      </c>
      <c r="BZ552" s="503" t="str">
        <f>IF($G552="","",IF(AND($G552&gt;=30,$AT$3&lt;=BY$7),ROUND(BY552*($AP$3+#REF!),-1),""))</f>
        <v/>
      </c>
      <c r="CA552" s="503" t="s">
        <v>621</v>
      </c>
      <c r="CB552" s="503" t="str">
        <f>IF($G552="","",IF(AND($G552&gt;=30,$AT$3&lt;=CA$7),ROUND(CA552*($AP$3+#REF!),-1),""))</f>
        <v/>
      </c>
      <c r="CC552" s="503" t="s">
        <v>621</v>
      </c>
      <c r="CD552" s="503" t="str">
        <f>IF($G552="","",IF(AND($G552&gt;=30,$AT$3&lt;=CC$7),ROUND(CC552*($AP$3+#REF!),-1),""))</f>
        <v/>
      </c>
      <c r="CE552" s="503" t="s">
        <v>621</v>
      </c>
      <c r="CF552" s="503" t="str">
        <f>IF($G552="","",IF(AND($G552&gt;=30,$AT$3&lt;=CE$7),ROUND(CE552*($AP$3+#REF!),-1),""))</f>
        <v/>
      </c>
      <c r="CG552" s="503" t="s">
        <v>621</v>
      </c>
      <c r="CH552" s="503" t="str">
        <f>IF($G552="","",IF(AND($G552&gt;=30,$AT$3&lt;=CG$7),ROUND(CG552*($AP$3+#REF!),-1),""))</f>
        <v/>
      </c>
      <c r="CI552" s="503" t="s">
        <v>621</v>
      </c>
      <c r="CJ552" s="503" t="str">
        <f>IF($G552="","",IF(AND($G552&gt;=30,$AT$3&lt;=CI$7),ROUND(CI552*($AP$3+#REF!),-1),""))</f>
        <v/>
      </c>
      <c r="CK552" s="503" t="s">
        <v>621</v>
      </c>
      <c r="CL552" s="503" t="str">
        <f>IF($G552="","",IF(AND($G552&gt;=30,$AT$3&lt;=CK$7),ROUND(CK552*($AP$3+#REF!),-1),""))</f>
        <v/>
      </c>
      <c r="CM552" s="503" t="s">
        <v>621</v>
      </c>
      <c r="CN552" s="503" t="str">
        <f>IF($G552="","",IF(AND($G552&gt;=30,$AT$3&lt;=CM$7),ROUND(CM552*($AP$3+#REF!),-1),""))</f>
        <v/>
      </c>
      <c r="CO552" s="503" t="s">
        <v>621</v>
      </c>
      <c r="CP552" s="503" t="str">
        <f>IF($G552="","",IF(AND($G552&gt;=30,$AT$3&lt;=CO$7),ROUND(CO552*($AP$3+#REF!),-1),""))</f>
        <v/>
      </c>
      <c r="CQ552" s="503" t="s">
        <v>621</v>
      </c>
      <c r="CR552" s="503" t="str">
        <f>IF($G552="","",IF(AND($G552&gt;=30,$AT$3&lt;=CQ$7),ROUND(CQ552*($AP$3+#REF!),-1),""))</f>
        <v/>
      </c>
      <c r="CS552" s="503" t="s">
        <v>621</v>
      </c>
      <c r="CT552" s="503" t="str">
        <f>IF($G552="","",IF(AND($G552&gt;=30,$AT$3&lt;=CS$7),ROUND(CS552*($AP$3+#REF!),-1),""))</f>
        <v/>
      </c>
      <c r="CU552" s="503" t="s">
        <v>621</v>
      </c>
      <c r="CV552" s="503" t="str">
        <f>IF($G552="","",IF(AND($G552&gt;=30,$AT$3&lt;=CU$7),ROUND(CU552*($AP$3+#REF!),-1),""))</f>
        <v/>
      </c>
      <c r="CW552" s="503" t="s">
        <v>621</v>
      </c>
      <c r="CX552" s="503" t="str">
        <f>IF($G552="","",IF(AND($G552&gt;=30,$AT$3&lt;=CW$7),ROUND(CW552*($AP$3+#REF!),-1),""))</f>
        <v/>
      </c>
      <c r="CY552" s="503" t="s">
        <v>621</v>
      </c>
      <c r="CZ552" s="503" t="str">
        <f>IF($G552="","",IF(AND($G552&gt;=30,$AT$3&lt;=CY$7),ROUND(CY552*($AP$3+#REF!),-1),""))</f>
        <v/>
      </c>
      <c r="DA552" s="503" t="s">
        <v>621</v>
      </c>
      <c r="DB552" s="503" t="str">
        <f>IF($G552="","",IF(AND($G552&gt;=30,$AT$3&lt;=DA$7),ROUND(DA552*($AP$3+#REF!),-1),""))</f>
        <v/>
      </c>
      <c r="DC552" s="503" t="s">
        <v>621</v>
      </c>
      <c r="DD552" s="503" t="str">
        <f>IF($G552="","",IF(AND($G552&gt;=30,$AT$3&lt;=DC$7),ROUND(DC552*($AP$3+#REF!),-1),""))</f>
        <v/>
      </c>
      <c r="DE552" s="503" t="s">
        <v>621</v>
      </c>
      <c r="DF552" s="503" t="str">
        <f>IF($G552="","",IF(AND($G552&gt;=30,$AT$3&lt;=DE$7),ROUND(DE552*($AP$3+#REF!),-1),""))</f>
        <v/>
      </c>
      <c r="DG552" s="503" t="s">
        <v>621</v>
      </c>
      <c r="DH552" s="503" t="str">
        <f>IF($G552="","",IF(AND($G552&gt;=30,$AT$3&lt;=DG$7),ROUND(DG552*($AP$3+#REF!),-1),""))</f>
        <v/>
      </c>
      <c r="DI552" s="503" t="s">
        <v>621</v>
      </c>
      <c r="DJ552" s="503" t="str">
        <f>IF($G552="","",IF(AND($G552&gt;=30,$AT$3&lt;=DI$7),ROUND(DI552*($AP$3+#REF!),-1),""))</f>
        <v/>
      </c>
      <c r="DK552" s="503" t="s">
        <v>621</v>
      </c>
      <c r="DL552" s="503" t="str">
        <f>IF($G552="","",IF(AND($G552&gt;=30,$AT$3&lt;=DK$7),ROUND(DK552*($AP$3+#REF!),-1),""))</f>
        <v/>
      </c>
      <c r="DM552" s="503" t="s">
        <v>621</v>
      </c>
      <c r="DN552" s="503" t="str">
        <f>IF($G552="","",IF(AND($G552&gt;=30,$AT$3&lt;=DM$7),ROUND(DM552*($AP$3+#REF!),-1),""))</f>
        <v/>
      </c>
      <c r="DO552" s="503" t="s">
        <v>621</v>
      </c>
      <c r="DP552" s="503" t="str">
        <f>IF($G552="","",IF(AND($G552&gt;=30,$AT$3&lt;=DO$7),ROUND(DO552*($AP$3+#REF!),-1),""))</f>
        <v/>
      </c>
      <c r="DQ552" s="503" t="s">
        <v>621</v>
      </c>
      <c r="DR552" s="503" t="str">
        <f>IF($G552="","",IF(AND($G552&gt;=30,$AT$3&lt;=DQ$7),ROUND(DQ552*($AP$3+#REF!),-1),""))</f>
        <v/>
      </c>
      <c r="DS552" s="517" t="e">
        <v>#REF!</v>
      </c>
      <c r="DT552" s="503" t="str">
        <f>IF($G552="","",IF(AND($G552&gt;=30,$AT$3&lt;=DS$7),ROUND(DS552*($AP$3+#REF!),-1),""))</f>
        <v/>
      </c>
      <c r="DU552" s="503"/>
      <c r="DV552" s="503" t="str">
        <f>IF($G552="","",IF(AND($G552&gt;=30,$AT$3&lt;=DU$7),ROUND(DU552*($AP$3+#REF!),-1),""))</f>
        <v/>
      </c>
      <c r="DW552" s="503"/>
      <c r="DX552" s="503" t="str">
        <f>IF($G552="","",IF(AND($G552&gt;=30,$AT$3&lt;=DW$7),ROUND(DW552*($AP$3+#REF!),-1),""))</f>
        <v/>
      </c>
      <c r="DY552" s="503"/>
      <c r="DZ552" s="503" t="str">
        <f>IF($G552="","",IF(AND($G552&gt;=30,$AT$3&lt;=DY$7),ROUND(DY552*($AP$3+#REF!),-1),""))</f>
        <v/>
      </c>
      <c r="EA552" s="503"/>
      <c r="EB552" s="503" t="str">
        <f>IF($G552="","",IF(AND($G552&gt;=30,$AT$3&lt;=EA$7),ROUND(EA552*($AP$3+#REF!),-1),""))</f>
        <v/>
      </c>
      <c r="EC552" s="436"/>
      <c r="ED552" s="436"/>
      <c r="EE552" s="394"/>
    </row>
    <row r="553" spans="1:135" ht="9.75" customHeight="1">
      <c r="A553" s="321" t="str">
        <f t="shared" si="124"/>
        <v/>
      </c>
      <c r="B553" s="567">
        <f>(ii!$D$13*12+V553)+1</f>
        <v>447</v>
      </c>
      <c r="C553" s="337">
        <f t="shared" si="128"/>
        <v>58957</v>
      </c>
      <c r="D553" s="484">
        <f t="shared" si="131"/>
        <v>2061</v>
      </c>
      <c r="E553" s="484">
        <f t="shared" si="129"/>
        <v>0.41666666666666669</v>
      </c>
      <c r="F553" s="484">
        <f t="shared" si="132"/>
        <v>2061.4166666666665</v>
      </c>
      <c r="G553" s="485" t="str">
        <f>IF(OR(C553&lt;$I$2,C553&gt;$J$3),"",(ii!$D$13*12+V553+1)/12)</f>
        <v/>
      </c>
      <c r="H553" s="486"/>
      <c r="I553" s="486"/>
      <c r="J553" s="507"/>
      <c r="K553" s="508"/>
      <c r="L553" s="548"/>
      <c r="M553" s="489" t="str">
        <f t="shared" si="133"/>
        <v/>
      </c>
      <c r="N553" s="490" t="s">
        <v>621</v>
      </c>
      <c r="O553" s="490" t="str">
        <f t="shared" si="126"/>
        <v/>
      </c>
      <c r="P553" s="507"/>
      <c r="Q553" s="507"/>
      <c r="R553" s="491" t="str">
        <f t="shared" si="127"/>
        <v/>
      </c>
      <c r="S553" s="528" t="str">
        <f t="shared" si="125"/>
        <v/>
      </c>
      <c r="T553" s="528" t="str">
        <f t="shared" si="123"/>
        <v/>
      </c>
      <c r="U553" s="493" t="str">
        <f>IF(H553="","",#REF!*12+#REF!+#REF!*12+#REF!)</f>
        <v/>
      </c>
      <c r="V553" s="338">
        <f>IF(ii!$J$3&gt;gg!C553,"",IF(AND((YEAR(C553)=YEAR($I$2)),MONTH(C553)=MONTH($I$2)),ii!$B$14*12+ii!$C$14+ii!$B$15*12+ii!$C$15-1,V552+1))</f>
        <v>446</v>
      </c>
      <c r="W553" s="339">
        <f t="shared" si="130"/>
        <v>37.166666666666664</v>
      </c>
      <c r="X553" s="494" t="s">
        <v>621</v>
      </c>
      <c r="Y553" s="495" t="s">
        <v>621</v>
      </c>
      <c r="Z553" s="496"/>
      <c r="AA553" s="497"/>
      <c r="AB553" s="498" t="str">
        <f t="shared" si="136"/>
        <v/>
      </c>
      <c r="AC553" s="484" t="str">
        <f t="shared" si="134"/>
        <v/>
      </c>
      <c r="AD553" s="495" t="str">
        <f t="shared" si="135"/>
        <v/>
      </c>
      <c r="AE553" s="499" t="s">
        <v>621</v>
      </c>
      <c r="AF553" s="500" t="s">
        <v>621</v>
      </c>
      <c r="AG553" s="556" t="s">
        <v>621</v>
      </c>
      <c r="AH553" s="503" t="str">
        <f>IF($G553="","",IF(AND($G553&gt;=30,$AT$3&lt;=AG$7),ROUND(AG553*($AP$3+#REF!),-1),""))</f>
        <v/>
      </c>
      <c r="AI553" s="506" t="s">
        <v>621</v>
      </c>
      <c r="AJ553" s="503" t="str">
        <f>IF($G553="","",IF(AND($G553&gt;=30,$AT$3&lt;=AI$7),ROUND(AI553*($AP$3+#REF!),-1),""))</f>
        <v/>
      </c>
      <c r="AK553" s="506" t="s">
        <v>621</v>
      </c>
      <c r="AL553" s="503" t="str">
        <f>IF($G553="","",IF(AND($G553&gt;=30,$AT$3&lt;=AK$7),ROUND(AK553*($AP$3+#REF!),-1),""))</f>
        <v/>
      </c>
      <c r="AM553" s="506" t="s">
        <v>621</v>
      </c>
      <c r="AN553" s="503" t="str">
        <f>IF($G553="","",IF(AND($G553&gt;=30,$AT$3&lt;=AM$7),ROUND(AM553*($AP$3+#REF!),-1),""))</f>
        <v/>
      </c>
      <c r="AO553" s="503" t="e">
        <v>#REF!</v>
      </c>
      <c r="AP553" s="503" t="str">
        <f>IF($G553="","",IF(AND($G553&gt;=30,$AT$3&lt;=AO$7),ROUND(AO553*($AP$3+#REF!),-1),""))</f>
        <v/>
      </c>
      <c r="AQ553" s="503" t="s">
        <v>621</v>
      </c>
      <c r="AR553" s="503" t="str">
        <f>IF($G553="","",IF(AND($G553&gt;=30,$AT$3&lt;=AQ$7),ROUND(AQ553*($AP$3+#REF!),-1),""))</f>
        <v/>
      </c>
      <c r="AS553" s="503" t="s">
        <v>621</v>
      </c>
      <c r="AT553" s="503" t="str">
        <f>IF($G553="","",IF(AND($G553&gt;=30,$AT$3&lt;=AS$7),ROUND(AS553*($AP$3+#REF!),-1),""))</f>
        <v/>
      </c>
      <c r="AU553" s="503" t="s">
        <v>621</v>
      </c>
      <c r="AV553" s="503" t="str">
        <f>IF($G553="","",IF(AND($G553&gt;=30,$AT$3&lt;=AU$7),ROUND(AU553*($AP$3+#REF!),-1),""))</f>
        <v/>
      </c>
      <c r="AW553" s="503" t="s">
        <v>621</v>
      </c>
      <c r="AX553" s="503" t="str">
        <f>IF($G553="","",IF(AND($G553&gt;=30,$AT$3&lt;=AW$7),ROUND(AW553*($AP$3+#REF!),-1),""))</f>
        <v/>
      </c>
      <c r="AY553" s="503" t="s">
        <v>621</v>
      </c>
      <c r="AZ553" s="503" t="str">
        <f>IF($G553="","",IF(AND($G553&gt;=30,$AT$3&lt;=AY$7),ROUND(AY553*($AP$3+#REF!),-1),""))</f>
        <v/>
      </c>
      <c r="BA553" s="503" t="s">
        <v>621</v>
      </c>
      <c r="BB553" s="503" t="str">
        <f>IF($G553="","",IF(AND($G553&gt;=30,$AT$3&lt;=BA$7),ROUND(BA553*($AP$3+#REF!),-1),""))</f>
        <v/>
      </c>
      <c r="BC553" s="503" t="s">
        <v>621</v>
      </c>
      <c r="BD553" s="503" t="str">
        <f>IF($G553="","",IF(AND($G553&gt;=30,$AT$3&lt;=BC$7),ROUND(BC553*($AP$3+#REF!),-1),""))</f>
        <v/>
      </c>
      <c r="BE553" s="503" t="s">
        <v>621</v>
      </c>
      <c r="BF553" s="503" t="str">
        <f>IF($G553="","",IF(AND($G553&gt;=30,$AT$3&lt;=BE$7),ROUND(BE553*($AP$3+#REF!),-1),""))</f>
        <v/>
      </c>
      <c r="BG553" s="503" t="s">
        <v>621</v>
      </c>
      <c r="BH553" s="503" t="str">
        <f>IF($G553="","",IF(AND($G553&gt;=30,$AT$3&lt;=BG$7),ROUND(BG553*($AP$3+#REF!),-1),""))</f>
        <v/>
      </c>
      <c r="BI553" s="503" t="s">
        <v>621</v>
      </c>
      <c r="BJ553" s="503" t="str">
        <f>IF($G553="","",IF(AND($G553&gt;=30,$AT$3&lt;=BI$7),ROUND(BI553*($AP$3+#REF!),-1),""))</f>
        <v/>
      </c>
      <c r="BK553" s="503" t="s">
        <v>621</v>
      </c>
      <c r="BL553" s="503" t="str">
        <f>IF($G553="","",IF(AND($G553&gt;=30,$AT$3&lt;=BK$7),ROUND(BK553*($AP$3+#REF!),-1),""))</f>
        <v/>
      </c>
      <c r="BM553" s="503" t="s">
        <v>621</v>
      </c>
      <c r="BN553" s="503" t="str">
        <f>IF($G553="","",IF(AND($G553&gt;=30,$AT$3&lt;=BM$7),ROUND(BM553*($AP$3+#REF!),-1),""))</f>
        <v/>
      </c>
      <c r="BO553" s="503" t="s">
        <v>621</v>
      </c>
      <c r="BP553" s="503" t="str">
        <f>IF($G553="","",IF(AND($G553&gt;=30,$AT$3&lt;=BO$7),ROUND(BO553*($AP$3+#REF!),-1),""))</f>
        <v/>
      </c>
      <c r="BQ553" s="503" t="s">
        <v>621</v>
      </c>
      <c r="BR553" s="503" t="str">
        <f>IF($G553="","",IF(AND($G553&gt;=30,$AT$3&lt;=BQ$7),ROUND(BQ553*($AP$3+#REF!),-1),""))</f>
        <v/>
      </c>
      <c r="BS553" s="503" t="s">
        <v>621</v>
      </c>
      <c r="BT553" s="503" t="str">
        <f>IF($G553="","",IF(AND($G553&gt;=30,$AT$3&lt;=BS$7),ROUND(BS553*($AP$3+#REF!),-1),""))</f>
        <v/>
      </c>
      <c r="BU553" s="503" t="s">
        <v>621</v>
      </c>
      <c r="BV553" s="503" t="str">
        <f>IF($G553="","",IF(AND($G553&gt;=30,$AT$3&lt;=BU$7),ROUND(BU553*($AP$3+#REF!),-1),""))</f>
        <v/>
      </c>
      <c r="BW553" s="503" t="s">
        <v>621</v>
      </c>
      <c r="BX553" s="503" t="str">
        <f>IF($G553="","",IF(AND($G553&gt;=30,$AT$3&lt;=BW$7),ROUND(BW553*($AP$3+#REF!),-1),""))</f>
        <v/>
      </c>
      <c r="BY553" s="503" t="s">
        <v>621</v>
      </c>
      <c r="BZ553" s="503" t="str">
        <f>IF($G553="","",IF(AND($G553&gt;=30,$AT$3&lt;=BY$7),ROUND(BY553*($AP$3+#REF!),-1),""))</f>
        <v/>
      </c>
      <c r="CA553" s="503" t="s">
        <v>621</v>
      </c>
      <c r="CB553" s="503" t="str">
        <f>IF($G553="","",IF(AND($G553&gt;=30,$AT$3&lt;=CA$7),ROUND(CA553*($AP$3+#REF!),-1),""))</f>
        <v/>
      </c>
      <c r="CC553" s="503" t="s">
        <v>621</v>
      </c>
      <c r="CD553" s="503" t="str">
        <f>IF($G553="","",IF(AND($G553&gt;=30,$AT$3&lt;=CC$7),ROUND(CC553*($AP$3+#REF!),-1),""))</f>
        <v/>
      </c>
      <c r="CE553" s="503" t="s">
        <v>621</v>
      </c>
      <c r="CF553" s="503" t="str">
        <f>IF($G553="","",IF(AND($G553&gt;=30,$AT$3&lt;=CE$7),ROUND(CE553*($AP$3+#REF!),-1),""))</f>
        <v/>
      </c>
      <c r="CG553" s="503" t="s">
        <v>621</v>
      </c>
      <c r="CH553" s="503" t="str">
        <f>IF($G553="","",IF(AND($G553&gt;=30,$AT$3&lt;=CG$7),ROUND(CG553*($AP$3+#REF!),-1),""))</f>
        <v/>
      </c>
      <c r="CI553" s="503" t="s">
        <v>621</v>
      </c>
      <c r="CJ553" s="503" t="str">
        <f>IF($G553="","",IF(AND($G553&gt;=30,$AT$3&lt;=CI$7),ROUND(CI553*($AP$3+#REF!),-1),""))</f>
        <v/>
      </c>
      <c r="CK553" s="503" t="s">
        <v>621</v>
      </c>
      <c r="CL553" s="503" t="str">
        <f>IF($G553="","",IF(AND($G553&gt;=30,$AT$3&lt;=CK$7),ROUND(CK553*($AP$3+#REF!),-1),""))</f>
        <v/>
      </c>
      <c r="CM553" s="503" t="s">
        <v>621</v>
      </c>
      <c r="CN553" s="503" t="str">
        <f>IF($G553="","",IF(AND($G553&gt;=30,$AT$3&lt;=CM$7),ROUND(CM553*($AP$3+#REF!),-1),""))</f>
        <v/>
      </c>
      <c r="CO553" s="503" t="s">
        <v>621</v>
      </c>
      <c r="CP553" s="503" t="str">
        <f>IF($G553="","",IF(AND($G553&gt;=30,$AT$3&lt;=CO$7),ROUND(CO553*($AP$3+#REF!),-1),""))</f>
        <v/>
      </c>
      <c r="CQ553" s="503" t="s">
        <v>621</v>
      </c>
      <c r="CR553" s="503" t="str">
        <f>IF($G553="","",IF(AND($G553&gt;=30,$AT$3&lt;=CQ$7),ROUND(CQ553*($AP$3+#REF!),-1),""))</f>
        <v/>
      </c>
      <c r="CS553" s="503" t="s">
        <v>621</v>
      </c>
      <c r="CT553" s="503" t="str">
        <f>IF($G553="","",IF(AND($G553&gt;=30,$AT$3&lt;=CS$7),ROUND(CS553*($AP$3+#REF!),-1),""))</f>
        <v/>
      </c>
      <c r="CU553" s="503" t="s">
        <v>621</v>
      </c>
      <c r="CV553" s="503" t="str">
        <f>IF($G553="","",IF(AND($G553&gt;=30,$AT$3&lt;=CU$7),ROUND(CU553*($AP$3+#REF!),-1),""))</f>
        <v/>
      </c>
      <c r="CW553" s="503" t="s">
        <v>621</v>
      </c>
      <c r="CX553" s="503" t="str">
        <f>IF($G553="","",IF(AND($G553&gt;=30,$AT$3&lt;=CW$7),ROUND(CW553*($AP$3+#REF!),-1),""))</f>
        <v/>
      </c>
      <c r="CY553" s="503" t="s">
        <v>621</v>
      </c>
      <c r="CZ553" s="503" t="str">
        <f>IF($G553="","",IF(AND($G553&gt;=30,$AT$3&lt;=CY$7),ROUND(CY553*($AP$3+#REF!),-1),""))</f>
        <v/>
      </c>
      <c r="DA553" s="503" t="s">
        <v>621</v>
      </c>
      <c r="DB553" s="503" t="str">
        <f>IF($G553="","",IF(AND($G553&gt;=30,$AT$3&lt;=DA$7),ROUND(DA553*($AP$3+#REF!),-1),""))</f>
        <v/>
      </c>
      <c r="DC553" s="503" t="s">
        <v>621</v>
      </c>
      <c r="DD553" s="503" t="str">
        <f>IF($G553="","",IF(AND($G553&gt;=30,$AT$3&lt;=DC$7),ROUND(DC553*($AP$3+#REF!),-1),""))</f>
        <v/>
      </c>
      <c r="DE553" s="503" t="s">
        <v>621</v>
      </c>
      <c r="DF553" s="503" t="str">
        <f>IF($G553="","",IF(AND($G553&gt;=30,$AT$3&lt;=DE$7),ROUND(DE553*($AP$3+#REF!),-1),""))</f>
        <v/>
      </c>
      <c r="DG553" s="503" t="s">
        <v>621</v>
      </c>
      <c r="DH553" s="503" t="str">
        <f>IF($G553="","",IF(AND($G553&gt;=30,$AT$3&lt;=DG$7),ROUND(DG553*($AP$3+#REF!),-1),""))</f>
        <v/>
      </c>
      <c r="DI553" s="503" t="s">
        <v>621</v>
      </c>
      <c r="DJ553" s="503" t="str">
        <f>IF($G553="","",IF(AND($G553&gt;=30,$AT$3&lt;=DI$7),ROUND(DI553*($AP$3+#REF!),-1),""))</f>
        <v/>
      </c>
      <c r="DK553" s="503" t="s">
        <v>621</v>
      </c>
      <c r="DL553" s="503" t="str">
        <f>IF($G553="","",IF(AND($G553&gt;=30,$AT$3&lt;=DK$7),ROUND(DK553*($AP$3+#REF!),-1),""))</f>
        <v/>
      </c>
      <c r="DM553" s="503" t="s">
        <v>621</v>
      </c>
      <c r="DN553" s="503" t="str">
        <f>IF($G553="","",IF(AND($G553&gt;=30,$AT$3&lt;=DM$7),ROUND(DM553*($AP$3+#REF!),-1),""))</f>
        <v/>
      </c>
      <c r="DO553" s="503" t="s">
        <v>621</v>
      </c>
      <c r="DP553" s="503" t="str">
        <f>IF($G553="","",IF(AND($G553&gt;=30,$AT$3&lt;=DO$7),ROUND(DO553*($AP$3+#REF!),-1),""))</f>
        <v/>
      </c>
      <c r="DQ553" s="503" t="s">
        <v>621</v>
      </c>
      <c r="DR553" s="503" t="str">
        <f>IF($G553="","",IF(AND($G553&gt;=30,$AT$3&lt;=DQ$7),ROUND(DQ553*($AP$3+#REF!),-1),""))</f>
        <v/>
      </c>
      <c r="DS553" s="517" t="e">
        <v>#REF!</v>
      </c>
      <c r="DT553" s="503" t="str">
        <f>IF($G553="","",IF(AND($G553&gt;=30,$AT$3&lt;=DS$7),ROUND(DS553*($AP$3+#REF!),-1),""))</f>
        <v/>
      </c>
      <c r="DU553" s="503"/>
      <c r="DV553" s="503" t="str">
        <f>IF($G553="","",IF(AND($G553&gt;=30,$AT$3&lt;=DU$7),ROUND(DU553*($AP$3+#REF!),-1),""))</f>
        <v/>
      </c>
      <c r="DW553" s="503"/>
      <c r="DX553" s="503" t="str">
        <f>IF($G553="","",IF(AND($G553&gt;=30,$AT$3&lt;=DW$7),ROUND(DW553*($AP$3+#REF!),-1),""))</f>
        <v/>
      </c>
      <c r="DY553" s="503"/>
      <c r="DZ553" s="503" t="str">
        <f>IF($G553="","",IF(AND($G553&gt;=30,$AT$3&lt;=DY$7),ROUND(DY553*($AP$3+#REF!),-1),""))</f>
        <v/>
      </c>
      <c r="EA553" s="503"/>
      <c r="EB553" s="503" t="str">
        <f>IF($G553="","",IF(AND($G553&gt;=30,$AT$3&lt;=EA$7),ROUND(EA553*($AP$3+#REF!),-1),""))</f>
        <v/>
      </c>
      <c r="EC553" s="436"/>
      <c r="ED553" s="436"/>
      <c r="EE553" s="394"/>
    </row>
    <row r="554" spans="1:135" ht="9.75" customHeight="1">
      <c r="A554" s="321" t="str">
        <f t="shared" si="124"/>
        <v/>
      </c>
      <c r="B554" s="567">
        <f>(ii!$D$13*12+V554)+1</f>
        <v>448</v>
      </c>
      <c r="C554" s="337">
        <f t="shared" si="128"/>
        <v>58987</v>
      </c>
      <c r="D554" s="484">
        <f t="shared" si="131"/>
        <v>2061</v>
      </c>
      <c r="E554" s="484">
        <f t="shared" si="129"/>
        <v>0.5</v>
      </c>
      <c r="F554" s="484">
        <f t="shared" si="132"/>
        <v>2061.5</v>
      </c>
      <c r="G554" s="485" t="str">
        <f>IF(OR(C554&lt;$I$2,C554&gt;$J$3),"",(ii!$D$13*12+V554+1)/12)</f>
        <v/>
      </c>
      <c r="H554" s="486"/>
      <c r="I554" s="486"/>
      <c r="J554" s="487"/>
      <c r="K554" s="488"/>
      <c r="L554" s="548"/>
      <c r="M554" s="489" t="str">
        <f t="shared" si="133"/>
        <v/>
      </c>
      <c r="N554" s="490" t="s">
        <v>621</v>
      </c>
      <c r="O554" s="490" t="str">
        <f t="shared" si="126"/>
        <v/>
      </c>
      <c r="P554" s="491"/>
      <c r="Q554" s="491"/>
      <c r="R554" s="491" t="str">
        <f t="shared" si="127"/>
        <v/>
      </c>
      <c r="S554" s="528" t="str">
        <f t="shared" si="125"/>
        <v/>
      </c>
      <c r="T554" s="528" t="str">
        <f t="shared" si="123"/>
        <v/>
      </c>
      <c r="U554" s="493" t="str">
        <f>IF(H554="","",#REF!*12+#REF!+#REF!*12+#REF!)</f>
        <v/>
      </c>
      <c r="V554" s="338">
        <f>IF(ii!$J$3&gt;gg!C554,"",IF(AND((YEAR(C554)=YEAR($I$2)),MONTH(C554)=MONTH($I$2)),ii!$B$14*12+ii!$C$14+ii!$B$15*12+ii!$C$15-1,V553+1))</f>
        <v>447</v>
      </c>
      <c r="W554" s="339">
        <f t="shared" si="130"/>
        <v>37.25</v>
      </c>
      <c r="X554" s="494" t="s">
        <v>621</v>
      </c>
      <c r="Y554" s="495" t="s">
        <v>621</v>
      </c>
      <c r="Z554" s="496"/>
      <c r="AA554" s="497"/>
      <c r="AB554" s="498" t="str">
        <f t="shared" si="136"/>
        <v/>
      </c>
      <c r="AC554" s="484" t="str">
        <f t="shared" si="134"/>
        <v/>
      </c>
      <c r="AD554" s="495" t="str">
        <f t="shared" si="135"/>
        <v/>
      </c>
      <c r="AE554" s="499" t="s">
        <v>621</v>
      </c>
      <c r="AF554" s="500" t="s">
        <v>621</v>
      </c>
      <c r="AG554" s="556" t="s">
        <v>621</v>
      </c>
      <c r="AH554" s="503" t="str">
        <f>IF($G554="","",IF(AND($G554&gt;=30,$AT$3&lt;=AG$7),ROUND(AG554*($AP$3+#REF!),-1),""))</f>
        <v/>
      </c>
      <c r="AI554" s="506" t="s">
        <v>621</v>
      </c>
      <c r="AJ554" s="503" t="str">
        <f>IF($G554="","",IF(AND($G554&gt;=30,$AT$3&lt;=AI$7),ROUND(AI554*($AP$3+#REF!),-1),""))</f>
        <v/>
      </c>
      <c r="AK554" s="506" t="s">
        <v>621</v>
      </c>
      <c r="AL554" s="503" t="str">
        <f>IF($G554="","",IF(AND($G554&gt;=30,$AT$3&lt;=AK$7),ROUND(AK554*($AP$3+#REF!),-1),""))</f>
        <v/>
      </c>
      <c r="AM554" s="506" t="s">
        <v>621</v>
      </c>
      <c r="AN554" s="503" t="str">
        <f>IF($G554="","",IF(AND($G554&gt;=30,$AT$3&lt;=AM$7),ROUND(AM554*($AP$3+#REF!),-1),""))</f>
        <v/>
      </c>
      <c r="AO554" s="503" t="e">
        <v>#REF!</v>
      </c>
      <c r="AP554" s="503" t="str">
        <f>IF($G554="","",IF(AND($G554&gt;=30,$AT$3&lt;=AO$7),ROUND(AO554*($AP$3+#REF!),-1),""))</f>
        <v/>
      </c>
      <c r="AQ554" s="503" t="s">
        <v>621</v>
      </c>
      <c r="AR554" s="503" t="str">
        <f>IF($G554="","",IF(AND($G554&gt;=30,$AT$3&lt;=AQ$7),ROUND(AQ554*($AP$3+#REF!),-1),""))</f>
        <v/>
      </c>
      <c r="AS554" s="503" t="s">
        <v>621</v>
      </c>
      <c r="AT554" s="503" t="str">
        <f>IF($G554="","",IF(AND($G554&gt;=30,$AT$3&lt;=AS$7),ROUND(AS554*($AP$3+#REF!),-1),""))</f>
        <v/>
      </c>
      <c r="AU554" s="503" t="s">
        <v>621</v>
      </c>
      <c r="AV554" s="503" t="str">
        <f>IF($G554="","",IF(AND($G554&gt;=30,$AT$3&lt;=AU$7),ROUND(AU554*($AP$3+#REF!),-1),""))</f>
        <v/>
      </c>
      <c r="AW554" s="503" t="s">
        <v>621</v>
      </c>
      <c r="AX554" s="503" t="str">
        <f>IF($G554="","",IF(AND($G554&gt;=30,$AT$3&lt;=AW$7),ROUND(AW554*($AP$3+#REF!),-1),""))</f>
        <v/>
      </c>
      <c r="AY554" s="503" t="s">
        <v>621</v>
      </c>
      <c r="AZ554" s="503" t="str">
        <f>IF($G554="","",IF(AND($G554&gt;=30,$AT$3&lt;=AY$7),ROUND(AY554*($AP$3+#REF!),-1),""))</f>
        <v/>
      </c>
      <c r="BA554" s="503" t="s">
        <v>621</v>
      </c>
      <c r="BB554" s="503" t="str">
        <f>IF($G554="","",IF(AND($G554&gt;=30,$AT$3&lt;=BA$7),ROUND(BA554*($AP$3+#REF!),-1),""))</f>
        <v/>
      </c>
      <c r="BC554" s="503" t="s">
        <v>621</v>
      </c>
      <c r="BD554" s="503" t="str">
        <f>IF($G554="","",IF(AND($G554&gt;=30,$AT$3&lt;=BC$7),ROUND(BC554*($AP$3+#REF!),-1),""))</f>
        <v/>
      </c>
      <c r="BE554" s="503" t="s">
        <v>621</v>
      </c>
      <c r="BF554" s="503" t="str">
        <f>IF($G554="","",IF(AND($G554&gt;=30,$AT$3&lt;=BE$7),ROUND(BE554*($AP$3+#REF!),-1),""))</f>
        <v/>
      </c>
      <c r="BG554" s="503" t="s">
        <v>621</v>
      </c>
      <c r="BH554" s="503" t="str">
        <f>IF($G554="","",IF(AND($G554&gt;=30,$AT$3&lt;=BG$7),ROUND(BG554*($AP$3+#REF!),-1),""))</f>
        <v/>
      </c>
      <c r="BI554" s="503" t="s">
        <v>621</v>
      </c>
      <c r="BJ554" s="503" t="str">
        <f>IF($G554="","",IF(AND($G554&gt;=30,$AT$3&lt;=BI$7),ROUND(BI554*($AP$3+#REF!),-1),""))</f>
        <v/>
      </c>
      <c r="BK554" s="503" t="s">
        <v>621</v>
      </c>
      <c r="BL554" s="503" t="str">
        <f>IF($G554="","",IF(AND($G554&gt;=30,$AT$3&lt;=BK$7),ROUND(BK554*($AP$3+#REF!),-1),""))</f>
        <v/>
      </c>
      <c r="BM554" s="503" t="s">
        <v>621</v>
      </c>
      <c r="BN554" s="503" t="str">
        <f>IF($G554="","",IF(AND($G554&gt;=30,$AT$3&lt;=BM$7),ROUND(BM554*($AP$3+#REF!),-1),""))</f>
        <v/>
      </c>
      <c r="BO554" s="503" t="s">
        <v>621</v>
      </c>
      <c r="BP554" s="503" t="str">
        <f>IF($G554="","",IF(AND($G554&gt;=30,$AT$3&lt;=BO$7),ROUND(BO554*($AP$3+#REF!),-1),""))</f>
        <v/>
      </c>
      <c r="BQ554" s="503" t="s">
        <v>621</v>
      </c>
      <c r="BR554" s="503" t="str">
        <f>IF($G554="","",IF(AND($G554&gt;=30,$AT$3&lt;=BQ$7),ROUND(BQ554*($AP$3+#REF!),-1),""))</f>
        <v/>
      </c>
      <c r="BS554" s="503" t="s">
        <v>621</v>
      </c>
      <c r="BT554" s="503" t="str">
        <f>IF($G554="","",IF(AND($G554&gt;=30,$AT$3&lt;=BS$7),ROUND(BS554*($AP$3+#REF!),-1),""))</f>
        <v/>
      </c>
      <c r="BU554" s="503" t="s">
        <v>621</v>
      </c>
      <c r="BV554" s="503" t="str">
        <f>IF($G554="","",IF(AND($G554&gt;=30,$AT$3&lt;=BU$7),ROUND(BU554*($AP$3+#REF!),-1),""))</f>
        <v/>
      </c>
      <c r="BW554" s="503" t="s">
        <v>621</v>
      </c>
      <c r="BX554" s="503" t="str">
        <f>IF($G554="","",IF(AND($G554&gt;=30,$AT$3&lt;=BW$7),ROUND(BW554*($AP$3+#REF!),-1),""))</f>
        <v/>
      </c>
      <c r="BY554" s="503" t="s">
        <v>621</v>
      </c>
      <c r="BZ554" s="503" t="str">
        <f>IF($G554="","",IF(AND($G554&gt;=30,$AT$3&lt;=BY$7),ROUND(BY554*($AP$3+#REF!),-1),""))</f>
        <v/>
      </c>
      <c r="CA554" s="503" t="s">
        <v>621</v>
      </c>
      <c r="CB554" s="503" t="str">
        <f>IF($G554="","",IF(AND($G554&gt;=30,$AT$3&lt;=CA$7),ROUND(CA554*($AP$3+#REF!),-1),""))</f>
        <v/>
      </c>
      <c r="CC554" s="503" t="s">
        <v>621</v>
      </c>
      <c r="CD554" s="503" t="str">
        <f>IF($G554="","",IF(AND($G554&gt;=30,$AT$3&lt;=CC$7),ROUND(CC554*($AP$3+#REF!),-1),""))</f>
        <v/>
      </c>
      <c r="CE554" s="503" t="s">
        <v>621</v>
      </c>
      <c r="CF554" s="503" t="str">
        <f>IF($G554="","",IF(AND($G554&gt;=30,$AT$3&lt;=CE$7),ROUND(CE554*($AP$3+#REF!),-1),""))</f>
        <v/>
      </c>
      <c r="CG554" s="503" t="s">
        <v>621</v>
      </c>
      <c r="CH554" s="503" t="str">
        <f>IF($G554="","",IF(AND($G554&gt;=30,$AT$3&lt;=CG$7),ROUND(CG554*($AP$3+#REF!),-1),""))</f>
        <v/>
      </c>
      <c r="CI554" s="503" t="s">
        <v>621</v>
      </c>
      <c r="CJ554" s="503" t="str">
        <f>IF($G554="","",IF(AND($G554&gt;=30,$AT$3&lt;=CI$7),ROUND(CI554*($AP$3+#REF!),-1),""))</f>
        <v/>
      </c>
      <c r="CK554" s="503" t="s">
        <v>621</v>
      </c>
      <c r="CL554" s="503" t="str">
        <f>IF($G554="","",IF(AND($G554&gt;=30,$AT$3&lt;=CK$7),ROUND(CK554*($AP$3+#REF!),-1),""))</f>
        <v/>
      </c>
      <c r="CM554" s="503" t="s">
        <v>621</v>
      </c>
      <c r="CN554" s="503" t="str">
        <f>IF($G554="","",IF(AND($G554&gt;=30,$AT$3&lt;=CM$7),ROUND(CM554*($AP$3+#REF!),-1),""))</f>
        <v/>
      </c>
      <c r="CO554" s="503" t="s">
        <v>621</v>
      </c>
      <c r="CP554" s="503" t="str">
        <f>IF($G554="","",IF(AND($G554&gt;=30,$AT$3&lt;=CO$7),ROUND(CO554*($AP$3+#REF!),-1),""))</f>
        <v/>
      </c>
      <c r="CQ554" s="503" t="s">
        <v>621</v>
      </c>
      <c r="CR554" s="503" t="str">
        <f>IF($G554="","",IF(AND($G554&gt;=30,$AT$3&lt;=CQ$7),ROUND(CQ554*($AP$3+#REF!),-1),""))</f>
        <v/>
      </c>
      <c r="CS554" s="503" t="s">
        <v>621</v>
      </c>
      <c r="CT554" s="503" t="str">
        <f>IF($G554="","",IF(AND($G554&gt;=30,$AT$3&lt;=CS$7),ROUND(CS554*($AP$3+#REF!),-1),""))</f>
        <v/>
      </c>
      <c r="CU554" s="503" t="s">
        <v>621</v>
      </c>
      <c r="CV554" s="503" t="str">
        <f>IF($G554="","",IF(AND($G554&gt;=30,$AT$3&lt;=CU$7),ROUND(CU554*($AP$3+#REF!),-1),""))</f>
        <v/>
      </c>
      <c r="CW554" s="503" t="s">
        <v>621</v>
      </c>
      <c r="CX554" s="503" t="str">
        <f>IF($G554="","",IF(AND($G554&gt;=30,$AT$3&lt;=CW$7),ROUND(CW554*($AP$3+#REF!),-1),""))</f>
        <v/>
      </c>
      <c r="CY554" s="503" t="s">
        <v>621</v>
      </c>
      <c r="CZ554" s="503" t="str">
        <f>IF($G554="","",IF(AND($G554&gt;=30,$AT$3&lt;=CY$7),ROUND(CY554*($AP$3+#REF!),-1),""))</f>
        <v/>
      </c>
      <c r="DA554" s="503" t="s">
        <v>621</v>
      </c>
      <c r="DB554" s="503" t="str">
        <f>IF($G554="","",IF(AND($G554&gt;=30,$AT$3&lt;=DA$7),ROUND(DA554*($AP$3+#REF!),-1),""))</f>
        <v/>
      </c>
      <c r="DC554" s="503" t="s">
        <v>621</v>
      </c>
      <c r="DD554" s="503" t="str">
        <f>IF($G554="","",IF(AND($G554&gt;=30,$AT$3&lt;=DC$7),ROUND(DC554*($AP$3+#REF!),-1),""))</f>
        <v/>
      </c>
      <c r="DE554" s="503" t="s">
        <v>621</v>
      </c>
      <c r="DF554" s="503" t="str">
        <f>IF($G554="","",IF(AND($G554&gt;=30,$AT$3&lt;=DE$7),ROUND(DE554*($AP$3+#REF!),-1),""))</f>
        <v/>
      </c>
      <c r="DG554" s="503" t="s">
        <v>621</v>
      </c>
      <c r="DH554" s="503" t="str">
        <f>IF($G554="","",IF(AND($G554&gt;=30,$AT$3&lt;=DG$7),ROUND(DG554*($AP$3+#REF!),-1),""))</f>
        <v/>
      </c>
      <c r="DI554" s="503" t="s">
        <v>621</v>
      </c>
      <c r="DJ554" s="503" t="str">
        <f>IF($G554="","",IF(AND($G554&gt;=30,$AT$3&lt;=DI$7),ROUND(DI554*($AP$3+#REF!),-1),""))</f>
        <v/>
      </c>
      <c r="DK554" s="503" t="s">
        <v>621</v>
      </c>
      <c r="DL554" s="503" t="str">
        <f>IF($G554="","",IF(AND($G554&gt;=30,$AT$3&lt;=DK$7),ROUND(DK554*($AP$3+#REF!),-1),""))</f>
        <v/>
      </c>
      <c r="DM554" s="503" t="s">
        <v>621</v>
      </c>
      <c r="DN554" s="503" t="str">
        <f>IF($G554="","",IF(AND($G554&gt;=30,$AT$3&lt;=DM$7),ROUND(DM554*($AP$3+#REF!),-1),""))</f>
        <v/>
      </c>
      <c r="DO554" s="503" t="s">
        <v>621</v>
      </c>
      <c r="DP554" s="503" t="str">
        <f>IF($G554="","",IF(AND($G554&gt;=30,$AT$3&lt;=DO$7),ROUND(DO554*($AP$3+#REF!),-1),""))</f>
        <v/>
      </c>
      <c r="DQ554" s="503" t="s">
        <v>621</v>
      </c>
      <c r="DR554" s="503" t="str">
        <f>IF($G554="","",IF(AND($G554&gt;=30,$AT$3&lt;=DQ$7),ROUND(DQ554*($AP$3+#REF!),-1),""))</f>
        <v/>
      </c>
      <c r="DS554" s="517" t="e">
        <v>#REF!</v>
      </c>
      <c r="DT554" s="503" t="str">
        <f>IF($G554="","",IF(AND($G554&gt;=30,$AT$3&lt;=DS$7),ROUND(DS554*($AP$3+#REF!),-1),""))</f>
        <v/>
      </c>
      <c r="DU554" s="503"/>
      <c r="DV554" s="503" t="str">
        <f>IF($G554="","",IF(AND($G554&gt;=30,$AT$3&lt;=DU$7),ROUND(DU554*($AP$3+#REF!),-1),""))</f>
        <v/>
      </c>
      <c r="DW554" s="503"/>
      <c r="DX554" s="503" t="str">
        <f>IF($G554="","",IF(AND($G554&gt;=30,$AT$3&lt;=DW$7),ROUND(DW554*($AP$3+#REF!),-1),""))</f>
        <v/>
      </c>
      <c r="DY554" s="503"/>
      <c r="DZ554" s="503" t="str">
        <f>IF($G554="","",IF(AND($G554&gt;=30,$AT$3&lt;=DY$7),ROUND(DY554*($AP$3+#REF!),-1),""))</f>
        <v/>
      </c>
      <c r="EA554" s="503"/>
      <c r="EB554" s="503" t="str">
        <f>IF($G554="","",IF(AND($G554&gt;=30,$AT$3&lt;=EA$7),ROUND(EA554*($AP$3+#REF!),-1),""))</f>
        <v/>
      </c>
      <c r="EC554" s="436"/>
      <c r="ED554" s="436"/>
      <c r="EE554" s="394"/>
    </row>
    <row r="555" spans="1:135" ht="9.75" customHeight="1">
      <c r="A555" s="321" t="str">
        <f t="shared" si="124"/>
        <v/>
      </c>
      <c r="B555" s="567">
        <f>(ii!$D$13*12+V555)+1</f>
        <v>449</v>
      </c>
      <c r="C555" s="337">
        <f t="shared" si="128"/>
        <v>59018</v>
      </c>
      <c r="D555" s="484">
        <f t="shared" si="131"/>
        <v>2061</v>
      </c>
      <c r="E555" s="484">
        <f t="shared" si="129"/>
        <v>0.58333333333333337</v>
      </c>
      <c r="F555" s="484">
        <f t="shared" si="132"/>
        <v>2061.5833333333335</v>
      </c>
      <c r="G555" s="485" t="str">
        <f>IF(OR(C555&lt;$I$2,C555&gt;$J$3),"",(ii!$D$13*12+V555+1)/12)</f>
        <v/>
      </c>
      <c r="H555" s="486"/>
      <c r="I555" s="486"/>
      <c r="J555" s="487"/>
      <c r="K555" s="488"/>
      <c r="L555" s="548"/>
      <c r="M555" s="489" t="str">
        <f t="shared" si="133"/>
        <v/>
      </c>
      <c r="N555" s="490" t="s">
        <v>621</v>
      </c>
      <c r="O555" s="490" t="str">
        <f t="shared" si="126"/>
        <v/>
      </c>
      <c r="P555" s="491"/>
      <c r="Q555" s="491"/>
      <c r="R555" s="491" t="str">
        <f t="shared" si="127"/>
        <v/>
      </c>
      <c r="S555" s="528" t="str">
        <f t="shared" si="125"/>
        <v/>
      </c>
      <c r="T555" s="528" t="str">
        <f t="shared" si="123"/>
        <v/>
      </c>
      <c r="U555" s="493" t="str">
        <f>IF(H555="","",#REF!*12+#REF!+#REF!*12+#REF!)</f>
        <v/>
      </c>
      <c r="V555" s="338">
        <f>IF(ii!$J$3&gt;gg!C555,"",IF(AND((YEAR(C555)=YEAR($I$2)),MONTH(C555)=MONTH($I$2)),ii!$B$14*12+ii!$C$14+ii!$B$15*12+ii!$C$15-1,V554+1))</f>
        <v>448</v>
      </c>
      <c r="W555" s="339">
        <f t="shared" si="130"/>
        <v>37.333333333333336</v>
      </c>
      <c r="X555" s="494" t="s">
        <v>621</v>
      </c>
      <c r="Y555" s="495" t="s">
        <v>621</v>
      </c>
      <c r="Z555" s="496"/>
      <c r="AA555" s="497"/>
      <c r="AB555" s="498" t="str">
        <f t="shared" si="136"/>
        <v/>
      </c>
      <c r="AC555" s="484" t="str">
        <f t="shared" si="134"/>
        <v/>
      </c>
      <c r="AD555" s="495" t="str">
        <f t="shared" si="135"/>
        <v/>
      </c>
      <c r="AE555" s="499" t="s">
        <v>621</v>
      </c>
      <c r="AF555" s="500" t="s">
        <v>621</v>
      </c>
      <c r="AG555" s="556" t="s">
        <v>621</v>
      </c>
      <c r="AH555" s="503" t="str">
        <f>IF($G555="","",IF(AND($G555&gt;=30,$AT$3&lt;=AG$7),ROUND(AG555*($AP$3+#REF!),-1),""))</f>
        <v/>
      </c>
      <c r="AI555" s="506" t="s">
        <v>621</v>
      </c>
      <c r="AJ555" s="503" t="str">
        <f>IF($G555="","",IF(AND($G555&gt;=30,$AT$3&lt;=AI$7),ROUND(AI555*($AP$3+#REF!),-1),""))</f>
        <v/>
      </c>
      <c r="AK555" s="506" t="s">
        <v>621</v>
      </c>
      <c r="AL555" s="503" t="str">
        <f>IF($G555="","",IF(AND($G555&gt;=30,$AT$3&lt;=AK$7),ROUND(AK555*($AP$3+#REF!),-1),""))</f>
        <v/>
      </c>
      <c r="AM555" s="506" t="s">
        <v>621</v>
      </c>
      <c r="AN555" s="503" t="str">
        <f>IF($G555="","",IF(AND($G555&gt;=30,$AT$3&lt;=AM$7),ROUND(AM555*($AP$3+#REF!),-1),""))</f>
        <v/>
      </c>
      <c r="AO555" s="503" t="e">
        <v>#REF!</v>
      </c>
      <c r="AP555" s="503" t="str">
        <f>IF($G555="","",IF(AND($G555&gt;=30,$AT$3&lt;=AO$7),ROUND(AO555*($AP$3+#REF!),-1),""))</f>
        <v/>
      </c>
      <c r="AQ555" s="503" t="s">
        <v>621</v>
      </c>
      <c r="AR555" s="503" t="str">
        <f>IF($G555="","",IF(AND($G555&gt;=30,$AT$3&lt;=AQ$7),ROUND(AQ555*($AP$3+#REF!),-1),""))</f>
        <v/>
      </c>
      <c r="AS555" s="503" t="s">
        <v>621</v>
      </c>
      <c r="AT555" s="503" t="str">
        <f>IF($G555="","",IF(AND($G555&gt;=30,$AT$3&lt;=AS$7),ROUND(AS555*($AP$3+#REF!),-1),""))</f>
        <v/>
      </c>
      <c r="AU555" s="503" t="s">
        <v>621</v>
      </c>
      <c r="AV555" s="503" t="str">
        <f>IF($G555="","",IF(AND($G555&gt;=30,$AT$3&lt;=AU$7),ROUND(AU555*($AP$3+#REF!),-1),""))</f>
        <v/>
      </c>
      <c r="AW555" s="503" t="s">
        <v>621</v>
      </c>
      <c r="AX555" s="503" t="str">
        <f>IF($G555="","",IF(AND($G555&gt;=30,$AT$3&lt;=AW$7),ROUND(AW555*($AP$3+#REF!),-1),""))</f>
        <v/>
      </c>
      <c r="AY555" s="503" t="s">
        <v>621</v>
      </c>
      <c r="AZ555" s="503" t="str">
        <f>IF($G555="","",IF(AND($G555&gt;=30,$AT$3&lt;=AY$7),ROUND(AY555*($AP$3+#REF!),-1),""))</f>
        <v/>
      </c>
      <c r="BA555" s="503" t="s">
        <v>621</v>
      </c>
      <c r="BB555" s="503" t="str">
        <f>IF($G555="","",IF(AND($G555&gt;=30,$AT$3&lt;=BA$7),ROUND(BA555*($AP$3+#REF!),-1),""))</f>
        <v/>
      </c>
      <c r="BC555" s="503" t="s">
        <v>621</v>
      </c>
      <c r="BD555" s="503" t="str">
        <f>IF($G555="","",IF(AND($G555&gt;=30,$AT$3&lt;=BC$7),ROUND(BC555*($AP$3+#REF!),-1),""))</f>
        <v/>
      </c>
      <c r="BE555" s="503" t="s">
        <v>621</v>
      </c>
      <c r="BF555" s="503" t="str">
        <f>IF($G555="","",IF(AND($G555&gt;=30,$AT$3&lt;=BE$7),ROUND(BE555*($AP$3+#REF!),-1),""))</f>
        <v/>
      </c>
      <c r="BG555" s="503" t="s">
        <v>621</v>
      </c>
      <c r="BH555" s="503" t="str">
        <f>IF($G555="","",IF(AND($G555&gt;=30,$AT$3&lt;=BG$7),ROUND(BG555*($AP$3+#REF!),-1),""))</f>
        <v/>
      </c>
      <c r="BI555" s="503" t="s">
        <v>621</v>
      </c>
      <c r="BJ555" s="503" t="str">
        <f>IF($G555="","",IF(AND($G555&gt;=30,$AT$3&lt;=BI$7),ROUND(BI555*($AP$3+#REF!),-1),""))</f>
        <v/>
      </c>
      <c r="BK555" s="503" t="s">
        <v>621</v>
      </c>
      <c r="BL555" s="503" t="str">
        <f>IF($G555="","",IF(AND($G555&gt;=30,$AT$3&lt;=BK$7),ROUND(BK555*($AP$3+#REF!),-1),""))</f>
        <v/>
      </c>
      <c r="BM555" s="503" t="s">
        <v>621</v>
      </c>
      <c r="BN555" s="503" t="str">
        <f>IF($G555="","",IF(AND($G555&gt;=30,$AT$3&lt;=BM$7),ROUND(BM555*($AP$3+#REF!),-1),""))</f>
        <v/>
      </c>
      <c r="BO555" s="503" t="s">
        <v>621</v>
      </c>
      <c r="BP555" s="503" t="str">
        <f>IF($G555="","",IF(AND($G555&gt;=30,$AT$3&lt;=BO$7),ROUND(BO555*($AP$3+#REF!),-1),""))</f>
        <v/>
      </c>
      <c r="BQ555" s="503" t="s">
        <v>621</v>
      </c>
      <c r="BR555" s="503" t="str">
        <f>IF($G555="","",IF(AND($G555&gt;=30,$AT$3&lt;=BQ$7),ROUND(BQ555*($AP$3+#REF!),-1),""))</f>
        <v/>
      </c>
      <c r="BS555" s="503" t="s">
        <v>621</v>
      </c>
      <c r="BT555" s="503" t="str">
        <f>IF($G555="","",IF(AND($G555&gt;=30,$AT$3&lt;=BS$7),ROUND(BS555*($AP$3+#REF!),-1),""))</f>
        <v/>
      </c>
      <c r="BU555" s="503" t="s">
        <v>621</v>
      </c>
      <c r="BV555" s="503" t="str">
        <f>IF($G555="","",IF(AND($G555&gt;=30,$AT$3&lt;=BU$7),ROUND(BU555*($AP$3+#REF!),-1),""))</f>
        <v/>
      </c>
      <c r="BW555" s="503" t="s">
        <v>621</v>
      </c>
      <c r="BX555" s="503" t="str">
        <f>IF($G555="","",IF(AND($G555&gt;=30,$AT$3&lt;=BW$7),ROUND(BW555*($AP$3+#REF!),-1),""))</f>
        <v/>
      </c>
      <c r="BY555" s="503" t="s">
        <v>621</v>
      </c>
      <c r="BZ555" s="503" t="str">
        <f>IF($G555="","",IF(AND($G555&gt;=30,$AT$3&lt;=BY$7),ROUND(BY555*($AP$3+#REF!),-1),""))</f>
        <v/>
      </c>
      <c r="CA555" s="503" t="s">
        <v>621</v>
      </c>
      <c r="CB555" s="503" t="str">
        <f>IF($G555="","",IF(AND($G555&gt;=30,$AT$3&lt;=CA$7),ROUND(CA555*($AP$3+#REF!),-1),""))</f>
        <v/>
      </c>
      <c r="CC555" s="503" t="s">
        <v>621</v>
      </c>
      <c r="CD555" s="503" t="str">
        <f>IF($G555="","",IF(AND($G555&gt;=30,$AT$3&lt;=CC$7),ROUND(CC555*($AP$3+#REF!),-1),""))</f>
        <v/>
      </c>
      <c r="CE555" s="503" t="s">
        <v>621</v>
      </c>
      <c r="CF555" s="503" t="str">
        <f>IF($G555="","",IF(AND($G555&gt;=30,$AT$3&lt;=CE$7),ROUND(CE555*($AP$3+#REF!),-1),""))</f>
        <v/>
      </c>
      <c r="CG555" s="503" t="s">
        <v>621</v>
      </c>
      <c r="CH555" s="503" t="str">
        <f>IF($G555="","",IF(AND($G555&gt;=30,$AT$3&lt;=CG$7),ROUND(CG555*($AP$3+#REF!),-1),""))</f>
        <v/>
      </c>
      <c r="CI555" s="503" t="s">
        <v>621</v>
      </c>
      <c r="CJ555" s="503" t="str">
        <f>IF($G555="","",IF(AND($G555&gt;=30,$AT$3&lt;=CI$7),ROUND(CI555*($AP$3+#REF!),-1),""))</f>
        <v/>
      </c>
      <c r="CK555" s="503" t="s">
        <v>621</v>
      </c>
      <c r="CL555" s="503" t="str">
        <f>IF($G555="","",IF(AND($G555&gt;=30,$AT$3&lt;=CK$7),ROUND(CK555*($AP$3+#REF!),-1),""))</f>
        <v/>
      </c>
      <c r="CM555" s="503" t="s">
        <v>621</v>
      </c>
      <c r="CN555" s="503" t="str">
        <f>IF($G555="","",IF(AND($G555&gt;=30,$AT$3&lt;=CM$7),ROUND(CM555*($AP$3+#REF!),-1),""))</f>
        <v/>
      </c>
      <c r="CO555" s="503" t="s">
        <v>621</v>
      </c>
      <c r="CP555" s="503" t="str">
        <f>IF($G555="","",IF(AND($G555&gt;=30,$AT$3&lt;=CO$7),ROUND(CO555*($AP$3+#REF!),-1),""))</f>
        <v/>
      </c>
      <c r="CQ555" s="503" t="s">
        <v>621</v>
      </c>
      <c r="CR555" s="503" t="str">
        <f>IF($G555="","",IF(AND($G555&gt;=30,$AT$3&lt;=CQ$7),ROUND(CQ555*($AP$3+#REF!),-1),""))</f>
        <v/>
      </c>
      <c r="CS555" s="503" t="s">
        <v>621</v>
      </c>
      <c r="CT555" s="503" t="str">
        <f>IF($G555="","",IF(AND($G555&gt;=30,$AT$3&lt;=CS$7),ROUND(CS555*($AP$3+#REF!),-1),""))</f>
        <v/>
      </c>
      <c r="CU555" s="503" t="s">
        <v>621</v>
      </c>
      <c r="CV555" s="503" t="str">
        <f>IF($G555="","",IF(AND($G555&gt;=30,$AT$3&lt;=CU$7),ROUND(CU555*($AP$3+#REF!),-1),""))</f>
        <v/>
      </c>
      <c r="CW555" s="503" t="s">
        <v>621</v>
      </c>
      <c r="CX555" s="503" t="str">
        <f>IF($G555="","",IF(AND($G555&gt;=30,$AT$3&lt;=CW$7),ROUND(CW555*($AP$3+#REF!),-1),""))</f>
        <v/>
      </c>
      <c r="CY555" s="503" t="s">
        <v>621</v>
      </c>
      <c r="CZ555" s="503" t="str">
        <f>IF($G555="","",IF(AND($G555&gt;=30,$AT$3&lt;=CY$7),ROUND(CY555*($AP$3+#REF!),-1),""))</f>
        <v/>
      </c>
      <c r="DA555" s="503" t="s">
        <v>621</v>
      </c>
      <c r="DB555" s="503" t="str">
        <f>IF($G555="","",IF(AND($G555&gt;=30,$AT$3&lt;=DA$7),ROUND(DA555*($AP$3+#REF!),-1),""))</f>
        <v/>
      </c>
      <c r="DC555" s="503" t="s">
        <v>621</v>
      </c>
      <c r="DD555" s="503" t="str">
        <f>IF($G555="","",IF(AND($G555&gt;=30,$AT$3&lt;=DC$7),ROUND(DC555*($AP$3+#REF!),-1),""))</f>
        <v/>
      </c>
      <c r="DE555" s="503" t="s">
        <v>621</v>
      </c>
      <c r="DF555" s="503" t="str">
        <f>IF($G555="","",IF(AND($G555&gt;=30,$AT$3&lt;=DE$7),ROUND(DE555*($AP$3+#REF!),-1),""))</f>
        <v/>
      </c>
      <c r="DG555" s="503" t="s">
        <v>621</v>
      </c>
      <c r="DH555" s="503" t="str">
        <f>IF($G555="","",IF(AND($G555&gt;=30,$AT$3&lt;=DG$7),ROUND(DG555*($AP$3+#REF!),-1),""))</f>
        <v/>
      </c>
      <c r="DI555" s="503" t="s">
        <v>621</v>
      </c>
      <c r="DJ555" s="503" t="str">
        <f>IF($G555="","",IF(AND($G555&gt;=30,$AT$3&lt;=DI$7),ROUND(DI555*($AP$3+#REF!),-1),""))</f>
        <v/>
      </c>
      <c r="DK555" s="503" t="s">
        <v>621</v>
      </c>
      <c r="DL555" s="503" t="str">
        <f>IF($G555="","",IF(AND($G555&gt;=30,$AT$3&lt;=DK$7),ROUND(DK555*($AP$3+#REF!),-1),""))</f>
        <v/>
      </c>
      <c r="DM555" s="503" t="s">
        <v>621</v>
      </c>
      <c r="DN555" s="503" t="str">
        <f>IF($G555="","",IF(AND($G555&gt;=30,$AT$3&lt;=DM$7),ROUND(DM555*($AP$3+#REF!),-1),""))</f>
        <v/>
      </c>
      <c r="DO555" s="503" t="s">
        <v>621</v>
      </c>
      <c r="DP555" s="503" t="str">
        <f>IF($G555="","",IF(AND($G555&gt;=30,$AT$3&lt;=DO$7),ROUND(DO555*($AP$3+#REF!),-1),""))</f>
        <v/>
      </c>
      <c r="DQ555" s="503" t="s">
        <v>621</v>
      </c>
      <c r="DR555" s="503" t="str">
        <f>IF($G555="","",IF(AND($G555&gt;=30,$AT$3&lt;=DQ$7),ROUND(DQ555*($AP$3+#REF!),-1),""))</f>
        <v/>
      </c>
      <c r="DS555" s="517" t="e">
        <v>#REF!</v>
      </c>
      <c r="DT555" s="503" t="str">
        <f>IF($G555="","",IF(AND($G555&gt;=30,$AT$3&lt;=DS$7),ROUND(DS555*($AP$3+#REF!),-1),""))</f>
        <v/>
      </c>
      <c r="DU555" s="503"/>
      <c r="DV555" s="503" t="str">
        <f>IF($G555="","",IF(AND($G555&gt;=30,$AT$3&lt;=DU$7),ROUND(DU555*($AP$3+#REF!),-1),""))</f>
        <v/>
      </c>
      <c r="DW555" s="503"/>
      <c r="DX555" s="503" t="str">
        <f>IF($G555="","",IF(AND($G555&gt;=30,$AT$3&lt;=DW$7),ROUND(DW555*($AP$3+#REF!),-1),""))</f>
        <v/>
      </c>
      <c r="DY555" s="503"/>
      <c r="DZ555" s="503" t="str">
        <f>IF($G555="","",IF(AND($G555&gt;=30,$AT$3&lt;=DY$7),ROUND(DY555*($AP$3+#REF!),-1),""))</f>
        <v/>
      </c>
      <c r="EA555" s="503"/>
      <c r="EB555" s="503" t="str">
        <f>IF($G555="","",IF(AND($G555&gt;=30,$AT$3&lt;=EA$7),ROUND(EA555*($AP$3+#REF!),-1),""))</f>
        <v/>
      </c>
      <c r="EC555" s="436"/>
      <c r="ED555" s="436"/>
      <c r="EE555" s="394"/>
    </row>
    <row r="556" spans="1:135" ht="9.75" customHeight="1">
      <c r="A556" s="321" t="str">
        <f t="shared" si="124"/>
        <v/>
      </c>
      <c r="B556" s="567">
        <f>(ii!$D$13*12+V556)+1</f>
        <v>450</v>
      </c>
      <c r="C556" s="337">
        <f t="shared" si="128"/>
        <v>59049</v>
      </c>
      <c r="D556" s="484">
        <f t="shared" si="131"/>
        <v>2061</v>
      </c>
      <c r="E556" s="484">
        <f t="shared" si="129"/>
        <v>0.66666666666666663</v>
      </c>
      <c r="F556" s="484">
        <f t="shared" si="132"/>
        <v>2061.6666666666665</v>
      </c>
      <c r="G556" s="485" t="str">
        <f>IF(OR(C556&lt;$I$2,C556&gt;$J$3),"",(ii!$D$13*12+V556+1)/12)</f>
        <v/>
      </c>
      <c r="H556" s="486"/>
      <c r="I556" s="486"/>
      <c r="J556" s="487"/>
      <c r="K556" s="488"/>
      <c r="L556" s="548"/>
      <c r="M556" s="489" t="str">
        <f t="shared" si="133"/>
        <v/>
      </c>
      <c r="N556" s="490" t="s">
        <v>621</v>
      </c>
      <c r="O556" s="490" t="str">
        <f t="shared" si="126"/>
        <v/>
      </c>
      <c r="P556" s="491"/>
      <c r="Q556" s="491"/>
      <c r="R556" s="491" t="str">
        <f t="shared" si="127"/>
        <v/>
      </c>
      <c r="S556" s="528" t="str">
        <f t="shared" si="125"/>
        <v/>
      </c>
      <c r="T556" s="528" t="str">
        <f t="shared" si="123"/>
        <v/>
      </c>
      <c r="U556" s="493" t="str">
        <f>IF(H556="","",#REF!*12+#REF!+#REF!*12+#REF!)</f>
        <v/>
      </c>
      <c r="V556" s="338">
        <f>IF(ii!$J$3&gt;gg!C556,"",IF(AND((YEAR(C556)=YEAR($I$2)),MONTH(C556)=MONTH($I$2)),ii!$B$14*12+ii!$C$14+ii!$B$15*12+ii!$C$15-1,V555+1))</f>
        <v>449</v>
      </c>
      <c r="W556" s="339">
        <f t="shared" si="130"/>
        <v>37.416666666666664</v>
      </c>
      <c r="X556" s="494" t="s">
        <v>621</v>
      </c>
      <c r="Y556" s="495" t="s">
        <v>621</v>
      </c>
      <c r="Z556" s="496"/>
      <c r="AA556" s="497"/>
      <c r="AB556" s="498" t="str">
        <f t="shared" si="136"/>
        <v/>
      </c>
      <c r="AC556" s="484" t="str">
        <f t="shared" si="134"/>
        <v/>
      </c>
      <c r="AD556" s="495" t="str">
        <f t="shared" si="135"/>
        <v/>
      </c>
      <c r="AE556" s="499" t="s">
        <v>621</v>
      </c>
      <c r="AF556" s="500" t="s">
        <v>621</v>
      </c>
      <c r="AG556" s="556" t="s">
        <v>621</v>
      </c>
      <c r="AH556" s="503" t="str">
        <f>IF($G556="","",IF(AND($G556&gt;=30,$AT$3&lt;=AG$7),ROUND(AG556*($AP$3+#REF!),-1),""))</f>
        <v/>
      </c>
      <c r="AI556" s="506" t="s">
        <v>621</v>
      </c>
      <c r="AJ556" s="503" t="str">
        <f>IF($G556="","",IF(AND($G556&gt;=30,$AT$3&lt;=AI$7),ROUND(AI556*($AP$3+#REF!),-1),""))</f>
        <v/>
      </c>
      <c r="AK556" s="506" t="s">
        <v>621</v>
      </c>
      <c r="AL556" s="503" t="str">
        <f>IF($G556="","",IF(AND($G556&gt;=30,$AT$3&lt;=AK$7),ROUND(AK556*($AP$3+#REF!),-1),""))</f>
        <v/>
      </c>
      <c r="AM556" s="506" t="s">
        <v>621</v>
      </c>
      <c r="AN556" s="503" t="str">
        <f>IF($G556="","",IF(AND($G556&gt;=30,$AT$3&lt;=AM$7),ROUND(AM556*($AP$3+#REF!),-1),""))</f>
        <v/>
      </c>
      <c r="AO556" s="503" t="e">
        <v>#REF!</v>
      </c>
      <c r="AP556" s="503" t="str">
        <f>IF($G556="","",IF(AND($G556&gt;=30,$AT$3&lt;=AO$7),ROUND(AO556*($AP$3+#REF!),-1),""))</f>
        <v/>
      </c>
      <c r="AQ556" s="503" t="s">
        <v>621</v>
      </c>
      <c r="AR556" s="503" t="str">
        <f>IF($G556="","",IF(AND($G556&gt;=30,$AT$3&lt;=AQ$7),ROUND(AQ556*($AP$3+#REF!),-1),""))</f>
        <v/>
      </c>
      <c r="AS556" s="503" t="s">
        <v>621</v>
      </c>
      <c r="AT556" s="503" t="str">
        <f>IF($G556="","",IF(AND($G556&gt;=30,$AT$3&lt;=AS$7),ROUND(AS556*($AP$3+#REF!),-1),""))</f>
        <v/>
      </c>
      <c r="AU556" s="503" t="s">
        <v>621</v>
      </c>
      <c r="AV556" s="503" t="str">
        <f>IF($G556="","",IF(AND($G556&gt;=30,$AT$3&lt;=AU$7),ROUND(AU556*($AP$3+#REF!),-1),""))</f>
        <v/>
      </c>
      <c r="AW556" s="503" t="s">
        <v>621</v>
      </c>
      <c r="AX556" s="503" t="str">
        <f>IF($G556="","",IF(AND($G556&gt;=30,$AT$3&lt;=AW$7),ROUND(AW556*($AP$3+#REF!),-1),""))</f>
        <v/>
      </c>
      <c r="AY556" s="503" t="s">
        <v>621</v>
      </c>
      <c r="AZ556" s="503" t="str">
        <f>IF($G556="","",IF(AND($G556&gt;=30,$AT$3&lt;=AY$7),ROUND(AY556*($AP$3+#REF!),-1),""))</f>
        <v/>
      </c>
      <c r="BA556" s="503" t="s">
        <v>621</v>
      </c>
      <c r="BB556" s="503" t="str">
        <f>IF($G556="","",IF(AND($G556&gt;=30,$AT$3&lt;=BA$7),ROUND(BA556*($AP$3+#REF!),-1),""))</f>
        <v/>
      </c>
      <c r="BC556" s="503" t="s">
        <v>621</v>
      </c>
      <c r="BD556" s="503" t="str">
        <f>IF($G556="","",IF(AND($G556&gt;=30,$AT$3&lt;=BC$7),ROUND(BC556*($AP$3+#REF!),-1),""))</f>
        <v/>
      </c>
      <c r="BE556" s="503" t="s">
        <v>621</v>
      </c>
      <c r="BF556" s="503" t="str">
        <f>IF($G556="","",IF(AND($G556&gt;=30,$AT$3&lt;=BE$7),ROUND(BE556*($AP$3+#REF!),-1),""))</f>
        <v/>
      </c>
      <c r="BG556" s="503" t="s">
        <v>621</v>
      </c>
      <c r="BH556" s="503" t="str">
        <f>IF($G556="","",IF(AND($G556&gt;=30,$AT$3&lt;=BG$7),ROUND(BG556*($AP$3+#REF!),-1),""))</f>
        <v/>
      </c>
      <c r="BI556" s="503" t="s">
        <v>621</v>
      </c>
      <c r="BJ556" s="503" t="str">
        <f>IF($G556="","",IF(AND($G556&gt;=30,$AT$3&lt;=BI$7),ROUND(BI556*($AP$3+#REF!),-1),""))</f>
        <v/>
      </c>
      <c r="BK556" s="503" t="s">
        <v>621</v>
      </c>
      <c r="BL556" s="503" t="str">
        <f>IF($G556="","",IF(AND($G556&gt;=30,$AT$3&lt;=BK$7),ROUND(BK556*($AP$3+#REF!),-1),""))</f>
        <v/>
      </c>
      <c r="BM556" s="503" t="s">
        <v>621</v>
      </c>
      <c r="BN556" s="503" t="str">
        <f>IF($G556="","",IF(AND($G556&gt;=30,$AT$3&lt;=BM$7),ROUND(BM556*($AP$3+#REF!),-1),""))</f>
        <v/>
      </c>
      <c r="BO556" s="503" t="s">
        <v>621</v>
      </c>
      <c r="BP556" s="503" t="str">
        <f>IF($G556="","",IF(AND($G556&gt;=30,$AT$3&lt;=BO$7),ROUND(BO556*($AP$3+#REF!),-1),""))</f>
        <v/>
      </c>
      <c r="BQ556" s="503" t="s">
        <v>621</v>
      </c>
      <c r="BR556" s="503" t="str">
        <f>IF($G556="","",IF(AND($G556&gt;=30,$AT$3&lt;=BQ$7),ROUND(BQ556*($AP$3+#REF!),-1),""))</f>
        <v/>
      </c>
      <c r="BS556" s="503" t="s">
        <v>621</v>
      </c>
      <c r="BT556" s="503" t="str">
        <f>IF($G556="","",IF(AND($G556&gt;=30,$AT$3&lt;=BS$7),ROUND(BS556*($AP$3+#REF!),-1),""))</f>
        <v/>
      </c>
      <c r="BU556" s="503" t="s">
        <v>621</v>
      </c>
      <c r="BV556" s="503" t="str">
        <f>IF($G556="","",IF(AND($G556&gt;=30,$AT$3&lt;=BU$7),ROUND(BU556*($AP$3+#REF!),-1),""))</f>
        <v/>
      </c>
      <c r="BW556" s="503" t="s">
        <v>621</v>
      </c>
      <c r="BX556" s="503" t="str">
        <f>IF($G556="","",IF(AND($G556&gt;=30,$AT$3&lt;=BW$7),ROUND(BW556*($AP$3+#REF!),-1),""))</f>
        <v/>
      </c>
      <c r="BY556" s="503" t="s">
        <v>621</v>
      </c>
      <c r="BZ556" s="503" t="str">
        <f>IF($G556="","",IF(AND($G556&gt;=30,$AT$3&lt;=BY$7),ROUND(BY556*($AP$3+#REF!),-1),""))</f>
        <v/>
      </c>
      <c r="CA556" s="503" t="s">
        <v>621</v>
      </c>
      <c r="CB556" s="503" t="str">
        <f>IF($G556="","",IF(AND($G556&gt;=30,$AT$3&lt;=CA$7),ROUND(CA556*($AP$3+#REF!),-1),""))</f>
        <v/>
      </c>
      <c r="CC556" s="503" t="s">
        <v>621</v>
      </c>
      <c r="CD556" s="503" t="str">
        <f>IF($G556="","",IF(AND($G556&gt;=30,$AT$3&lt;=CC$7),ROUND(CC556*($AP$3+#REF!),-1),""))</f>
        <v/>
      </c>
      <c r="CE556" s="503" t="s">
        <v>621</v>
      </c>
      <c r="CF556" s="503" t="str">
        <f>IF($G556="","",IF(AND($G556&gt;=30,$AT$3&lt;=CE$7),ROUND(CE556*($AP$3+#REF!),-1),""))</f>
        <v/>
      </c>
      <c r="CG556" s="503" t="s">
        <v>621</v>
      </c>
      <c r="CH556" s="503" t="str">
        <f>IF($G556="","",IF(AND($G556&gt;=30,$AT$3&lt;=CG$7),ROUND(CG556*($AP$3+#REF!),-1),""))</f>
        <v/>
      </c>
      <c r="CI556" s="503" t="s">
        <v>621</v>
      </c>
      <c r="CJ556" s="503" t="str">
        <f>IF($G556="","",IF(AND($G556&gt;=30,$AT$3&lt;=CI$7),ROUND(CI556*($AP$3+#REF!),-1),""))</f>
        <v/>
      </c>
      <c r="CK556" s="503" t="s">
        <v>621</v>
      </c>
      <c r="CL556" s="503" t="str">
        <f>IF($G556="","",IF(AND($G556&gt;=30,$AT$3&lt;=CK$7),ROUND(CK556*($AP$3+#REF!),-1),""))</f>
        <v/>
      </c>
      <c r="CM556" s="503" t="s">
        <v>621</v>
      </c>
      <c r="CN556" s="503" t="str">
        <f>IF($G556="","",IF(AND($G556&gt;=30,$AT$3&lt;=CM$7),ROUND(CM556*($AP$3+#REF!),-1),""))</f>
        <v/>
      </c>
      <c r="CO556" s="503" t="s">
        <v>621</v>
      </c>
      <c r="CP556" s="503" t="str">
        <f>IF($G556="","",IF(AND($G556&gt;=30,$AT$3&lt;=CO$7),ROUND(CO556*($AP$3+#REF!),-1),""))</f>
        <v/>
      </c>
      <c r="CQ556" s="503" t="s">
        <v>621</v>
      </c>
      <c r="CR556" s="503" t="str">
        <f>IF($G556="","",IF(AND($G556&gt;=30,$AT$3&lt;=CQ$7),ROUND(CQ556*($AP$3+#REF!),-1),""))</f>
        <v/>
      </c>
      <c r="CS556" s="503" t="s">
        <v>621</v>
      </c>
      <c r="CT556" s="503" t="str">
        <f>IF($G556="","",IF(AND($G556&gt;=30,$AT$3&lt;=CS$7),ROUND(CS556*($AP$3+#REF!),-1),""))</f>
        <v/>
      </c>
      <c r="CU556" s="503" t="s">
        <v>621</v>
      </c>
      <c r="CV556" s="503" t="str">
        <f>IF($G556="","",IF(AND($G556&gt;=30,$AT$3&lt;=CU$7),ROUND(CU556*($AP$3+#REF!),-1),""))</f>
        <v/>
      </c>
      <c r="CW556" s="503" t="s">
        <v>621</v>
      </c>
      <c r="CX556" s="503" t="str">
        <f>IF($G556="","",IF(AND($G556&gt;=30,$AT$3&lt;=CW$7),ROUND(CW556*($AP$3+#REF!),-1),""))</f>
        <v/>
      </c>
      <c r="CY556" s="503" t="s">
        <v>621</v>
      </c>
      <c r="CZ556" s="503" t="str">
        <f>IF($G556="","",IF(AND($G556&gt;=30,$AT$3&lt;=CY$7),ROUND(CY556*($AP$3+#REF!),-1),""))</f>
        <v/>
      </c>
      <c r="DA556" s="503" t="s">
        <v>621</v>
      </c>
      <c r="DB556" s="503" t="str">
        <f>IF($G556="","",IF(AND($G556&gt;=30,$AT$3&lt;=DA$7),ROUND(DA556*($AP$3+#REF!),-1),""))</f>
        <v/>
      </c>
      <c r="DC556" s="503" t="s">
        <v>621</v>
      </c>
      <c r="DD556" s="503" t="str">
        <f>IF($G556="","",IF(AND($G556&gt;=30,$AT$3&lt;=DC$7),ROUND(DC556*($AP$3+#REF!),-1),""))</f>
        <v/>
      </c>
      <c r="DE556" s="503" t="s">
        <v>621</v>
      </c>
      <c r="DF556" s="503" t="str">
        <f>IF($G556="","",IF(AND($G556&gt;=30,$AT$3&lt;=DE$7),ROUND(DE556*($AP$3+#REF!),-1),""))</f>
        <v/>
      </c>
      <c r="DG556" s="503" t="s">
        <v>621</v>
      </c>
      <c r="DH556" s="503" t="str">
        <f>IF($G556="","",IF(AND($G556&gt;=30,$AT$3&lt;=DG$7),ROUND(DG556*($AP$3+#REF!),-1),""))</f>
        <v/>
      </c>
      <c r="DI556" s="503" t="s">
        <v>621</v>
      </c>
      <c r="DJ556" s="503" t="str">
        <f>IF($G556="","",IF(AND($G556&gt;=30,$AT$3&lt;=DI$7),ROUND(DI556*($AP$3+#REF!),-1),""))</f>
        <v/>
      </c>
      <c r="DK556" s="503" t="s">
        <v>621</v>
      </c>
      <c r="DL556" s="503" t="str">
        <f>IF($G556="","",IF(AND($G556&gt;=30,$AT$3&lt;=DK$7),ROUND(DK556*($AP$3+#REF!),-1),""))</f>
        <v/>
      </c>
      <c r="DM556" s="503" t="s">
        <v>621</v>
      </c>
      <c r="DN556" s="503" t="str">
        <f>IF($G556="","",IF(AND($G556&gt;=30,$AT$3&lt;=DM$7),ROUND(DM556*($AP$3+#REF!),-1),""))</f>
        <v/>
      </c>
      <c r="DO556" s="503" t="s">
        <v>621</v>
      </c>
      <c r="DP556" s="503" t="str">
        <f>IF($G556="","",IF(AND($G556&gt;=30,$AT$3&lt;=DO$7),ROUND(DO556*($AP$3+#REF!),-1),""))</f>
        <v/>
      </c>
      <c r="DQ556" s="503" t="s">
        <v>621</v>
      </c>
      <c r="DR556" s="503" t="str">
        <f>IF($G556="","",IF(AND($G556&gt;=30,$AT$3&lt;=DQ$7),ROUND(DQ556*($AP$3+#REF!),-1),""))</f>
        <v/>
      </c>
      <c r="DS556" s="517" t="e">
        <v>#REF!</v>
      </c>
      <c r="DT556" s="503" t="str">
        <f>IF($G556="","",IF(AND($G556&gt;=30,$AT$3&lt;=DS$7),ROUND(DS556*($AP$3+#REF!),-1),""))</f>
        <v/>
      </c>
      <c r="DU556" s="503"/>
      <c r="DV556" s="503" t="str">
        <f>IF($G556="","",IF(AND($G556&gt;=30,$AT$3&lt;=DU$7),ROUND(DU556*($AP$3+#REF!),-1),""))</f>
        <v/>
      </c>
      <c r="DW556" s="503"/>
      <c r="DX556" s="503" t="str">
        <f>IF($G556="","",IF(AND($G556&gt;=30,$AT$3&lt;=DW$7),ROUND(DW556*($AP$3+#REF!),-1),""))</f>
        <v/>
      </c>
      <c r="DY556" s="503"/>
      <c r="DZ556" s="503" t="str">
        <f>IF($G556="","",IF(AND($G556&gt;=30,$AT$3&lt;=DY$7),ROUND(DY556*($AP$3+#REF!),-1),""))</f>
        <v/>
      </c>
      <c r="EA556" s="503"/>
      <c r="EB556" s="503" t="str">
        <f>IF($G556="","",IF(AND($G556&gt;=30,$AT$3&lt;=EA$7),ROUND(EA556*($AP$3+#REF!),-1),""))</f>
        <v/>
      </c>
      <c r="EC556" s="436"/>
      <c r="ED556" s="436"/>
      <c r="EE556" s="394"/>
    </row>
    <row r="557" spans="1:135" ht="9.75" customHeight="1">
      <c r="A557" s="321" t="str">
        <f t="shared" si="124"/>
        <v/>
      </c>
      <c r="B557" s="567">
        <f>(ii!$D$13*12+V557)+1</f>
        <v>451</v>
      </c>
      <c r="C557" s="337">
        <f t="shared" si="128"/>
        <v>59079</v>
      </c>
      <c r="D557" s="484">
        <f t="shared" si="131"/>
        <v>2061</v>
      </c>
      <c r="E557" s="484">
        <f t="shared" si="129"/>
        <v>0.75</v>
      </c>
      <c r="F557" s="484">
        <f t="shared" si="132"/>
        <v>2061.75</v>
      </c>
      <c r="G557" s="485" t="str">
        <f>IF(OR(C557&lt;$I$2,C557&gt;$J$3),"",(ii!$D$13*12+V557+1)/12)</f>
        <v/>
      </c>
      <c r="H557" s="486"/>
      <c r="I557" s="486"/>
      <c r="J557" s="487"/>
      <c r="K557" s="488"/>
      <c r="L557" s="548"/>
      <c r="M557" s="489" t="str">
        <f t="shared" si="133"/>
        <v/>
      </c>
      <c r="N557" s="490" t="s">
        <v>621</v>
      </c>
      <c r="O557" s="490" t="str">
        <f t="shared" si="126"/>
        <v/>
      </c>
      <c r="P557" s="491"/>
      <c r="Q557" s="491"/>
      <c r="R557" s="491" t="str">
        <f t="shared" si="127"/>
        <v/>
      </c>
      <c r="S557" s="528" t="str">
        <f t="shared" si="125"/>
        <v/>
      </c>
      <c r="T557" s="528" t="str">
        <f t="shared" si="123"/>
        <v/>
      </c>
      <c r="U557" s="493" t="str">
        <f>IF(H557="","",#REF!*12+#REF!+#REF!*12+#REF!)</f>
        <v/>
      </c>
      <c r="V557" s="338">
        <f>IF(ii!$J$3&gt;gg!C557,"",IF(AND((YEAR(C557)=YEAR($I$2)),MONTH(C557)=MONTH($I$2)),ii!$B$14*12+ii!$C$14+ii!$B$15*12+ii!$C$15-1,V556+1))</f>
        <v>450</v>
      </c>
      <c r="W557" s="339">
        <f t="shared" si="130"/>
        <v>37.5</v>
      </c>
      <c r="X557" s="494" t="s">
        <v>621</v>
      </c>
      <c r="Y557" s="495" t="s">
        <v>621</v>
      </c>
      <c r="Z557" s="496"/>
      <c r="AA557" s="497"/>
      <c r="AB557" s="498" t="str">
        <f t="shared" si="136"/>
        <v/>
      </c>
      <c r="AC557" s="484" t="str">
        <f t="shared" si="134"/>
        <v/>
      </c>
      <c r="AD557" s="495" t="str">
        <f t="shared" si="135"/>
        <v/>
      </c>
      <c r="AE557" s="499" t="s">
        <v>621</v>
      </c>
      <c r="AF557" s="500" t="s">
        <v>621</v>
      </c>
      <c r="AG557" s="556" t="s">
        <v>621</v>
      </c>
      <c r="AH557" s="503" t="str">
        <f>IF($G557="","",IF(AND($G557&gt;=30,$AT$3&lt;=AG$7),ROUND(AG557*($AP$3+#REF!),-1),""))</f>
        <v/>
      </c>
      <c r="AI557" s="506" t="s">
        <v>621</v>
      </c>
      <c r="AJ557" s="503" t="str">
        <f>IF($G557="","",IF(AND($G557&gt;=30,$AT$3&lt;=AI$7),ROUND(AI557*($AP$3+#REF!),-1),""))</f>
        <v/>
      </c>
      <c r="AK557" s="506" t="s">
        <v>621</v>
      </c>
      <c r="AL557" s="503" t="str">
        <f>IF($G557="","",IF(AND($G557&gt;=30,$AT$3&lt;=AK$7),ROUND(AK557*($AP$3+#REF!),-1),""))</f>
        <v/>
      </c>
      <c r="AM557" s="506" t="s">
        <v>621</v>
      </c>
      <c r="AN557" s="503" t="str">
        <f>IF($G557="","",IF(AND($G557&gt;=30,$AT$3&lt;=AM$7),ROUND(AM557*($AP$3+#REF!),-1),""))</f>
        <v/>
      </c>
      <c r="AO557" s="503" t="e">
        <v>#REF!</v>
      </c>
      <c r="AP557" s="503" t="str">
        <f>IF($G557="","",IF(AND($G557&gt;=30,$AT$3&lt;=AO$7),ROUND(AO557*($AP$3+#REF!),-1),""))</f>
        <v/>
      </c>
      <c r="AQ557" s="503" t="s">
        <v>621</v>
      </c>
      <c r="AR557" s="503" t="str">
        <f>IF($G557="","",IF(AND($G557&gt;=30,$AT$3&lt;=AQ$7),ROUND(AQ557*($AP$3+#REF!),-1),""))</f>
        <v/>
      </c>
      <c r="AS557" s="503" t="s">
        <v>621</v>
      </c>
      <c r="AT557" s="503" t="str">
        <f>IF($G557="","",IF(AND($G557&gt;=30,$AT$3&lt;=AS$7),ROUND(AS557*($AP$3+#REF!),-1),""))</f>
        <v/>
      </c>
      <c r="AU557" s="503" t="s">
        <v>621</v>
      </c>
      <c r="AV557" s="503" t="str">
        <f>IF($G557="","",IF(AND($G557&gt;=30,$AT$3&lt;=AU$7),ROUND(AU557*($AP$3+#REF!),-1),""))</f>
        <v/>
      </c>
      <c r="AW557" s="503" t="s">
        <v>621</v>
      </c>
      <c r="AX557" s="503" t="str">
        <f>IF($G557="","",IF(AND($G557&gt;=30,$AT$3&lt;=AW$7),ROUND(AW557*($AP$3+#REF!),-1),""))</f>
        <v/>
      </c>
      <c r="AY557" s="503" t="s">
        <v>621</v>
      </c>
      <c r="AZ557" s="503" t="str">
        <f>IF($G557="","",IF(AND($G557&gt;=30,$AT$3&lt;=AY$7),ROUND(AY557*($AP$3+#REF!),-1),""))</f>
        <v/>
      </c>
      <c r="BA557" s="503" t="s">
        <v>621</v>
      </c>
      <c r="BB557" s="503" t="str">
        <f>IF($G557="","",IF(AND($G557&gt;=30,$AT$3&lt;=BA$7),ROUND(BA557*($AP$3+#REF!),-1),""))</f>
        <v/>
      </c>
      <c r="BC557" s="503" t="s">
        <v>621</v>
      </c>
      <c r="BD557" s="503" t="str">
        <f>IF($G557="","",IF(AND($G557&gt;=30,$AT$3&lt;=BC$7),ROUND(BC557*($AP$3+#REF!),-1),""))</f>
        <v/>
      </c>
      <c r="BE557" s="503" t="s">
        <v>621</v>
      </c>
      <c r="BF557" s="503" t="str">
        <f>IF($G557="","",IF(AND($G557&gt;=30,$AT$3&lt;=BE$7),ROUND(BE557*($AP$3+#REF!),-1),""))</f>
        <v/>
      </c>
      <c r="BG557" s="503" t="s">
        <v>621</v>
      </c>
      <c r="BH557" s="503" t="str">
        <f>IF($G557="","",IF(AND($G557&gt;=30,$AT$3&lt;=BG$7),ROUND(BG557*($AP$3+#REF!),-1),""))</f>
        <v/>
      </c>
      <c r="BI557" s="503" t="s">
        <v>621</v>
      </c>
      <c r="BJ557" s="503" t="str">
        <f>IF($G557="","",IF(AND($G557&gt;=30,$AT$3&lt;=BI$7),ROUND(BI557*($AP$3+#REF!),-1),""))</f>
        <v/>
      </c>
      <c r="BK557" s="503" t="s">
        <v>621</v>
      </c>
      <c r="BL557" s="503" t="str">
        <f>IF($G557="","",IF(AND($G557&gt;=30,$AT$3&lt;=BK$7),ROUND(BK557*($AP$3+#REF!),-1),""))</f>
        <v/>
      </c>
      <c r="BM557" s="503" t="s">
        <v>621</v>
      </c>
      <c r="BN557" s="503" t="str">
        <f>IF($G557="","",IF(AND($G557&gt;=30,$AT$3&lt;=BM$7),ROUND(BM557*($AP$3+#REF!),-1),""))</f>
        <v/>
      </c>
      <c r="BO557" s="503" t="s">
        <v>621</v>
      </c>
      <c r="BP557" s="503" t="str">
        <f>IF($G557="","",IF(AND($G557&gt;=30,$AT$3&lt;=BO$7),ROUND(BO557*($AP$3+#REF!),-1),""))</f>
        <v/>
      </c>
      <c r="BQ557" s="503" t="s">
        <v>621</v>
      </c>
      <c r="BR557" s="503" t="str">
        <f>IF($G557="","",IF(AND($G557&gt;=30,$AT$3&lt;=BQ$7),ROUND(BQ557*($AP$3+#REF!),-1),""))</f>
        <v/>
      </c>
      <c r="BS557" s="503" t="s">
        <v>621</v>
      </c>
      <c r="BT557" s="503" t="str">
        <f>IF($G557="","",IF(AND($G557&gt;=30,$AT$3&lt;=BS$7),ROUND(BS557*($AP$3+#REF!),-1),""))</f>
        <v/>
      </c>
      <c r="BU557" s="503" t="s">
        <v>621</v>
      </c>
      <c r="BV557" s="503" t="str">
        <f>IF($G557="","",IF(AND($G557&gt;=30,$AT$3&lt;=BU$7),ROUND(BU557*($AP$3+#REF!),-1),""))</f>
        <v/>
      </c>
      <c r="BW557" s="503" t="s">
        <v>621</v>
      </c>
      <c r="BX557" s="503" t="str">
        <f>IF($G557="","",IF(AND($G557&gt;=30,$AT$3&lt;=BW$7),ROUND(BW557*($AP$3+#REF!),-1),""))</f>
        <v/>
      </c>
      <c r="BY557" s="503" t="s">
        <v>621</v>
      </c>
      <c r="BZ557" s="503" t="str">
        <f>IF($G557="","",IF(AND($G557&gt;=30,$AT$3&lt;=BY$7),ROUND(BY557*($AP$3+#REF!),-1),""))</f>
        <v/>
      </c>
      <c r="CA557" s="503" t="s">
        <v>621</v>
      </c>
      <c r="CB557" s="503" t="str">
        <f>IF($G557="","",IF(AND($G557&gt;=30,$AT$3&lt;=CA$7),ROUND(CA557*($AP$3+#REF!),-1),""))</f>
        <v/>
      </c>
      <c r="CC557" s="503" t="s">
        <v>621</v>
      </c>
      <c r="CD557" s="503" t="str">
        <f>IF($G557="","",IF(AND($G557&gt;=30,$AT$3&lt;=CC$7),ROUND(CC557*($AP$3+#REF!),-1),""))</f>
        <v/>
      </c>
      <c r="CE557" s="503" t="s">
        <v>621</v>
      </c>
      <c r="CF557" s="503" t="str">
        <f>IF($G557="","",IF(AND($G557&gt;=30,$AT$3&lt;=CE$7),ROUND(CE557*($AP$3+#REF!),-1),""))</f>
        <v/>
      </c>
      <c r="CG557" s="503" t="s">
        <v>621</v>
      </c>
      <c r="CH557" s="503" t="str">
        <f>IF($G557="","",IF(AND($G557&gt;=30,$AT$3&lt;=CG$7),ROUND(CG557*($AP$3+#REF!),-1),""))</f>
        <v/>
      </c>
      <c r="CI557" s="503" t="s">
        <v>621</v>
      </c>
      <c r="CJ557" s="503" t="str">
        <f>IF($G557="","",IF(AND($G557&gt;=30,$AT$3&lt;=CI$7),ROUND(CI557*($AP$3+#REF!),-1),""))</f>
        <v/>
      </c>
      <c r="CK557" s="503" t="s">
        <v>621</v>
      </c>
      <c r="CL557" s="503" t="str">
        <f>IF($G557="","",IF(AND($G557&gt;=30,$AT$3&lt;=CK$7),ROUND(CK557*($AP$3+#REF!),-1),""))</f>
        <v/>
      </c>
      <c r="CM557" s="503" t="s">
        <v>621</v>
      </c>
      <c r="CN557" s="503" t="str">
        <f>IF($G557="","",IF(AND($G557&gt;=30,$AT$3&lt;=CM$7),ROUND(CM557*($AP$3+#REF!),-1),""))</f>
        <v/>
      </c>
      <c r="CO557" s="503" t="s">
        <v>621</v>
      </c>
      <c r="CP557" s="503" t="str">
        <f>IF($G557="","",IF(AND($G557&gt;=30,$AT$3&lt;=CO$7),ROUND(CO557*($AP$3+#REF!),-1),""))</f>
        <v/>
      </c>
      <c r="CQ557" s="503" t="s">
        <v>621</v>
      </c>
      <c r="CR557" s="503" t="str">
        <f>IF($G557="","",IF(AND($G557&gt;=30,$AT$3&lt;=CQ$7),ROUND(CQ557*($AP$3+#REF!),-1),""))</f>
        <v/>
      </c>
      <c r="CS557" s="503" t="s">
        <v>621</v>
      </c>
      <c r="CT557" s="503" t="str">
        <f>IF($G557="","",IF(AND($G557&gt;=30,$AT$3&lt;=CS$7),ROUND(CS557*($AP$3+#REF!),-1),""))</f>
        <v/>
      </c>
      <c r="CU557" s="503" t="s">
        <v>621</v>
      </c>
      <c r="CV557" s="503" t="str">
        <f>IF($G557="","",IF(AND($G557&gt;=30,$AT$3&lt;=CU$7),ROUND(CU557*($AP$3+#REF!),-1),""))</f>
        <v/>
      </c>
      <c r="CW557" s="503" t="s">
        <v>621</v>
      </c>
      <c r="CX557" s="503" t="str">
        <f>IF($G557="","",IF(AND($G557&gt;=30,$AT$3&lt;=CW$7),ROUND(CW557*($AP$3+#REF!),-1),""))</f>
        <v/>
      </c>
      <c r="CY557" s="503" t="s">
        <v>621</v>
      </c>
      <c r="CZ557" s="503" t="str">
        <f>IF($G557="","",IF(AND($G557&gt;=30,$AT$3&lt;=CY$7),ROUND(CY557*($AP$3+#REF!),-1),""))</f>
        <v/>
      </c>
      <c r="DA557" s="503" t="s">
        <v>621</v>
      </c>
      <c r="DB557" s="503" t="str">
        <f>IF($G557="","",IF(AND($G557&gt;=30,$AT$3&lt;=DA$7),ROUND(DA557*($AP$3+#REF!),-1),""))</f>
        <v/>
      </c>
      <c r="DC557" s="503" t="s">
        <v>621</v>
      </c>
      <c r="DD557" s="503" t="str">
        <f>IF($G557="","",IF(AND($G557&gt;=30,$AT$3&lt;=DC$7),ROUND(DC557*($AP$3+#REF!),-1),""))</f>
        <v/>
      </c>
      <c r="DE557" s="503" t="s">
        <v>621</v>
      </c>
      <c r="DF557" s="503" t="str">
        <f>IF($G557="","",IF(AND($G557&gt;=30,$AT$3&lt;=DE$7),ROUND(DE557*($AP$3+#REF!),-1),""))</f>
        <v/>
      </c>
      <c r="DG557" s="503" t="s">
        <v>621</v>
      </c>
      <c r="DH557" s="503" t="str">
        <f>IF($G557="","",IF(AND($G557&gt;=30,$AT$3&lt;=DG$7),ROUND(DG557*($AP$3+#REF!),-1),""))</f>
        <v/>
      </c>
      <c r="DI557" s="503" t="s">
        <v>621</v>
      </c>
      <c r="DJ557" s="503" t="str">
        <f>IF($G557="","",IF(AND($G557&gt;=30,$AT$3&lt;=DI$7),ROUND(DI557*($AP$3+#REF!),-1),""))</f>
        <v/>
      </c>
      <c r="DK557" s="503" t="s">
        <v>621</v>
      </c>
      <c r="DL557" s="503" t="str">
        <f>IF($G557="","",IF(AND($G557&gt;=30,$AT$3&lt;=DK$7),ROUND(DK557*($AP$3+#REF!),-1),""))</f>
        <v/>
      </c>
      <c r="DM557" s="503" t="s">
        <v>621</v>
      </c>
      <c r="DN557" s="503" t="str">
        <f>IF($G557="","",IF(AND($G557&gt;=30,$AT$3&lt;=DM$7),ROUND(DM557*($AP$3+#REF!),-1),""))</f>
        <v/>
      </c>
      <c r="DO557" s="503" t="s">
        <v>621</v>
      </c>
      <c r="DP557" s="503" t="str">
        <f>IF($G557="","",IF(AND($G557&gt;=30,$AT$3&lt;=DO$7),ROUND(DO557*($AP$3+#REF!),-1),""))</f>
        <v/>
      </c>
      <c r="DQ557" s="503" t="s">
        <v>621</v>
      </c>
      <c r="DR557" s="503" t="str">
        <f>IF($G557="","",IF(AND($G557&gt;=30,$AT$3&lt;=DQ$7),ROUND(DQ557*($AP$3+#REF!),-1),""))</f>
        <v/>
      </c>
      <c r="DS557" s="517" t="e">
        <v>#REF!</v>
      </c>
      <c r="DT557" s="503" t="str">
        <f>IF($G557="","",IF(AND($G557&gt;=30,$AT$3&lt;=DS$7),ROUND(DS557*($AP$3+#REF!),-1),""))</f>
        <v/>
      </c>
      <c r="DU557" s="503"/>
      <c r="DV557" s="503" t="str">
        <f>IF($G557="","",IF(AND($G557&gt;=30,$AT$3&lt;=DU$7),ROUND(DU557*($AP$3+#REF!),-1),""))</f>
        <v/>
      </c>
      <c r="DW557" s="503"/>
      <c r="DX557" s="503" t="str">
        <f>IF($G557="","",IF(AND($G557&gt;=30,$AT$3&lt;=DW$7),ROUND(DW557*($AP$3+#REF!),-1),""))</f>
        <v/>
      </c>
      <c r="DY557" s="503"/>
      <c r="DZ557" s="503" t="str">
        <f>IF($G557="","",IF(AND($G557&gt;=30,$AT$3&lt;=DY$7),ROUND(DY557*($AP$3+#REF!),-1),""))</f>
        <v/>
      </c>
      <c r="EA557" s="503"/>
      <c r="EB557" s="503" t="str">
        <f>IF($G557="","",IF(AND($G557&gt;=30,$AT$3&lt;=EA$7),ROUND(EA557*($AP$3+#REF!),-1),""))</f>
        <v/>
      </c>
      <c r="EC557" s="436"/>
      <c r="ED557" s="436"/>
      <c r="EE557" s="394"/>
    </row>
    <row r="558" spans="1:135" ht="9.75" customHeight="1">
      <c r="A558" s="321" t="str">
        <f t="shared" si="124"/>
        <v/>
      </c>
      <c r="B558" s="567">
        <f>(ii!$D$13*12+V558)+1</f>
        <v>452</v>
      </c>
      <c r="C558" s="337">
        <f t="shared" si="128"/>
        <v>59110</v>
      </c>
      <c r="D558" s="484">
        <f t="shared" si="131"/>
        <v>2061</v>
      </c>
      <c r="E558" s="484">
        <f t="shared" si="129"/>
        <v>0.83333333333333337</v>
      </c>
      <c r="F558" s="484">
        <f t="shared" si="132"/>
        <v>2061.8333333333335</v>
      </c>
      <c r="G558" s="485" t="str">
        <f>IF(OR(C558&lt;$I$2,C558&gt;$J$3),"",(ii!$D$13*12+V558+1)/12)</f>
        <v/>
      </c>
      <c r="H558" s="486"/>
      <c r="I558" s="486"/>
      <c r="J558" s="487"/>
      <c r="K558" s="488"/>
      <c r="L558" s="548"/>
      <c r="M558" s="489" t="str">
        <f t="shared" si="133"/>
        <v/>
      </c>
      <c r="N558" s="490" t="s">
        <v>621</v>
      </c>
      <c r="O558" s="490" t="str">
        <f t="shared" si="126"/>
        <v/>
      </c>
      <c r="P558" s="491"/>
      <c r="Q558" s="491"/>
      <c r="R558" s="491" t="str">
        <f t="shared" si="127"/>
        <v/>
      </c>
      <c r="S558" s="528" t="str">
        <f t="shared" si="125"/>
        <v/>
      </c>
      <c r="T558" s="528" t="str">
        <f t="shared" si="123"/>
        <v/>
      </c>
      <c r="U558" s="493" t="str">
        <f>IF(H558="","",#REF!*12+#REF!+#REF!*12+#REF!)</f>
        <v/>
      </c>
      <c r="V558" s="338">
        <f>IF(ii!$J$3&gt;gg!C558,"",IF(AND((YEAR(C558)=YEAR($I$2)),MONTH(C558)=MONTH($I$2)),ii!$B$14*12+ii!$C$14+ii!$B$15*12+ii!$C$15-1,V557+1))</f>
        <v>451</v>
      </c>
      <c r="W558" s="339">
        <f t="shared" si="130"/>
        <v>37.583333333333336</v>
      </c>
      <c r="X558" s="494" t="s">
        <v>621</v>
      </c>
      <c r="Y558" s="495" t="s">
        <v>621</v>
      </c>
      <c r="Z558" s="496"/>
      <c r="AA558" s="497"/>
      <c r="AB558" s="498" t="str">
        <f t="shared" si="136"/>
        <v/>
      </c>
      <c r="AC558" s="484" t="str">
        <f t="shared" si="134"/>
        <v/>
      </c>
      <c r="AD558" s="495" t="str">
        <f t="shared" si="135"/>
        <v/>
      </c>
      <c r="AE558" s="499" t="s">
        <v>621</v>
      </c>
      <c r="AF558" s="500" t="s">
        <v>621</v>
      </c>
      <c r="AG558" s="556" t="s">
        <v>621</v>
      </c>
      <c r="AH558" s="503" t="str">
        <f>IF($G558="","",IF(AND($G558&gt;=30,$AT$3&lt;=AG$7),ROUND(AG558*($AP$3+#REF!),-1),""))</f>
        <v/>
      </c>
      <c r="AI558" s="506" t="s">
        <v>621</v>
      </c>
      <c r="AJ558" s="503" t="str">
        <f>IF($G558="","",IF(AND($G558&gt;=30,$AT$3&lt;=AI$7),ROUND(AI558*($AP$3+#REF!),-1),""))</f>
        <v/>
      </c>
      <c r="AK558" s="506" t="s">
        <v>621</v>
      </c>
      <c r="AL558" s="503" t="str">
        <f>IF($G558="","",IF(AND($G558&gt;=30,$AT$3&lt;=AK$7),ROUND(AK558*($AP$3+#REF!),-1),""))</f>
        <v/>
      </c>
      <c r="AM558" s="506" t="s">
        <v>621</v>
      </c>
      <c r="AN558" s="503" t="str">
        <f>IF($G558="","",IF(AND($G558&gt;=30,$AT$3&lt;=AM$7),ROUND(AM558*($AP$3+#REF!),-1),""))</f>
        <v/>
      </c>
      <c r="AO558" s="503" t="e">
        <v>#REF!</v>
      </c>
      <c r="AP558" s="503" t="str">
        <f>IF($G558="","",IF(AND($G558&gt;=30,$AT$3&lt;=AO$7),ROUND(AO558*($AP$3+#REF!),-1),""))</f>
        <v/>
      </c>
      <c r="AQ558" s="503" t="s">
        <v>621</v>
      </c>
      <c r="AR558" s="503" t="str">
        <f>IF($G558="","",IF(AND($G558&gt;=30,$AT$3&lt;=AQ$7),ROUND(AQ558*($AP$3+#REF!),-1),""))</f>
        <v/>
      </c>
      <c r="AS558" s="503" t="s">
        <v>621</v>
      </c>
      <c r="AT558" s="503" t="str">
        <f>IF($G558="","",IF(AND($G558&gt;=30,$AT$3&lt;=AS$7),ROUND(AS558*($AP$3+#REF!),-1),""))</f>
        <v/>
      </c>
      <c r="AU558" s="503" t="s">
        <v>621</v>
      </c>
      <c r="AV558" s="503" t="str">
        <f>IF($G558="","",IF(AND($G558&gt;=30,$AT$3&lt;=AU$7),ROUND(AU558*($AP$3+#REF!),-1),""))</f>
        <v/>
      </c>
      <c r="AW558" s="503" t="s">
        <v>621</v>
      </c>
      <c r="AX558" s="503" t="str">
        <f>IF($G558="","",IF(AND($G558&gt;=30,$AT$3&lt;=AW$7),ROUND(AW558*($AP$3+#REF!),-1),""))</f>
        <v/>
      </c>
      <c r="AY558" s="503" t="s">
        <v>621</v>
      </c>
      <c r="AZ558" s="503" t="str">
        <f>IF($G558="","",IF(AND($G558&gt;=30,$AT$3&lt;=AY$7),ROUND(AY558*($AP$3+#REF!),-1),""))</f>
        <v/>
      </c>
      <c r="BA558" s="503" t="s">
        <v>621</v>
      </c>
      <c r="BB558" s="503" t="str">
        <f>IF($G558="","",IF(AND($G558&gt;=30,$AT$3&lt;=BA$7),ROUND(BA558*($AP$3+#REF!),-1),""))</f>
        <v/>
      </c>
      <c r="BC558" s="503" t="s">
        <v>621</v>
      </c>
      <c r="BD558" s="503" t="str">
        <f>IF($G558="","",IF(AND($G558&gt;=30,$AT$3&lt;=BC$7),ROUND(BC558*($AP$3+#REF!),-1),""))</f>
        <v/>
      </c>
      <c r="BE558" s="503" t="s">
        <v>621</v>
      </c>
      <c r="BF558" s="503" t="str">
        <f>IF($G558="","",IF(AND($G558&gt;=30,$AT$3&lt;=BE$7),ROUND(BE558*($AP$3+#REF!),-1),""))</f>
        <v/>
      </c>
      <c r="BG558" s="503" t="s">
        <v>621</v>
      </c>
      <c r="BH558" s="503" t="str">
        <f>IF($G558="","",IF(AND($G558&gt;=30,$AT$3&lt;=BG$7),ROUND(BG558*($AP$3+#REF!),-1),""))</f>
        <v/>
      </c>
      <c r="BI558" s="503" t="s">
        <v>621</v>
      </c>
      <c r="BJ558" s="503" t="str">
        <f>IF($G558="","",IF(AND($G558&gt;=30,$AT$3&lt;=BI$7),ROUND(BI558*($AP$3+#REF!),-1),""))</f>
        <v/>
      </c>
      <c r="BK558" s="503" t="s">
        <v>621</v>
      </c>
      <c r="BL558" s="503" t="str">
        <f>IF($G558="","",IF(AND($G558&gt;=30,$AT$3&lt;=BK$7),ROUND(BK558*($AP$3+#REF!),-1),""))</f>
        <v/>
      </c>
      <c r="BM558" s="503" t="s">
        <v>621</v>
      </c>
      <c r="BN558" s="503" t="str">
        <f>IF($G558="","",IF(AND($G558&gt;=30,$AT$3&lt;=BM$7),ROUND(BM558*($AP$3+#REF!),-1),""))</f>
        <v/>
      </c>
      <c r="BO558" s="503" t="s">
        <v>621</v>
      </c>
      <c r="BP558" s="503" t="str">
        <f>IF($G558="","",IF(AND($G558&gt;=30,$AT$3&lt;=BO$7),ROUND(BO558*($AP$3+#REF!),-1),""))</f>
        <v/>
      </c>
      <c r="BQ558" s="503" t="s">
        <v>621</v>
      </c>
      <c r="BR558" s="503" t="str">
        <f>IF($G558="","",IF(AND($G558&gt;=30,$AT$3&lt;=BQ$7),ROUND(BQ558*($AP$3+#REF!),-1),""))</f>
        <v/>
      </c>
      <c r="BS558" s="503" t="s">
        <v>621</v>
      </c>
      <c r="BT558" s="503" t="str">
        <f>IF($G558="","",IF(AND($G558&gt;=30,$AT$3&lt;=BS$7),ROUND(BS558*($AP$3+#REF!),-1),""))</f>
        <v/>
      </c>
      <c r="BU558" s="503" t="s">
        <v>621</v>
      </c>
      <c r="BV558" s="503" t="str">
        <f>IF($G558="","",IF(AND($G558&gt;=30,$AT$3&lt;=BU$7),ROUND(BU558*($AP$3+#REF!),-1),""))</f>
        <v/>
      </c>
      <c r="BW558" s="503" t="s">
        <v>621</v>
      </c>
      <c r="BX558" s="503" t="str">
        <f>IF($G558="","",IF(AND($G558&gt;=30,$AT$3&lt;=BW$7),ROUND(BW558*($AP$3+#REF!),-1),""))</f>
        <v/>
      </c>
      <c r="BY558" s="503" t="s">
        <v>621</v>
      </c>
      <c r="BZ558" s="503" t="str">
        <f>IF($G558="","",IF(AND($G558&gt;=30,$AT$3&lt;=BY$7),ROUND(BY558*($AP$3+#REF!),-1),""))</f>
        <v/>
      </c>
      <c r="CA558" s="503" t="s">
        <v>621</v>
      </c>
      <c r="CB558" s="503" t="str">
        <f>IF($G558="","",IF(AND($G558&gt;=30,$AT$3&lt;=CA$7),ROUND(CA558*($AP$3+#REF!),-1),""))</f>
        <v/>
      </c>
      <c r="CC558" s="503" t="s">
        <v>621</v>
      </c>
      <c r="CD558" s="503" t="str">
        <f>IF($G558="","",IF(AND($G558&gt;=30,$AT$3&lt;=CC$7),ROUND(CC558*($AP$3+#REF!),-1),""))</f>
        <v/>
      </c>
      <c r="CE558" s="503" t="s">
        <v>621</v>
      </c>
      <c r="CF558" s="503" t="str">
        <f>IF($G558="","",IF(AND($G558&gt;=30,$AT$3&lt;=CE$7),ROUND(CE558*($AP$3+#REF!),-1),""))</f>
        <v/>
      </c>
      <c r="CG558" s="503" t="s">
        <v>621</v>
      </c>
      <c r="CH558" s="503" t="str">
        <f>IF($G558="","",IF(AND($G558&gt;=30,$AT$3&lt;=CG$7),ROUND(CG558*($AP$3+#REF!),-1),""))</f>
        <v/>
      </c>
      <c r="CI558" s="503" t="s">
        <v>621</v>
      </c>
      <c r="CJ558" s="503" t="str">
        <f>IF($G558="","",IF(AND($G558&gt;=30,$AT$3&lt;=CI$7),ROUND(CI558*($AP$3+#REF!),-1),""))</f>
        <v/>
      </c>
      <c r="CK558" s="503" t="s">
        <v>621</v>
      </c>
      <c r="CL558" s="503" t="str">
        <f>IF($G558="","",IF(AND($G558&gt;=30,$AT$3&lt;=CK$7),ROUND(CK558*($AP$3+#REF!),-1),""))</f>
        <v/>
      </c>
      <c r="CM558" s="503" t="s">
        <v>621</v>
      </c>
      <c r="CN558" s="503" t="str">
        <f>IF($G558="","",IF(AND($G558&gt;=30,$AT$3&lt;=CM$7),ROUND(CM558*($AP$3+#REF!),-1),""))</f>
        <v/>
      </c>
      <c r="CO558" s="503" t="s">
        <v>621</v>
      </c>
      <c r="CP558" s="503" t="str">
        <f>IF($G558="","",IF(AND($G558&gt;=30,$AT$3&lt;=CO$7),ROUND(CO558*($AP$3+#REF!),-1),""))</f>
        <v/>
      </c>
      <c r="CQ558" s="503" t="s">
        <v>621</v>
      </c>
      <c r="CR558" s="503" t="str">
        <f>IF($G558="","",IF(AND($G558&gt;=30,$AT$3&lt;=CQ$7),ROUND(CQ558*($AP$3+#REF!),-1),""))</f>
        <v/>
      </c>
      <c r="CS558" s="503" t="s">
        <v>621</v>
      </c>
      <c r="CT558" s="503" t="str">
        <f>IF($G558="","",IF(AND($G558&gt;=30,$AT$3&lt;=CS$7),ROUND(CS558*($AP$3+#REF!),-1),""))</f>
        <v/>
      </c>
      <c r="CU558" s="503" t="s">
        <v>621</v>
      </c>
      <c r="CV558" s="503" t="str">
        <f>IF($G558="","",IF(AND($G558&gt;=30,$AT$3&lt;=CU$7),ROUND(CU558*($AP$3+#REF!),-1),""))</f>
        <v/>
      </c>
      <c r="CW558" s="503" t="s">
        <v>621</v>
      </c>
      <c r="CX558" s="503" t="str">
        <f>IF($G558="","",IF(AND($G558&gt;=30,$AT$3&lt;=CW$7),ROUND(CW558*($AP$3+#REF!),-1),""))</f>
        <v/>
      </c>
      <c r="CY558" s="503" t="s">
        <v>621</v>
      </c>
      <c r="CZ558" s="503" t="str">
        <f>IF($G558="","",IF(AND($G558&gt;=30,$AT$3&lt;=CY$7),ROUND(CY558*($AP$3+#REF!),-1),""))</f>
        <v/>
      </c>
      <c r="DA558" s="503" t="s">
        <v>621</v>
      </c>
      <c r="DB558" s="503" t="str">
        <f>IF($G558="","",IF(AND($G558&gt;=30,$AT$3&lt;=DA$7),ROUND(DA558*($AP$3+#REF!),-1),""))</f>
        <v/>
      </c>
      <c r="DC558" s="503" t="s">
        <v>621</v>
      </c>
      <c r="DD558" s="503" t="str">
        <f>IF($G558="","",IF(AND($G558&gt;=30,$AT$3&lt;=DC$7),ROUND(DC558*($AP$3+#REF!),-1),""))</f>
        <v/>
      </c>
      <c r="DE558" s="503" t="s">
        <v>621</v>
      </c>
      <c r="DF558" s="503" t="str">
        <f>IF($G558="","",IF(AND($G558&gt;=30,$AT$3&lt;=DE$7),ROUND(DE558*($AP$3+#REF!),-1),""))</f>
        <v/>
      </c>
      <c r="DG558" s="503" t="s">
        <v>621</v>
      </c>
      <c r="DH558" s="503" t="str">
        <f>IF($G558="","",IF(AND($G558&gt;=30,$AT$3&lt;=DG$7),ROUND(DG558*($AP$3+#REF!),-1),""))</f>
        <v/>
      </c>
      <c r="DI558" s="503" t="s">
        <v>621</v>
      </c>
      <c r="DJ558" s="503" t="str">
        <f>IF($G558="","",IF(AND($G558&gt;=30,$AT$3&lt;=DI$7),ROUND(DI558*($AP$3+#REF!),-1),""))</f>
        <v/>
      </c>
      <c r="DK558" s="503" t="s">
        <v>621</v>
      </c>
      <c r="DL558" s="503" t="str">
        <f>IF($G558="","",IF(AND($G558&gt;=30,$AT$3&lt;=DK$7),ROUND(DK558*($AP$3+#REF!),-1),""))</f>
        <v/>
      </c>
      <c r="DM558" s="503" t="s">
        <v>621</v>
      </c>
      <c r="DN558" s="503" t="str">
        <f>IF($G558="","",IF(AND($G558&gt;=30,$AT$3&lt;=DM$7),ROUND(DM558*($AP$3+#REF!),-1),""))</f>
        <v/>
      </c>
      <c r="DO558" s="503" t="s">
        <v>621</v>
      </c>
      <c r="DP558" s="503" t="str">
        <f>IF($G558="","",IF(AND($G558&gt;=30,$AT$3&lt;=DO$7),ROUND(DO558*($AP$3+#REF!),-1),""))</f>
        <v/>
      </c>
      <c r="DQ558" s="503" t="s">
        <v>621</v>
      </c>
      <c r="DR558" s="503" t="str">
        <f>IF($G558="","",IF(AND($G558&gt;=30,$AT$3&lt;=DQ$7),ROUND(DQ558*($AP$3+#REF!),-1),""))</f>
        <v/>
      </c>
      <c r="DS558" s="517" t="e">
        <v>#REF!</v>
      </c>
      <c r="DT558" s="503" t="str">
        <f>IF($G558="","",IF(AND($G558&gt;=30,$AT$3&lt;=DS$7),ROUND(DS558*($AP$3+#REF!),-1),""))</f>
        <v/>
      </c>
      <c r="DU558" s="503"/>
      <c r="DV558" s="503" t="str">
        <f>IF($G558="","",IF(AND($G558&gt;=30,$AT$3&lt;=DU$7),ROUND(DU558*($AP$3+#REF!),-1),""))</f>
        <v/>
      </c>
      <c r="DW558" s="503"/>
      <c r="DX558" s="503" t="str">
        <f>IF($G558="","",IF(AND($G558&gt;=30,$AT$3&lt;=DW$7),ROUND(DW558*($AP$3+#REF!),-1),""))</f>
        <v/>
      </c>
      <c r="DY558" s="503"/>
      <c r="DZ558" s="503" t="str">
        <f>IF($G558="","",IF(AND($G558&gt;=30,$AT$3&lt;=DY$7),ROUND(DY558*($AP$3+#REF!),-1),""))</f>
        <v/>
      </c>
      <c r="EA558" s="503"/>
      <c r="EB558" s="503" t="str">
        <f>IF($G558="","",IF(AND($G558&gt;=30,$AT$3&lt;=EA$7),ROUND(EA558*($AP$3+#REF!),-1),""))</f>
        <v/>
      </c>
      <c r="EC558" s="436"/>
      <c r="ED558" s="436"/>
      <c r="EE558" s="394"/>
    </row>
    <row r="559" spans="1:135" ht="9.75" customHeight="1">
      <c r="A559" s="321" t="str">
        <f t="shared" si="124"/>
        <v/>
      </c>
      <c r="B559" s="567">
        <f>(ii!$D$13*12+V559)+1</f>
        <v>453</v>
      </c>
      <c r="C559" s="337">
        <f t="shared" si="128"/>
        <v>59140</v>
      </c>
      <c r="D559" s="484">
        <f t="shared" si="131"/>
        <v>2061</v>
      </c>
      <c r="E559" s="484">
        <f t="shared" si="129"/>
        <v>0.91666666666666663</v>
      </c>
      <c r="F559" s="484">
        <f t="shared" si="132"/>
        <v>2061.9166666666665</v>
      </c>
      <c r="G559" s="485" t="str">
        <f>IF(OR(C559&lt;$I$2,C559&gt;$J$3),"",(ii!$D$13*12+V559+1)/12)</f>
        <v/>
      </c>
      <c r="H559" s="486"/>
      <c r="I559" s="486"/>
      <c r="J559" s="487"/>
      <c r="K559" s="488"/>
      <c r="L559" s="548"/>
      <c r="M559" s="489" t="str">
        <f t="shared" si="133"/>
        <v/>
      </c>
      <c r="N559" s="490" t="s">
        <v>621</v>
      </c>
      <c r="O559" s="490" t="str">
        <f t="shared" si="126"/>
        <v/>
      </c>
      <c r="P559" s="491"/>
      <c r="Q559" s="491"/>
      <c r="R559" s="491" t="str">
        <f t="shared" si="127"/>
        <v/>
      </c>
      <c r="S559" s="528" t="str">
        <f t="shared" si="125"/>
        <v/>
      </c>
      <c r="T559" s="528" t="str">
        <f t="shared" si="123"/>
        <v/>
      </c>
      <c r="U559" s="493" t="str">
        <f>IF(H559="","",#REF!*12+#REF!+#REF!*12+#REF!)</f>
        <v/>
      </c>
      <c r="V559" s="338">
        <f>IF(ii!$J$3&gt;gg!C559,"",IF(AND((YEAR(C559)=YEAR($I$2)),MONTH(C559)=MONTH($I$2)),ii!$B$14*12+ii!$C$14+ii!$B$15*12+ii!$C$15-1,V558+1))</f>
        <v>452</v>
      </c>
      <c r="W559" s="339">
        <f t="shared" si="130"/>
        <v>37.666666666666664</v>
      </c>
      <c r="X559" s="494" t="s">
        <v>621</v>
      </c>
      <c r="Y559" s="495" t="s">
        <v>621</v>
      </c>
      <c r="Z559" s="496"/>
      <c r="AA559" s="497"/>
      <c r="AB559" s="498" t="str">
        <f t="shared" si="136"/>
        <v/>
      </c>
      <c r="AC559" s="484" t="str">
        <f t="shared" si="134"/>
        <v/>
      </c>
      <c r="AD559" s="495" t="str">
        <f t="shared" si="135"/>
        <v/>
      </c>
      <c r="AE559" s="499" t="s">
        <v>621</v>
      </c>
      <c r="AF559" s="500" t="s">
        <v>621</v>
      </c>
      <c r="AG559" s="556" t="s">
        <v>621</v>
      </c>
      <c r="AH559" s="503" t="str">
        <f>IF($G559="","",IF(AND($G559&gt;=30,$AT$3&lt;=AG$7),ROUND(AG559*($AP$3+#REF!),-1),""))</f>
        <v/>
      </c>
      <c r="AI559" s="506" t="s">
        <v>621</v>
      </c>
      <c r="AJ559" s="503" t="str">
        <f>IF($G559="","",IF(AND($G559&gt;=30,$AT$3&lt;=AI$7),ROUND(AI559*($AP$3+#REF!),-1),""))</f>
        <v/>
      </c>
      <c r="AK559" s="506" t="s">
        <v>621</v>
      </c>
      <c r="AL559" s="503" t="str">
        <f>IF($G559="","",IF(AND($G559&gt;=30,$AT$3&lt;=AK$7),ROUND(AK559*($AP$3+#REF!),-1),""))</f>
        <v/>
      </c>
      <c r="AM559" s="506" t="s">
        <v>621</v>
      </c>
      <c r="AN559" s="503" t="str">
        <f>IF($G559="","",IF(AND($G559&gt;=30,$AT$3&lt;=AM$7),ROUND(AM559*($AP$3+#REF!),-1),""))</f>
        <v/>
      </c>
      <c r="AO559" s="503" t="e">
        <v>#REF!</v>
      </c>
      <c r="AP559" s="503" t="str">
        <f>IF($G559="","",IF(AND($G559&gt;=30,$AT$3&lt;=AO$7),ROUND(AO559*($AP$3+#REF!),-1),""))</f>
        <v/>
      </c>
      <c r="AQ559" s="503" t="s">
        <v>621</v>
      </c>
      <c r="AR559" s="503" t="str">
        <f>IF($G559="","",IF(AND($G559&gt;=30,$AT$3&lt;=AQ$7),ROUND(AQ559*($AP$3+#REF!),-1),""))</f>
        <v/>
      </c>
      <c r="AS559" s="503" t="s">
        <v>621</v>
      </c>
      <c r="AT559" s="503" t="str">
        <f>IF($G559="","",IF(AND($G559&gt;=30,$AT$3&lt;=AS$7),ROUND(AS559*($AP$3+#REF!),-1),""))</f>
        <v/>
      </c>
      <c r="AU559" s="503" t="s">
        <v>621</v>
      </c>
      <c r="AV559" s="503" t="str">
        <f>IF($G559="","",IF(AND($G559&gt;=30,$AT$3&lt;=AU$7),ROUND(AU559*($AP$3+#REF!),-1),""))</f>
        <v/>
      </c>
      <c r="AW559" s="503" t="s">
        <v>621</v>
      </c>
      <c r="AX559" s="503" t="str">
        <f>IF($G559="","",IF(AND($G559&gt;=30,$AT$3&lt;=AW$7),ROUND(AW559*($AP$3+#REF!),-1),""))</f>
        <v/>
      </c>
      <c r="AY559" s="503" t="s">
        <v>621</v>
      </c>
      <c r="AZ559" s="503" t="str">
        <f>IF($G559="","",IF(AND($G559&gt;=30,$AT$3&lt;=AY$7),ROUND(AY559*($AP$3+#REF!),-1),""))</f>
        <v/>
      </c>
      <c r="BA559" s="503" t="s">
        <v>621</v>
      </c>
      <c r="BB559" s="503" t="str">
        <f>IF($G559="","",IF(AND($G559&gt;=30,$AT$3&lt;=BA$7),ROUND(BA559*($AP$3+#REF!),-1),""))</f>
        <v/>
      </c>
      <c r="BC559" s="503" t="s">
        <v>621</v>
      </c>
      <c r="BD559" s="503" t="str">
        <f>IF($G559="","",IF(AND($G559&gt;=30,$AT$3&lt;=BC$7),ROUND(BC559*($AP$3+#REF!),-1),""))</f>
        <v/>
      </c>
      <c r="BE559" s="503" t="s">
        <v>621</v>
      </c>
      <c r="BF559" s="503" t="str">
        <f>IF($G559="","",IF(AND($G559&gt;=30,$AT$3&lt;=BE$7),ROUND(BE559*($AP$3+#REF!),-1),""))</f>
        <v/>
      </c>
      <c r="BG559" s="503" t="s">
        <v>621</v>
      </c>
      <c r="BH559" s="503" t="str">
        <f>IF($G559="","",IF(AND($G559&gt;=30,$AT$3&lt;=BG$7),ROUND(BG559*($AP$3+#REF!),-1),""))</f>
        <v/>
      </c>
      <c r="BI559" s="503" t="s">
        <v>621</v>
      </c>
      <c r="BJ559" s="503" t="str">
        <f>IF($G559="","",IF(AND($G559&gt;=30,$AT$3&lt;=BI$7),ROUND(BI559*($AP$3+#REF!),-1),""))</f>
        <v/>
      </c>
      <c r="BK559" s="503" t="s">
        <v>621</v>
      </c>
      <c r="BL559" s="503" t="str">
        <f>IF($G559="","",IF(AND($G559&gt;=30,$AT$3&lt;=BK$7),ROUND(BK559*($AP$3+#REF!),-1),""))</f>
        <v/>
      </c>
      <c r="BM559" s="503" t="s">
        <v>621</v>
      </c>
      <c r="BN559" s="503" t="str">
        <f>IF($G559="","",IF(AND($G559&gt;=30,$AT$3&lt;=BM$7),ROUND(BM559*($AP$3+#REF!),-1),""))</f>
        <v/>
      </c>
      <c r="BO559" s="503" t="s">
        <v>621</v>
      </c>
      <c r="BP559" s="503" t="str">
        <f>IF($G559="","",IF(AND($G559&gt;=30,$AT$3&lt;=BO$7),ROUND(BO559*($AP$3+#REF!),-1),""))</f>
        <v/>
      </c>
      <c r="BQ559" s="503" t="s">
        <v>621</v>
      </c>
      <c r="BR559" s="503" t="str">
        <f>IF($G559="","",IF(AND($G559&gt;=30,$AT$3&lt;=BQ$7),ROUND(BQ559*($AP$3+#REF!),-1),""))</f>
        <v/>
      </c>
      <c r="BS559" s="503" t="s">
        <v>621</v>
      </c>
      <c r="BT559" s="503" t="str">
        <f>IF($G559="","",IF(AND($G559&gt;=30,$AT$3&lt;=BS$7),ROUND(BS559*($AP$3+#REF!),-1),""))</f>
        <v/>
      </c>
      <c r="BU559" s="503" t="s">
        <v>621</v>
      </c>
      <c r="BV559" s="503" t="str">
        <f>IF($G559="","",IF(AND($G559&gt;=30,$AT$3&lt;=BU$7),ROUND(BU559*($AP$3+#REF!),-1),""))</f>
        <v/>
      </c>
      <c r="BW559" s="503" t="s">
        <v>621</v>
      </c>
      <c r="BX559" s="503" t="str">
        <f>IF($G559="","",IF(AND($G559&gt;=30,$AT$3&lt;=BW$7),ROUND(BW559*($AP$3+#REF!),-1),""))</f>
        <v/>
      </c>
      <c r="BY559" s="503" t="s">
        <v>621</v>
      </c>
      <c r="BZ559" s="503" t="str">
        <f>IF($G559="","",IF(AND($G559&gt;=30,$AT$3&lt;=BY$7),ROUND(BY559*($AP$3+#REF!),-1),""))</f>
        <v/>
      </c>
      <c r="CA559" s="503" t="s">
        <v>621</v>
      </c>
      <c r="CB559" s="503" t="str">
        <f>IF($G559="","",IF(AND($G559&gt;=30,$AT$3&lt;=CA$7),ROUND(CA559*($AP$3+#REF!),-1),""))</f>
        <v/>
      </c>
      <c r="CC559" s="503" t="s">
        <v>621</v>
      </c>
      <c r="CD559" s="503" t="str">
        <f>IF($G559="","",IF(AND($G559&gt;=30,$AT$3&lt;=CC$7),ROUND(CC559*($AP$3+#REF!),-1),""))</f>
        <v/>
      </c>
      <c r="CE559" s="503" t="s">
        <v>621</v>
      </c>
      <c r="CF559" s="503" t="str">
        <f>IF($G559="","",IF(AND($G559&gt;=30,$AT$3&lt;=CE$7),ROUND(CE559*($AP$3+#REF!),-1),""))</f>
        <v/>
      </c>
      <c r="CG559" s="503" t="s">
        <v>621</v>
      </c>
      <c r="CH559" s="503" t="str">
        <f>IF($G559="","",IF(AND($G559&gt;=30,$AT$3&lt;=CG$7),ROUND(CG559*($AP$3+#REF!),-1),""))</f>
        <v/>
      </c>
      <c r="CI559" s="503" t="s">
        <v>621</v>
      </c>
      <c r="CJ559" s="503" t="str">
        <f>IF($G559="","",IF(AND($G559&gt;=30,$AT$3&lt;=CI$7),ROUND(CI559*($AP$3+#REF!),-1),""))</f>
        <v/>
      </c>
      <c r="CK559" s="503" t="s">
        <v>621</v>
      </c>
      <c r="CL559" s="503" t="str">
        <f>IF($G559="","",IF(AND($G559&gt;=30,$AT$3&lt;=CK$7),ROUND(CK559*($AP$3+#REF!),-1),""))</f>
        <v/>
      </c>
      <c r="CM559" s="503" t="s">
        <v>621</v>
      </c>
      <c r="CN559" s="503" t="str">
        <f>IF($G559="","",IF(AND($G559&gt;=30,$AT$3&lt;=CM$7),ROUND(CM559*($AP$3+#REF!),-1),""))</f>
        <v/>
      </c>
      <c r="CO559" s="503" t="s">
        <v>621</v>
      </c>
      <c r="CP559" s="503" t="str">
        <f>IF($G559="","",IF(AND($G559&gt;=30,$AT$3&lt;=CO$7),ROUND(CO559*($AP$3+#REF!),-1),""))</f>
        <v/>
      </c>
      <c r="CQ559" s="503" t="s">
        <v>621</v>
      </c>
      <c r="CR559" s="503" t="str">
        <f>IF($G559="","",IF(AND($G559&gt;=30,$AT$3&lt;=CQ$7),ROUND(CQ559*($AP$3+#REF!),-1),""))</f>
        <v/>
      </c>
      <c r="CS559" s="503" t="s">
        <v>621</v>
      </c>
      <c r="CT559" s="503" t="str">
        <f>IF($G559="","",IF(AND($G559&gt;=30,$AT$3&lt;=CS$7),ROUND(CS559*($AP$3+#REF!),-1),""))</f>
        <v/>
      </c>
      <c r="CU559" s="503" t="s">
        <v>621</v>
      </c>
      <c r="CV559" s="503" t="str">
        <f>IF($G559="","",IF(AND($G559&gt;=30,$AT$3&lt;=CU$7),ROUND(CU559*($AP$3+#REF!),-1),""))</f>
        <v/>
      </c>
      <c r="CW559" s="503" t="s">
        <v>621</v>
      </c>
      <c r="CX559" s="503" t="str">
        <f>IF($G559="","",IF(AND($G559&gt;=30,$AT$3&lt;=CW$7),ROUND(CW559*($AP$3+#REF!),-1),""))</f>
        <v/>
      </c>
      <c r="CY559" s="503" t="s">
        <v>621</v>
      </c>
      <c r="CZ559" s="503" t="str">
        <f>IF($G559="","",IF(AND($G559&gt;=30,$AT$3&lt;=CY$7),ROUND(CY559*($AP$3+#REF!),-1),""))</f>
        <v/>
      </c>
      <c r="DA559" s="503" t="s">
        <v>621</v>
      </c>
      <c r="DB559" s="503" t="str">
        <f>IF($G559="","",IF(AND($G559&gt;=30,$AT$3&lt;=DA$7),ROUND(DA559*($AP$3+#REF!),-1),""))</f>
        <v/>
      </c>
      <c r="DC559" s="503" t="s">
        <v>621</v>
      </c>
      <c r="DD559" s="503" t="str">
        <f>IF($G559="","",IF(AND($G559&gt;=30,$AT$3&lt;=DC$7),ROUND(DC559*($AP$3+#REF!),-1),""))</f>
        <v/>
      </c>
      <c r="DE559" s="503" t="s">
        <v>621</v>
      </c>
      <c r="DF559" s="503" t="str">
        <f>IF($G559="","",IF(AND($G559&gt;=30,$AT$3&lt;=DE$7),ROUND(DE559*($AP$3+#REF!),-1),""))</f>
        <v/>
      </c>
      <c r="DG559" s="503" t="s">
        <v>621</v>
      </c>
      <c r="DH559" s="503" t="str">
        <f>IF($G559="","",IF(AND($G559&gt;=30,$AT$3&lt;=DG$7),ROUND(DG559*($AP$3+#REF!),-1),""))</f>
        <v/>
      </c>
      <c r="DI559" s="503" t="s">
        <v>621</v>
      </c>
      <c r="DJ559" s="503" t="str">
        <f>IF($G559="","",IF(AND($G559&gt;=30,$AT$3&lt;=DI$7),ROUND(DI559*($AP$3+#REF!),-1),""))</f>
        <v/>
      </c>
      <c r="DK559" s="503" t="s">
        <v>621</v>
      </c>
      <c r="DL559" s="503" t="str">
        <f>IF($G559="","",IF(AND($G559&gt;=30,$AT$3&lt;=DK$7),ROUND(DK559*($AP$3+#REF!),-1),""))</f>
        <v/>
      </c>
      <c r="DM559" s="503" t="s">
        <v>621</v>
      </c>
      <c r="DN559" s="503" t="str">
        <f>IF($G559="","",IF(AND($G559&gt;=30,$AT$3&lt;=DM$7),ROUND(DM559*($AP$3+#REF!),-1),""))</f>
        <v/>
      </c>
      <c r="DO559" s="503" t="s">
        <v>621</v>
      </c>
      <c r="DP559" s="503" t="str">
        <f>IF($G559="","",IF(AND($G559&gt;=30,$AT$3&lt;=DO$7),ROUND(DO559*($AP$3+#REF!),-1),""))</f>
        <v/>
      </c>
      <c r="DQ559" s="503" t="s">
        <v>621</v>
      </c>
      <c r="DR559" s="503" t="str">
        <f>IF($G559="","",IF(AND($G559&gt;=30,$AT$3&lt;=DQ$7),ROUND(DQ559*($AP$3+#REF!),-1),""))</f>
        <v/>
      </c>
      <c r="DS559" s="517" t="e">
        <v>#REF!</v>
      </c>
      <c r="DT559" s="503" t="str">
        <f>IF($G559="","",IF(AND($G559&gt;=30,$AT$3&lt;=DS$7),ROUND(DS559*($AP$3+#REF!),-1),""))</f>
        <v/>
      </c>
      <c r="DU559" s="503"/>
      <c r="DV559" s="503" t="str">
        <f>IF($G559="","",IF(AND($G559&gt;=30,$AT$3&lt;=DU$7),ROUND(DU559*($AP$3+#REF!),-1),""))</f>
        <v/>
      </c>
      <c r="DW559" s="503"/>
      <c r="DX559" s="503" t="str">
        <f>IF($G559="","",IF(AND($G559&gt;=30,$AT$3&lt;=DW$7),ROUND(DW559*($AP$3+#REF!),-1),""))</f>
        <v/>
      </c>
      <c r="DY559" s="503"/>
      <c r="DZ559" s="503" t="str">
        <f>IF($G559="","",IF(AND($G559&gt;=30,$AT$3&lt;=DY$7),ROUND(DY559*($AP$3+#REF!),-1),""))</f>
        <v/>
      </c>
      <c r="EA559" s="503"/>
      <c r="EB559" s="503" t="str">
        <f>IF($G559="","",IF(AND($G559&gt;=30,$AT$3&lt;=EA$7),ROUND(EA559*($AP$3+#REF!),-1),""))</f>
        <v/>
      </c>
      <c r="EC559" s="436"/>
      <c r="ED559" s="436"/>
      <c r="EE559" s="394"/>
    </row>
    <row r="560" spans="1:135" ht="9.75" customHeight="1">
      <c r="A560" s="321" t="str">
        <f t="shared" si="124"/>
        <v/>
      </c>
      <c r="B560" s="567">
        <f>(ii!$D$13*12+V560)+1</f>
        <v>454</v>
      </c>
      <c r="C560" s="337">
        <f t="shared" si="128"/>
        <v>59171</v>
      </c>
      <c r="D560" s="484">
        <f t="shared" si="131"/>
        <v>2061</v>
      </c>
      <c r="E560" s="484">
        <f t="shared" si="129"/>
        <v>1</v>
      </c>
      <c r="F560" s="484">
        <f t="shared" si="132"/>
        <v>2062</v>
      </c>
      <c r="G560" s="485" t="str">
        <f>IF(OR(C560&lt;$I$2,C560&gt;$J$3),"",(ii!$D$13*12+V560+1)/12)</f>
        <v/>
      </c>
      <c r="H560" s="486"/>
      <c r="I560" s="486"/>
      <c r="J560" s="487"/>
      <c r="K560" s="488"/>
      <c r="L560" s="548"/>
      <c r="M560" s="489" t="str">
        <f t="shared" si="133"/>
        <v/>
      </c>
      <c r="N560" s="490" t="s">
        <v>621</v>
      </c>
      <c r="O560" s="490" t="str">
        <f t="shared" si="126"/>
        <v/>
      </c>
      <c r="P560" s="491"/>
      <c r="Q560" s="491"/>
      <c r="R560" s="491" t="str">
        <f t="shared" si="127"/>
        <v/>
      </c>
      <c r="S560" s="528" t="str">
        <f t="shared" si="125"/>
        <v/>
      </c>
      <c r="T560" s="528" t="str">
        <f t="shared" si="123"/>
        <v/>
      </c>
      <c r="U560" s="493" t="str">
        <f>IF(H560="","",#REF!*12+#REF!+#REF!*12+#REF!)</f>
        <v/>
      </c>
      <c r="V560" s="338">
        <f>IF(ii!$J$3&gt;gg!C560,"",IF(AND((YEAR(C560)=YEAR($I$2)),MONTH(C560)=MONTH($I$2)),ii!$B$14*12+ii!$C$14+ii!$B$15*12+ii!$C$15-1,V559+1))</f>
        <v>453</v>
      </c>
      <c r="W560" s="339">
        <f t="shared" si="130"/>
        <v>37.75</v>
      </c>
      <c r="X560" s="494" t="s">
        <v>621</v>
      </c>
      <c r="Y560" s="495" t="s">
        <v>621</v>
      </c>
      <c r="Z560" s="496"/>
      <c r="AA560" s="497"/>
      <c r="AB560" s="498" t="str">
        <f t="shared" si="136"/>
        <v/>
      </c>
      <c r="AC560" s="484" t="str">
        <f t="shared" si="134"/>
        <v/>
      </c>
      <c r="AD560" s="495" t="str">
        <f t="shared" si="135"/>
        <v/>
      </c>
      <c r="AE560" s="499" t="s">
        <v>621</v>
      </c>
      <c r="AF560" s="500" t="s">
        <v>621</v>
      </c>
      <c r="AG560" s="556" t="s">
        <v>621</v>
      </c>
      <c r="AH560" s="503" t="str">
        <f>IF($G560="","",IF(AND($G560&gt;=30,$AT$3&lt;=AG$7),ROUND(AG560*($AP$3+#REF!),-1),""))</f>
        <v/>
      </c>
      <c r="AI560" s="506" t="s">
        <v>621</v>
      </c>
      <c r="AJ560" s="503" t="str">
        <f>IF($G560="","",IF(AND($G560&gt;=30,$AT$3&lt;=AI$7),ROUND(AI560*($AP$3+#REF!),-1),""))</f>
        <v/>
      </c>
      <c r="AK560" s="506" t="s">
        <v>621</v>
      </c>
      <c r="AL560" s="503" t="str">
        <f>IF($G560="","",IF(AND($G560&gt;=30,$AT$3&lt;=AK$7),ROUND(AK560*($AP$3+#REF!),-1),""))</f>
        <v/>
      </c>
      <c r="AM560" s="506" t="s">
        <v>621</v>
      </c>
      <c r="AN560" s="503" t="str">
        <f>IF($G560="","",IF(AND($G560&gt;=30,$AT$3&lt;=AM$7),ROUND(AM560*($AP$3+#REF!),-1),""))</f>
        <v/>
      </c>
      <c r="AO560" s="503" t="e">
        <v>#REF!</v>
      </c>
      <c r="AP560" s="503" t="str">
        <f>IF($G560="","",IF(AND($G560&gt;=30,$AT$3&lt;=AO$7),ROUND(AO560*($AP$3+#REF!),-1),""))</f>
        <v/>
      </c>
      <c r="AQ560" s="503" t="s">
        <v>621</v>
      </c>
      <c r="AR560" s="503" t="str">
        <f>IF($G560="","",IF(AND($G560&gt;=30,$AT$3&lt;=AQ$7),ROUND(AQ560*($AP$3+#REF!),-1),""))</f>
        <v/>
      </c>
      <c r="AS560" s="503" t="s">
        <v>621</v>
      </c>
      <c r="AT560" s="503" t="str">
        <f>IF($G560="","",IF(AND($G560&gt;=30,$AT$3&lt;=AS$7),ROUND(AS560*($AP$3+#REF!),-1),""))</f>
        <v/>
      </c>
      <c r="AU560" s="503" t="s">
        <v>621</v>
      </c>
      <c r="AV560" s="503" t="str">
        <f>IF($G560="","",IF(AND($G560&gt;=30,$AT$3&lt;=AU$7),ROUND(AU560*($AP$3+#REF!),-1),""))</f>
        <v/>
      </c>
      <c r="AW560" s="503" t="s">
        <v>621</v>
      </c>
      <c r="AX560" s="503" t="str">
        <f>IF($G560="","",IF(AND($G560&gt;=30,$AT$3&lt;=AW$7),ROUND(AW560*($AP$3+#REF!),-1),""))</f>
        <v/>
      </c>
      <c r="AY560" s="503" t="s">
        <v>621</v>
      </c>
      <c r="AZ560" s="503" t="str">
        <f>IF($G560="","",IF(AND($G560&gt;=30,$AT$3&lt;=AY$7),ROUND(AY560*($AP$3+#REF!),-1),""))</f>
        <v/>
      </c>
      <c r="BA560" s="503" t="s">
        <v>621</v>
      </c>
      <c r="BB560" s="503" t="str">
        <f>IF($G560="","",IF(AND($G560&gt;=30,$AT$3&lt;=BA$7),ROUND(BA560*($AP$3+#REF!),-1),""))</f>
        <v/>
      </c>
      <c r="BC560" s="503" t="s">
        <v>621</v>
      </c>
      <c r="BD560" s="503" t="str">
        <f>IF($G560="","",IF(AND($G560&gt;=30,$AT$3&lt;=BC$7),ROUND(BC560*($AP$3+#REF!),-1),""))</f>
        <v/>
      </c>
      <c r="BE560" s="503" t="s">
        <v>621</v>
      </c>
      <c r="BF560" s="503" t="str">
        <f>IF($G560="","",IF(AND($G560&gt;=30,$AT$3&lt;=BE$7),ROUND(BE560*($AP$3+#REF!),-1),""))</f>
        <v/>
      </c>
      <c r="BG560" s="503" t="s">
        <v>621</v>
      </c>
      <c r="BH560" s="503" t="str">
        <f>IF($G560="","",IF(AND($G560&gt;=30,$AT$3&lt;=BG$7),ROUND(BG560*($AP$3+#REF!),-1),""))</f>
        <v/>
      </c>
      <c r="BI560" s="503" t="s">
        <v>621</v>
      </c>
      <c r="BJ560" s="503" t="str">
        <f>IF($G560="","",IF(AND($G560&gt;=30,$AT$3&lt;=BI$7),ROUND(BI560*($AP$3+#REF!),-1),""))</f>
        <v/>
      </c>
      <c r="BK560" s="503" t="s">
        <v>621</v>
      </c>
      <c r="BL560" s="503" t="str">
        <f>IF($G560="","",IF(AND($G560&gt;=30,$AT$3&lt;=BK$7),ROUND(BK560*($AP$3+#REF!),-1),""))</f>
        <v/>
      </c>
      <c r="BM560" s="503" t="s">
        <v>621</v>
      </c>
      <c r="BN560" s="503" t="str">
        <f>IF($G560="","",IF(AND($G560&gt;=30,$AT$3&lt;=BM$7),ROUND(BM560*($AP$3+#REF!),-1),""))</f>
        <v/>
      </c>
      <c r="BO560" s="503" t="s">
        <v>621</v>
      </c>
      <c r="BP560" s="503" t="str">
        <f>IF($G560="","",IF(AND($G560&gt;=30,$AT$3&lt;=BO$7),ROUND(BO560*($AP$3+#REF!),-1),""))</f>
        <v/>
      </c>
      <c r="BQ560" s="503" t="s">
        <v>621</v>
      </c>
      <c r="BR560" s="503" t="str">
        <f>IF($G560="","",IF(AND($G560&gt;=30,$AT$3&lt;=BQ$7),ROUND(BQ560*($AP$3+#REF!),-1),""))</f>
        <v/>
      </c>
      <c r="BS560" s="503" t="s">
        <v>621</v>
      </c>
      <c r="BT560" s="503" t="str">
        <f>IF($G560="","",IF(AND($G560&gt;=30,$AT$3&lt;=BS$7),ROUND(BS560*($AP$3+#REF!),-1),""))</f>
        <v/>
      </c>
      <c r="BU560" s="503" t="s">
        <v>621</v>
      </c>
      <c r="BV560" s="503" t="str">
        <f>IF($G560="","",IF(AND($G560&gt;=30,$AT$3&lt;=BU$7),ROUND(BU560*($AP$3+#REF!),-1),""))</f>
        <v/>
      </c>
      <c r="BW560" s="503" t="s">
        <v>621</v>
      </c>
      <c r="BX560" s="503" t="str">
        <f>IF($G560="","",IF(AND($G560&gt;=30,$AT$3&lt;=BW$7),ROUND(BW560*($AP$3+#REF!),-1),""))</f>
        <v/>
      </c>
      <c r="BY560" s="503" t="s">
        <v>621</v>
      </c>
      <c r="BZ560" s="503" t="str">
        <f>IF($G560="","",IF(AND($G560&gt;=30,$AT$3&lt;=BY$7),ROUND(BY560*($AP$3+#REF!),-1),""))</f>
        <v/>
      </c>
      <c r="CA560" s="503" t="s">
        <v>621</v>
      </c>
      <c r="CB560" s="503" t="str">
        <f>IF($G560="","",IF(AND($G560&gt;=30,$AT$3&lt;=CA$7),ROUND(CA560*($AP$3+#REF!),-1),""))</f>
        <v/>
      </c>
      <c r="CC560" s="503" t="s">
        <v>621</v>
      </c>
      <c r="CD560" s="503" t="str">
        <f>IF($G560="","",IF(AND($G560&gt;=30,$AT$3&lt;=CC$7),ROUND(CC560*($AP$3+#REF!),-1),""))</f>
        <v/>
      </c>
      <c r="CE560" s="503" t="s">
        <v>621</v>
      </c>
      <c r="CF560" s="503" t="str">
        <f>IF($G560="","",IF(AND($G560&gt;=30,$AT$3&lt;=CE$7),ROUND(CE560*($AP$3+#REF!),-1),""))</f>
        <v/>
      </c>
      <c r="CG560" s="503" t="s">
        <v>621</v>
      </c>
      <c r="CH560" s="503" t="str">
        <f>IF($G560="","",IF(AND($G560&gt;=30,$AT$3&lt;=CG$7),ROUND(CG560*($AP$3+#REF!),-1),""))</f>
        <v/>
      </c>
      <c r="CI560" s="503" t="s">
        <v>621</v>
      </c>
      <c r="CJ560" s="503" t="str">
        <f>IF($G560="","",IF(AND($G560&gt;=30,$AT$3&lt;=CI$7),ROUND(CI560*($AP$3+#REF!),-1),""))</f>
        <v/>
      </c>
      <c r="CK560" s="503" t="s">
        <v>621</v>
      </c>
      <c r="CL560" s="503" t="str">
        <f>IF($G560="","",IF(AND($G560&gt;=30,$AT$3&lt;=CK$7),ROUND(CK560*($AP$3+#REF!),-1),""))</f>
        <v/>
      </c>
      <c r="CM560" s="503" t="s">
        <v>621</v>
      </c>
      <c r="CN560" s="503" t="str">
        <f>IF($G560="","",IF(AND($G560&gt;=30,$AT$3&lt;=CM$7),ROUND(CM560*($AP$3+#REF!),-1),""))</f>
        <v/>
      </c>
      <c r="CO560" s="503" t="s">
        <v>621</v>
      </c>
      <c r="CP560" s="503" t="str">
        <f>IF($G560="","",IF(AND($G560&gt;=30,$AT$3&lt;=CO$7),ROUND(CO560*($AP$3+#REF!),-1),""))</f>
        <v/>
      </c>
      <c r="CQ560" s="503" t="s">
        <v>621</v>
      </c>
      <c r="CR560" s="503" t="str">
        <f>IF($G560="","",IF(AND($G560&gt;=30,$AT$3&lt;=CQ$7),ROUND(CQ560*($AP$3+#REF!),-1),""))</f>
        <v/>
      </c>
      <c r="CS560" s="503" t="s">
        <v>621</v>
      </c>
      <c r="CT560" s="503" t="str">
        <f>IF($G560="","",IF(AND($G560&gt;=30,$AT$3&lt;=CS$7),ROUND(CS560*($AP$3+#REF!),-1),""))</f>
        <v/>
      </c>
      <c r="CU560" s="503" t="s">
        <v>621</v>
      </c>
      <c r="CV560" s="503" t="str">
        <f>IF($G560="","",IF(AND($G560&gt;=30,$AT$3&lt;=CU$7),ROUND(CU560*($AP$3+#REF!),-1),""))</f>
        <v/>
      </c>
      <c r="CW560" s="503" t="s">
        <v>621</v>
      </c>
      <c r="CX560" s="503" t="str">
        <f>IF($G560="","",IF(AND($G560&gt;=30,$AT$3&lt;=CW$7),ROUND(CW560*($AP$3+#REF!),-1),""))</f>
        <v/>
      </c>
      <c r="CY560" s="503" t="s">
        <v>621</v>
      </c>
      <c r="CZ560" s="503" t="str">
        <f>IF($G560="","",IF(AND($G560&gt;=30,$AT$3&lt;=CY$7),ROUND(CY560*($AP$3+#REF!),-1),""))</f>
        <v/>
      </c>
      <c r="DA560" s="503" t="s">
        <v>621</v>
      </c>
      <c r="DB560" s="503" t="str">
        <f>IF($G560="","",IF(AND($G560&gt;=30,$AT$3&lt;=DA$7),ROUND(DA560*($AP$3+#REF!),-1),""))</f>
        <v/>
      </c>
      <c r="DC560" s="503" t="s">
        <v>621</v>
      </c>
      <c r="DD560" s="503" t="str">
        <f>IF($G560="","",IF(AND($G560&gt;=30,$AT$3&lt;=DC$7),ROUND(DC560*($AP$3+#REF!),-1),""))</f>
        <v/>
      </c>
      <c r="DE560" s="503" t="s">
        <v>621</v>
      </c>
      <c r="DF560" s="503" t="str">
        <f>IF($G560="","",IF(AND($G560&gt;=30,$AT$3&lt;=DE$7),ROUND(DE560*($AP$3+#REF!),-1),""))</f>
        <v/>
      </c>
      <c r="DG560" s="503" t="s">
        <v>621</v>
      </c>
      <c r="DH560" s="503" t="str">
        <f>IF($G560="","",IF(AND($G560&gt;=30,$AT$3&lt;=DG$7),ROUND(DG560*($AP$3+#REF!),-1),""))</f>
        <v/>
      </c>
      <c r="DI560" s="503" t="s">
        <v>621</v>
      </c>
      <c r="DJ560" s="503" t="str">
        <f>IF($G560="","",IF(AND($G560&gt;=30,$AT$3&lt;=DI$7),ROUND(DI560*($AP$3+#REF!),-1),""))</f>
        <v/>
      </c>
      <c r="DK560" s="503" t="s">
        <v>621</v>
      </c>
      <c r="DL560" s="503" t="str">
        <f>IF($G560="","",IF(AND($G560&gt;=30,$AT$3&lt;=DK$7),ROUND(DK560*($AP$3+#REF!),-1),""))</f>
        <v/>
      </c>
      <c r="DM560" s="503" t="s">
        <v>621</v>
      </c>
      <c r="DN560" s="503" t="str">
        <f>IF($G560="","",IF(AND($G560&gt;=30,$AT$3&lt;=DM$7),ROUND(DM560*($AP$3+#REF!),-1),""))</f>
        <v/>
      </c>
      <c r="DO560" s="503" t="s">
        <v>621</v>
      </c>
      <c r="DP560" s="503" t="str">
        <f>IF($G560="","",IF(AND($G560&gt;=30,$AT$3&lt;=DO$7),ROUND(DO560*($AP$3+#REF!),-1),""))</f>
        <v/>
      </c>
      <c r="DQ560" s="503" t="s">
        <v>621</v>
      </c>
      <c r="DR560" s="503" t="str">
        <f>IF($G560="","",IF(AND($G560&gt;=30,$AT$3&lt;=DQ$7),ROUND(DQ560*($AP$3+#REF!),-1),""))</f>
        <v/>
      </c>
      <c r="DS560" s="517" t="e">
        <v>#REF!</v>
      </c>
      <c r="DT560" s="503" t="str">
        <f>IF($G560="","",IF(AND($G560&gt;=30,$AT$3&lt;=DS$7),ROUND(DS560*($AP$3+#REF!),-1),""))</f>
        <v/>
      </c>
      <c r="DU560" s="503"/>
      <c r="DV560" s="503" t="str">
        <f>IF($G560="","",IF(AND($G560&gt;=30,$AT$3&lt;=DU$7),ROUND(DU560*($AP$3+#REF!),-1),""))</f>
        <v/>
      </c>
      <c r="DW560" s="503"/>
      <c r="DX560" s="503" t="str">
        <f>IF($G560="","",IF(AND($G560&gt;=30,$AT$3&lt;=DW$7),ROUND(DW560*($AP$3+#REF!),-1),""))</f>
        <v/>
      </c>
      <c r="DY560" s="503"/>
      <c r="DZ560" s="503" t="str">
        <f>IF($G560="","",IF(AND($G560&gt;=30,$AT$3&lt;=DY$7),ROUND(DY560*($AP$3+#REF!),-1),""))</f>
        <v/>
      </c>
      <c r="EA560" s="503"/>
      <c r="EB560" s="503" t="str">
        <f>IF($G560="","",IF(AND($G560&gt;=30,$AT$3&lt;=EA$7),ROUND(EA560*($AP$3+#REF!),-1),""))</f>
        <v/>
      </c>
      <c r="EC560" s="436"/>
      <c r="ED560" s="436"/>
      <c r="EE560" s="394"/>
    </row>
    <row r="561" spans="1:135" ht="9.75" customHeight="1">
      <c r="A561" s="321" t="str">
        <f t="shared" si="124"/>
        <v/>
      </c>
      <c r="B561" s="569">
        <f>(ii!$D$13*12+V561)+1</f>
        <v>455</v>
      </c>
      <c r="C561" s="345">
        <f t="shared" si="128"/>
        <v>59202</v>
      </c>
      <c r="D561" s="340">
        <f t="shared" si="131"/>
        <v>2062</v>
      </c>
      <c r="E561" s="340">
        <f t="shared" si="129"/>
        <v>8.3333333333333329E-2</v>
      </c>
      <c r="F561" s="340">
        <f t="shared" si="132"/>
        <v>2062.0833333333335</v>
      </c>
      <c r="G561" s="531" t="str">
        <f>IF(OR(C561&lt;$I$2,C561&gt;$J$3),"",(ii!$D$13*12+V561+1)/12)</f>
        <v/>
      </c>
      <c r="H561" s="532"/>
      <c r="I561" s="532"/>
      <c r="J561" s="533"/>
      <c r="K561" s="553"/>
      <c r="L561" s="534"/>
      <c r="M561" s="489" t="str">
        <f t="shared" si="133"/>
        <v/>
      </c>
      <c r="N561" s="536" t="s">
        <v>621</v>
      </c>
      <c r="O561" s="490" t="str">
        <f t="shared" si="126"/>
        <v/>
      </c>
      <c r="P561" s="537"/>
      <c r="Q561" s="537"/>
      <c r="R561" s="533" t="str">
        <f t="shared" si="127"/>
        <v/>
      </c>
      <c r="S561" s="538" t="str">
        <f t="shared" si="125"/>
        <v/>
      </c>
      <c r="T561" s="538" t="str">
        <f t="shared" si="123"/>
        <v/>
      </c>
      <c r="U561" s="539" t="str">
        <f>IF(H561="","",#REF!*12+#REF!+#REF!*12+#REF!)</f>
        <v/>
      </c>
      <c r="V561" s="338">
        <f>IF(ii!$J$3&gt;gg!C561,"",IF(AND((YEAR(C561)=YEAR($I$2)),MONTH(C561)=MONTH($I$2)),ii!$B$14*12+ii!$C$14+ii!$B$15*12+ii!$C$15-1,V560+1))</f>
        <v>454</v>
      </c>
      <c r="W561" s="339">
        <f t="shared" si="130"/>
        <v>37.833333333333336</v>
      </c>
      <c r="X561" s="540" t="s">
        <v>621</v>
      </c>
      <c r="Y561" s="538" t="s">
        <v>621</v>
      </c>
      <c r="Z561" s="541">
        <f>Z549+$Z$26</f>
        <v>1.320000000000001</v>
      </c>
      <c r="AA561" s="542" t="str">
        <f>IF(Y561="","",(Y561-Y560)/Y560)</f>
        <v/>
      </c>
      <c r="AB561" s="543" t="str">
        <f t="shared" si="136"/>
        <v/>
      </c>
      <c r="AC561" s="544" t="str">
        <f t="shared" si="134"/>
        <v/>
      </c>
      <c r="AD561" s="538" t="str">
        <f t="shared" si="135"/>
        <v/>
      </c>
      <c r="AE561" s="545" t="s">
        <v>621</v>
      </c>
      <c r="AF561" s="546" t="s">
        <v>621</v>
      </c>
      <c r="AG561" s="558" t="s">
        <v>621</v>
      </c>
      <c r="AH561" s="547" t="str">
        <f>IF($G561="","",IF(AND($G561&gt;=30,$AT$3&lt;=AG$7),ROUND(AG561*($AP$3+#REF!),-1),""))</f>
        <v/>
      </c>
      <c r="AI561" s="558" t="s">
        <v>621</v>
      </c>
      <c r="AJ561" s="547" t="str">
        <f>IF($G561="","",IF(AND($G561&gt;=30,$AT$3&lt;=AI$7),ROUND(AI561*($AP$3+#REF!),-1),""))</f>
        <v/>
      </c>
      <c r="AK561" s="560" t="s">
        <v>621</v>
      </c>
      <c r="AL561" s="547" t="str">
        <f>IF($G561="","",IF(AND($G561&gt;=30,$AT$3&lt;=AK$7),ROUND(AK561*($AP$3+#REF!),-1),""))</f>
        <v/>
      </c>
      <c r="AM561" s="560" t="s">
        <v>621</v>
      </c>
      <c r="AN561" s="547" t="str">
        <f>IF($G561="","",IF(AND($G561&gt;=30,$AT$3&lt;=AM$7),ROUND(AM561*($AP$3+#REF!),-1),""))</f>
        <v/>
      </c>
      <c r="AO561" s="547" t="e">
        <v>#REF!</v>
      </c>
      <c r="AP561" s="547" t="str">
        <f>IF($G561="","",IF(AND($G561&gt;=30,$AT$3&lt;=AO$7),ROUND(AO561*($AP$3+#REF!),-1),""))</f>
        <v/>
      </c>
      <c r="AQ561" s="547" t="s">
        <v>621</v>
      </c>
      <c r="AR561" s="547" t="str">
        <f>IF($G561="","",IF(AND($G561&gt;=30,$AT$3&lt;=AQ$7),ROUND(AQ561*($AP$3+#REF!),-1),""))</f>
        <v/>
      </c>
      <c r="AS561" s="547" t="s">
        <v>621</v>
      </c>
      <c r="AT561" s="547" t="str">
        <f>IF($G561="","",IF(AND($G561&gt;=30,$AT$3&lt;=AS$7),ROUND(AS561*($AP$3+#REF!),-1),""))</f>
        <v/>
      </c>
      <c r="AU561" s="547" t="s">
        <v>621</v>
      </c>
      <c r="AV561" s="547" t="str">
        <f>IF($G561="","",IF(AND($G561&gt;=30,$AT$3&lt;=AU$7),ROUND(AU561*($AP$3+#REF!),-1),""))</f>
        <v/>
      </c>
      <c r="AW561" s="547" t="s">
        <v>621</v>
      </c>
      <c r="AX561" s="547" t="str">
        <f>IF($G561="","",IF(AND($G561&gt;=30,$AT$3&lt;=AW$7),ROUND(AW561*($AP$3+#REF!),-1),""))</f>
        <v/>
      </c>
      <c r="AY561" s="547" t="s">
        <v>621</v>
      </c>
      <c r="AZ561" s="547" t="str">
        <f>IF($G561="","",IF(AND($G561&gt;=30,$AT$3&lt;=AY$7),ROUND(AY561*($AP$3+#REF!),-1),""))</f>
        <v/>
      </c>
      <c r="BA561" s="547" t="s">
        <v>621</v>
      </c>
      <c r="BB561" s="547" t="str">
        <f>IF($G561="","",IF(AND($G561&gt;=30,$AT$3&lt;=BA$7),ROUND(BA561*($AP$3+#REF!),-1),""))</f>
        <v/>
      </c>
      <c r="BC561" s="547" t="s">
        <v>621</v>
      </c>
      <c r="BD561" s="547" t="str">
        <f>IF($G561="","",IF(AND($G561&gt;=30,$AT$3&lt;=BC$7),ROUND(BC561*($AP$3+#REF!),-1),""))</f>
        <v/>
      </c>
      <c r="BE561" s="547" t="s">
        <v>621</v>
      </c>
      <c r="BF561" s="547" t="str">
        <f>IF($G561="","",IF(AND($G561&gt;=30,$AT$3&lt;=BE$7),ROUND(BE561*($AP$3+#REF!),-1),""))</f>
        <v/>
      </c>
      <c r="BG561" s="547" t="s">
        <v>621</v>
      </c>
      <c r="BH561" s="547" t="str">
        <f>IF($G561="","",IF(AND($G561&gt;=30,$AT$3&lt;=BG$7),ROUND(BG561*($AP$3+#REF!),-1),""))</f>
        <v/>
      </c>
      <c r="BI561" s="547" t="s">
        <v>621</v>
      </c>
      <c r="BJ561" s="547" t="str">
        <f>IF($G561="","",IF(AND($G561&gt;=30,$AT$3&lt;=BI$7),ROUND(BI561*($AP$3+#REF!),-1),""))</f>
        <v/>
      </c>
      <c r="BK561" s="547" t="s">
        <v>621</v>
      </c>
      <c r="BL561" s="547" t="str">
        <f>IF($G561="","",IF(AND($G561&gt;=30,$AT$3&lt;=BK$7),ROUND(BK561*($AP$3+#REF!),-1),""))</f>
        <v/>
      </c>
      <c r="BM561" s="547" t="s">
        <v>621</v>
      </c>
      <c r="BN561" s="547" t="str">
        <f>IF($G561="","",IF(AND($G561&gt;=30,$AT$3&lt;=BM$7),ROUND(BM561*($AP$3+#REF!),-1),""))</f>
        <v/>
      </c>
      <c r="BO561" s="547" t="s">
        <v>621</v>
      </c>
      <c r="BP561" s="547" t="str">
        <f>IF($G561="","",IF(AND($G561&gt;=30,$AT$3&lt;=BO$7),ROUND(BO561*($AP$3+#REF!),-1),""))</f>
        <v/>
      </c>
      <c r="BQ561" s="547" t="s">
        <v>621</v>
      </c>
      <c r="BR561" s="547" t="str">
        <f>IF($G561="","",IF(AND($G561&gt;=30,$AT$3&lt;=BQ$7),ROUND(BQ561*($AP$3+#REF!),-1),""))</f>
        <v/>
      </c>
      <c r="BS561" s="547" t="s">
        <v>621</v>
      </c>
      <c r="BT561" s="547" t="str">
        <f>IF($G561="","",IF(AND($G561&gt;=30,$AT$3&lt;=BS$7),ROUND(BS561*($AP$3+#REF!),-1),""))</f>
        <v/>
      </c>
      <c r="BU561" s="547" t="s">
        <v>621</v>
      </c>
      <c r="BV561" s="547" t="str">
        <f>IF($G561="","",IF(AND($G561&gt;=30,$AT$3&lt;=BU$7),ROUND(BU561*($AP$3+#REF!),-1),""))</f>
        <v/>
      </c>
      <c r="BW561" s="547" t="s">
        <v>621</v>
      </c>
      <c r="BX561" s="547" t="str">
        <f>IF($G561="","",IF(AND($G561&gt;=30,$AT$3&lt;=BW$7),ROUND(BW561*($AP$3+#REF!),-1),""))</f>
        <v/>
      </c>
      <c r="BY561" s="547" t="s">
        <v>621</v>
      </c>
      <c r="BZ561" s="547" t="str">
        <f>IF($G561="","",IF(AND($G561&gt;=30,$AT$3&lt;=BY$7),ROUND(BY561*($AP$3+#REF!),-1),""))</f>
        <v/>
      </c>
      <c r="CA561" s="547" t="s">
        <v>621</v>
      </c>
      <c r="CB561" s="547" t="str">
        <f>IF($G561="","",IF(AND($G561&gt;=30,$AT$3&lt;=CA$7),ROUND(CA561*($AP$3+#REF!),-1),""))</f>
        <v/>
      </c>
      <c r="CC561" s="547" t="s">
        <v>621</v>
      </c>
      <c r="CD561" s="547" t="str">
        <f>IF($G561="","",IF(AND($G561&gt;=30,$AT$3&lt;=CC$7),ROUND(CC561*($AP$3+#REF!),-1),""))</f>
        <v/>
      </c>
      <c r="CE561" s="547" t="s">
        <v>621</v>
      </c>
      <c r="CF561" s="547" t="str">
        <f>IF($G561="","",IF(AND($G561&gt;=30,$AT$3&lt;=CE$7),ROUND(CE561*($AP$3+#REF!),-1),""))</f>
        <v/>
      </c>
      <c r="CG561" s="547" t="s">
        <v>621</v>
      </c>
      <c r="CH561" s="547" t="str">
        <f>IF($G561="","",IF(AND($G561&gt;=30,$AT$3&lt;=CG$7),ROUND(CG561*($AP$3+#REF!),-1),""))</f>
        <v/>
      </c>
      <c r="CI561" s="547" t="s">
        <v>621</v>
      </c>
      <c r="CJ561" s="547" t="str">
        <f>IF($G561="","",IF(AND($G561&gt;=30,$AT$3&lt;=CI$7),ROUND(CI561*($AP$3+#REF!),-1),""))</f>
        <v/>
      </c>
      <c r="CK561" s="547" t="s">
        <v>621</v>
      </c>
      <c r="CL561" s="547" t="str">
        <f>IF($G561="","",IF(AND($G561&gt;=30,$AT$3&lt;=CK$7),ROUND(CK561*($AP$3+#REF!),-1),""))</f>
        <v/>
      </c>
      <c r="CM561" s="547" t="s">
        <v>621</v>
      </c>
      <c r="CN561" s="547" t="str">
        <f>IF($G561="","",IF(AND($G561&gt;=30,$AT$3&lt;=CM$7),ROUND(CM561*($AP$3+#REF!),-1),""))</f>
        <v/>
      </c>
      <c r="CO561" s="547" t="s">
        <v>621</v>
      </c>
      <c r="CP561" s="547" t="str">
        <f>IF($G561="","",IF(AND($G561&gt;=30,$AT$3&lt;=CO$7),ROUND(CO561*($AP$3+#REF!),-1),""))</f>
        <v/>
      </c>
      <c r="CQ561" s="547" t="s">
        <v>621</v>
      </c>
      <c r="CR561" s="547" t="str">
        <f>IF($G561="","",IF(AND($G561&gt;=30,$AT$3&lt;=CQ$7),ROUND(CQ561*($AP$3+#REF!),-1),""))</f>
        <v/>
      </c>
      <c r="CS561" s="547" t="s">
        <v>621</v>
      </c>
      <c r="CT561" s="547" t="str">
        <f>IF($G561="","",IF(AND($G561&gt;=30,$AT$3&lt;=CS$7),ROUND(CS561*($AP$3+#REF!),-1),""))</f>
        <v/>
      </c>
      <c r="CU561" s="547" t="s">
        <v>621</v>
      </c>
      <c r="CV561" s="547" t="str">
        <f>IF($G561="","",IF(AND($G561&gt;=30,$AT$3&lt;=CU$7),ROUND(CU561*($AP$3+#REF!),-1),""))</f>
        <v/>
      </c>
      <c r="CW561" s="547" t="s">
        <v>621</v>
      </c>
      <c r="CX561" s="547" t="str">
        <f>IF($G561="","",IF(AND($G561&gt;=30,$AT$3&lt;=CW$7),ROUND(CW561*($AP$3+#REF!),-1),""))</f>
        <v/>
      </c>
      <c r="CY561" s="547" t="s">
        <v>621</v>
      </c>
      <c r="CZ561" s="547" t="str">
        <f>IF($G561="","",IF(AND($G561&gt;=30,$AT$3&lt;=CY$7),ROUND(CY561*($AP$3+#REF!),-1),""))</f>
        <v/>
      </c>
      <c r="DA561" s="547" t="s">
        <v>621</v>
      </c>
      <c r="DB561" s="547" t="str">
        <f>IF($G561="","",IF(AND($G561&gt;=30,$AT$3&lt;=DA$7),ROUND(DA561*($AP$3+#REF!),-1),""))</f>
        <v/>
      </c>
      <c r="DC561" s="547" t="s">
        <v>621</v>
      </c>
      <c r="DD561" s="547" t="str">
        <f>IF($G561="","",IF(AND($G561&gt;=30,$AT$3&lt;=DC$7),ROUND(DC561*($AP$3+#REF!),-1),""))</f>
        <v/>
      </c>
      <c r="DE561" s="547" t="s">
        <v>621</v>
      </c>
      <c r="DF561" s="547" t="str">
        <f>IF($G561="","",IF(AND($G561&gt;=30,$AT$3&lt;=DE$7),ROUND(DE561*($AP$3+#REF!),-1),""))</f>
        <v/>
      </c>
      <c r="DG561" s="547" t="s">
        <v>621</v>
      </c>
      <c r="DH561" s="547" t="str">
        <f>IF($G561="","",IF(AND($G561&gt;=30,$AT$3&lt;=DG$7),ROUND(DG561*($AP$3+#REF!),-1),""))</f>
        <v/>
      </c>
      <c r="DI561" s="547" t="s">
        <v>621</v>
      </c>
      <c r="DJ561" s="547" t="str">
        <f>IF($G561="","",IF(AND($G561&gt;=30,$AT$3&lt;=DI$7),ROUND(DI561*($AP$3+#REF!),-1),""))</f>
        <v/>
      </c>
      <c r="DK561" s="547" t="s">
        <v>621</v>
      </c>
      <c r="DL561" s="547" t="str">
        <f>IF($G561="","",IF(AND($G561&gt;=30,$AT$3&lt;=DK$7),ROUND(DK561*($AP$3+#REF!),-1),""))</f>
        <v/>
      </c>
      <c r="DM561" s="547" t="s">
        <v>621</v>
      </c>
      <c r="DN561" s="547" t="str">
        <f>IF($G561="","",IF(AND($G561&gt;=30,$AT$3&lt;=DM$7),ROUND(DM561*($AP$3+#REF!),-1),""))</f>
        <v/>
      </c>
      <c r="DO561" s="547" t="s">
        <v>621</v>
      </c>
      <c r="DP561" s="547" t="str">
        <f>IF($G561="","",IF(AND($G561&gt;=30,$AT$3&lt;=DO$7),ROUND(DO561*($AP$3+#REF!),-1),""))</f>
        <v/>
      </c>
      <c r="DQ561" s="547" t="s">
        <v>621</v>
      </c>
      <c r="DR561" s="547" t="str">
        <f>IF($G561="","",IF(AND($G561&gt;=30,$AT$3&lt;=DQ$7),ROUND(DQ561*($AP$3+#REF!),-1),""))</f>
        <v/>
      </c>
      <c r="DS561" s="547" t="s">
        <v>621</v>
      </c>
      <c r="DT561" s="547" t="str">
        <f>IF($G561="","",IF(AND($G561&gt;=30,$AT$3&lt;=DS$7),ROUND(DS561*($AP$3+#REF!),-1),""))</f>
        <v/>
      </c>
      <c r="DU561" s="533" t="e">
        <v>#REF!</v>
      </c>
      <c r="DV561" s="547" t="str">
        <f>IF($G561="","",IF(AND($G561&gt;=30,$AT$3&lt;=DU$7),ROUND(DU561*($AP$3+#REF!),-1),""))</f>
        <v/>
      </c>
      <c r="DW561" s="547"/>
      <c r="DX561" s="547" t="str">
        <f>IF($G561="","",IF(AND($G561&gt;=30,$AT$3&lt;=DW$7),ROUND(DW561*($AP$3+#REF!),-1),""))</f>
        <v/>
      </c>
      <c r="DY561" s="547"/>
      <c r="DZ561" s="547" t="str">
        <f>IF($G561="","",IF(AND($G561&gt;=30,$AT$3&lt;=DY$7),ROUND(DY561*($AP$3+#REF!),-1),""))</f>
        <v/>
      </c>
      <c r="EA561" s="547"/>
      <c r="EB561" s="547" t="str">
        <f>IF($G561="","",IF(AND($G561&gt;=30,$AT$3&lt;=EA$7),ROUND(EA561*($AP$3+#REF!),-1),""))</f>
        <v/>
      </c>
      <c r="EC561" s="547"/>
      <c r="ED561" s="436"/>
      <c r="EE561" s="394"/>
    </row>
    <row r="562" spans="1:135" ht="9.75" customHeight="1">
      <c r="A562" s="321" t="str">
        <f t="shared" si="124"/>
        <v/>
      </c>
      <c r="B562" s="567">
        <f>(ii!$D$13*12+V562)+1</f>
        <v>456</v>
      </c>
      <c r="C562" s="337">
        <f t="shared" si="128"/>
        <v>59230</v>
      </c>
      <c r="D562" s="484">
        <f t="shared" si="131"/>
        <v>2062</v>
      </c>
      <c r="E562" s="484">
        <f t="shared" si="129"/>
        <v>0.16666666666666666</v>
      </c>
      <c r="F562" s="484">
        <f t="shared" si="132"/>
        <v>2062.1666666666665</v>
      </c>
      <c r="G562" s="485" t="str">
        <f>IF(OR(C562&lt;$I$2,C562&gt;$J$3),"",(ii!$D$13*12+V562+1)/12)</f>
        <v/>
      </c>
      <c r="H562" s="486"/>
      <c r="I562" s="486"/>
      <c r="J562" s="487"/>
      <c r="K562" s="488"/>
      <c r="L562" s="548"/>
      <c r="M562" s="489" t="str">
        <f t="shared" si="133"/>
        <v/>
      </c>
      <c r="N562" s="490" t="s">
        <v>621</v>
      </c>
      <c r="O562" s="490" t="str">
        <f t="shared" si="126"/>
        <v/>
      </c>
      <c r="P562" s="491"/>
      <c r="Q562" s="491"/>
      <c r="R562" s="491" t="str">
        <f t="shared" si="127"/>
        <v/>
      </c>
      <c r="S562" s="528" t="str">
        <f t="shared" si="125"/>
        <v/>
      </c>
      <c r="T562" s="528" t="str">
        <f t="shared" si="123"/>
        <v/>
      </c>
      <c r="U562" s="493" t="str">
        <f>IF(H562="","",#REF!*12+#REF!+#REF!*12+#REF!)</f>
        <v/>
      </c>
      <c r="V562" s="338">
        <f>IF(ii!$J$3&gt;gg!C562,"",IF(AND((YEAR(C562)=YEAR($I$2)),MONTH(C562)=MONTH($I$2)),ii!$B$14*12+ii!$C$14+ii!$B$15*12+ii!$C$15-1,V561+1))</f>
        <v>455</v>
      </c>
      <c r="W562" s="339">
        <f t="shared" si="130"/>
        <v>37.916666666666664</v>
      </c>
      <c r="X562" s="494" t="s">
        <v>621</v>
      </c>
      <c r="Y562" s="495" t="s">
        <v>621</v>
      </c>
      <c r="Z562" s="496"/>
      <c r="AA562" s="497"/>
      <c r="AB562" s="498" t="str">
        <f t="shared" si="136"/>
        <v/>
      </c>
      <c r="AC562" s="484" t="str">
        <f t="shared" si="134"/>
        <v/>
      </c>
      <c r="AD562" s="495" t="str">
        <f t="shared" si="135"/>
        <v/>
      </c>
      <c r="AE562" s="499" t="s">
        <v>621</v>
      </c>
      <c r="AF562" s="500" t="s">
        <v>621</v>
      </c>
      <c r="AG562" s="556" t="s">
        <v>621</v>
      </c>
      <c r="AH562" s="503" t="str">
        <f>IF($G562="","",IF(AND($G562&gt;=30,$AT$3&lt;=AG$7),ROUND(AG562*($AP$3+#REF!),-1),""))</f>
        <v/>
      </c>
      <c r="AI562" s="506" t="s">
        <v>621</v>
      </c>
      <c r="AJ562" s="503" t="str">
        <f>IF($G562="","",IF(AND($G562&gt;=30,$AT$3&lt;=AI$7),ROUND(AI562*($AP$3+#REF!),-1),""))</f>
        <v/>
      </c>
      <c r="AK562" s="506" t="s">
        <v>621</v>
      </c>
      <c r="AL562" s="503" t="str">
        <f>IF($G562="","",IF(AND($G562&gt;=30,$AT$3&lt;=AK$7),ROUND(AK562*($AP$3+#REF!),-1),""))</f>
        <v/>
      </c>
      <c r="AM562" s="506" t="s">
        <v>621</v>
      </c>
      <c r="AN562" s="503" t="str">
        <f>IF($G562="","",IF(AND($G562&gt;=30,$AT$3&lt;=AM$7),ROUND(AM562*($AP$3+#REF!),-1),""))</f>
        <v/>
      </c>
      <c r="AO562" s="503" t="e">
        <f>IF(AO561="","",AO561*1.001)</f>
        <v>#REF!</v>
      </c>
      <c r="AP562" s="503" t="str">
        <f>IF($G562="","",IF(AND($G562&gt;=30,$AT$3&lt;=AO$7),ROUND(AO562*($AP$3+#REF!),-1),""))</f>
        <v/>
      </c>
      <c r="AQ562" s="503" t="s">
        <v>621</v>
      </c>
      <c r="AR562" s="503" t="str">
        <f>IF($G562="","",IF(AND($G562&gt;=30,$AT$3&lt;=AQ$7),ROUND(AQ562*($AP$3+#REF!),-1),""))</f>
        <v/>
      </c>
      <c r="AS562" s="503" t="s">
        <v>621</v>
      </c>
      <c r="AT562" s="503" t="str">
        <f>IF($G562="","",IF(AND($G562&gt;=30,$AT$3&lt;=AS$7),ROUND(AS562*($AP$3+#REF!),-1),""))</f>
        <v/>
      </c>
      <c r="AU562" s="503" t="s">
        <v>621</v>
      </c>
      <c r="AV562" s="503" t="str">
        <f>IF($G562="","",IF(AND($G562&gt;=30,$AT$3&lt;=AU$7),ROUND(AU562*($AP$3+#REF!),-1),""))</f>
        <v/>
      </c>
      <c r="AW562" s="503" t="s">
        <v>621</v>
      </c>
      <c r="AX562" s="503" t="str">
        <f>IF($G562="","",IF(AND($G562&gt;=30,$AT$3&lt;=AW$7),ROUND(AW562*($AP$3+#REF!),-1),""))</f>
        <v/>
      </c>
      <c r="AY562" s="503" t="s">
        <v>621</v>
      </c>
      <c r="AZ562" s="503" t="str">
        <f>IF($G562="","",IF(AND($G562&gt;=30,$AT$3&lt;=AY$7),ROUND(AY562*($AP$3+#REF!),-1),""))</f>
        <v/>
      </c>
      <c r="BA562" s="503" t="s">
        <v>621</v>
      </c>
      <c r="BB562" s="503" t="str">
        <f>IF($G562="","",IF(AND($G562&gt;=30,$AT$3&lt;=BA$7),ROUND(BA562*($AP$3+#REF!),-1),""))</f>
        <v/>
      </c>
      <c r="BC562" s="503" t="s">
        <v>621</v>
      </c>
      <c r="BD562" s="503" t="str">
        <f>IF($G562="","",IF(AND($G562&gt;=30,$AT$3&lt;=BC$7),ROUND(BC562*($AP$3+#REF!),-1),""))</f>
        <v/>
      </c>
      <c r="BE562" s="503" t="s">
        <v>621</v>
      </c>
      <c r="BF562" s="503" t="str">
        <f>IF($G562="","",IF(AND($G562&gt;=30,$AT$3&lt;=BE$7),ROUND(BE562*($AP$3+#REF!),-1),""))</f>
        <v/>
      </c>
      <c r="BG562" s="503" t="s">
        <v>621</v>
      </c>
      <c r="BH562" s="503" t="str">
        <f>IF($G562="","",IF(AND($G562&gt;=30,$AT$3&lt;=BG$7),ROUND(BG562*($AP$3+#REF!),-1),""))</f>
        <v/>
      </c>
      <c r="BI562" s="503" t="s">
        <v>621</v>
      </c>
      <c r="BJ562" s="503" t="str">
        <f>IF($G562="","",IF(AND($G562&gt;=30,$AT$3&lt;=BI$7),ROUND(BI562*($AP$3+#REF!),-1),""))</f>
        <v/>
      </c>
      <c r="BK562" s="503" t="s">
        <v>621</v>
      </c>
      <c r="BL562" s="503" t="str">
        <f>IF($G562="","",IF(AND($G562&gt;=30,$AT$3&lt;=BK$7),ROUND(BK562*($AP$3+#REF!),-1),""))</f>
        <v/>
      </c>
      <c r="BM562" s="503" t="s">
        <v>621</v>
      </c>
      <c r="BN562" s="503" t="str">
        <f>IF($G562="","",IF(AND($G562&gt;=30,$AT$3&lt;=BM$7),ROUND(BM562*($AP$3+#REF!),-1),""))</f>
        <v/>
      </c>
      <c r="BO562" s="503" t="s">
        <v>621</v>
      </c>
      <c r="BP562" s="503" t="str">
        <f>IF($G562="","",IF(AND($G562&gt;=30,$AT$3&lt;=BO$7),ROUND(BO562*($AP$3+#REF!),-1),""))</f>
        <v/>
      </c>
      <c r="BQ562" s="503" t="s">
        <v>621</v>
      </c>
      <c r="BR562" s="503" t="str">
        <f>IF($G562="","",IF(AND($G562&gt;=30,$AT$3&lt;=BQ$7),ROUND(BQ562*($AP$3+#REF!),-1),""))</f>
        <v/>
      </c>
      <c r="BS562" s="503" t="s">
        <v>621</v>
      </c>
      <c r="BT562" s="503" t="str">
        <f>IF($G562="","",IF(AND($G562&gt;=30,$AT$3&lt;=BS$7),ROUND(BS562*($AP$3+#REF!),-1),""))</f>
        <v/>
      </c>
      <c r="BU562" s="503" t="s">
        <v>621</v>
      </c>
      <c r="BV562" s="503" t="str">
        <f>IF($G562="","",IF(AND($G562&gt;=30,$AT$3&lt;=BU$7),ROUND(BU562*($AP$3+#REF!),-1),""))</f>
        <v/>
      </c>
      <c r="BW562" s="503" t="s">
        <v>621</v>
      </c>
      <c r="BX562" s="503" t="str">
        <f>IF($G562="","",IF(AND($G562&gt;=30,$AT$3&lt;=BW$7),ROUND(BW562*($AP$3+#REF!),-1),""))</f>
        <v/>
      </c>
      <c r="BY562" s="503" t="s">
        <v>621</v>
      </c>
      <c r="BZ562" s="503" t="str">
        <f>IF($G562="","",IF(AND($G562&gt;=30,$AT$3&lt;=BY$7),ROUND(BY562*($AP$3+#REF!),-1),""))</f>
        <v/>
      </c>
      <c r="CA562" s="503" t="s">
        <v>621</v>
      </c>
      <c r="CB562" s="503" t="str">
        <f>IF($G562="","",IF(AND($G562&gt;=30,$AT$3&lt;=CA$7),ROUND(CA562*($AP$3+#REF!),-1),""))</f>
        <v/>
      </c>
      <c r="CC562" s="503" t="s">
        <v>621</v>
      </c>
      <c r="CD562" s="503" t="str">
        <f>IF($G562="","",IF(AND($G562&gt;=30,$AT$3&lt;=CC$7),ROUND(CC562*($AP$3+#REF!),-1),""))</f>
        <v/>
      </c>
      <c r="CE562" s="503" t="s">
        <v>621</v>
      </c>
      <c r="CF562" s="503" t="str">
        <f>IF($G562="","",IF(AND($G562&gt;=30,$AT$3&lt;=CE$7),ROUND(CE562*($AP$3+#REF!),-1),""))</f>
        <v/>
      </c>
      <c r="CG562" s="503" t="s">
        <v>621</v>
      </c>
      <c r="CH562" s="503" t="str">
        <f>IF($G562="","",IF(AND($G562&gt;=30,$AT$3&lt;=CG$7),ROUND(CG562*($AP$3+#REF!),-1),""))</f>
        <v/>
      </c>
      <c r="CI562" s="503" t="s">
        <v>621</v>
      </c>
      <c r="CJ562" s="503" t="str">
        <f>IF($G562="","",IF(AND($G562&gt;=30,$AT$3&lt;=CI$7),ROUND(CI562*($AP$3+#REF!),-1),""))</f>
        <v/>
      </c>
      <c r="CK562" s="503" t="s">
        <v>621</v>
      </c>
      <c r="CL562" s="503" t="str">
        <f>IF($G562="","",IF(AND($G562&gt;=30,$AT$3&lt;=CK$7),ROUND(CK562*($AP$3+#REF!),-1),""))</f>
        <v/>
      </c>
      <c r="CM562" s="503" t="s">
        <v>621</v>
      </c>
      <c r="CN562" s="503" t="str">
        <f>IF($G562="","",IF(AND($G562&gt;=30,$AT$3&lt;=CM$7),ROUND(CM562*($AP$3+#REF!),-1),""))</f>
        <v/>
      </c>
      <c r="CO562" s="503" t="s">
        <v>621</v>
      </c>
      <c r="CP562" s="503" t="str">
        <f>IF($G562="","",IF(AND($G562&gt;=30,$AT$3&lt;=CO$7),ROUND(CO562*($AP$3+#REF!),-1),""))</f>
        <v/>
      </c>
      <c r="CQ562" s="503" t="s">
        <v>621</v>
      </c>
      <c r="CR562" s="503" t="str">
        <f>IF($G562="","",IF(AND($G562&gt;=30,$AT$3&lt;=CQ$7),ROUND(CQ562*($AP$3+#REF!),-1),""))</f>
        <v/>
      </c>
      <c r="CS562" s="503" t="s">
        <v>621</v>
      </c>
      <c r="CT562" s="503" t="str">
        <f>IF($G562="","",IF(AND($G562&gt;=30,$AT$3&lt;=CS$7),ROUND(CS562*($AP$3+#REF!),-1),""))</f>
        <v/>
      </c>
      <c r="CU562" s="503" t="s">
        <v>621</v>
      </c>
      <c r="CV562" s="503" t="str">
        <f>IF($G562="","",IF(AND($G562&gt;=30,$AT$3&lt;=CU$7),ROUND(CU562*($AP$3+#REF!),-1),""))</f>
        <v/>
      </c>
      <c r="CW562" s="503" t="s">
        <v>621</v>
      </c>
      <c r="CX562" s="503" t="str">
        <f>IF($G562="","",IF(AND($G562&gt;=30,$AT$3&lt;=CW$7),ROUND(CW562*($AP$3+#REF!),-1),""))</f>
        <v/>
      </c>
      <c r="CY562" s="503" t="s">
        <v>621</v>
      </c>
      <c r="CZ562" s="503" t="str">
        <f>IF($G562="","",IF(AND($G562&gt;=30,$AT$3&lt;=CY$7),ROUND(CY562*($AP$3+#REF!),-1),""))</f>
        <v/>
      </c>
      <c r="DA562" s="503" t="s">
        <v>621</v>
      </c>
      <c r="DB562" s="503" t="str">
        <f>IF($G562="","",IF(AND($G562&gt;=30,$AT$3&lt;=DA$7),ROUND(DA562*($AP$3+#REF!),-1),""))</f>
        <v/>
      </c>
      <c r="DC562" s="503" t="s">
        <v>621</v>
      </c>
      <c r="DD562" s="503" t="str">
        <f>IF($G562="","",IF(AND($G562&gt;=30,$AT$3&lt;=DC$7),ROUND(DC562*($AP$3+#REF!),-1),""))</f>
        <v/>
      </c>
      <c r="DE562" s="503" t="s">
        <v>621</v>
      </c>
      <c r="DF562" s="503" t="str">
        <f>IF($G562="","",IF(AND($G562&gt;=30,$AT$3&lt;=DE$7),ROUND(DE562*($AP$3+#REF!),-1),""))</f>
        <v/>
      </c>
      <c r="DG562" s="503" t="s">
        <v>621</v>
      </c>
      <c r="DH562" s="503" t="str">
        <f>IF($G562="","",IF(AND($G562&gt;=30,$AT$3&lt;=DG$7),ROUND(DG562*($AP$3+#REF!),-1),""))</f>
        <v/>
      </c>
      <c r="DI562" s="503" t="s">
        <v>621</v>
      </c>
      <c r="DJ562" s="503" t="str">
        <f>IF($G562="","",IF(AND($G562&gt;=30,$AT$3&lt;=DI$7),ROUND(DI562*($AP$3+#REF!),-1),""))</f>
        <v/>
      </c>
      <c r="DK562" s="503" t="s">
        <v>621</v>
      </c>
      <c r="DL562" s="503" t="str">
        <f>IF($G562="","",IF(AND($G562&gt;=30,$AT$3&lt;=DK$7),ROUND(DK562*($AP$3+#REF!),-1),""))</f>
        <v/>
      </c>
      <c r="DM562" s="503" t="s">
        <v>621</v>
      </c>
      <c r="DN562" s="503" t="str">
        <f>IF($G562="","",IF(AND($G562&gt;=30,$AT$3&lt;=DM$7),ROUND(DM562*($AP$3+#REF!),-1),""))</f>
        <v/>
      </c>
      <c r="DO562" s="503" t="s">
        <v>621</v>
      </c>
      <c r="DP562" s="503" t="str">
        <f>IF($G562="","",IF(AND($G562&gt;=30,$AT$3&lt;=DO$7),ROUND(DO562*($AP$3+#REF!),-1),""))</f>
        <v/>
      </c>
      <c r="DQ562" s="503" t="s">
        <v>621</v>
      </c>
      <c r="DR562" s="503" t="str">
        <f>IF($G562="","",IF(AND($G562&gt;=30,$AT$3&lt;=DQ$7),ROUND(DQ562*($AP$3+#REF!),-1),""))</f>
        <v/>
      </c>
      <c r="DS562" s="503" t="s">
        <v>621</v>
      </c>
      <c r="DT562" s="503" t="str">
        <f>IF($G562="","",IF(AND($G562&gt;=30,$AT$3&lt;=DS$7),ROUND(DS562*($AP$3+#REF!),-1),""))</f>
        <v/>
      </c>
      <c r="DU562" s="517" t="e">
        <v>#REF!</v>
      </c>
      <c r="DV562" s="503" t="str">
        <f>IF($G562="","",IF(AND($G562&gt;=30,$AT$3&lt;=DU$7),ROUND(DU562*($AP$3+#REF!),-1),""))</f>
        <v/>
      </c>
      <c r="DW562" s="503"/>
      <c r="DX562" s="503" t="str">
        <f>IF($G562="","",IF(AND($G562&gt;=30,$AT$3&lt;=DW$7),ROUND(DW562*($AP$3+#REF!),-1),""))</f>
        <v/>
      </c>
      <c r="DY562" s="503"/>
      <c r="DZ562" s="503" t="str">
        <f>IF($G562="","",IF(AND($G562&gt;=30,$AT$3&lt;=DY$7),ROUND(DY562*($AP$3+#REF!),-1),""))</f>
        <v/>
      </c>
      <c r="EA562" s="503"/>
      <c r="EB562" s="503" t="str">
        <f>IF($G562="","",IF(AND($G562&gt;=30,$AT$3&lt;=EA$7),ROUND(EA562*($AP$3+#REF!),-1),""))</f>
        <v/>
      </c>
      <c r="EC562" s="436"/>
      <c r="ED562" s="436"/>
      <c r="EE562" s="394"/>
    </row>
    <row r="563" spans="1:135" ht="9.75" customHeight="1">
      <c r="A563" s="321" t="str">
        <f t="shared" si="124"/>
        <v/>
      </c>
      <c r="B563" s="567">
        <f>(ii!$D$13*12+V563)+1</f>
        <v>457</v>
      </c>
      <c r="C563" s="337">
        <f t="shared" si="128"/>
        <v>59261</v>
      </c>
      <c r="D563" s="484">
        <f t="shared" si="131"/>
        <v>2062</v>
      </c>
      <c r="E563" s="484">
        <f t="shared" si="129"/>
        <v>0.25</v>
      </c>
      <c r="F563" s="484">
        <f t="shared" si="132"/>
        <v>2062.25</v>
      </c>
      <c r="G563" s="485" t="str">
        <f>IF(OR(C563&lt;$I$2,C563&gt;$J$3),"",(ii!$D$13*12+V563+1)/12)</f>
        <v/>
      </c>
      <c r="H563" s="486"/>
      <c r="I563" s="486"/>
      <c r="J563" s="487"/>
      <c r="K563" s="488"/>
      <c r="L563" s="548"/>
      <c r="M563" s="489" t="str">
        <f t="shared" si="133"/>
        <v/>
      </c>
      <c r="N563" s="490" t="s">
        <v>621</v>
      </c>
      <c r="O563" s="490" t="str">
        <f t="shared" si="126"/>
        <v/>
      </c>
      <c r="P563" s="491"/>
      <c r="Q563" s="491"/>
      <c r="R563" s="491" t="str">
        <f t="shared" si="127"/>
        <v/>
      </c>
      <c r="S563" s="528" t="str">
        <f t="shared" si="125"/>
        <v/>
      </c>
      <c r="T563" s="528" t="str">
        <f t="shared" si="123"/>
        <v/>
      </c>
      <c r="U563" s="493" t="str">
        <f>IF(H563="","",#REF!*12+#REF!+#REF!*12+#REF!)</f>
        <v/>
      </c>
      <c r="V563" s="338">
        <f>IF(ii!$J$3&gt;gg!C563,"",IF(AND((YEAR(C563)=YEAR($I$2)),MONTH(C563)=MONTH($I$2)),ii!$B$14*12+ii!$C$14+ii!$B$15*12+ii!$C$15-1,V562+1))</f>
        <v>456</v>
      </c>
      <c r="W563" s="339">
        <f t="shared" si="130"/>
        <v>38</v>
      </c>
      <c r="X563" s="494" t="s">
        <v>621</v>
      </c>
      <c r="Y563" s="495" t="s">
        <v>621</v>
      </c>
      <c r="Z563" s="496"/>
      <c r="AA563" s="497"/>
      <c r="AB563" s="498" t="str">
        <f t="shared" si="136"/>
        <v/>
      </c>
      <c r="AC563" s="484" t="str">
        <f t="shared" si="134"/>
        <v/>
      </c>
      <c r="AD563" s="495" t="str">
        <f t="shared" si="135"/>
        <v/>
      </c>
      <c r="AE563" s="499" t="s">
        <v>621</v>
      </c>
      <c r="AF563" s="500" t="s">
        <v>621</v>
      </c>
      <c r="AG563" s="556" t="s">
        <v>621</v>
      </c>
      <c r="AH563" s="503" t="str">
        <f>IF($G563="","",IF(AND($G563&gt;=30,$AT$3&lt;=AG$7),ROUND(AG563*($AP$3+#REF!),-1),""))</f>
        <v/>
      </c>
      <c r="AI563" s="506" t="s">
        <v>621</v>
      </c>
      <c r="AJ563" s="503" t="str">
        <f>IF($G563="","",IF(AND($G563&gt;=30,$AT$3&lt;=AI$7),ROUND(AI563*($AP$3+#REF!),-1),""))</f>
        <v/>
      </c>
      <c r="AK563" s="506" t="s">
        <v>621</v>
      </c>
      <c r="AL563" s="503" t="str">
        <f>IF($G563="","",IF(AND($G563&gt;=30,$AT$3&lt;=AK$7),ROUND(AK563*($AP$3+#REF!),-1),""))</f>
        <v/>
      </c>
      <c r="AM563" s="506" t="s">
        <v>621</v>
      </c>
      <c r="AN563" s="503" t="str">
        <f>IF($G563="","",IF(AND($G563&gt;=30,$AT$3&lt;=AM$7),ROUND(AM563*($AP$3+#REF!),-1),""))</f>
        <v/>
      </c>
      <c r="AO563" s="503" t="e">
        <v>#REF!</v>
      </c>
      <c r="AP563" s="503" t="str">
        <f>IF($G563="","",IF(AND($G563&gt;=30,$AT$3&lt;=AO$7),ROUND(AO563*($AP$3+#REF!),-1),""))</f>
        <v/>
      </c>
      <c r="AQ563" s="503" t="s">
        <v>621</v>
      </c>
      <c r="AR563" s="503" t="str">
        <f>IF($G563="","",IF(AND($G563&gt;=30,$AT$3&lt;=AQ$7),ROUND(AQ563*($AP$3+#REF!),-1),""))</f>
        <v/>
      </c>
      <c r="AS563" s="503" t="s">
        <v>621</v>
      </c>
      <c r="AT563" s="503" t="str">
        <f>IF($G563="","",IF(AND($G563&gt;=30,$AT$3&lt;=AS$7),ROUND(AS563*($AP$3+#REF!),-1),""))</f>
        <v/>
      </c>
      <c r="AU563" s="503" t="s">
        <v>621</v>
      </c>
      <c r="AV563" s="503" t="str">
        <f>IF($G563="","",IF(AND($G563&gt;=30,$AT$3&lt;=AU$7),ROUND(AU563*($AP$3+#REF!),-1),""))</f>
        <v/>
      </c>
      <c r="AW563" s="503" t="s">
        <v>621</v>
      </c>
      <c r="AX563" s="503" t="str">
        <f>IF($G563="","",IF(AND($G563&gt;=30,$AT$3&lt;=AW$7),ROUND(AW563*($AP$3+#REF!),-1),""))</f>
        <v/>
      </c>
      <c r="AY563" s="503" t="s">
        <v>621</v>
      </c>
      <c r="AZ563" s="503" t="str">
        <f>IF($G563="","",IF(AND($G563&gt;=30,$AT$3&lt;=AY$7),ROUND(AY563*($AP$3+#REF!),-1),""))</f>
        <v/>
      </c>
      <c r="BA563" s="503" t="s">
        <v>621</v>
      </c>
      <c r="BB563" s="503" t="str">
        <f>IF($G563="","",IF(AND($G563&gt;=30,$AT$3&lt;=BA$7),ROUND(BA563*($AP$3+#REF!),-1),""))</f>
        <v/>
      </c>
      <c r="BC563" s="503" t="s">
        <v>621</v>
      </c>
      <c r="BD563" s="503" t="str">
        <f>IF($G563="","",IF(AND($G563&gt;=30,$AT$3&lt;=BC$7),ROUND(BC563*($AP$3+#REF!),-1),""))</f>
        <v/>
      </c>
      <c r="BE563" s="503" t="s">
        <v>621</v>
      </c>
      <c r="BF563" s="503" t="str">
        <f>IF($G563="","",IF(AND($G563&gt;=30,$AT$3&lt;=BE$7),ROUND(BE563*($AP$3+#REF!),-1),""))</f>
        <v/>
      </c>
      <c r="BG563" s="503" t="s">
        <v>621</v>
      </c>
      <c r="BH563" s="503" t="str">
        <f>IF($G563="","",IF(AND($G563&gt;=30,$AT$3&lt;=BG$7),ROUND(BG563*($AP$3+#REF!),-1),""))</f>
        <v/>
      </c>
      <c r="BI563" s="503" t="s">
        <v>621</v>
      </c>
      <c r="BJ563" s="503" t="str">
        <f>IF($G563="","",IF(AND($G563&gt;=30,$AT$3&lt;=BI$7),ROUND(BI563*($AP$3+#REF!),-1),""))</f>
        <v/>
      </c>
      <c r="BK563" s="503" t="s">
        <v>621</v>
      </c>
      <c r="BL563" s="503" t="str">
        <f>IF($G563="","",IF(AND($G563&gt;=30,$AT$3&lt;=BK$7),ROUND(BK563*($AP$3+#REF!),-1),""))</f>
        <v/>
      </c>
      <c r="BM563" s="503" t="s">
        <v>621</v>
      </c>
      <c r="BN563" s="503" t="str">
        <f>IF($G563="","",IF(AND($G563&gt;=30,$AT$3&lt;=BM$7),ROUND(BM563*($AP$3+#REF!),-1),""))</f>
        <v/>
      </c>
      <c r="BO563" s="503" t="s">
        <v>621</v>
      </c>
      <c r="BP563" s="503" t="str">
        <f>IF($G563="","",IF(AND($G563&gt;=30,$AT$3&lt;=BO$7),ROUND(BO563*($AP$3+#REF!),-1),""))</f>
        <v/>
      </c>
      <c r="BQ563" s="503" t="s">
        <v>621</v>
      </c>
      <c r="BR563" s="503" t="str">
        <f>IF($G563="","",IF(AND($G563&gt;=30,$AT$3&lt;=BQ$7),ROUND(BQ563*($AP$3+#REF!),-1),""))</f>
        <v/>
      </c>
      <c r="BS563" s="503" t="s">
        <v>621</v>
      </c>
      <c r="BT563" s="503" t="str">
        <f>IF($G563="","",IF(AND($G563&gt;=30,$AT$3&lt;=BS$7),ROUND(BS563*($AP$3+#REF!),-1),""))</f>
        <v/>
      </c>
      <c r="BU563" s="503" t="s">
        <v>621</v>
      </c>
      <c r="BV563" s="503" t="str">
        <f>IF($G563="","",IF(AND($G563&gt;=30,$AT$3&lt;=BU$7),ROUND(BU563*($AP$3+#REF!),-1),""))</f>
        <v/>
      </c>
      <c r="BW563" s="503" t="s">
        <v>621</v>
      </c>
      <c r="BX563" s="503" t="str">
        <f>IF($G563="","",IF(AND($G563&gt;=30,$AT$3&lt;=BW$7),ROUND(BW563*($AP$3+#REF!),-1),""))</f>
        <v/>
      </c>
      <c r="BY563" s="503" t="s">
        <v>621</v>
      </c>
      <c r="BZ563" s="503" t="str">
        <f>IF($G563="","",IF(AND($G563&gt;=30,$AT$3&lt;=BY$7),ROUND(BY563*($AP$3+#REF!),-1),""))</f>
        <v/>
      </c>
      <c r="CA563" s="503" t="s">
        <v>621</v>
      </c>
      <c r="CB563" s="503" t="str">
        <f>IF($G563="","",IF(AND($G563&gt;=30,$AT$3&lt;=CA$7),ROUND(CA563*($AP$3+#REF!),-1),""))</f>
        <v/>
      </c>
      <c r="CC563" s="503" t="s">
        <v>621</v>
      </c>
      <c r="CD563" s="503" t="str">
        <f>IF($G563="","",IF(AND($G563&gt;=30,$AT$3&lt;=CC$7),ROUND(CC563*($AP$3+#REF!),-1),""))</f>
        <v/>
      </c>
      <c r="CE563" s="503" t="s">
        <v>621</v>
      </c>
      <c r="CF563" s="503" t="str">
        <f>IF($G563="","",IF(AND($G563&gt;=30,$AT$3&lt;=CE$7),ROUND(CE563*($AP$3+#REF!),-1),""))</f>
        <v/>
      </c>
      <c r="CG563" s="503" t="s">
        <v>621</v>
      </c>
      <c r="CH563" s="503" t="str">
        <f>IF($G563="","",IF(AND($G563&gt;=30,$AT$3&lt;=CG$7),ROUND(CG563*($AP$3+#REF!),-1),""))</f>
        <v/>
      </c>
      <c r="CI563" s="503" t="s">
        <v>621</v>
      </c>
      <c r="CJ563" s="503" t="str">
        <f>IF($G563="","",IF(AND($G563&gt;=30,$AT$3&lt;=CI$7),ROUND(CI563*($AP$3+#REF!),-1),""))</f>
        <v/>
      </c>
      <c r="CK563" s="503" t="s">
        <v>621</v>
      </c>
      <c r="CL563" s="503" t="str">
        <f>IF($G563="","",IF(AND($G563&gt;=30,$AT$3&lt;=CK$7),ROUND(CK563*($AP$3+#REF!),-1),""))</f>
        <v/>
      </c>
      <c r="CM563" s="503" t="s">
        <v>621</v>
      </c>
      <c r="CN563" s="503" t="str">
        <f>IF($G563="","",IF(AND($G563&gt;=30,$AT$3&lt;=CM$7),ROUND(CM563*($AP$3+#REF!),-1),""))</f>
        <v/>
      </c>
      <c r="CO563" s="503" t="s">
        <v>621</v>
      </c>
      <c r="CP563" s="503" t="str">
        <f>IF($G563="","",IF(AND($G563&gt;=30,$AT$3&lt;=CO$7),ROUND(CO563*($AP$3+#REF!),-1),""))</f>
        <v/>
      </c>
      <c r="CQ563" s="503" t="s">
        <v>621</v>
      </c>
      <c r="CR563" s="503" t="str">
        <f>IF($G563="","",IF(AND($G563&gt;=30,$AT$3&lt;=CQ$7),ROUND(CQ563*($AP$3+#REF!),-1),""))</f>
        <v/>
      </c>
      <c r="CS563" s="503" t="s">
        <v>621</v>
      </c>
      <c r="CT563" s="503" t="str">
        <f>IF($G563="","",IF(AND($G563&gt;=30,$AT$3&lt;=CS$7),ROUND(CS563*($AP$3+#REF!),-1),""))</f>
        <v/>
      </c>
      <c r="CU563" s="503" t="s">
        <v>621</v>
      </c>
      <c r="CV563" s="503" t="str">
        <f>IF($G563="","",IF(AND($G563&gt;=30,$AT$3&lt;=CU$7),ROUND(CU563*($AP$3+#REF!),-1),""))</f>
        <v/>
      </c>
      <c r="CW563" s="503" t="s">
        <v>621</v>
      </c>
      <c r="CX563" s="503" t="str">
        <f>IF($G563="","",IF(AND($G563&gt;=30,$AT$3&lt;=CW$7),ROUND(CW563*($AP$3+#REF!),-1),""))</f>
        <v/>
      </c>
      <c r="CY563" s="503" t="s">
        <v>621</v>
      </c>
      <c r="CZ563" s="503" t="str">
        <f>IF($G563="","",IF(AND($G563&gt;=30,$AT$3&lt;=CY$7),ROUND(CY563*($AP$3+#REF!),-1),""))</f>
        <v/>
      </c>
      <c r="DA563" s="503" t="s">
        <v>621</v>
      </c>
      <c r="DB563" s="503" t="str">
        <f>IF($G563="","",IF(AND($G563&gt;=30,$AT$3&lt;=DA$7),ROUND(DA563*($AP$3+#REF!),-1),""))</f>
        <v/>
      </c>
      <c r="DC563" s="503" t="s">
        <v>621</v>
      </c>
      <c r="DD563" s="503" t="str">
        <f>IF($G563="","",IF(AND($G563&gt;=30,$AT$3&lt;=DC$7),ROUND(DC563*($AP$3+#REF!),-1),""))</f>
        <v/>
      </c>
      <c r="DE563" s="503" t="s">
        <v>621</v>
      </c>
      <c r="DF563" s="503" t="str">
        <f>IF($G563="","",IF(AND($G563&gt;=30,$AT$3&lt;=DE$7),ROUND(DE563*($AP$3+#REF!),-1),""))</f>
        <v/>
      </c>
      <c r="DG563" s="503" t="s">
        <v>621</v>
      </c>
      <c r="DH563" s="503" t="str">
        <f>IF($G563="","",IF(AND($G563&gt;=30,$AT$3&lt;=DG$7),ROUND(DG563*($AP$3+#REF!),-1),""))</f>
        <v/>
      </c>
      <c r="DI563" s="503" t="s">
        <v>621</v>
      </c>
      <c r="DJ563" s="503" t="str">
        <f>IF($G563="","",IF(AND($G563&gt;=30,$AT$3&lt;=DI$7),ROUND(DI563*($AP$3+#REF!),-1),""))</f>
        <v/>
      </c>
      <c r="DK563" s="503" t="s">
        <v>621</v>
      </c>
      <c r="DL563" s="503" t="str">
        <f>IF($G563="","",IF(AND($G563&gt;=30,$AT$3&lt;=DK$7),ROUND(DK563*($AP$3+#REF!),-1),""))</f>
        <v/>
      </c>
      <c r="DM563" s="503" t="s">
        <v>621</v>
      </c>
      <c r="DN563" s="503" t="str">
        <f>IF($G563="","",IF(AND($G563&gt;=30,$AT$3&lt;=DM$7),ROUND(DM563*($AP$3+#REF!),-1),""))</f>
        <v/>
      </c>
      <c r="DO563" s="503" t="s">
        <v>621</v>
      </c>
      <c r="DP563" s="503" t="str">
        <f>IF($G563="","",IF(AND($G563&gt;=30,$AT$3&lt;=DO$7),ROUND(DO563*($AP$3+#REF!),-1),""))</f>
        <v/>
      </c>
      <c r="DQ563" s="503" t="s">
        <v>621</v>
      </c>
      <c r="DR563" s="503" t="str">
        <f>IF($G563="","",IF(AND($G563&gt;=30,$AT$3&lt;=DQ$7),ROUND(DQ563*($AP$3+#REF!),-1),""))</f>
        <v/>
      </c>
      <c r="DS563" s="503" t="s">
        <v>621</v>
      </c>
      <c r="DT563" s="503" t="str">
        <f>IF($G563="","",IF(AND($G563&gt;=30,$AT$3&lt;=DS$7),ROUND(DS563*($AP$3+#REF!),-1),""))</f>
        <v/>
      </c>
      <c r="DU563" s="517" t="e">
        <v>#REF!</v>
      </c>
      <c r="DV563" s="503" t="str">
        <f>IF($G563="","",IF(AND($G563&gt;=30,$AT$3&lt;=DU$7),ROUND(DU563*($AP$3+#REF!),-1),""))</f>
        <v/>
      </c>
      <c r="DW563" s="503"/>
      <c r="DX563" s="503" t="str">
        <f>IF($G563="","",IF(AND($G563&gt;=30,$AT$3&lt;=DW$7),ROUND(DW563*($AP$3+#REF!),-1),""))</f>
        <v/>
      </c>
      <c r="DY563" s="503"/>
      <c r="DZ563" s="503" t="str">
        <f>IF($G563="","",IF(AND($G563&gt;=30,$AT$3&lt;=DY$7),ROUND(DY563*($AP$3+#REF!),-1),""))</f>
        <v/>
      </c>
      <c r="EA563" s="503"/>
      <c r="EB563" s="503" t="str">
        <f>IF($G563="","",IF(AND($G563&gt;=30,$AT$3&lt;=EA$7),ROUND(EA563*($AP$3+#REF!),-1),""))</f>
        <v/>
      </c>
      <c r="EC563" s="436"/>
      <c r="ED563" s="436"/>
      <c r="EE563" s="394"/>
    </row>
    <row r="564" spans="1:135" ht="9.75" customHeight="1">
      <c r="A564" s="321" t="str">
        <f t="shared" si="124"/>
        <v/>
      </c>
      <c r="B564" s="567">
        <f>(ii!$D$13*12+V564)+1</f>
        <v>458</v>
      </c>
      <c r="C564" s="337">
        <f t="shared" si="128"/>
        <v>59291</v>
      </c>
      <c r="D564" s="484">
        <f t="shared" si="131"/>
        <v>2062</v>
      </c>
      <c r="E564" s="484">
        <f t="shared" si="129"/>
        <v>0.33333333333333331</v>
      </c>
      <c r="F564" s="484">
        <f t="shared" si="132"/>
        <v>2062.3333333333335</v>
      </c>
      <c r="G564" s="485" t="str">
        <f>IF(OR(C564&lt;$I$2,C564&gt;$J$3),"",(ii!$D$13*12+V564+1)/12)</f>
        <v/>
      </c>
      <c r="H564" s="486"/>
      <c r="I564" s="486"/>
      <c r="J564" s="487"/>
      <c r="K564" s="488"/>
      <c r="L564" s="548"/>
      <c r="M564" s="489" t="str">
        <f t="shared" si="133"/>
        <v/>
      </c>
      <c r="N564" s="490" t="s">
        <v>621</v>
      </c>
      <c r="O564" s="490" t="str">
        <f t="shared" si="126"/>
        <v/>
      </c>
      <c r="P564" s="491"/>
      <c r="Q564" s="491"/>
      <c r="R564" s="491" t="str">
        <f t="shared" si="127"/>
        <v/>
      </c>
      <c r="S564" s="528" t="str">
        <f t="shared" si="125"/>
        <v/>
      </c>
      <c r="T564" s="528" t="str">
        <f t="shared" si="123"/>
        <v/>
      </c>
      <c r="U564" s="493" t="str">
        <f>IF(H564="","",#REF!*12+#REF!+#REF!*12+#REF!)</f>
        <v/>
      </c>
      <c r="V564" s="338">
        <f>IF(ii!$J$3&gt;gg!C564,"",IF(AND((YEAR(C564)=YEAR($I$2)),MONTH(C564)=MONTH($I$2)),ii!$B$14*12+ii!$C$14+ii!$B$15*12+ii!$C$15-1,V563+1))</f>
        <v>457</v>
      </c>
      <c r="W564" s="339">
        <f t="shared" si="130"/>
        <v>38.083333333333336</v>
      </c>
      <c r="X564" s="494" t="s">
        <v>621</v>
      </c>
      <c r="Y564" s="495" t="s">
        <v>621</v>
      </c>
      <c r="Z564" s="496"/>
      <c r="AA564" s="497"/>
      <c r="AB564" s="498" t="str">
        <f t="shared" si="136"/>
        <v/>
      </c>
      <c r="AC564" s="484" t="str">
        <f t="shared" si="134"/>
        <v/>
      </c>
      <c r="AD564" s="495" t="str">
        <f t="shared" si="135"/>
        <v/>
      </c>
      <c r="AE564" s="499" t="s">
        <v>621</v>
      </c>
      <c r="AF564" s="500" t="s">
        <v>621</v>
      </c>
      <c r="AG564" s="556" t="s">
        <v>621</v>
      </c>
      <c r="AH564" s="503" t="str">
        <f>IF($G564="","",IF(AND($G564&gt;=30,$AT$3&lt;=AG$7),ROUND(AG564*($AP$3+#REF!),-1),""))</f>
        <v/>
      </c>
      <c r="AI564" s="506" t="s">
        <v>621</v>
      </c>
      <c r="AJ564" s="503" t="str">
        <f>IF($G564="","",IF(AND($G564&gt;=30,$AT$3&lt;=AI$7),ROUND(AI564*($AP$3+#REF!),-1),""))</f>
        <v/>
      </c>
      <c r="AK564" s="506" t="s">
        <v>621</v>
      </c>
      <c r="AL564" s="503" t="str">
        <f>IF($G564="","",IF(AND($G564&gt;=30,$AT$3&lt;=AK$7),ROUND(AK564*($AP$3+#REF!),-1),""))</f>
        <v/>
      </c>
      <c r="AM564" s="506" t="s">
        <v>621</v>
      </c>
      <c r="AN564" s="503" t="str">
        <f>IF($G564="","",IF(AND($G564&gt;=30,$AT$3&lt;=AM$7),ROUND(AM564*($AP$3+#REF!),-1),""))</f>
        <v/>
      </c>
      <c r="AO564" s="503" t="e">
        <v>#REF!</v>
      </c>
      <c r="AP564" s="503" t="str">
        <f>IF($G564="","",IF(AND($G564&gt;=30,$AT$3&lt;=AO$7),ROUND(AO564*($AP$3+#REF!),-1),""))</f>
        <v/>
      </c>
      <c r="AQ564" s="503" t="s">
        <v>621</v>
      </c>
      <c r="AR564" s="503" t="str">
        <f>IF($G564="","",IF(AND($G564&gt;=30,$AT$3&lt;=AQ$7),ROUND(AQ564*($AP$3+#REF!),-1),""))</f>
        <v/>
      </c>
      <c r="AS564" s="503" t="s">
        <v>621</v>
      </c>
      <c r="AT564" s="503" t="str">
        <f>IF($G564="","",IF(AND($G564&gt;=30,$AT$3&lt;=AS$7),ROUND(AS564*($AP$3+#REF!),-1),""))</f>
        <v/>
      </c>
      <c r="AU564" s="503" t="s">
        <v>621</v>
      </c>
      <c r="AV564" s="503" t="str">
        <f>IF($G564="","",IF(AND($G564&gt;=30,$AT$3&lt;=AU$7),ROUND(AU564*($AP$3+#REF!),-1),""))</f>
        <v/>
      </c>
      <c r="AW564" s="503" t="s">
        <v>621</v>
      </c>
      <c r="AX564" s="503" t="str">
        <f>IF($G564="","",IF(AND($G564&gt;=30,$AT$3&lt;=AW$7),ROUND(AW564*($AP$3+#REF!),-1),""))</f>
        <v/>
      </c>
      <c r="AY564" s="503" t="s">
        <v>621</v>
      </c>
      <c r="AZ564" s="503" t="str">
        <f>IF($G564="","",IF(AND($G564&gt;=30,$AT$3&lt;=AY$7),ROUND(AY564*($AP$3+#REF!),-1),""))</f>
        <v/>
      </c>
      <c r="BA564" s="503" t="s">
        <v>621</v>
      </c>
      <c r="BB564" s="503" t="str">
        <f>IF($G564="","",IF(AND($G564&gt;=30,$AT$3&lt;=BA$7),ROUND(BA564*($AP$3+#REF!),-1),""))</f>
        <v/>
      </c>
      <c r="BC564" s="503" t="s">
        <v>621</v>
      </c>
      <c r="BD564" s="503" t="str">
        <f>IF($G564="","",IF(AND($G564&gt;=30,$AT$3&lt;=BC$7),ROUND(BC564*($AP$3+#REF!),-1),""))</f>
        <v/>
      </c>
      <c r="BE564" s="503" t="s">
        <v>621</v>
      </c>
      <c r="BF564" s="503" t="str">
        <f>IF($G564="","",IF(AND($G564&gt;=30,$AT$3&lt;=BE$7),ROUND(BE564*($AP$3+#REF!),-1),""))</f>
        <v/>
      </c>
      <c r="BG564" s="503" t="s">
        <v>621</v>
      </c>
      <c r="BH564" s="503" t="str">
        <f>IF($G564="","",IF(AND($G564&gt;=30,$AT$3&lt;=BG$7),ROUND(BG564*($AP$3+#REF!),-1),""))</f>
        <v/>
      </c>
      <c r="BI564" s="503" t="s">
        <v>621</v>
      </c>
      <c r="BJ564" s="503" t="str">
        <f>IF($G564="","",IF(AND($G564&gt;=30,$AT$3&lt;=BI$7),ROUND(BI564*($AP$3+#REF!),-1),""))</f>
        <v/>
      </c>
      <c r="BK564" s="503" t="s">
        <v>621</v>
      </c>
      <c r="BL564" s="503" t="str">
        <f>IF($G564="","",IF(AND($G564&gt;=30,$AT$3&lt;=BK$7),ROUND(BK564*($AP$3+#REF!),-1),""))</f>
        <v/>
      </c>
      <c r="BM564" s="503" t="s">
        <v>621</v>
      </c>
      <c r="BN564" s="503" t="str">
        <f>IF($G564="","",IF(AND($G564&gt;=30,$AT$3&lt;=BM$7),ROUND(BM564*($AP$3+#REF!),-1),""))</f>
        <v/>
      </c>
      <c r="BO564" s="503" t="s">
        <v>621</v>
      </c>
      <c r="BP564" s="503" t="str">
        <f>IF($G564="","",IF(AND($G564&gt;=30,$AT$3&lt;=BO$7),ROUND(BO564*($AP$3+#REF!),-1),""))</f>
        <v/>
      </c>
      <c r="BQ564" s="503" t="s">
        <v>621</v>
      </c>
      <c r="BR564" s="503" t="str">
        <f>IF($G564="","",IF(AND($G564&gt;=30,$AT$3&lt;=BQ$7),ROUND(BQ564*($AP$3+#REF!),-1),""))</f>
        <v/>
      </c>
      <c r="BS564" s="503" t="s">
        <v>621</v>
      </c>
      <c r="BT564" s="503" t="str">
        <f>IF($G564="","",IF(AND($G564&gt;=30,$AT$3&lt;=BS$7),ROUND(BS564*($AP$3+#REF!),-1),""))</f>
        <v/>
      </c>
      <c r="BU564" s="503" t="s">
        <v>621</v>
      </c>
      <c r="BV564" s="503" t="str">
        <f>IF($G564="","",IF(AND($G564&gt;=30,$AT$3&lt;=BU$7),ROUND(BU564*($AP$3+#REF!),-1),""))</f>
        <v/>
      </c>
      <c r="BW564" s="503" t="s">
        <v>621</v>
      </c>
      <c r="BX564" s="503" t="str">
        <f>IF($G564="","",IF(AND($G564&gt;=30,$AT$3&lt;=BW$7),ROUND(BW564*($AP$3+#REF!),-1),""))</f>
        <v/>
      </c>
      <c r="BY564" s="503" t="s">
        <v>621</v>
      </c>
      <c r="BZ564" s="503" t="str">
        <f>IF($G564="","",IF(AND($G564&gt;=30,$AT$3&lt;=BY$7),ROUND(BY564*($AP$3+#REF!),-1),""))</f>
        <v/>
      </c>
      <c r="CA564" s="503" t="s">
        <v>621</v>
      </c>
      <c r="CB564" s="503" t="str">
        <f>IF($G564="","",IF(AND($G564&gt;=30,$AT$3&lt;=CA$7),ROUND(CA564*($AP$3+#REF!),-1),""))</f>
        <v/>
      </c>
      <c r="CC564" s="503" t="s">
        <v>621</v>
      </c>
      <c r="CD564" s="503" t="str">
        <f>IF($G564="","",IF(AND($G564&gt;=30,$AT$3&lt;=CC$7),ROUND(CC564*($AP$3+#REF!),-1),""))</f>
        <v/>
      </c>
      <c r="CE564" s="503" t="s">
        <v>621</v>
      </c>
      <c r="CF564" s="503" t="str">
        <f>IF($G564="","",IF(AND($G564&gt;=30,$AT$3&lt;=CE$7),ROUND(CE564*($AP$3+#REF!),-1),""))</f>
        <v/>
      </c>
      <c r="CG564" s="503" t="s">
        <v>621</v>
      </c>
      <c r="CH564" s="503" t="str">
        <f>IF($G564="","",IF(AND($G564&gt;=30,$AT$3&lt;=CG$7),ROUND(CG564*($AP$3+#REF!),-1),""))</f>
        <v/>
      </c>
      <c r="CI564" s="503" t="s">
        <v>621</v>
      </c>
      <c r="CJ564" s="503" t="str">
        <f>IF($G564="","",IF(AND($G564&gt;=30,$AT$3&lt;=CI$7),ROUND(CI564*($AP$3+#REF!),-1),""))</f>
        <v/>
      </c>
      <c r="CK564" s="503" t="s">
        <v>621</v>
      </c>
      <c r="CL564" s="503" t="str">
        <f>IF($G564="","",IF(AND($G564&gt;=30,$AT$3&lt;=CK$7),ROUND(CK564*($AP$3+#REF!),-1),""))</f>
        <v/>
      </c>
      <c r="CM564" s="503" t="s">
        <v>621</v>
      </c>
      <c r="CN564" s="503" t="str">
        <f>IF($G564="","",IF(AND($G564&gt;=30,$AT$3&lt;=CM$7),ROUND(CM564*($AP$3+#REF!),-1),""))</f>
        <v/>
      </c>
      <c r="CO564" s="503" t="s">
        <v>621</v>
      </c>
      <c r="CP564" s="503" t="str">
        <f>IF($G564="","",IF(AND($G564&gt;=30,$AT$3&lt;=CO$7),ROUND(CO564*($AP$3+#REF!),-1),""))</f>
        <v/>
      </c>
      <c r="CQ564" s="503" t="s">
        <v>621</v>
      </c>
      <c r="CR564" s="503" t="str">
        <f>IF($G564="","",IF(AND($G564&gt;=30,$AT$3&lt;=CQ$7),ROUND(CQ564*($AP$3+#REF!),-1),""))</f>
        <v/>
      </c>
      <c r="CS564" s="503" t="s">
        <v>621</v>
      </c>
      <c r="CT564" s="503" t="str">
        <f>IF($G564="","",IF(AND($G564&gt;=30,$AT$3&lt;=CS$7),ROUND(CS564*($AP$3+#REF!),-1),""))</f>
        <v/>
      </c>
      <c r="CU564" s="503" t="s">
        <v>621</v>
      </c>
      <c r="CV564" s="503" t="str">
        <f>IF($G564="","",IF(AND($G564&gt;=30,$AT$3&lt;=CU$7),ROUND(CU564*($AP$3+#REF!),-1),""))</f>
        <v/>
      </c>
      <c r="CW564" s="503" t="s">
        <v>621</v>
      </c>
      <c r="CX564" s="503" t="str">
        <f>IF($G564="","",IF(AND($G564&gt;=30,$AT$3&lt;=CW$7),ROUND(CW564*($AP$3+#REF!),-1),""))</f>
        <v/>
      </c>
      <c r="CY564" s="503" t="s">
        <v>621</v>
      </c>
      <c r="CZ564" s="503" t="str">
        <f>IF($G564="","",IF(AND($G564&gt;=30,$AT$3&lt;=CY$7),ROUND(CY564*($AP$3+#REF!),-1),""))</f>
        <v/>
      </c>
      <c r="DA564" s="503" t="s">
        <v>621</v>
      </c>
      <c r="DB564" s="503" t="str">
        <f>IF($G564="","",IF(AND($G564&gt;=30,$AT$3&lt;=DA$7),ROUND(DA564*($AP$3+#REF!),-1),""))</f>
        <v/>
      </c>
      <c r="DC564" s="503" t="s">
        <v>621</v>
      </c>
      <c r="DD564" s="503" t="str">
        <f>IF($G564="","",IF(AND($G564&gt;=30,$AT$3&lt;=DC$7),ROUND(DC564*($AP$3+#REF!),-1),""))</f>
        <v/>
      </c>
      <c r="DE564" s="503" t="s">
        <v>621</v>
      </c>
      <c r="DF564" s="503" t="str">
        <f>IF($G564="","",IF(AND($G564&gt;=30,$AT$3&lt;=DE$7),ROUND(DE564*($AP$3+#REF!),-1),""))</f>
        <v/>
      </c>
      <c r="DG564" s="503" t="s">
        <v>621</v>
      </c>
      <c r="DH564" s="503" t="str">
        <f>IF($G564="","",IF(AND($G564&gt;=30,$AT$3&lt;=DG$7),ROUND(DG564*($AP$3+#REF!),-1),""))</f>
        <v/>
      </c>
      <c r="DI564" s="503" t="s">
        <v>621</v>
      </c>
      <c r="DJ564" s="503" t="str">
        <f>IF($G564="","",IF(AND($G564&gt;=30,$AT$3&lt;=DI$7),ROUND(DI564*($AP$3+#REF!),-1),""))</f>
        <v/>
      </c>
      <c r="DK564" s="503" t="s">
        <v>621</v>
      </c>
      <c r="DL564" s="503" t="str">
        <f>IF($G564="","",IF(AND($G564&gt;=30,$AT$3&lt;=DK$7),ROUND(DK564*($AP$3+#REF!),-1),""))</f>
        <v/>
      </c>
      <c r="DM564" s="503" t="s">
        <v>621</v>
      </c>
      <c r="DN564" s="503" t="str">
        <f>IF($G564="","",IF(AND($G564&gt;=30,$AT$3&lt;=DM$7),ROUND(DM564*($AP$3+#REF!),-1),""))</f>
        <v/>
      </c>
      <c r="DO564" s="503" t="s">
        <v>621</v>
      </c>
      <c r="DP564" s="503" t="str">
        <f>IF($G564="","",IF(AND($G564&gt;=30,$AT$3&lt;=DO$7),ROUND(DO564*($AP$3+#REF!),-1),""))</f>
        <v/>
      </c>
      <c r="DQ564" s="503" t="s">
        <v>621</v>
      </c>
      <c r="DR564" s="503" t="str">
        <f>IF($G564="","",IF(AND($G564&gt;=30,$AT$3&lt;=DQ$7),ROUND(DQ564*($AP$3+#REF!),-1),""))</f>
        <v/>
      </c>
      <c r="DS564" s="503" t="s">
        <v>621</v>
      </c>
      <c r="DT564" s="503" t="str">
        <f>IF($G564="","",IF(AND($G564&gt;=30,$AT$3&lt;=DS$7),ROUND(DS564*($AP$3+#REF!),-1),""))</f>
        <v/>
      </c>
      <c r="DU564" s="517" t="e">
        <v>#REF!</v>
      </c>
      <c r="DV564" s="503" t="str">
        <f>IF($G564="","",IF(AND($G564&gt;=30,$AT$3&lt;=DU$7),ROUND(DU564*($AP$3+#REF!),-1),""))</f>
        <v/>
      </c>
      <c r="DW564" s="503"/>
      <c r="DX564" s="503" t="str">
        <f>IF($G564="","",IF(AND($G564&gt;=30,$AT$3&lt;=DW$7),ROUND(DW564*($AP$3+#REF!),-1),""))</f>
        <v/>
      </c>
      <c r="DY564" s="503"/>
      <c r="DZ564" s="503" t="str">
        <f>IF($G564="","",IF(AND($G564&gt;=30,$AT$3&lt;=DY$7),ROUND(DY564*($AP$3+#REF!),-1),""))</f>
        <v/>
      </c>
      <c r="EA564" s="503"/>
      <c r="EB564" s="503" t="str">
        <f>IF($G564="","",IF(AND($G564&gt;=30,$AT$3&lt;=EA$7),ROUND(EA564*($AP$3+#REF!),-1),""))</f>
        <v/>
      </c>
      <c r="EC564" s="436"/>
      <c r="ED564" s="436"/>
      <c r="EE564" s="394"/>
    </row>
    <row r="565" spans="1:135" ht="9.75" customHeight="1">
      <c r="A565" s="321" t="str">
        <f t="shared" si="124"/>
        <v/>
      </c>
      <c r="B565" s="567">
        <f>(ii!$D$13*12+V565)+1</f>
        <v>459</v>
      </c>
      <c r="C565" s="337">
        <f t="shared" si="128"/>
        <v>59322</v>
      </c>
      <c r="D565" s="484">
        <f t="shared" si="131"/>
        <v>2062</v>
      </c>
      <c r="E565" s="484">
        <f t="shared" si="129"/>
        <v>0.41666666666666669</v>
      </c>
      <c r="F565" s="484">
        <f t="shared" si="132"/>
        <v>2062.4166666666665</v>
      </c>
      <c r="G565" s="485" t="str">
        <f>IF(OR(C565&lt;$I$2,C565&gt;$J$3),"",(ii!$D$13*12+V565+1)/12)</f>
        <v/>
      </c>
      <c r="H565" s="486"/>
      <c r="I565" s="486"/>
      <c r="J565" s="507"/>
      <c r="K565" s="508"/>
      <c r="L565" s="548"/>
      <c r="M565" s="489" t="str">
        <f t="shared" si="133"/>
        <v/>
      </c>
      <c r="N565" s="490" t="s">
        <v>621</v>
      </c>
      <c r="O565" s="490" t="str">
        <f t="shared" si="126"/>
        <v/>
      </c>
      <c r="P565" s="507"/>
      <c r="Q565" s="507"/>
      <c r="R565" s="491" t="str">
        <f t="shared" si="127"/>
        <v/>
      </c>
      <c r="S565" s="528" t="str">
        <f t="shared" si="125"/>
        <v/>
      </c>
      <c r="T565" s="528" t="str">
        <f t="shared" si="123"/>
        <v/>
      </c>
      <c r="U565" s="493" t="str">
        <f>IF(H565="","",#REF!*12+#REF!+#REF!*12+#REF!)</f>
        <v/>
      </c>
      <c r="V565" s="338">
        <f>IF(ii!$J$3&gt;gg!C565,"",IF(AND((YEAR(C565)=YEAR($I$2)),MONTH(C565)=MONTH($I$2)),ii!$B$14*12+ii!$C$14+ii!$B$15*12+ii!$C$15-1,V564+1))</f>
        <v>458</v>
      </c>
      <c r="W565" s="339">
        <f t="shared" si="130"/>
        <v>38.166666666666664</v>
      </c>
      <c r="X565" s="494" t="s">
        <v>621</v>
      </c>
      <c r="Y565" s="495" t="s">
        <v>621</v>
      </c>
      <c r="Z565" s="496"/>
      <c r="AA565" s="497"/>
      <c r="AB565" s="498" t="str">
        <f t="shared" si="136"/>
        <v/>
      </c>
      <c r="AC565" s="484" t="str">
        <f t="shared" si="134"/>
        <v/>
      </c>
      <c r="AD565" s="495" t="str">
        <f t="shared" si="135"/>
        <v/>
      </c>
      <c r="AE565" s="499" t="s">
        <v>621</v>
      </c>
      <c r="AF565" s="500" t="s">
        <v>621</v>
      </c>
      <c r="AG565" s="556" t="s">
        <v>621</v>
      </c>
      <c r="AH565" s="503" t="str">
        <f>IF($G565="","",IF(AND($G565&gt;=30,$AT$3&lt;=AG$7),ROUND(AG565*($AP$3+#REF!),-1),""))</f>
        <v/>
      </c>
      <c r="AI565" s="506" t="s">
        <v>621</v>
      </c>
      <c r="AJ565" s="503" t="str">
        <f>IF($G565="","",IF(AND($G565&gt;=30,$AT$3&lt;=AI$7),ROUND(AI565*($AP$3+#REF!),-1),""))</f>
        <v/>
      </c>
      <c r="AK565" s="506" t="s">
        <v>621</v>
      </c>
      <c r="AL565" s="503" t="str">
        <f>IF($G565="","",IF(AND($G565&gt;=30,$AT$3&lt;=AK$7),ROUND(AK565*($AP$3+#REF!),-1),""))</f>
        <v/>
      </c>
      <c r="AM565" s="506" t="s">
        <v>621</v>
      </c>
      <c r="AN565" s="503" t="str">
        <f>IF($G565="","",IF(AND($G565&gt;=30,$AT$3&lt;=AM$7),ROUND(AM565*($AP$3+#REF!),-1),""))</f>
        <v/>
      </c>
      <c r="AO565" s="503" t="e">
        <v>#REF!</v>
      </c>
      <c r="AP565" s="503" t="str">
        <f>IF($G565="","",IF(AND($G565&gt;=30,$AT$3&lt;=AO$7),ROUND(AO565*($AP$3+#REF!),-1),""))</f>
        <v/>
      </c>
      <c r="AQ565" s="503" t="s">
        <v>621</v>
      </c>
      <c r="AR565" s="503" t="str">
        <f>IF($G565="","",IF(AND($G565&gt;=30,$AT$3&lt;=AQ$7),ROUND(AQ565*($AP$3+#REF!),-1),""))</f>
        <v/>
      </c>
      <c r="AS565" s="503" t="s">
        <v>621</v>
      </c>
      <c r="AT565" s="503" t="str">
        <f>IF($G565="","",IF(AND($G565&gt;=30,$AT$3&lt;=AS$7),ROUND(AS565*($AP$3+#REF!),-1),""))</f>
        <v/>
      </c>
      <c r="AU565" s="503" t="s">
        <v>621</v>
      </c>
      <c r="AV565" s="503" t="str">
        <f>IF($G565="","",IF(AND($G565&gt;=30,$AT$3&lt;=AU$7),ROUND(AU565*($AP$3+#REF!),-1),""))</f>
        <v/>
      </c>
      <c r="AW565" s="503" t="s">
        <v>621</v>
      </c>
      <c r="AX565" s="503" t="str">
        <f>IF($G565="","",IF(AND($G565&gt;=30,$AT$3&lt;=AW$7),ROUND(AW565*($AP$3+#REF!),-1),""))</f>
        <v/>
      </c>
      <c r="AY565" s="503" t="s">
        <v>621</v>
      </c>
      <c r="AZ565" s="503" t="str">
        <f>IF($G565="","",IF(AND($G565&gt;=30,$AT$3&lt;=AY$7),ROUND(AY565*($AP$3+#REF!),-1),""))</f>
        <v/>
      </c>
      <c r="BA565" s="503" t="s">
        <v>621</v>
      </c>
      <c r="BB565" s="503" t="str">
        <f>IF($G565="","",IF(AND($G565&gt;=30,$AT$3&lt;=BA$7),ROUND(BA565*($AP$3+#REF!),-1),""))</f>
        <v/>
      </c>
      <c r="BC565" s="503" t="s">
        <v>621</v>
      </c>
      <c r="BD565" s="503" t="str">
        <f>IF($G565="","",IF(AND($G565&gt;=30,$AT$3&lt;=BC$7),ROUND(BC565*($AP$3+#REF!),-1),""))</f>
        <v/>
      </c>
      <c r="BE565" s="503" t="s">
        <v>621</v>
      </c>
      <c r="BF565" s="503" t="str">
        <f>IF($G565="","",IF(AND($G565&gt;=30,$AT$3&lt;=BE$7),ROUND(BE565*($AP$3+#REF!),-1),""))</f>
        <v/>
      </c>
      <c r="BG565" s="503" t="s">
        <v>621</v>
      </c>
      <c r="BH565" s="503" t="str">
        <f>IF($G565="","",IF(AND($G565&gt;=30,$AT$3&lt;=BG$7),ROUND(BG565*($AP$3+#REF!),-1),""))</f>
        <v/>
      </c>
      <c r="BI565" s="503" t="s">
        <v>621</v>
      </c>
      <c r="BJ565" s="503" t="str">
        <f>IF($G565="","",IF(AND($G565&gt;=30,$AT$3&lt;=BI$7),ROUND(BI565*($AP$3+#REF!),-1),""))</f>
        <v/>
      </c>
      <c r="BK565" s="503" t="s">
        <v>621</v>
      </c>
      <c r="BL565" s="503" t="str">
        <f>IF($G565="","",IF(AND($G565&gt;=30,$AT$3&lt;=BK$7),ROUND(BK565*($AP$3+#REF!),-1),""))</f>
        <v/>
      </c>
      <c r="BM565" s="503" t="s">
        <v>621</v>
      </c>
      <c r="BN565" s="503" t="str">
        <f>IF($G565="","",IF(AND($G565&gt;=30,$AT$3&lt;=BM$7),ROUND(BM565*($AP$3+#REF!),-1),""))</f>
        <v/>
      </c>
      <c r="BO565" s="503" t="s">
        <v>621</v>
      </c>
      <c r="BP565" s="503" t="str">
        <f>IF($G565="","",IF(AND($G565&gt;=30,$AT$3&lt;=BO$7),ROUND(BO565*($AP$3+#REF!),-1),""))</f>
        <v/>
      </c>
      <c r="BQ565" s="503" t="s">
        <v>621</v>
      </c>
      <c r="BR565" s="503" t="str">
        <f>IF($G565="","",IF(AND($G565&gt;=30,$AT$3&lt;=BQ$7),ROUND(BQ565*($AP$3+#REF!),-1),""))</f>
        <v/>
      </c>
      <c r="BS565" s="503" t="s">
        <v>621</v>
      </c>
      <c r="BT565" s="503" t="str">
        <f>IF($G565="","",IF(AND($G565&gt;=30,$AT$3&lt;=BS$7),ROUND(BS565*($AP$3+#REF!),-1),""))</f>
        <v/>
      </c>
      <c r="BU565" s="503" t="s">
        <v>621</v>
      </c>
      <c r="BV565" s="503" t="str">
        <f>IF($G565="","",IF(AND($G565&gt;=30,$AT$3&lt;=BU$7),ROUND(BU565*($AP$3+#REF!),-1),""))</f>
        <v/>
      </c>
      <c r="BW565" s="503" t="s">
        <v>621</v>
      </c>
      <c r="BX565" s="503" t="str">
        <f>IF($G565="","",IF(AND($G565&gt;=30,$AT$3&lt;=BW$7),ROUND(BW565*($AP$3+#REF!),-1),""))</f>
        <v/>
      </c>
      <c r="BY565" s="503" t="s">
        <v>621</v>
      </c>
      <c r="BZ565" s="503" t="str">
        <f>IF($G565="","",IF(AND($G565&gt;=30,$AT$3&lt;=BY$7),ROUND(BY565*($AP$3+#REF!),-1),""))</f>
        <v/>
      </c>
      <c r="CA565" s="503" t="s">
        <v>621</v>
      </c>
      <c r="CB565" s="503" t="str">
        <f>IF($G565="","",IF(AND($G565&gt;=30,$AT$3&lt;=CA$7),ROUND(CA565*($AP$3+#REF!),-1),""))</f>
        <v/>
      </c>
      <c r="CC565" s="503" t="s">
        <v>621</v>
      </c>
      <c r="CD565" s="503" t="str">
        <f>IF($G565="","",IF(AND($G565&gt;=30,$AT$3&lt;=CC$7),ROUND(CC565*($AP$3+#REF!),-1),""))</f>
        <v/>
      </c>
      <c r="CE565" s="503" t="s">
        <v>621</v>
      </c>
      <c r="CF565" s="503" t="str">
        <f>IF($G565="","",IF(AND($G565&gt;=30,$AT$3&lt;=CE$7),ROUND(CE565*($AP$3+#REF!),-1),""))</f>
        <v/>
      </c>
      <c r="CG565" s="503" t="s">
        <v>621</v>
      </c>
      <c r="CH565" s="503" t="str">
        <f>IF($G565="","",IF(AND($G565&gt;=30,$AT$3&lt;=CG$7),ROUND(CG565*($AP$3+#REF!),-1),""))</f>
        <v/>
      </c>
      <c r="CI565" s="503" t="s">
        <v>621</v>
      </c>
      <c r="CJ565" s="503" t="str">
        <f>IF($G565="","",IF(AND($G565&gt;=30,$AT$3&lt;=CI$7),ROUND(CI565*($AP$3+#REF!),-1),""))</f>
        <v/>
      </c>
      <c r="CK565" s="503" t="s">
        <v>621</v>
      </c>
      <c r="CL565" s="503" t="str">
        <f>IF($G565="","",IF(AND($G565&gt;=30,$AT$3&lt;=CK$7),ROUND(CK565*($AP$3+#REF!),-1),""))</f>
        <v/>
      </c>
      <c r="CM565" s="503" t="s">
        <v>621</v>
      </c>
      <c r="CN565" s="503" t="str">
        <f>IF($G565="","",IF(AND($G565&gt;=30,$AT$3&lt;=CM$7),ROUND(CM565*($AP$3+#REF!),-1),""))</f>
        <v/>
      </c>
      <c r="CO565" s="503" t="s">
        <v>621</v>
      </c>
      <c r="CP565" s="503" t="str">
        <f>IF($G565="","",IF(AND($G565&gt;=30,$AT$3&lt;=CO$7),ROUND(CO565*($AP$3+#REF!),-1),""))</f>
        <v/>
      </c>
      <c r="CQ565" s="503" t="s">
        <v>621</v>
      </c>
      <c r="CR565" s="503" t="str">
        <f>IF($G565="","",IF(AND($G565&gt;=30,$AT$3&lt;=CQ$7),ROUND(CQ565*($AP$3+#REF!),-1),""))</f>
        <v/>
      </c>
      <c r="CS565" s="503" t="s">
        <v>621</v>
      </c>
      <c r="CT565" s="503" t="str">
        <f>IF($G565="","",IF(AND($G565&gt;=30,$AT$3&lt;=CS$7),ROUND(CS565*($AP$3+#REF!),-1),""))</f>
        <v/>
      </c>
      <c r="CU565" s="503" t="s">
        <v>621</v>
      </c>
      <c r="CV565" s="503" t="str">
        <f>IF($G565="","",IF(AND($G565&gt;=30,$AT$3&lt;=CU$7),ROUND(CU565*($AP$3+#REF!),-1),""))</f>
        <v/>
      </c>
      <c r="CW565" s="503" t="s">
        <v>621</v>
      </c>
      <c r="CX565" s="503" t="str">
        <f>IF($G565="","",IF(AND($G565&gt;=30,$AT$3&lt;=CW$7),ROUND(CW565*($AP$3+#REF!),-1),""))</f>
        <v/>
      </c>
      <c r="CY565" s="503" t="s">
        <v>621</v>
      </c>
      <c r="CZ565" s="503" t="str">
        <f>IF($G565="","",IF(AND($G565&gt;=30,$AT$3&lt;=CY$7),ROUND(CY565*($AP$3+#REF!),-1),""))</f>
        <v/>
      </c>
      <c r="DA565" s="503" t="s">
        <v>621</v>
      </c>
      <c r="DB565" s="503" t="str">
        <f>IF($G565="","",IF(AND($G565&gt;=30,$AT$3&lt;=DA$7),ROUND(DA565*($AP$3+#REF!),-1),""))</f>
        <v/>
      </c>
      <c r="DC565" s="503" t="s">
        <v>621</v>
      </c>
      <c r="DD565" s="503" t="str">
        <f>IF($G565="","",IF(AND($G565&gt;=30,$AT$3&lt;=DC$7),ROUND(DC565*($AP$3+#REF!),-1),""))</f>
        <v/>
      </c>
      <c r="DE565" s="503" t="s">
        <v>621</v>
      </c>
      <c r="DF565" s="503" t="str">
        <f>IF($G565="","",IF(AND($G565&gt;=30,$AT$3&lt;=DE$7),ROUND(DE565*($AP$3+#REF!),-1),""))</f>
        <v/>
      </c>
      <c r="DG565" s="503" t="s">
        <v>621</v>
      </c>
      <c r="DH565" s="503" t="str">
        <f>IF($G565="","",IF(AND($G565&gt;=30,$AT$3&lt;=DG$7),ROUND(DG565*($AP$3+#REF!),-1),""))</f>
        <v/>
      </c>
      <c r="DI565" s="503" t="s">
        <v>621</v>
      </c>
      <c r="DJ565" s="503" t="str">
        <f>IF($G565="","",IF(AND($G565&gt;=30,$AT$3&lt;=DI$7),ROUND(DI565*($AP$3+#REF!),-1),""))</f>
        <v/>
      </c>
      <c r="DK565" s="503" t="s">
        <v>621</v>
      </c>
      <c r="DL565" s="503" t="str">
        <f>IF($G565="","",IF(AND($G565&gt;=30,$AT$3&lt;=DK$7),ROUND(DK565*($AP$3+#REF!),-1),""))</f>
        <v/>
      </c>
      <c r="DM565" s="503" t="s">
        <v>621</v>
      </c>
      <c r="DN565" s="503" t="str">
        <f>IF($G565="","",IF(AND($G565&gt;=30,$AT$3&lt;=DM$7),ROUND(DM565*($AP$3+#REF!),-1),""))</f>
        <v/>
      </c>
      <c r="DO565" s="503" t="s">
        <v>621</v>
      </c>
      <c r="DP565" s="503" t="str">
        <f>IF($G565="","",IF(AND($G565&gt;=30,$AT$3&lt;=DO$7),ROUND(DO565*($AP$3+#REF!),-1),""))</f>
        <v/>
      </c>
      <c r="DQ565" s="503" t="s">
        <v>621</v>
      </c>
      <c r="DR565" s="503" t="str">
        <f>IF($G565="","",IF(AND($G565&gt;=30,$AT$3&lt;=DQ$7),ROUND(DQ565*($AP$3+#REF!),-1),""))</f>
        <v/>
      </c>
      <c r="DS565" s="503" t="s">
        <v>621</v>
      </c>
      <c r="DT565" s="503" t="str">
        <f>IF($G565="","",IF(AND($G565&gt;=30,$AT$3&lt;=DS$7),ROUND(DS565*($AP$3+#REF!),-1),""))</f>
        <v/>
      </c>
      <c r="DU565" s="517" t="e">
        <v>#REF!</v>
      </c>
      <c r="DV565" s="503" t="str">
        <f>IF($G565="","",IF(AND($G565&gt;=30,$AT$3&lt;=DU$7),ROUND(DU565*($AP$3+#REF!),-1),""))</f>
        <v/>
      </c>
      <c r="DW565" s="503"/>
      <c r="DX565" s="503" t="str">
        <f>IF($G565="","",IF(AND($G565&gt;=30,$AT$3&lt;=DW$7),ROUND(DW565*($AP$3+#REF!),-1),""))</f>
        <v/>
      </c>
      <c r="DY565" s="503"/>
      <c r="DZ565" s="503" t="str">
        <f>IF($G565="","",IF(AND($G565&gt;=30,$AT$3&lt;=DY$7),ROUND(DY565*($AP$3+#REF!),-1),""))</f>
        <v/>
      </c>
      <c r="EA565" s="503"/>
      <c r="EB565" s="503" t="str">
        <f>IF($G565="","",IF(AND($G565&gt;=30,$AT$3&lt;=EA$7),ROUND(EA565*($AP$3+#REF!),-1),""))</f>
        <v/>
      </c>
      <c r="EC565" s="436"/>
      <c r="ED565" s="436"/>
      <c r="EE565" s="394"/>
    </row>
    <row r="566" spans="1:135" ht="9.75" customHeight="1">
      <c r="A566" s="321" t="str">
        <f t="shared" si="124"/>
        <v/>
      </c>
      <c r="B566" s="567">
        <f>(ii!$D$13*12+V566)+1</f>
        <v>460</v>
      </c>
      <c r="C566" s="337">
        <f t="shared" si="128"/>
        <v>59352</v>
      </c>
      <c r="D566" s="484">
        <f t="shared" si="131"/>
        <v>2062</v>
      </c>
      <c r="E566" s="484">
        <f t="shared" si="129"/>
        <v>0.5</v>
      </c>
      <c r="F566" s="484">
        <f t="shared" si="132"/>
        <v>2062.5</v>
      </c>
      <c r="G566" s="485" t="str">
        <f>IF(OR(C566&lt;$I$2,C566&gt;$J$3),"",(ii!$D$13*12+V566+1)/12)</f>
        <v/>
      </c>
      <c r="H566" s="486"/>
      <c r="I566" s="486"/>
      <c r="J566" s="487"/>
      <c r="K566" s="488"/>
      <c r="L566" s="548"/>
      <c r="M566" s="489" t="str">
        <f t="shared" si="133"/>
        <v/>
      </c>
      <c r="N566" s="490" t="s">
        <v>621</v>
      </c>
      <c r="O566" s="490" t="str">
        <f t="shared" si="126"/>
        <v/>
      </c>
      <c r="P566" s="491"/>
      <c r="Q566" s="491"/>
      <c r="R566" s="491" t="str">
        <f t="shared" si="127"/>
        <v/>
      </c>
      <c r="S566" s="528" t="str">
        <f t="shared" si="125"/>
        <v/>
      </c>
      <c r="T566" s="528" t="str">
        <f t="shared" si="123"/>
        <v/>
      </c>
      <c r="U566" s="493" t="str">
        <f>IF(H566="","",#REF!*12+#REF!+#REF!*12+#REF!)</f>
        <v/>
      </c>
      <c r="V566" s="338">
        <f>IF(ii!$J$3&gt;gg!C566,"",IF(AND((YEAR(C566)=YEAR($I$2)),MONTH(C566)=MONTH($I$2)),ii!$B$14*12+ii!$C$14+ii!$B$15*12+ii!$C$15-1,V565+1))</f>
        <v>459</v>
      </c>
      <c r="W566" s="339">
        <f t="shared" si="130"/>
        <v>38.25</v>
      </c>
      <c r="X566" s="494" t="s">
        <v>621</v>
      </c>
      <c r="Y566" s="495" t="s">
        <v>621</v>
      </c>
      <c r="Z566" s="496"/>
      <c r="AA566" s="497"/>
      <c r="AB566" s="498" t="str">
        <f t="shared" si="136"/>
        <v/>
      </c>
      <c r="AC566" s="484" t="str">
        <f t="shared" si="134"/>
        <v/>
      </c>
      <c r="AD566" s="495" t="str">
        <f t="shared" si="135"/>
        <v/>
      </c>
      <c r="AE566" s="499" t="s">
        <v>621</v>
      </c>
      <c r="AF566" s="500" t="s">
        <v>621</v>
      </c>
      <c r="AG566" s="556" t="s">
        <v>621</v>
      </c>
      <c r="AH566" s="503" t="str">
        <f>IF($G566="","",IF(AND($G566&gt;=30,$AT$3&lt;=AG$7),ROUND(AG566*($AP$3+#REF!),-1),""))</f>
        <v/>
      </c>
      <c r="AI566" s="506" t="s">
        <v>621</v>
      </c>
      <c r="AJ566" s="503" t="str">
        <f>IF($G566="","",IF(AND($G566&gt;=30,$AT$3&lt;=AI$7),ROUND(AI566*($AP$3+#REF!),-1),""))</f>
        <v/>
      </c>
      <c r="AK566" s="506" t="s">
        <v>621</v>
      </c>
      <c r="AL566" s="503" t="str">
        <f>IF($G566="","",IF(AND($G566&gt;=30,$AT$3&lt;=AK$7),ROUND(AK566*($AP$3+#REF!),-1),""))</f>
        <v/>
      </c>
      <c r="AM566" s="506" t="s">
        <v>621</v>
      </c>
      <c r="AN566" s="503" t="str">
        <f>IF($G566="","",IF(AND($G566&gt;=30,$AT$3&lt;=AM$7),ROUND(AM566*($AP$3+#REF!),-1),""))</f>
        <v/>
      </c>
      <c r="AO566" s="503" t="e">
        <v>#REF!</v>
      </c>
      <c r="AP566" s="503" t="str">
        <f>IF($G566="","",IF(AND($G566&gt;=30,$AT$3&lt;=AO$7),ROUND(AO566*($AP$3+#REF!),-1),""))</f>
        <v/>
      </c>
      <c r="AQ566" s="503" t="s">
        <v>621</v>
      </c>
      <c r="AR566" s="503" t="str">
        <f>IF($G566="","",IF(AND($G566&gt;=30,$AT$3&lt;=AQ$7),ROUND(AQ566*($AP$3+#REF!),-1),""))</f>
        <v/>
      </c>
      <c r="AS566" s="503" t="s">
        <v>621</v>
      </c>
      <c r="AT566" s="503" t="str">
        <f>IF($G566="","",IF(AND($G566&gt;=30,$AT$3&lt;=AS$7),ROUND(AS566*($AP$3+#REF!),-1),""))</f>
        <v/>
      </c>
      <c r="AU566" s="503" t="s">
        <v>621</v>
      </c>
      <c r="AV566" s="503" t="str">
        <f>IF($G566="","",IF(AND($G566&gt;=30,$AT$3&lt;=AU$7),ROUND(AU566*($AP$3+#REF!),-1),""))</f>
        <v/>
      </c>
      <c r="AW566" s="503" t="s">
        <v>621</v>
      </c>
      <c r="AX566" s="503" t="str">
        <f>IF($G566="","",IF(AND($G566&gt;=30,$AT$3&lt;=AW$7),ROUND(AW566*($AP$3+#REF!),-1),""))</f>
        <v/>
      </c>
      <c r="AY566" s="503" t="s">
        <v>621</v>
      </c>
      <c r="AZ566" s="503" t="str">
        <f>IF($G566="","",IF(AND($G566&gt;=30,$AT$3&lt;=AY$7),ROUND(AY566*($AP$3+#REF!),-1),""))</f>
        <v/>
      </c>
      <c r="BA566" s="503" t="s">
        <v>621</v>
      </c>
      <c r="BB566" s="503" t="str">
        <f>IF($G566="","",IF(AND($G566&gt;=30,$AT$3&lt;=BA$7),ROUND(BA566*($AP$3+#REF!),-1),""))</f>
        <v/>
      </c>
      <c r="BC566" s="503" t="s">
        <v>621</v>
      </c>
      <c r="BD566" s="503" t="str">
        <f>IF($G566="","",IF(AND($G566&gt;=30,$AT$3&lt;=BC$7),ROUND(BC566*($AP$3+#REF!),-1),""))</f>
        <v/>
      </c>
      <c r="BE566" s="503" t="s">
        <v>621</v>
      </c>
      <c r="BF566" s="503" t="str">
        <f>IF($G566="","",IF(AND($G566&gt;=30,$AT$3&lt;=BE$7),ROUND(BE566*($AP$3+#REF!),-1),""))</f>
        <v/>
      </c>
      <c r="BG566" s="503" t="s">
        <v>621</v>
      </c>
      <c r="BH566" s="503" t="str">
        <f>IF($G566="","",IF(AND($G566&gt;=30,$AT$3&lt;=BG$7),ROUND(BG566*($AP$3+#REF!),-1),""))</f>
        <v/>
      </c>
      <c r="BI566" s="503" t="s">
        <v>621</v>
      </c>
      <c r="BJ566" s="503" t="str">
        <f>IF($G566="","",IF(AND($G566&gt;=30,$AT$3&lt;=BI$7),ROUND(BI566*($AP$3+#REF!),-1),""))</f>
        <v/>
      </c>
      <c r="BK566" s="503" t="s">
        <v>621</v>
      </c>
      <c r="BL566" s="503" t="str">
        <f>IF($G566="","",IF(AND($G566&gt;=30,$AT$3&lt;=BK$7),ROUND(BK566*($AP$3+#REF!),-1),""))</f>
        <v/>
      </c>
      <c r="BM566" s="503" t="s">
        <v>621</v>
      </c>
      <c r="BN566" s="503" t="str">
        <f>IF($G566="","",IF(AND($G566&gt;=30,$AT$3&lt;=BM$7),ROUND(BM566*($AP$3+#REF!),-1),""))</f>
        <v/>
      </c>
      <c r="BO566" s="503" t="s">
        <v>621</v>
      </c>
      <c r="BP566" s="503" t="str">
        <f>IF($G566="","",IF(AND($G566&gt;=30,$AT$3&lt;=BO$7),ROUND(BO566*($AP$3+#REF!),-1),""))</f>
        <v/>
      </c>
      <c r="BQ566" s="503" t="s">
        <v>621</v>
      </c>
      <c r="BR566" s="503" t="str">
        <f>IF($G566="","",IF(AND($G566&gt;=30,$AT$3&lt;=BQ$7),ROUND(BQ566*($AP$3+#REF!),-1),""))</f>
        <v/>
      </c>
      <c r="BS566" s="503" t="s">
        <v>621</v>
      </c>
      <c r="BT566" s="503" t="str">
        <f>IF($G566="","",IF(AND($G566&gt;=30,$AT$3&lt;=BS$7),ROUND(BS566*($AP$3+#REF!),-1),""))</f>
        <v/>
      </c>
      <c r="BU566" s="503" t="s">
        <v>621</v>
      </c>
      <c r="BV566" s="503" t="str">
        <f>IF($G566="","",IF(AND($G566&gt;=30,$AT$3&lt;=BU$7),ROUND(BU566*($AP$3+#REF!),-1),""))</f>
        <v/>
      </c>
      <c r="BW566" s="503" t="s">
        <v>621</v>
      </c>
      <c r="BX566" s="503" t="str">
        <f>IF($G566="","",IF(AND($G566&gt;=30,$AT$3&lt;=BW$7),ROUND(BW566*($AP$3+#REF!),-1),""))</f>
        <v/>
      </c>
      <c r="BY566" s="503" t="s">
        <v>621</v>
      </c>
      <c r="BZ566" s="503" t="str">
        <f>IF($G566="","",IF(AND($G566&gt;=30,$AT$3&lt;=BY$7),ROUND(BY566*($AP$3+#REF!),-1),""))</f>
        <v/>
      </c>
      <c r="CA566" s="503" t="s">
        <v>621</v>
      </c>
      <c r="CB566" s="503" t="str">
        <f>IF($G566="","",IF(AND($G566&gt;=30,$AT$3&lt;=CA$7),ROUND(CA566*($AP$3+#REF!),-1),""))</f>
        <v/>
      </c>
      <c r="CC566" s="503" t="s">
        <v>621</v>
      </c>
      <c r="CD566" s="503" t="str">
        <f>IF($G566="","",IF(AND($G566&gt;=30,$AT$3&lt;=CC$7),ROUND(CC566*($AP$3+#REF!),-1),""))</f>
        <v/>
      </c>
      <c r="CE566" s="503" t="s">
        <v>621</v>
      </c>
      <c r="CF566" s="503" t="str">
        <f>IF($G566="","",IF(AND($G566&gt;=30,$AT$3&lt;=CE$7),ROUND(CE566*($AP$3+#REF!),-1),""))</f>
        <v/>
      </c>
      <c r="CG566" s="503" t="s">
        <v>621</v>
      </c>
      <c r="CH566" s="503" t="str">
        <f>IF($G566="","",IF(AND($G566&gt;=30,$AT$3&lt;=CG$7),ROUND(CG566*($AP$3+#REF!),-1),""))</f>
        <v/>
      </c>
      <c r="CI566" s="503" t="s">
        <v>621</v>
      </c>
      <c r="CJ566" s="503" t="str">
        <f>IF($G566="","",IF(AND($G566&gt;=30,$AT$3&lt;=CI$7),ROUND(CI566*($AP$3+#REF!),-1),""))</f>
        <v/>
      </c>
      <c r="CK566" s="503" t="s">
        <v>621</v>
      </c>
      <c r="CL566" s="503" t="str">
        <f>IF($G566="","",IF(AND($G566&gt;=30,$AT$3&lt;=CK$7),ROUND(CK566*($AP$3+#REF!),-1),""))</f>
        <v/>
      </c>
      <c r="CM566" s="503" t="s">
        <v>621</v>
      </c>
      <c r="CN566" s="503" t="str">
        <f>IF($G566="","",IF(AND($G566&gt;=30,$AT$3&lt;=CM$7),ROUND(CM566*($AP$3+#REF!),-1),""))</f>
        <v/>
      </c>
      <c r="CO566" s="503" t="s">
        <v>621</v>
      </c>
      <c r="CP566" s="503" t="str">
        <f>IF($G566="","",IF(AND($G566&gt;=30,$AT$3&lt;=CO$7),ROUND(CO566*($AP$3+#REF!),-1),""))</f>
        <v/>
      </c>
      <c r="CQ566" s="503" t="s">
        <v>621</v>
      </c>
      <c r="CR566" s="503" t="str">
        <f>IF($G566="","",IF(AND($G566&gt;=30,$AT$3&lt;=CQ$7),ROUND(CQ566*($AP$3+#REF!),-1),""))</f>
        <v/>
      </c>
      <c r="CS566" s="503" t="s">
        <v>621</v>
      </c>
      <c r="CT566" s="503" t="str">
        <f>IF($G566="","",IF(AND($G566&gt;=30,$AT$3&lt;=CS$7),ROUND(CS566*($AP$3+#REF!),-1),""))</f>
        <v/>
      </c>
      <c r="CU566" s="503" t="s">
        <v>621</v>
      </c>
      <c r="CV566" s="503" t="str">
        <f>IF($G566="","",IF(AND($G566&gt;=30,$AT$3&lt;=CU$7),ROUND(CU566*($AP$3+#REF!),-1),""))</f>
        <v/>
      </c>
      <c r="CW566" s="503" t="s">
        <v>621</v>
      </c>
      <c r="CX566" s="503" t="str">
        <f>IF($G566="","",IF(AND($G566&gt;=30,$AT$3&lt;=CW$7),ROUND(CW566*($AP$3+#REF!),-1),""))</f>
        <v/>
      </c>
      <c r="CY566" s="503" t="s">
        <v>621</v>
      </c>
      <c r="CZ566" s="503" t="str">
        <f>IF($G566="","",IF(AND($G566&gt;=30,$AT$3&lt;=CY$7),ROUND(CY566*($AP$3+#REF!),-1),""))</f>
        <v/>
      </c>
      <c r="DA566" s="503" t="s">
        <v>621</v>
      </c>
      <c r="DB566" s="503" t="str">
        <f>IF($G566="","",IF(AND($G566&gt;=30,$AT$3&lt;=DA$7),ROUND(DA566*($AP$3+#REF!),-1),""))</f>
        <v/>
      </c>
      <c r="DC566" s="503" t="s">
        <v>621</v>
      </c>
      <c r="DD566" s="503" t="str">
        <f>IF($G566="","",IF(AND($G566&gt;=30,$AT$3&lt;=DC$7),ROUND(DC566*($AP$3+#REF!),-1),""))</f>
        <v/>
      </c>
      <c r="DE566" s="503" t="s">
        <v>621</v>
      </c>
      <c r="DF566" s="503" t="str">
        <f>IF($G566="","",IF(AND($G566&gt;=30,$AT$3&lt;=DE$7),ROUND(DE566*($AP$3+#REF!),-1),""))</f>
        <v/>
      </c>
      <c r="DG566" s="503" t="s">
        <v>621</v>
      </c>
      <c r="DH566" s="503" t="str">
        <f>IF($G566="","",IF(AND($G566&gt;=30,$AT$3&lt;=DG$7),ROUND(DG566*($AP$3+#REF!),-1),""))</f>
        <v/>
      </c>
      <c r="DI566" s="503" t="s">
        <v>621</v>
      </c>
      <c r="DJ566" s="503" t="str">
        <f>IF($G566="","",IF(AND($G566&gt;=30,$AT$3&lt;=DI$7),ROUND(DI566*($AP$3+#REF!),-1),""))</f>
        <v/>
      </c>
      <c r="DK566" s="503" t="s">
        <v>621</v>
      </c>
      <c r="DL566" s="503" t="str">
        <f>IF($G566="","",IF(AND($G566&gt;=30,$AT$3&lt;=DK$7),ROUND(DK566*($AP$3+#REF!),-1),""))</f>
        <v/>
      </c>
      <c r="DM566" s="503" t="s">
        <v>621</v>
      </c>
      <c r="DN566" s="503" t="str">
        <f>IF($G566="","",IF(AND($G566&gt;=30,$AT$3&lt;=DM$7),ROUND(DM566*($AP$3+#REF!),-1),""))</f>
        <v/>
      </c>
      <c r="DO566" s="503" t="s">
        <v>621</v>
      </c>
      <c r="DP566" s="503" t="str">
        <f>IF($G566="","",IF(AND($G566&gt;=30,$AT$3&lt;=DO$7),ROUND(DO566*($AP$3+#REF!),-1),""))</f>
        <v/>
      </c>
      <c r="DQ566" s="503" t="s">
        <v>621</v>
      </c>
      <c r="DR566" s="503" t="str">
        <f>IF($G566="","",IF(AND($G566&gt;=30,$AT$3&lt;=DQ$7),ROUND(DQ566*($AP$3+#REF!),-1),""))</f>
        <v/>
      </c>
      <c r="DS566" s="503" t="s">
        <v>621</v>
      </c>
      <c r="DT566" s="503" t="str">
        <f>IF($G566="","",IF(AND($G566&gt;=30,$AT$3&lt;=DS$7),ROUND(DS566*($AP$3+#REF!),-1),""))</f>
        <v/>
      </c>
      <c r="DU566" s="517" t="e">
        <v>#REF!</v>
      </c>
      <c r="DV566" s="503" t="str">
        <f>IF($G566="","",IF(AND($G566&gt;=30,$AT$3&lt;=DU$7),ROUND(DU566*($AP$3+#REF!),-1),""))</f>
        <v/>
      </c>
      <c r="DW566" s="503"/>
      <c r="DX566" s="503" t="str">
        <f>IF($G566="","",IF(AND($G566&gt;=30,$AT$3&lt;=DW$7),ROUND(DW566*($AP$3+#REF!),-1),""))</f>
        <v/>
      </c>
      <c r="DY566" s="503"/>
      <c r="DZ566" s="503" t="str">
        <f>IF($G566="","",IF(AND($G566&gt;=30,$AT$3&lt;=DY$7),ROUND(DY566*($AP$3+#REF!),-1),""))</f>
        <v/>
      </c>
      <c r="EA566" s="503"/>
      <c r="EB566" s="503" t="str">
        <f>IF($G566="","",IF(AND($G566&gt;=30,$AT$3&lt;=EA$7),ROUND(EA566*($AP$3+#REF!),-1),""))</f>
        <v/>
      </c>
      <c r="EC566" s="436"/>
      <c r="ED566" s="436"/>
      <c r="EE566" s="394"/>
    </row>
    <row r="567" spans="1:135" ht="9.75" customHeight="1">
      <c r="A567" s="321" t="str">
        <f t="shared" si="124"/>
        <v/>
      </c>
      <c r="B567" s="567">
        <f>(ii!$D$13*12+V567)+1</f>
        <v>461</v>
      </c>
      <c r="C567" s="337">
        <f t="shared" si="128"/>
        <v>59383</v>
      </c>
      <c r="D567" s="484">
        <f t="shared" si="131"/>
        <v>2062</v>
      </c>
      <c r="E567" s="484">
        <f t="shared" si="129"/>
        <v>0.58333333333333337</v>
      </c>
      <c r="F567" s="484">
        <f t="shared" si="132"/>
        <v>2062.5833333333335</v>
      </c>
      <c r="G567" s="485" t="str">
        <f>IF(OR(C567&lt;$I$2,C567&gt;$J$3),"",(ii!$D$13*12+V567+1)/12)</f>
        <v/>
      </c>
      <c r="H567" s="486"/>
      <c r="I567" s="486"/>
      <c r="J567" s="487"/>
      <c r="K567" s="488"/>
      <c r="L567" s="548"/>
      <c r="M567" s="489" t="str">
        <f t="shared" si="133"/>
        <v/>
      </c>
      <c r="N567" s="490" t="s">
        <v>621</v>
      </c>
      <c r="O567" s="490" t="str">
        <f t="shared" si="126"/>
        <v/>
      </c>
      <c r="P567" s="491"/>
      <c r="Q567" s="491"/>
      <c r="R567" s="491" t="str">
        <f t="shared" si="127"/>
        <v/>
      </c>
      <c r="S567" s="528" t="str">
        <f t="shared" si="125"/>
        <v/>
      </c>
      <c r="T567" s="528" t="str">
        <f t="shared" si="123"/>
        <v/>
      </c>
      <c r="U567" s="493" t="str">
        <f>IF(H567="","",#REF!*12+#REF!+#REF!*12+#REF!)</f>
        <v/>
      </c>
      <c r="V567" s="338">
        <f>IF(ii!$J$3&gt;gg!C567,"",IF(AND((YEAR(C567)=YEAR($I$2)),MONTH(C567)=MONTH($I$2)),ii!$B$14*12+ii!$C$14+ii!$B$15*12+ii!$C$15-1,V566+1))</f>
        <v>460</v>
      </c>
      <c r="W567" s="339">
        <f t="shared" si="130"/>
        <v>38.333333333333336</v>
      </c>
      <c r="X567" s="494" t="s">
        <v>621</v>
      </c>
      <c r="Y567" s="495" t="s">
        <v>621</v>
      </c>
      <c r="Z567" s="496"/>
      <c r="AA567" s="497"/>
      <c r="AB567" s="498" t="str">
        <f t="shared" si="136"/>
        <v/>
      </c>
      <c r="AC567" s="484" t="str">
        <f t="shared" si="134"/>
        <v/>
      </c>
      <c r="AD567" s="495" t="str">
        <f t="shared" si="135"/>
        <v/>
      </c>
      <c r="AE567" s="499" t="s">
        <v>621</v>
      </c>
      <c r="AF567" s="500" t="s">
        <v>621</v>
      </c>
      <c r="AG567" s="556" t="s">
        <v>621</v>
      </c>
      <c r="AH567" s="503" t="str">
        <f>IF($G567="","",IF(AND($G567&gt;=30,$AT$3&lt;=AG$7),ROUND(AG567*($AP$3+#REF!),-1),""))</f>
        <v/>
      </c>
      <c r="AI567" s="506" t="s">
        <v>621</v>
      </c>
      <c r="AJ567" s="503" t="str">
        <f>IF($G567="","",IF(AND($G567&gt;=30,$AT$3&lt;=AI$7),ROUND(AI567*($AP$3+#REF!),-1),""))</f>
        <v/>
      </c>
      <c r="AK567" s="506" t="s">
        <v>621</v>
      </c>
      <c r="AL567" s="503" t="str">
        <f>IF($G567="","",IF(AND($G567&gt;=30,$AT$3&lt;=AK$7),ROUND(AK567*($AP$3+#REF!),-1),""))</f>
        <v/>
      </c>
      <c r="AM567" s="506" t="s">
        <v>621</v>
      </c>
      <c r="AN567" s="503" t="str">
        <f>IF($G567="","",IF(AND($G567&gt;=30,$AT$3&lt;=AM$7),ROUND(AM567*($AP$3+#REF!),-1),""))</f>
        <v/>
      </c>
      <c r="AO567" s="503" t="e">
        <v>#REF!</v>
      </c>
      <c r="AP567" s="503" t="str">
        <f>IF($G567="","",IF(AND($G567&gt;=30,$AT$3&lt;=AO$7),ROUND(AO567*($AP$3+#REF!),-1),""))</f>
        <v/>
      </c>
      <c r="AQ567" s="503" t="s">
        <v>621</v>
      </c>
      <c r="AR567" s="503" t="str">
        <f>IF($G567="","",IF(AND($G567&gt;=30,$AT$3&lt;=AQ$7),ROUND(AQ567*($AP$3+#REF!),-1),""))</f>
        <v/>
      </c>
      <c r="AS567" s="503" t="s">
        <v>621</v>
      </c>
      <c r="AT567" s="503" t="str">
        <f>IF($G567="","",IF(AND($G567&gt;=30,$AT$3&lt;=AS$7),ROUND(AS567*($AP$3+#REF!),-1),""))</f>
        <v/>
      </c>
      <c r="AU567" s="503" t="s">
        <v>621</v>
      </c>
      <c r="AV567" s="503" t="str">
        <f>IF($G567="","",IF(AND($G567&gt;=30,$AT$3&lt;=AU$7),ROUND(AU567*($AP$3+#REF!),-1),""))</f>
        <v/>
      </c>
      <c r="AW567" s="503" t="s">
        <v>621</v>
      </c>
      <c r="AX567" s="503" t="str">
        <f>IF($G567="","",IF(AND($G567&gt;=30,$AT$3&lt;=AW$7),ROUND(AW567*($AP$3+#REF!),-1),""))</f>
        <v/>
      </c>
      <c r="AY567" s="503" t="s">
        <v>621</v>
      </c>
      <c r="AZ567" s="503" t="str">
        <f>IF($G567="","",IF(AND($G567&gt;=30,$AT$3&lt;=AY$7),ROUND(AY567*($AP$3+#REF!),-1),""))</f>
        <v/>
      </c>
      <c r="BA567" s="503" t="s">
        <v>621</v>
      </c>
      <c r="BB567" s="503" t="str">
        <f>IF($G567="","",IF(AND($G567&gt;=30,$AT$3&lt;=BA$7),ROUND(BA567*($AP$3+#REF!),-1),""))</f>
        <v/>
      </c>
      <c r="BC567" s="503" t="s">
        <v>621</v>
      </c>
      <c r="BD567" s="503" t="str">
        <f>IF($G567="","",IF(AND($G567&gt;=30,$AT$3&lt;=BC$7),ROUND(BC567*($AP$3+#REF!),-1),""))</f>
        <v/>
      </c>
      <c r="BE567" s="503" t="s">
        <v>621</v>
      </c>
      <c r="BF567" s="503" t="str">
        <f>IF($G567="","",IF(AND($G567&gt;=30,$AT$3&lt;=BE$7),ROUND(BE567*($AP$3+#REF!),-1),""))</f>
        <v/>
      </c>
      <c r="BG567" s="503" t="s">
        <v>621</v>
      </c>
      <c r="BH567" s="503" t="str">
        <f>IF($G567="","",IF(AND($G567&gt;=30,$AT$3&lt;=BG$7),ROUND(BG567*($AP$3+#REF!),-1),""))</f>
        <v/>
      </c>
      <c r="BI567" s="503" t="s">
        <v>621</v>
      </c>
      <c r="BJ567" s="503" t="str">
        <f>IF($G567="","",IF(AND($G567&gt;=30,$AT$3&lt;=BI$7),ROUND(BI567*($AP$3+#REF!),-1),""))</f>
        <v/>
      </c>
      <c r="BK567" s="503" t="s">
        <v>621</v>
      </c>
      <c r="BL567" s="503" t="str">
        <f>IF($G567="","",IF(AND($G567&gt;=30,$AT$3&lt;=BK$7),ROUND(BK567*($AP$3+#REF!),-1),""))</f>
        <v/>
      </c>
      <c r="BM567" s="503" t="s">
        <v>621</v>
      </c>
      <c r="BN567" s="503" t="str">
        <f>IF($G567="","",IF(AND($G567&gt;=30,$AT$3&lt;=BM$7),ROUND(BM567*($AP$3+#REF!),-1),""))</f>
        <v/>
      </c>
      <c r="BO567" s="503" t="s">
        <v>621</v>
      </c>
      <c r="BP567" s="503" t="str">
        <f>IF($G567="","",IF(AND($G567&gt;=30,$AT$3&lt;=BO$7),ROUND(BO567*($AP$3+#REF!),-1),""))</f>
        <v/>
      </c>
      <c r="BQ567" s="503" t="s">
        <v>621</v>
      </c>
      <c r="BR567" s="503" t="str">
        <f>IF($G567="","",IF(AND($G567&gt;=30,$AT$3&lt;=BQ$7),ROUND(BQ567*($AP$3+#REF!),-1),""))</f>
        <v/>
      </c>
      <c r="BS567" s="503" t="s">
        <v>621</v>
      </c>
      <c r="BT567" s="503" t="str">
        <f>IF($G567="","",IF(AND($G567&gt;=30,$AT$3&lt;=BS$7),ROUND(BS567*($AP$3+#REF!),-1),""))</f>
        <v/>
      </c>
      <c r="BU567" s="503" t="s">
        <v>621</v>
      </c>
      <c r="BV567" s="503" t="str">
        <f>IF($G567="","",IF(AND($G567&gt;=30,$AT$3&lt;=BU$7),ROUND(BU567*($AP$3+#REF!),-1),""))</f>
        <v/>
      </c>
      <c r="BW567" s="503" t="s">
        <v>621</v>
      </c>
      <c r="BX567" s="503" t="str">
        <f>IF($G567="","",IF(AND($G567&gt;=30,$AT$3&lt;=BW$7),ROUND(BW567*($AP$3+#REF!),-1),""))</f>
        <v/>
      </c>
      <c r="BY567" s="503" t="s">
        <v>621</v>
      </c>
      <c r="BZ567" s="503" t="str">
        <f>IF($G567="","",IF(AND($G567&gt;=30,$AT$3&lt;=BY$7),ROUND(BY567*($AP$3+#REF!),-1),""))</f>
        <v/>
      </c>
      <c r="CA567" s="503" t="s">
        <v>621</v>
      </c>
      <c r="CB567" s="503" t="str">
        <f>IF($G567="","",IF(AND($G567&gt;=30,$AT$3&lt;=CA$7),ROUND(CA567*($AP$3+#REF!),-1),""))</f>
        <v/>
      </c>
      <c r="CC567" s="503" t="s">
        <v>621</v>
      </c>
      <c r="CD567" s="503" t="str">
        <f>IF($G567="","",IF(AND($G567&gt;=30,$AT$3&lt;=CC$7),ROUND(CC567*($AP$3+#REF!),-1),""))</f>
        <v/>
      </c>
      <c r="CE567" s="503" t="s">
        <v>621</v>
      </c>
      <c r="CF567" s="503" t="str">
        <f>IF($G567="","",IF(AND($G567&gt;=30,$AT$3&lt;=CE$7),ROUND(CE567*($AP$3+#REF!),-1),""))</f>
        <v/>
      </c>
      <c r="CG567" s="503" t="s">
        <v>621</v>
      </c>
      <c r="CH567" s="503" t="str">
        <f>IF($G567="","",IF(AND($G567&gt;=30,$AT$3&lt;=CG$7),ROUND(CG567*($AP$3+#REF!),-1),""))</f>
        <v/>
      </c>
      <c r="CI567" s="503" t="s">
        <v>621</v>
      </c>
      <c r="CJ567" s="503" t="str">
        <f>IF($G567="","",IF(AND($G567&gt;=30,$AT$3&lt;=CI$7),ROUND(CI567*($AP$3+#REF!),-1),""))</f>
        <v/>
      </c>
      <c r="CK567" s="503" t="s">
        <v>621</v>
      </c>
      <c r="CL567" s="503" t="str">
        <f>IF($G567="","",IF(AND($G567&gt;=30,$AT$3&lt;=CK$7),ROUND(CK567*($AP$3+#REF!),-1),""))</f>
        <v/>
      </c>
      <c r="CM567" s="503" t="s">
        <v>621</v>
      </c>
      <c r="CN567" s="503" t="str">
        <f>IF($G567="","",IF(AND($G567&gt;=30,$AT$3&lt;=CM$7),ROUND(CM567*($AP$3+#REF!),-1),""))</f>
        <v/>
      </c>
      <c r="CO567" s="503" t="s">
        <v>621</v>
      </c>
      <c r="CP567" s="503" t="str">
        <f>IF($G567="","",IF(AND($G567&gt;=30,$AT$3&lt;=CO$7),ROUND(CO567*($AP$3+#REF!),-1),""))</f>
        <v/>
      </c>
      <c r="CQ567" s="503" t="s">
        <v>621</v>
      </c>
      <c r="CR567" s="503" t="str">
        <f>IF($G567="","",IF(AND($G567&gt;=30,$AT$3&lt;=CQ$7),ROUND(CQ567*($AP$3+#REF!),-1),""))</f>
        <v/>
      </c>
      <c r="CS567" s="503" t="s">
        <v>621</v>
      </c>
      <c r="CT567" s="503" t="str">
        <f>IF($G567="","",IF(AND($G567&gt;=30,$AT$3&lt;=CS$7),ROUND(CS567*($AP$3+#REF!),-1),""))</f>
        <v/>
      </c>
      <c r="CU567" s="503" t="s">
        <v>621</v>
      </c>
      <c r="CV567" s="503" t="str">
        <f>IF($G567="","",IF(AND($G567&gt;=30,$AT$3&lt;=CU$7),ROUND(CU567*($AP$3+#REF!),-1),""))</f>
        <v/>
      </c>
      <c r="CW567" s="503" t="s">
        <v>621</v>
      </c>
      <c r="CX567" s="503" t="str">
        <f>IF($G567="","",IF(AND($G567&gt;=30,$AT$3&lt;=CW$7),ROUND(CW567*($AP$3+#REF!),-1),""))</f>
        <v/>
      </c>
      <c r="CY567" s="503" t="s">
        <v>621</v>
      </c>
      <c r="CZ567" s="503" t="str">
        <f>IF($G567="","",IF(AND($G567&gt;=30,$AT$3&lt;=CY$7),ROUND(CY567*($AP$3+#REF!),-1),""))</f>
        <v/>
      </c>
      <c r="DA567" s="503" t="s">
        <v>621</v>
      </c>
      <c r="DB567" s="503" t="str">
        <f>IF($G567="","",IF(AND($G567&gt;=30,$AT$3&lt;=DA$7),ROUND(DA567*($AP$3+#REF!),-1),""))</f>
        <v/>
      </c>
      <c r="DC567" s="503" t="s">
        <v>621</v>
      </c>
      <c r="DD567" s="503" t="str">
        <f>IF($G567="","",IF(AND($G567&gt;=30,$AT$3&lt;=DC$7),ROUND(DC567*($AP$3+#REF!),-1),""))</f>
        <v/>
      </c>
      <c r="DE567" s="503" t="s">
        <v>621</v>
      </c>
      <c r="DF567" s="503" t="str">
        <f>IF($G567="","",IF(AND($G567&gt;=30,$AT$3&lt;=DE$7),ROUND(DE567*($AP$3+#REF!),-1),""))</f>
        <v/>
      </c>
      <c r="DG567" s="503" t="s">
        <v>621</v>
      </c>
      <c r="DH567" s="503" t="str">
        <f>IF($G567="","",IF(AND($G567&gt;=30,$AT$3&lt;=DG$7),ROUND(DG567*($AP$3+#REF!),-1),""))</f>
        <v/>
      </c>
      <c r="DI567" s="503" t="s">
        <v>621</v>
      </c>
      <c r="DJ567" s="503" t="str">
        <f>IF($G567="","",IF(AND($G567&gt;=30,$AT$3&lt;=DI$7),ROUND(DI567*($AP$3+#REF!),-1),""))</f>
        <v/>
      </c>
      <c r="DK567" s="503" t="s">
        <v>621</v>
      </c>
      <c r="DL567" s="503" t="str">
        <f>IF($G567="","",IF(AND($G567&gt;=30,$AT$3&lt;=DK$7),ROUND(DK567*($AP$3+#REF!),-1),""))</f>
        <v/>
      </c>
      <c r="DM567" s="503" t="s">
        <v>621</v>
      </c>
      <c r="DN567" s="503" t="str">
        <f>IF($G567="","",IF(AND($G567&gt;=30,$AT$3&lt;=DM$7),ROUND(DM567*($AP$3+#REF!),-1),""))</f>
        <v/>
      </c>
      <c r="DO567" s="503" t="s">
        <v>621</v>
      </c>
      <c r="DP567" s="503" t="str">
        <f>IF($G567="","",IF(AND($G567&gt;=30,$AT$3&lt;=DO$7),ROUND(DO567*($AP$3+#REF!),-1),""))</f>
        <v/>
      </c>
      <c r="DQ567" s="503" t="s">
        <v>621</v>
      </c>
      <c r="DR567" s="503" t="str">
        <f>IF($G567="","",IF(AND($G567&gt;=30,$AT$3&lt;=DQ$7),ROUND(DQ567*($AP$3+#REF!),-1),""))</f>
        <v/>
      </c>
      <c r="DS567" s="503" t="s">
        <v>621</v>
      </c>
      <c r="DT567" s="503" t="str">
        <f>IF($G567="","",IF(AND($G567&gt;=30,$AT$3&lt;=DS$7),ROUND(DS567*($AP$3+#REF!),-1),""))</f>
        <v/>
      </c>
      <c r="DU567" s="517" t="e">
        <v>#REF!</v>
      </c>
      <c r="DV567" s="503" t="str">
        <f>IF($G567="","",IF(AND($G567&gt;=30,$AT$3&lt;=DU$7),ROUND(DU567*($AP$3+#REF!),-1),""))</f>
        <v/>
      </c>
      <c r="DW567" s="503"/>
      <c r="DX567" s="503" t="str">
        <f>IF($G567="","",IF(AND($G567&gt;=30,$AT$3&lt;=DW$7),ROUND(DW567*($AP$3+#REF!),-1),""))</f>
        <v/>
      </c>
      <c r="DY567" s="503"/>
      <c r="DZ567" s="503" t="str">
        <f>IF($G567="","",IF(AND($G567&gt;=30,$AT$3&lt;=DY$7),ROUND(DY567*($AP$3+#REF!),-1),""))</f>
        <v/>
      </c>
      <c r="EA567" s="503"/>
      <c r="EB567" s="503" t="str">
        <f>IF($G567="","",IF(AND($G567&gt;=30,$AT$3&lt;=EA$7),ROUND(EA567*($AP$3+#REF!),-1),""))</f>
        <v/>
      </c>
      <c r="EC567" s="436"/>
      <c r="ED567" s="436"/>
      <c r="EE567" s="394"/>
    </row>
    <row r="568" spans="1:135" ht="9.75" customHeight="1">
      <c r="A568" s="321" t="str">
        <f t="shared" si="124"/>
        <v/>
      </c>
      <c r="B568" s="567">
        <f>(ii!$D$13*12+V568)+1</f>
        <v>462</v>
      </c>
      <c r="C568" s="337">
        <f t="shared" si="128"/>
        <v>59414</v>
      </c>
      <c r="D568" s="484">
        <f t="shared" si="131"/>
        <v>2062</v>
      </c>
      <c r="E568" s="484">
        <f t="shared" si="129"/>
        <v>0.66666666666666663</v>
      </c>
      <c r="F568" s="484">
        <f t="shared" si="132"/>
        <v>2062.6666666666665</v>
      </c>
      <c r="G568" s="485" t="str">
        <f>IF(OR(C568&lt;$I$2,C568&gt;$J$3),"",(ii!$D$13*12+V568+1)/12)</f>
        <v/>
      </c>
      <c r="H568" s="486"/>
      <c r="I568" s="486"/>
      <c r="J568" s="487"/>
      <c r="K568" s="488"/>
      <c r="L568" s="548"/>
      <c r="M568" s="489" t="str">
        <f t="shared" si="133"/>
        <v/>
      </c>
      <c r="N568" s="490" t="s">
        <v>621</v>
      </c>
      <c r="O568" s="490" t="str">
        <f t="shared" si="126"/>
        <v/>
      </c>
      <c r="P568" s="491"/>
      <c r="Q568" s="491"/>
      <c r="R568" s="491" t="str">
        <f t="shared" si="127"/>
        <v/>
      </c>
      <c r="S568" s="528" t="str">
        <f t="shared" si="125"/>
        <v/>
      </c>
      <c r="T568" s="528" t="str">
        <f t="shared" si="123"/>
        <v/>
      </c>
      <c r="U568" s="493" t="str">
        <f>IF(H568="","",#REF!*12+#REF!+#REF!*12+#REF!)</f>
        <v/>
      </c>
      <c r="V568" s="338">
        <f>IF(ii!$J$3&gt;gg!C568,"",IF(AND((YEAR(C568)=YEAR($I$2)),MONTH(C568)=MONTH($I$2)),ii!$B$14*12+ii!$C$14+ii!$B$15*12+ii!$C$15-1,V567+1))</f>
        <v>461</v>
      </c>
      <c r="W568" s="339">
        <f t="shared" si="130"/>
        <v>38.416666666666664</v>
      </c>
      <c r="X568" s="494" t="s">
        <v>621</v>
      </c>
      <c r="Y568" s="495" t="s">
        <v>621</v>
      </c>
      <c r="Z568" s="496"/>
      <c r="AA568" s="497"/>
      <c r="AB568" s="498" t="str">
        <f t="shared" si="136"/>
        <v/>
      </c>
      <c r="AC568" s="484" t="str">
        <f t="shared" si="134"/>
        <v/>
      </c>
      <c r="AD568" s="495" t="str">
        <f t="shared" si="135"/>
        <v/>
      </c>
      <c r="AE568" s="499" t="s">
        <v>621</v>
      </c>
      <c r="AF568" s="500" t="s">
        <v>621</v>
      </c>
      <c r="AG568" s="556" t="s">
        <v>621</v>
      </c>
      <c r="AH568" s="503" t="str">
        <f>IF($G568="","",IF(AND($G568&gt;=30,$AT$3&lt;=AG$7),ROUND(AG568*($AP$3+#REF!),-1),""))</f>
        <v/>
      </c>
      <c r="AI568" s="506" t="s">
        <v>621</v>
      </c>
      <c r="AJ568" s="503" t="str">
        <f>IF($G568="","",IF(AND($G568&gt;=30,$AT$3&lt;=AI$7),ROUND(AI568*($AP$3+#REF!),-1),""))</f>
        <v/>
      </c>
      <c r="AK568" s="506" t="s">
        <v>621</v>
      </c>
      <c r="AL568" s="503" t="str">
        <f>IF($G568="","",IF(AND($G568&gt;=30,$AT$3&lt;=AK$7),ROUND(AK568*($AP$3+#REF!),-1),""))</f>
        <v/>
      </c>
      <c r="AM568" s="506" t="s">
        <v>621</v>
      </c>
      <c r="AN568" s="503" t="str">
        <f>IF($G568="","",IF(AND($G568&gt;=30,$AT$3&lt;=AM$7),ROUND(AM568*($AP$3+#REF!),-1),""))</f>
        <v/>
      </c>
      <c r="AO568" s="503" t="e">
        <v>#REF!</v>
      </c>
      <c r="AP568" s="503" t="str">
        <f>IF($G568="","",IF(AND($G568&gt;=30,$AT$3&lt;=AO$7),ROUND(AO568*($AP$3+#REF!),-1),""))</f>
        <v/>
      </c>
      <c r="AQ568" s="503" t="s">
        <v>621</v>
      </c>
      <c r="AR568" s="503" t="str">
        <f>IF($G568="","",IF(AND($G568&gt;=30,$AT$3&lt;=AQ$7),ROUND(AQ568*($AP$3+#REF!),-1),""))</f>
        <v/>
      </c>
      <c r="AS568" s="503" t="s">
        <v>621</v>
      </c>
      <c r="AT568" s="503" t="str">
        <f>IF($G568="","",IF(AND($G568&gt;=30,$AT$3&lt;=AS$7),ROUND(AS568*($AP$3+#REF!),-1),""))</f>
        <v/>
      </c>
      <c r="AU568" s="503" t="s">
        <v>621</v>
      </c>
      <c r="AV568" s="503" t="str">
        <f>IF($G568="","",IF(AND($G568&gt;=30,$AT$3&lt;=AU$7),ROUND(AU568*($AP$3+#REF!),-1),""))</f>
        <v/>
      </c>
      <c r="AW568" s="503" t="s">
        <v>621</v>
      </c>
      <c r="AX568" s="503" t="str">
        <f>IF($G568="","",IF(AND($G568&gt;=30,$AT$3&lt;=AW$7),ROUND(AW568*($AP$3+#REF!),-1),""))</f>
        <v/>
      </c>
      <c r="AY568" s="503" t="s">
        <v>621</v>
      </c>
      <c r="AZ568" s="503" t="str">
        <f>IF($G568="","",IF(AND($G568&gt;=30,$AT$3&lt;=AY$7),ROUND(AY568*($AP$3+#REF!),-1),""))</f>
        <v/>
      </c>
      <c r="BA568" s="503" t="s">
        <v>621</v>
      </c>
      <c r="BB568" s="503" t="str">
        <f>IF($G568="","",IF(AND($G568&gt;=30,$AT$3&lt;=BA$7),ROUND(BA568*($AP$3+#REF!),-1),""))</f>
        <v/>
      </c>
      <c r="BC568" s="503" t="s">
        <v>621</v>
      </c>
      <c r="BD568" s="503" t="str">
        <f>IF($G568="","",IF(AND($G568&gt;=30,$AT$3&lt;=BC$7),ROUND(BC568*($AP$3+#REF!),-1),""))</f>
        <v/>
      </c>
      <c r="BE568" s="503" t="s">
        <v>621</v>
      </c>
      <c r="BF568" s="503" t="str">
        <f>IF($G568="","",IF(AND($G568&gt;=30,$AT$3&lt;=BE$7),ROUND(BE568*($AP$3+#REF!),-1),""))</f>
        <v/>
      </c>
      <c r="BG568" s="503" t="s">
        <v>621</v>
      </c>
      <c r="BH568" s="503" t="str">
        <f>IF($G568="","",IF(AND($G568&gt;=30,$AT$3&lt;=BG$7),ROUND(BG568*($AP$3+#REF!),-1),""))</f>
        <v/>
      </c>
      <c r="BI568" s="503" t="s">
        <v>621</v>
      </c>
      <c r="BJ568" s="503" t="str">
        <f>IF($G568="","",IF(AND($G568&gt;=30,$AT$3&lt;=BI$7),ROUND(BI568*($AP$3+#REF!),-1),""))</f>
        <v/>
      </c>
      <c r="BK568" s="503" t="s">
        <v>621</v>
      </c>
      <c r="BL568" s="503" t="str">
        <f>IF($G568="","",IF(AND($G568&gt;=30,$AT$3&lt;=BK$7),ROUND(BK568*($AP$3+#REF!),-1),""))</f>
        <v/>
      </c>
      <c r="BM568" s="503" t="s">
        <v>621</v>
      </c>
      <c r="BN568" s="503" t="str">
        <f>IF($G568="","",IF(AND($G568&gt;=30,$AT$3&lt;=BM$7),ROUND(BM568*($AP$3+#REF!),-1),""))</f>
        <v/>
      </c>
      <c r="BO568" s="503" t="s">
        <v>621</v>
      </c>
      <c r="BP568" s="503" t="str">
        <f>IF($G568="","",IF(AND($G568&gt;=30,$AT$3&lt;=BO$7),ROUND(BO568*($AP$3+#REF!),-1),""))</f>
        <v/>
      </c>
      <c r="BQ568" s="503" t="s">
        <v>621</v>
      </c>
      <c r="BR568" s="503" t="str">
        <f>IF($G568="","",IF(AND($G568&gt;=30,$AT$3&lt;=BQ$7),ROUND(BQ568*($AP$3+#REF!),-1),""))</f>
        <v/>
      </c>
      <c r="BS568" s="503" t="s">
        <v>621</v>
      </c>
      <c r="BT568" s="503" t="str">
        <f>IF($G568="","",IF(AND($G568&gt;=30,$AT$3&lt;=BS$7),ROUND(BS568*($AP$3+#REF!),-1),""))</f>
        <v/>
      </c>
      <c r="BU568" s="503" t="s">
        <v>621</v>
      </c>
      <c r="BV568" s="503" t="str">
        <f>IF($G568="","",IF(AND($G568&gt;=30,$AT$3&lt;=BU$7),ROUND(BU568*($AP$3+#REF!),-1),""))</f>
        <v/>
      </c>
      <c r="BW568" s="503" t="s">
        <v>621</v>
      </c>
      <c r="BX568" s="503" t="str">
        <f>IF($G568="","",IF(AND($G568&gt;=30,$AT$3&lt;=BW$7),ROUND(BW568*($AP$3+#REF!),-1),""))</f>
        <v/>
      </c>
      <c r="BY568" s="503" t="s">
        <v>621</v>
      </c>
      <c r="BZ568" s="503" t="str">
        <f>IF($G568="","",IF(AND($G568&gt;=30,$AT$3&lt;=BY$7),ROUND(BY568*($AP$3+#REF!),-1),""))</f>
        <v/>
      </c>
      <c r="CA568" s="503" t="s">
        <v>621</v>
      </c>
      <c r="CB568" s="503" t="str">
        <f>IF($G568="","",IF(AND($G568&gt;=30,$AT$3&lt;=CA$7),ROUND(CA568*($AP$3+#REF!),-1),""))</f>
        <v/>
      </c>
      <c r="CC568" s="503" t="s">
        <v>621</v>
      </c>
      <c r="CD568" s="503" t="str">
        <f>IF($G568="","",IF(AND($G568&gt;=30,$AT$3&lt;=CC$7),ROUND(CC568*($AP$3+#REF!),-1),""))</f>
        <v/>
      </c>
      <c r="CE568" s="503" t="s">
        <v>621</v>
      </c>
      <c r="CF568" s="503" t="str">
        <f>IF($G568="","",IF(AND($G568&gt;=30,$AT$3&lt;=CE$7),ROUND(CE568*($AP$3+#REF!),-1),""))</f>
        <v/>
      </c>
      <c r="CG568" s="503" t="s">
        <v>621</v>
      </c>
      <c r="CH568" s="503" t="str">
        <f>IF($G568="","",IF(AND($G568&gt;=30,$AT$3&lt;=CG$7),ROUND(CG568*($AP$3+#REF!),-1),""))</f>
        <v/>
      </c>
      <c r="CI568" s="503" t="s">
        <v>621</v>
      </c>
      <c r="CJ568" s="503" t="str">
        <f>IF($G568="","",IF(AND($G568&gt;=30,$AT$3&lt;=CI$7),ROUND(CI568*($AP$3+#REF!),-1),""))</f>
        <v/>
      </c>
      <c r="CK568" s="503" t="s">
        <v>621</v>
      </c>
      <c r="CL568" s="503" t="str">
        <f>IF($G568="","",IF(AND($G568&gt;=30,$AT$3&lt;=CK$7),ROUND(CK568*($AP$3+#REF!),-1),""))</f>
        <v/>
      </c>
      <c r="CM568" s="503" t="s">
        <v>621</v>
      </c>
      <c r="CN568" s="503" t="str">
        <f>IF($G568="","",IF(AND($G568&gt;=30,$AT$3&lt;=CM$7),ROUND(CM568*($AP$3+#REF!),-1),""))</f>
        <v/>
      </c>
      <c r="CO568" s="503" t="s">
        <v>621</v>
      </c>
      <c r="CP568" s="503" t="str">
        <f>IF($G568="","",IF(AND($G568&gt;=30,$AT$3&lt;=CO$7),ROUND(CO568*($AP$3+#REF!),-1),""))</f>
        <v/>
      </c>
      <c r="CQ568" s="503" t="s">
        <v>621</v>
      </c>
      <c r="CR568" s="503" t="str">
        <f>IF($G568="","",IF(AND($G568&gt;=30,$AT$3&lt;=CQ$7),ROUND(CQ568*($AP$3+#REF!),-1),""))</f>
        <v/>
      </c>
      <c r="CS568" s="503" t="s">
        <v>621</v>
      </c>
      <c r="CT568" s="503" t="str">
        <f>IF($G568="","",IF(AND($G568&gt;=30,$AT$3&lt;=CS$7),ROUND(CS568*($AP$3+#REF!),-1),""))</f>
        <v/>
      </c>
      <c r="CU568" s="503" t="s">
        <v>621</v>
      </c>
      <c r="CV568" s="503" t="str">
        <f>IF($G568="","",IF(AND($G568&gt;=30,$AT$3&lt;=CU$7),ROUND(CU568*($AP$3+#REF!),-1),""))</f>
        <v/>
      </c>
      <c r="CW568" s="503" t="s">
        <v>621</v>
      </c>
      <c r="CX568" s="503" t="str">
        <f>IF($G568="","",IF(AND($G568&gt;=30,$AT$3&lt;=CW$7),ROUND(CW568*($AP$3+#REF!),-1),""))</f>
        <v/>
      </c>
      <c r="CY568" s="503" t="s">
        <v>621</v>
      </c>
      <c r="CZ568" s="503" t="str">
        <f>IF($G568="","",IF(AND($G568&gt;=30,$AT$3&lt;=CY$7),ROUND(CY568*($AP$3+#REF!),-1),""))</f>
        <v/>
      </c>
      <c r="DA568" s="503" t="s">
        <v>621</v>
      </c>
      <c r="DB568" s="503" t="str">
        <f>IF($G568="","",IF(AND($G568&gt;=30,$AT$3&lt;=DA$7),ROUND(DA568*($AP$3+#REF!),-1),""))</f>
        <v/>
      </c>
      <c r="DC568" s="503" t="s">
        <v>621</v>
      </c>
      <c r="DD568" s="503" t="str">
        <f>IF($G568="","",IF(AND($G568&gt;=30,$AT$3&lt;=DC$7),ROUND(DC568*($AP$3+#REF!),-1),""))</f>
        <v/>
      </c>
      <c r="DE568" s="503" t="s">
        <v>621</v>
      </c>
      <c r="DF568" s="503" t="str">
        <f>IF($G568="","",IF(AND($G568&gt;=30,$AT$3&lt;=DE$7),ROUND(DE568*($AP$3+#REF!),-1),""))</f>
        <v/>
      </c>
      <c r="DG568" s="503" t="s">
        <v>621</v>
      </c>
      <c r="DH568" s="503" t="str">
        <f>IF($G568="","",IF(AND($G568&gt;=30,$AT$3&lt;=DG$7),ROUND(DG568*($AP$3+#REF!),-1),""))</f>
        <v/>
      </c>
      <c r="DI568" s="503" t="s">
        <v>621</v>
      </c>
      <c r="DJ568" s="503" t="str">
        <f>IF($G568="","",IF(AND($G568&gt;=30,$AT$3&lt;=DI$7),ROUND(DI568*($AP$3+#REF!),-1),""))</f>
        <v/>
      </c>
      <c r="DK568" s="503" t="s">
        <v>621</v>
      </c>
      <c r="DL568" s="503" t="str">
        <f>IF($G568="","",IF(AND($G568&gt;=30,$AT$3&lt;=DK$7),ROUND(DK568*($AP$3+#REF!),-1),""))</f>
        <v/>
      </c>
      <c r="DM568" s="503" t="s">
        <v>621</v>
      </c>
      <c r="DN568" s="503" t="str">
        <f>IF($G568="","",IF(AND($G568&gt;=30,$AT$3&lt;=DM$7),ROUND(DM568*($AP$3+#REF!),-1),""))</f>
        <v/>
      </c>
      <c r="DO568" s="503" t="s">
        <v>621</v>
      </c>
      <c r="DP568" s="503" t="str">
        <f>IF($G568="","",IF(AND($G568&gt;=30,$AT$3&lt;=DO$7),ROUND(DO568*($AP$3+#REF!),-1),""))</f>
        <v/>
      </c>
      <c r="DQ568" s="503" t="s">
        <v>621</v>
      </c>
      <c r="DR568" s="503" t="str">
        <f>IF($G568="","",IF(AND($G568&gt;=30,$AT$3&lt;=DQ$7),ROUND(DQ568*($AP$3+#REF!),-1),""))</f>
        <v/>
      </c>
      <c r="DS568" s="503" t="s">
        <v>621</v>
      </c>
      <c r="DT568" s="503" t="str">
        <f>IF($G568="","",IF(AND($G568&gt;=30,$AT$3&lt;=DS$7),ROUND(DS568*($AP$3+#REF!),-1),""))</f>
        <v/>
      </c>
      <c r="DU568" s="517" t="e">
        <v>#REF!</v>
      </c>
      <c r="DV568" s="503" t="str">
        <f>IF($G568="","",IF(AND($G568&gt;=30,$AT$3&lt;=DU$7),ROUND(DU568*($AP$3+#REF!),-1),""))</f>
        <v/>
      </c>
      <c r="DW568" s="503"/>
      <c r="DX568" s="503" t="str">
        <f>IF($G568="","",IF(AND($G568&gt;=30,$AT$3&lt;=DW$7),ROUND(DW568*($AP$3+#REF!),-1),""))</f>
        <v/>
      </c>
      <c r="DY568" s="503"/>
      <c r="DZ568" s="503" t="str">
        <f>IF($G568="","",IF(AND($G568&gt;=30,$AT$3&lt;=DY$7),ROUND(DY568*($AP$3+#REF!),-1),""))</f>
        <v/>
      </c>
      <c r="EA568" s="503"/>
      <c r="EB568" s="503" t="str">
        <f>IF($G568="","",IF(AND($G568&gt;=30,$AT$3&lt;=EA$7),ROUND(EA568*($AP$3+#REF!),-1),""))</f>
        <v/>
      </c>
      <c r="EC568" s="436"/>
      <c r="ED568" s="436"/>
      <c r="EE568" s="394"/>
    </row>
    <row r="569" spans="1:135" ht="9.75" customHeight="1">
      <c r="A569" s="321" t="str">
        <f t="shared" si="124"/>
        <v/>
      </c>
      <c r="B569" s="567">
        <f>(ii!$D$13*12+V569)+1</f>
        <v>463</v>
      </c>
      <c r="C569" s="337">
        <f t="shared" si="128"/>
        <v>59444</v>
      </c>
      <c r="D569" s="484">
        <f t="shared" si="131"/>
        <v>2062</v>
      </c>
      <c r="E569" s="484">
        <f t="shared" si="129"/>
        <v>0.75</v>
      </c>
      <c r="F569" s="484">
        <f t="shared" si="132"/>
        <v>2062.75</v>
      </c>
      <c r="G569" s="485" t="str">
        <f>IF(OR(C569&lt;$I$2,C569&gt;$J$3),"",(ii!$D$13*12+V569+1)/12)</f>
        <v/>
      </c>
      <c r="H569" s="486"/>
      <c r="I569" s="486"/>
      <c r="J569" s="487"/>
      <c r="K569" s="488"/>
      <c r="L569" s="548"/>
      <c r="M569" s="489" t="str">
        <f t="shared" si="133"/>
        <v/>
      </c>
      <c r="N569" s="490" t="s">
        <v>621</v>
      </c>
      <c r="O569" s="490" t="str">
        <f t="shared" si="126"/>
        <v/>
      </c>
      <c r="P569" s="491"/>
      <c r="Q569" s="491"/>
      <c r="R569" s="491" t="str">
        <f t="shared" si="127"/>
        <v/>
      </c>
      <c r="S569" s="528" t="str">
        <f t="shared" si="125"/>
        <v/>
      </c>
      <c r="T569" s="528" t="str">
        <f t="shared" ref="T569:T608" si="137">IF(OR(S569="",S568=""),"",S569-S568)</f>
        <v/>
      </c>
      <c r="U569" s="493" t="str">
        <f>IF(H569="","",#REF!*12+#REF!+#REF!*12+#REF!)</f>
        <v/>
      </c>
      <c r="V569" s="338">
        <f>IF(ii!$J$3&gt;gg!C569,"",IF(AND((YEAR(C569)=YEAR($I$2)),MONTH(C569)=MONTH($I$2)),ii!$B$14*12+ii!$C$14+ii!$B$15*12+ii!$C$15-1,V568+1))</f>
        <v>462</v>
      </c>
      <c r="W569" s="339">
        <f t="shared" si="130"/>
        <v>38.5</v>
      </c>
      <c r="X569" s="494" t="s">
        <v>621</v>
      </c>
      <c r="Y569" s="495" t="s">
        <v>621</v>
      </c>
      <c r="Z569" s="496"/>
      <c r="AA569" s="497"/>
      <c r="AB569" s="498" t="str">
        <f t="shared" si="136"/>
        <v/>
      </c>
      <c r="AC569" s="484" t="str">
        <f t="shared" si="134"/>
        <v/>
      </c>
      <c r="AD569" s="495" t="str">
        <f t="shared" si="135"/>
        <v/>
      </c>
      <c r="AE569" s="499" t="s">
        <v>621</v>
      </c>
      <c r="AF569" s="500" t="s">
        <v>621</v>
      </c>
      <c r="AG569" s="556" t="s">
        <v>621</v>
      </c>
      <c r="AH569" s="503" t="str">
        <f>IF($G569="","",IF(AND($G569&gt;=30,$AT$3&lt;=AG$7),ROUND(AG569*($AP$3+#REF!),-1),""))</f>
        <v/>
      </c>
      <c r="AI569" s="506" t="s">
        <v>621</v>
      </c>
      <c r="AJ569" s="503" t="str">
        <f>IF($G569="","",IF(AND($G569&gt;=30,$AT$3&lt;=AI$7),ROUND(AI569*($AP$3+#REF!),-1),""))</f>
        <v/>
      </c>
      <c r="AK569" s="506" t="s">
        <v>621</v>
      </c>
      <c r="AL569" s="503" t="str">
        <f>IF($G569="","",IF(AND($G569&gt;=30,$AT$3&lt;=AK$7),ROUND(AK569*($AP$3+#REF!),-1),""))</f>
        <v/>
      </c>
      <c r="AM569" s="506" t="s">
        <v>621</v>
      </c>
      <c r="AN569" s="503" t="str">
        <f>IF($G569="","",IF(AND($G569&gt;=30,$AT$3&lt;=AM$7),ROUND(AM569*($AP$3+#REF!),-1),""))</f>
        <v/>
      </c>
      <c r="AO569" s="503" t="e">
        <v>#REF!</v>
      </c>
      <c r="AP569" s="503" t="str">
        <f>IF($G569="","",IF(AND($G569&gt;=30,$AT$3&lt;=AO$7),ROUND(AO569*($AP$3+#REF!),-1),""))</f>
        <v/>
      </c>
      <c r="AQ569" s="503" t="s">
        <v>621</v>
      </c>
      <c r="AR569" s="503" t="str">
        <f>IF($G569="","",IF(AND($G569&gt;=30,$AT$3&lt;=AQ$7),ROUND(AQ569*($AP$3+#REF!),-1),""))</f>
        <v/>
      </c>
      <c r="AS569" s="503" t="s">
        <v>621</v>
      </c>
      <c r="AT569" s="503" t="str">
        <f>IF($G569="","",IF(AND($G569&gt;=30,$AT$3&lt;=AS$7),ROUND(AS569*($AP$3+#REF!),-1),""))</f>
        <v/>
      </c>
      <c r="AU569" s="503" t="s">
        <v>621</v>
      </c>
      <c r="AV569" s="503" t="str">
        <f>IF($G569="","",IF(AND($G569&gt;=30,$AT$3&lt;=AU$7),ROUND(AU569*($AP$3+#REF!),-1),""))</f>
        <v/>
      </c>
      <c r="AW569" s="503" t="s">
        <v>621</v>
      </c>
      <c r="AX569" s="503" t="str">
        <f>IF($G569="","",IF(AND($G569&gt;=30,$AT$3&lt;=AW$7),ROUND(AW569*($AP$3+#REF!),-1),""))</f>
        <v/>
      </c>
      <c r="AY569" s="503" t="s">
        <v>621</v>
      </c>
      <c r="AZ569" s="503" t="str">
        <f>IF($G569="","",IF(AND($G569&gt;=30,$AT$3&lt;=AY$7),ROUND(AY569*($AP$3+#REF!),-1),""))</f>
        <v/>
      </c>
      <c r="BA569" s="503" t="s">
        <v>621</v>
      </c>
      <c r="BB569" s="503" t="str">
        <f>IF($G569="","",IF(AND($G569&gt;=30,$AT$3&lt;=BA$7),ROUND(BA569*($AP$3+#REF!),-1),""))</f>
        <v/>
      </c>
      <c r="BC569" s="503" t="s">
        <v>621</v>
      </c>
      <c r="BD569" s="503" t="str">
        <f>IF($G569="","",IF(AND($G569&gt;=30,$AT$3&lt;=BC$7),ROUND(BC569*($AP$3+#REF!),-1),""))</f>
        <v/>
      </c>
      <c r="BE569" s="503" t="s">
        <v>621</v>
      </c>
      <c r="BF569" s="503" t="str">
        <f>IF($G569="","",IF(AND($G569&gt;=30,$AT$3&lt;=BE$7),ROUND(BE569*($AP$3+#REF!),-1),""))</f>
        <v/>
      </c>
      <c r="BG569" s="503" t="s">
        <v>621</v>
      </c>
      <c r="BH569" s="503" t="str">
        <f>IF($G569="","",IF(AND($G569&gt;=30,$AT$3&lt;=BG$7),ROUND(BG569*($AP$3+#REF!),-1),""))</f>
        <v/>
      </c>
      <c r="BI569" s="503" t="s">
        <v>621</v>
      </c>
      <c r="BJ569" s="503" t="str">
        <f>IF($G569="","",IF(AND($G569&gt;=30,$AT$3&lt;=BI$7),ROUND(BI569*($AP$3+#REF!),-1),""))</f>
        <v/>
      </c>
      <c r="BK569" s="503" t="s">
        <v>621</v>
      </c>
      <c r="BL569" s="503" t="str">
        <f>IF($G569="","",IF(AND($G569&gt;=30,$AT$3&lt;=BK$7),ROUND(BK569*($AP$3+#REF!),-1),""))</f>
        <v/>
      </c>
      <c r="BM569" s="503" t="s">
        <v>621</v>
      </c>
      <c r="BN569" s="503" t="str">
        <f>IF($G569="","",IF(AND($G569&gt;=30,$AT$3&lt;=BM$7),ROUND(BM569*($AP$3+#REF!),-1),""))</f>
        <v/>
      </c>
      <c r="BO569" s="503" t="s">
        <v>621</v>
      </c>
      <c r="BP569" s="503" t="str">
        <f>IF($G569="","",IF(AND($G569&gt;=30,$AT$3&lt;=BO$7),ROUND(BO569*($AP$3+#REF!),-1),""))</f>
        <v/>
      </c>
      <c r="BQ569" s="503" t="s">
        <v>621</v>
      </c>
      <c r="BR569" s="503" t="str">
        <f>IF($G569="","",IF(AND($G569&gt;=30,$AT$3&lt;=BQ$7),ROUND(BQ569*($AP$3+#REF!),-1),""))</f>
        <v/>
      </c>
      <c r="BS569" s="503" t="s">
        <v>621</v>
      </c>
      <c r="BT569" s="503" t="str">
        <f>IF($G569="","",IF(AND($G569&gt;=30,$AT$3&lt;=BS$7),ROUND(BS569*($AP$3+#REF!),-1),""))</f>
        <v/>
      </c>
      <c r="BU569" s="503" t="s">
        <v>621</v>
      </c>
      <c r="BV569" s="503" t="str">
        <f>IF($G569="","",IF(AND($G569&gt;=30,$AT$3&lt;=BU$7),ROUND(BU569*($AP$3+#REF!),-1),""))</f>
        <v/>
      </c>
      <c r="BW569" s="503" t="s">
        <v>621</v>
      </c>
      <c r="BX569" s="503" t="str">
        <f>IF($G569="","",IF(AND($G569&gt;=30,$AT$3&lt;=BW$7),ROUND(BW569*($AP$3+#REF!),-1),""))</f>
        <v/>
      </c>
      <c r="BY569" s="503" t="s">
        <v>621</v>
      </c>
      <c r="BZ569" s="503" t="str">
        <f>IF($G569="","",IF(AND($G569&gt;=30,$AT$3&lt;=BY$7),ROUND(BY569*($AP$3+#REF!),-1),""))</f>
        <v/>
      </c>
      <c r="CA569" s="503" t="s">
        <v>621</v>
      </c>
      <c r="CB569" s="503" t="str">
        <f>IF($G569="","",IF(AND($G569&gt;=30,$AT$3&lt;=CA$7),ROUND(CA569*($AP$3+#REF!),-1),""))</f>
        <v/>
      </c>
      <c r="CC569" s="503" t="s">
        <v>621</v>
      </c>
      <c r="CD569" s="503" t="str">
        <f>IF($G569="","",IF(AND($G569&gt;=30,$AT$3&lt;=CC$7),ROUND(CC569*($AP$3+#REF!),-1),""))</f>
        <v/>
      </c>
      <c r="CE569" s="503" t="s">
        <v>621</v>
      </c>
      <c r="CF569" s="503" t="str">
        <f>IF($G569="","",IF(AND($G569&gt;=30,$AT$3&lt;=CE$7),ROUND(CE569*($AP$3+#REF!),-1),""))</f>
        <v/>
      </c>
      <c r="CG569" s="503" t="s">
        <v>621</v>
      </c>
      <c r="CH569" s="503" t="str">
        <f>IF($G569="","",IF(AND($G569&gt;=30,$AT$3&lt;=CG$7),ROUND(CG569*($AP$3+#REF!),-1),""))</f>
        <v/>
      </c>
      <c r="CI569" s="503" t="s">
        <v>621</v>
      </c>
      <c r="CJ569" s="503" t="str">
        <f>IF($G569="","",IF(AND($G569&gt;=30,$AT$3&lt;=CI$7),ROUND(CI569*($AP$3+#REF!),-1),""))</f>
        <v/>
      </c>
      <c r="CK569" s="503" t="s">
        <v>621</v>
      </c>
      <c r="CL569" s="503" t="str">
        <f>IF($G569="","",IF(AND($G569&gt;=30,$AT$3&lt;=CK$7),ROUND(CK569*($AP$3+#REF!),-1),""))</f>
        <v/>
      </c>
      <c r="CM569" s="503" t="s">
        <v>621</v>
      </c>
      <c r="CN569" s="503" t="str">
        <f>IF($G569="","",IF(AND($G569&gt;=30,$AT$3&lt;=CM$7),ROUND(CM569*($AP$3+#REF!),-1),""))</f>
        <v/>
      </c>
      <c r="CO569" s="503" t="s">
        <v>621</v>
      </c>
      <c r="CP569" s="503" t="str">
        <f>IF($G569="","",IF(AND($G569&gt;=30,$AT$3&lt;=CO$7),ROUND(CO569*($AP$3+#REF!),-1),""))</f>
        <v/>
      </c>
      <c r="CQ569" s="503" t="s">
        <v>621</v>
      </c>
      <c r="CR569" s="503" t="str">
        <f>IF($G569="","",IF(AND($G569&gt;=30,$AT$3&lt;=CQ$7),ROUND(CQ569*($AP$3+#REF!),-1),""))</f>
        <v/>
      </c>
      <c r="CS569" s="503" t="s">
        <v>621</v>
      </c>
      <c r="CT569" s="503" t="str">
        <f>IF($G569="","",IF(AND($G569&gt;=30,$AT$3&lt;=CS$7),ROUND(CS569*($AP$3+#REF!),-1),""))</f>
        <v/>
      </c>
      <c r="CU569" s="503" t="s">
        <v>621</v>
      </c>
      <c r="CV569" s="503" t="str">
        <f>IF($G569="","",IF(AND($G569&gt;=30,$AT$3&lt;=CU$7),ROUND(CU569*($AP$3+#REF!),-1),""))</f>
        <v/>
      </c>
      <c r="CW569" s="503" t="s">
        <v>621</v>
      </c>
      <c r="CX569" s="503" t="str">
        <f>IF($G569="","",IF(AND($G569&gt;=30,$AT$3&lt;=CW$7),ROUND(CW569*($AP$3+#REF!),-1),""))</f>
        <v/>
      </c>
      <c r="CY569" s="503" t="s">
        <v>621</v>
      </c>
      <c r="CZ569" s="503" t="str">
        <f>IF($G569="","",IF(AND($G569&gt;=30,$AT$3&lt;=CY$7),ROUND(CY569*($AP$3+#REF!),-1),""))</f>
        <v/>
      </c>
      <c r="DA569" s="503" t="s">
        <v>621</v>
      </c>
      <c r="DB569" s="503" t="str">
        <f>IF($G569="","",IF(AND($G569&gt;=30,$AT$3&lt;=DA$7),ROUND(DA569*($AP$3+#REF!),-1),""))</f>
        <v/>
      </c>
      <c r="DC569" s="503" t="s">
        <v>621</v>
      </c>
      <c r="DD569" s="503" t="str">
        <f>IF($G569="","",IF(AND($G569&gt;=30,$AT$3&lt;=DC$7),ROUND(DC569*($AP$3+#REF!),-1),""))</f>
        <v/>
      </c>
      <c r="DE569" s="503" t="s">
        <v>621</v>
      </c>
      <c r="DF569" s="503" t="str">
        <f>IF($G569="","",IF(AND($G569&gt;=30,$AT$3&lt;=DE$7),ROUND(DE569*($AP$3+#REF!),-1),""))</f>
        <v/>
      </c>
      <c r="DG569" s="503" t="s">
        <v>621</v>
      </c>
      <c r="DH569" s="503" t="str">
        <f>IF($G569="","",IF(AND($G569&gt;=30,$AT$3&lt;=DG$7),ROUND(DG569*($AP$3+#REF!),-1),""))</f>
        <v/>
      </c>
      <c r="DI569" s="503" t="s">
        <v>621</v>
      </c>
      <c r="DJ569" s="503" t="str">
        <f>IF($G569="","",IF(AND($G569&gt;=30,$AT$3&lt;=DI$7),ROUND(DI569*($AP$3+#REF!),-1),""))</f>
        <v/>
      </c>
      <c r="DK569" s="503" t="s">
        <v>621</v>
      </c>
      <c r="DL569" s="503" t="str">
        <f>IF($G569="","",IF(AND($G569&gt;=30,$AT$3&lt;=DK$7),ROUND(DK569*($AP$3+#REF!),-1),""))</f>
        <v/>
      </c>
      <c r="DM569" s="503" t="s">
        <v>621</v>
      </c>
      <c r="DN569" s="503" t="str">
        <f>IF($G569="","",IF(AND($G569&gt;=30,$AT$3&lt;=DM$7),ROUND(DM569*($AP$3+#REF!),-1),""))</f>
        <v/>
      </c>
      <c r="DO569" s="503" t="s">
        <v>621</v>
      </c>
      <c r="DP569" s="503" t="str">
        <f>IF($G569="","",IF(AND($G569&gt;=30,$AT$3&lt;=DO$7),ROUND(DO569*($AP$3+#REF!),-1),""))</f>
        <v/>
      </c>
      <c r="DQ569" s="503" t="s">
        <v>621</v>
      </c>
      <c r="DR569" s="503" t="str">
        <f>IF($G569="","",IF(AND($G569&gt;=30,$AT$3&lt;=DQ$7),ROUND(DQ569*($AP$3+#REF!),-1),""))</f>
        <v/>
      </c>
      <c r="DS569" s="503" t="s">
        <v>621</v>
      </c>
      <c r="DT569" s="503" t="str">
        <f>IF($G569="","",IF(AND($G569&gt;=30,$AT$3&lt;=DS$7),ROUND(DS569*($AP$3+#REF!),-1),""))</f>
        <v/>
      </c>
      <c r="DU569" s="517" t="e">
        <v>#REF!</v>
      </c>
      <c r="DV569" s="503" t="str">
        <f>IF($G569="","",IF(AND($G569&gt;=30,$AT$3&lt;=DU$7),ROUND(DU569*($AP$3+#REF!),-1),""))</f>
        <v/>
      </c>
      <c r="DW569" s="503"/>
      <c r="DX569" s="503" t="str">
        <f>IF($G569="","",IF(AND($G569&gt;=30,$AT$3&lt;=DW$7),ROUND(DW569*($AP$3+#REF!),-1),""))</f>
        <v/>
      </c>
      <c r="DY569" s="503"/>
      <c r="DZ569" s="503" t="str">
        <f>IF($G569="","",IF(AND($G569&gt;=30,$AT$3&lt;=DY$7),ROUND(DY569*($AP$3+#REF!),-1),""))</f>
        <v/>
      </c>
      <c r="EA569" s="503"/>
      <c r="EB569" s="503" t="str">
        <f>IF($G569="","",IF(AND($G569&gt;=30,$AT$3&lt;=EA$7),ROUND(EA569*($AP$3+#REF!),-1),""))</f>
        <v/>
      </c>
      <c r="EC569" s="436"/>
      <c r="ED569" s="436"/>
      <c r="EE569" s="394"/>
    </row>
    <row r="570" spans="1:135" ht="9.75" customHeight="1">
      <c r="A570" s="321" t="str">
        <f t="shared" ref="A570:A608" si="138">G570</f>
        <v/>
      </c>
      <c r="B570" s="567">
        <f>(ii!$D$13*12+V570)+1</f>
        <v>464</v>
      </c>
      <c r="C570" s="337">
        <f t="shared" si="128"/>
        <v>59475</v>
      </c>
      <c r="D570" s="484">
        <f t="shared" si="131"/>
        <v>2062</v>
      </c>
      <c r="E570" s="484">
        <f t="shared" si="129"/>
        <v>0.83333333333333337</v>
      </c>
      <c r="F570" s="484">
        <f t="shared" si="132"/>
        <v>2062.8333333333335</v>
      </c>
      <c r="G570" s="485" t="str">
        <f>IF(OR(C570&lt;$I$2,C570&gt;$J$3),"",(ii!$D$13*12+V570+1)/12)</f>
        <v/>
      </c>
      <c r="H570" s="486"/>
      <c r="I570" s="486"/>
      <c r="J570" s="487"/>
      <c r="K570" s="488"/>
      <c r="L570" s="548"/>
      <c r="M570" s="489" t="str">
        <f t="shared" si="133"/>
        <v/>
      </c>
      <c r="N570" s="490" t="s">
        <v>621</v>
      </c>
      <c r="O570" s="490" t="str">
        <f t="shared" si="126"/>
        <v/>
      </c>
      <c r="P570" s="491"/>
      <c r="Q570" s="491"/>
      <c r="R570" s="491" t="str">
        <f t="shared" si="127"/>
        <v/>
      </c>
      <c r="S570" s="528" t="str">
        <f t="shared" si="125"/>
        <v/>
      </c>
      <c r="T570" s="528" t="str">
        <f t="shared" si="137"/>
        <v/>
      </c>
      <c r="U570" s="493" t="str">
        <f>IF(H570="","",#REF!*12+#REF!+#REF!*12+#REF!)</f>
        <v/>
      </c>
      <c r="V570" s="338">
        <f>IF(ii!$J$3&gt;gg!C570,"",IF(AND((YEAR(C570)=YEAR($I$2)),MONTH(C570)=MONTH($I$2)),ii!$B$14*12+ii!$C$14+ii!$B$15*12+ii!$C$15-1,V569+1))</f>
        <v>463</v>
      </c>
      <c r="W570" s="339">
        <f t="shared" si="130"/>
        <v>38.583333333333336</v>
      </c>
      <c r="X570" s="494" t="s">
        <v>621</v>
      </c>
      <c r="Y570" s="495" t="s">
        <v>621</v>
      </c>
      <c r="Z570" s="496"/>
      <c r="AA570" s="497"/>
      <c r="AB570" s="498" t="str">
        <f t="shared" si="136"/>
        <v/>
      </c>
      <c r="AC570" s="484" t="str">
        <f t="shared" si="134"/>
        <v/>
      </c>
      <c r="AD570" s="495" t="str">
        <f t="shared" si="135"/>
        <v/>
      </c>
      <c r="AE570" s="499" t="s">
        <v>621</v>
      </c>
      <c r="AF570" s="500" t="s">
        <v>621</v>
      </c>
      <c r="AG570" s="556" t="s">
        <v>621</v>
      </c>
      <c r="AH570" s="503" t="str">
        <f>IF($G570="","",IF(AND($G570&gt;=30,$AT$3&lt;=AG$7),ROUND(AG570*($AP$3+#REF!),-1),""))</f>
        <v/>
      </c>
      <c r="AI570" s="506" t="s">
        <v>621</v>
      </c>
      <c r="AJ570" s="503" t="str">
        <f>IF($G570="","",IF(AND($G570&gt;=30,$AT$3&lt;=AI$7),ROUND(AI570*($AP$3+#REF!),-1),""))</f>
        <v/>
      </c>
      <c r="AK570" s="506" t="s">
        <v>621</v>
      </c>
      <c r="AL570" s="503" t="str">
        <f>IF($G570="","",IF(AND($G570&gt;=30,$AT$3&lt;=AK$7),ROUND(AK570*($AP$3+#REF!),-1),""))</f>
        <v/>
      </c>
      <c r="AM570" s="506" t="s">
        <v>621</v>
      </c>
      <c r="AN570" s="503" t="str">
        <f>IF($G570="","",IF(AND($G570&gt;=30,$AT$3&lt;=AM$7),ROUND(AM570*($AP$3+#REF!),-1),""))</f>
        <v/>
      </c>
      <c r="AO570" s="503" t="e">
        <v>#REF!</v>
      </c>
      <c r="AP570" s="503" t="str">
        <f>IF($G570="","",IF(AND($G570&gt;=30,$AT$3&lt;=AO$7),ROUND(AO570*($AP$3+#REF!),-1),""))</f>
        <v/>
      </c>
      <c r="AQ570" s="503" t="s">
        <v>621</v>
      </c>
      <c r="AR570" s="503" t="str">
        <f>IF($G570="","",IF(AND($G570&gt;=30,$AT$3&lt;=AQ$7),ROUND(AQ570*($AP$3+#REF!),-1),""))</f>
        <v/>
      </c>
      <c r="AS570" s="503" t="s">
        <v>621</v>
      </c>
      <c r="AT570" s="503" t="str">
        <f>IF($G570="","",IF(AND($G570&gt;=30,$AT$3&lt;=AS$7),ROUND(AS570*($AP$3+#REF!),-1),""))</f>
        <v/>
      </c>
      <c r="AU570" s="503" t="s">
        <v>621</v>
      </c>
      <c r="AV570" s="503" t="str">
        <f>IF($G570="","",IF(AND($G570&gt;=30,$AT$3&lt;=AU$7),ROUND(AU570*($AP$3+#REF!),-1),""))</f>
        <v/>
      </c>
      <c r="AW570" s="503" t="s">
        <v>621</v>
      </c>
      <c r="AX570" s="503" t="str">
        <f>IF($G570="","",IF(AND($G570&gt;=30,$AT$3&lt;=AW$7),ROUND(AW570*($AP$3+#REF!),-1),""))</f>
        <v/>
      </c>
      <c r="AY570" s="503" t="s">
        <v>621</v>
      </c>
      <c r="AZ570" s="503" t="str">
        <f>IF($G570="","",IF(AND($G570&gt;=30,$AT$3&lt;=AY$7),ROUND(AY570*($AP$3+#REF!),-1),""))</f>
        <v/>
      </c>
      <c r="BA570" s="503" t="s">
        <v>621</v>
      </c>
      <c r="BB570" s="503" t="str">
        <f>IF($G570="","",IF(AND($G570&gt;=30,$AT$3&lt;=BA$7),ROUND(BA570*($AP$3+#REF!),-1),""))</f>
        <v/>
      </c>
      <c r="BC570" s="503" t="s">
        <v>621</v>
      </c>
      <c r="BD570" s="503" t="str">
        <f>IF($G570="","",IF(AND($G570&gt;=30,$AT$3&lt;=BC$7),ROUND(BC570*($AP$3+#REF!),-1),""))</f>
        <v/>
      </c>
      <c r="BE570" s="503" t="s">
        <v>621</v>
      </c>
      <c r="BF570" s="503" t="str">
        <f>IF($G570="","",IF(AND($G570&gt;=30,$AT$3&lt;=BE$7),ROUND(BE570*($AP$3+#REF!),-1),""))</f>
        <v/>
      </c>
      <c r="BG570" s="503" t="s">
        <v>621</v>
      </c>
      <c r="BH570" s="503" t="str">
        <f>IF($G570="","",IF(AND($G570&gt;=30,$AT$3&lt;=BG$7),ROUND(BG570*($AP$3+#REF!),-1),""))</f>
        <v/>
      </c>
      <c r="BI570" s="503" t="s">
        <v>621</v>
      </c>
      <c r="BJ570" s="503" t="str">
        <f>IF($G570="","",IF(AND($G570&gt;=30,$AT$3&lt;=BI$7),ROUND(BI570*($AP$3+#REF!),-1),""))</f>
        <v/>
      </c>
      <c r="BK570" s="503" t="s">
        <v>621</v>
      </c>
      <c r="BL570" s="503" t="str">
        <f>IF($G570="","",IF(AND($G570&gt;=30,$AT$3&lt;=BK$7),ROUND(BK570*($AP$3+#REF!),-1),""))</f>
        <v/>
      </c>
      <c r="BM570" s="503" t="s">
        <v>621</v>
      </c>
      <c r="BN570" s="503" t="str">
        <f>IF($G570="","",IF(AND($G570&gt;=30,$AT$3&lt;=BM$7),ROUND(BM570*($AP$3+#REF!),-1),""))</f>
        <v/>
      </c>
      <c r="BO570" s="503" t="s">
        <v>621</v>
      </c>
      <c r="BP570" s="503" t="str">
        <f>IF($G570="","",IF(AND($G570&gt;=30,$AT$3&lt;=BO$7),ROUND(BO570*($AP$3+#REF!),-1),""))</f>
        <v/>
      </c>
      <c r="BQ570" s="503" t="s">
        <v>621</v>
      </c>
      <c r="BR570" s="503" t="str">
        <f>IF($G570="","",IF(AND($G570&gt;=30,$AT$3&lt;=BQ$7),ROUND(BQ570*($AP$3+#REF!),-1),""))</f>
        <v/>
      </c>
      <c r="BS570" s="503" t="s">
        <v>621</v>
      </c>
      <c r="BT570" s="503" t="str">
        <f>IF($G570="","",IF(AND($G570&gt;=30,$AT$3&lt;=BS$7),ROUND(BS570*($AP$3+#REF!),-1),""))</f>
        <v/>
      </c>
      <c r="BU570" s="503" t="s">
        <v>621</v>
      </c>
      <c r="BV570" s="503" t="str">
        <f>IF($G570="","",IF(AND($G570&gt;=30,$AT$3&lt;=BU$7),ROUND(BU570*($AP$3+#REF!),-1),""))</f>
        <v/>
      </c>
      <c r="BW570" s="503" t="s">
        <v>621</v>
      </c>
      <c r="BX570" s="503" t="str">
        <f>IF($G570="","",IF(AND($G570&gt;=30,$AT$3&lt;=BW$7),ROUND(BW570*($AP$3+#REF!),-1),""))</f>
        <v/>
      </c>
      <c r="BY570" s="503" t="s">
        <v>621</v>
      </c>
      <c r="BZ570" s="503" t="str">
        <f>IF($G570="","",IF(AND($G570&gt;=30,$AT$3&lt;=BY$7),ROUND(BY570*($AP$3+#REF!),-1),""))</f>
        <v/>
      </c>
      <c r="CA570" s="503" t="s">
        <v>621</v>
      </c>
      <c r="CB570" s="503" t="str">
        <f>IF($G570="","",IF(AND($G570&gt;=30,$AT$3&lt;=CA$7),ROUND(CA570*($AP$3+#REF!),-1),""))</f>
        <v/>
      </c>
      <c r="CC570" s="503" t="s">
        <v>621</v>
      </c>
      <c r="CD570" s="503" t="str">
        <f>IF($G570="","",IF(AND($G570&gt;=30,$AT$3&lt;=CC$7),ROUND(CC570*($AP$3+#REF!),-1),""))</f>
        <v/>
      </c>
      <c r="CE570" s="503" t="s">
        <v>621</v>
      </c>
      <c r="CF570" s="503" t="str">
        <f>IF($G570="","",IF(AND($G570&gt;=30,$AT$3&lt;=CE$7),ROUND(CE570*($AP$3+#REF!),-1),""))</f>
        <v/>
      </c>
      <c r="CG570" s="503" t="s">
        <v>621</v>
      </c>
      <c r="CH570" s="503" t="str">
        <f>IF($G570="","",IF(AND($G570&gt;=30,$AT$3&lt;=CG$7),ROUND(CG570*($AP$3+#REF!),-1),""))</f>
        <v/>
      </c>
      <c r="CI570" s="503" t="s">
        <v>621</v>
      </c>
      <c r="CJ570" s="503" t="str">
        <f>IF($G570="","",IF(AND($G570&gt;=30,$AT$3&lt;=CI$7),ROUND(CI570*($AP$3+#REF!),-1),""))</f>
        <v/>
      </c>
      <c r="CK570" s="503" t="s">
        <v>621</v>
      </c>
      <c r="CL570" s="503" t="str">
        <f>IF($G570="","",IF(AND($G570&gt;=30,$AT$3&lt;=CK$7),ROUND(CK570*($AP$3+#REF!),-1),""))</f>
        <v/>
      </c>
      <c r="CM570" s="503" t="s">
        <v>621</v>
      </c>
      <c r="CN570" s="503" t="str">
        <f>IF($G570="","",IF(AND($G570&gt;=30,$AT$3&lt;=CM$7),ROUND(CM570*($AP$3+#REF!),-1),""))</f>
        <v/>
      </c>
      <c r="CO570" s="503" t="s">
        <v>621</v>
      </c>
      <c r="CP570" s="503" t="str">
        <f>IF($G570="","",IF(AND($G570&gt;=30,$AT$3&lt;=CO$7),ROUND(CO570*($AP$3+#REF!),-1),""))</f>
        <v/>
      </c>
      <c r="CQ570" s="503" t="s">
        <v>621</v>
      </c>
      <c r="CR570" s="503" t="str">
        <f>IF($G570="","",IF(AND($G570&gt;=30,$AT$3&lt;=CQ$7),ROUND(CQ570*($AP$3+#REF!),-1),""))</f>
        <v/>
      </c>
      <c r="CS570" s="503" t="s">
        <v>621</v>
      </c>
      <c r="CT570" s="503" t="str">
        <f>IF($G570="","",IF(AND($G570&gt;=30,$AT$3&lt;=CS$7),ROUND(CS570*($AP$3+#REF!),-1),""))</f>
        <v/>
      </c>
      <c r="CU570" s="503" t="s">
        <v>621</v>
      </c>
      <c r="CV570" s="503" t="str">
        <f>IF($G570="","",IF(AND($G570&gt;=30,$AT$3&lt;=CU$7),ROUND(CU570*($AP$3+#REF!),-1),""))</f>
        <v/>
      </c>
      <c r="CW570" s="503" t="s">
        <v>621</v>
      </c>
      <c r="CX570" s="503" t="str">
        <f>IF($G570="","",IF(AND($G570&gt;=30,$AT$3&lt;=CW$7),ROUND(CW570*($AP$3+#REF!),-1),""))</f>
        <v/>
      </c>
      <c r="CY570" s="503" t="s">
        <v>621</v>
      </c>
      <c r="CZ570" s="503" t="str">
        <f>IF($G570="","",IF(AND($G570&gt;=30,$AT$3&lt;=CY$7),ROUND(CY570*($AP$3+#REF!),-1),""))</f>
        <v/>
      </c>
      <c r="DA570" s="503" t="s">
        <v>621</v>
      </c>
      <c r="DB570" s="503" t="str">
        <f>IF($G570="","",IF(AND($G570&gt;=30,$AT$3&lt;=DA$7),ROUND(DA570*($AP$3+#REF!),-1),""))</f>
        <v/>
      </c>
      <c r="DC570" s="503" t="s">
        <v>621</v>
      </c>
      <c r="DD570" s="503" t="str">
        <f>IF($G570="","",IF(AND($G570&gt;=30,$AT$3&lt;=DC$7),ROUND(DC570*($AP$3+#REF!),-1),""))</f>
        <v/>
      </c>
      <c r="DE570" s="503" t="s">
        <v>621</v>
      </c>
      <c r="DF570" s="503" t="str">
        <f>IF($G570="","",IF(AND($G570&gt;=30,$AT$3&lt;=DE$7),ROUND(DE570*($AP$3+#REF!),-1),""))</f>
        <v/>
      </c>
      <c r="DG570" s="503" t="s">
        <v>621</v>
      </c>
      <c r="DH570" s="503" t="str">
        <f>IF($G570="","",IF(AND($G570&gt;=30,$AT$3&lt;=DG$7),ROUND(DG570*($AP$3+#REF!),-1),""))</f>
        <v/>
      </c>
      <c r="DI570" s="503" t="s">
        <v>621</v>
      </c>
      <c r="DJ570" s="503" t="str">
        <f>IF($G570="","",IF(AND($G570&gt;=30,$AT$3&lt;=DI$7),ROUND(DI570*($AP$3+#REF!),-1),""))</f>
        <v/>
      </c>
      <c r="DK570" s="503" t="s">
        <v>621</v>
      </c>
      <c r="DL570" s="503" t="str">
        <f>IF($G570="","",IF(AND($G570&gt;=30,$AT$3&lt;=DK$7),ROUND(DK570*($AP$3+#REF!),-1),""))</f>
        <v/>
      </c>
      <c r="DM570" s="503" t="s">
        <v>621</v>
      </c>
      <c r="DN570" s="503" t="str">
        <f>IF($G570="","",IF(AND($G570&gt;=30,$AT$3&lt;=DM$7),ROUND(DM570*($AP$3+#REF!),-1),""))</f>
        <v/>
      </c>
      <c r="DO570" s="503" t="s">
        <v>621</v>
      </c>
      <c r="DP570" s="503" t="str">
        <f>IF($G570="","",IF(AND($G570&gt;=30,$AT$3&lt;=DO$7),ROUND(DO570*($AP$3+#REF!),-1),""))</f>
        <v/>
      </c>
      <c r="DQ570" s="503" t="s">
        <v>621</v>
      </c>
      <c r="DR570" s="503" t="str">
        <f>IF($G570="","",IF(AND($G570&gt;=30,$AT$3&lt;=DQ$7),ROUND(DQ570*($AP$3+#REF!),-1),""))</f>
        <v/>
      </c>
      <c r="DS570" s="503" t="s">
        <v>621</v>
      </c>
      <c r="DT570" s="503" t="str">
        <f>IF($G570="","",IF(AND($G570&gt;=30,$AT$3&lt;=DS$7),ROUND(DS570*($AP$3+#REF!),-1),""))</f>
        <v/>
      </c>
      <c r="DU570" s="517" t="e">
        <v>#REF!</v>
      </c>
      <c r="DV570" s="503" t="str">
        <f>IF($G570="","",IF(AND($G570&gt;=30,$AT$3&lt;=DU$7),ROUND(DU570*($AP$3+#REF!),-1),""))</f>
        <v/>
      </c>
      <c r="DW570" s="503"/>
      <c r="DX570" s="503" t="str">
        <f>IF($G570="","",IF(AND($G570&gt;=30,$AT$3&lt;=DW$7),ROUND(DW570*($AP$3+#REF!),-1),""))</f>
        <v/>
      </c>
      <c r="DY570" s="503"/>
      <c r="DZ570" s="503" t="str">
        <f>IF($G570="","",IF(AND($G570&gt;=30,$AT$3&lt;=DY$7),ROUND(DY570*($AP$3+#REF!),-1),""))</f>
        <v/>
      </c>
      <c r="EA570" s="503"/>
      <c r="EB570" s="503" t="str">
        <f>IF($G570="","",IF(AND($G570&gt;=30,$AT$3&lt;=EA$7),ROUND(EA570*($AP$3+#REF!),-1),""))</f>
        <v/>
      </c>
      <c r="EC570" s="436"/>
      <c r="ED570" s="436"/>
      <c r="EE570" s="394"/>
    </row>
    <row r="571" spans="1:135" ht="9.75" customHeight="1">
      <c r="A571" s="321" t="str">
        <f t="shared" si="138"/>
        <v/>
      </c>
      <c r="B571" s="567">
        <f>(ii!$D$13*12+V571)+1</f>
        <v>465</v>
      </c>
      <c r="C571" s="337">
        <f t="shared" si="128"/>
        <v>59505</v>
      </c>
      <c r="D571" s="484">
        <f t="shared" si="131"/>
        <v>2062</v>
      </c>
      <c r="E571" s="484">
        <f t="shared" si="129"/>
        <v>0.91666666666666663</v>
      </c>
      <c r="F571" s="484">
        <f t="shared" si="132"/>
        <v>2062.9166666666665</v>
      </c>
      <c r="G571" s="485" t="str">
        <f>IF(OR(C571&lt;$I$2,C571&gt;$J$3),"",(ii!$D$13*12+V571+1)/12)</f>
        <v/>
      </c>
      <c r="H571" s="486"/>
      <c r="I571" s="486"/>
      <c r="J571" s="487"/>
      <c r="K571" s="488"/>
      <c r="L571" s="548"/>
      <c r="M571" s="489" t="str">
        <f t="shared" si="133"/>
        <v/>
      </c>
      <c r="N571" s="490" t="s">
        <v>621</v>
      </c>
      <c r="O571" s="490" t="str">
        <f t="shared" si="126"/>
        <v/>
      </c>
      <c r="P571" s="491"/>
      <c r="Q571" s="491"/>
      <c r="R571" s="491" t="str">
        <f t="shared" si="127"/>
        <v/>
      </c>
      <c r="S571" s="528" t="str">
        <f t="shared" si="125"/>
        <v/>
      </c>
      <c r="T571" s="528" t="str">
        <f t="shared" si="137"/>
        <v/>
      </c>
      <c r="U571" s="493" t="str">
        <f>IF(H571="","",#REF!*12+#REF!+#REF!*12+#REF!)</f>
        <v/>
      </c>
      <c r="V571" s="338">
        <f>IF(ii!$J$3&gt;gg!C571,"",IF(AND((YEAR(C571)=YEAR($I$2)),MONTH(C571)=MONTH($I$2)),ii!$B$14*12+ii!$C$14+ii!$B$15*12+ii!$C$15-1,V570+1))</f>
        <v>464</v>
      </c>
      <c r="W571" s="339">
        <f t="shared" si="130"/>
        <v>38.666666666666664</v>
      </c>
      <c r="X571" s="494" t="s">
        <v>621</v>
      </c>
      <c r="Y571" s="495" t="s">
        <v>621</v>
      </c>
      <c r="Z571" s="496"/>
      <c r="AA571" s="497"/>
      <c r="AB571" s="498" t="str">
        <f t="shared" si="136"/>
        <v/>
      </c>
      <c r="AC571" s="484" t="str">
        <f t="shared" si="134"/>
        <v/>
      </c>
      <c r="AD571" s="495" t="str">
        <f t="shared" si="135"/>
        <v/>
      </c>
      <c r="AE571" s="499" t="s">
        <v>621</v>
      </c>
      <c r="AF571" s="500" t="s">
        <v>621</v>
      </c>
      <c r="AG571" s="556" t="s">
        <v>621</v>
      </c>
      <c r="AH571" s="503" t="str">
        <f>IF($G571="","",IF(AND($G571&gt;=30,$AT$3&lt;=AG$7),ROUND(AG571*($AP$3+#REF!),-1),""))</f>
        <v/>
      </c>
      <c r="AI571" s="506" t="s">
        <v>621</v>
      </c>
      <c r="AJ571" s="503" t="str">
        <f>IF($G571="","",IF(AND($G571&gt;=30,$AT$3&lt;=AI$7),ROUND(AI571*($AP$3+#REF!),-1),""))</f>
        <v/>
      </c>
      <c r="AK571" s="506" t="s">
        <v>621</v>
      </c>
      <c r="AL571" s="503" t="str">
        <f>IF($G571="","",IF(AND($G571&gt;=30,$AT$3&lt;=AK$7),ROUND(AK571*($AP$3+#REF!),-1),""))</f>
        <v/>
      </c>
      <c r="AM571" s="506" t="s">
        <v>621</v>
      </c>
      <c r="AN571" s="503" t="str">
        <f>IF($G571="","",IF(AND($G571&gt;=30,$AT$3&lt;=AM$7),ROUND(AM571*($AP$3+#REF!),-1),""))</f>
        <v/>
      </c>
      <c r="AO571" s="503" t="e">
        <v>#REF!</v>
      </c>
      <c r="AP571" s="503" t="str">
        <f>IF($G571="","",IF(AND($G571&gt;=30,$AT$3&lt;=AO$7),ROUND(AO571*($AP$3+#REF!),-1),""))</f>
        <v/>
      </c>
      <c r="AQ571" s="503" t="s">
        <v>621</v>
      </c>
      <c r="AR571" s="503" t="str">
        <f>IF($G571="","",IF(AND($G571&gt;=30,$AT$3&lt;=AQ$7),ROUND(AQ571*($AP$3+#REF!),-1),""))</f>
        <v/>
      </c>
      <c r="AS571" s="503" t="s">
        <v>621</v>
      </c>
      <c r="AT571" s="503" t="str">
        <f>IF($G571="","",IF(AND($G571&gt;=30,$AT$3&lt;=AS$7),ROUND(AS571*($AP$3+#REF!),-1),""))</f>
        <v/>
      </c>
      <c r="AU571" s="503" t="s">
        <v>621</v>
      </c>
      <c r="AV571" s="503" t="str">
        <f>IF($G571="","",IF(AND($G571&gt;=30,$AT$3&lt;=AU$7),ROUND(AU571*($AP$3+#REF!),-1),""))</f>
        <v/>
      </c>
      <c r="AW571" s="503" t="s">
        <v>621</v>
      </c>
      <c r="AX571" s="503" t="str">
        <f>IF($G571="","",IF(AND($G571&gt;=30,$AT$3&lt;=AW$7),ROUND(AW571*($AP$3+#REF!),-1),""))</f>
        <v/>
      </c>
      <c r="AY571" s="503" t="s">
        <v>621</v>
      </c>
      <c r="AZ571" s="503" t="str">
        <f>IF($G571="","",IF(AND($G571&gt;=30,$AT$3&lt;=AY$7),ROUND(AY571*($AP$3+#REF!),-1),""))</f>
        <v/>
      </c>
      <c r="BA571" s="503" t="s">
        <v>621</v>
      </c>
      <c r="BB571" s="503" t="str">
        <f>IF($G571="","",IF(AND($G571&gt;=30,$AT$3&lt;=BA$7),ROUND(BA571*($AP$3+#REF!),-1),""))</f>
        <v/>
      </c>
      <c r="BC571" s="503" t="s">
        <v>621</v>
      </c>
      <c r="BD571" s="503" t="str">
        <f>IF($G571="","",IF(AND($G571&gt;=30,$AT$3&lt;=BC$7),ROUND(BC571*($AP$3+#REF!),-1),""))</f>
        <v/>
      </c>
      <c r="BE571" s="503" t="s">
        <v>621</v>
      </c>
      <c r="BF571" s="503" t="str">
        <f>IF($G571="","",IF(AND($G571&gt;=30,$AT$3&lt;=BE$7),ROUND(BE571*($AP$3+#REF!),-1),""))</f>
        <v/>
      </c>
      <c r="BG571" s="503" t="s">
        <v>621</v>
      </c>
      <c r="BH571" s="503" t="str">
        <f>IF($G571="","",IF(AND($G571&gt;=30,$AT$3&lt;=BG$7),ROUND(BG571*($AP$3+#REF!),-1),""))</f>
        <v/>
      </c>
      <c r="BI571" s="503" t="s">
        <v>621</v>
      </c>
      <c r="BJ571" s="503" t="str">
        <f>IF($G571="","",IF(AND($G571&gt;=30,$AT$3&lt;=BI$7),ROUND(BI571*($AP$3+#REF!),-1),""))</f>
        <v/>
      </c>
      <c r="BK571" s="503" t="s">
        <v>621</v>
      </c>
      <c r="BL571" s="503" t="str">
        <f>IF($G571="","",IF(AND($G571&gt;=30,$AT$3&lt;=BK$7),ROUND(BK571*($AP$3+#REF!),-1),""))</f>
        <v/>
      </c>
      <c r="BM571" s="503" t="s">
        <v>621</v>
      </c>
      <c r="BN571" s="503" t="str">
        <f>IF($G571="","",IF(AND($G571&gt;=30,$AT$3&lt;=BM$7),ROUND(BM571*($AP$3+#REF!),-1),""))</f>
        <v/>
      </c>
      <c r="BO571" s="503" t="s">
        <v>621</v>
      </c>
      <c r="BP571" s="503" t="str">
        <f>IF($G571="","",IF(AND($G571&gt;=30,$AT$3&lt;=BO$7),ROUND(BO571*($AP$3+#REF!),-1),""))</f>
        <v/>
      </c>
      <c r="BQ571" s="503" t="s">
        <v>621</v>
      </c>
      <c r="BR571" s="503" t="str">
        <f>IF($G571="","",IF(AND($G571&gt;=30,$AT$3&lt;=BQ$7),ROUND(BQ571*($AP$3+#REF!),-1),""))</f>
        <v/>
      </c>
      <c r="BS571" s="503" t="s">
        <v>621</v>
      </c>
      <c r="BT571" s="503" t="str">
        <f>IF($G571="","",IF(AND($G571&gt;=30,$AT$3&lt;=BS$7),ROUND(BS571*($AP$3+#REF!),-1),""))</f>
        <v/>
      </c>
      <c r="BU571" s="503" t="s">
        <v>621</v>
      </c>
      <c r="BV571" s="503" t="str">
        <f>IF($G571="","",IF(AND($G571&gt;=30,$AT$3&lt;=BU$7),ROUND(BU571*($AP$3+#REF!),-1),""))</f>
        <v/>
      </c>
      <c r="BW571" s="503" t="s">
        <v>621</v>
      </c>
      <c r="BX571" s="503" t="str">
        <f>IF($G571="","",IF(AND($G571&gt;=30,$AT$3&lt;=BW$7),ROUND(BW571*($AP$3+#REF!),-1),""))</f>
        <v/>
      </c>
      <c r="BY571" s="503" t="s">
        <v>621</v>
      </c>
      <c r="BZ571" s="503" t="str">
        <f>IF($G571="","",IF(AND($G571&gt;=30,$AT$3&lt;=BY$7),ROUND(BY571*($AP$3+#REF!),-1),""))</f>
        <v/>
      </c>
      <c r="CA571" s="503" t="s">
        <v>621</v>
      </c>
      <c r="CB571" s="503" t="str">
        <f>IF($G571="","",IF(AND($G571&gt;=30,$AT$3&lt;=CA$7),ROUND(CA571*($AP$3+#REF!),-1),""))</f>
        <v/>
      </c>
      <c r="CC571" s="503" t="s">
        <v>621</v>
      </c>
      <c r="CD571" s="503" t="str">
        <f>IF($G571="","",IF(AND($G571&gt;=30,$AT$3&lt;=CC$7),ROUND(CC571*($AP$3+#REF!),-1),""))</f>
        <v/>
      </c>
      <c r="CE571" s="503" t="s">
        <v>621</v>
      </c>
      <c r="CF571" s="503" t="str">
        <f>IF($G571="","",IF(AND($G571&gt;=30,$AT$3&lt;=CE$7),ROUND(CE571*($AP$3+#REF!),-1),""))</f>
        <v/>
      </c>
      <c r="CG571" s="503" t="s">
        <v>621</v>
      </c>
      <c r="CH571" s="503" t="str">
        <f>IF($G571="","",IF(AND($G571&gt;=30,$AT$3&lt;=CG$7),ROUND(CG571*($AP$3+#REF!),-1),""))</f>
        <v/>
      </c>
      <c r="CI571" s="503" t="s">
        <v>621</v>
      </c>
      <c r="CJ571" s="503" t="str">
        <f>IF($G571="","",IF(AND($G571&gt;=30,$AT$3&lt;=CI$7),ROUND(CI571*($AP$3+#REF!),-1),""))</f>
        <v/>
      </c>
      <c r="CK571" s="503" t="s">
        <v>621</v>
      </c>
      <c r="CL571" s="503" t="str">
        <f>IF($G571="","",IF(AND($G571&gt;=30,$AT$3&lt;=CK$7),ROUND(CK571*($AP$3+#REF!),-1),""))</f>
        <v/>
      </c>
      <c r="CM571" s="503" t="s">
        <v>621</v>
      </c>
      <c r="CN571" s="503" t="str">
        <f>IF($G571="","",IF(AND($G571&gt;=30,$AT$3&lt;=CM$7),ROUND(CM571*($AP$3+#REF!),-1),""))</f>
        <v/>
      </c>
      <c r="CO571" s="503" t="s">
        <v>621</v>
      </c>
      <c r="CP571" s="503" t="str">
        <f>IF($G571="","",IF(AND($G571&gt;=30,$AT$3&lt;=CO$7),ROUND(CO571*($AP$3+#REF!),-1),""))</f>
        <v/>
      </c>
      <c r="CQ571" s="503" t="s">
        <v>621</v>
      </c>
      <c r="CR571" s="503" t="str">
        <f>IF($G571="","",IF(AND($G571&gt;=30,$AT$3&lt;=CQ$7),ROUND(CQ571*($AP$3+#REF!),-1),""))</f>
        <v/>
      </c>
      <c r="CS571" s="503" t="s">
        <v>621</v>
      </c>
      <c r="CT571" s="503" t="str">
        <f>IF($G571="","",IF(AND($G571&gt;=30,$AT$3&lt;=CS$7),ROUND(CS571*($AP$3+#REF!),-1),""))</f>
        <v/>
      </c>
      <c r="CU571" s="503" t="s">
        <v>621</v>
      </c>
      <c r="CV571" s="503" t="str">
        <f>IF($G571="","",IF(AND($G571&gt;=30,$AT$3&lt;=CU$7),ROUND(CU571*($AP$3+#REF!),-1),""))</f>
        <v/>
      </c>
      <c r="CW571" s="503" t="s">
        <v>621</v>
      </c>
      <c r="CX571" s="503" t="str">
        <f>IF($G571="","",IF(AND($G571&gt;=30,$AT$3&lt;=CW$7),ROUND(CW571*($AP$3+#REF!),-1),""))</f>
        <v/>
      </c>
      <c r="CY571" s="503" t="s">
        <v>621</v>
      </c>
      <c r="CZ571" s="503" t="str">
        <f>IF($G571="","",IF(AND($G571&gt;=30,$AT$3&lt;=CY$7),ROUND(CY571*($AP$3+#REF!),-1),""))</f>
        <v/>
      </c>
      <c r="DA571" s="503" t="s">
        <v>621</v>
      </c>
      <c r="DB571" s="503" t="str">
        <f>IF($G571="","",IF(AND($G571&gt;=30,$AT$3&lt;=DA$7),ROUND(DA571*($AP$3+#REF!),-1),""))</f>
        <v/>
      </c>
      <c r="DC571" s="503" t="s">
        <v>621</v>
      </c>
      <c r="DD571" s="503" t="str">
        <f>IF($G571="","",IF(AND($G571&gt;=30,$AT$3&lt;=DC$7),ROUND(DC571*($AP$3+#REF!),-1),""))</f>
        <v/>
      </c>
      <c r="DE571" s="503" t="s">
        <v>621</v>
      </c>
      <c r="DF571" s="503" t="str">
        <f>IF($G571="","",IF(AND($G571&gt;=30,$AT$3&lt;=DE$7),ROUND(DE571*($AP$3+#REF!),-1),""))</f>
        <v/>
      </c>
      <c r="DG571" s="503" t="s">
        <v>621</v>
      </c>
      <c r="DH571" s="503" t="str">
        <f>IF($G571="","",IF(AND($G571&gt;=30,$AT$3&lt;=DG$7),ROUND(DG571*($AP$3+#REF!),-1),""))</f>
        <v/>
      </c>
      <c r="DI571" s="503" t="s">
        <v>621</v>
      </c>
      <c r="DJ571" s="503" t="str">
        <f>IF($G571="","",IF(AND($G571&gt;=30,$AT$3&lt;=DI$7),ROUND(DI571*($AP$3+#REF!),-1),""))</f>
        <v/>
      </c>
      <c r="DK571" s="503" t="s">
        <v>621</v>
      </c>
      <c r="DL571" s="503" t="str">
        <f>IF($G571="","",IF(AND($G571&gt;=30,$AT$3&lt;=DK$7),ROUND(DK571*($AP$3+#REF!),-1),""))</f>
        <v/>
      </c>
      <c r="DM571" s="503" t="s">
        <v>621</v>
      </c>
      <c r="DN571" s="503" t="str">
        <f>IF($G571="","",IF(AND($G571&gt;=30,$AT$3&lt;=DM$7),ROUND(DM571*($AP$3+#REF!),-1),""))</f>
        <v/>
      </c>
      <c r="DO571" s="503" t="s">
        <v>621</v>
      </c>
      <c r="DP571" s="503" t="str">
        <f>IF($G571="","",IF(AND($G571&gt;=30,$AT$3&lt;=DO$7),ROUND(DO571*($AP$3+#REF!),-1),""))</f>
        <v/>
      </c>
      <c r="DQ571" s="503" t="s">
        <v>621</v>
      </c>
      <c r="DR571" s="503" t="str">
        <f>IF($G571="","",IF(AND($G571&gt;=30,$AT$3&lt;=DQ$7),ROUND(DQ571*($AP$3+#REF!),-1),""))</f>
        <v/>
      </c>
      <c r="DS571" s="503" t="s">
        <v>621</v>
      </c>
      <c r="DT571" s="503" t="str">
        <f>IF($G571="","",IF(AND($G571&gt;=30,$AT$3&lt;=DS$7),ROUND(DS571*($AP$3+#REF!),-1),""))</f>
        <v/>
      </c>
      <c r="DU571" s="517" t="e">
        <v>#REF!</v>
      </c>
      <c r="DV571" s="503" t="str">
        <f>IF($G571="","",IF(AND($G571&gt;=30,$AT$3&lt;=DU$7),ROUND(DU571*($AP$3+#REF!),-1),""))</f>
        <v/>
      </c>
      <c r="DW571" s="503"/>
      <c r="DX571" s="503" t="str">
        <f>IF($G571="","",IF(AND($G571&gt;=30,$AT$3&lt;=DW$7),ROUND(DW571*($AP$3+#REF!),-1),""))</f>
        <v/>
      </c>
      <c r="DY571" s="503"/>
      <c r="DZ571" s="503" t="str">
        <f>IF($G571="","",IF(AND($G571&gt;=30,$AT$3&lt;=DY$7),ROUND(DY571*($AP$3+#REF!),-1),""))</f>
        <v/>
      </c>
      <c r="EA571" s="503"/>
      <c r="EB571" s="503" t="str">
        <f>IF($G571="","",IF(AND($G571&gt;=30,$AT$3&lt;=EA$7),ROUND(EA571*($AP$3+#REF!),-1),""))</f>
        <v/>
      </c>
      <c r="EC571" s="436"/>
      <c r="ED571" s="436"/>
      <c r="EE571" s="394"/>
    </row>
    <row r="572" spans="1:135" ht="9.75" customHeight="1">
      <c r="A572" s="321" t="str">
        <f t="shared" si="138"/>
        <v/>
      </c>
      <c r="B572" s="567">
        <f>(ii!$D$13*12+V572)+1</f>
        <v>466</v>
      </c>
      <c r="C572" s="337">
        <f t="shared" si="128"/>
        <v>59536</v>
      </c>
      <c r="D572" s="484">
        <f t="shared" si="131"/>
        <v>2062</v>
      </c>
      <c r="E572" s="484">
        <f t="shared" si="129"/>
        <v>1</v>
      </c>
      <c r="F572" s="484">
        <f t="shared" si="132"/>
        <v>2063</v>
      </c>
      <c r="G572" s="485" t="str">
        <f>IF(OR(C572&lt;$I$2,C572&gt;$J$3),"",(ii!$D$13*12+V572+1)/12)</f>
        <v/>
      </c>
      <c r="H572" s="486"/>
      <c r="I572" s="486"/>
      <c r="J572" s="487"/>
      <c r="K572" s="488"/>
      <c r="L572" s="548"/>
      <c r="M572" s="489" t="str">
        <f t="shared" si="133"/>
        <v/>
      </c>
      <c r="N572" s="490" t="s">
        <v>621</v>
      </c>
      <c r="O572" s="490" t="str">
        <f t="shared" si="126"/>
        <v/>
      </c>
      <c r="P572" s="491"/>
      <c r="Q572" s="491"/>
      <c r="R572" s="491" t="str">
        <f t="shared" si="127"/>
        <v/>
      </c>
      <c r="S572" s="528" t="str">
        <f t="shared" si="125"/>
        <v/>
      </c>
      <c r="T572" s="528" t="str">
        <f t="shared" si="137"/>
        <v/>
      </c>
      <c r="U572" s="493" t="str">
        <f>IF(H572="","",#REF!*12+#REF!+#REF!*12+#REF!)</f>
        <v/>
      </c>
      <c r="V572" s="338">
        <f>IF(ii!$J$3&gt;gg!C572,"",IF(AND((YEAR(C572)=YEAR($I$2)),MONTH(C572)=MONTH($I$2)),ii!$B$14*12+ii!$C$14+ii!$B$15*12+ii!$C$15-1,V571+1))</f>
        <v>465</v>
      </c>
      <c r="W572" s="339">
        <f t="shared" si="130"/>
        <v>38.75</v>
      </c>
      <c r="X572" s="494" t="s">
        <v>621</v>
      </c>
      <c r="Y572" s="495" t="s">
        <v>621</v>
      </c>
      <c r="Z572" s="496"/>
      <c r="AA572" s="497"/>
      <c r="AB572" s="498" t="str">
        <f t="shared" si="136"/>
        <v/>
      </c>
      <c r="AC572" s="484" t="str">
        <f t="shared" si="134"/>
        <v/>
      </c>
      <c r="AD572" s="495" t="str">
        <f t="shared" si="135"/>
        <v/>
      </c>
      <c r="AE572" s="499" t="s">
        <v>621</v>
      </c>
      <c r="AF572" s="500" t="s">
        <v>621</v>
      </c>
      <c r="AG572" s="556" t="s">
        <v>621</v>
      </c>
      <c r="AH572" s="503" t="str">
        <f>IF($G572="","",IF(AND($G572&gt;=30,$AT$3&lt;=AG$7),ROUND(AG572*($AP$3+#REF!),-1),""))</f>
        <v/>
      </c>
      <c r="AI572" s="506" t="s">
        <v>621</v>
      </c>
      <c r="AJ572" s="503" t="str">
        <f>IF($G572="","",IF(AND($G572&gt;=30,$AT$3&lt;=AI$7),ROUND(AI572*($AP$3+#REF!),-1),""))</f>
        <v/>
      </c>
      <c r="AK572" s="506" t="s">
        <v>621</v>
      </c>
      <c r="AL572" s="503" t="str">
        <f>IF($G572="","",IF(AND($G572&gt;=30,$AT$3&lt;=AK$7),ROUND(AK572*($AP$3+#REF!),-1),""))</f>
        <v/>
      </c>
      <c r="AM572" s="506" t="s">
        <v>621</v>
      </c>
      <c r="AN572" s="503" t="str">
        <f>IF($G572="","",IF(AND($G572&gt;=30,$AT$3&lt;=AM$7),ROUND(AM572*($AP$3+#REF!),-1),""))</f>
        <v/>
      </c>
      <c r="AO572" s="503" t="e">
        <v>#REF!</v>
      </c>
      <c r="AP572" s="503" t="str">
        <f>IF($G572="","",IF(AND($G572&gt;=30,$AT$3&lt;=AO$7),ROUND(AO572*($AP$3+#REF!),-1),""))</f>
        <v/>
      </c>
      <c r="AQ572" s="503" t="s">
        <v>621</v>
      </c>
      <c r="AR572" s="503" t="str">
        <f>IF($G572="","",IF(AND($G572&gt;=30,$AT$3&lt;=AQ$7),ROUND(AQ572*($AP$3+#REF!),-1),""))</f>
        <v/>
      </c>
      <c r="AS572" s="503" t="s">
        <v>621</v>
      </c>
      <c r="AT572" s="503" t="str">
        <f>IF($G572="","",IF(AND($G572&gt;=30,$AT$3&lt;=AS$7),ROUND(AS572*($AP$3+#REF!),-1),""))</f>
        <v/>
      </c>
      <c r="AU572" s="503" t="s">
        <v>621</v>
      </c>
      <c r="AV572" s="503" t="str">
        <f>IF($G572="","",IF(AND($G572&gt;=30,$AT$3&lt;=AU$7),ROUND(AU572*($AP$3+#REF!),-1),""))</f>
        <v/>
      </c>
      <c r="AW572" s="503" t="s">
        <v>621</v>
      </c>
      <c r="AX572" s="503" t="str">
        <f>IF($G572="","",IF(AND($G572&gt;=30,$AT$3&lt;=AW$7),ROUND(AW572*($AP$3+#REF!),-1),""))</f>
        <v/>
      </c>
      <c r="AY572" s="503" t="s">
        <v>621</v>
      </c>
      <c r="AZ572" s="503" t="str">
        <f>IF($G572="","",IF(AND($G572&gt;=30,$AT$3&lt;=AY$7),ROUND(AY572*($AP$3+#REF!),-1),""))</f>
        <v/>
      </c>
      <c r="BA572" s="503" t="s">
        <v>621</v>
      </c>
      <c r="BB572" s="503" t="str">
        <f>IF($G572="","",IF(AND($G572&gt;=30,$AT$3&lt;=BA$7),ROUND(BA572*($AP$3+#REF!),-1),""))</f>
        <v/>
      </c>
      <c r="BC572" s="503" t="s">
        <v>621</v>
      </c>
      <c r="BD572" s="503" t="str">
        <f>IF($G572="","",IF(AND($G572&gt;=30,$AT$3&lt;=BC$7),ROUND(BC572*($AP$3+#REF!),-1),""))</f>
        <v/>
      </c>
      <c r="BE572" s="503" t="s">
        <v>621</v>
      </c>
      <c r="BF572" s="503" t="str">
        <f>IF($G572="","",IF(AND($G572&gt;=30,$AT$3&lt;=BE$7),ROUND(BE572*($AP$3+#REF!),-1),""))</f>
        <v/>
      </c>
      <c r="BG572" s="503" t="s">
        <v>621</v>
      </c>
      <c r="BH572" s="503" t="str">
        <f>IF($G572="","",IF(AND($G572&gt;=30,$AT$3&lt;=BG$7),ROUND(BG572*($AP$3+#REF!),-1),""))</f>
        <v/>
      </c>
      <c r="BI572" s="503" t="s">
        <v>621</v>
      </c>
      <c r="BJ572" s="503" t="str">
        <f>IF($G572="","",IF(AND($G572&gt;=30,$AT$3&lt;=BI$7),ROUND(BI572*($AP$3+#REF!),-1),""))</f>
        <v/>
      </c>
      <c r="BK572" s="503" t="s">
        <v>621</v>
      </c>
      <c r="BL572" s="503" t="str">
        <f>IF($G572="","",IF(AND($G572&gt;=30,$AT$3&lt;=BK$7),ROUND(BK572*($AP$3+#REF!),-1),""))</f>
        <v/>
      </c>
      <c r="BM572" s="503" t="s">
        <v>621</v>
      </c>
      <c r="BN572" s="503" t="str">
        <f>IF($G572="","",IF(AND($G572&gt;=30,$AT$3&lt;=BM$7),ROUND(BM572*($AP$3+#REF!),-1),""))</f>
        <v/>
      </c>
      <c r="BO572" s="503" t="s">
        <v>621</v>
      </c>
      <c r="BP572" s="503" t="str">
        <f>IF($G572="","",IF(AND($G572&gt;=30,$AT$3&lt;=BO$7),ROUND(BO572*($AP$3+#REF!),-1),""))</f>
        <v/>
      </c>
      <c r="BQ572" s="503" t="s">
        <v>621</v>
      </c>
      <c r="BR572" s="503" t="str">
        <f>IF($G572="","",IF(AND($G572&gt;=30,$AT$3&lt;=BQ$7),ROUND(BQ572*($AP$3+#REF!),-1),""))</f>
        <v/>
      </c>
      <c r="BS572" s="503" t="s">
        <v>621</v>
      </c>
      <c r="BT572" s="503" t="str">
        <f>IF($G572="","",IF(AND($G572&gt;=30,$AT$3&lt;=BS$7),ROUND(BS572*($AP$3+#REF!),-1),""))</f>
        <v/>
      </c>
      <c r="BU572" s="503" t="s">
        <v>621</v>
      </c>
      <c r="BV572" s="503" t="str">
        <f>IF($G572="","",IF(AND($G572&gt;=30,$AT$3&lt;=BU$7),ROUND(BU572*($AP$3+#REF!),-1),""))</f>
        <v/>
      </c>
      <c r="BW572" s="503" t="s">
        <v>621</v>
      </c>
      <c r="BX572" s="503" t="str">
        <f>IF($G572="","",IF(AND($G572&gt;=30,$AT$3&lt;=BW$7),ROUND(BW572*($AP$3+#REF!),-1),""))</f>
        <v/>
      </c>
      <c r="BY572" s="503" t="s">
        <v>621</v>
      </c>
      <c r="BZ572" s="503" t="str">
        <f>IF($G572="","",IF(AND($G572&gt;=30,$AT$3&lt;=BY$7),ROUND(BY572*($AP$3+#REF!),-1),""))</f>
        <v/>
      </c>
      <c r="CA572" s="503" t="s">
        <v>621</v>
      </c>
      <c r="CB572" s="503" t="str">
        <f>IF($G572="","",IF(AND($G572&gt;=30,$AT$3&lt;=CA$7),ROUND(CA572*($AP$3+#REF!),-1),""))</f>
        <v/>
      </c>
      <c r="CC572" s="503" t="s">
        <v>621</v>
      </c>
      <c r="CD572" s="503" t="str">
        <f>IF($G572="","",IF(AND($G572&gt;=30,$AT$3&lt;=CC$7),ROUND(CC572*($AP$3+#REF!),-1),""))</f>
        <v/>
      </c>
      <c r="CE572" s="503" t="s">
        <v>621</v>
      </c>
      <c r="CF572" s="503" t="str">
        <f>IF($G572="","",IF(AND($G572&gt;=30,$AT$3&lt;=CE$7),ROUND(CE572*($AP$3+#REF!),-1),""))</f>
        <v/>
      </c>
      <c r="CG572" s="503" t="s">
        <v>621</v>
      </c>
      <c r="CH572" s="503" t="str">
        <f>IF($G572="","",IF(AND($G572&gt;=30,$AT$3&lt;=CG$7),ROUND(CG572*($AP$3+#REF!),-1),""))</f>
        <v/>
      </c>
      <c r="CI572" s="503" t="s">
        <v>621</v>
      </c>
      <c r="CJ572" s="503" t="str">
        <f>IF($G572="","",IF(AND($G572&gt;=30,$AT$3&lt;=CI$7),ROUND(CI572*($AP$3+#REF!),-1),""))</f>
        <v/>
      </c>
      <c r="CK572" s="503" t="s">
        <v>621</v>
      </c>
      <c r="CL572" s="503" t="str">
        <f>IF($G572="","",IF(AND($G572&gt;=30,$AT$3&lt;=CK$7),ROUND(CK572*($AP$3+#REF!),-1),""))</f>
        <v/>
      </c>
      <c r="CM572" s="503" t="s">
        <v>621</v>
      </c>
      <c r="CN572" s="503" t="str">
        <f>IF($G572="","",IF(AND($G572&gt;=30,$AT$3&lt;=CM$7),ROUND(CM572*($AP$3+#REF!),-1),""))</f>
        <v/>
      </c>
      <c r="CO572" s="503" t="s">
        <v>621</v>
      </c>
      <c r="CP572" s="503" t="str">
        <f>IF($G572="","",IF(AND($G572&gt;=30,$AT$3&lt;=CO$7),ROUND(CO572*($AP$3+#REF!),-1),""))</f>
        <v/>
      </c>
      <c r="CQ572" s="503" t="s">
        <v>621</v>
      </c>
      <c r="CR572" s="503" t="str">
        <f>IF($G572="","",IF(AND($G572&gt;=30,$AT$3&lt;=CQ$7),ROUND(CQ572*($AP$3+#REF!),-1),""))</f>
        <v/>
      </c>
      <c r="CS572" s="503" t="s">
        <v>621</v>
      </c>
      <c r="CT572" s="503" t="str">
        <f>IF($G572="","",IF(AND($G572&gt;=30,$AT$3&lt;=CS$7),ROUND(CS572*($AP$3+#REF!),-1),""))</f>
        <v/>
      </c>
      <c r="CU572" s="503" t="s">
        <v>621</v>
      </c>
      <c r="CV572" s="503" t="str">
        <f>IF($G572="","",IF(AND($G572&gt;=30,$AT$3&lt;=CU$7),ROUND(CU572*($AP$3+#REF!),-1),""))</f>
        <v/>
      </c>
      <c r="CW572" s="503" t="s">
        <v>621</v>
      </c>
      <c r="CX572" s="503" t="str">
        <f>IF($G572="","",IF(AND($G572&gt;=30,$AT$3&lt;=CW$7),ROUND(CW572*($AP$3+#REF!),-1),""))</f>
        <v/>
      </c>
      <c r="CY572" s="503" t="s">
        <v>621</v>
      </c>
      <c r="CZ572" s="503" t="str">
        <f>IF($G572="","",IF(AND($G572&gt;=30,$AT$3&lt;=CY$7),ROUND(CY572*($AP$3+#REF!),-1),""))</f>
        <v/>
      </c>
      <c r="DA572" s="503" t="s">
        <v>621</v>
      </c>
      <c r="DB572" s="503" t="str">
        <f>IF($G572="","",IF(AND($G572&gt;=30,$AT$3&lt;=DA$7),ROUND(DA572*($AP$3+#REF!),-1),""))</f>
        <v/>
      </c>
      <c r="DC572" s="503" t="s">
        <v>621</v>
      </c>
      <c r="DD572" s="503" t="str">
        <f>IF($G572="","",IF(AND($G572&gt;=30,$AT$3&lt;=DC$7),ROUND(DC572*($AP$3+#REF!),-1),""))</f>
        <v/>
      </c>
      <c r="DE572" s="503" t="s">
        <v>621</v>
      </c>
      <c r="DF572" s="503" t="str">
        <f>IF($G572="","",IF(AND($G572&gt;=30,$AT$3&lt;=DE$7),ROUND(DE572*($AP$3+#REF!),-1),""))</f>
        <v/>
      </c>
      <c r="DG572" s="503" t="s">
        <v>621</v>
      </c>
      <c r="DH572" s="503" t="str">
        <f>IF($G572="","",IF(AND($G572&gt;=30,$AT$3&lt;=DG$7),ROUND(DG572*($AP$3+#REF!),-1),""))</f>
        <v/>
      </c>
      <c r="DI572" s="503" t="s">
        <v>621</v>
      </c>
      <c r="DJ572" s="503" t="str">
        <f>IF($G572="","",IF(AND($G572&gt;=30,$AT$3&lt;=DI$7),ROUND(DI572*($AP$3+#REF!),-1),""))</f>
        <v/>
      </c>
      <c r="DK572" s="503" t="s">
        <v>621</v>
      </c>
      <c r="DL572" s="503" t="str">
        <f>IF($G572="","",IF(AND($G572&gt;=30,$AT$3&lt;=DK$7),ROUND(DK572*($AP$3+#REF!),-1),""))</f>
        <v/>
      </c>
      <c r="DM572" s="503" t="s">
        <v>621</v>
      </c>
      <c r="DN572" s="503" t="str">
        <f>IF($G572="","",IF(AND($G572&gt;=30,$AT$3&lt;=DM$7),ROUND(DM572*($AP$3+#REF!),-1),""))</f>
        <v/>
      </c>
      <c r="DO572" s="503" t="s">
        <v>621</v>
      </c>
      <c r="DP572" s="503" t="str">
        <f>IF($G572="","",IF(AND($G572&gt;=30,$AT$3&lt;=DO$7),ROUND(DO572*($AP$3+#REF!),-1),""))</f>
        <v/>
      </c>
      <c r="DQ572" s="503" t="s">
        <v>621</v>
      </c>
      <c r="DR572" s="503" t="str">
        <f>IF($G572="","",IF(AND($G572&gt;=30,$AT$3&lt;=DQ$7),ROUND(DQ572*($AP$3+#REF!),-1),""))</f>
        <v/>
      </c>
      <c r="DS572" s="503" t="s">
        <v>621</v>
      </c>
      <c r="DT572" s="503" t="str">
        <f>IF($G572="","",IF(AND($G572&gt;=30,$AT$3&lt;=DS$7),ROUND(DS572*($AP$3+#REF!),-1),""))</f>
        <v/>
      </c>
      <c r="DU572" s="517" t="e">
        <v>#REF!</v>
      </c>
      <c r="DV572" s="503" t="str">
        <f>IF($G572="","",IF(AND($G572&gt;=30,$AT$3&lt;=DU$7),ROUND(DU572*($AP$3+#REF!),-1),""))</f>
        <v/>
      </c>
      <c r="DW572" s="503"/>
      <c r="DX572" s="503" t="str">
        <f>IF($G572="","",IF(AND($G572&gt;=30,$AT$3&lt;=DW$7),ROUND(DW572*($AP$3+#REF!),-1),""))</f>
        <v/>
      </c>
      <c r="DY572" s="503"/>
      <c r="DZ572" s="503" t="str">
        <f>IF($G572="","",IF(AND($G572&gt;=30,$AT$3&lt;=DY$7),ROUND(DY572*($AP$3+#REF!),-1),""))</f>
        <v/>
      </c>
      <c r="EA572" s="503"/>
      <c r="EB572" s="503" t="str">
        <f>IF($G572="","",IF(AND($G572&gt;=30,$AT$3&lt;=EA$7),ROUND(EA572*($AP$3+#REF!),-1),""))</f>
        <v/>
      </c>
      <c r="EC572" s="436"/>
      <c r="ED572" s="436"/>
      <c r="EE572" s="394"/>
    </row>
    <row r="573" spans="1:135" ht="9.75" customHeight="1">
      <c r="A573" s="321" t="str">
        <f t="shared" si="138"/>
        <v/>
      </c>
      <c r="B573" s="569">
        <f>(ii!$D$13*12+V573)+1</f>
        <v>467</v>
      </c>
      <c r="C573" s="345">
        <f t="shared" si="128"/>
        <v>59567</v>
      </c>
      <c r="D573" s="340">
        <f t="shared" si="131"/>
        <v>2063</v>
      </c>
      <c r="E573" s="340">
        <f t="shared" si="129"/>
        <v>8.3333333333333329E-2</v>
      </c>
      <c r="F573" s="340">
        <f t="shared" si="132"/>
        <v>2063.0833333333335</v>
      </c>
      <c r="G573" s="531" t="str">
        <f>IF(OR(C573&lt;$I$2,C573&gt;$J$3),"",(ii!$D$13*12+V573+1)/12)</f>
        <v/>
      </c>
      <c r="H573" s="532"/>
      <c r="I573" s="532"/>
      <c r="J573" s="533"/>
      <c r="K573" s="553"/>
      <c r="L573" s="534"/>
      <c r="M573" s="489" t="str">
        <f t="shared" si="133"/>
        <v/>
      </c>
      <c r="N573" s="536" t="s">
        <v>621</v>
      </c>
      <c r="O573" s="490" t="str">
        <f t="shared" si="126"/>
        <v/>
      </c>
      <c r="P573" s="537"/>
      <c r="Q573" s="537"/>
      <c r="R573" s="533" t="str">
        <f t="shared" si="127"/>
        <v/>
      </c>
      <c r="S573" s="538" t="str">
        <f t="shared" si="125"/>
        <v/>
      </c>
      <c r="T573" s="538" t="str">
        <f t="shared" si="137"/>
        <v/>
      </c>
      <c r="U573" s="539" t="str">
        <f>IF(H573="","",#REF!*12+#REF!+#REF!*12+#REF!)</f>
        <v/>
      </c>
      <c r="V573" s="338">
        <f>IF(ii!$J$3&gt;gg!C573,"",IF(AND((YEAR(C573)=YEAR($I$2)),MONTH(C573)=MONTH($I$2)),ii!$B$14*12+ii!$C$14+ii!$B$15*12+ii!$C$15-1,V572+1))</f>
        <v>466</v>
      </c>
      <c r="W573" s="339">
        <f t="shared" si="130"/>
        <v>38.833333333333336</v>
      </c>
      <c r="X573" s="540" t="s">
        <v>621</v>
      </c>
      <c r="Y573" s="538" t="s">
        <v>621</v>
      </c>
      <c r="Z573" s="541">
        <f>Z561+$Z$26</f>
        <v>1.350000000000001</v>
      </c>
      <c r="AA573" s="542" t="str">
        <f>IF(Y573="","",(Y573-Y572)/Y572)</f>
        <v/>
      </c>
      <c r="AB573" s="543" t="str">
        <f t="shared" si="136"/>
        <v/>
      </c>
      <c r="AC573" s="544" t="str">
        <f t="shared" si="134"/>
        <v/>
      </c>
      <c r="AD573" s="538" t="str">
        <f t="shared" si="135"/>
        <v/>
      </c>
      <c r="AE573" s="545" t="s">
        <v>621</v>
      </c>
      <c r="AF573" s="546" t="s">
        <v>621</v>
      </c>
      <c r="AG573" s="558" t="s">
        <v>621</v>
      </c>
      <c r="AH573" s="547" t="str">
        <f>IF($G573="","",IF(AND($G573&gt;=30,$AT$3&lt;=AG$7),ROUND(AG573*($AP$3+#REF!),-1),""))</f>
        <v/>
      </c>
      <c r="AI573" s="558" t="s">
        <v>621</v>
      </c>
      <c r="AJ573" s="547" t="str">
        <f>IF($G573="","",IF(AND($G573&gt;=30,$AT$3&lt;=AI$7),ROUND(AI573*($AP$3+#REF!),-1),""))</f>
        <v/>
      </c>
      <c r="AK573" s="560" t="s">
        <v>621</v>
      </c>
      <c r="AL573" s="547" t="str">
        <f>IF($G573="","",IF(AND($G573&gt;=30,$AT$3&lt;=AK$7),ROUND(AK573*($AP$3+#REF!),-1),""))</f>
        <v/>
      </c>
      <c r="AM573" s="560" t="s">
        <v>621</v>
      </c>
      <c r="AN573" s="547" t="str">
        <f>IF($G573="","",IF(AND($G573&gt;=30,$AT$3&lt;=AM$7),ROUND(AM573*($AP$3+#REF!),-1),""))</f>
        <v/>
      </c>
      <c r="AO573" s="547" t="e">
        <v>#REF!</v>
      </c>
      <c r="AP573" s="547" t="str">
        <f>IF($G573="","",IF(AND($G573&gt;=30,$AT$3&lt;=AO$7),ROUND(AO573*($AP$3+#REF!),-1),""))</f>
        <v/>
      </c>
      <c r="AQ573" s="547" t="s">
        <v>621</v>
      </c>
      <c r="AR573" s="547" t="str">
        <f>IF($G573="","",IF(AND($G573&gt;=30,$AT$3&lt;=AQ$7),ROUND(AQ573*($AP$3+#REF!),-1),""))</f>
        <v/>
      </c>
      <c r="AS573" s="547" t="s">
        <v>621</v>
      </c>
      <c r="AT573" s="547" t="str">
        <f>IF($G573="","",IF(AND($G573&gt;=30,$AT$3&lt;=AS$7),ROUND(AS573*($AP$3+#REF!),-1),""))</f>
        <v/>
      </c>
      <c r="AU573" s="547" t="s">
        <v>621</v>
      </c>
      <c r="AV573" s="547" t="str">
        <f>IF($G573="","",IF(AND($G573&gt;=30,$AT$3&lt;=AU$7),ROUND(AU573*($AP$3+#REF!),-1),""))</f>
        <v/>
      </c>
      <c r="AW573" s="547" t="s">
        <v>621</v>
      </c>
      <c r="AX573" s="547" t="str">
        <f>IF($G573="","",IF(AND($G573&gt;=30,$AT$3&lt;=AW$7),ROUND(AW573*($AP$3+#REF!),-1),""))</f>
        <v/>
      </c>
      <c r="AY573" s="547" t="s">
        <v>621</v>
      </c>
      <c r="AZ573" s="547" t="str">
        <f>IF($G573="","",IF(AND($G573&gt;=30,$AT$3&lt;=AY$7),ROUND(AY573*($AP$3+#REF!),-1),""))</f>
        <v/>
      </c>
      <c r="BA573" s="547" t="s">
        <v>621</v>
      </c>
      <c r="BB573" s="547" t="str">
        <f>IF($G573="","",IF(AND($G573&gt;=30,$AT$3&lt;=BA$7),ROUND(BA573*($AP$3+#REF!),-1),""))</f>
        <v/>
      </c>
      <c r="BC573" s="547" t="s">
        <v>621</v>
      </c>
      <c r="BD573" s="547" t="str">
        <f>IF($G573="","",IF(AND($G573&gt;=30,$AT$3&lt;=BC$7),ROUND(BC573*($AP$3+#REF!),-1),""))</f>
        <v/>
      </c>
      <c r="BE573" s="547" t="s">
        <v>621</v>
      </c>
      <c r="BF573" s="547" t="str">
        <f>IF($G573="","",IF(AND($G573&gt;=30,$AT$3&lt;=BE$7),ROUND(BE573*($AP$3+#REF!),-1),""))</f>
        <v/>
      </c>
      <c r="BG573" s="547" t="s">
        <v>621</v>
      </c>
      <c r="BH573" s="547" t="str">
        <f>IF($G573="","",IF(AND($G573&gt;=30,$AT$3&lt;=BG$7),ROUND(BG573*($AP$3+#REF!),-1),""))</f>
        <v/>
      </c>
      <c r="BI573" s="547" t="s">
        <v>621</v>
      </c>
      <c r="BJ573" s="547" t="str">
        <f>IF($G573="","",IF(AND($G573&gt;=30,$AT$3&lt;=BI$7),ROUND(BI573*($AP$3+#REF!),-1),""))</f>
        <v/>
      </c>
      <c r="BK573" s="547" t="s">
        <v>621</v>
      </c>
      <c r="BL573" s="547" t="str">
        <f>IF($G573="","",IF(AND($G573&gt;=30,$AT$3&lt;=BK$7),ROUND(BK573*($AP$3+#REF!),-1),""))</f>
        <v/>
      </c>
      <c r="BM573" s="547" t="s">
        <v>621</v>
      </c>
      <c r="BN573" s="547" t="str">
        <f>IF($G573="","",IF(AND($G573&gt;=30,$AT$3&lt;=BM$7),ROUND(BM573*($AP$3+#REF!),-1),""))</f>
        <v/>
      </c>
      <c r="BO573" s="547" t="s">
        <v>621</v>
      </c>
      <c r="BP573" s="547" t="str">
        <f>IF($G573="","",IF(AND($G573&gt;=30,$AT$3&lt;=BO$7),ROUND(BO573*($AP$3+#REF!),-1),""))</f>
        <v/>
      </c>
      <c r="BQ573" s="547" t="s">
        <v>621</v>
      </c>
      <c r="BR573" s="547" t="str">
        <f>IF($G573="","",IF(AND($G573&gt;=30,$AT$3&lt;=BQ$7),ROUND(BQ573*($AP$3+#REF!),-1),""))</f>
        <v/>
      </c>
      <c r="BS573" s="547" t="s">
        <v>621</v>
      </c>
      <c r="BT573" s="547" t="str">
        <f>IF($G573="","",IF(AND($G573&gt;=30,$AT$3&lt;=BS$7),ROUND(BS573*($AP$3+#REF!),-1),""))</f>
        <v/>
      </c>
      <c r="BU573" s="547" t="s">
        <v>621</v>
      </c>
      <c r="BV573" s="547" t="str">
        <f>IF($G573="","",IF(AND($G573&gt;=30,$AT$3&lt;=BU$7),ROUND(BU573*($AP$3+#REF!),-1),""))</f>
        <v/>
      </c>
      <c r="BW573" s="547" t="s">
        <v>621</v>
      </c>
      <c r="BX573" s="547" t="str">
        <f>IF($G573="","",IF(AND($G573&gt;=30,$AT$3&lt;=BW$7),ROUND(BW573*($AP$3+#REF!),-1),""))</f>
        <v/>
      </c>
      <c r="BY573" s="547" t="s">
        <v>621</v>
      </c>
      <c r="BZ573" s="547" t="str">
        <f>IF($G573="","",IF(AND($G573&gt;=30,$AT$3&lt;=BY$7),ROUND(BY573*($AP$3+#REF!),-1),""))</f>
        <v/>
      </c>
      <c r="CA573" s="547" t="s">
        <v>621</v>
      </c>
      <c r="CB573" s="547" t="str">
        <f>IF($G573="","",IF(AND($G573&gt;=30,$AT$3&lt;=CA$7),ROUND(CA573*($AP$3+#REF!),-1),""))</f>
        <v/>
      </c>
      <c r="CC573" s="547" t="s">
        <v>621</v>
      </c>
      <c r="CD573" s="547" t="str">
        <f>IF($G573="","",IF(AND($G573&gt;=30,$AT$3&lt;=CC$7),ROUND(CC573*($AP$3+#REF!),-1),""))</f>
        <v/>
      </c>
      <c r="CE573" s="547" t="s">
        <v>621</v>
      </c>
      <c r="CF573" s="547" t="str">
        <f>IF($G573="","",IF(AND($G573&gt;=30,$AT$3&lt;=CE$7),ROUND(CE573*($AP$3+#REF!),-1),""))</f>
        <v/>
      </c>
      <c r="CG573" s="547" t="s">
        <v>621</v>
      </c>
      <c r="CH573" s="547" t="str">
        <f>IF($G573="","",IF(AND($G573&gt;=30,$AT$3&lt;=CG$7),ROUND(CG573*($AP$3+#REF!),-1),""))</f>
        <v/>
      </c>
      <c r="CI573" s="547" t="s">
        <v>621</v>
      </c>
      <c r="CJ573" s="547" t="str">
        <f>IF($G573="","",IF(AND($G573&gt;=30,$AT$3&lt;=CI$7),ROUND(CI573*($AP$3+#REF!),-1),""))</f>
        <v/>
      </c>
      <c r="CK573" s="547" t="s">
        <v>621</v>
      </c>
      <c r="CL573" s="547" t="str">
        <f>IF($G573="","",IF(AND($G573&gt;=30,$AT$3&lt;=CK$7),ROUND(CK573*($AP$3+#REF!),-1),""))</f>
        <v/>
      </c>
      <c r="CM573" s="547" t="s">
        <v>621</v>
      </c>
      <c r="CN573" s="547" t="str">
        <f>IF($G573="","",IF(AND($G573&gt;=30,$AT$3&lt;=CM$7),ROUND(CM573*($AP$3+#REF!),-1),""))</f>
        <v/>
      </c>
      <c r="CO573" s="547" t="s">
        <v>621</v>
      </c>
      <c r="CP573" s="547" t="str">
        <f>IF($G573="","",IF(AND($G573&gt;=30,$AT$3&lt;=CO$7),ROUND(CO573*($AP$3+#REF!),-1),""))</f>
        <v/>
      </c>
      <c r="CQ573" s="547" t="s">
        <v>621</v>
      </c>
      <c r="CR573" s="547" t="str">
        <f>IF($G573="","",IF(AND($G573&gt;=30,$AT$3&lt;=CQ$7),ROUND(CQ573*($AP$3+#REF!),-1),""))</f>
        <v/>
      </c>
      <c r="CS573" s="547" t="s">
        <v>621</v>
      </c>
      <c r="CT573" s="547" t="str">
        <f>IF($G573="","",IF(AND($G573&gt;=30,$AT$3&lt;=CS$7),ROUND(CS573*($AP$3+#REF!),-1),""))</f>
        <v/>
      </c>
      <c r="CU573" s="547" t="s">
        <v>621</v>
      </c>
      <c r="CV573" s="547" t="str">
        <f>IF($G573="","",IF(AND($G573&gt;=30,$AT$3&lt;=CU$7),ROUND(CU573*($AP$3+#REF!),-1),""))</f>
        <v/>
      </c>
      <c r="CW573" s="547" t="s">
        <v>621</v>
      </c>
      <c r="CX573" s="547" t="str">
        <f>IF($G573="","",IF(AND($G573&gt;=30,$AT$3&lt;=CW$7),ROUND(CW573*($AP$3+#REF!),-1),""))</f>
        <v/>
      </c>
      <c r="CY573" s="547" t="s">
        <v>621</v>
      </c>
      <c r="CZ573" s="547" t="str">
        <f>IF($G573="","",IF(AND($G573&gt;=30,$AT$3&lt;=CY$7),ROUND(CY573*($AP$3+#REF!),-1),""))</f>
        <v/>
      </c>
      <c r="DA573" s="547" t="s">
        <v>621</v>
      </c>
      <c r="DB573" s="547" t="str">
        <f>IF($G573="","",IF(AND($G573&gt;=30,$AT$3&lt;=DA$7),ROUND(DA573*($AP$3+#REF!),-1),""))</f>
        <v/>
      </c>
      <c r="DC573" s="547" t="s">
        <v>621</v>
      </c>
      <c r="DD573" s="547" t="str">
        <f>IF($G573="","",IF(AND($G573&gt;=30,$AT$3&lt;=DC$7),ROUND(DC573*($AP$3+#REF!),-1),""))</f>
        <v/>
      </c>
      <c r="DE573" s="547" t="s">
        <v>621</v>
      </c>
      <c r="DF573" s="547" t="str">
        <f>IF($G573="","",IF(AND($G573&gt;=30,$AT$3&lt;=DE$7),ROUND(DE573*($AP$3+#REF!),-1),""))</f>
        <v/>
      </c>
      <c r="DG573" s="547" t="s">
        <v>621</v>
      </c>
      <c r="DH573" s="547" t="str">
        <f>IF($G573="","",IF(AND($G573&gt;=30,$AT$3&lt;=DG$7),ROUND(DG573*($AP$3+#REF!),-1),""))</f>
        <v/>
      </c>
      <c r="DI573" s="547" t="s">
        <v>621</v>
      </c>
      <c r="DJ573" s="547" t="str">
        <f>IF($G573="","",IF(AND($G573&gt;=30,$AT$3&lt;=DI$7),ROUND(DI573*($AP$3+#REF!),-1),""))</f>
        <v/>
      </c>
      <c r="DK573" s="547" t="s">
        <v>621</v>
      </c>
      <c r="DL573" s="547" t="str">
        <f>IF($G573="","",IF(AND($G573&gt;=30,$AT$3&lt;=DK$7),ROUND(DK573*($AP$3+#REF!),-1),""))</f>
        <v/>
      </c>
      <c r="DM573" s="547" t="s">
        <v>621</v>
      </c>
      <c r="DN573" s="547" t="str">
        <f>IF($G573="","",IF(AND($G573&gt;=30,$AT$3&lt;=DM$7),ROUND(DM573*($AP$3+#REF!),-1),""))</f>
        <v/>
      </c>
      <c r="DO573" s="547" t="s">
        <v>621</v>
      </c>
      <c r="DP573" s="547" t="str">
        <f>IF($G573="","",IF(AND($G573&gt;=30,$AT$3&lt;=DO$7),ROUND(DO573*($AP$3+#REF!),-1),""))</f>
        <v/>
      </c>
      <c r="DQ573" s="547" t="s">
        <v>621</v>
      </c>
      <c r="DR573" s="547" t="str">
        <f>IF($G573="","",IF(AND($G573&gt;=30,$AT$3&lt;=DQ$7),ROUND(DQ573*($AP$3+#REF!),-1),""))</f>
        <v/>
      </c>
      <c r="DS573" s="547" t="s">
        <v>621</v>
      </c>
      <c r="DT573" s="547" t="str">
        <f>IF($G573="","",IF(AND($G573&gt;=30,$AT$3&lt;=DS$7),ROUND(DS573*($AP$3+#REF!),-1),""))</f>
        <v/>
      </c>
      <c r="DU573" s="547" t="s">
        <v>621</v>
      </c>
      <c r="DV573" s="547" t="str">
        <f>IF($G573="","",IF(AND($G573&gt;=30,$AT$3&lt;=DU$7),ROUND(DU573*($AP$3+#REF!),-1),""))</f>
        <v/>
      </c>
      <c r="DW573" s="533" t="e">
        <v>#REF!</v>
      </c>
      <c r="DX573" s="547" t="str">
        <f>IF($G573="","",IF(AND($G573&gt;=30,$AT$3&lt;=DW$7),ROUND(DW573*($AP$3+#REF!),-1),""))</f>
        <v/>
      </c>
      <c r="DY573" s="547"/>
      <c r="DZ573" s="547" t="str">
        <f>IF($G573="","",IF(AND($G573&gt;=30,$AT$3&lt;=DY$7),ROUND(DY573*($AP$3+#REF!),-1),""))</f>
        <v/>
      </c>
      <c r="EA573" s="547"/>
      <c r="EB573" s="547" t="str">
        <f>IF($G573="","",IF(AND($G573&gt;=30,$AT$3&lt;=EA$7),ROUND(EA573*($AP$3+#REF!),-1),""))</f>
        <v/>
      </c>
      <c r="EC573" s="547"/>
      <c r="ED573" s="436"/>
      <c r="EE573" s="394"/>
    </row>
    <row r="574" spans="1:135" ht="9.75" customHeight="1">
      <c r="A574" s="321" t="str">
        <f t="shared" si="138"/>
        <v/>
      </c>
      <c r="B574" s="567">
        <f>(ii!$D$13*12+V574)+1</f>
        <v>468</v>
      </c>
      <c r="C574" s="337">
        <f t="shared" si="128"/>
        <v>59595</v>
      </c>
      <c r="D574" s="484">
        <f t="shared" si="131"/>
        <v>2063</v>
      </c>
      <c r="E574" s="484">
        <f t="shared" si="129"/>
        <v>0.16666666666666666</v>
      </c>
      <c r="F574" s="484">
        <f t="shared" si="132"/>
        <v>2063.1666666666665</v>
      </c>
      <c r="G574" s="485" t="str">
        <f>IF(OR(C574&lt;$I$2,C574&gt;$J$3),"",(ii!$D$13*12+V574+1)/12)</f>
        <v/>
      </c>
      <c r="H574" s="486"/>
      <c r="I574" s="486"/>
      <c r="J574" s="487"/>
      <c r="K574" s="488"/>
      <c r="L574" s="548"/>
      <c r="M574" s="489" t="str">
        <f t="shared" si="133"/>
        <v/>
      </c>
      <c r="N574" s="490" t="s">
        <v>621</v>
      </c>
      <c r="O574" s="490" t="str">
        <f t="shared" si="126"/>
        <v/>
      </c>
      <c r="P574" s="491"/>
      <c r="Q574" s="491"/>
      <c r="R574" s="491" t="str">
        <f t="shared" si="127"/>
        <v/>
      </c>
      <c r="S574" s="528" t="str">
        <f t="shared" si="125"/>
        <v/>
      </c>
      <c r="T574" s="528" t="str">
        <f t="shared" si="137"/>
        <v/>
      </c>
      <c r="U574" s="493" t="str">
        <f>IF(H574="","",#REF!*12+#REF!+#REF!*12+#REF!)</f>
        <v/>
      </c>
      <c r="V574" s="338">
        <f>IF(ii!$J$3&gt;gg!C574,"",IF(AND((YEAR(C574)=YEAR($I$2)),MONTH(C574)=MONTH($I$2)),ii!$B$14*12+ii!$C$14+ii!$B$15*12+ii!$C$15-1,V573+1))</f>
        <v>467</v>
      </c>
      <c r="W574" s="339">
        <f t="shared" si="130"/>
        <v>38.916666666666664</v>
      </c>
      <c r="X574" s="494" t="s">
        <v>621</v>
      </c>
      <c r="Y574" s="495" t="s">
        <v>621</v>
      </c>
      <c r="Z574" s="496"/>
      <c r="AA574" s="497"/>
      <c r="AB574" s="498" t="str">
        <f t="shared" si="136"/>
        <v/>
      </c>
      <c r="AC574" s="484" t="str">
        <f t="shared" si="134"/>
        <v/>
      </c>
      <c r="AD574" s="495" t="str">
        <f t="shared" si="135"/>
        <v/>
      </c>
      <c r="AE574" s="499" t="s">
        <v>621</v>
      </c>
      <c r="AF574" s="500" t="s">
        <v>621</v>
      </c>
      <c r="AG574" s="556" t="s">
        <v>621</v>
      </c>
      <c r="AH574" s="503" t="str">
        <f>IF($G574="","",IF(AND($G574&gt;=30,$AT$3&lt;=AG$7),ROUND(AG574*($AP$3+#REF!),-1),""))</f>
        <v/>
      </c>
      <c r="AI574" s="506" t="s">
        <v>621</v>
      </c>
      <c r="AJ574" s="503" t="str">
        <f>IF($G574="","",IF(AND($G574&gt;=30,$AT$3&lt;=AI$7),ROUND(AI574*($AP$3+#REF!),-1),""))</f>
        <v/>
      </c>
      <c r="AK574" s="506" t="s">
        <v>621</v>
      </c>
      <c r="AL574" s="503" t="str">
        <f>IF($G574="","",IF(AND($G574&gt;=30,$AT$3&lt;=AK$7),ROUND(AK574*($AP$3+#REF!),-1),""))</f>
        <v/>
      </c>
      <c r="AM574" s="506" t="s">
        <v>621</v>
      </c>
      <c r="AN574" s="503" t="str">
        <f>IF($G574="","",IF(AND($G574&gt;=30,$AT$3&lt;=AM$7),ROUND(AM574*($AP$3+#REF!),-1),""))</f>
        <v/>
      </c>
      <c r="AO574" s="503" t="e">
        <f>IF(AO573="","",AO573*1.001)</f>
        <v>#REF!</v>
      </c>
      <c r="AP574" s="503" t="str">
        <f>IF($G574="","",IF(AND($G574&gt;=30,$AT$3&lt;=AO$7),ROUND(AO574*($AP$3+#REF!),-1),""))</f>
        <v/>
      </c>
      <c r="AQ574" s="503" t="s">
        <v>621</v>
      </c>
      <c r="AR574" s="503" t="str">
        <f>IF($G574="","",IF(AND($G574&gt;=30,$AT$3&lt;=AQ$7),ROUND(AQ574*($AP$3+#REF!),-1),""))</f>
        <v/>
      </c>
      <c r="AS574" s="503" t="s">
        <v>621</v>
      </c>
      <c r="AT574" s="503" t="str">
        <f>IF($G574="","",IF(AND($G574&gt;=30,$AT$3&lt;=AS$7),ROUND(AS574*($AP$3+#REF!),-1),""))</f>
        <v/>
      </c>
      <c r="AU574" s="503" t="s">
        <v>621</v>
      </c>
      <c r="AV574" s="503" t="str">
        <f>IF($G574="","",IF(AND($G574&gt;=30,$AT$3&lt;=AU$7),ROUND(AU574*($AP$3+#REF!),-1),""))</f>
        <v/>
      </c>
      <c r="AW574" s="503" t="s">
        <v>621</v>
      </c>
      <c r="AX574" s="503" t="str">
        <f>IF($G574="","",IF(AND($G574&gt;=30,$AT$3&lt;=AW$7),ROUND(AW574*($AP$3+#REF!),-1),""))</f>
        <v/>
      </c>
      <c r="AY574" s="503" t="s">
        <v>621</v>
      </c>
      <c r="AZ574" s="503" t="str">
        <f>IF($G574="","",IF(AND($G574&gt;=30,$AT$3&lt;=AY$7),ROUND(AY574*($AP$3+#REF!),-1),""))</f>
        <v/>
      </c>
      <c r="BA574" s="503" t="s">
        <v>621</v>
      </c>
      <c r="BB574" s="503" t="str">
        <f>IF($G574="","",IF(AND($G574&gt;=30,$AT$3&lt;=BA$7),ROUND(BA574*($AP$3+#REF!),-1),""))</f>
        <v/>
      </c>
      <c r="BC574" s="503" t="s">
        <v>621</v>
      </c>
      <c r="BD574" s="503" t="str">
        <f>IF($G574="","",IF(AND($G574&gt;=30,$AT$3&lt;=BC$7),ROUND(BC574*($AP$3+#REF!),-1),""))</f>
        <v/>
      </c>
      <c r="BE574" s="503" t="s">
        <v>621</v>
      </c>
      <c r="BF574" s="503" t="str">
        <f>IF($G574="","",IF(AND($G574&gt;=30,$AT$3&lt;=BE$7),ROUND(BE574*($AP$3+#REF!),-1),""))</f>
        <v/>
      </c>
      <c r="BG574" s="503" t="s">
        <v>621</v>
      </c>
      <c r="BH574" s="503" t="str">
        <f>IF($G574="","",IF(AND($G574&gt;=30,$AT$3&lt;=BG$7),ROUND(BG574*($AP$3+#REF!),-1),""))</f>
        <v/>
      </c>
      <c r="BI574" s="503" t="s">
        <v>621</v>
      </c>
      <c r="BJ574" s="503" t="str">
        <f>IF($G574="","",IF(AND($G574&gt;=30,$AT$3&lt;=BI$7),ROUND(BI574*($AP$3+#REF!),-1),""))</f>
        <v/>
      </c>
      <c r="BK574" s="503" t="s">
        <v>621</v>
      </c>
      <c r="BL574" s="503" t="str">
        <f>IF($G574="","",IF(AND($G574&gt;=30,$AT$3&lt;=BK$7),ROUND(BK574*($AP$3+#REF!),-1),""))</f>
        <v/>
      </c>
      <c r="BM574" s="503" t="s">
        <v>621</v>
      </c>
      <c r="BN574" s="503" t="str">
        <f>IF($G574="","",IF(AND($G574&gt;=30,$AT$3&lt;=BM$7),ROUND(BM574*($AP$3+#REF!),-1),""))</f>
        <v/>
      </c>
      <c r="BO574" s="503" t="s">
        <v>621</v>
      </c>
      <c r="BP574" s="503" t="str">
        <f>IF($G574="","",IF(AND($G574&gt;=30,$AT$3&lt;=BO$7),ROUND(BO574*($AP$3+#REF!),-1),""))</f>
        <v/>
      </c>
      <c r="BQ574" s="503" t="s">
        <v>621</v>
      </c>
      <c r="BR574" s="503" t="str">
        <f>IF($G574="","",IF(AND($G574&gt;=30,$AT$3&lt;=BQ$7),ROUND(BQ574*($AP$3+#REF!),-1),""))</f>
        <v/>
      </c>
      <c r="BS574" s="503" t="s">
        <v>621</v>
      </c>
      <c r="BT574" s="503" t="str">
        <f>IF($G574="","",IF(AND($G574&gt;=30,$AT$3&lt;=BS$7),ROUND(BS574*($AP$3+#REF!),-1),""))</f>
        <v/>
      </c>
      <c r="BU574" s="503" t="s">
        <v>621</v>
      </c>
      <c r="BV574" s="503" t="str">
        <f>IF($G574="","",IF(AND($G574&gt;=30,$AT$3&lt;=BU$7),ROUND(BU574*($AP$3+#REF!),-1),""))</f>
        <v/>
      </c>
      <c r="BW574" s="503" t="s">
        <v>621</v>
      </c>
      <c r="BX574" s="503" t="str">
        <f>IF($G574="","",IF(AND($G574&gt;=30,$AT$3&lt;=BW$7),ROUND(BW574*($AP$3+#REF!),-1),""))</f>
        <v/>
      </c>
      <c r="BY574" s="503" t="s">
        <v>621</v>
      </c>
      <c r="BZ574" s="503" t="str">
        <f>IF($G574="","",IF(AND($G574&gt;=30,$AT$3&lt;=BY$7),ROUND(BY574*($AP$3+#REF!),-1),""))</f>
        <v/>
      </c>
      <c r="CA574" s="503" t="s">
        <v>621</v>
      </c>
      <c r="CB574" s="503" t="str">
        <f>IF($G574="","",IF(AND($G574&gt;=30,$AT$3&lt;=CA$7),ROUND(CA574*($AP$3+#REF!),-1),""))</f>
        <v/>
      </c>
      <c r="CC574" s="503" t="s">
        <v>621</v>
      </c>
      <c r="CD574" s="503" t="str">
        <f>IF($G574="","",IF(AND($G574&gt;=30,$AT$3&lt;=CC$7),ROUND(CC574*($AP$3+#REF!),-1),""))</f>
        <v/>
      </c>
      <c r="CE574" s="503" t="s">
        <v>621</v>
      </c>
      <c r="CF574" s="503" t="str">
        <f>IF($G574="","",IF(AND($G574&gt;=30,$AT$3&lt;=CE$7),ROUND(CE574*($AP$3+#REF!),-1),""))</f>
        <v/>
      </c>
      <c r="CG574" s="503" t="s">
        <v>621</v>
      </c>
      <c r="CH574" s="503" t="str">
        <f>IF($G574="","",IF(AND($G574&gt;=30,$AT$3&lt;=CG$7),ROUND(CG574*($AP$3+#REF!),-1),""))</f>
        <v/>
      </c>
      <c r="CI574" s="503" t="s">
        <v>621</v>
      </c>
      <c r="CJ574" s="503" t="str">
        <f>IF($G574="","",IF(AND($G574&gt;=30,$AT$3&lt;=CI$7),ROUND(CI574*($AP$3+#REF!),-1),""))</f>
        <v/>
      </c>
      <c r="CK574" s="503" t="s">
        <v>621</v>
      </c>
      <c r="CL574" s="503" t="str">
        <f>IF($G574="","",IF(AND($G574&gt;=30,$AT$3&lt;=CK$7),ROUND(CK574*($AP$3+#REF!),-1),""))</f>
        <v/>
      </c>
      <c r="CM574" s="503" t="s">
        <v>621</v>
      </c>
      <c r="CN574" s="503" t="str">
        <f>IF($G574="","",IF(AND($G574&gt;=30,$AT$3&lt;=CM$7),ROUND(CM574*($AP$3+#REF!),-1),""))</f>
        <v/>
      </c>
      <c r="CO574" s="503" t="s">
        <v>621</v>
      </c>
      <c r="CP574" s="503" t="str">
        <f>IF($G574="","",IF(AND($G574&gt;=30,$AT$3&lt;=CO$7),ROUND(CO574*($AP$3+#REF!),-1),""))</f>
        <v/>
      </c>
      <c r="CQ574" s="503" t="s">
        <v>621</v>
      </c>
      <c r="CR574" s="503" t="str">
        <f>IF($G574="","",IF(AND($G574&gt;=30,$AT$3&lt;=CQ$7),ROUND(CQ574*($AP$3+#REF!),-1),""))</f>
        <v/>
      </c>
      <c r="CS574" s="503" t="s">
        <v>621</v>
      </c>
      <c r="CT574" s="503" t="str">
        <f>IF($G574="","",IF(AND($G574&gt;=30,$AT$3&lt;=CS$7),ROUND(CS574*($AP$3+#REF!),-1),""))</f>
        <v/>
      </c>
      <c r="CU574" s="503" t="s">
        <v>621</v>
      </c>
      <c r="CV574" s="503" t="str">
        <f>IF($G574="","",IF(AND($G574&gt;=30,$AT$3&lt;=CU$7),ROUND(CU574*($AP$3+#REF!),-1),""))</f>
        <v/>
      </c>
      <c r="CW574" s="503" t="s">
        <v>621</v>
      </c>
      <c r="CX574" s="503" t="str">
        <f>IF($G574="","",IF(AND($G574&gt;=30,$AT$3&lt;=CW$7),ROUND(CW574*($AP$3+#REF!),-1),""))</f>
        <v/>
      </c>
      <c r="CY574" s="503" t="s">
        <v>621</v>
      </c>
      <c r="CZ574" s="503" t="str">
        <f>IF($G574="","",IF(AND($G574&gt;=30,$AT$3&lt;=CY$7),ROUND(CY574*($AP$3+#REF!),-1),""))</f>
        <v/>
      </c>
      <c r="DA574" s="503" t="s">
        <v>621</v>
      </c>
      <c r="DB574" s="503" t="str">
        <f>IF($G574="","",IF(AND($G574&gt;=30,$AT$3&lt;=DA$7),ROUND(DA574*($AP$3+#REF!),-1),""))</f>
        <v/>
      </c>
      <c r="DC574" s="503" t="s">
        <v>621</v>
      </c>
      <c r="DD574" s="503" t="str">
        <f>IF($G574="","",IF(AND($G574&gt;=30,$AT$3&lt;=DC$7),ROUND(DC574*($AP$3+#REF!),-1),""))</f>
        <v/>
      </c>
      <c r="DE574" s="503" t="s">
        <v>621</v>
      </c>
      <c r="DF574" s="503" t="str">
        <f>IF($G574="","",IF(AND($G574&gt;=30,$AT$3&lt;=DE$7),ROUND(DE574*($AP$3+#REF!),-1),""))</f>
        <v/>
      </c>
      <c r="DG574" s="503" t="s">
        <v>621</v>
      </c>
      <c r="DH574" s="503" t="str">
        <f>IF($G574="","",IF(AND($G574&gt;=30,$AT$3&lt;=DG$7),ROUND(DG574*($AP$3+#REF!),-1),""))</f>
        <v/>
      </c>
      <c r="DI574" s="503" t="s">
        <v>621</v>
      </c>
      <c r="DJ574" s="503" t="str">
        <f>IF($G574="","",IF(AND($G574&gt;=30,$AT$3&lt;=DI$7),ROUND(DI574*($AP$3+#REF!),-1),""))</f>
        <v/>
      </c>
      <c r="DK574" s="503" t="s">
        <v>621</v>
      </c>
      <c r="DL574" s="503" t="str">
        <f>IF($G574="","",IF(AND($G574&gt;=30,$AT$3&lt;=DK$7),ROUND(DK574*($AP$3+#REF!),-1),""))</f>
        <v/>
      </c>
      <c r="DM574" s="503" t="s">
        <v>621</v>
      </c>
      <c r="DN574" s="503" t="str">
        <f>IF($G574="","",IF(AND($G574&gt;=30,$AT$3&lt;=DM$7),ROUND(DM574*($AP$3+#REF!),-1),""))</f>
        <v/>
      </c>
      <c r="DO574" s="503" t="s">
        <v>621</v>
      </c>
      <c r="DP574" s="503" t="str">
        <f>IF($G574="","",IF(AND($G574&gt;=30,$AT$3&lt;=DO$7),ROUND(DO574*($AP$3+#REF!),-1),""))</f>
        <v/>
      </c>
      <c r="DQ574" s="503" t="s">
        <v>621</v>
      </c>
      <c r="DR574" s="503" t="str">
        <f>IF($G574="","",IF(AND($G574&gt;=30,$AT$3&lt;=DQ$7),ROUND(DQ574*($AP$3+#REF!),-1),""))</f>
        <v/>
      </c>
      <c r="DS574" s="503" t="s">
        <v>621</v>
      </c>
      <c r="DT574" s="503" t="str">
        <f>IF($G574="","",IF(AND($G574&gt;=30,$AT$3&lt;=DS$7),ROUND(DS574*($AP$3+#REF!),-1),""))</f>
        <v/>
      </c>
      <c r="DU574" s="503" t="s">
        <v>621</v>
      </c>
      <c r="DV574" s="503" t="str">
        <f>IF($G574="","",IF(AND($G574&gt;=30,$AT$3&lt;=DU$7),ROUND(DU574*($AP$3+#REF!),-1),""))</f>
        <v/>
      </c>
      <c r="DW574" s="517" t="e">
        <v>#REF!</v>
      </c>
      <c r="DX574" s="503" t="str">
        <f>IF($G574="","",IF(AND($G574&gt;=30,$AT$3&lt;=DW$7),ROUND(DW574*($AP$3+#REF!),-1),""))</f>
        <v/>
      </c>
      <c r="DY574" s="503"/>
      <c r="DZ574" s="503" t="str">
        <f>IF($G574="","",IF(AND($G574&gt;=30,$AT$3&lt;=DY$7),ROUND(DY574*($AP$3+#REF!),-1),""))</f>
        <v/>
      </c>
      <c r="EA574" s="503"/>
      <c r="EB574" s="503" t="str">
        <f>IF($G574="","",IF(AND($G574&gt;=30,$AT$3&lt;=EA$7),ROUND(EA574*($AP$3+#REF!),-1),""))</f>
        <v/>
      </c>
      <c r="EC574" s="436"/>
      <c r="ED574" s="436"/>
      <c r="EE574" s="394"/>
    </row>
    <row r="575" spans="1:135" ht="9.75" customHeight="1">
      <c r="A575" s="321" t="str">
        <f t="shared" si="138"/>
        <v/>
      </c>
      <c r="B575" s="567">
        <f>(ii!$D$13*12+V575)+1</f>
        <v>469</v>
      </c>
      <c r="C575" s="337">
        <f t="shared" si="128"/>
        <v>59626</v>
      </c>
      <c r="D575" s="484">
        <f t="shared" si="131"/>
        <v>2063</v>
      </c>
      <c r="E575" s="484">
        <f t="shared" si="129"/>
        <v>0.25</v>
      </c>
      <c r="F575" s="484">
        <f t="shared" si="132"/>
        <v>2063.25</v>
      </c>
      <c r="G575" s="485" t="str">
        <f>IF(OR(C575&lt;$I$2,C575&gt;$J$3),"",(ii!$D$13*12+V575+1)/12)</f>
        <v/>
      </c>
      <c r="H575" s="486"/>
      <c r="I575" s="486"/>
      <c r="J575" s="487"/>
      <c r="K575" s="488"/>
      <c r="L575" s="548"/>
      <c r="M575" s="489" t="str">
        <f t="shared" si="133"/>
        <v/>
      </c>
      <c r="N575" s="490" t="s">
        <v>621</v>
      </c>
      <c r="O575" s="490" t="str">
        <f t="shared" si="126"/>
        <v/>
      </c>
      <c r="P575" s="491"/>
      <c r="Q575" s="491"/>
      <c r="R575" s="491" t="str">
        <f t="shared" si="127"/>
        <v/>
      </c>
      <c r="S575" s="528" t="str">
        <f t="shared" si="125"/>
        <v/>
      </c>
      <c r="T575" s="528" t="str">
        <f t="shared" si="137"/>
        <v/>
      </c>
      <c r="U575" s="493" t="str">
        <f>IF(H575="","",#REF!*12+#REF!+#REF!*12+#REF!)</f>
        <v/>
      </c>
      <c r="V575" s="338">
        <f>IF(ii!$J$3&gt;gg!C575,"",IF(AND((YEAR(C575)=YEAR($I$2)),MONTH(C575)=MONTH($I$2)),ii!$B$14*12+ii!$C$14+ii!$B$15*12+ii!$C$15-1,V574+1))</f>
        <v>468</v>
      </c>
      <c r="W575" s="339">
        <f t="shared" si="130"/>
        <v>39</v>
      </c>
      <c r="X575" s="494" t="s">
        <v>621</v>
      </c>
      <c r="Y575" s="495" t="s">
        <v>621</v>
      </c>
      <c r="Z575" s="496"/>
      <c r="AA575" s="497"/>
      <c r="AB575" s="498" t="str">
        <f t="shared" si="136"/>
        <v/>
      </c>
      <c r="AC575" s="484" t="str">
        <f t="shared" si="134"/>
        <v/>
      </c>
      <c r="AD575" s="495" t="str">
        <f t="shared" si="135"/>
        <v/>
      </c>
      <c r="AE575" s="499" t="s">
        <v>621</v>
      </c>
      <c r="AF575" s="500" t="s">
        <v>621</v>
      </c>
      <c r="AG575" s="556" t="s">
        <v>621</v>
      </c>
      <c r="AH575" s="503" t="str">
        <f>IF($G575="","",IF(AND($G575&gt;=30,$AT$3&lt;=AG$7),ROUND(AG575*($AP$3+#REF!),-1),""))</f>
        <v/>
      </c>
      <c r="AI575" s="506" t="s">
        <v>621</v>
      </c>
      <c r="AJ575" s="503" t="str">
        <f>IF($G575="","",IF(AND($G575&gt;=30,$AT$3&lt;=AI$7),ROUND(AI575*($AP$3+#REF!),-1),""))</f>
        <v/>
      </c>
      <c r="AK575" s="506" t="s">
        <v>621</v>
      </c>
      <c r="AL575" s="503" t="str">
        <f>IF($G575="","",IF(AND($G575&gt;=30,$AT$3&lt;=AK$7),ROUND(AK575*($AP$3+#REF!),-1),""))</f>
        <v/>
      </c>
      <c r="AM575" s="506" t="s">
        <v>621</v>
      </c>
      <c r="AN575" s="503" t="str">
        <f>IF($G575="","",IF(AND($G575&gt;=30,$AT$3&lt;=AM$7),ROUND(AM575*($AP$3+#REF!),-1),""))</f>
        <v/>
      </c>
      <c r="AO575" s="503" t="e">
        <v>#REF!</v>
      </c>
      <c r="AP575" s="503" t="str">
        <f>IF($G575="","",IF(AND($G575&gt;=30,$AT$3&lt;=AO$7),ROUND(AO575*($AP$3+#REF!),-1),""))</f>
        <v/>
      </c>
      <c r="AQ575" s="503" t="s">
        <v>621</v>
      </c>
      <c r="AR575" s="503" t="str">
        <f>IF($G575="","",IF(AND($G575&gt;=30,$AT$3&lt;=AQ$7),ROUND(AQ575*($AP$3+#REF!),-1),""))</f>
        <v/>
      </c>
      <c r="AS575" s="503" t="s">
        <v>621</v>
      </c>
      <c r="AT575" s="503" t="str">
        <f>IF($G575="","",IF(AND($G575&gt;=30,$AT$3&lt;=AS$7),ROUND(AS575*($AP$3+#REF!),-1),""))</f>
        <v/>
      </c>
      <c r="AU575" s="503" t="s">
        <v>621</v>
      </c>
      <c r="AV575" s="503" t="str">
        <f>IF($G575="","",IF(AND($G575&gt;=30,$AT$3&lt;=AU$7),ROUND(AU575*($AP$3+#REF!),-1),""))</f>
        <v/>
      </c>
      <c r="AW575" s="503" t="s">
        <v>621</v>
      </c>
      <c r="AX575" s="503" t="str">
        <f>IF($G575="","",IF(AND($G575&gt;=30,$AT$3&lt;=AW$7),ROUND(AW575*($AP$3+#REF!),-1),""))</f>
        <v/>
      </c>
      <c r="AY575" s="503" t="s">
        <v>621</v>
      </c>
      <c r="AZ575" s="503" t="str">
        <f>IF($G575="","",IF(AND($G575&gt;=30,$AT$3&lt;=AY$7),ROUND(AY575*($AP$3+#REF!),-1),""))</f>
        <v/>
      </c>
      <c r="BA575" s="503" t="s">
        <v>621</v>
      </c>
      <c r="BB575" s="503" t="str">
        <f>IF($G575="","",IF(AND($G575&gt;=30,$AT$3&lt;=BA$7),ROUND(BA575*($AP$3+#REF!),-1),""))</f>
        <v/>
      </c>
      <c r="BC575" s="503" t="s">
        <v>621</v>
      </c>
      <c r="BD575" s="503" t="str">
        <f>IF($G575="","",IF(AND($G575&gt;=30,$AT$3&lt;=BC$7),ROUND(BC575*($AP$3+#REF!),-1),""))</f>
        <v/>
      </c>
      <c r="BE575" s="503" t="s">
        <v>621</v>
      </c>
      <c r="BF575" s="503" t="str">
        <f>IF($G575="","",IF(AND($G575&gt;=30,$AT$3&lt;=BE$7),ROUND(BE575*($AP$3+#REF!),-1),""))</f>
        <v/>
      </c>
      <c r="BG575" s="503" t="s">
        <v>621</v>
      </c>
      <c r="BH575" s="503" t="str">
        <f>IF($G575="","",IF(AND($G575&gt;=30,$AT$3&lt;=BG$7),ROUND(BG575*($AP$3+#REF!),-1),""))</f>
        <v/>
      </c>
      <c r="BI575" s="503" t="s">
        <v>621</v>
      </c>
      <c r="BJ575" s="503" t="str">
        <f>IF($G575="","",IF(AND($G575&gt;=30,$AT$3&lt;=BI$7),ROUND(BI575*($AP$3+#REF!),-1),""))</f>
        <v/>
      </c>
      <c r="BK575" s="503" t="s">
        <v>621</v>
      </c>
      <c r="BL575" s="503" t="str">
        <f>IF($G575="","",IF(AND($G575&gt;=30,$AT$3&lt;=BK$7),ROUND(BK575*($AP$3+#REF!),-1),""))</f>
        <v/>
      </c>
      <c r="BM575" s="503" t="s">
        <v>621</v>
      </c>
      <c r="BN575" s="503" t="str">
        <f>IF($G575="","",IF(AND($G575&gt;=30,$AT$3&lt;=BM$7),ROUND(BM575*($AP$3+#REF!),-1),""))</f>
        <v/>
      </c>
      <c r="BO575" s="503" t="s">
        <v>621</v>
      </c>
      <c r="BP575" s="503" t="str">
        <f>IF($G575="","",IF(AND($G575&gt;=30,$AT$3&lt;=BO$7),ROUND(BO575*($AP$3+#REF!),-1),""))</f>
        <v/>
      </c>
      <c r="BQ575" s="503" t="s">
        <v>621</v>
      </c>
      <c r="BR575" s="503" t="str">
        <f>IF($G575="","",IF(AND($G575&gt;=30,$AT$3&lt;=BQ$7),ROUND(BQ575*($AP$3+#REF!),-1),""))</f>
        <v/>
      </c>
      <c r="BS575" s="503" t="s">
        <v>621</v>
      </c>
      <c r="BT575" s="503" t="str">
        <f>IF($G575="","",IF(AND($G575&gt;=30,$AT$3&lt;=BS$7),ROUND(BS575*($AP$3+#REF!),-1),""))</f>
        <v/>
      </c>
      <c r="BU575" s="503" t="s">
        <v>621</v>
      </c>
      <c r="BV575" s="503" t="str">
        <f>IF($G575="","",IF(AND($G575&gt;=30,$AT$3&lt;=BU$7),ROUND(BU575*($AP$3+#REF!),-1),""))</f>
        <v/>
      </c>
      <c r="BW575" s="503" t="s">
        <v>621</v>
      </c>
      <c r="BX575" s="503" t="str">
        <f>IF($G575="","",IF(AND($G575&gt;=30,$AT$3&lt;=BW$7),ROUND(BW575*($AP$3+#REF!),-1),""))</f>
        <v/>
      </c>
      <c r="BY575" s="503" t="s">
        <v>621</v>
      </c>
      <c r="BZ575" s="503" t="str">
        <f>IF($G575="","",IF(AND($G575&gt;=30,$AT$3&lt;=BY$7),ROUND(BY575*($AP$3+#REF!),-1),""))</f>
        <v/>
      </c>
      <c r="CA575" s="503" t="s">
        <v>621</v>
      </c>
      <c r="CB575" s="503" t="str">
        <f>IF($G575="","",IF(AND($G575&gt;=30,$AT$3&lt;=CA$7),ROUND(CA575*($AP$3+#REF!),-1),""))</f>
        <v/>
      </c>
      <c r="CC575" s="503" t="s">
        <v>621</v>
      </c>
      <c r="CD575" s="503" t="str">
        <f>IF($G575="","",IF(AND($G575&gt;=30,$AT$3&lt;=CC$7),ROUND(CC575*($AP$3+#REF!),-1),""))</f>
        <v/>
      </c>
      <c r="CE575" s="503" t="s">
        <v>621</v>
      </c>
      <c r="CF575" s="503" t="str">
        <f>IF($G575="","",IF(AND($G575&gt;=30,$AT$3&lt;=CE$7),ROUND(CE575*($AP$3+#REF!),-1),""))</f>
        <v/>
      </c>
      <c r="CG575" s="503" t="s">
        <v>621</v>
      </c>
      <c r="CH575" s="503" t="str">
        <f>IF($G575="","",IF(AND($G575&gt;=30,$AT$3&lt;=CG$7),ROUND(CG575*($AP$3+#REF!),-1),""))</f>
        <v/>
      </c>
      <c r="CI575" s="503" t="s">
        <v>621</v>
      </c>
      <c r="CJ575" s="503" t="str">
        <f>IF($G575="","",IF(AND($G575&gt;=30,$AT$3&lt;=CI$7),ROUND(CI575*($AP$3+#REF!),-1),""))</f>
        <v/>
      </c>
      <c r="CK575" s="503" t="s">
        <v>621</v>
      </c>
      <c r="CL575" s="503" t="str">
        <f>IF($G575="","",IF(AND($G575&gt;=30,$AT$3&lt;=CK$7),ROUND(CK575*($AP$3+#REF!),-1),""))</f>
        <v/>
      </c>
      <c r="CM575" s="503" t="s">
        <v>621</v>
      </c>
      <c r="CN575" s="503" t="str">
        <f>IF($G575="","",IF(AND($G575&gt;=30,$AT$3&lt;=CM$7),ROUND(CM575*($AP$3+#REF!),-1),""))</f>
        <v/>
      </c>
      <c r="CO575" s="503" t="s">
        <v>621</v>
      </c>
      <c r="CP575" s="503" t="str">
        <f>IF($G575="","",IF(AND($G575&gt;=30,$AT$3&lt;=CO$7),ROUND(CO575*($AP$3+#REF!),-1),""))</f>
        <v/>
      </c>
      <c r="CQ575" s="503" t="s">
        <v>621</v>
      </c>
      <c r="CR575" s="503" t="str">
        <f>IF($G575="","",IF(AND($G575&gt;=30,$AT$3&lt;=CQ$7),ROUND(CQ575*($AP$3+#REF!),-1),""))</f>
        <v/>
      </c>
      <c r="CS575" s="503" t="s">
        <v>621</v>
      </c>
      <c r="CT575" s="503" t="str">
        <f>IF($G575="","",IF(AND($G575&gt;=30,$AT$3&lt;=CS$7),ROUND(CS575*($AP$3+#REF!),-1),""))</f>
        <v/>
      </c>
      <c r="CU575" s="503" t="s">
        <v>621</v>
      </c>
      <c r="CV575" s="503" t="str">
        <f>IF($G575="","",IF(AND($G575&gt;=30,$AT$3&lt;=CU$7),ROUND(CU575*($AP$3+#REF!),-1),""))</f>
        <v/>
      </c>
      <c r="CW575" s="503" t="s">
        <v>621</v>
      </c>
      <c r="CX575" s="503" t="str">
        <f>IF($G575="","",IF(AND($G575&gt;=30,$AT$3&lt;=CW$7),ROUND(CW575*($AP$3+#REF!),-1),""))</f>
        <v/>
      </c>
      <c r="CY575" s="503" t="s">
        <v>621</v>
      </c>
      <c r="CZ575" s="503" t="str">
        <f>IF($G575="","",IF(AND($G575&gt;=30,$AT$3&lt;=CY$7),ROUND(CY575*($AP$3+#REF!),-1),""))</f>
        <v/>
      </c>
      <c r="DA575" s="503" t="s">
        <v>621</v>
      </c>
      <c r="DB575" s="503" t="str">
        <f>IF($G575="","",IF(AND($G575&gt;=30,$AT$3&lt;=DA$7),ROUND(DA575*($AP$3+#REF!),-1),""))</f>
        <v/>
      </c>
      <c r="DC575" s="503" t="s">
        <v>621</v>
      </c>
      <c r="DD575" s="503" t="str">
        <f>IF($G575="","",IF(AND($G575&gt;=30,$AT$3&lt;=DC$7),ROUND(DC575*($AP$3+#REF!),-1),""))</f>
        <v/>
      </c>
      <c r="DE575" s="503" t="s">
        <v>621</v>
      </c>
      <c r="DF575" s="503" t="str">
        <f>IF($G575="","",IF(AND($G575&gt;=30,$AT$3&lt;=DE$7),ROUND(DE575*($AP$3+#REF!),-1),""))</f>
        <v/>
      </c>
      <c r="DG575" s="503" t="s">
        <v>621</v>
      </c>
      <c r="DH575" s="503" t="str">
        <f>IF($G575="","",IF(AND($G575&gt;=30,$AT$3&lt;=DG$7),ROUND(DG575*($AP$3+#REF!),-1),""))</f>
        <v/>
      </c>
      <c r="DI575" s="503" t="s">
        <v>621</v>
      </c>
      <c r="DJ575" s="503" t="str">
        <f>IF($G575="","",IF(AND($G575&gt;=30,$AT$3&lt;=DI$7),ROUND(DI575*($AP$3+#REF!),-1),""))</f>
        <v/>
      </c>
      <c r="DK575" s="503" t="s">
        <v>621</v>
      </c>
      <c r="DL575" s="503" t="str">
        <f>IF($G575="","",IF(AND($G575&gt;=30,$AT$3&lt;=DK$7),ROUND(DK575*($AP$3+#REF!),-1),""))</f>
        <v/>
      </c>
      <c r="DM575" s="503" t="s">
        <v>621</v>
      </c>
      <c r="DN575" s="503" t="str">
        <f>IF($G575="","",IF(AND($G575&gt;=30,$AT$3&lt;=DM$7),ROUND(DM575*($AP$3+#REF!),-1),""))</f>
        <v/>
      </c>
      <c r="DO575" s="503" t="s">
        <v>621</v>
      </c>
      <c r="DP575" s="503" t="str">
        <f>IF($G575="","",IF(AND($G575&gt;=30,$AT$3&lt;=DO$7),ROUND(DO575*($AP$3+#REF!),-1),""))</f>
        <v/>
      </c>
      <c r="DQ575" s="503" t="s">
        <v>621</v>
      </c>
      <c r="DR575" s="503" t="str">
        <f>IF($G575="","",IF(AND($G575&gt;=30,$AT$3&lt;=DQ$7),ROUND(DQ575*($AP$3+#REF!),-1),""))</f>
        <v/>
      </c>
      <c r="DS575" s="503" t="s">
        <v>621</v>
      </c>
      <c r="DT575" s="503" t="str">
        <f>IF($G575="","",IF(AND($G575&gt;=30,$AT$3&lt;=DS$7),ROUND(DS575*($AP$3+#REF!),-1),""))</f>
        <v/>
      </c>
      <c r="DU575" s="503" t="s">
        <v>621</v>
      </c>
      <c r="DV575" s="503" t="str">
        <f>IF($G575="","",IF(AND($G575&gt;=30,$AT$3&lt;=DU$7),ROUND(DU575*($AP$3+#REF!),-1),""))</f>
        <v/>
      </c>
      <c r="DW575" s="517" t="e">
        <v>#REF!</v>
      </c>
      <c r="DX575" s="503" t="str">
        <f>IF($G575="","",IF(AND($G575&gt;=30,$AT$3&lt;=DW$7),ROUND(DW575*($AP$3+#REF!),-1),""))</f>
        <v/>
      </c>
      <c r="DY575" s="503"/>
      <c r="DZ575" s="503" t="str">
        <f>IF($G575="","",IF(AND($G575&gt;=30,$AT$3&lt;=DY$7),ROUND(DY575*($AP$3+#REF!),-1),""))</f>
        <v/>
      </c>
      <c r="EA575" s="503"/>
      <c r="EB575" s="503" t="str">
        <f>IF($G575="","",IF(AND($G575&gt;=30,$AT$3&lt;=EA$7),ROUND(EA575*($AP$3+#REF!),-1),""))</f>
        <v/>
      </c>
      <c r="EC575" s="436"/>
      <c r="ED575" s="436"/>
      <c r="EE575" s="394"/>
    </row>
    <row r="576" spans="1:135" ht="9.75" customHeight="1">
      <c r="A576" s="321" t="str">
        <f t="shared" si="138"/>
        <v/>
      </c>
      <c r="B576" s="567">
        <f>(ii!$D$13*12+V576)+1</f>
        <v>470</v>
      </c>
      <c r="C576" s="337">
        <f t="shared" si="128"/>
        <v>59656</v>
      </c>
      <c r="D576" s="484">
        <f t="shared" si="131"/>
        <v>2063</v>
      </c>
      <c r="E576" s="484">
        <f t="shared" si="129"/>
        <v>0.33333333333333331</v>
      </c>
      <c r="F576" s="484">
        <f t="shared" si="132"/>
        <v>2063.3333333333335</v>
      </c>
      <c r="G576" s="485" t="str">
        <f>IF(OR(C576&lt;$I$2,C576&gt;$J$3),"",(ii!$D$13*12+V576+1)/12)</f>
        <v/>
      </c>
      <c r="H576" s="486"/>
      <c r="I576" s="486"/>
      <c r="J576" s="487"/>
      <c r="K576" s="488"/>
      <c r="L576" s="548"/>
      <c r="M576" s="489" t="str">
        <f t="shared" si="133"/>
        <v/>
      </c>
      <c r="N576" s="490" t="s">
        <v>621</v>
      </c>
      <c r="O576" s="490" t="str">
        <f t="shared" si="126"/>
        <v/>
      </c>
      <c r="P576" s="491"/>
      <c r="Q576" s="491"/>
      <c r="R576" s="491" t="str">
        <f t="shared" si="127"/>
        <v/>
      </c>
      <c r="S576" s="528" t="str">
        <f t="shared" ref="S576:S608" si="139">IF(G576="","",SUM(AF576:EB576))</f>
        <v/>
      </c>
      <c r="T576" s="528" t="str">
        <f t="shared" si="137"/>
        <v/>
      </c>
      <c r="U576" s="493" t="str">
        <f>IF(H576="","",#REF!*12+#REF!+#REF!*12+#REF!)</f>
        <v/>
      </c>
      <c r="V576" s="338">
        <f>IF(ii!$J$3&gt;gg!C576,"",IF(AND((YEAR(C576)=YEAR($I$2)),MONTH(C576)=MONTH($I$2)),ii!$B$14*12+ii!$C$14+ii!$B$15*12+ii!$C$15-1,V575+1))</f>
        <v>469</v>
      </c>
      <c r="W576" s="339">
        <f t="shared" si="130"/>
        <v>39.083333333333336</v>
      </c>
      <c r="X576" s="494" t="s">
        <v>621</v>
      </c>
      <c r="Y576" s="495" t="s">
        <v>621</v>
      </c>
      <c r="Z576" s="496"/>
      <c r="AA576" s="497"/>
      <c r="AB576" s="498" t="str">
        <f t="shared" si="136"/>
        <v/>
      </c>
      <c r="AC576" s="484" t="str">
        <f t="shared" si="134"/>
        <v/>
      </c>
      <c r="AD576" s="495" t="str">
        <f t="shared" si="135"/>
        <v/>
      </c>
      <c r="AE576" s="499" t="s">
        <v>621</v>
      </c>
      <c r="AF576" s="500" t="s">
        <v>621</v>
      </c>
      <c r="AG576" s="556" t="s">
        <v>621</v>
      </c>
      <c r="AH576" s="503" t="str">
        <f>IF($G576="","",IF(AND($G576&gt;=30,$AT$3&lt;=AG$7),ROUND(AG576*($AP$3+#REF!),-1),""))</f>
        <v/>
      </c>
      <c r="AI576" s="506" t="s">
        <v>621</v>
      </c>
      <c r="AJ576" s="503" t="str">
        <f>IF($G576="","",IF(AND($G576&gt;=30,$AT$3&lt;=AI$7),ROUND(AI576*($AP$3+#REF!),-1),""))</f>
        <v/>
      </c>
      <c r="AK576" s="506" t="s">
        <v>621</v>
      </c>
      <c r="AL576" s="503" t="str">
        <f>IF($G576="","",IF(AND($G576&gt;=30,$AT$3&lt;=AK$7),ROUND(AK576*($AP$3+#REF!),-1),""))</f>
        <v/>
      </c>
      <c r="AM576" s="506" t="s">
        <v>621</v>
      </c>
      <c r="AN576" s="503" t="str">
        <f>IF($G576="","",IF(AND($G576&gt;=30,$AT$3&lt;=AM$7),ROUND(AM576*($AP$3+#REF!),-1),""))</f>
        <v/>
      </c>
      <c r="AO576" s="503" t="e">
        <v>#REF!</v>
      </c>
      <c r="AP576" s="503" t="str">
        <f>IF($G576="","",IF(AND($G576&gt;=30,$AT$3&lt;=AO$7),ROUND(AO576*($AP$3+#REF!),-1),""))</f>
        <v/>
      </c>
      <c r="AQ576" s="503" t="s">
        <v>621</v>
      </c>
      <c r="AR576" s="503" t="str">
        <f>IF($G576="","",IF(AND($G576&gt;=30,$AT$3&lt;=AQ$7),ROUND(AQ576*($AP$3+#REF!),-1),""))</f>
        <v/>
      </c>
      <c r="AS576" s="503" t="s">
        <v>621</v>
      </c>
      <c r="AT576" s="503" t="str">
        <f>IF($G576="","",IF(AND($G576&gt;=30,$AT$3&lt;=AS$7),ROUND(AS576*($AP$3+#REF!),-1),""))</f>
        <v/>
      </c>
      <c r="AU576" s="503" t="s">
        <v>621</v>
      </c>
      <c r="AV576" s="503" t="str">
        <f>IF($G576="","",IF(AND($G576&gt;=30,$AT$3&lt;=AU$7),ROUND(AU576*($AP$3+#REF!),-1),""))</f>
        <v/>
      </c>
      <c r="AW576" s="503" t="s">
        <v>621</v>
      </c>
      <c r="AX576" s="503" t="str">
        <f>IF($G576="","",IF(AND($G576&gt;=30,$AT$3&lt;=AW$7),ROUND(AW576*($AP$3+#REF!),-1),""))</f>
        <v/>
      </c>
      <c r="AY576" s="503" t="s">
        <v>621</v>
      </c>
      <c r="AZ576" s="503" t="str">
        <f>IF($G576="","",IF(AND($G576&gt;=30,$AT$3&lt;=AY$7),ROUND(AY576*($AP$3+#REF!),-1),""))</f>
        <v/>
      </c>
      <c r="BA576" s="503" t="s">
        <v>621</v>
      </c>
      <c r="BB576" s="503" t="str">
        <f>IF($G576="","",IF(AND($G576&gt;=30,$AT$3&lt;=BA$7),ROUND(BA576*($AP$3+#REF!),-1),""))</f>
        <v/>
      </c>
      <c r="BC576" s="503" t="s">
        <v>621</v>
      </c>
      <c r="BD576" s="503" t="str">
        <f>IF($G576="","",IF(AND($G576&gt;=30,$AT$3&lt;=BC$7),ROUND(BC576*($AP$3+#REF!),-1),""))</f>
        <v/>
      </c>
      <c r="BE576" s="503" t="s">
        <v>621</v>
      </c>
      <c r="BF576" s="503" t="str">
        <f>IF($G576="","",IF(AND($G576&gt;=30,$AT$3&lt;=BE$7),ROUND(BE576*($AP$3+#REF!),-1),""))</f>
        <v/>
      </c>
      <c r="BG576" s="503" t="s">
        <v>621</v>
      </c>
      <c r="BH576" s="503" t="str">
        <f>IF($G576="","",IF(AND($G576&gt;=30,$AT$3&lt;=BG$7),ROUND(BG576*($AP$3+#REF!),-1),""))</f>
        <v/>
      </c>
      <c r="BI576" s="503" t="s">
        <v>621</v>
      </c>
      <c r="BJ576" s="503" t="str">
        <f>IF($G576="","",IF(AND($G576&gt;=30,$AT$3&lt;=BI$7),ROUND(BI576*($AP$3+#REF!),-1),""))</f>
        <v/>
      </c>
      <c r="BK576" s="503" t="s">
        <v>621</v>
      </c>
      <c r="BL576" s="503" t="str">
        <f>IF($G576="","",IF(AND($G576&gt;=30,$AT$3&lt;=BK$7),ROUND(BK576*($AP$3+#REF!),-1),""))</f>
        <v/>
      </c>
      <c r="BM576" s="503" t="s">
        <v>621</v>
      </c>
      <c r="BN576" s="503" t="str">
        <f>IF($G576="","",IF(AND($G576&gt;=30,$AT$3&lt;=BM$7),ROUND(BM576*($AP$3+#REF!),-1),""))</f>
        <v/>
      </c>
      <c r="BO576" s="503" t="s">
        <v>621</v>
      </c>
      <c r="BP576" s="503" t="str">
        <f>IF($G576="","",IF(AND($G576&gt;=30,$AT$3&lt;=BO$7),ROUND(BO576*($AP$3+#REF!),-1),""))</f>
        <v/>
      </c>
      <c r="BQ576" s="503" t="s">
        <v>621</v>
      </c>
      <c r="BR576" s="503" t="str">
        <f>IF($G576="","",IF(AND($G576&gt;=30,$AT$3&lt;=BQ$7),ROUND(BQ576*($AP$3+#REF!),-1),""))</f>
        <v/>
      </c>
      <c r="BS576" s="503" t="s">
        <v>621</v>
      </c>
      <c r="BT576" s="503" t="str">
        <f>IF($G576="","",IF(AND($G576&gt;=30,$AT$3&lt;=BS$7),ROUND(BS576*($AP$3+#REF!),-1),""))</f>
        <v/>
      </c>
      <c r="BU576" s="503" t="s">
        <v>621</v>
      </c>
      <c r="BV576" s="503" t="str">
        <f>IF($G576="","",IF(AND($G576&gt;=30,$AT$3&lt;=BU$7),ROUND(BU576*($AP$3+#REF!),-1),""))</f>
        <v/>
      </c>
      <c r="BW576" s="503" t="s">
        <v>621</v>
      </c>
      <c r="BX576" s="503" t="str">
        <f>IF($G576="","",IF(AND($G576&gt;=30,$AT$3&lt;=BW$7),ROUND(BW576*($AP$3+#REF!),-1),""))</f>
        <v/>
      </c>
      <c r="BY576" s="503" t="s">
        <v>621</v>
      </c>
      <c r="BZ576" s="503" t="str">
        <f>IF($G576="","",IF(AND($G576&gt;=30,$AT$3&lt;=BY$7),ROUND(BY576*($AP$3+#REF!),-1),""))</f>
        <v/>
      </c>
      <c r="CA576" s="503" t="s">
        <v>621</v>
      </c>
      <c r="CB576" s="503" t="str">
        <f>IF($G576="","",IF(AND($G576&gt;=30,$AT$3&lt;=CA$7),ROUND(CA576*($AP$3+#REF!),-1),""))</f>
        <v/>
      </c>
      <c r="CC576" s="503" t="s">
        <v>621</v>
      </c>
      <c r="CD576" s="503" t="str">
        <f>IF($G576="","",IF(AND($G576&gt;=30,$AT$3&lt;=CC$7),ROUND(CC576*($AP$3+#REF!),-1),""))</f>
        <v/>
      </c>
      <c r="CE576" s="503" t="s">
        <v>621</v>
      </c>
      <c r="CF576" s="503" t="str">
        <f>IF($G576="","",IF(AND($G576&gt;=30,$AT$3&lt;=CE$7),ROUND(CE576*($AP$3+#REF!),-1),""))</f>
        <v/>
      </c>
      <c r="CG576" s="503" t="s">
        <v>621</v>
      </c>
      <c r="CH576" s="503" t="str">
        <f>IF($G576="","",IF(AND($G576&gt;=30,$AT$3&lt;=CG$7),ROUND(CG576*($AP$3+#REF!),-1),""))</f>
        <v/>
      </c>
      <c r="CI576" s="503" t="s">
        <v>621</v>
      </c>
      <c r="CJ576" s="503" t="str">
        <f>IF($G576="","",IF(AND($G576&gt;=30,$AT$3&lt;=CI$7),ROUND(CI576*($AP$3+#REF!),-1),""))</f>
        <v/>
      </c>
      <c r="CK576" s="503" t="s">
        <v>621</v>
      </c>
      <c r="CL576" s="503" t="str">
        <f>IF($G576="","",IF(AND($G576&gt;=30,$AT$3&lt;=CK$7),ROUND(CK576*($AP$3+#REF!),-1),""))</f>
        <v/>
      </c>
      <c r="CM576" s="503" t="s">
        <v>621</v>
      </c>
      <c r="CN576" s="503" t="str">
        <f>IF($G576="","",IF(AND($G576&gt;=30,$AT$3&lt;=CM$7),ROUND(CM576*($AP$3+#REF!),-1),""))</f>
        <v/>
      </c>
      <c r="CO576" s="503" t="s">
        <v>621</v>
      </c>
      <c r="CP576" s="503" t="str">
        <f>IF($G576="","",IF(AND($G576&gt;=30,$AT$3&lt;=CO$7),ROUND(CO576*($AP$3+#REF!),-1),""))</f>
        <v/>
      </c>
      <c r="CQ576" s="503" t="s">
        <v>621</v>
      </c>
      <c r="CR576" s="503" t="str">
        <f>IF($G576="","",IF(AND($G576&gt;=30,$AT$3&lt;=CQ$7),ROUND(CQ576*($AP$3+#REF!),-1),""))</f>
        <v/>
      </c>
      <c r="CS576" s="503" t="s">
        <v>621</v>
      </c>
      <c r="CT576" s="503" t="str">
        <f>IF($G576="","",IF(AND($G576&gt;=30,$AT$3&lt;=CS$7),ROUND(CS576*($AP$3+#REF!),-1),""))</f>
        <v/>
      </c>
      <c r="CU576" s="503" t="s">
        <v>621</v>
      </c>
      <c r="CV576" s="503" t="str">
        <f>IF($G576="","",IF(AND($G576&gt;=30,$AT$3&lt;=CU$7),ROUND(CU576*($AP$3+#REF!),-1),""))</f>
        <v/>
      </c>
      <c r="CW576" s="503" t="s">
        <v>621</v>
      </c>
      <c r="CX576" s="503" t="str">
        <f>IF($G576="","",IF(AND($G576&gt;=30,$AT$3&lt;=CW$7),ROUND(CW576*($AP$3+#REF!),-1),""))</f>
        <v/>
      </c>
      <c r="CY576" s="503" t="s">
        <v>621</v>
      </c>
      <c r="CZ576" s="503" t="str">
        <f>IF($G576="","",IF(AND($G576&gt;=30,$AT$3&lt;=CY$7),ROUND(CY576*($AP$3+#REF!),-1),""))</f>
        <v/>
      </c>
      <c r="DA576" s="503" t="s">
        <v>621</v>
      </c>
      <c r="DB576" s="503" t="str">
        <f>IF($G576="","",IF(AND($G576&gt;=30,$AT$3&lt;=DA$7),ROUND(DA576*($AP$3+#REF!),-1),""))</f>
        <v/>
      </c>
      <c r="DC576" s="503" t="s">
        <v>621</v>
      </c>
      <c r="DD576" s="503" t="str">
        <f>IF($G576="","",IF(AND($G576&gt;=30,$AT$3&lt;=DC$7),ROUND(DC576*($AP$3+#REF!),-1),""))</f>
        <v/>
      </c>
      <c r="DE576" s="503" t="s">
        <v>621</v>
      </c>
      <c r="DF576" s="503" t="str">
        <f>IF($G576="","",IF(AND($G576&gt;=30,$AT$3&lt;=DE$7),ROUND(DE576*($AP$3+#REF!),-1),""))</f>
        <v/>
      </c>
      <c r="DG576" s="503" t="s">
        <v>621</v>
      </c>
      <c r="DH576" s="503" t="str">
        <f>IF($G576="","",IF(AND($G576&gt;=30,$AT$3&lt;=DG$7),ROUND(DG576*($AP$3+#REF!),-1),""))</f>
        <v/>
      </c>
      <c r="DI576" s="503" t="s">
        <v>621</v>
      </c>
      <c r="DJ576" s="503" t="str">
        <f>IF($G576="","",IF(AND($G576&gt;=30,$AT$3&lt;=DI$7),ROUND(DI576*($AP$3+#REF!),-1),""))</f>
        <v/>
      </c>
      <c r="DK576" s="503" t="s">
        <v>621</v>
      </c>
      <c r="DL576" s="503" t="str">
        <f>IF($G576="","",IF(AND($G576&gt;=30,$AT$3&lt;=DK$7),ROUND(DK576*($AP$3+#REF!),-1),""))</f>
        <v/>
      </c>
      <c r="DM576" s="503" t="s">
        <v>621</v>
      </c>
      <c r="DN576" s="503" t="str">
        <f>IF($G576="","",IF(AND($G576&gt;=30,$AT$3&lt;=DM$7),ROUND(DM576*($AP$3+#REF!),-1),""))</f>
        <v/>
      </c>
      <c r="DO576" s="503" t="s">
        <v>621</v>
      </c>
      <c r="DP576" s="503" t="str">
        <f>IF($G576="","",IF(AND($G576&gt;=30,$AT$3&lt;=DO$7),ROUND(DO576*($AP$3+#REF!),-1),""))</f>
        <v/>
      </c>
      <c r="DQ576" s="503" t="s">
        <v>621</v>
      </c>
      <c r="DR576" s="503" t="str">
        <f>IF($G576="","",IF(AND($G576&gt;=30,$AT$3&lt;=DQ$7),ROUND(DQ576*($AP$3+#REF!),-1),""))</f>
        <v/>
      </c>
      <c r="DS576" s="503" t="s">
        <v>621</v>
      </c>
      <c r="DT576" s="503" t="str">
        <f>IF($G576="","",IF(AND($G576&gt;=30,$AT$3&lt;=DS$7),ROUND(DS576*($AP$3+#REF!),-1),""))</f>
        <v/>
      </c>
      <c r="DU576" s="503" t="s">
        <v>621</v>
      </c>
      <c r="DV576" s="503" t="str">
        <f>IF($G576="","",IF(AND($G576&gt;=30,$AT$3&lt;=DU$7),ROUND(DU576*($AP$3+#REF!),-1),""))</f>
        <v/>
      </c>
      <c r="DW576" s="517" t="e">
        <v>#REF!</v>
      </c>
      <c r="DX576" s="503" t="str">
        <f>IF($G576="","",IF(AND($G576&gt;=30,$AT$3&lt;=DW$7),ROUND(DW576*($AP$3+#REF!),-1),""))</f>
        <v/>
      </c>
      <c r="DY576" s="503"/>
      <c r="DZ576" s="503" t="str">
        <f>IF($G576="","",IF(AND($G576&gt;=30,$AT$3&lt;=DY$7),ROUND(DY576*($AP$3+#REF!),-1),""))</f>
        <v/>
      </c>
      <c r="EA576" s="503"/>
      <c r="EB576" s="503" t="str">
        <f>IF($G576="","",IF(AND($G576&gt;=30,$AT$3&lt;=EA$7),ROUND(EA576*($AP$3+#REF!),-1),""))</f>
        <v/>
      </c>
      <c r="EC576" s="436"/>
      <c r="ED576" s="436"/>
      <c r="EE576" s="394"/>
    </row>
    <row r="577" spans="1:135" ht="9.75" customHeight="1">
      <c r="A577" s="321" t="str">
        <f t="shared" si="138"/>
        <v/>
      </c>
      <c r="B577" s="567">
        <f>(ii!$D$13*12+V577)+1</f>
        <v>471</v>
      </c>
      <c r="C577" s="337">
        <f t="shared" si="128"/>
        <v>59687</v>
      </c>
      <c r="D577" s="484">
        <f t="shared" si="131"/>
        <v>2063</v>
      </c>
      <c r="E577" s="484">
        <f t="shared" si="129"/>
        <v>0.41666666666666669</v>
      </c>
      <c r="F577" s="484">
        <f t="shared" si="132"/>
        <v>2063.4166666666665</v>
      </c>
      <c r="G577" s="485" t="str">
        <f>IF(OR(C577&lt;$I$2,C577&gt;$J$3),"",(ii!$D$13*12+V577+1)/12)</f>
        <v/>
      </c>
      <c r="H577" s="486"/>
      <c r="I577" s="486"/>
      <c r="J577" s="507"/>
      <c r="K577" s="508"/>
      <c r="L577" s="548"/>
      <c r="M577" s="489" t="str">
        <f t="shared" si="133"/>
        <v/>
      </c>
      <c r="N577" s="490" t="s">
        <v>621</v>
      </c>
      <c r="O577" s="490" t="str">
        <f t="shared" si="126"/>
        <v/>
      </c>
      <c r="P577" s="507"/>
      <c r="Q577" s="507"/>
      <c r="R577" s="491" t="str">
        <f t="shared" si="127"/>
        <v/>
      </c>
      <c r="S577" s="528" t="str">
        <f t="shared" si="139"/>
        <v/>
      </c>
      <c r="T577" s="528" t="str">
        <f t="shared" si="137"/>
        <v/>
      </c>
      <c r="U577" s="493" t="str">
        <f>IF(H577="","",#REF!*12+#REF!+#REF!*12+#REF!)</f>
        <v/>
      </c>
      <c r="V577" s="338">
        <f>IF(ii!$J$3&gt;gg!C577,"",IF(AND((YEAR(C577)=YEAR($I$2)),MONTH(C577)=MONTH($I$2)),ii!$B$14*12+ii!$C$14+ii!$B$15*12+ii!$C$15-1,V576+1))</f>
        <v>470</v>
      </c>
      <c r="W577" s="339">
        <f t="shared" si="130"/>
        <v>39.166666666666664</v>
      </c>
      <c r="X577" s="494" t="s">
        <v>621</v>
      </c>
      <c r="Y577" s="495" t="s">
        <v>621</v>
      </c>
      <c r="Z577" s="496"/>
      <c r="AA577" s="497"/>
      <c r="AB577" s="498" t="str">
        <f t="shared" si="136"/>
        <v/>
      </c>
      <c r="AC577" s="484" t="str">
        <f t="shared" si="134"/>
        <v/>
      </c>
      <c r="AD577" s="495" t="str">
        <f t="shared" si="135"/>
        <v/>
      </c>
      <c r="AE577" s="499" t="s">
        <v>621</v>
      </c>
      <c r="AF577" s="500" t="s">
        <v>621</v>
      </c>
      <c r="AG577" s="556" t="s">
        <v>621</v>
      </c>
      <c r="AH577" s="503" t="str">
        <f>IF($G577="","",IF(AND($G577&gt;=30,$AT$3&lt;=AG$7),ROUND(AG577*($AP$3+#REF!),-1),""))</f>
        <v/>
      </c>
      <c r="AI577" s="506" t="s">
        <v>621</v>
      </c>
      <c r="AJ577" s="503" t="str">
        <f>IF($G577="","",IF(AND($G577&gt;=30,$AT$3&lt;=AI$7),ROUND(AI577*($AP$3+#REF!),-1),""))</f>
        <v/>
      </c>
      <c r="AK577" s="506" t="s">
        <v>621</v>
      </c>
      <c r="AL577" s="503" t="str">
        <f>IF($G577="","",IF(AND($G577&gt;=30,$AT$3&lt;=AK$7),ROUND(AK577*($AP$3+#REF!),-1),""))</f>
        <v/>
      </c>
      <c r="AM577" s="506" t="s">
        <v>621</v>
      </c>
      <c r="AN577" s="503" t="str">
        <f>IF($G577="","",IF(AND($G577&gt;=30,$AT$3&lt;=AM$7),ROUND(AM577*($AP$3+#REF!),-1),""))</f>
        <v/>
      </c>
      <c r="AO577" s="503" t="e">
        <v>#REF!</v>
      </c>
      <c r="AP577" s="503" t="str">
        <f>IF($G577="","",IF(AND($G577&gt;=30,$AT$3&lt;=AO$7),ROUND(AO577*($AP$3+#REF!),-1),""))</f>
        <v/>
      </c>
      <c r="AQ577" s="503" t="s">
        <v>621</v>
      </c>
      <c r="AR577" s="503" t="str">
        <f>IF($G577="","",IF(AND($G577&gt;=30,$AT$3&lt;=AQ$7),ROUND(AQ577*($AP$3+#REF!),-1),""))</f>
        <v/>
      </c>
      <c r="AS577" s="503" t="s">
        <v>621</v>
      </c>
      <c r="AT577" s="503" t="str">
        <f>IF($G577="","",IF(AND($G577&gt;=30,$AT$3&lt;=AS$7),ROUND(AS577*($AP$3+#REF!),-1),""))</f>
        <v/>
      </c>
      <c r="AU577" s="503" t="s">
        <v>621</v>
      </c>
      <c r="AV577" s="503" t="str">
        <f>IF($G577="","",IF(AND($G577&gt;=30,$AT$3&lt;=AU$7),ROUND(AU577*($AP$3+#REF!),-1),""))</f>
        <v/>
      </c>
      <c r="AW577" s="503" t="s">
        <v>621</v>
      </c>
      <c r="AX577" s="503" t="str">
        <f>IF($G577="","",IF(AND($G577&gt;=30,$AT$3&lt;=AW$7),ROUND(AW577*($AP$3+#REF!),-1),""))</f>
        <v/>
      </c>
      <c r="AY577" s="503" t="s">
        <v>621</v>
      </c>
      <c r="AZ577" s="503" t="str">
        <f>IF($G577="","",IF(AND($G577&gt;=30,$AT$3&lt;=AY$7),ROUND(AY577*($AP$3+#REF!),-1),""))</f>
        <v/>
      </c>
      <c r="BA577" s="503" t="s">
        <v>621</v>
      </c>
      <c r="BB577" s="503" t="str">
        <f>IF($G577="","",IF(AND($G577&gt;=30,$AT$3&lt;=BA$7),ROUND(BA577*($AP$3+#REF!),-1),""))</f>
        <v/>
      </c>
      <c r="BC577" s="503" t="s">
        <v>621</v>
      </c>
      <c r="BD577" s="503" t="str">
        <f>IF($G577="","",IF(AND($G577&gt;=30,$AT$3&lt;=BC$7),ROUND(BC577*($AP$3+#REF!),-1),""))</f>
        <v/>
      </c>
      <c r="BE577" s="503" t="s">
        <v>621</v>
      </c>
      <c r="BF577" s="503" t="str">
        <f>IF($G577="","",IF(AND($G577&gt;=30,$AT$3&lt;=BE$7),ROUND(BE577*($AP$3+#REF!),-1),""))</f>
        <v/>
      </c>
      <c r="BG577" s="503" t="s">
        <v>621</v>
      </c>
      <c r="BH577" s="503" t="str">
        <f>IF($G577="","",IF(AND($G577&gt;=30,$AT$3&lt;=BG$7),ROUND(BG577*($AP$3+#REF!),-1),""))</f>
        <v/>
      </c>
      <c r="BI577" s="503" t="s">
        <v>621</v>
      </c>
      <c r="BJ577" s="503" t="str">
        <f>IF($G577="","",IF(AND($G577&gt;=30,$AT$3&lt;=BI$7),ROUND(BI577*($AP$3+#REF!),-1),""))</f>
        <v/>
      </c>
      <c r="BK577" s="503" t="s">
        <v>621</v>
      </c>
      <c r="BL577" s="503" t="str">
        <f>IF($G577="","",IF(AND($G577&gt;=30,$AT$3&lt;=BK$7),ROUND(BK577*($AP$3+#REF!),-1),""))</f>
        <v/>
      </c>
      <c r="BM577" s="503" t="s">
        <v>621</v>
      </c>
      <c r="BN577" s="503" t="str">
        <f>IF($G577="","",IF(AND($G577&gt;=30,$AT$3&lt;=BM$7),ROUND(BM577*($AP$3+#REF!),-1),""))</f>
        <v/>
      </c>
      <c r="BO577" s="503" t="s">
        <v>621</v>
      </c>
      <c r="BP577" s="503" t="str">
        <f>IF($G577="","",IF(AND($G577&gt;=30,$AT$3&lt;=BO$7),ROUND(BO577*($AP$3+#REF!),-1),""))</f>
        <v/>
      </c>
      <c r="BQ577" s="503" t="s">
        <v>621</v>
      </c>
      <c r="BR577" s="503" t="str">
        <f>IF($G577="","",IF(AND($G577&gt;=30,$AT$3&lt;=BQ$7),ROUND(BQ577*($AP$3+#REF!),-1),""))</f>
        <v/>
      </c>
      <c r="BS577" s="503" t="s">
        <v>621</v>
      </c>
      <c r="BT577" s="503" t="str">
        <f>IF($G577="","",IF(AND($G577&gt;=30,$AT$3&lt;=BS$7),ROUND(BS577*($AP$3+#REF!),-1),""))</f>
        <v/>
      </c>
      <c r="BU577" s="503" t="s">
        <v>621</v>
      </c>
      <c r="BV577" s="503" t="str">
        <f>IF($G577="","",IF(AND($G577&gt;=30,$AT$3&lt;=BU$7),ROUND(BU577*($AP$3+#REF!),-1),""))</f>
        <v/>
      </c>
      <c r="BW577" s="503" t="s">
        <v>621</v>
      </c>
      <c r="BX577" s="503" t="str">
        <f>IF($G577="","",IF(AND($G577&gt;=30,$AT$3&lt;=BW$7),ROUND(BW577*($AP$3+#REF!),-1),""))</f>
        <v/>
      </c>
      <c r="BY577" s="503" t="s">
        <v>621</v>
      </c>
      <c r="BZ577" s="503" t="str">
        <f>IF($G577="","",IF(AND($G577&gt;=30,$AT$3&lt;=BY$7),ROUND(BY577*($AP$3+#REF!),-1),""))</f>
        <v/>
      </c>
      <c r="CA577" s="503" t="s">
        <v>621</v>
      </c>
      <c r="CB577" s="503" t="str">
        <f>IF($G577="","",IF(AND($G577&gt;=30,$AT$3&lt;=CA$7),ROUND(CA577*($AP$3+#REF!),-1),""))</f>
        <v/>
      </c>
      <c r="CC577" s="503" t="s">
        <v>621</v>
      </c>
      <c r="CD577" s="503" t="str">
        <f>IF($G577="","",IF(AND($G577&gt;=30,$AT$3&lt;=CC$7),ROUND(CC577*($AP$3+#REF!),-1),""))</f>
        <v/>
      </c>
      <c r="CE577" s="503" t="s">
        <v>621</v>
      </c>
      <c r="CF577" s="503" t="str">
        <f>IF($G577="","",IF(AND($G577&gt;=30,$AT$3&lt;=CE$7),ROUND(CE577*($AP$3+#REF!),-1),""))</f>
        <v/>
      </c>
      <c r="CG577" s="503" t="s">
        <v>621</v>
      </c>
      <c r="CH577" s="503" t="str">
        <f>IF($G577="","",IF(AND($G577&gt;=30,$AT$3&lt;=CG$7),ROUND(CG577*($AP$3+#REF!),-1),""))</f>
        <v/>
      </c>
      <c r="CI577" s="503" t="s">
        <v>621</v>
      </c>
      <c r="CJ577" s="503" t="str">
        <f>IF($G577="","",IF(AND($G577&gt;=30,$AT$3&lt;=CI$7),ROUND(CI577*($AP$3+#REF!),-1),""))</f>
        <v/>
      </c>
      <c r="CK577" s="503" t="s">
        <v>621</v>
      </c>
      <c r="CL577" s="503" t="str">
        <f>IF($G577="","",IF(AND($G577&gt;=30,$AT$3&lt;=CK$7),ROUND(CK577*($AP$3+#REF!),-1),""))</f>
        <v/>
      </c>
      <c r="CM577" s="503" t="s">
        <v>621</v>
      </c>
      <c r="CN577" s="503" t="str">
        <f>IF($G577="","",IF(AND($G577&gt;=30,$AT$3&lt;=CM$7),ROUND(CM577*($AP$3+#REF!),-1),""))</f>
        <v/>
      </c>
      <c r="CO577" s="503" t="s">
        <v>621</v>
      </c>
      <c r="CP577" s="503" t="str">
        <f>IF($G577="","",IF(AND($G577&gt;=30,$AT$3&lt;=CO$7),ROUND(CO577*($AP$3+#REF!),-1),""))</f>
        <v/>
      </c>
      <c r="CQ577" s="503" t="s">
        <v>621</v>
      </c>
      <c r="CR577" s="503" t="str">
        <f>IF($G577="","",IF(AND($G577&gt;=30,$AT$3&lt;=CQ$7),ROUND(CQ577*($AP$3+#REF!),-1),""))</f>
        <v/>
      </c>
      <c r="CS577" s="503" t="s">
        <v>621</v>
      </c>
      <c r="CT577" s="503" t="str">
        <f>IF($G577="","",IF(AND($G577&gt;=30,$AT$3&lt;=CS$7),ROUND(CS577*($AP$3+#REF!),-1),""))</f>
        <v/>
      </c>
      <c r="CU577" s="503" t="s">
        <v>621</v>
      </c>
      <c r="CV577" s="503" t="str">
        <f>IF($G577="","",IF(AND($G577&gt;=30,$AT$3&lt;=CU$7),ROUND(CU577*($AP$3+#REF!),-1),""))</f>
        <v/>
      </c>
      <c r="CW577" s="503" t="s">
        <v>621</v>
      </c>
      <c r="CX577" s="503" t="str">
        <f>IF($G577="","",IF(AND($G577&gt;=30,$AT$3&lt;=CW$7),ROUND(CW577*($AP$3+#REF!),-1),""))</f>
        <v/>
      </c>
      <c r="CY577" s="503" t="s">
        <v>621</v>
      </c>
      <c r="CZ577" s="503" t="str">
        <f>IF($G577="","",IF(AND($G577&gt;=30,$AT$3&lt;=CY$7),ROUND(CY577*($AP$3+#REF!),-1),""))</f>
        <v/>
      </c>
      <c r="DA577" s="503" t="s">
        <v>621</v>
      </c>
      <c r="DB577" s="503" t="str">
        <f>IF($G577="","",IF(AND($G577&gt;=30,$AT$3&lt;=DA$7),ROUND(DA577*($AP$3+#REF!),-1),""))</f>
        <v/>
      </c>
      <c r="DC577" s="503" t="s">
        <v>621</v>
      </c>
      <c r="DD577" s="503" t="str">
        <f>IF($G577="","",IF(AND($G577&gt;=30,$AT$3&lt;=DC$7),ROUND(DC577*($AP$3+#REF!),-1),""))</f>
        <v/>
      </c>
      <c r="DE577" s="503" t="s">
        <v>621</v>
      </c>
      <c r="DF577" s="503" t="str">
        <f>IF($G577="","",IF(AND($G577&gt;=30,$AT$3&lt;=DE$7),ROUND(DE577*($AP$3+#REF!),-1),""))</f>
        <v/>
      </c>
      <c r="DG577" s="503" t="s">
        <v>621</v>
      </c>
      <c r="DH577" s="503" t="str">
        <f>IF($G577="","",IF(AND($G577&gt;=30,$AT$3&lt;=DG$7),ROUND(DG577*($AP$3+#REF!),-1),""))</f>
        <v/>
      </c>
      <c r="DI577" s="503" t="s">
        <v>621</v>
      </c>
      <c r="DJ577" s="503" t="str">
        <f>IF($G577="","",IF(AND($G577&gt;=30,$AT$3&lt;=DI$7),ROUND(DI577*($AP$3+#REF!),-1),""))</f>
        <v/>
      </c>
      <c r="DK577" s="503" t="s">
        <v>621</v>
      </c>
      <c r="DL577" s="503" t="str">
        <f>IF($G577="","",IF(AND($G577&gt;=30,$AT$3&lt;=DK$7),ROUND(DK577*($AP$3+#REF!),-1),""))</f>
        <v/>
      </c>
      <c r="DM577" s="503" t="s">
        <v>621</v>
      </c>
      <c r="DN577" s="503" t="str">
        <f>IF($G577="","",IF(AND($G577&gt;=30,$AT$3&lt;=DM$7),ROUND(DM577*($AP$3+#REF!),-1),""))</f>
        <v/>
      </c>
      <c r="DO577" s="503" t="s">
        <v>621</v>
      </c>
      <c r="DP577" s="503" t="str">
        <f>IF($G577="","",IF(AND($G577&gt;=30,$AT$3&lt;=DO$7),ROUND(DO577*($AP$3+#REF!),-1),""))</f>
        <v/>
      </c>
      <c r="DQ577" s="503" t="s">
        <v>621</v>
      </c>
      <c r="DR577" s="503" t="str">
        <f>IF($G577="","",IF(AND($G577&gt;=30,$AT$3&lt;=DQ$7),ROUND(DQ577*($AP$3+#REF!),-1),""))</f>
        <v/>
      </c>
      <c r="DS577" s="503" t="s">
        <v>621</v>
      </c>
      <c r="DT577" s="503" t="str">
        <f>IF($G577="","",IF(AND($G577&gt;=30,$AT$3&lt;=DS$7),ROUND(DS577*($AP$3+#REF!),-1),""))</f>
        <v/>
      </c>
      <c r="DU577" s="503" t="s">
        <v>621</v>
      </c>
      <c r="DV577" s="503" t="str">
        <f>IF($G577="","",IF(AND($G577&gt;=30,$AT$3&lt;=DU$7),ROUND(DU577*($AP$3+#REF!),-1),""))</f>
        <v/>
      </c>
      <c r="DW577" s="517" t="e">
        <v>#REF!</v>
      </c>
      <c r="DX577" s="503" t="str">
        <f>IF($G577="","",IF(AND($G577&gt;=30,$AT$3&lt;=DW$7),ROUND(DW577*($AP$3+#REF!),-1),""))</f>
        <v/>
      </c>
      <c r="DY577" s="503"/>
      <c r="DZ577" s="503" t="str">
        <f>IF($G577="","",IF(AND($G577&gt;=30,$AT$3&lt;=DY$7),ROUND(DY577*($AP$3+#REF!),-1),""))</f>
        <v/>
      </c>
      <c r="EA577" s="503"/>
      <c r="EB577" s="503" t="str">
        <f>IF($G577="","",IF(AND($G577&gt;=30,$AT$3&lt;=EA$7),ROUND(EA577*($AP$3+#REF!),-1),""))</f>
        <v/>
      </c>
      <c r="EC577" s="436"/>
      <c r="ED577" s="436"/>
      <c r="EE577" s="394"/>
    </row>
    <row r="578" spans="1:135" ht="9.75" customHeight="1">
      <c r="A578" s="321" t="str">
        <f t="shared" si="138"/>
        <v/>
      </c>
      <c r="B578" s="567">
        <f>(ii!$D$13*12+V578)+1</f>
        <v>472</v>
      </c>
      <c r="C578" s="337">
        <f t="shared" si="128"/>
        <v>59717</v>
      </c>
      <c r="D578" s="484">
        <f t="shared" si="131"/>
        <v>2063</v>
      </c>
      <c r="E578" s="484">
        <f t="shared" si="129"/>
        <v>0.5</v>
      </c>
      <c r="F578" s="484">
        <f t="shared" si="132"/>
        <v>2063.5</v>
      </c>
      <c r="G578" s="485" t="str">
        <f>IF(OR(C578&lt;$I$2,C578&gt;$J$3),"",(ii!$D$13*12+V578+1)/12)</f>
        <v/>
      </c>
      <c r="H578" s="486"/>
      <c r="I578" s="486"/>
      <c r="J578" s="487"/>
      <c r="K578" s="488"/>
      <c r="L578" s="548"/>
      <c r="M578" s="489" t="str">
        <f t="shared" si="133"/>
        <v/>
      </c>
      <c r="N578" s="490" t="s">
        <v>621</v>
      </c>
      <c r="O578" s="490" t="str">
        <f t="shared" si="126"/>
        <v/>
      </c>
      <c r="P578" s="491"/>
      <c r="Q578" s="491"/>
      <c r="R578" s="491" t="str">
        <f t="shared" si="127"/>
        <v/>
      </c>
      <c r="S578" s="528" t="str">
        <f t="shared" si="139"/>
        <v/>
      </c>
      <c r="T578" s="528" t="str">
        <f t="shared" si="137"/>
        <v/>
      </c>
      <c r="U578" s="493" t="str">
        <f>IF(H578="","",#REF!*12+#REF!+#REF!*12+#REF!)</f>
        <v/>
      </c>
      <c r="V578" s="338">
        <f>IF(ii!$J$3&gt;gg!C578,"",IF(AND((YEAR(C578)=YEAR($I$2)),MONTH(C578)=MONTH($I$2)),ii!$B$14*12+ii!$C$14+ii!$B$15*12+ii!$C$15-1,V577+1))</f>
        <v>471</v>
      </c>
      <c r="W578" s="339">
        <f t="shared" si="130"/>
        <v>39.25</v>
      </c>
      <c r="X578" s="494" t="s">
        <v>621</v>
      </c>
      <c r="Y578" s="495" t="s">
        <v>621</v>
      </c>
      <c r="Z578" s="496"/>
      <c r="AA578" s="497"/>
      <c r="AB578" s="498" t="str">
        <f t="shared" si="136"/>
        <v/>
      </c>
      <c r="AC578" s="484" t="str">
        <f t="shared" si="134"/>
        <v/>
      </c>
      <c r="AD578" s="495" t="str">
        <f t="shared" si="135"/>
        <v/>
      </c>
      <c r="AE578" s="499" t="s">
        <v>621</v>
      </c>
      <c r="AF578" s="500" t="s">
        <v>621</v>
      </c>
      <c r="AG578" s="556" t="s">
        <v>621</v>
      </c>
      <c r="AH578" s="503" t="str">
        <f>IF($G578="","",IF(AND($G578&gt;=30,$AT$3&lt;=AG$7),ROUND(AG578*($AP$3+#REF!),-1),""))</f>
        <v/>
      </c>
      <c r="AI578" s="506" t="s">
        <v>621</v>
      </c>
      <c r="AJ578" s="503" t="str">
        <f>IF($G578="","",IF(AND($G578&gt;=30,$AT$3&lt;=AI$7),ROUND(AI578*($AP$3+#REF!),-1),""))</f>
        <v/>
      </c>
      <c r="AK578" s="506" t="s">
        <v>621</v>
      </c>
      <c r="AL578" s="503" t="str">
        <f>IF($G578="","",IF(AND($G578&gt;=30,$AT$3&lt;=AK$7),ROUND(AK578*($AP$3+#REF!),-1),""))</f>
        <v/>
      </c>
      <c r="AM578" s="506" t="s">
        <v>621</v>
      </c>
      <c r="AN578" s="503" t="str">
        <f>IF($G578="","",IF(AND($G578&gt;=30,$AT$3&lt;=AM$7),ROUND(AM578*($AP$3+#REF!),-1),""))</f>
        <v/>
      </c>
      <c r="AO578" s="503" t="e">
        <v>#REF!</v>
      </c>
      <c r="AP578" s="503" t="str">
        <f>IF($G578="","",IF(AND($G578&gt;=30,$AT$3&lt;=AO$7),ROUND(AO578*($AP$3+#REF!),-1),""))</f>
        <v/>
      </c>
      <c r="AQ578" s="503" t="s">
        <v>621</v>
      </c>
      <c r="AR578" s="503" t="str">
        <f>IF($G578="","",IF(AND($G578&gt;=30,$AT$3&lt;=AQ$7),ROUND(AQ578*($AP$3+#REF!),-1),""))</f>
        <v/>
      </c>
      <c r="AS578" s="503" t="s">
        <v>621</v>
      </c>
      <c r="AT578" s="503" t="str">
        <f>IF($G578="","",IF(AND($G578&gt;=30,$AT$3&lt;=AS$7),ROUND(AS578*($AP$3+#REF!),-1),""))</f>
        <v/>
      </c>
      <c r="AU578" s="503" t="s">
        <v>621</v>
      </c>
      <c r="AV578" s="503" t="str">
        <f>IF($G578="","",IF(AND($G578&gt;=30,$AT$3&lt;=AU$7),ROUND(AU578*($AP$3+#REF!),-1),""))</f>
        <v/>
      </c>
      <c r="AW578" s="503" t="s">
        <v>621</v>
      </c>
      <c r="AX578" s="503" t="str">
        <f>IF($G578="","",IF(AND($G578&gt;=30,$AT$3&lt;=AW$7),ROUND(AW578*($AP$3+#REF!),-1),""))</f>
        <v/>
      </c>
      <c r="AY578" s="503" t="s">
        <v>621</v>
      </c>
      <c r="AZ578" s="503" t="str">
        <f>IF($G578="","",IF(AND($G578&gt;=30,$AT$3&lt;=AY$7),ROUND(AY578*($AP$3+#REF!),-1),""))</f>
        <v/>
      </c>
      <c r="BA578" s="503" t="s">
        <v>621</v>
      </c>
      <c r="BB578" s="503" t="str">
        <f>IF($G578="","",IF(AND($G578&gt;=30,$AT$3&lt;=BA$7),ROUND(BA578*($AP$3+#REF!),-1),""))</f>
        <v/>
      </c>
      <c r="BC578" s="503" t="s">
        <v>621</v>
      </c>
      <c r="BD578" s="503" t="str">
        <f>IF($G578="","",IF(AND($G578&gt;=30,$AT$3&lt;=BC$7),ROUND(BC578*($AP$3+#REF!),-1),""))</f>
        <v/>
      </c>
      <c r="BE578" s="503" t="s">
        <v>621</v>
      </c>
      <c r="BF578" s="503" t="str">
        <f>IF($G578="","",IF(AND($G578&gt;=30,$AT$3&lt;=BE$7),ROUND(BE578*($AP$3+#REF!),-1),""))</f>
        <v/>
      </c>
      <c r="BG578" s="503" t="s">
        <v>621</v>
      </c>
      <c r="BH578" s="503" t="str">
        <f>IF($G578="","",IF(AND($G578&gt;=30,$AT$3&lt;=BG$7),ROUND(BG578*($AP$3+#REF!),-1),""))</f>
        <v/>
      </c>
      <c r="BI578" s="503" t="s">
        <v>621</v>
      </c>
      <c r="BJ578" s="503" t="str">
        <f>IF($G578="","",IF(AND($G578&gt;=30,$AT$3&lt;=BI$7),ROUND(BI578*($AP$3+#REF!),-1),""))</f>
        <v/>
      </c>
      <c r="BK578" s="503" t="s">
        <v>621</v>
      </c>
      <c r="BL578" s="503" t="str">
        <f>IF($G578="","",IF(AND($G578&gt;=30,$AT$3&lt;=BK$7),ROUND(BK578*($AP$3+#REF!),-1),""))</f>
        <v/>
      </c>
      <c r="BM578" s="503" t="s">
        <v>621</v>
      </c>
      <c r="BN578" s="503" t="str">
        <f>IF($G578="","",IF(AND($G578&gt;=30,$AT$3&lt;=BM$7),ROUND(BM578*($AP$3+#REF!),-1),""))</f>
        <v/>
      </c>
      <c r="BO578" s="503" t="s">
        <v>621</v>
      </c>
      <c r="BP578" s="503" t="str">
        <f>IF($G578="","",IF(AND($G578&gt;=30,$AT$3&lt;=BO$7),ROUND(BO578*($AP$3+#REF!),-1),""))</f>
        <v/>
      </c>
      <c r="BQ578" s="503" t="s">
        <v>621</v>
      </c>
      <c r="BR578" s="503" t="str">
        <f>IF($G578="","",IF(AND($G578&gt;=30,$AT$3&lt;=BQ$7),ROUND(BQ578*($AP$3+#REF!),-1),""))</f>
        <v/>
      </c>
      <c r="BS578" s="503" t="s">
        <v>621</v>
      </c>
      <c r="BT578" s="503" t="str">
        <f>IF($G578="","",IF(AND($G578&gt;=30,$AT$3&lt;=BS$7),ROUND(BS578*($AP$3+#REF!),-1),""))</f>
        <v/>
      </c>
      <c r="BU578" s="503" t="s">
        <v>621</v>
      </c>
      <c r="BV578" s="503" t="str">
        <f>IF($G578="","",IF(AND($G578&gt;=30,$AT$3&lt;=BU$7),ROUND(BU578*($AP$3+#REF!),-1),""))</f>
        <v/>
      </c>
      <c r="BW578" s="503" t="s">
        <v>621</v>
      </c>
      <c r="BX578" s="503" t="str">
        <f>IF($G578="","",IF(AND($G578&gt;=30,$AT$3&lt;=BW$7),ROUND(BW578*($AP$3+#REF!),-1),""))</f>
        <v/>
      </c>
      <c r="BY578" s="503" t="s">
        <v>621</v>
      </c>
      <c r="BZ578" s="503" t="str">
        <f>IF($G578="","",IF(AND($G578&gt;=30,$AT$3&lt;=BY$7),ROUND(BY578*($AP$3+#REF!),-1),""))</f>
        <v/>
      </c>
      <c r="CA578" s="503" t="s">
        <v>621</v>
      </c>
      <c r="CB578" s="503" t="str">
        <f>IF($G578="","",IF(AND($G578&gt;=30,$AT$3&lt;=CA$7),ROUND(CA578*($AP$3+#REF!),-1),""))</f>
        <v/>
      </c>
      <c r="CC578" s="503" t="s">
        <v>621</v>
      </c>
      <c r="CD578" s="503" t="str">
        <f>IF($G578="","",IF(AND($G578&gt;=30,$AT$3&lt;=CC$7),ROUND(CC578*($AP$3+#REF!),-1),""))</f>
        <v/>
      </c>
      <c r="CE578" s="503" t="s">
        <v>621</v>
      </c>
      <c r="CF578" s="503" t="str">
        <f>IF($G578="","",IF(AND($G578&gt;=30,$AT$3&lt;=CE$7),ROUND(CE578*($AP$3+#REF!),-1),""))</f>
        <v/>
      </c>
      <c r="CG578" s="503" t="s">
        <v>621</v>
      </c>
      <c r="CH578" s="503" t="str">
        <f>IF($G578="","",IF(AND($G578&gt;=30,$AT$3&lt;=CG$7),ROUND(CG578*($AP$3+#REF!),-1),""))</f>
        <v/>
      </c>
      <c r="CI578" s="503" t="s">
        <v>621</v>
      </c>
      <c r="CJ578" s="503" t="str">
        <f>IF($G578="","",IF(AND($G578&gt;=30,$AT$3&lt;=CI$7),ROUND(CI578*($AP$3+#REF!),-1),""))</f>
        <v/>
      </c>
      <c r="CK578" s="503" t="s">
        <v>621</v>
      </c>
      <c r="CL578" s="503" t="str">
        <f>IF($G578="","",IF(AND($G578&gt;=30,$AT$3&lt;=CK$7),ROUND(CK578*($AP$3+#REF!),-1),""))</f>
        <v/>
      </c>
      <c r="CM578" s="503" t="s">
        <v>621</v>
      </c>
      <c r="CN578" s="503" t="str">
        <f>IF($G578="","",IF(AND($G578&gt;=30,$AT$3&lt;=CM$7),ROUND(CM578*($AP$3+#REF!),-1),""))</f>
        <v/>
      </c>
      <c r="CO578" s="503" t="s">
        <v>621</v>
      </c>
      <c r="CP578" s="503" t="str">
        <f>IF($G578="","",IF(AND($G578&gt;=30,$AT$3&lt;=CO$7),ROUND(CO578*($AP$3+#REF!),-1),""))</f>
        <v/>
      </c>
      <c r="CQ578" s="503" t="s">
        <v>621</v>
      </c>
      <c r="CR578" s="503" t="str">
        <f>IF($G578="","",IF(AND($G578&gt;=30,$AT$3&lt;=CQ$7),ROUND(CQ578*($AP$3+#REF!),-1),""))</f>
        <v/>
      </c>
      <c r="CS578" s="503" t="s">
        <v>621</v>
      </c>
      <c r="CT578" s="503" t="str">
        <f>IF($G578="","",IF(AND($G578&gt;=30,$AT$3&lt;=CS$7),ROUND(CS578*($AP$3+#REF!),-1),""))</f>
        <v/>
      </c>
      <c r="CU578" s="503" t="s">
        <v>621</v>
      </c>
      <c r="CV578" s="503" t="str">
        <f>IF($G578="","",IF(AND($G578&gt;=30,$AT$3&lt;=CU$7),ROUND(CU578*($AP$3+#REF!),-1),""))</f>
        <v/>
      </c>
      <c r="CW578" s="503" t="s">
        <v>621</v>
      </c>
      <c r="CX578" s="503" t="str">
        <f>IF($G578="","",IF(AND($G578&gt;=30,$AT$3&lt;=CW$7),ROUND(CW578*($AP$3+#REF!),-1),""))</f>
        <v/>
      </c>
      <c r="CY578" s="503" t="s">
        <v>621</v>
      </c>
      <c r="CZ578" s="503" t="str">
        <f>IF($G578="","",IF(AND($G578&gt;=30,$AT$3&lt;=CY$7),ROUND(CY578*($AP$3+#REF!),-1),""))</f>
        <v/>
      </c>
      <c r="DA578" s="503" t="s">
        <v>621</v>
      </c>
      <c r="DB578" s="503" t="str">
        <f>IF($G578="","",IF(AND($G578&gt;=30,$AT$3&lt;=DA$7),ROUND(DA578*($AP$3+#REF!),-1),""))</f>
        <v/>
      </c>
      <c r="DC578" s="503" t="s">
        <v>621</v>
      </c>
      <c r="DD578" s="503" t="str">
        <f>IF($G578="","",IF(AND($G578&gt;=30,$AT$3&lt;=DC$7),ROUND(DC578*($AP$3+#REF!),-1),""))</f>
        <v/>
      </c>
      <c r="DE578" s="503" t="s">
        <v>621</v>
      </c>
      <c r="DF578" s="503" t="str">
        <f>IF($G578="","",IF(AND($G578&gt;=30,$AT$3&lt;=DE$7),ROUND(DE578*($AP$3+#REF!),-1),""))</f>
        <v/>
      </c>
      <c r="DG578" s="503" t="s">
        <v>621</v>
      </c>
      <c r="DH578" s="503" t="str">
        <f>IF($G578="","",IF(AND($G578&gt;=30,$AT$3&lt;=DG$7),ROUND(DG578*($AP$3+#REF!),-1),""))</f>
        <v/>
      </c>
      <c r="DI578" s="503" t="s">
        <v>621</v>
      </c>
      <c r="DJ578" s="503" t="str">
        <f>IF($G578="","",IF(AND($G578&gt;=30,$AT$3&lt;=DI$7),ROUND(DI578*($AP$3+#REF!),-1),""))</f>
        <v/>
      </c>
      <c r="DK578" s="503" t="s">
        <v>621</v>
      </c>
      <c r="DL578" s="503" t="str">
        <f>IF($G578="","",IF(AND($G578&gt;=30,$AT$3&lt;=DK$7),ROUND(DK578*($AP$3+#REF!),-1),""))</f>
        <v/>
      </c>
      <c r="DM578" s="503" t="s">
        <v>621</v>
      </c>
      <c r="DN578" s="503" t="str">
        <f>IF($G578="","",IF(AND($G578&gt;=30,$AT$3&lt;=DM$7),ROUND(DM578*($AP$3+#REF!),-1),""))</f>
        <v/>
      </c>
      <c r="DO578" s="503" t="s">
        <v>621</v>
      </c>
      <c r="DP578" s="503" t="str">
        <f>IF($G578="","",IF(AND($G578&gt;=30,$AT$3&lt;=DO$7),ROUND(DO578*($AP$3+#REF!),-1),""))</f>
        <v/>
      </c>
      <c r="DQ578" s="503" t="s">
        <v>621</v>
      </c>
      <c r="DR578" s="503" t="str">
        <f>IF($G578="","",IF(AND($G578&gt;=30,$AT$3&lt;=DQ$7),ROUND(DQ578*($AP$3+#REF!),-1),""))</f>
        <v/>
      </c>
      <c r="DS578" s="503" t="s">
        <v>621</v>
      </c>
      <c r="DT578" s="503" t="str">
        <f>IF($G578="","",IF(AND($G578&gt;=30,$AT$3&lt;=DS$7),ROUND(DS578*($AP$3+#REF!),-1),""))</f>
        <v/>
      </c>
      <c r="DU578" s="503" t="s">
        <v>621</v>
      </c>
      <c r="DV578" s="503" t="str">
        <f>IF($G578="","",IF(AND($G578&gt;=30,$AT$3&lt;=DU$7),ROUND(DU578*($AP$3+#REF!),-1),""))</f>
        <v/>
      </c>
      <c r="DW578" s="517" t="e">
        <v>#REF!</v>
      </c>
      <c r="DX578" s="503" t="str">
        <f>IF($G578="","",IF(AND($G578&gt;=30,$AT$3&lt;=DW$7),ROUND(DW578*($AP$3+#REF!),-1),""))</f>
        <v/>
      </c>
      <c r="DY578" s="503"/>
      <c r="DZ578" s="503" t="str">
        <f>IF($G578="","",IF(AND($G578&gt;=30,$AT$3&lt;=DY$7),ROUND(DY578*($AP$3+#REF!),-1),""))</f>
        <v/>
      </c>
      <c r="EA578" s="503"/>
      <c r="EB578" s="503" t="str">
        <f>IF($G578="","",IF(AND($G578&gt;=30,$AT$3&lt;=EA$7),ROUND(EA578*($AP$3+#REF!),-1),""))</f>
        <v/>
      </c>
      <c r="EC578" s="436"/>
      <c r="ED578" s="436"/>
      <c r="EE578" s="394"/>
    </row>
    <row r="579" spans="1:135" ht="9.75" customHeight="1">
      <c r="A579" s="321" t="str">
        <f t="shared" si="138"/>
        <v/>
      </c>
      <c r="B579" s="567">
        <f>(ii!$D$13*12+V579)+1</f>
        <v>473</v>
      </c>
      <c r="C579" s="337">
        <f t="shared" si="128"/>
        <v>59748</v>
      </c>
      <c r="D579" s="484">
        <f t="shared" si="131"/>
        <v>2063</v>
      </c>
      <c r="E579" s="484">
        <f t="shared" si="129"/>
        <v>0.58333333333333337</v>
      </c>
      <c r="F579" s="484">
        <f t="shared" si="132"/>
        <v>2063.5833333333335</v>
      </c>
      <c r="G579" s="485" t="str">
        <f>IF(OR(C579&lt;$I$2,C579&gt;$J$3),"",(ii!$D$13*12+V579+1)/12)</f>
        <v/>
      </c>
      <c r="H579" s="486"/>
      <c r="I579" s="486"/>
      <c r="J579" s="487"/>
      <c r="K579" s="488"/>
      <c r="L579" s="548"/>
      <c r="M579" s="489" t="str">
        <f t="shared" si="133"/>
        <v/>
      </c>
      <c r="N579" s="490" t="s">
        <v>621</v>
      </c>
      <c r="O579" s="490" t="str">
        <f t="shared" si="126"/>
        <v/>
      </c>
      <c r="P579" s="491"/>
      <c r="Q579" s="491"/>
      <c r="R579" s="491" t="str">
        <f t="shared" si="127"/>
        <v/>
      </c>
      <c r="S579" s="528" t="str">
        <f t="shared" si="139"/>
        <v/>
      </c>
      <c r="T579" s="528" t="str">
        <f t="shared" si="137"/>
        <v/>
      </c>
      <c r="U579" s="493" t="str">
        <f>IF(H579="","",#REF!*12+#REF!+#REF!*12+#REF!)</f>
        <v/>
      </c>
      <c r="V579" s="338">
        <f>IF(ii!$J$3&gt;gg!C579,"",IF(AND((YEAR(C579)=YEAR($I$2)),MONTH(C579)=MONTH($I$2)),ii!$B$14*12+ii!$C$14+ii!$B$15*12+ii!$C$15-1,V578+1))</f>
        <v>472</v>
      </c>
      <c r="W579" s="339">
        <f t="shared" si="130"/>
        <v>39.333333333333336</v>
      </c>
      <c r="X579" s="494" t="s">
        <v>621</v>
      </c>
      <c r="Y579" s="495" t="s">
        <v>621</v>
      </c>
      <c r="Z579" s="496"/>
      <c r="AA579" s="497"/>
      <c r="AB579" s="498" t="str">
        <f t="shared" si="136"/>
        <v/>
      </c>
      <c r="AC579" s="484" t="str">
        <f t="shared" si="134"/>
        <v/>
      </c>
      <c r="AD579" s="495" t="str">
        <f t="shared" si="135"/>
        <v/>
      </c>
      <c r="AE579" s="499" t="s">
        <v>621</v>
      </c>
      <c r="AF579" s="500" t="s">
        <v>621</v>
      </c>
      <c r="AG579" s="556" t="s">
        <v>621</v>
      </c>
      <c r="AH579" s="503" t="str">
        <f>IF($G579="","",IF(AND($G579&gt;=30,$AT$3&lt;=AG$7),ROUND(AG579*($AP$3+#REF!),-1),""))</f>
        <v/>
      </c>
      <c r="AI579" s="506" t="s">
        <v>621</v>
      </c>
      <c r="AJ579" s="503" t="str">
        <f>IF($G579="","",IF(AND($G579&gt;=30,$AT$3&lt;=AI$7),ROUND(AI579*($AP$3+#REF!),-1),""))</f>
        <v/>
      </c>
      <c r="AK579" s="506" t="s">
        <v>621</v>
      </c>
      <c r="AL579" s="503" t="str">
        <f>IF($G579="","",IF(AND($G579&gt;=30,$AT$3&lt;=AK$7),ROUND(AK579*($AP$3+#REF!),-1),""))</f>
        <v/>
      </c>
      <c r="AM579" s="506" t="s">
        <v>621</v>
      </c>
      <c r="AN579" s="503" t="str">
        <f>IF($G579="","",IF(AND($G579&gt;=30,$AT$3&lt;=AM$7),ROUND(AM579*($AP$3+#REF!),-1),""))</f>
        <v/>
      </c>
      <c r="AO579" s="503" t="e">
        <v>#REF!</v>
      </c>
      <c r="AP579" s="503" t="str">
        <f>IF($G579="","",IF(AND($G579&gt;=30,$AT$3&lt;=AO$7),ROUND(AO579*($AP$3+#REF!),-1),""))</f>
        <v/>
      </c>
      <c r="AQ579" s="503" t="s">
        <v>621</v>
      </c>
      <c r="AR579" s="503" t="str">
        <f>IF($G579="","",IF(AND($G579&gt;=30,$AT$3&lt;=AQ$7),ROUND(AQ579*($AP$3+#REF!),-1),""))</f>
        <v/>
      </c>
      <c r="AS579" s="503" t="s">
        <v>621</v>
      </c>
      <c r="AT579" s="503" t="str">
        <f>IF($G579="","",IF(AND($G579&gt;=30,$AT$3&lt;=AS$7),ROUND(AS579*($AP$3+#REF!),-1),""))</f>
        <v/>
      </c>
      <c r="AU579" s="503" t="s">
        <v>621</v>
      </c>
      <c r="AV579" s="503" t="str">
        <f>IF($G579="","",IF(AND($G579&gt;=30,$AT$3&lt;=AU$7),ROUND(AU579*($AP$3+#REF!),-1),""))</f>
        <v/>
      </c>
      <c r="AW579" s="503" t="s">
        <v>621</v>
      </c>
      <c r="AX579" s="503" t="str">
        <f>IF($G579="","",IF(AND($G579&gt;=30,$AT$3&lt;=AW$7),ROUND(AW579*($AP$3+#REF!),-1),""))</f>
        <v/>
      </c>
      <c r="AY579" s="503" t="s">
        <v>621</v>
      </c>
      <c r="AZ579" s="503" t="str">
        <f>IF($G579="","",IF(AND($G579&gt;=30,$AT$3&lt;=AY$7),ROUND(AY579*($AP$3+#REF!),-1),""))</f>
        <v/>
      </c>
      <c r="BA579" s="503" t="s">
        <v>621</v>
      </c>
      <c r="BB579" s="503" t="str">
        <f>IF($G579="","",IF(AND($G579&gt;=30,$AT$3&lt;=BA$7),ROUND(BA579*($AP$3+#REF!),-1),""))</f>
        <v/>
      </c>
      <c r="BC579" s="503" t="s">
        <v>621</v>
      </c>
      <c r="BD579" s="503" t="str">
        <f>IF($G579="","",IF(AND($G579&gt;=30,$AT$3&lt;=BC$7),ROUND(BC579*($AP$3+#REF!),-1),""))</f>
        <v/>
      </c>
      <c r="BE579" s="503" t="s">
        <v>621</v>
      </c>
      <c r="BF579" s="503" t="str">
        <f>IF($G579="","",IF(AND($G579&gt;=30,$AT$3&lt;=BE$7),ROUND(BE579*($AP$3+#REF!),-1),""))</f>
        <v/>
      </c>
      <c r="BG579" s="503" t="s">
        <v>621</v>
      </c>
      <c r="BH579" s="503" t="str">
        <f>IF($G579="","",IF(AND($G579&gt;=30,$AT$3&lt;=BG$7),ROUND(BG579*($AP$3+#REF!),-1),""))</f>
        <v/>
      </c>
      <c r="BI579" s="503" t="s">
        <v>621</v>
      </c>
      <c r="BJ579" s="503" t="str">
        <f>IF($G579="","",IF(AND($G579&gt;=30,$AT$3&lt;=BI$7),ROUND(BI579*($AP$3+#REF!),-1),""))</f>
        <v/>
      </c>
      <c r="BK579" s="503" t="s">
        <v>621</v>
      </c>
      <c r="BL579" s="503" t="str">
        <f>IF($G579="","",IF(AND($G579&gt;=30,$AT$3&lt;=BK$7),ROUND(BK579*($AP$3+#REF!),-1),""))</f>
        <v/>
      </c>
      <c r="BM579" s="503" t="s">
        <v>621</v>
      </c>
      <c r="BN579" s="503" t="str">
        <f>IF($G579="","",IF(AND($G579&gt;=30,$AT$3&lt;=BM$7),ROUND(BM579*($AP$3+#REF!),-1),""))</f>
        <v/>
      </c>
      <c r="BO579" s="503" t="s">
        <v>621</v>
      </c>
      <c r="BP579" s="503" t="str">
        <f>IF($G579="","",IF(AND($G579&gt;=30,$AT$3&lt;=BO$7),ROUND(BO579*($AP$3+#REF!),-1),""))</f>
        <v/>
      </c>
      <c r="BQ579" s="503" t="s">
        <v>621</v>
      </c>
      <c r="BR579" s="503" t="str">
        <f>IF($G579="","",IF(AND($G579&gt;=30,$AT$3&lt;=BQ$7),ROUND(BQ579*($AP$3+#REF!),-1),""))</f>
        <v/>
      </c>
      <c r="BS579" s="503" t="s">
        <v>621</v>
      </c>
      <c r="BT579" s="503" t="str">
        <f>IF($G579="","",IF(AND($G579&gt;=30,$AT$3&lt;=BS$7),ROUND(BS579*($AP$3+#REF!),-1),""))</f>
        <v/>
      </c>
      <c r="BU579" s="503" t="s">
        <v>621</v>
      </c>
      <c r="BV579" s="503" t="str">
        <f>IF($G579="","",IF(AND($G579&gt;=30,$AT$3&lt;=BU$7),ROUND(BU579*($AP$3+#REF!),-1),""))</f>
        <v/>
      </c>
      <c r="BW579" s="503" t="s">
        <v>621</v>
      </c>
      <c r="BX579" s="503" t="str">
        <f>IF($G579="","",IF(AND($G579&gt;=30,$AT$3&lt;=BW$7),ROUND(BW579*($AP$3+#REF!),-1),""))</f>
        <v/>
      </c>
      <c r="BY579" s="503" t="s">
        <v>621</v>
      </c>
      <c r="BZ579" s="503" t="str">
        <f>IF($G579="","",IF(AND($G579&gt;=30,$AT$3&lt;=BY$7),ROUND(BY579*($AP$3+#REF!),-1),""))</f>
        <v/>
      </c>
      <c r="CA579" s="503" t="s">
        <v>621</v>
      </c>
      <c r="CB579" s="503" t="str">
        <f>IF($G579="","",IF(AND($G579&gt;=30,$AT$3&lt;=CA$7),ROUND(CA579*($AP$3+#REF!),-1),""))</f>
        <v/>
      </c>
      <c r="CC579" s="503" t="s">
        <v>621</v>
      </c>
      <c r="CD579" s="503" t="str">
        <f>IF($G579="","",IF(AND($G579&gt;=30,$AT$3&lt;=CC$7),ROUND(CC579*($AP$3+#REF!),-1),""))</f>
        <v/>
      </c>
      <c r="CE579" s="503" t="s">
        <v>621</v>
      </c>
      <c r="CF579" s="503" t="str">
        <f>IF($G579="","",IF(AND($G579&gt;=30,$AT$3&lt;=CE$7),ROUND(CE579*($AP$3+#REF!),-1),""))</f>
        <v/>
      </c>
      <c r="CG579" s="503" t="s">
        <v>621</v>
      </c>
      <c r="CH579" s="503" t="str">
        <f>IF($G579="","",IF(AND($G579&gt;=30,$AT$3&lt;=CG$7),ROUND(CG579*($AP$3+#REF!),-1),""))</f>
        <v/>
      </c>
      <c r="CI579" s="503" t="s">
        <v>621</v>
      </c>
      <c r="CJ579" s="503" t="str">
        <f>IF($G579="","",IF(AND($G579&gt;=30,$AT$3&lt;=CI$7),ROUND(CI579*($AP$3+#REF!),-1),""))</f>
        <v/>
      </c>
      <c r="CK579" s="503" t="s">
        <v>621</v>
      </c>
      <c r="CL579" s="503" t="str">
        <f>IF($G579="","",IF(AND($G579&gt;=30,$AT$3&lt;=CK$7),ROUND(CK579*($AP$3+#REF!),-1),""))</f>
        <v/>
      </c>
      <c r="CM579" s="503" t="s">
        <v>621</v>
      </c>
      <c r="CN579" s="503" t="str">
        <f>IF($G579="","",IF(AND($G579&gt;=30,$AT$3&lt;=CM$7),ROUND(CM579*($AP$3+#REF!),-1),""))</f>
        <v/>
      </c>
      <c r="CO579" s="503" t="s">
        <v>621</v>
      </c>
      <c r="CP579" s="503" t="str">
        <f>IF($G579="","",IF(AND($G579&gt;=30,$AT$3&lt;=CO$7),ROUND(CO579*($AP$3+#REF!),-1),""))</f>
        <v/>
      </c>
      <c r="CQ579" s="503" t="s">
        <v>621</v>
      </c>
      <c r="CR579" s="503" t="str">
        <f>IF($G579="","",IF(AND($G579&gt;=30,$AT$3&lt;=CQ$7),ROUND(CQ579*($AP$3+#REF!),-1),""))</f>
        <v/>
      </c>
      <c r="CS579" s="503" t="s">
        <v>621</v>
      </c>
      <c r="CT579" s="503" t="str">
        <f>IF($G579="","",IF(AND($G579&gt;=30,$AT$3&lt;=CS$7),ROUND(CS579*($AP$3+#REF!),-1),""))</f>
        <v/>
      </c>
      <c r="CU579" s="503" t="s">
        <v>621</v>
      </c>
      <c r="CV579" s="503" t="str">
        <f>IF($G579="","",IF(AND($G579&gt;=30,$AT$3&lt;=CU$7),ROUND(CU579*($AP$3+#REF!),-1),""))</f>
        <v/>
      </c>
      <c r="CW579" s="503" t="s">
        <v>621</v>
      </c>
      <c r="CX579" s="503" t="str">
        <f>IF($G579="","",IF(AND($G579&gt;=30,$AT$3&lt;=CW$7),ROUND(CW579*($AP$3+#REF!),-1),""))</f>
        <v/>
      </c>
      <c r="CY579" s="503" t="s">
        <v>621</v>
      </c>
      <c r="CZ579" s="503" t="str">
        <f>IF($G579="","",IF(AND($G579&gt;=30,$AT$3&lt;=CY$7),ROUND(CY579*($AP$3+#REF!),-1),""))</f>
        <v/>
      </c>
      <c r="DA579" s="503" t="s">
        <v>621</v>
      </c>
      <c r="DB579" s="503" t="str">
        <f>IF($G579="","",IF(AND($G579&gt;=30,$AT$3&lt;=DA$7),ROUND(DA579*($AP$3+#REF!),-1),""))</f>
        <v/>
      </c>
      <c r="DC579" s="503" t="s">
        <v>621</v>
      </c>
      <c r="DD579" s="503" t="str">
        <f>IF($G579="","",IF(AND($G579&gt;=30,$AT$3&lt;=DC$7),ROUND(DC579*($AP$3+#REF!),-1),""))</f>
        <v/>
      </c>
      <c r="DE579" s="503" t="s">
        <v>621</v>
      </c>
      <c r="DF579" s="503" t="str">
        <f>IF($G579="","",IF(AND($G579&gt;=30,$AT$3&lt;=DE$7),ROUND(DE579*($AP$3+#REF!),-1),""))</f>
        <v/>
      </c>
      <c r="DG579" s="503" t="s">
        <v>621</v>
      </c>
      <c r="DH579" s="503" t="str">
        <f>IF($G579="","",IF(AND($G579&gt;=30,$AT$3&lt;=DG$7),ROUND(DG579*($AP$3+#REF!),-1),""))</f>
        <v/>
      </c>
      <c r="DI579" s="503" t="s">
        <v>621</v>
      </c>
      <c r="DJ579" s="503" t="str">
        <f>IF($G579="","",IF(AND($G579&gt;=30,$AT$3&lt;=DI$7),ROUND(DI579*($AP$3+#REF!),-1),""))</f>
        <v/>
      </c>
      <c r="DK579" s="503" t="s">
        <v>621</v>
      </c>
      <c r="DL579" s="503" t="str">
        <f>IF($G579="","",IF(AND($G579&gt;=30,$AT$3&lt;=DK$7),ROUND(DK579*($AP$3+#REF!),-1),""))</f>
        <v/>
      </c>
      <c r="DM579" s="503" t="s">
        <v>621</v>
      </c>
      <c r="DN579" s="503" t="str">
        <f>IF($G579="","",IF(AND($G579&gt;=30,$AT$3&lt;=DM$7),ROUND(DM579*($AP$3+#REF!),-1),""))</f>
        <v/>
      </c>
      <c r="DO579" s="503" t="s">
        <v>621</v>
      </c>
      <c r="DP579" s="503" t="str">
        <f>IF($G579="","",IF(AND($G579&gt;=30,$AT$3&lt;=DO$7),ROUND(DO579*($AP$3+#REF!),-1),""))</f>
        <v/>
      </c>
      <c r="DQ579" s="503" t="s">
        <v>621</v>
      </c>
      <c r="DR579" s="503" t="str">
        <f>IF($G579="","",IF(AND($G579&gt;=30,$AT$3&lt;=DQ$7),ROUND(DQ579*($AP$3+#REF!),-1),""))</f>
        <v/>
      </c>
      <c r="DS579" s="503" t="s">
        <v>621</v>
      </c>
      <c r="DT579" s="503" t="str">
        <f>IF($G579="","",IF(AND($G579&gt;=30,$AT$3&lt;=DS$7),ROUND(DS579*($AP$3+#REF!),-1),""))</f>
        <v/>
      </c>
      <c r="DU579" s="503" t="s">
        <v>621</v>
      </c>
      <c r="DV579" s="503" t="str">
        <f>IF($G579="","",IF(AND($G579&gt;=30,$AT$3&lt;=DU$7),ROUND(DU579*($AP$3+#REF!),-1),""))</f>
        <v/>
      </c>
      <c r="DW579" s="517" t="e">
        <v>#REF!</v>
      </c>
      <c r="DX579" s="503" t="str">
        <f>IF($G579="","",IF(AND($G579&gt;=30,$AT$3&lt;=DW$7),ROUND(DW579*($AP$3+#REF!),-1),""))</f>
        <v/>
      </c>
      <c r="DY579" s="503"/>
      <c r="DZ579" s="503" t="str">
        <f>IF($G579="","",IF(AND($G579&gt;=30,$AT$3&lt;=DY$7),ROUND(DY579*($AP$3+#REF!),-1),""))</f>
        <v/>
      </c>
      <c r="EA579" s="503"/>
      <c r="EB579" s="503" t="str">
        <f>IF($G579="","",IF(AND($G579&gt;=30,$AT$3&lt;=EA$7),ROUND(EA579*($AP$3+#REF!),-1),""))</f>
        <v/>
      </c>
      <c r="EC579" s="436"/>
      <c r="ED579" s="436"/>
      <c r="EE579" s="394"/>
    </row>
    <row r="580" spans="1:135" ht="9.75" customHeight="1">
      <c r="A580" s="321" t="str">
        <f t="shared" si="138"/>
        <v/>
      </c>
      <c r="B580" s="567">
        <f>(ii!$D$13*12+V580)+1</f>
        <v>474</v>
      </c>
      <c r="C580" s="337">
        <f t="shared" si="128"/>
        <v>59779</v>
      </c>
      <c r="D580" s="484">
        <f t="shared" si="131"/>
        <v>2063</v>
      </c>
      <c r="E580" s="484">
        <f t="shared" si="129"/>
        <v>0.66666666666666663</v>
      </c>
      <c r="F580" s="484">
        <f t="shared" si="132"/>
        <v>2063.6666666666665</v>
      </c>
      <c r="G580" s="485" t="str">
        <f>IF(OR(C580&lt;$I$2,C580&gt;$J$3),"",(ii!$D$13*12+V580+1)/12)</f>
        <v/>
      </c>
      <c r="H580" s="486"/>
      <c r="I580" s="486"/>
      <c r="J580" s="487"/>
      <c r="K580" s="488"/>
      <c r="L580" s="548"/>
      <c r="M580" s="489" t="str">
        <f t="shared" si="133"/>
        <v/>
      </c>
      <c r="N580" s="490" t="s">
        <v>621</v>
      </c>
      <c r="O580" s="490" t="str">
        <f t="shared" si="126"/>
        <v/>
      </c>
      <c r="P580" s="491"/>
      <c r="Q580" s="491"/>
      <c r="R580" s="491" t="str">
        <f t="shared" si="127"/>
        <v/>
      </c>
      <c r="S580" s="528" t="str">
        <f t="shared" si="139"/>
        <v/>
      </c>
      <c r="T580" s="528" t="str">
        <f t="shared" si="137"/>
        <v/>
      </c>
      <c r="U580" s="493" t="str">
        <f>IF(H580="","",#REF!*12+#REF!+#REF!*12+#REF!)</f>
        <v/>
      </c>
      <c r="V580" s="338">
        <f>IF(ii!$J$3&gt;gg!C580,"",IF(AND((YEAR(C580)=YEAR($I$2)),MONTH(C580)=MONTH($I$2)),ii!$B$14*12+ii!$C$14+ii!$B$15*12+ii!$C$15-1,V579+1))</f>
        <v>473</v>
      </c>
      <c r="W580" s="339">
        <f t="shared" si="130"/>
        <v>39.416666666666664</v>
      </c>
      <c r="X580" s="494" t="s">
        <v>621</v>
      </c>
      <c r="Y580" s="495" t="s">
        <v>621</v>
      </c>
      <c r="Z580" s="496"/>
      <c r="AA580" s="497"/>
      <c r="AB580" s="498" t="str">
        <f t="shared" si="136"/>
        <v/>
      </c>
      <c r="AC580" s="484" t="str">
        <f t="shared" si="134"/>
        <v/>
      </c>
      <c r="AD580" s="495" t="str">
        <f t="shared" si="135"/>
        <v/>
      </c>
      <c r="AE580" s="499" t="s">
        <v>621</v>
      </c>
      <c r="AF580" s="500" t="s">
        <v>621</v>
      </c>
      <c r="AG580" s="556" t="s">
        <v>621</v>
      </c>
      <c r="AH580" s="503" t="str">
        <f>IF($G580="","",IF(AND($G580&gt;=30,$AT$3&lt;=AG$7),ROUND(AG580*($AP$3+#REF!),-1),""))</f>
        <v/>
      </c>
      <c r="AI580" s="506" t="s">
        <v>621</v>
      </c>
      <c r="AJ580" s="503" t="str">
        <f>IF($G580="","",IF(AND($G580&gt;=30,$AT$3&lt;=AI$7),ROUND(AI580*($AP$3+#REF!),-1),""))</f>
        <v/>
      </c>
      <c r="AK580" s="506" t="s">
        <v>621</v>
      </c>
      <c r="AL580" s="503" t="str">
        <f>IF($G580="","",IF(AND($G580&gt;=30,$AT$3&lt;=AK$7),ROUND(AK580*($AP$3+#REF!),-1),""))</f>
        <v/>
      </c>
      <c r="AM580" s="506" t="s">
        <v>621</v>
      </c>
      <c r="AN580" s="503" t="str">
        <f>IF($G580="","",IF(AND($G580&gt;=30,$AT$3&lt;=AM$7),ROUND(AM580*($AP$3+#REF!),-1),""))</f>
        <v/>
      </c>
      <c r="AO580" s="503" t="e">
        <v>#REF!</v>
      </c>
      <c r="AP580" s="503" t="str">
        <f>IF($G580="","",IF(AND($G580&gt;=30,$AT$3&lt;=AO$7),ROUND(AO580*($AP$3+#REF!),-1),""))</f>
        <v/>
      </c>
      <c r="AQ580" s="503" t="s">
        <v>621</v>
      </c>
      <c r="AR580" s="503" t="str">
        <f>IF($G580="","",IF(AND($G580&gt;=30,$AT$3&lt;=AQ$7),ROUND(AQ580*($AP$3+#REF!),-1),""))</f>
        <v/>
      </c>
      <c r="AS580" s="503" t="s">
        <v>621</v>
      </c>
      <c r="AT580" s="503" t="str">
        <f>IF($G580="","",IF(AND($G580&gt;=30,$AT$3&lt;=AS$7),ROUND(AS580*($AP$3+#REF!),-1),""))</f>
        <v/>
      </c>
      <c r="AU580" s="503" t="s">
        <v>621</v>
      </c>
      <c r="AV580" s="503" t="str">
        <f>IF($G580="","",IF(AND($G580&gt;=30,$AT$3&lt;=AU$7),ROUND(AU580*($AP$3+#REF!),-1),""))</f>
        <v/>
      </c>
      <c r="AW580" s="503" t="s">
        <v>621</v>
      </c>
      <c r="AX580" s="503" t="str">
        <f>IF($G580="","",IF(AND($G580&gt;=30,$AT$3&lt;=AW$7),ROUND(AW580*($AP$3+#REF!),-1),""))</f>
        <v/>
      </c>
      <c r="AY580" s="503" t="s">
        <v>621</v>
      </c>
      <c r="AZ580" s="503" t="str">
        <f>IF($G580="","",IF(AND($G580&gt;=30,$AT$3&lt;=AY$7),ROUND(AY580*($AP$3+#REF!),-1),""))</f>
        <v/>
      </c>
      <c r="BA580" s="503" t="s">
        <v>621</v>
      </c>
      <c r="BB580" s="503" t="str">
        <f>IF($G580="","",IF(AND($G580&gt;=30,$AT$3&lt;=BA$7),ROUND(BA580*($AP$3+#REF!),-1),""))</f>
        <v/>
      </c>
      <c r="BC580" s="503" t="s">
        <v>621</v>
      </c>
      <c r="BD580" s="503" t="str">
        <f>IF($G580="","",IF(AND($G580&gt;=30,$AT$3&lt;=BC$7),ROUND(BC580*($AP$3+#REF!),-1),""))</f>
        <v/>
      </c>
      <c r="BE580" s="503" t="s">
        <v>621</v>
      </c>
      <c r="BF580" s="503" t="str">
        <f>IF($G580="","",IF(AND($G580&gt;=30,$AT$3&lt;=BE$7),ROUND(BE580*($AP$3+#REF!),-1),""))</f>
        <v/>
      </c>
      <c r="BG580" s="503" t="s">
        <v>621</v>
      </c>
      <c r="BH580" s="503" t="str">
        <f>IF($G580="","",IF(AND($G580&gt;=30,$AT$3&lt;=BG$7),ROUND(BG580*($AP$3+#REF!),-1),""))</f>
        <v/>
      </c>
      <c r="BI580" s="503" t="s">
        <v>621</v>
      </c>
      <c r="BJ580" s="503" t="str">
        <f>IF($G580="","",IF(AND($G580&gt;=30,$AT$3&lt;=BI$7),ROUND(BI580*($AP$3+#REF!),-1),""))</f>
        <v/>
      </c>
      <c r="BK580" s="503" t="s">
        <v>621</v>
      </c>
      <c r="BL580" s="503" t="str">
        <f>IF($G580="","",IF(AND($G580&gt;=30,$AT$3&lt;=BK$7),ROUND(BK580*($AP$3+#REF!),-1),""))</f>
        <v/>
      </c>
      <c r="BM580" s="503" t="s">
        <v>621</v>
      </c>
      <c r="BN580" s="503" t="str">
        <f>IF($G580="","",IF(AND($G580&gt;=30,$AT$3&lt;=BM$7),ROUND(BM580*($AP$3+#REF!),-1),""))</f>
        <v/>
      </c>
      <c r="BO580" s="503" t="s">
        <v>621</v>
      </c>
      <c r="BP580" s="503" t="str">
        <f>IF($G580="","",IF(AND($G580&gt;=30,$AT$3&lt;=BO$7),ROUND(BO580*($AP$3+#REF!),-1),""))</f>
        <v/>
      </c>
      <c r="BQ580" s="503" t="s">
        <v>621</v>
      </c>
      <c r="BR580" s="503" t="str">
        <f>IF($G580="","",IF(AND($G580&gt;=30,$AT$3&lt;=BQ$7),ROUND(BQ580*($AP$3+#REF!),-1),""))</f>
        <v/>
      </c>
      <c r="BS580" s="503" t="s">
        <v>621</v>
      </c>
      <c r="BT580" s="503" t="str">
        <f>IF($G580="","",IF(AND($G580&gt;=30,$AT$3&lt;=BS$7),ROUND(BS580*($AP$3+#REF!),-1),""))</f>
        <v/>
      </c>
      <c r="BU580" s="503" t="s">
        <v>621</v>
      </c>
      <c r="BV580" s="503" t="str">
        <f>IF($G580="","",IF(AND($G580&gt;=30,$AT$3&lt;=BU$7),ROUND(BU580*($AP$3+#REF!),-1),""))</f>
        <v/>
      </c>
      <c r="BW580" s="503" t="s">
        <v>621</v>
      </c>
      <c r="BX580" s="503" t="str">
        <f>IF($G580="","",IF(AND($G580&gt;=30,$AT$3&lt;=BW$7),ROUND(BW580*($AP$3+#REF!),-1),""))</f>
        <v/>
      </c>
      <c r="BY580" s="503" t="s">
        <v>621</v>
      </c>
      <c r="BZ580" s="503" t="str">
        <f>IF($G580="","",IF(AND($G580&gt;=30,$AT$3&lt;=BY$7),ROUND(BY580*($AP$3+#REF!),-1),""))</f>
        <v/>
      </c>
      <c r="CA580" s="503" t="s">
        <v>621</v>
      </c>
      <c r="CB580" s="503" t="str">
        <f>IF($G580="","",IF(AND($G580&gt;=30,$AT$3&lt;=CA$7),ROUND(CA580*($AP$3+#REF!),-1),""))</f>
        <v/>
      </c>
      <c r="CC580" s="503" t="s">
        <v>621</v>
      </c>
      <c r="CD580" s="503" t="str">
        <f>IF($G580="","",IF(AND($G580&gt;=30,$AT$3&lt;=CC$7),ROUND(CC580*($AP$3+#REF!),-1),""))</f>
        <v/>
      </c>
      <c r="CE580" s="503" t="s">
        <v>621</v>
      </c>
      <c r="CF580" s="503" t="str">
        <f>IF($G580="","",IF(AND($G580&gt;=30,$AT$3&lt;=CE$7),ROUND(CE580*($AP$3+#REF!),-1),""))</f>
        <v/>
      </c>
      <c r="CG580" s="503" t="s">
        <v>621</v>
      </c>
      <c r="CH580" s="503" t="str">
        <f>IF($G580="","",IF(AND($G580&gt;=30,$AT$3&lt;=CG$7),ROUND(CG580*($AP$3+#REF!),-1),""))</f>
        <v/>
      </c>
      <c r="CI580" s="503" t="s">
        <v>621</v>
      </c>
      <c r="CJ580" s="503" t="str">
        <f>IF($G580="","",IF(AND($G580&gt;=30,$AT$3&lt;=CI$7),ROUND(CI580*($AP$3+#REF!),-1),""))</f>
        <v/>
      </c>
      <c r="CK580" s="503" t="s">
        <v>621</v>
      </c>
      <c r="CL580" s="503" t="str">
        <f>IF($G580="","",IF(AND($G580&gt;=30,$AT$3&lt;=CK$7),ROUND(CK580*($AP$3+#REF!),-1),""))</f>
        <v/>
      </c>
      <c r="CM580" s="503" t="s">
        <v>621</v>
      </c>
      <c r="CN580" s="503" t="str">
        <f>IF($G580="","",IF(AND($G580&gt;=30,$AT$3&lt;=CM$7),ROUND(CM580*($AP$3+#REF!),-1),""))</f>
        <v/>
      </c>
      <c r="CO580" s="503" t="s">
        <v>621</v>
      </c>
      <c r="CP580" s="503" t="str">
        <f>IF($G580="","",IF(AND($G580&gt;=30,$AT$3&lt;=CO$7),ROUND(CO580*($AP$3+#REF!),-1),""))</f>
        <v/>
      </c>
      <c r="CQ580" s="503" t="s">
        <v>621</v>
      </c>
      <c r="CR580" s="503" t="str">
        <f>IF($G580="","",IF(AND($G580&gt;=30,$AT$3&lt;=CQ$7),ROUND(CQ580*($AP$3+#REF!),-1),""))</f>
        <v/>
      </c>
      <c r="CS580" s="503" t="s">
        <v>621</v>
      </c>
      <c r="CT580" s="503" t="str">
        <f>IF($G580="","",IF(AND($G580&gt;=30,$AT$3&lt;=CS$7),ROUND(CS580*($AP$3+#REF!),-1),""))</f>
        <v/>
      </c>
      <c r="CU580" s="503" t="s">
        <v>621</v>
      </c>
      <c r="CV580" s="503" t="str">
        <f>IF($G580="","",IF(AND($G580&gt;=30,$AT$3&lt;=CU$7),ROUND(CU580*($AP$3+#REF!),-1),""))</f>
        <v/>
      </c>
      <c r="CW580" s="503" t="s">
        <v>621</v>
      </c>
      <c r="CX580" s="503" t="str">
        <f>IF($G580="","",IF(AND($G580&gt;=30,$AT$3&lt;=CW$7),ROUND(CW580*($AP$3+#REF!),-1),""))</f>
        <v/>
      </c>
      <c r="CY580" s="503" t="s">
        <v>621</v>
      </c>
      <c r="CZ580" s="503" t="str">
        <f>IF($G580="","",IF(AND($G580&gt;=30,$AT$3&lt;=CY$7),ROUND(CY580*($AP$3+#REF!),-1),""))</f>
        <v/>
      </c>
      <c r="DA580" s="503" t="s">
        <v>621</v>
      </c>
      <c r="DB580" s="503" t="str">
        <f>IF($G580="","",IF(AND($G580&gt;=30,$AT$3&lt;=DA$7),ROUND(DA580*($AP$3+#REF!),-1),""))</f>
        <v/>
      </c>
      <c r="DC580" s="503" t="s">
        <v>621</v>
      </c>
      <c r="DD580" s="503" t="str">
        <f>IF($G580="","",IF(AND($G580&gt;=30,$AT$3&lt;=DC$7),ROUND(DC580*($AP$3+#REF!),-1),""))</f>
        <v/>
      </c>
      <c r="DE580" s="503" t="s">
        <v>621</v>
      </c>
      <c r="DF580" s="503" t="str">
        <f>IF($G580="","",IF(AND($G580&gt;=30,$AT$3&lt;=DE$7),ROUND(DE580*($AP$3+#REF!),-1),""))</f>
        <v/>
      </c>
      <c r="DG580" s="503" t="s">
        <v>621</v>
      </c>
      <c r="DH580" s="503" t="str">
        <f>IF($G580="","",IF(AND($G580&gt;=30,$AT$3&lt;=DG$7),ROUND(DG580*($AP$3+#REF!),-1),""))</f>
        <v/>
      </c>
      <c r="DI580" s="503" t="s">
        <v>621</v>
      </c>
      <c r="DJ580" s="503" t="str">
        <f>IF($G580="","",IF(AND($G580&gt;=30,$AT$3&lt;=DI$7),ROUND(DI580*($AP$3+#REF!),-1),""))</f>
        <v/>
      </c>
      <c r="DK580" s="503" t="s">
        <v>621</v>
      </c>
      <c r="DL580" s="503" t="str">
        <f>IF($G580="","",IF(AND($G580&gt;=30,$AT$3&lt;=DK$7),ROUND(DK580*($AP$3+#REF!),-1),""))</f>
        <v/>
      </c>
      <c r="DM580" s="503" t="s">
        <v>621</v>
      </c>
      <c r="DN580" s="503" t="str">
        <f>IF($G580="","",IF(AND($G580&gt;=30,$AT$3&lt;=DM$7),ROUND(DM580*($AP$3+#REF!),-1),""))</f>
        <v/>
      </c>
      <c r="DO580" s="503" t="s">
        <v>621</v>
      </c>
      <c r="DP580" s="503" t="str">
        <f>IF($G580="","",IF(AND($G580&gt;=30,$AT$3&lt;=DO$7),ROUND(DO580*($AP$3+#REF!),-1),""))</f>
        <v/>
      </c>
      <c r="DQ580" s="503" t="s">
        <v>621</v>
      </c>
      <c r="DR580" s="503" t="str">
        <f>IF($G580="","",IF(AND($G580&gt;=30,$AT$3&lt;=DQ$7),ROUND(DQ580*($AP$3+#REF!),-1),""))</f>
        <v/>
      </c>
      <c r="DS580" s="503" t="s">
        <v>621</v>
      </c>
      <c r="DT580" s="503" t="str">
        <f>IF($G580="","",IF(AND($G580&gt;=30,$AT$3&lt;=DS$7),ROUND(DS580*($AP$3+#REF!),-1),""))</f>
        <v/>
      </c>
      <c r="DU580" s="503" t="s">
        <v>621</v>
      </c>
      <c r="DV580" s="503" t="str">
        <f>IF($G580="","",IF(AND($G580&gt;=30,$AT$3&lt;=DU$7),ROUND(DU580*($AP$3+#REF!),-1),""))</f>
        <v/>
      </c>
      <c r="DW580" s="517" t="e">
        <v>#REF!</v>
      </c>
      <c r="DX580" s="503" t="str">
        <f>IF($G580="","",IF(AND($G580&gt;=30,$AT$3&lt;=DW$7),ROUND(DW580*($AP$3+#REF!),-1),""))</f>
        <v/>
      </c>
      <c r="DY580" s="503"/>
      <c r="DZ580" s="503" t="str">
        <f>IF($G580="","",IF(AND($G580&gt;=30,$AT$3&lt;=DY$7),ROUND(DY580*($AP$3+#REF!),-1),""))</f>
        <v/>
      </c>
      <c r="EA580" s="503"/>
      <c r="EB580" s="503" t="str">
        <f>IF($G580="","",IF(AND($G580&gt;=30,$AT$3&lt;=EA$7),ROUND(EA580*($AP$3+#REF!),-1),""))</f>
        <v/>
      </c>
      <c r="EC580" s="436"/>
      <c r="ED580" s="436"/>
      <c r="EE580" s="394"/>
    </row>
    <row r="581" spans="1:135" ht="9.75" customHeight="1">
      <c r="A581" s="321" t="str">
        <f t="shared" si="138"/>
        <v/>
      </c>
      <c r="B581" s="567">
        <f>(ii!$D$13*12+V581)+1</f>
        <v>475</v>
      </c>
      <c r="C581" s="337">
        <f t="shared" si="128"/>
        <v>59809</v>
      </c>
      <c r="D581" s="484">
        <f t="shared" si="131"/>
        <v>2063</v>
      </c>
      <c r="E581" s="484">
        <f t="shared" si="129"/>
        <v>0.75</v>
      </c>
      <c r="F581" s="484">
        <f t="shared" si="132"/>
        <v>2063.75</v>
      </c>
      <c r="G581" s="485" t="str">
        <f>IF(OR(C581&lt;$I$2,C581&gt;$J$3),"",(ii!$D$13*12+V581+1)/12)</f>
        <v/>
      </c>
      <c r="H581" s="486"/>
      <c r="I581" s="486"/>
      <c r="J581" s="487"/>
      <c r="K581" s="488"/>
      <c r="L581" s="548"/>
      <c r="M581" s="489" t="str">
        <f t="shared" si="133"/>
        <v/>
      </c>
      <c r="N581" s="490" t="s">
        <v>621</v>
      </c>
      <c r="O581" s="490" t="str">
        <f t="shared" si="126"/>
        <v/>
      </c>
      <c r="P581" s="491"/>
      <c r="Q581" s="491"/>
      <c r="R581" s="491" t="str">
        <f t="shared" si="127"/>
        <v/>
      </c>
      <c r="S581" s="528" t="str">
        <f t="shared" si="139"/>
        <v/>
      </c>
      <c r="T581" s="528" t="str">
        <f t="shared" si="137"/>
        <v/>
      </c>
      <c r="U581" s="493" t="str">
        <f>IF(H581="","",#REF!*12+#REF!+#REF!*12+#REF!)</f>
        <v/>
      </c>
      <c r="V581" s="338">
        <f>IF(ii!$J$3&gt;gg!C581,"",IF(AND((YEAR(C581)=YEAR($I$2)),MONTH(C581)=MONTH($I$2)),ii!$B$14*12+ii!$C$14+ii!$B$15*12+ii!$C$15-1,V580+1))</f>
        <v>474</v>
      </c>
      <c r="W581" s="339">
        <f t="shared" si="130"/>
        <v>39.5</v>
      </c>
      <c r="X581" s="494" t="s">
        <v>621</v>
      </c>
      <c r="Y581" s="495" t="s">
        <v>621</v>
      </c>
      <c r="Z581" s="496"/>
      <c r="AA581" s="497"/>
      <c r="AB581" s="498" t="str">
        <f t="shared" si="136"/>
        <v/>
      </c>
      <c r="AC581" s="484" t="str">
        <f t="shared" si="134"/>
        <v/>
      </c>
      <c r="AD581" s="495" t="str">
        <f t="shared" si="135"/>
        <v/>
      </c>
      <c r="AE581" s="499" t="s">
        <v>621</v>
      </c>
      <c r="AF581" s="500" t="s">
        <v>621</v>
      </c>
      <c r="AG581" s="556" t="s">
        <v>621</v>
      </c>
      <c r="AH581" s="503" t="str">
        <f>IF($G581="","",IF(AND($G581&gt;=30,$AT$3&lt;=AG$7),ROUND(AG581*($AP$3+#REF!),-1),""))</f>
        <v/>
      </c>
      <c r="AI581" s="506" t="s">
        <v>621</v>
      </c>
      <c r="AJ581" s="503" t="str">
        <f>IF($G581="","",IF(AND($G581&gt;=30,$AT$3&lt;=AI$7),ROUND(AI581*($AP$3+#REF!),-1),""))</f>
        <v/>
      </c>
      <c r="AK581" s="506" t="s">
        <v>621</v>
      </c>
      <c r="AL581" s="503" t="str">
        <f>IF($G581="","",IF(AND($G581&gt;=30,$AT$3&lt;=AK$7),ROUND(AK581*($AP$3+#REF!),-1),""))</f>
        <v/>
      </c>
      <c r="AM581" s="506" t="s">
        <v>621</v>
      </c>
      <c r="AN581" s="503" t="str">
        <f>IF($G581="","",IF(AND($G581&gt;=30,$AT$3&lt;=AM$7),ROUND(AM581*($AP$3+#REF!),-1),""))</f>
        <v/>
      </c>
      <c r="AO581" s="503" t="e">
        <v>#REF!</v>
      </c>
      <c r="AP581" s="503" t="str">
        <f>IF($G581="","",IF(AND($G581&gt;=30,$AT$3&lt;=AO$7),ROUND(AO581*($AP$3+#REF!),-1),""))</f>
        <v/>
      </c>
      <c r="AQ581" s="503" t="s">
        <v>621</v>
      </c>
      <c r="AR581" s="503" t="str">
        <f>IF($G581="","",IF(AND($G581&gt;=30,$AT$3&lt;=AQ$7),ROUND(AQ581*($AP$3+#REF!),-1),""))</f>
        <v/>
      </c>
      <c r="AS581" s="503" t="s">
        <v>621</v>
      </c>
      <c r="AT581" s="503" t="str">
        <f>IF($G581="","",IF(AND($G581&gt;=30,$AT$3&lt;=AS$7),ROUND(AS581*($AP$3+#REF!),-1),""))</f>
        <v/>
      </c>
      <c r="AU581" s="503" t="s">
        <v>621</v>
      </c>
      <c r="AV581" s="503" t="str">
        <f>IF($G581="","",IF(AND($G581&gt;=30,$AT$3&lt;=AU$7),ROUND(AU581*($AP$3+#REF!),-1),""))</f>
        <v/>
      </c>
      <c r="AW581" s="503" t="s">
        <v>621</v>
      </c>
      <c r="AX581" s="503" t="str">
        <f>IF($G581="","",IF(AND($G581&gt;=30,$AT$3&lt;=AW$7),ROUND(AW581*($AP$3+#REF!),-1),""))</f>
        <v/>
      </c>
      <c r="AY581" s="503" t="s">
        <v>621</v>
      </c>
      <c r="AZ581" s="503" t="str">
        <f>IF($G581="","",IF(AND($G581&gt;=30,$AT$3&lt;=AY$7),ROUND(AY581*($AP$3+#REF!),-1),""))</f>
        <v/>
      </c>
      <c r="BA581" s="503" t="s">
        <v>621</v>
      </c>
      <c r="BB581" s="503" t="str">
        <f>IF($G581="","",IF(AND($G581&gt;=30,$AT$3&lt;=BA$7),ROUND(BA581*($AP$3+#REF!),-1),""))</f>
        <v/>
      </c>
      <c r="BC581" s="503" t="s">
        <v>621</v>
      </c>
      <c r="BD581" s="503" t="str">
        <f>IF($G581="","",IF(AND($G581&gt;=30,$AT$3&lt;=BC$7),ROUND(BC581*($AP$3+#REF!),-1),""))</f>
        <v/>
      </c>
      <c r="BE581" s="503" t="s">
        <v>621</v>
      </c>
      <c r="BF581" s="503" t="str">
        <f>IF($G581="","",IF(AND($G581&gt;=30,$AT$3&lt;=BE$7),ROUND(BE581*($AP$3+#REF!),-1),""))</f>
        <v/>
      </c>
      <c r="BG581" s="503" t="s">
        <v>621</v>
      </c>
      <c r="BH581" s="503" t="str">
        <f>IF($G581="","",IF(AND($G581&gt;=30,$AT$3&lt;=BG$7),ROUND(BG581*($AP$3+#REF!),-1),""))</f>
        <v/>
      </c>
      <c r="BI581" s="503" t="s">
        <v>621</v>
      </c>
      <c r="BJ581" s="503" t="str">
        <f>IF($G581="","",IF(AND($G581&gt;=30,$AT$3&lt;=BI$7),ROUND(BI581*($AP$3+#REF!),-1),""))</f>
        <v/>
      </c>
      <c r="BK581" s="503" t="s">
        <v>621</v>
      </c>
      <c r="BL581" s="503" t="str">
        <f>IF($G581="","",IF(AND($G581&gt;=30,$AT$3&lt;=BK$7),ROUND(BK581*($AP$3+#REF!),-1),""))</f>
        <v/>
      </c>
      <c r="BM581" s="503" t="s">
        <v>621</v>
      </c>
      <c r="BN581" s="503" t="str">
        <f>IF($G581="","",IF(AND($G581&gt;=30,$AT$3&lt;=BM$7),ROUND(BM581*($AP$3+#REF!),-1),""))</f>
        <v/>
      </c>
      <c r="BO581" s="503" t="s">
        <v>621</v>
      </c>
      <c r="BP581" s="503" t="str">
        <f>IF($G581="","",IF(AND($G581&gt;=30,$AT$3&lt;=BO$7),ROUND(BO581*($AP$3+#REF!),-1),""))</f>
        <v/>
      </c>
      <c r="BQ581" s="503" t="s">
        <v>621</v>
      </c>
      <c r="BR581" s="503" t="str">
        <f>IF($G581="","",IF(AND($G581&gt;=30,$AT$3&lt;=BQ$7),ROUND(BQ581*($AP$3+#REF!),-1),""))</f>
        <v/>
      </c>
      <c r="BS581" s="503" t="s">
        <v>621</v>
      </c>
      <c r="BT581" s="503" t="str">
        <f>IF($G581="","",IF(AND($G581&gt;=30,$AT$3&lt;=BS$7),ROUND(BS581*($AP$3+#REF!),-1),""))</f>
        <v/>
      </c>
      <c r="BU581" s="503" t="s">
        <v>621</v>
      </c>
      <c r="BV581" s="503" t="str">
        <f>IF($G581="","",IF(AND($G581&gt;=30,$AT$3&lt;=BU$7),ROUND(BU581*($AP$3+#REF!),-1),""))</f>
        <v/>
      </c>
      <c r="BW581" s="503" t="s">
        <v>621</v>
      </c>
      <c r="BX581" s="503" t="str">
        <f>IF($G581="","",IF(AND($G581&gt;=30,$AT$3&lt;=BW$7),ROUND(BW581*($AP$3+#REF!),-1),""))</f>
        <v/>
      </c>
      <c r="BY581" s="503" t="s">
        <v>621</v>
      </c>
      <c r="BZ581" s="503" t="str">
        <f>IF($G581="","",IF(AND($G581&gt;=30,$AT$3&lt;=BY$7),ROUND(BY581*($AP$3+#REF!),-1),""))</f>
        <v/>
      </c>
      <c r="CA581" s="503" t="s">
        <v>621</v>
      </c>
      <c r="CB581" s="503" t="str">
        <f>IF($G581="","",IF(AND($G581&gt;=30,$AT$3&lt;=CA$7),ROUND(CA581*($AP$3+#REF!),-1),""))</f>
        <v/>
      </c>
      <c r="CC581" s="503" t="s">
        <v>621</v>
      </c>
      <c r="CD581" s="503" t="str">
        <f>IF($G581="","",IF(AND($G581&gt;=30,$AT$3&lt;=CC$7),ROUND(CC581*($AP$3+#REF!),-1),""))</f>
        <v/>
      </c>
      <c r="CE581" s="503" t="s">
        <v>621</v>
      </c>
      <c r="CF581" s="503" t="str">
        <f>IF($G581="","",IF(AND($G581&gt;=30,$AT$3&lt;=CE$7),ROUND(CE581*($AP$3+#REF!),-1),""))</f>
        <v/>
      </c>
      <c r="CG581" s="503" t="s">
        <v>621</v>
      </c>
      <c r="CH581" s="503" t="str">
        <f>IF($G581="","",IF(AND($G581&gt;=30,$AT$3&lt;=CG$7),ROUND(CG581*($AP$3+#REF!),-1),""))</f>
        <v/>
      </c>
      <c r="CI581" s="503" t="s">
        <v>621</v>
      </c>
      <c r="CJ581" s="503" t="str">
        <f>IF($G581="","",IF(AND($G581&gt;=30,$AT$3&lt;=CI$7),ROUND(CI581*($AP$3+#REF!),-1),""))</f>
        <v/>
      </c>
      <c r="CK581" s="503" t="s">
        <v>621</v>
      </c>
      <c r="CL581" s="503" t="str">
        <f>IF($G581="","",IF(AND($G581&gt;=30,$AT$3&lt;=CK$7),ROUND(CK581*($AP$3+#REF!),-1),""))</f>
        <v/>
      </c>
      <c r="CM581" s="503" t="s">
        <v>621</v>
      </c>
      <c r="CN581" s="503" t="str">
        <f>IF($G581="","",IF(AND($G581&gt;=30,$AT$3&lt;=CM$7),ROUND(CM581*($AP$3+#REF!),-1),""))</f>
        <v/>
      </c>
      <c r="CO581" s="503" t="s">
        <v>621</v>
      </c>
      <c r="CP581" s="503" t="str">
        <f>IF($G581="","",IF(AND($G581&gt;=30,$AT$3&lt;=CO$7),ROUND(CO581*($AP$3+#REF!),-1),""))</f>
        <v/>
      </c>
      <c r="CQ581" s="503" t="s">
        <v>621</v>
      </c>
      <c r="CR581" s="503" t="str">
        <f>IF($G581="","",IF(AND($G581&gt;=30,$AT$3&lt;=CQ$7),ROUND(CQ581*($AP$3+#REF!),-1),""))</f>
        <v/>
      </c>
      <c r="CS581" s="503" t="s">
        <v>621</v>
      </c>
      <c r="CT581" s="503" t="str">
        <f>IF($G581="","",IF(AND($G581&gt;=30,$AT$3&lt;=CS$7),ROUND(CS581*($AP$3+#REF!),-1),""))</f>
        <v/>
      </c>
      <c r="CU581" s="503" t="s">
        <v>621</v>
      </c>
      <c r="CV581" s="503" t="str">
        <f>IF($G581="","",IF(AND($G581&gt;=30,$AT$3&lt;=CU$7),ROUND(CU581*($AP$3+#REF!),-1),""))</f>
        <v/>
      </c>
      <c r="CW581" s="503" t="s">
        <v>621</v>
      </c>
      <c r="CX581" s="503" t="str">
        <f>IF($G581="","",IF(AND($G581&gt;=30,$AT$3&lt;=CW$7),ROUND(CW581*($AP$3+#REF!),-1),""))</f>
        <v/>
      </c>
      <c r="CY581" s="503" t="s">
        <v>621</v>
      </c>
      <c r="CZ581" s="503" t="str">
        <f>IF($G581="","",IF(AND($G581&gt;=30,$AT$3&lt;=CY$7),ROUND(CY581*($AP$3+#REF!),-1),""))</f>
        <v/>
      </c>
      <c r="DA581" s="503" t="s">
        <v>621</v>
      </c>
      <c r="DB581" s="503" t="str">
        <f>IF($G581="","",IF(AND($G581&gt;=30,$AT$3&lt;=DA$7),ROUND(DA581*($AP$3+#REF!),-1),""))</f>
        <v/>
      </c>
      <c r="DC581" s="503" t="s">
        <v>621</v>
      </c>
      <c r="DD581" s="503" t="str">
        <f>IF($G581="","",IF(AND($G581&gt;=30,$AT$3&lt;=DC$7),ROUND(DC581*($AP$3+#REF!),-1),""))</f>
        <v/>
      </c>
      <c r="DE581" s="503" t="s">
        <v>621</v>
      </c>
      <c r="DF581" s="503" t="str">
        <f>IF($G581="","",IF(AND($G581&gt;=30,$AT$3&lt;=DE$7),ROUND(DE581*($AP$3+#REF!),-1),""))</f>
        <v/>
      </c>
      <c r="DG581" s="503" t="s">
        <v>621</v>
      </c>
      <c r="DH581" s="503" t="str">
        <f>IF($G581="","",IF(AND($G581&gt;=30,$AT$3&lt;=DG$7),ROUND(DG581*($AP$3+#REF!),-1),""))</f>
        <v/>
      </c>
      <c r="DI581" s="503" t="s">
        <v>621</v>
      </c>
      <c r="DJ581" s="503" t="str">
        <f>IF($G581="","",IF(AND($G581&gt;=30,$AT$3&lt;=DI$7),ROUND(DI581*($AP$3+#REF!),-1),""))</f>
        <v/>
      </c>
      <c r="DK581" s="503" t="s">
        <v>621</v>
      </c>
      <c r="DL581" s="503" t="str">
        <f>IF($G581="","",IF(AND($G581&gt;=30,$AT$3&lt;=DK$7),ROUND(DK581*($AP$3+#REF!),-1),""))</f>
        <v/>
      </c>
      <c r="DM581" s="503" t="s">
        <v>621</v>
      </c>
      <c r="DN581" s="503" t="str">
        <f>IF($G581="","",IF(AND($G581&gt;=30,$AT$3&lt;=DM$7),ROUND(DM581*($AP$3+#REF!),-1),""))</f>
        <v/>
      </c>
      <c r="DO581" s="503" t="s">
        <v>621</v>
      </c>
      <c r="DP581" s="503" t="str">
        <f>IF($G581="","",IF(AND($G581&gt;=30,$AT$3&lt;=DO$7),ROUND(DO581*($AP$3+#REF!),-1),""))</f>
        <v/>
      </c>
      <c r="DQ581" s="503" t="s">
        <v>621</v>
      </c>
      <c r="DR581" s="503" t="str">
        <f>IF($G581="","",IF(AND($G581&gt;=30,$AT$3&lt;=DQ$7),ROUND(DQ581*($AP$3+#REF!),-1),""))</f>
        <v/>
      </c>
      <c r="DS581" s="503" t="s">
        <v>621</v>
      </c>
      <c r="DT581" s="503" t="str">
        <f>IF($G581="","",IF(AND($G581&gt;=30,$AT$3&lt;=DS$7),ROUND(DS581*($AP$3+#REF!),-1),""))</f>
        <v/>
      </c>
      <c r="DU581" s="503" t="s">
        <v>621</v>
      </c>
      <c r="DV581" s="503" t="str">
        <f>IF($G581="","",IF(AND($G581&gt;=30,$AT$3&lt;=DU$7),ROUND(DU581*($AP$3+#REF!),-1),""))</f>
        <v/>
      </c>
      <c r="DW581" s="517" t="e">
        <v>#REF!</v>
      </c>
      <c r="DX581" s="503" t="str">
        <f>IF($G581="","",IF(AND($G581&gt;=30,$AT$3&lt;=DW$7),ROUND(DW581*($AP$3+#REF!),-1),""))</f>
        <v/>
      </c>
      <c r="DY581" s="503"/>
      <c r="DZ581" s="503" t="str">
        <f>IF($G581="","",IF(AND($G581&gt;=30,$AT$3&lt;=DY$7),ROUND(DY581*($AP$3+#REF!),-1),""))</f>
        <v/>
      </c>
      <c r="EA581" s="503"/>
      <c r="EB581" s="503" t="str">
        <f>IF($G581="","",IF(AND($G581&gt;=30,$AT$3&lt;=EA$7),ROUND(EA581*($AP$3+#REF!),-1),""))</f>
        <v/>
      </c>
      <c r="EC581" s="436"/>
      <c r="ED581" s="436"/>
      <c r="EE581" s="394"/>
    </row>
    <row r="582" spans="1:135" ht="9.75" customHeight="1">
      <c r="A582" s="321" t="str">
        <f t="shared" si="138"/>
        <v/>
      </c>
      <c r="B582" s="567">
        <f>(ii!$D$13*12+V582)+1</f>
        <v>476</v>
      </c>
      <c r="C582" s="337">
        <f t="shared" si="128"/>
        <v>59840</v>
      </c>
      <c r="D582" s="484">
        <f t="shared" si="131"/>
        <v>2063</v>
      </c>
      <c r="E582" s="484">
        <f t="shared" si="129"/>
        <v>0.83333333333333337</v>
      </c>
      <c r="F582" s="484">
        <f t="shared" si="132"/>
        <v>2063.8333333333335</v>
      </c>
      <c r="G582" s="485" t="str">
        <f>IF(OR(C582&lt;$I$2,C582&gt;$J$3),"",(ii!$D$13*12+V582+1)/12)</f>
        <v/>
      </c>
      <c r="H582" s="486"/>
      <c r="I582" s="486"/>
      <c r="J582" s="487"/>
      <c r="K582" s="488"/>
      <c r="L582" s="548"/>
      <c r="M582" s="489" t="str">
        <f t="shared" si="133"/>
        <v/>
      </c>
      <c r="N582" s="490" t="s">
        <v>621</v>
      </c>
      <c r="O582" s="490" t="str">
        <f t="shared" si="126"/>
        <v/>
      </c>
      <c r="P582" s="491"/>
      <c r="Q582" s="491"/>
      <c r="R582" s="491" t="str">
        <f t="shared" si="127"/>
        <v/>
      </c>
      <c r="S582" s="528" t="str">
        <f t="shared" si="139"/>
        <v/>
      </c>
      <c r="T582" s="528" t="str">
        <f t="shared" si="137"/>
        <v/>
      </c>
      <c r="U582" s="493" t="str">
        <f>IF(H582="","",#REF!*12+#REF!+#REF!*12+#REF!)</f>
        <v/>
      </c>
      <c r="V582" s="338">
        <f>IF(ii!$J$3&gt;gg!C582,"",IF(AND((YEAR(C582)=YEAR($I$2)),MONTH(C582)=MONTH($I$2)),ii!$B$14*12+ii!$C$14+ii!$B$15*12+ii!$C$15-1,V581+1))</f>
        <v>475</v>
      </c>
      <c r="W582" s="339">
        <f t="shared" si="130"/>
        <v>39.583333333333336</v>
      </c>
      <c r="X582" s="494" t="s">
        <v>621</v>
      </c>
      <c r="Y582" s="495" t="s">
        <v>621</v>
      </c>
      <c r="Z582" s="496"/>
      <c r="AA582" s="497"/>
      <c r="AB582" s="498" t="str">
        <f t="shared" si="136"/>
        <v/>
      </c>
      <c r="AC582" s="484" t="str">
        <f t="shared" si="134"/>
        <v/>
      </c>
      <c r="AD582" s="495" t="str">
        <f t="shared" si="135"/>
        <v/>
      </c>
      <c r="AE582" s="499" t="s">
        <v>621</v>
      </c>
      <c r="AF582" s="500" t="s">
        <v>621</v>
      </c>
      <c r="AG582" s="556" t="s">
        <v>621</v>
      </c>
      <c r="AH582" s="503" t="str">
        <f>IF($G582="","",IF(AND($G582&gt;=30,$AT$3&lt;=AG$7),ROUND(AG582*($AP$3+#REF!),-1),""))</f>
        <v/>
      </c>
      <c r="AI582" s="506" t="s">
        <v>621</v>
      </c>
      <c r="AJ582" s="503" t="str">
        <f>IF($G582="","",IF(AND($G582&gt;=30,$AT$3&lt;=AI$7),ROUND(AI582*($AP$3+#REF!),-1),""))</f>
        <v/>
      </c>
      <c r="AK582" s="506" t="s">
        <v>621</v>
      </c>
      <c r="AL582" s="503" t="str">
        <f>IF($G582="","",IF(AND($G582&gt;=30,$AT$3&lt;=AK$7),ROUND(AK582*($AP$3+#REF!),-1),""))</f>
        <v/>
      </c>
      <c r="AM582" s="506" t="s">
        <v>621</v>
      </c>
      <c r="AN582" s="503" t="str">
        <f>IF($G582="","",IF(AND($G582&gt;=30,$AT$3&lt;=AM$7),ROUND(AM582*($AP$3+#REF!),-1),""))</f>
        <v/>
      </c>
      <c r="AO582" s="503" t="e">
        <v>#REF!</v>
      </c>
      <c r="AP582" s="503" t="str">
        <f>IF($G582="","",IF(AND($G582&gt;=30,$AT$3&lt;=AO$7),ROUND(AO582*($AP$3+#REF!),-1),""))</f>
        <v/>
      </c>
      <c r="AQ582" s="503" t="s">
        <v>621</v>
      </c>
      <c r="AR582" s="503" t="str">
        <f>IF($G582="","",IF(AND($G582&gt;=30,$AT$3&lt;=AQ$7),ROUND(AQ582*($AP$3+#REF!),-1),""))</f>
        <v/>
      </c>
      <c r="AS582" s="503" t="s">
        <v>621</v>
      </c>
      <c r="AT582" s="503" t="str">
        <f>IF($G582="","",IF(AND($G582&gt;=30,$AT$3&lt;=AS$7),ROUND(AS582*($AP$3+#REF!),-1),""))</f>
        <v/>
      </c>
      <c r="AU582" s="503" t="s">
        <v>621</v>
      </c>
      <c r="AV582" s="503" t="str">
        <f>IF($G582="","",IF(AND($G582&gt;=30,$AT$3&lt;=AU$7),ROUND(AU582*($AP$3+#REF!),-1),""))</f>
        <v/>
      </c>
      <c r="AW582" s="503" t="s">
        <v>621</v>
      </c>
      <c r="AX582" s="503" t="str">
        <f>IF($G582="","",IF(AND($G582&gt;=30,$AT$3&lt;=AW$7),ROUND(AW582*($AP$3+#REF!),-1),""))</f>
        <v/>
      </c>
      <c r="AY582" s="503" t="s">
        <v>621</v>
      </c>
      <c r="AZ582" s="503" t="str">
        <f>IF($G582="","",IF(AND($G582&gt;=30,$AT$3&lt;=AY$7),ROUND(AY582*($AP$3+#REF!),-1),""))</f>
        <v/>
      </c>
      <c r="BA582" s="503" t="s">
        <v>621</v>
      </c>
      <c r="BB582" s="503" t="str">
        <f>IF($G582="","",IF(AND($G582&gt;=30,$AT$3&lt;=BA$7),ROUND(BA582*($AP$3+#REF!),-1),""))</f>
        <v/>
      </c>
      <c r="BC582" s="503" t="s">
        <v>621</v>
      </c>
      <c r="BD582" s="503" t="str">
        <f>IF($G582="","",IF(AND($G582&gt;=30,$AT$3&lt;=BC$7),ROUND(BC582*($AP$3+#REF!),-1),""))</f>
        <v/>
      </c>
      <c r="BE582" s="503" t="s">
        <v>621</v>
      </c>
      <c r="BF582" s="503" t="str">
        <f>IF($G582="","",IF(AND($G582&gt;=30,$AT$3&lt;=BE$7),ROUND(BE582*($AP$3+#REF!),-1),""))</f>
        <v/>
      </c>
      <c r="BG582" s="503" t="s">
        <v>621</v>
      </c>
      <c r="BH582" s="503" t="str">
        <f>IF($G582="","",IF(AND($G582&gt;=30,$AT$3&lt;=BG$7),ROUND(BG582*($AP$3+#REF!),-1),""))</f>
        <v/>
      </c>
      <c r="BI582" s="503" t="s">
        <v>621</v>
      </c>
      <c r="BJ582" s="503" t="str">
        <f>IF($G582="","",IF(AND($G582&gt;=30,$AT$3&lt;=BI$7),ROUND(BI582*($AP$3+#REF!),-1),""))</f>
        <v/>
      </c>
      <c r="BK582" s="503" t="s">
        <v>621</v>
      </c>
      <c r="BL582" s="503" t="str">
        <f>IF($G582="","",IF(AND($G582&gt;=30,$AT$3&lt;=BK$7),ROUND(BK582*($AP$3+#REF!),-1),""))</f>
        <v/>
      </c>
      <c r="BM582" s="503" t="s">
        <v>621</v>
      </c>
      <c r="BN582" s="503" t="str">
        <f>IF($G582="","",IF(AND($G582&gt;=30,$AT$3&lt;=BM$7),ROUND(BM582*($AP$3+#REF!),-1),""))</f>
        <v/>
      </c>
      <c r="BO582" s="503" t="s">
        <v>621</v>
      </c>
      <c r="BP582" s="503" t="str">
        <f>IF($G582="","",IF(AND($G582&gt;=30,$AT$3&lt;=BO$7),ROUND(BO582*($AP$3+#REF!),-1),""))</f>
        <v/>
      </c>
      <c r="BQ582" s="503" t="s">
        <v>621</v>
      </c>
      <c r="BR582" s="503" t="str">
        <f>IF($G582="","",IF(AND($G582&gt;=30,$AT$3&lt;=BQ$7),ROUND(BQ582*($AP$3+#REF!),-1),""))</f>
        <v/>
      </c>
      <c r="BS582" s="503" t="s">
        <v>621</v>
      </c>
      <c r="BT582" s="503" t="str">
        <f>IF($G582="","",IF(AND($G582&gt;=30,$AT$3&lt;=BS$7),ROUND(BS582*($AP$3+#REF!),-1),""))</f>
        <v/>
      </c>
      <c r="BU582" s="503" t="s">
        <v>621</v>
      </c>
      <c r="BV582" s="503" t="str">
        <f>IF($G582="","",IF(AND($G582&gt;=30,$AT$3&lt;=BU$7),ROUND(BU582*($AP$3+#REF!),-1),""))</f>
        <v/>
      </c>
      <c r="BW582" s="503" t="s">
        <v>621</v>
      </c>
      <c r="BX582" s="503" t="str">
        <f>IF($G582="","",IF(AND($G582&gt;=30,$AT$3&lt;=BW$7),ROUND(BW582*($AP$3+#REF!),-1),""))</f>
        <v/>
      </c>
      <c r="BY582" s="503" t="s">
        <v>621</v>
      </c>
      <c r="BZ582" s="503" t="str">
        <f>IF($G582="","",IF(AND($G582&gt;=30,$AT$3&lt;=BY$7),ROUND(BY582*($AP$3+#REF!),-1),""))</f>
        <v/>
      </c>
      <c r="CA582" s="503" t="s">
        <v>621</v>
      </c>
      <c r="CB582" s="503" t="str">
        <f>IF($G582="","",IF(AND($G582&gt;=30,$AT$3&lt;=CA$7),ROUND(CA582*($AP$3+#REF!),-1),""))</f>
        <v/>
      </c>
      <c r="CC582" s="503" t="s">
        <v>621</v>
      </c>
      <c r="CD582" s="503" t="str">
        <f>IF($G582="","",IF(AND($G582&gt;=30,$AT$3&lt;=CC$7),ROUND(CC582*($AP$3+#REF!),-1),""))</f>
        <v/>
      </c>
      <c r="CE582" s="503" t="s">
        <v>621</v>
      </c>
      <c r="CF582" s="503" t="str">
        <f>IF($G582="","",IF(AND($G582&gt;=30,$AT$3&lt;=CE$7),ROUND(CE582*($AP$3+#REF!),-1),""))</f>
        <v/>
      </c>
      <c r="CG582" s="503" t="s">
        <v>621</v>
      </c>
      <c r="CH582" s="503" t="str">
        <f>IF($G582="","",IF(AND($G582&gt;=30,$AT$3&lt;=CG$7),ROUND(CG582*($AP$3+#REF!),-1),""))</f>
        <v/>
      </c>
      <c r="CI582" s="503" t="s">
        <v>621</v>
      </c>
      <c r="CJ582" s="503" t="str">
        <f>IF($G582="","",IF(AND($G582&gt;=30,$AT$3&lt;=CI$7),ROUND(CI582*($AP$3+#REF!),-1),""))</f>
        <v/>
      </c>
      <c r="CK582" s="503" t="s">
        <v>621</v>
      </c>
      <c r="CL582" s="503" t="str">
        <f>IF($G582="","",IF(AND($G582&gt;=30,$AT$3&lt;=CK$7),ROUND(CK582*($AP$3+#REF!),-1),""))</f>
        <v/>
      </c>
      <c r="CM582" s="503" t="s">
        <v>621</v>
      </c>
      <c r="CN582" s="503" t="str">
        <f>IF($G582="","",IF(AND($G582&gt;=30,$AT$3&lt;=CM$7),ROUND(CM582*($AP$3+#REF!),-1),""))</f>
        <v/>
      </c>
      <c r="CO582" s="503" t="s">
        <v>621</v>
      </c>
      <c r="CP582" s="503" t="str">
        <f>IF($G582="","",IF(AND($G582&gt;=30,$AT$3&lt;=CO$7),ROUND(CO582*($AP$3+#REF!),-1),""))</f>
        <v/>
      </c>
      <c r="CQ582" s="503" t="s">
        <v>621</v>
      </c>
      <c r="CR582" s="503" t="str">
        <f>IF($G582="","",IF(AND($G582&gt;=30,$AT$3&lt;=CQ$7),ROUND(CQ582*($AP$3+#REF!),-1),""))</f>
        <v/>
      </c>
      <c r="CS582" s="503" t="s">
        <v>621</v>
      </c>
      <c r="CT582" s="503" t="str">
        <f>IF($G582="","",IF(AND($G582&gt;=30,$AT$3&lt;=CS$7),ROUND(CS582*($AP$3+#REF!),-1),""))</f>
        <v/>
      </c>
      <c r="CU582" s="503" t="s">
        <v>621</v>
      </c>
      <c r="CV582" s="503" t="str">
        <f>IF($G582="","",IF(AND($G582&gt;=30,$AT$3&lt;=CU$7),ROUND(CU582*($AP$3+#REF!),-1),""))</f>
        <v/>
      </c>
      <c r="CW582" s="503" t="s">
        <v>621</v>
      </c>
      <c r="CX582" s="503" t="str">
        <f>IF($G582="","",IF(AND($G582&gt;=30,$AT$3&lt;=CW$7),ROUND(CW582*($AP$3+#REF!),-1),""))</f>
        <v/>
      </c>
      <c r="CY582" s="503" t="s">
        <v>621</v>
      </c>
      <c r="CZ582" s="503" t="str">
        <f>IF($G582="","",IF(AND($G582&gt;=30,$AT$3&lt;=CY$7),ROUND(CY582*($AP$3+#REF!),-1),""))</f>
        <v/>
      </c>
      <c r="DA582" s="503" t="s">
        <v>621</v>
      </c>
      <c r="DB582" s="503" t="str">
        <f>IF($G582="","",IF(AND($G582&gt;=30,$AT$3&lt;=DA$7),ROUND(DA582*($AP$3+#REF!),-1),""))</f>
        <v/>
      </c>
      <c r="DC582" s="503" t="s">
        <v>621</v>
      </c>
      <c r="DD582" s="503" t="str">
        <f>IF($G582="","",IF(AND($G582&gt;=30,$AT$3&lt;=DC$7),ROUND(DC582*($AP$3+#REF!),-1),""))</f>
        <v/>
      </c>
      <c r="DE582" s="503" t="s">
        <v>621</v>
      </c>
      <c r="DF582" s="503" t="str">
        <f>IF($G582="","",IF(AND($G582&gt;=30,$AT$3&lt;=DE$7),ROUND(DE582*($AP$3+#REF!),-1),""))</f>
        <v/>
      </c>
      <c r="DG582" s="503" t="s">
        <v>621</v>
      </c>
      <c r="DH582" s="503" t="str">
        <f>IF($G582="","",IF(AND($G582&gt;=30,$AT$3&lt;=DG$7),ROUND(DG582*($AP$3+#REF!),-1),""))</f>
        <v/>
      </c>
      <c r="DI582" s="503" t="s">
        <v>621</v>
      </c>
      <c r="DJ582" s="503" t="str">
        <f>IF($G582="","",IF(AND($G582&gt;=30,$AT$3&lt;=DI$7),ROUND(DI582*($AP$3+#REF!),-1),""))</f>
        <v/>
      </c>
      <c r="DK582" s="503" t="s">
        <v>621</v>
      </c>
      <c r="DL582" s="503" t="str">
        <f>IF($G582="","",IF(AND($G582&gt;=30,$AT$3&lt;=DK$7),ROUND(DK582*($AP$3+#REF!),-1),""))</f>
        <v/>
      </c>
      <c r="DM582" s="503" t="s">
        <v>621</v>
      </c>
      <c r="DN582" s="503" t="str">
        <f>IF($G582="","",IF(AND($G582&gt;=30,$AT$3&lt;=DM$7),ROUND(DM582*($AP$3+#REF!),-1),""))</f>
        <v/>
      </c>
      <c r="DO582" s="503" t="s">
        <v>621</v>
      </c>
      <c r="DP582" s="503" t="str">
        <f>IF($G582="","",IF(AND($G582&gt;=30,$AT$3&lt;=DO$7),ROUND(DO582*($AP$3+#REF!),-1),""))</f>
        <v/>
      </c>
      <c r="DQ582" s="503" t="s">
        <v>621</v>
      </c>
      <c r="DR582" s="503" t="str">
        <f>IF($G582="","",IF(AND($G582&gt;=30,$AT$3&lt;=DQ$7),ROUND(DQ582*($AP$3+#REF!),-1),""))</f>
        <v/>
      </c>
      <c r="DS582" s="503" t="s">
        <v>621</v>
      </c>
      <c r="DT582" s="503" t="str">
        <f>IF($G582="","",IF(AND($G582&gt;=30,$AT$3&lt;=DS$7),ROUND(DS582*($AP$3+#REF!),-1),""))</f>
        <v/>
      </c>
      <c r="DU582" s="503" t="s">
        <v>621</v>
      </c>
      <c r="DV582" s="503" t="str">
        <f>IF($G582="","",IF(AND($G582&gt;=30,$AT$3&lt;=DU$7),ROUND(DU582*($AP$3+#REF!),-1),""))</f>
        <v/>
      </c>
      <c r="DW582" s="517" t="e">
        <v>#REF!</v>
      </c>
      <c r="DX582" s="503" t="str">
        <f>IF($G582="","",IF(AND($G582&gt;=30,$AT$3&lt;=DW$7),ROUND(DW582*($AP$3+#REF!),-1),""))</f>
        <v/>
      </c>
      <c r="DY582" s="503"/>
      <c r="DZ582" s="503" t="str">
        <f>IF($G582="","",IF(AND($G582&gt;=30,$AT$3&lt;=DY$7),ROUND(DY582*($AP$3+#REF!),-1),""))</f>
        <v/>
      </c>
      <c r="EA582" s="503"/>
      <c r="EB582" s="503" t="str">
        <f>IF($G582="","",IF(AND($G582&gt;=30,$AT$3&lt;=EA$7),ROUND(EA582*($AP$3+#REF!),-1),""))</f>
        <v/>
      </c>
      <c r="EC582" s="436"/>
      <c r="ED582" s="436"/>
      <c r="EE582" s="394"/>
    </row>
    <row r="583" spans="1:135" ht="9.75" customHeight="1">
      <c r="A583" s="321" t="str">
        <f t="shared" si="138"/>
        <v/>
      </c>
      <c r="B583" s="567">
        <f>(ii!$D$13*12+V583)+1</f>
        <v>477</v>
      </c>
      <c r="C583" s="337">
        <f t="shared" si="128"/>
        <v>59870</v>
      </c>
      <c r="D583" s="484">
        <f t="shared" si="131"/>
        <v>2063</v>
      </c>
      <c r="E583" s="484">
        <f t="shared" si="129"/>
        <v>0.91666666666666663</v>
      </c>
      <c r="F583" s="484">
        <f t="shared" si="132"/>
        <v>2063.9166666666665</v>
      </c>
      <c r="G583" s="485" t="str">
        <f>IF(OR(C583&lt;$I$2,C583&gt;$J$3),"",(ii!$D$13*12+V583+1)/12)</f>
        <v/>
      </c>
      <c r="H583" s="486"/>
      <c r="I583" s="486"/>
      <c r="J583" s="487"/>
      <c r="K583" s="488"/>
      <c r="L583" s="548"/>
      <c r="M583" s="489" t="str">
        <f t="shared" si="133"/>
        <v/>
      </c>
      <c r="N583" s="490" t="s">
        <v>621</v>
      </c>
      <c r="O583" s="490" t="str">
        <f t="shared" si="126"/>
        <v/>
      </c>
      <c r="P583" s="491"/>
      <c r="Q583" s="491"/>
      <c r="R583" s="491" t="str">
        <f t="shared" si="127"/>
        <v/>
      </c>
      <c r="S583" s="528" t="str">
        <f t="shared" si="139"/>
        <v/>
      </c>
      <c r="T583" s="528" t="str">
        <f t="shared" si="137"/>
        <v/>
      </c>
      <c r="U583" s="493" t="str">
        <f>IF(H583="","",#REF!*12+#REF!+#REF!*12+#REF!)</f>
        <v/>
      </c>
      <c r="V583" s="338">
        <f>IF(ii!$J$3&gt;gg!C583,"",IF(AND((YEAR(C583)=YEAR($I$2)),MONTH(C583)=MONTH($I$2)),ii!$B$14*12+ii!$C$14+ii!$B$15*12+ii!$C$15-1,V582+1))</f>
        <v>476</v>
      </c>
      <c r="W583" s="339">
        <f t="shared" si="130"/>
        <v>39.666666666666664</v>
      </c>
      <c r="X583" s="494" t="s">
        <v>621</v>
      </c>
      <c r="Y583" s="495" t="s">
        <v>621</v>
      </c>
      <c r="Z583" s="496"/>
      <c r="AA583" s="497"/>
      <c r="AB583" s="498" t="str">
        <f t="shared" si="136"/>
        <v/>
      </c>
      <c r="AC583" s="484" t="str">
        <f t="shared" si="134"/>
        <v/>
      </c>
      <c r="AD583" s="495" t="str">
        <f t="shared" si="135"/>
        <v/>
      </c>
      <c r="AE583" s="499" t="s">
        <v>621</v>
      </c>
      <c r="AF583" s="500" t="s">
        <v>621</v>
      </c>
      <c r="AG583" s="556" t="s">
        <v>621</v>
      </c>
      <c r="AH583" s="503" t="str">
        <f>IF($G583="","",IF(AND($G583&gt;=30,$AT$3&lt;=AG$7),ROUND(AG583*($AP$3+#REF!),-1),""))</f>
        <v/>
      </c>
      <c r="AI583" s="506" t="s">
        <v>621</v>
      </c>
      <c r="AJ583" s="503" t="str">
        <f>IF($G583="","",IF(AND($G583&gt;=30,$AT$3&lt;=AI$7),ROUND(AI583*($AP$3+#REF!),-1),""))</f>
        <v/>
      </c>
      <c r="AK583" s="506" t="s">
        <v>621</v>
      </c>
      <c r="AL583" s="503" t="str">
        <f>IF($G583="","",IF(AND($G583&gt;=30,$AT$3&lt;=AK$7),ROUND(AK583*($AP$3+#REF!),-1),""))</f>
        <v/>
      </c>
      <c r="AM583" s="506" t="s">
        <v>621</v>
      </c>
      <c r="AN583" s="503" t="str">
        <f>IF($G583="","",IF(AND($G583&gt;=30,$AT$3&lt;=AM$7),ROUND(AM583*($AP$3+#REF!),-1),""))</f>
        <v/>
      </c>
      <c r="AO583" s="503" t="e">
        <v>#REF!</v>
      </c>
      <c r="AP583" s="503" t="str">
        <f>IF($G583="","",IF(AND($G583&gt;=30,$AT$3&lt;=AO$7),ROUND(AO583*($AP$3+#REF!),-1),""))</f>
        <v/>
      </c>
      <c r="AQ583" s="503" t="s">
        <v>621</v>
      </c>
      <c r="AR583" s="503" t="str">
        <f>IF($G583="","",IF(AND($G583&gt;=30,$AT$3&lt;=AQ$7),ROUND(AQ583*($AP$3+#REF!),-1),""))</f>
        <v/>
      </c>
      <c r="AS583" s="503" t="s">
        <v>621</v>
      </c>
      <c r="AT583" s="503" t="str">
        <f>IF($G583="","",IF(AND($G583&gt;=30,$AT$3&lt;=AS$7),ROUND(AS583*($AP$3+#REF!),-1),""))</f>
        <v/>
      </c>
      <c r="AU583" s="503" t="s">
        <v>621</v>
      </c>
      <c r="AV583" s="503" t="str">
        <f>IF($G583="","",IF(AND($G583&gt;=30,$AT$3&lt;=AU$7),ROUND(AU583*($AP$3+#REF!),-1),""))</f>
        <v/>
      </c>
      <c r="AW583" s="503" t="s">
        <v>621</v>
      </c>
      <c r="AX583" s="503" t="str">
        <f>IF($G583="","",IF(AND($G583&gt;=30,$AT$3&lt;=AW$7),ROUND(AW583*($AP$3+#REF!),-1),""))</f>
        <v/>
      </c>
      <c r="AY583" s="503" t="s">
        <v>621</v>
      </c>
      <c r="AZ583" s="503" t="str">
        <f>IF($G583="","",IF(AND($G583&gt;=30,$AT$3&lt;=AY$7),ROUND(AY583*($AP$3+#REF!),-1),""))</f>
        <v/>
      </c>
      <c r="BA583" s="503" t="s">
        <v>621</v>
      </c>
      <c r="BB583" s="503" t="str">
        <f>IF($G583="","",IF(AND($G583&gt;=30,$AT$3&lt;=BA$7),ROUND(BA583*($AP$3+#REF!),-1),""))</f>
        <v/>
      </c>
      <c r="BC583" s="503" t="s">
        <v>621</v>
      </c>
      <c r="BD583" s="503" t="str">
        <f>IF($G583="","",IF(AND($G583&gt;=30,$AT$3&lt;=BC$7),ROUND(BC583*($AP$3+#REF!),-1),""))</f>
        <v/>
      </c>
      <c r="BE583" s="503" t="s">
        <v>621</v>
      </c>
      <c r="BF583" s="503" t="str">
        <f>IF($G583="","",IF(AND($G583&gt;=30,$AT$3&lt;=BE$7),ROUND(BE583*($AP$3+#REF!),-1),""))</f>
        <v/>
      </c>
      <c r="BG583" s="503" t="s">
        <v>621</v>
      </c>
      <c r="BH583" s="503" t="str">
        <f>IF($G583="","",IF(AND($G583&gt;=30,$AT$3&lt;=BG$7),ROUND(BG583*($AP$3+#REF!),-1),""))</f>
        <v/>
      </c>
      <c r="BI583" s="503" t="s">
        <v>621</v>
      </c>
      <c r="BJ583" s="503" t="str">
        <f>IF($G583="","",IF(AND($G583&gt;=30,$AT$3&lt;=BI$7),ROUND(BI583*($AP$3+#REF!),-1),""))</f>
        <v/>
      </c>
      <c r="BK583" s="503" t="s">
        <v>621</v>
      </c>
      <c r="BL583" s="503" t="str">
        <f>IF($G583="","",IF(AND($G583&gt;=30,$AT$3&lt;=BK$7),ROUND(BK583*($AP$3+#REF!),-1),""))</f>
        <v/>
      </c>
      <c r="BM583" s="503" t="s">
        <v>621</v>
      </c>
      <c r="BN583" s="503" t="str">
        <f>IF($G583="","",IF(AND($G583&gt;=30,$AT$3&lt;=BM$7),ROUND(BM583*($AP$3+#REF!),-1),""))</f>
        <v/>
      </c>
      <c r="BO583" s="503" t="s">
        <v>621</v>
      </c>
      <c r="BP583" s="503" t="str">
        <f>IF($G583="","",IF(AND($G583&gt;=30,$AT$3&lt;=BO$7),ROUND(BO583*($AP$3+#REF!),-1),""))</f>
        <v/>
      </c>
      <c r="BQ583" s="503" t="s">
        <v>621</v>
      </c>
      <c r="BR583" s="503" t="str">
        <f>IF($G583="","",IF(AND($G583&gt;=30,$AT$3&lt;=BQ$7),ROUND(BQ583*($AP$3+#REF!),-1),""))</f>
        <v/>
      </c>
      <c r="BS583" s="503" t="s">
        <v>621</v>
      </c>
      <c r="BT583" s="503" t="str">
        <f>IF($G583="","",IF(AND($G583&gt;=30,$AT$3&lt;=BS$7),ROUND(BS583*($AP$3+#REF!),-1),""))</f>
        <v/>
      </c>
      <c r="BU583" s="503" t="s">
        <v>621</v>
      </c>
      <c r="BV583" s="503" t="str">
        <f>IF($G583="","",IF(AND($G583&gt;=30,$AT$3&lt;=BU$7),ROUND(BU583*($AP$3+#REF!),-1),""))</f>
        <v/>
      </c>
      <c r="BW583" s="503" t="s">
        <v>621</v>
      </c>
      <c r="BX583" s="503" t="str">
        <f>IF($G583="","",IF(AND($G583&gt;=30,$AT$3&lt;=BW$7),ROUND(BW583*($AP$3+#REF!),-1),""))</f>
        <v/>
      </c>
      <c r="BY583" s="503" t="s">
        <v>621</v>
      </c>
      <c r="BZ583" s="503" t="str">
        <f>IF($G583="","",IF(AND($G583&gt;=30,$AT$3&lt;=BY$7),ROUND(BY583*($AP$3+#REF!),-1),""))</f>
        <v/>
      </c>
      <c r="CA583" s="503" t="s">
        <v>621</v>
      </c>
      <c r="CB583" s="503" t="str">
        <f>IF($G583="","",IF(AND($G583&gt;=30,$AT$3&lt;=CA$7),ROUND(CA583*($AP$3+#REF!),-1),""))</f>
        <v/>
      </c>
      <c r="CC583" s="503" t="s">
        <v>621</v>
      </c>
      <c r="CD583" s="503" t="str">
        <f>IF($G583="","",IF(AND($G583&gt;=30,$AT$3&lt;=CC$7),ROUND(CC583*($AP$3+#REF!),-1),""))</f>
        <v/>
      </c>
      <c r="CE583" s="503" t="s">
        <v>621</v>
      </c>
      <c r="CF583" s="503" t="str">
        <f>IF($G583="","",IF(AND($G583&gt;=30,$AT$3&lt;=CE$7),ROUND(CE583*($AP$3+#REF!),-1),""))</f>
        <v/>
      </c>
      <c r="CG583" s="503" t="s">
        <v>621</v>
      </c>
      <c r="CH583" s="503" t="str">
        <f>IF($G583="","",IF(AND($G583&gt;=30,$AT$3&lt;=CG$7),ROUND(CG583*($AP$3+#REF!),-1),""))</f>
        <v/>
      </c>
      <c r="CI583" s="503" t="s">
        <v>621</v>
      </c>
      <c r="CJ583" s="503" t="str">
        <f>IF($G583="","",IF(AND($G583&gt;=30,$AT$3&lt;=CI$7),ROUND(CI583*($AP$3+#REF!),-1),""))</f>
        <v/>
      </c>
      <c r="CK583" s="503" t="s">
        <v>621</v>
      </c>
      <c r="CL583" s="503" t="str">
        <f>IF($G583="","",IF(AND($G583&gt;=30,$AT$3&lt;=CK$7),ROUND(CK583*($AP$3+#REF!),-1),""))</f>
        <v/>
      </c>
      <c r="CM583" s="503" t="s">
        <v>621</v>
      </c>
      <c r="CN583" s="503" t="str">
        <f>IF($G583="","",IF(AND($G583&gt;=30,$AT$3&lt;=CM$7),ROUND(CM583*($AP$3+#REF!),-1),""))</f>
        <v/>
      </c>
      <c r="CO583" s="503" t="s">
        <v>621</v>
      </c>
      <c r="CP583" s="503" t="str">
        <f>IF($G583="","",IF(AND($G583&gt;=30,$AT$3&lt;=CO$7),ROUND(CO583*($AP$3+#REF!),-1),""))</f>
        <v/>
      </c>
      <c r="CQ583" s="503" t="s">
        <v>621</v>
      </c>
      <c r="CR583" s="503" t="str">
        <f>IF($G583="","",IF(AND($G583&gt;=30,$AT$3&lt;=CQ$7),ROUND(CQ583*($AP$3+#REF!),-1),""))</f>
        <v/>
      </c>
      <c r="CS583" s="503" t="s">
        <v>621</v>
      </c>
      <c r="CT583" s="503" t="str">
        <f>IF($G583="","",IF(AND($G583&gt;=30,$AT$3&lt;=CS$7),ROUND(CS583*($AP$3+#REF!),-1),""))</f>
        <v/>
      </c>
      <c r="CU583" s="503" t="s">
        <v>621</v>
      </c>
      <c r="CV583" s="503" t="str">
        <f>IF($G583="","",IF(AND($G583&gt;=30,$AT$3&lt;=CU$7),ROUND(CU583*($AP$3+#REF!),-1),""))</f>
        <v/>
      </c>
      <c r="CW583" s="503" t="s">
        <v>621</v>
      </c>
      <c r="CX583" s="503" t="str">
        <f>IF($G583="","",IF(AND($G583&gt;=30,$AT$3&lt;=CW$7),ROUND(CW583*($AP$3+#REF!),-1),""))</f>
        <v/>
      </c>
      <c r="CY583" s="503" t="s">
        <v>621</v>
      </c>
      <c r="CZ583" s="503" t="str">
        <f>IF($G583="","",IF(AND($G583&gt;=30,$AT$3&lt;=CY$7),ROUND(CY583*($AP$3+#REF!),-1),""))</f>
        <v/>
      </c>
      <c r="DA583" s="503" t="s">
        <v>621</v>
      </c>
      <c r="DB583" s="503" t="str">
        <f>IF($G583="","",IF(AND($G583&gt;=30,$AT$3&lt;=DA$7),ROUND(DA583*($AP$3+#REF!),-1),""))</f>
        <v/>
      </c>
      <c r="DC583" s="503" t="s">
        <v>621</v>
      </c>
      <c r="DD583" s="503" t="str">
        <f>IF($G583="","",IF(AND($G583&gt;=30,$AT$3&lt;=DC$7),ROUND(DC583*($AP$3+#REF!),-1),""))</f>
        <v/>
      </c>
      <c r="DE583" s="503" t="s">
        <v>621</v>
      </c>
      <c r="DF583" s="503" t="str">
        <f>IF($G583="","",IF(AND($G583&gt;=30,$AT$3&lt;=DE$7),ROUND(DE583*($AP$3+#REF!),-1),""))</f>
        <v/>
      </c>
      <c r="DG583" s="503" t="s">
        <v>621</v>
      </c>
      <c r="DH583" s="503" t="str">
        <f>IF($G583="","",IF(AND($G583&gt;=30,$AT$3&lt;=DG$7),ROUND(DG583*($AP$3+#REF!),-1),""))</f>
        <v/>
      </c>
      <c r="DI583" s="503" t="s">
        <v>621</v>
      </c>
      <c r="DJ583" s="503" t="str">
        <f>IF($G583="","",IF(AND($G583&gt;=30,$AT$3&lt;=DI$7),ROUND(DI583*($AP$3+#REF!),-1),""))</f>
        <v/>
      </c>
      <c r="DK583" s="503" t="s">
        <v>621</v>
      </c>
      <c r="DL583" s="503" t="str">
        <f>IF($G583="","",IF(AND($G583&gt;=30,$AT$3&lt;=DK$7),ROUND(DK583*($AP$3+#REF!),-1),""))</f>
        <v/>
      </c>
      <c r="DM583" s="503" t="s">
        <v>621</v>
      </c>
      <c r="DN583" s="503" t="str">
        <f>IF($G583="","",IF(AND($G583&gt;=30,$AT$3&lt;=DM$7),ROUND(DM583*($AP$3+#REF!),-1),""))</f>
        <v/>
      </c>
      <c r="DO583" s="503" t="s">
        <v>621</v>
      </c>
      <c r="DP583" s="503" t="str">
        <f>IF($G583="","",IF(AND($G583&gt;=30,$AT$3&lt;=DO$7),ROUND(DO583*($AP$3+#REF!),-1),""))</f>
        <v/>
      </c>
      <c r="DQ583" s="503" t="s">
        <v>621</v>
      </c>
      <c r="DR583" s="503" t="str">
        <f>IF($G583="","",IF(AND($G583&gt;=30,$AT$3&lt;=DQ$7),ROUND(DQ583*($AP$3+#REF!),-1),""))</f>
        <v/>
      </c>
      <c r="DS583" s="503" t="s">
        <v>621</v>
      </c>
      <c r="DT583" s="503" t="str">
        <f>IF($G583="","",IF(AND($G583&gt;=30,$AT$3&lt;=DS$7),ROUND(DS583*($AP$3+#REF!),-1),""))</f>
        <v/>
      </c>
      <c r="DU583" s="503" t="s">
        <v>621</v>
      </c>
      <c r="DV583" s="503" t="str">
        <f>IF($G583="","",IF(AND($G583&gt;=30,$AT$3&lt;=DU$7),ROUND(DU583*($AP$3+#REF!),-1),""))</f>
        <v/>
      </c>
      <c r="DW583" s="517" t="e">
        <v>#REF!</v>
      </c>
      <c r="DX583" s="503" t="str">
        <f>IF($G583="","",IF(AND($G583&gt;=30,$AT$3&lt;=DW$7),ROUND(DW583*($AP$3+#REF!),-1),""))</f>
        <v/>
      </c>
      <c r="DY583" s="503"/>
      <c r="DZ583" s="503" t="str">
        <f>IF($G583="","",IF(AND($G583&gt;=30,$AT$3&lt;=DY$7),ROUND(DY583*($AP$3+#REF!),-1),""))</f>
        <v/>
      </c>
      <c r="EA583" s="503"/>
      <c r="EB583" s="503" t="str">
        <f>IF($G583="","",IF(AND($G583&gt;=30,$AT$3&lt;=EA$7),ROUND(EA583*($AP$3+#REF!),-1),""))</f>
        <v/>
      </c>
      <c r="EC583" s="436"/>
      <c r="ED583" s="436"/>
      <c r="EE583" s="394"/>
    </row>
    <row r="584" spans="1:135" ht="9.75" customHeight="1">
      <c r="A584" s="321" t="str">
        <f t="shared" si="138"/>
        <v/>
      </c>
      <c r="B584" s="567">
        <f>(ii!$D$13*12+V584)+1</f>
        <v>478</v>
      </c>
      <c r="C584" s="337">
        <f t="shared" si="128"/>
        <v>59901</v>
      </c>
      <c r="D584" s="484">
        <f t="shared" si="131"/>
        <v>2063</v>
      </c>
      <c r="E584" s="484">
        <f t="shared" si="129"/>
        <v>1</v>
      </c>
      <c r="F584" s="484">
        <f t="shared" si="132"/>
        <v>2064</v>
      </c>
      <c r="G584" s="485" t="str">
        <f>IF(OR(C584&lt;$I$2,C584&gt;$J$3),"",(ii!$D$13*12+V584+1)/12)</f>
        <v/>
      </c>
      <c r="H584" s="486"/>
      <c r="I584" s="486"/>
      <c r="J584" s="487"/>
      <c r="K584" s="488"/>
      <c r="L584" s="548"/>
      <c r="M584" s="489" t="str">
        <f t="shared" si="133"/>
        <v/>
      </c>
      <c r="N584" s="490" t="s">
        <v>621</v>
      </c>
      <c r="O584" s="490" t="str">
        <f t="shared" si="126"/>
        <v/>
      </c>
      <c r="P584" s="491"/>
      <c r="Q584" s="491"/>
      <c r="R584" s="491" t="str">
        <f t="shared" si="127"/>
        <v/>
      </c>
      <c r="S584" s="528" t="str">
        <f t="shared" si="139"/>
        <v/>
      </c>
      <c r="T584" s="528" t="str">
        <f t="shared" si="137"/>
        <v/>
      </c>
      <c r="U584" s="493" t="str">
        <f>IF(H584="","",#REF!*12+#REF!+#REF!*12+#REF!)</f>
        <v/>
      </c>
      <c r="V584" s="338">
        <f>IF(ii!$J$3&gt;gg!C584,"",IF(AND((YEAR(C584)=YEAR($I$2)),MONTH(C584)=MONTH($I$2)),ii!$B$14*12+ii!$C$14+ii!$B$15*12+ii!$C$15-1,V583+1))</f>
        <v>477</v>
      </c>
      <c r="W584" s="339">
        <f t="shared" si="130"/>
        <v>39.75</v>
      </c>
      <c r="X584" s="494" t="s">
        <v>621</v>
      </c>
      <c r="Y584" s="495" t="s">
        <v>621</v>
      </c>
      <c r="Z584" s="496"/>
      <c r="AA584" s="497"/>
      <c r="AB584" s="498" t="str">
        <f t="shared" si="136"/>
        <v/>
      </c>
      <c r="AC584" s="484" t="str">
        <f t="shared" si="134"/>
        <v/>
      </c>
      <c r="AD584" s="495" t="str">
        <f t="shared" si="135"/>
        <v/>
      </c>
      <c r="AE584" s="499" t="s">
        <v>621</v>
      </c>
      <c r="AF584" s="500" t="s">
        <v>621</v>
      </c>
      <c r="AG584" s="556" t="s">
        <v>621</v>
      </c>
      <c r="AH584" s="503" t="str">
        <f>IF($G584="","",IF(AND($G584&gt;=30,$AT$3&lt;=AG$7),ROUND(AG584*($AP$3+#REF!),-1),""))</f>
        <v/>
      </c>
      <c r="AI584" s="506" t="s">
        <v>621</v>
      </c>
      <c r="AJ584" s="503" t="str">
        <f>IF($G584="","",IF(AND($G584&gt;=30,$AT$3&lt;=AI$7),ROUND(AI584*($AP$3+#REF!),-1),""))</f>
        <v/>
      </c>
      <c r="AK584" s="506" t="s">
        <v>621</v>
      </c>
      <c r="AL584" s="503" t="str">
        <f>IF($G584="","",IF(AND($G584&gt;=30,$AT$3&lt;=AK$7),ROUND(AK584*($AP$3+#REF!),-1),""))</f>
        <v/>
      </c>
      <c r="AM584" s="506" t="s">
        <v>621</v>
      </c>
      <c r="AN584" s="503" t="str">
        <f>IF($G584="","",IF(AND($G584&gt;=30,$AT$3&lt;=AM$7),ROUND(AM584*($AP$3+#REF!),-1),""))</f>
        <v/>
      </c>
      <c r="AO584" s="503" t="e">
        <v>#REF!</v>
      </c>
      <c r="AP584" s="503" t="str">
        <f>IF($G584="","",IF(AND($G584&gt;=30,$AT$3&lt;=AO$7),ROUND(AO584*($AP$3+#REF!),-1),""))</f>
        <v/>
      </c>
      <c r="AQ584" s="503" t="s">
        <v>621</v>
      </c>
      <c r="AR584" s="503" t="str">
        <f>IF($G584="","",IF(AND($G584&gt;=30,$AT$3&lt;=AQ$7),ROUND(AQ584*($AP$3+#REF!),-1),""))</f>
        <v/>
      </c>
      <c r="AS584" s="503" t="s">
        <v>621</v>
      </c>
      <c r="AT584" s="503" t="str">
        <f>IF($G584="","",IF(AND($G584&gt;=30,$AT$3&lt;=AS$7),ROUND(AS584*($AP$3+#REF!),-1),""))</f>
        <v/>
      </c>
      <c r="AU584" s="503" t="s">
        <v>621</v>
      </c>
      <c r="AV584" s="503" t="str">
        <f>IF($G584="","",IF(AND($G584&gt;=30,$AT$3&lt;=AU$7),ROUND(AU584*($AP$3+#REF!),-1),""))</f>
        <v/>
      </c>
      <c r="AW584" s="503" t="s">
        <v>621</v>
      </c>
      <c r="AX584" s="503" t="str">
        <f>IF($G584="","",IF(AND($G584&gt;=30,$AT$3&lt;=AW$7),ROUND(AW584*($AP$3+#REF!),-1),""))</f>
        <v/>
      </c>
      <c r="AY584" s="503" t="s">
        <v>621</v>
      </c>
      <c r="AZ584" s="503" t="str">
        <f>IF($G584="","",IF(AND($G584&gt;=30,$AT$3&lt;=AY$7),ROUND(AY584*($AP$3+#REF!),-1),""))</f>
        <v/>
      </c>
      <c r="BA584" s="503" t="s">
        <v>621</v>
      </c>
      <c r="BB584" s="503" t="str">
        <f>IF($G584="","",IF(AND($G584&gt;=30,$AT$3&lt;=BA$7),ROUND(BA584*($AP$3+#REF!),-1),""))</f>
        <v/>
      </c>
      <c r="BC584" s="503" t="s">
        <v>621</v>
      </c>
      <c r="BD584" s="503" t="str">
        <f>IF($G584="","",IF(AND($G584&gt;=30,$AT$3&lt;=BC$7),ROUND(BC584*($AP$3+#REF!),-1),""))</f>
        <v/>
      </c>
      <c r="BE584" s="503" t="s">
        <v>621</v>
      </c>
      <c r="BF584" s="503" t="str">
        <f>IF($G584="","",IF(AND($G584&gt;=30,$AT$3&lt;=BE$7),ROUND(BE584*($AP$3+#REF!),-1),""))</f>
        <v/>
      </c>
      <c r="BG584" s="503" t="s">
        <v>621</v>
      </c>
      <c r="BH584" s="503" t="str">
        <f>IF($G584="","",IF(AND($G584&gt;=30,$AT$3&lt;=BG$7),ROUND(BG584*($AP$3+#REF!),-1),""))</f>
        <v/>
      </c>
      <c r="BI584" s="503" t="s">
        <v>621</v>
      </c>
      <c r="BJ584" s="503" t="str">
        <f>IF($G584="","",IF(AND($G584&gt;=30,$AT$3&lt;=BI$7),ROUND(BI584*($AP$3+#REF!),-1),""))</f>
        <v/>
      </c>
      <c r="BK584" s="503" t="s">
        <v>621</v>
      </c>
      <c r="BL584" s="503" t="str">
        <f>IF($G584="","",IF(AND($G584&gt;=30,$AT$3&lt;=BK$7),ROUND(BK584*($AP$3+#REF!),-1),""))</f>
        <v/>
      </c>
      <c r="BM584" s="503" t="s">
        <v>621</v>
      </c>
      <c r="BN584" s="503" t="str">
        <f>IF($G584="","",IF(AND($G584&gt;=30,$AT$3&lt;=BM$7),ROUND(BM584*($AP$3+#REF!),-1),""))</f>
        <v/>
      </c>
      <c r="BO584" s="503" t="s">
        <v>621</v>
      </c>
      <c r="BP584" s="503" t="str">
        <f>IF($G584="","",IF(AND($G584&gt;=30,$AT$3&lt;=BO$7),ROUND(BO584*($AP$3+#REF!),-1),""))</f>
        <v/>
      </c>
      <c r="BQ584" s="503" t="s">
        <v>621</v>
      </c>
      <c r="BR584" s="503" t="str">
        <f>IF($G584="","",IF(AND($G584&gt;=30,$AT$3&lt;=BQ$7),ROUND(BQ584*($AP$3+#REF!),-1),""))</f>
        <v/>
      </c>
      <c r="BS584" s="503" t="s">
        <v>621</v>
      </c>
      <c r="BT584" s="503" t="str">
        <f>IF($G584="","",IF(AND($G584&gt;=30,$AT$3&lt;=BS$7),ROUND(BS584*($AP$3+#REF!),-1),""))</f>
        <v/>
      </c>
      <c r="BU584" s="503" t="s">
        <v>621</v>
      </c>
      <c r="BV584" s="503" t="str">
        <f>IF($G584="","",IF(AND($G584&gt;=30,$AT$3&lt;=BU$7),ROUND(BU584*($AP$3+#REF!),-1),""))</f>
        <v/>
      </c>
      <c r="BW584" s="503" t="s">
        <v>621</v>
      </c>
      <c r="BX584" s="503" t="str">
        <f>IF($G584="","",IF(AND($G584&gt;=30,$AT$3&lt;=BW$7),ROUND(BW584*($AP$3+#REF!),-1),""))</f>
        <v/>
      </c>
      <c r="BY584" s="503" t="s">
        <v>621</v>
      </c>
      <c r="BZ584" s="503" t="str">
        <f>IF($G584="","",IF(AND($G584&gt;=30,$AT$3&lt;=BY$7),ROUND(BY584*($AP$3+#REF!),-1),""))</f>
        <v/>
      </c>
      <c r="CA584" s="503" t="s">
        <v>621</v>
      </c>
      <c r="CB584" s="503" t="str">
        <f>IF($G584="","",IF(AND($G584&gt;=30,$AT$3&lt;=CA$7),ROUND(CA584*($AP$3+#REF!),-1),""))</f>
        <v/>
      </c>
      <c r="CC584" s="503" t="s">
        <v>621</v>
      </c>
      <c r="CD584" s="503" t="str">
        <f>IF($G584="","",IF(AND($G584&gt;=30,$AT$3&lt;=CC$7),ROUND(CC584*($AP$3+#REF!),-1),""))</f>
        <v/>
      </c>
      <c r="CE584" s="503" t="s">
        <v>621</v>
      </c>
      <c r="CF584" s="503" t="str">
        <f>IF($G584="","",IF(AND($G584&gt;=30,$AT$3&lt;=CE$7),ROUND(CE584*($AP$3+#REF!),-1),""))</f>
        <v/>
      </c>
      <c r="CG584" s="503" t="s">
        <v>621</v>
      </c>
      <c r="CH584" s="503" t="str">
        <f>IF($G584="","",IF(AND($G584&gt;=30,$AT$3&lt;=CG$7),ROUND(CG584*($AP$3+#REF!),-1),""))</f>
        <v/>
      </c>
      <c r="CI584" s="503" t="s">
        <v>621</v>
      </c>
      <c r="CJ584" s="503" t="str">
        <f>IF($G584="","",IF(AND($G584&gt;=30,$AT$3&lt;=CI$7),ROUND(CI584*($AP$3+#REF!),-1),""))</f>
        <v/>
      </c>
      <c r="CK584" s="503" t="s">
        <v>621</v>
      </c>
      <c r="CL584" s="503" t="str">
        <f>IF($G584="","",IF(AND($G584&gt;=30,$AT$3&lt;=CK$7),ROUND(CK584*($AP$3+#REF!),-1),""))</f>
        <v/>
      </c>
      <c r="CM584" s="503" t="s">
        <v>621</v>
      </c>
      <c r="CN584" s="503" t="str">
        <f>IF($G584="","",IF(AND($G584&gt;=30,$AT$3&lt;=CM$7),ROUND(CM584*($AP$3+#REF!),-1),""))</f>
        <v/>
      </c>
      <c r="CO584" s="503" t="s">
        <v>621</v>
      </c>
      <c r="CP584" s="503" t="str">
        <f>IF($G584="","",IF(AND($G584&gt;=30,$AT$3&lt;=CO$7),ROUND(CO584*($AP$3+#REF!),-1),""))</f>
        <v/>
      </c>
      <c r="CQ584" s="503" t="s">
        <v>621</v>
      </c>
      <c r="CR584" s="503" t="str">
        <f>IF($G584="","",IF(AND($G584&gt;=30,$AT$3&lt;=CQ$7),ROUND(CQ584*($AP$3+#REF!),-1),""))</f>
        <v/>
      </c>
      <c r="CS584" s="503" t="s">
        <v>621</v>
      </c>
      <c r="CT584" s="503" t="str">
        <f>IF($G584="","",IF(AND($G584&gt;=30,$AT$3&lt;=CS$7),ROUND(CS584*($AP$3+#REF!),-1),""))</f>
        <v/>
      </c>
      <c r="CU584" s="503" t="s">
        <v>621</v>
      </c>
      <c r="CV584" s="503" t="str">
        <f>IF($G584="","",IF(AND($G584&gt;=30,$AT$3&lt;=CU$7),ROUND(CU584*($AP$3+#REF!),-1),""))</f>
        <v/>
      </c>
      <c r="CW584" s="503" t="s">
        <v>621</v>
      </c>
      <c r="CX584" s="503" t="str">
        <f>IF($G584="","",IF(AND($G584&gt;=30,$AT$3&lt;=CW$7),ROUND(CW584*($AP$3+#REF!),-1),""))</f>
        <v/>
      </c>
      <c r="CY584" s="503" t="s">
        <v>621</v>
      </c>
      <c r="CZ584" s="503" t="str">
        <f>IF($G584="","",IF(AND($G584&gt;=30,$AT$3&lt;=CY$7),ROUND(CY584*($AP$3+#REF!),-1),""))</f>
        <v/>
      </c>
      <c r="DA584" s="503" t="s">
        <v>621</v>
      </c>
      <c r="DB584" s="503" t="str">
        <f>IF($G584="","",IF(AND($G584&gt;=30,$AT$3&lt;=DA$7),ROUND(DA584*($AP$3+#REF!),-1),""))</f>
        <v/>
      </c>
      <c r="DC584" s="503" t="s">
        <v>621</v>
      </c>
      <c r="DD584" s="503" t="str">
        <f>IF($G584="","",IF(AND($G584&gt;=30,$AT$3&lt;=DC$7),ROUND(DC584*($AP$3+#REF!),-1),""))</f>
        <v/>
      </c>
      <c r="DE584" s="503" t="s">
        <v>621</v>
      </c>
      <c r="DF584" s="503" t="str">
        <f>IF($G584="","",IF(AND($G584&gt;=30,$AT$3&lt;=DE$7),ROUND(DE584*($AP$3+#REF!),-1),""))</f>
        <v/>
      </c>
      <c r="DG584" s="503" t="s">
        <v>621</v>
      </c>
      <c r="DH584" s="503" t="str">
        <f>IF($G584="","",IF(AND($G584&gt;=30,$AT$3&lt;=DG$7),ROUND(DG584*($AP$3+#REF!),-1),""))</f>
        <v/>
      </c>
      <c r="DI584" s="503" t="s">
        <v>621</v>
      </c>
      <c r="DJ584" s="503" t="str">
        <f>IF($G584="","",IF(AND($G584&gt;=30,$AT$3&lt;=DI$7),ROUND(DI584*($AP$3+#REF!),-1),""))</f>
        <v/>
      </c>
      <c r="DK584" s="503" t="s">
        <v>621</v>
      </c>
      <c r="DL584" s="503" t="str">
        <f>IF($G584="","",IF(AND($G584&gt;=30,$AT$3&lt;=DK$7),ROUND(DK584*($AP$3+#REF!),-1),""))</f>
        <v/>
      </c>
      <c r="DM584" s="503" t="s">
        <v>621</v>
      </c>
      <c r="DN584" s="503" t="str">
        <f>IF($G584="","",IF(AND($G584&gt;=30,$AT$3&lt;=DM$7),ROUND(DM584*($AP$3+#REF!),-1),""))</f>
        <v/>
      </c>
      <c r="DO584" s="503" t="s">
        <v>621</v>
      </c>
      <c r="DP584" s="503" t="str">
        <f>IF($G584="","",IF(AND($G584&gt;=30,$AT$3&lt;=DO$7),ROUND(DO584*($AP$3+#REF!),-1),""))</f>
        <v/>
      </c>
      <c r="DQ584" s="503" t="s">
        <v>621</v>
      </c>
      <c r="DR584" s="503" t="str">
        <f>IF($G584="","",IF(AND($G584&gt;=30,$AT$3&lt;=DQ$7),ROUND(DQ584*($AP$3+#REF!),-1),""))</f>
        <v/>
      </c>
      <c r="DS584" s="503" t="s">
        <v>621</v>
      </c>
      <c r="DT584" s="503" t="str">
        <f>IF($G584="","",IF(AND($G584&gt;=30,$AT$3&lt;=DS$7),ROUND(DS584*($AP$3+#REF!),-1),""))</f>
        <v/>
      </c>
      <c r="DU584" s="503" t="s">
        <v>621</v>
      </c>
      <c r="DV584" s="503" t="str">
        <f>IF($G584="","",IF(AND($G584&gt;=30,$AT$3&lt;=DU$7),ROUND(DU584*($AP$3+#REF!),-1),""))</f>
        <v/>
      </c>
      <c r="DW584" s="517" t="e">
        <v>#REF!</v>
      </c>
      <c r="DX584" s="503" t="str">
        <f>IF($G584="","",IF(AND($G584&gt;=30,$AT$3&lt;=DW$7),ROUND(DW584*($AP$3+#REF!),-1),""))</f>
        <v/>
      </c>
      <c r="DY584" s="503"/>
      <c r="DZ584" s="503" t="str">
        <f>IF($G584="","",IF(AND($G584&gt;=30,$AT$3&lt;=DY$7),ROUND(DY584*($AP$3+#REF!),-1),""))</f>
        <v/>
      </c>
      <c r="EA584" s="503"/>
      <c r="EB584" s="503" t="str">
        <f>IF($G584="","",IF(AND($G584&gt;=30,$AT$3&lt;=EA$7),ROUND(EA584*($AP$3+#REF!),-1),""))</f>
        <v/>
      </c>
      <c r="EC584" s="436"/>
      <c r="ED584" s="436"/>
      <c r="EE584" s="394"/>
    </row>
    <row r="585" spans="1:135" ht="9.75" customHeight="1">
      <c r="A585" s="321" t="str">
        <f t="shared" si="138"/>
        <v/>
      </c>
      <c r="B585" s="569">
        <f>(ii!$D$13*12+V585)+1</f>
        <v>479</v>
      </c>
      <c r="C585" s="345">
        <f t="shared" si="128"/>
        <v>59932</v>
      </c>
      <c r="D585" s="340">
        <f t="shared" si="131"/>
        <v>2064</v>
      </c>
      <c r="E585" s="340">
        <f t="shared" si="129"/>
        <v>8.3333333333333329E-2</v>
      </c>
      <c r="F585" s="340">
        <f t="shared" si="132"/>
        <v>2064.0833333333335</v>
      </c>
      <c r="G585" s="531" t="str">
        <f>IF(OR(C585&lt;$I$2,C585&gt;$J$3),"",(ii!$D$13*12+V585+1)/12)</f>
        <v/>
      </c>
      <c r="H585" s="532"/>
      <c r="I585" s="532"/>
      <c r="J585" s="533"/>
      <c r="K585" s="553"/>
      <c r="L585" s="534"/>
      <c r="M585" s="489" t="str">
        <f t="shared" si="133"/>
        <v/>
      </c>
      <c r="N585" s="536" t="s">
        <v>621</v>
      </c>
      <c r="O585" s="490" t="str">
        <f t="shared" ref="O585:O608" si="140">IF(OR(N585="",N584=""),"",N585-N584)</f>
        <v/>
      </c>
      <c r="P585" s="537"/>
      <c r="Q585" s="537"/>
      <c r="R585" s="533" t="str">
        <f t="shared" ref="R585:R608" si="141">IF(OR(P585="",P584=""),"",P585-P584)</f>
        <v/>
      </c>
      <c r="S585" s="538" t="str">
        <f t="shared" si="139"/>
        <v/>
      </c>
      <c r="T585" s="538" t="str">
        <f t="shared" si="137"/>
        <v/>
      </c>
      <c r="U585" s="539" t="str">
        <f>IF(H585="","",#REF!*12+#REF!+#REF!*12+#REF!)</f>
        <v/>
      </c>
      <c r="V585" s="338">
        <f>IF(ii!$J$3&gt;gg!C585,"",IF(AND((YEAR(C585)=YEAR($I$2)),MONTH(C585)=MONTH($I$2)),ii!$B$14*12+ii!$C$14+ii!$B$15*12+ii!$C$15-1,V584+1))</f>
        <v>478</v>
      </c>
      <c r="W585" s="339">
        <f t="shared" si="130"/>
        <v>39.833333333333336</v>
      </c>
      <c r="X585" s="540" t="s">
        <v>621</v>
      </c>
      <c r="Y585" s="538" t="s">
        <v>621</v>
      </c>
      <c r="Z585" s="541">
        <f>Z573+$Z$26</f>
        <v>1.380000000000001</v>
      </c>
      <c r="AA585" s="542" t="str">
        <f>IF(Y585="","",(Y585-Y584)/Y584)</f>
        <v/>
      </c>
      <c r="AB585" s="543" t="str">
        <f t="shared" si="136"/>
        <v/>
      </c>
      <c r="AC585" s="544" t="str">
        <f t="shared" si="134"/>
        <v/>
      </c>
      <c r="AD585" s="538" t="str">
        <f t="shared" si="135"/>
        <v/>
      </c>
      <c r="AE585" s="545" t="s">
        <v>621</v>
      </c>
      <c r="AF585" s="546" t="s">
        <v>621</v>
      </c>
      <c r="AG585" s="558" t="s">
        <v>621</v>
      </c>
      <c r="AH585" s="547" t="str">
        <f>IF($G585="","",IF(AND($G585&gt;=30,$AT$3&lt;=AG$7),ROUND(AG585*($AP$3+#REF!),-1),""))</f>
        <v/>
      </c>
      <c r="AI585" s="558" t="s">
        <v>621</v>
      </c>
      <c r="AJ585" s="547" t="str">
        <f>IF($G585="","",IF(AND($G585&gt;=30,$AT$3&lt;=AI$7),ROUND(AI585*($AP$3+#REF!),-1),""))</f>
        <v/>
      </c>
      <c r="AK585" s="560" t="s">
        <v>621</v>
      </c>
      <c r="AL585" s="547" t="str">
        <f>IF($G585="","",IF(AND($G585&gt;=30,$AT$3&lt;=AK$7),ROUND(AK585*($AP$3+#REF!),-1),""))</f>
        <v/>
      </c>
      <c r="AM585" s="560" t="s">
        <v>621</v>
      </c>
      <c r="AN585" s="547" t="str">
        <f>IF($G585="","",IF(AND($G585&gt;=30,$AT$3&lt;=AM$7),ROUND(AM585*($AP$3+#REF!),-1),""))</f>
        <v/>
      </c>
      <c r="AO585" s="547" t="e">
        <v>#REF!</v>
      </c>
      <c r="AP585" s="547" t="str">
        <f>IF($G585="","",IF(AND($G585&gt;=30,$AT$3&lt;=AO$7),ROUND(AO585*($AP$3+#REF!),-1),""))</f>
        <v/>
      </c>
      <c r="AQ585" s="547" t="s">
        <v>621</v>
      </c>
      <c r="AR585" s="547" t="str">
        <f>IF($G585="","",IF(AND($G585&gt;=30,$AT$3&lt;=AQ$7),ROUND(AQ585*($AP$3+#REF!),-1),""))</f>
        <v/>
      </c>
      <c r="AS585" s="547" t="s">
        <v>621</v>
      </c>
      <c r="AT585" s="547" t="str">
        <f>IF($G585="","",IF(AND($G585&gt;=30,$AT$3&lt;=AS$7),ROUND(AS585*($AP$3+#REF!),-1),""))</f>
        <v/>
      </c>
      <c r="AU585" s="547" t="s">
        <v>621</v>
      </c>
      <c r="AV585" s="547" t="str">
        <f>IF($G585="","",IF(AND($G585&gt;=30,$AT$3&lt;=AU$7),ROUND(AU585*($AP$3+#REF!),-1),""))</f>
        <v/>
      </c>
      <c r="AW585" s="547" t="s">
        <v>621</v>
      </c>
      <c r="AX585" s="547" t="str">
        <f>IF($G585="","",IF(AND($G585&gt;=30,$AT$3&lt;=AW$7),ROUND(AW585*($AP$3+#REF!),-1),""))</f>
        <v/>
      </c>
      <c r="AY585" s="547" t="s">
        <v>621</v>
      </c>
      <c r="AZ585" s="547" t="str">
        <f>IF($G585="","",IF(AND($G585&gt;=30,$AT$3&lt;=AY$7),ROUND(AY585*($AP$3+#REF!),-1),""))</f>
        <v/>
      </c>
      <c r="BA585" s="547" t="s">
        <v>621</v>
      </c>
      <c r="BB585" s="547" t="str">
        <f>IF($G585="","",IF(AND($G585&gt;=30,$AT$3&lt;=BA$7),ROUND(BA585*($AP$3+#REF!),-1),""))</f>
        <v/>
      </c>
      <c r="BC585" s="547" t="s">
        <v>621</v>
      </c>
      <c r="BD585" s="547" t="str">
        <f>IF($G585="","",IF(AND($G585&gt;=30,$AT$3&lt;=BC$7),ROUND(BC585*($AP$3+#REF!),-1),""))</f>
        <v/>
      </c>
      <c r="BE585" s="547" t="s">
        <v>621</v>
      </c>
      <c r="BF585" s="547" t="str">
        <f>IF($G585="","",IF(AND($G585&gt;=30,$AT$3&lt;=BE$7),ROUND(BE585*($AP$3+#REF!),-1),""))</f>
        <v/>
      </c>
      <c r="BG585" s="547" t="s">
        <v>621</v>
      </c>
      <c r="BH585" s="547" t="str">
        <f>IF($G585="","",IF(AND($G585&gt;=30,$AT$3&lt;=BG$7),ROUND(BG585*($AP$3+#REF!),-1),""))</f>
        <v/>
      </c>
      <c r="BI585" s="547" t="s">
        <v>621</v>
      </c>
      <c r="BJ585" s="547" t="str">
        <f>IF($G585="","",IF(AND($G585&gt;=30,$AT$3&lt;=BI$7),ROUND(BI585*($AP$3+#REF!),-1),""))</f>
        <v/>
      </c>
      <c r="BK585" s="547" t="s">
        <v>621</v>
      </c>
      <c r="BL585" s="547" t="str">
        <f>IF($G585="","",IF(AND($G585&gt;=30,$AT$3&lt;=BK$7),ROUND(BK585*($AP$3+#REF!),-1),""))</f>
        <v/>
      </c>
      <c r="BM585" s="547" t="s">
        <v>621</v>
      </c>
      <c r="BN585" s="547" t="str">
        <f>IF($G585="","",IF(AND($G585&gt;=30,$AT$3&lt;=BM$7),ROUND(BM585*($AP$3+#REF!),-1),""))</f>
        <v/>
      </c>
      <c r="BO585" s="547" t="s">
        <v>621</v>
      </c>
      <c r="BP585" s="547" t="str">
        <f>IF($G585="","",IF(AND($G585&gt;=30,$AT$3&lt;=BO$7),ROUND(BO585*($AP$3+#REF!),-1),""))</f>
        <v/>
      </c>
      <c r="BQ585" s="547" t="s">
        <v>621</v>
      </c>
      <c r="BR585" s="547" t="str">
        <f>IF($G585="","",IF(AND($G585&gt;=30,$AT$3&lt;=BQ$7),ROUND(BQ585*($AP$3+#REF!),-1),""))</f>
        <v/>
      </c>
      <c r="BS585" s="547" t="s">
        <v>621</v>
      </c>
      <c r="BT585" s="547" t="str">
        <f>IF($G585="","",IF(AND($G585&gt;=30,$AT$3&lt;=BS$7),ROUND(BS585*($AP$3+#REF!),-1),""))</f>
        <v/>
      </c>
      <c r="BU585" s="547" t="s">
        <v>621</v>
      </c>
      <c r="BV585" s="547" t="str">
        <f>IF($G585="","",IF(AND($G585&gt;=30,$AT$3&lt;=BU$7),ROUND(BU585*($AP$3+#REF!),-1),""))</f>
        <v/>
      </c>
      <c r="BW585" s="547" t="s">
        <v>621</v>
      </c>
      <c r="BX585" s="547" t="str">
        <f>IF($G585="","",IF(AND($G585&gt;=30,$AT$3&lt;=BW$7),ROUND(BW585*($AP$3+#REF!),-1),""))</f>
        <v/>
      </c>
      <c r="BY585" s="547" t="s">
        <v>621</v>
      </c>
      <c r="BZ585" s="547" t="str">
        <f>IF($G585="","",IF(AND($G585&gt;=30,$AT$3&lt;=BY$7),ROUND(BY585*($AP$3+#REF!),-1),""))</f>
        <v/>
      </c>
      <c r="CA585" s="547" t="s">
        <v>621</v>
      </c>
      <c r="CB585" s="547" t="str">
        <f>IF($G585="","",IF(AND($G585&gt;=30,$AT$3&lt;=CA$7),ROUND(CA585*($AP$3+#REF!),-1),""))</f>
        <v/>
      </c>
      <c r="CC585" s="547" t="s">
        <v>621</v>
      </c>
      <c r="CD585" s="547" t="str">
        <f>IF($G585="","",IF(AND($G585&gt;=30,$AT$3&lt;=CC$7),ROUND(CC585*($AP$3+#REF!),-1),""))</f>
        <v/>
      </c>
      <c r="CE585" s="547" t="s">
        <v>621</v>
      </c>
      <c r="CF585" s="547" t="str">
        <f>IF($G585="","",IF(AND($G585&gt;=30,$AT$3&lt;=CE$7),ROUND(CE585*($AP$3+#REF!),-1),""))</f>
        <v/>
      </c>
      <c r="CG585" s="547" t="s">
        <v>621</v>
      </c>
      <c r="CH585" s="547" t="str">
        <f>IF($G585="","",IF(AND($G585&gt;=30,$AT$3&lt;=CG$7),ROUND(CG585*($AP$3+#REF!),-1),""))</f>
        <v/>
      </c>
      <c r="CI585" s="547" t="s">
        <v>621</v>
      </c>
      <c r="CJ585" s="547" t="str">
        <f>IF($G585="","",IF(AND($G585&gt;=30,$AT$3&lt;=CI$7),ROUND(CI585*($AP$3+#REF!),-1),""))</f>
        <v/>
      </c>
      <c r="CK585" s="547" t="s">
        <v>621</v>
      </c>
      <c r="CL585" s="547" t="str">
        <f>IF($G585="","",IF(AND($G585&gt;=30,$AT$3&lt;=CK$7),ROUND(CK585*($AP$3+#REF!),-1),""))</f>
        <v/>
      </c>
      <c r="CM585" s="547" t="s">
        <v>621</v>
      </c>
      <c r="CN585" s="547" t="str">
        <f>IF($G585="","",IF(AND($G585&gt;=30,$AT$3&lt;=CM$7),ROUND(CM585*($AP$3+#REF!),-1),""))</f>
        <v/>
      </c>
      <c r="CO585" s="547" t="s">
        <v>621</v>
      </c>
      <c r="CP585" s="547" t="str">
        <f>IF($G585="","",IF(AND($G585&gt;=30,$AT$3&lt;=CO$7),ROUND(CO585*($AP$3+#REF!),-1),""))</f>
        <v/>
      </c>
      <c r="CQ585" s="547" t="s">
        <v>621</v>
      </c>
      <c r="CR585" s="547" t="str">
        <f>IF($G585="","",IF(AND($G585&gt;=30,$AT$3&lt;=CQ$7),ROUND(CQ585*($AP$3+#REF!),-1),""))</f>
        <v/>
      </c>
      <c r="CS585" s="547" t="s">
        <v>621</v>
      </c>
      <c r="CT585" s="547" t="str">
        <f>IF($G585="","",IF(AND($G585&gt;=30,$AT$3&lt;=CS$7),ROUND(CS585*($AP$3+#REF!),-1),""))</f>
        <v/>
      </c>
      <c r="CU585" s="547" t="s">
        <v>621</v>
      </c>
      <c r="CV585" s="547" t="str">
        <f>IF($G585="","",IF(AND($G585&gt;=30,$AT$3&lt;=CU$7),ROUND(CU585*($AP$3+#REF!),-1),""))</f>
        <v/>
      </c>
      <c r="CW585" s="547" t="s">
        <v>621</v>
      </c>
      <c r="CX585" s="547" t="str">
        <f>IF($G585="","",IF(AND($G585&gt;=30,$AT$3&lt;=CW$7),ROUND(CW585*($AP$3+#REF!),-1),""))</f>
        <v/>
      </c>
      <c r="CY585" s="547" t="s">
        <v>621</v>
      </c>
      <c r="CZ585" s="547" t="str">
        <f>IF($G585="","",IF(AND($G585&gt;=30,$AT$3&lt;=CY$7),ROUND(CY585*($AP$3+#REF!),-1),""))</f>
        <v/>
      </c>
      <c r="DA585" s="547" t="s">
        <v>621</v>
      </c>
      <c r="DB585" s="547" t="str">
        <f>IF($G585="","",IF(AND($G585&gt;=30,$AT$3&lt;=DA$7),ROUND(DA585*($AP$3+#REF!),-1),""))</f>
        <v/>
      </c>
      <c r="DC585" s="547" t="s">
        <v>621</v>
      </c>
      <c r="DD585" s="547" t="str">
        <f>IF($G585="","",IF(AND($G585&gt;=30,$AT$3&lt;=DC$7),ROUND(DC585*($AP$3+#REF!),-1),""))</f>
        <v/>
      </c>
      <c r="DE585" s="547" t="s">
        <v>621</v>
      </c>
      <c r="DF585" s="547" t="str">
        <f>IF($G585="","",IF(AND($G585&gt;=30,$AT$3&lt;=DE$7),ROUND(DE585*($AP$3+#REF!),-1),""))</f>
        <v/>
      </c>
      <c r="DG585" s="547" t="s">
        <v>621</v>
      </c>
      <c r="DH585" s="547" t="str">
        <f>IF($G585="","",IF(AND($G585&gt;=30,$AT$3&lt;=DG$7),ROUND(DG585*($AP$3+#REF!),-1),""))</f>
        <v/>
      </c>
      <c r="DI585" s="547" t="s">
        <v>621</v>
      </c>
      <c r="DJ585" s="547" t="str">
        <f>IF($G585="","",IF(AND($G585&gt;=30,$AT$3&lt;=DI$7),ROUND(DI585*($AP$3+#REF!),-1),""))</f>
        <v/>
      </c>
      <c r="DK585" s="547" t="s">
        <v>621</v>
      </c>
      <c r="DL585" s="547" t="str">
        <f>IF($G585="","",IF(AND($G585&gt;=30,$AT$3&lt;=DK$7),ROUND(DK585*($AP$3+#REF!),-1),""))</f>
        <v/>
      </c>
      <c r="DM585" s="547" t="s">
        <v>621</v>
      </c>
      <c r="DN585" s="547" t="str">
        <f>IF($G585="","",IF(AND($G585&gt;=30,$AT$3&lt;=DM$7),ROUND(DM585*($AP$3+#REF!),-1),""))</f>
        <v/>
      </c>
      <c r="DO585" s="547" t="s">
        <v>621</v>
      </c>
      <c r="DP585" s="547" t="str">
        <f>IF($G585="","",IF(AND($G585&gt;=30,$AT$3&lt;=DO$7),ROUND(DO585*($AP$3+#REF!),-1),""))</f>
        <v/>
      </c>
      <c r="DQ585" s="547" t="s">
        <v>621</v>
      </c>
      <c r="DR585" s="547" t="str">
        <f>IF($G585="","",IF(AND($G585&gt;=30,$AT$3&lt;=DQ$7),ROUND(DQ585*($AP$3+#REF!),-1),""))</f>
        <v/>
      </c>
      <c r="DS585" s="547" t="s">
        <v>621</v>
      </c>
      <c r="DT585" s="547" t="str">
        <f>IF($G585="","",IF(AND($G585&gt;=30,$AT$3&lt;=DS$7),ROUND(DS585*($AP$3+#REF!),-1),""))</f>
        <v/>
      </c>
      <c r="DU585" s="547" t="s">
        <v>621</v>
      </c>
      <c r="DV585" s="547" t="str">
        <f>IF($G585="","",IF(AND($G585&gt;=30,$AT$3&lt;=DU$7),ROUND(DU585*($AP$3+#REF!),-1),""))</f>
        <v/>
      </c>
      <c r="DW585" s="547" t="s">
        <v>621</v>
      </c>
      <c r="DX585" s="547" t="str">
        <f>IF($G585="","",IF(AND($G585&gt;=30,$AT$3&lt;=DW$7),ROUND(DW585*($AP$3+#REF!),-1),""))</f>
        <v/>
      </c>
      <c r="DY585" s="533" t="e">
        <v>#REF!</v>
      </c>
      <c r="DZ585" s="547" t="str">
        <f>IF($G585="","",IF(AND($G585&gt;=30,$AT$3&lt;=DY$7),ROUND(DY585*($AP$3+#REF!),-1),""))</f>
        <v/>
      </c>
      <c r="EA585" s="547"/>
      <c r="EB585" s="547" t="str">
        <f>IF($G585="","",IF(AND($G585&gt;=30,$AT$3&lt;=EA$7),ROUND(EA585*($AP$3+#REF!),-1),""))</f>
        <v/>
      </c>
      <c r="EC585" s="547"/>
      <c r="ED585" s="436"/>
      <c r="EE585" s="394"/>
    </row>
    <row r="586" spans="1:135" ht="9.75" customHeight="1">
      <c r="A586" s="321" t="str">
        <f t="shared" si="138"/>
        <v/>
      </c>
      <c r="B586" s="567">
        <f>(ii!$D$13*12+V586)+1</f>
        <v>480</v>
      </c>
      <c r="C586" s="337">
        <f t="shared" si="128"/>
        <v>59961</v>
      </c>
      <c r="D586" s="484">
        <f t="shared" si="131"/>
        <v>2064</v>
      </c>
      <c r="E586" s="484">
        <f t="shared" si="129"/>
        <v>0.16666666666666666</v>
      </c>
      <c r="F586" s="484">
        <f t="shared" si="132"/>
        <v>2064.1666666666665</v>
      </c>
      <c r="G586" s="485" t="str">
        <f>IF(OR(C586&lt;$I$2,C586&gt;$J$3),"",(ii!$D$13*12+V586+1)/12)</f>
        <v/>
      </c>
      <c r="H586" s="486"/>
      <c r="I586" s="486"/>
      <c r="J586" s="487"/>
      <c r="K586" s="488"/>
      <c r="L586" s="548"/>
      <c r="M586" s="489" t="str">
        <f t="shared" si="133"/>
        <v/>
      </c>
      <c r="N586" s="490" t="s">
        <v>621</v>
      </c>
      <c r="O586" s="490" t="str">
        <f t="shared" si="140"/>
        <v/>
      </c>
      <c r="P586" s="491"/>
      <c r="Q586" s="491"/>
      <c r="R586" s="491" t="str">
        <f t="shared" si="141"/>
        <v/>
      </c>
      <c r="S586" s="528" t="str">
        <f t="shared" si="139"/>
        <v/>
      </c>
      <c r="T586" s="528" t="str">
        <f t="shared" si="137"/>
        <v/>
      </c>
      <c r="U586" s="493" t="str">
        <f>IF(H586="","",#REF!*12+#REF!+#REF!*12+#REF!)</f>
        <v/>
      </c>
      <c r="V586" s="338">
        <f>IF(ii!$J$3&gt;gg!C586,"",IF(AND((YEAR(C586)=YEAR($I$2)),MONTH(C586)=MONTH($I$2)),ii!$B$14*12+ii!$C$14+ii!$B$15*12+ii!$C$15-1,V585+1))</f>
        <v>479</v>
      </c>
      <c r="W586" s="339">
        <f t="shared" si="130"/>
        <v>39.916666666666664</v>
      </c>
      <c r="X586" s="494" t="s">
        <v>621</v>
      </c>
      <c r="Y586" s="495" t="s">
        <v>621</v>
      </c>
      <c r="Z586" s="496"/>
      <c r="AA586" s="497"/>
      <c r="AB586" s="498" t="str">
        <f t="shared" si="136"/>
        <v/>
      </c>
      <c r="AC586" s="484" t="str">
        <f t="shared" si="134"/>
        <v/>
      </c>
      <c r="AD586" s="495" t="str">
        <f t="shared" si="135"/>
        <v/>
      </c>
      <c r="AE586" s="499" t="s">
        <v>621</v>
      </c>
      <c r="AF586" s="500" t="s">
        <v>621</v>
      </c>
      <c r="AG586" s="556" t="s">
        <v>621</v>
      </c>
      <c r="AH586" s="503" t="str">
        <f>IF($G586="","",IF(AND($G586&gt;=30,$AT$3&lt;=AG$7),ROUND(AG586*($AP$3+#REF!),-1),""))</f>
        <v/>
      </c>
      <c r="AI586" s="506" t="s">
        <v>621</v>
      </c>
      <c r="AJ586" s="503" t="str">
        <f>IF($G586="","",IF(AND($G586&gt;=30,$AT$3&lt;=AI$7),ROUND(AI586*($AP$3+#REF!),-1),""))</f>
        <v/>
      </c>
      <c r="AK586" s="506" t="s">
        <v>621</v>
      </c>
      <c r="AL586" s="503" t="str">
        <f>IF($G586="","",IF(AND($G586&gt;=30,$AT$3&lt;=AK$7),ROUND(AK586*($AP$3+#REF!),-1),""))</f>
        <v/>
      </c>
      <c r="AM586" s="506" t="s">
        <v>621</v>
      </c>
      <c r="AN586" s="503" t="str">
        <f>IF($G586="","",IF(AND($G586&gt;=30,$AT$3&lt;=AM$7),ROUND(AM586*($AP$3+#REF!),-1),""))</f>
        <v/>
      </c>
      <c r="AO586" s="503" t="e">
        <f>IF(AO585="","",AO585*1.001)</f>
        <v>#REF!</v>
      </c>
      <c r="AP586" s="503" t="str">
        <f>IF($G586="","",IF(AND($G586&gt;=30,$AT$3&lt;=AO$7),ROUND(AO586*($AP$3+#REF!),-1),""))</f>
        <v/>
      </c>
      <c r="AQ586" s="503" t="s">
        <v>621</v>
      </c>
      <c r="AR586" s="503" t="str">
        <f>IF($G586="","",IF(AND($G586&gt;=30,$AT$3&lt;=AQ$7),ROUND(AQ586*($AP$3+#REF!),-1),""))</f>
        <v/>
      </c>
      <c r="AS586" s="503" t="s">
        <v>621</v>
      </c>
      <c r="AT586" s="503" t="str">
        <f>IF($G586="","",IF(AND($G586&gt;=30,$AT$3&lt;=AS$7),ROUND(AS586*($AP$3+#REF!),-1),""))</f>
        <v/>
      </c>
      <c r="AU586" s="503" t="s">
        <v>621</v>
      </c>
      <c r="AV586" s="503" t="str">
        <f>IF($G586="","",IF(AND($G586&gt;=30,$AT$3&lt;=AU$7),ROUND(AU586*($AP$3+#REF!),-1),""))</f>
        <v/>
      </c>
      <c r="AW586" s="503" t="s">
        <v>621</v>
      </c>
      <c r="AX586" s="503" t="str">
        <f>IF($G586="","",IF(AND($G586&gt;=30,$AT$3&lt;=AW$7),ROUND(AW586*($AP$3+#REF!),-1),""))</f>
        <v/>
      </c>
      <c r="AY586" s="503" t="s">
        <v>621</v>
      </c>
      <c r="AZ586" s="503" t="str">
        <f>IF($G586="","",IF(AND($G586&gt;=30,$AT$3&lt;=AY$7),ROUND(AY586*($AP$3+#REF!),-1),""))</f>
        <v/>
      </c>
      <c r="BA586" s="503" t="s">
        <v>621</v>
      </c>
      <c r="BB586" s="503" t="str">
        <f>IF($G586="","",IF(AND($G586&gt;=30,$AT$3&lt;=BA$7),ROUND(BA586*($AP$3+#REF!),-1),""))</f>
        <v/>
      </c>
      <c r="BC586" s="503" t="s">
        <v>621</v>
      </c>
      <c r="BD586" s="503" t="str">
        <f>IF($G586="","",IF(AND($G586&gt;=30,$AT$3&lt;=BC$7),ROUND(BC586*($AP$3+#REF!),-1),""))</f>
        <v/>
      </c>
      <c r="BE586" s="503" t="s">
        <v>621</v>
      </c>
      <c r="BF586" s="503" t="str">
        <f>IF($G586="","",IF(AND($G586&gt;=30,$AT$3&lt;=BE$7),ROUND(BE586*($AP$3+#REF!),-1),""))</f>
        <v/>
      </c>
      <c r="BG586" s="503" t="s">
        <v>621</v>
      </c>
      <c r="BH586" s="503" t="str">
        <f>IF($G586="","",IF(AND($G586&gt;=30,$AT$3&lt;=BG$7),ROUND(BG586*($AP$3+#REF!),-1),""))</f>
        <v/>
      </c>
      <c r="BI586" s="503" t="s">
        <v>621</v>
      </c>
      <c r="BJ586" s="503" t="str">
        <f>IF($G586="","",IF(AND($G586&gt;=30,$AT$3&lt;=BI$7),ROUND(BI586*($AP$3+#REF!),-1),""))</f>
        <v/>
      </c>
      <c r="BK586" s="503" t="s">
        <v>621</v>
      </c>
      <c r="BL586" s="503" t="str">
        <f>IF($G586="","",IF(AND($G586&gt;=30,$AT$3&lt;=BK$7),ROUND(BK586*($AP$3+#REF!),-1),""))</f>
        <v/>
      </c>
      <c r="BM586" s="503" t="s">
        <v>621</v>
      </c>
      <c r="BN586" s="503" t="str">
        <f>IF($G586="","",IF(AND($G586&gt;=30,$AT$3&lt;=BM$7),ROUND(BM586*($AP$3+#REF!),-1),""))</f>
        <v/>
      </c>
      <c r="BO586" s="503" t="s">
        <v>621</v>
      </c>
      <c r="BP586" s="503" t="str">
        <f>IF($G586="","",IF(AND($G586&gt;=30,$AT$3&lt;=BO$7),ROUND(BO586*($AP$3+#REF!),-1),""))</f>
        <v/>
      </c>
      <c r="BQ586" s="503" t="s">
        <v>621</v>
      </c>
      <c r="BR586" s="503" t="str">
        <f>IF($G586="","",IF(AND($G586&gt;=30,$AT$3&lt;=BQ$7),ROUND(BQ586*($AP$3+#REF!),-1),""))</f>
        <v/>
      </c>
      <c r="BS586" s="503" t="s">
        <v>621</v>
      </c>
      <c r="BT586" s="503" t="str">
        <f>IF($G586="","",IF(AND($G586&gt;=30,$AT$3&lt;=BS$7),ROUND(BS586*($AP$3+#REF!),-1),""))</f>
        <v/>
      </c>
      <c r="BU586" s="503" t="s">
        <v>621</v>
      </c>
      <c r="BV586" s="503" t="str">
        <f>IF($G586="","",IF(AND($G586&gt;=30,$AT$3&lt;=BU$7),ROUND(BU586*($AP$3+#REF!),-1),""))</f>
        <v/>
      </c>
      <c r="BW586" s="503" t="s">
        <v>621</v>
      </c>
      <c r="BX586" s="503" t="str">
        <f>IF($G586="","",IF(AND($G586&gt;=30,$AT$3&lt;=BW$7),ROUND(BW586*($AP$3+#REF!),-1),""))</f>
        <v/>
      </c>
      <c r="BY586" s="503" t="s">
        <v>621</v>
      </c>
      <c r="BZ586" s="503" t="str">
        <f>IF($G586="","",IF(AND($G586&gt;=30,$AT$3&lt;=BY$7),ROUND(BY586*($AP$3+#REF!),-1),""))</f>
        <v/>
      </c>
      <c r="CA586" s="503" t="s">
        <v>621</v>
      </c>
      <c r="CB586" s="503" t="str">
        <f>IF($G586="","",IF(AND($G586&gt;=30,$AT$3&lt;=CA$7),ROUND(CA586*($AP$3+#REF!),-1),""))</f>
        <v/>
      </c>
      <c r="CC586" s="503" t="s">
        <v>621</v>
      </c>
      <c r="CD586" s="503" t="str">
        <f>IF($G586="","",IF(AND($G586&gt;=30,$AT$3&lt;=CC$7),ROUND(CC586*($AP$3+#REF!),-1),""))</f>
        <v/>
      </c>
      <c r="CE586" s="503" t="s">
        <v>621</v>
      </c>
      <c r="CF586" s="503" t="str">
        <f>IF($G586="","",IF(AND($G586&gt;=30,$AT$3&lt;=CE$7),ROUND(CE586*($AP$3+#REF!),-1),""))</f>
        <v/>
      </c>
      <c r="CG586" s="503" t="s">
        <v>621</v>
      </c>
      <c r="CH586" s="503" t="str">
        <f>IF($G586="","",IF(AND($G586&gt;=30,$AT$3&lt;=CG$7),ROUND(CG586*($AP$3+#REF!),-1),""))</f>
        <v/>
      </c>
      <c r="CI586" s="503" t="s">
        <v>621</v>
      </c>
      <c r="CJ586" s="503" t="str">
        <f>IF($G586="","",IF(AND($G586&gt;=30,$AT$3&lt;=CI$7),ROUND(CI586*($AP$3+#REF!),-1),""))</f>
        <v/>
      </c>
      <c r="CK586" s="503" t="s">
        <v>621</v>
      </c>
      <c r="CL586" s="503" t="str">
        <f>IF($G586="","",IF(AND($G586&gt;=30,$AT$3&lt;=CK$7),ROUND(CK586*($AP$3+#REF!),-1),""))</f>
        <v/>
      </c>
      <c r="CM586" s="503" t="s">
        <v>621</v>
      </c>
      <c r="CN586" s="503" t="str">
        <f>IF($G586="","",IF(AND($G586&gt;=30,$AT$3&lt;=CM$7),ROUND(CM586*($AP$3+#REF!),-1),""))</f>
        <v/>
      </c>
      <c r="CO586" s="503" t="s">
        <v>621</v>
      </c>
      <c r="CP586" s="503" t="str">
        <f>IF($G586="","",IF(AND($G586&gt;=30,$AT$3&lt;=CO$7),ROUND(CO586*($AP$3+#REF!),-1),""))</f>
        <v/>
      </c>
      <c r="CQ586" s="503" t="s">
        <v>621</v>
      </c>
      <c r="CR586" s="503" t="str">
        <f>IF($G586="","",IF(AND($G586&gt;=30,$AT$3&lt;=CQ$7),ROUND(CQ586*($AP$3+#REF!),-1),""))</f>
        <v/>
      </c>
      <c r="CS586" s="503" t="s">
        <v>621</v>
      </c>
      <c r="CT586" s="503" t="str">
        <f>IF($G586="","",IF(AND($G586&gt;=30,$AT$3&lt;=CS$7),ROUND(CS586*($AP$3+#REF!),-1),""))</f>
        <v/>
      </c>
      <c r="CU586" s="503" t="s">
        <v>621</v>
      </c>
      <c r="CV586" s="503" t="str">
        <f>IF($G586="","",IF(AND($G586&gt;=30,$AT$3&lt;=CU$7),ROUND(CU586*($AP$3+#REF!),-1),""))</f>
        <v/>
      </c>
      <c r="CW586" s="503" t="s">
        <v>621</v>
      </c>
      <c r="CX586" s="503" t="str">
        <f>IF($G586="","",IF(AND($G586&gt;=30,$AT$3&lt;=CW$7),ROUND(CW586*($AP$3+#REF!),-1),""))</f>
        <v/>
      </c>
      <c r="CY586" s="503" t="s">
        <v>621</v>
      </c>
      <c r="CZ586" s="503" t="str">
        <f>IF($G586="","",IF(AND($G586&gt;=30,$AT$3&lt;=CY$7),ROUND(CY586*($AP$3+#REF!),-1),""))</f>
        <v/>
      </c>
      <c r="DA586" s="503" t="s">
        <v>621</v>
      </c>
      <c r="DB586" s="503" t="str">
        <f>IF($G586="","",IF(AND($G586&gt;=30,$AT$3&lt;=DA$7),ROUND(DA586*($AP$3+#REF!),-1),""))</f>
        <v/>
      </c>
      <c r="DC586" s="503" t="s">
        <v>621</v>
      </c>
      <c r="DD586" s="503" t="str">
        <f>IF($G586="","",IF(AND($G586&gt;=30,$AT$3&lt;=DC$7),ROUND(DC586*($AP$3+#REF!),-1),""))</f>
        <v/>
      </c>
      <c r="DE586" s="503" t="s">
        <v>621</v>
      </c>
      <c r="DF586" s="503" t="str">
        <f>IF($G586="","",IF(AND($G586&gt;=30,$AT$3&lt;=DE$7),ROUND(DE586*($AP$3+#REF!),-1),""))</f>
        <v/>
      </c>
      <c r="DG586" s="503" t="s">
        <v>621</v>
      </c>
      <c r="DH586" s="503" t="str">
        <f>IF($G586="","",IF(AND($G586&gt;=30,$AT$3&lt;=DG$7),ROUND(DG586*($AP$3+#REF!),-1),""))</f>
        <v/>
      </c>
      <c r="DI586" s="503" t="s">
        <v>621</v>
      </c>
      <c r="DJ586" s="503" t="str">
        <f>IF($G586="","",IF(AND($G586&gt;=30,$AT$3&lt;=DI$7),ROUND(DI586*($AP$3+#REF!),-1),""))</f>
        <v/>
      </c>
      <c r="DK586" s="503" t="s">
        <v>621</v>
      </c>
      <c r="DL586" s="503" t="str">
        <f>IF($G586="","",IF(AND($G586&gt;=30,$AT$3&lt;=DK$7),ROUND(DK586*($AP$3+#REF!),-1),""))</f>
        <v/>
      </c>
      <c r="DM586" s="503" t="s">
        <v>621</v>
      </c>
      <c r="DN586" s="503" t="str">
        <f>IF($G586="","",IF(AND($G586&gt;=30,$AT$3&lt;=DM$7),ROUND(DM586*($AP$3+#REF!),-1),""))</f>
        <v/>
      </c>
      <c r="DO586" s="503" t="s">
        <v>621</v>
      </c>
      <c r="DP586" s="503" t="str">
        <f>IF($G586="","",IF(AND($G586&gt;=30,$AT$3&lt;=DO$7),ROUND(DO586*($AP$3+#REF!),-1),""))</f>
        <v/>
      </c>
      <c r="DQ586" s="503" t="s">
        <v>621</v>
      </c>
      <c r="DR586" s="503" t="str">
        <f>IF($G586="","",IF(AND($G586&gt;=30,$AT$3&lt;=DQ$7),ROUND(DQ586*($AP$3+#REF!),-1),""))</f>
        <v/>
      </c>
      <c r="DS586" s="503" t="s">
        <v>621</v>
      </c>
      <c r="DT586" s="503" t="str">
        <f>IF($G586="","",IF(AND($G586&gt;=30,$AT$3&lt;=DS$7),ROUND(DS586*($AP$3+#REF!),-1),""))</f>
        <v/>
      </c>
      <c r="DU586" s="503" t="s">
        <v>621</v>
      </c>
      <c r="DV586" s="503" t="str">
        <f>IF($G586="","",IF(AND($G586&gt;=30,$AT$3&lt;=DU$7),ROUND(DU586*($AP$3+#REF!),-1),""))</f>
        <v/>
      </c>
      <c r="DW586" s="503" t="s">
        <v>621</v>
      </c>
      <c r="DX586" s="503" t="str">
        <f>IF($G586="","",IF(AND($G586&gt;=30,$AT$3&lt;=DW$7),ROUND(DW586*($AP$3+#REF!),-1),""))</f>
        <v/>
      </c>
      <c r="DY586" s="517" t="e">
        <v>#REF!</v>
      </c>
      <c r="DZ586" s="503" t="str">
        <f>IF($G586="","",IF(AND($G586&gt;=30,$AT$3&lt;=DY$7),ROUND(DY586*($AP$3+#REF!),-1),""))</f>
        <v/>
      </c>
      <c r="EA586" s="503"/>
      <c r="EB586" s="503" t="str">
        <f>IF($G586="","",IF(AND($G586&gt;=30,$AT$3&lt;=EA$7),ROUND(EA586*($AP$3+#REF!),-1),""))</f>
        <v/>
      </c>
      <c r="EC586" s="436"/>
      <c r="ED586" s="436"/>
      <c r="EE586" s="394"/>
    </row>
    <row r="587" spans="1:135" ht="9.75" customHeight="1">
      <c r="A587" s="321" t="str">
        <f t="shared" si="138"/>
        <v/>
      </c>
      <c r="B587" s="567">
        <f>(ii!$D$13*12+V587)+1</f>
        <v>481</v>
      </c>
      <c r="C587" s="337">
        <f t="shared" ref="C587:C608" si="142">EOMONTH(C586,1)</f>
        <v>59992</v>
      </c>
      <c r="D587" s="484">
        <f t="shared" si="131"/>
        <v>2064</v>
      </c>
      <c r="E587" s="484">
        <f t="shared" si="129"/>
        <v>0.25</v>
      </c>
      <c r="F587" s="484">
        <f t="shared" si="132"/>
        <v>2064.25</v>
      </c>
      <c r="G587" s="485" t="str">
        <f>IF(OR(C587&lt;$I$2,C587&gt;$J$3),"",(ii!$D$13*12+V587+1)/12)</f>
        <v/>
      </c>
      <c r="H587" s="486"/>
      <c r="I587" s="486"/>
      <c r="J587" s="487"/>
      <c r="K587" s="488"/>
      <c r="L587" s="548"/>
      <c r="M587" s="489" t="str">
        <f t="shared" si="133"/>
        <v/>
      </c>
      <c r="N587" s="490" t="s">
        <v>621</v>
      </c>
      <c r="O587" s="490" t="str">
        <f t="shared" si="140"/>
        <v/>
      </c>
      <c r="P587" s="491"/>
      <c r="Q587" s="491"/>
      <c r="R587" s="491" t="str">
        <f t="shared" si="141"/>
        <v/>
      </c>
      <c r="S587" s="528" t="str">
        <f t="shared" si="139"/>
        <v/>
      </c>
      <c r="T587" s="528" t="str">
        <f t="shared" si="137"/>
        <v/>
      </c>
      <c r="U587" s="493" t="str">
        <f>IF(H587="","",#REF!*12+#REF!+#REF!*12+#REF!)</f>
        <v/>
      </c>
      <c r="V587" s="338">
        <f>IF(ii!$J$3&gt;gg!C587,"",IF(AND((YEAR(C587)=YEAR($I$2)),MONTH(C587)=MONTH($I$2)),ii!$B$14*12+ii!$C$14+ii!$B$15*12+ii!$C$15-1,V586+1))</f>
        <v>480</v>
      </c>
      <c r="W587" s="339">
        <f t="shared" si="130"/>
        <v>40</v>
      </c>
      <c r="X587" s="494" t="s">
        <v>621</v>
      </c>
      <c r="Y587" s="495" t="s">
        <v>621</v>
      </c>
      <c r="Z587" s="496"/>
      <c r="AA587" s="497"/>
      <c r="AB587" s="498" t="str">
        <f t="shared" si="136"/>
        <v/>
      </c>
      <c r="AC587" s="484" t="str">
        <f t="shared" si="134"/>
        <v/>
      </c>
      <c r="AD587" s="495" t="str">
        <f t="shared" si="135"/>
        <v/>
      </c>
      <c r="AE587" s="499" t="s">
        <v>621</v>
      </c>
      <c r="AF587" s="500" t="s">
        <v>621</v>
      </c>
      <c r="AG587" s="556" t="s">
        <v>621</v>
      </c>
      <c r="AH587" s="503" t="str">
        <f>IF($G587="","",IF(AND($G587&gt;=30,$AT$3&lt;=AG$7),ROUND(AG587*($AP$3+#REF!),-1),""))</f>
        <v/>
      </c>
      <c r="AI587" s="506" t="s">
        <v>621</v>
      </c>
      <c r="AJ587" s="503" t="str">
        <f>IF($G587="","",IF(AND($G587&gt;=30,$AT$3&lt;=AI$7),ROUND(AI587*($AP$3+#REF!),-1),""))</f>
        <v/>
      </c>
      <c r="AK587" s="506" t="s">
        <v>621</v>
      </c>
      <c r="AL587" s="503" t="str">
        <f>IF($G587="","",IF(AND($G587&gt;=30,$AT$3&lt;=AK$7),ROUND(AK587*($AP$3+#REF!),-1),""))</f>
        <v/>
      </c>
      <c r="AM587" s="506" t="s">
        <v>621</v>
      </c>
      <c r="AN587" s="503" t="str">
        <f>IF($G587="","",IF(AND($G587&gt;=30,$AT$3&lt;=AM$7),ROUND(AM587*($AP$3+#REF!),-1),""))</f>
        <v/>
      </c>
      <c r="AO587" s="503" t="e">
        <v>#REF!</v>
      </c>
      <c r="AP587" s="503" t="str">
        <f>IF($G587="","",IF(AND($G587&gt;=30,$AT$3&lt;=AO$7),ROUND(AO587*($AP$3+#REF!),-1),""))</f>
        <v/>
      </c>
      <c r="AQ587" s="503" t="s">
        <v>621</v>
      </c>
      <c r="AR587" s="503" t="str">
        <f>IF($G587="","",IF(AND($G587&gt;=30,$AT$3&lt;=AQ$7),ROUND(AQ587*($AP$3+#REF!),-1),""))</f>
        <v/>
      </c>
      <c r="AS587" s="503" t="s">
        <v>621</v>
      </c>
      <c r="AT587" s="503" t="str">
        <f>IF($G587="","",IF(AND($G587&gt;=30,$AT$3&lt;=AS$7),ROUND(AS587*($AP$3+#REF!),-1),""))</f>
        <v/>
      </c>
      <c r="AU587" s="503" t="s">
        <v>621</v>
      </c>
      <c r="AV587" s="503" t="str">
        <f>IF($G587="","",IF(AND($G587&gt;=30,$AT$3&lt;=AU$7),ROUND(AU587*($AP$3+#REF!),-1),""))</f>
        <v/>
      </c>
      <c r="AW587" s="503" t="s">
        <v>621</v>
      </c>
      <c r="AX587" s="503" t="str">
        <f>IF($G587="","",IF(AND($G587&gt;=30,$AT$3&lt;=AW$7),ROUND(AW587*($AP$3+#REF!),-1),""))</f>
        <v/>
      </c>
      <c r="AY587" s="503" t="s">
        <v>621</v>
      </c>
      <c r="AZ587" s="503" t="str">
        <f>IF($G587="","",IF(AND($G587&gt;=30,$AT$3&lt;=AY$7),ROUND(AY587*($AP$3+#REF!),-1),""))</f>
        <v/>
      </c>
      <c r="BA587" s="503" t="s">
        <v>621</v>
      </c>
      <c r="BB587" s="503" t="str">
        <f>IF($G587="","",IF(AND($G587&gt;=30,$AT$3&lt;=BA$7),ROUND(BA587*($AP$3+#REF!),-1),""))</f>
        <v/>
      </c>
      <c r="BC587" s="503" t="s">
        <v>621</v>
      </c>
      <c r="BD587" s="503" t="str">
        <f>IF($G587="","",IF(AND($G587&gt;=30,$AT$3&lt;=BC$7),ROUND(BC587*($AP$3+#REF!),-1),""))</f>
        <v/>
      </c>
      <c r="BE587" s="503" t="s">
        <v>621</v>
      </c>
      <c r="BF587" s="503" t="str">
        <f>IF($G587="","",IF(AND($G587&gt;=30,$AT$3&lt;=BE$7),ROUND(BE587*($AP$3+#REF!),-1),""))</f>
        <v/>
      </c>
      <c r="BG587" s="503" t="s">
        <v>621</v>
      </c>
      <c r="BH587" s="503" t="str">
        <f>IF($G587="","",IF(AND($G587&gt;=30,$AT$3&lt;=BG$7),ROUND(BG587*($AP$3+#REF!),-1),""))</f>
        <v/>
      </c>
      <c r="BI587" s="503" t="s">
        <v>621</v>
      </c>
      <c r="BJ587" s="503" t="str">
        <f>IF($G587="","",IF(AND($G587&gt;=30,$AT$3&lt;=BI$7),ROUND(BI587*($AP$3+#REF!),-1),""))</f>
        <v/>
      </c>
      <c r="BK587" s="503" t="s">
        <v>621</v>
      </c>
      <c r="BL587" s="503" t="str">
        <f>IF($G587="","",IF(AND($G587&gt;=30,$AT$3&lt;=BK$7),ROUND(BK587*($AP$3+#REF!),-1),""))</f>
        <v/>
      </c>
      <c r="BM587" s="503" t="s">
        <v>621</v>
      </c>
      <c r="BN587" s="503" t="str">
        <f>IF($G587="","",IF(AND($G587&gt;=30,$AT$3&lt;=BM$7),ROUND(BM587*($AP$3+#REF!),-1),""))</f>
        <v/>
      </c>
      <c r="BO587" s="503" t="s">
        <v>621</v>
      </c>
      <c r="BP587" s="503" t="str">
        <f>IF($G587="","",IF(AND($G587&gt;=30,$AT$3&lt;=BO$7),ROUND(BO587*($AP$3+#REF!),-1),""))</f>
        <v/>
      </c>
      <c r="BQ587" s="503" t="s">
        <v>621</v>
      </c>
      <c r="BR587" s="503" t="str">
        <f>IF($G587="","",IF(AND($G587&gt;=30,$AT$3&lt;=BQ$7),ROUND(BQ587*($AP$3+#REF!),-1),""))</f>
        <v/>
      </c>
      <c r="BS587" s="503" t="s">
        <v>621</v>
      </c>
      <c r="BT587" s="503" t="str">
        <f>IF($G587="","",IF(AND($G587&gt;=30,$AT$3&lt;=BS$7),ROUND(BS587*($AP$3+#REF!),-1),""))</f>
        <v/>
      </c>
      <c r="BU587" s="503" t="s">
        <v>621</v>
      </c>
      <c r="BV587" s="503" t="str">
        <f>IF($G587="","",IF(AND($G587&gt;=30,$AT$3&lt;=BU$7),ROUND(BU587*($AP$3+#REF!),-1),""))</f>
        <v/>
      </c>
      <c r="BW587" s="503" t="s">
        <v>621</v>
      </c>
      <c r="BX587" s="503" t="str">
        <f>IF($G587="","",IF(AND($G587&gt;=30,$AT$3&lt;=BW$7),ROUND(BW587*($AP$3+#REF!),-1),""))</f>
        <v/>
      </c>
      <c r="BY587" s="503" t="s">
        <v>621</v>
      </c>
      <c r="BZ587" s="503" t="str">
        <f>IF($G587="","",IF(AND($G587&gt;=30,$AT$3&lt;=BY$7),ROUND(BY587*($AP$3+#REF!),-1),""))</f>
        <v/>
      </c>
      <c r="CA587" s="503" t="s">
        <v>621</v>
      </c>
      <c r="CB587" s="503" t="str">
        <f>IF($G587="","",IF(AND($G587&gt;=30,$AT$3&lt;=CA$7),ROUND(CA587*($AP$3+#REF!),-1),""))</f>
        <v/>
      </c>
      <c r="CC587" s="503" t="s">
        <v>621</v>
      </c>
      <c r="CD587" s="503" t="str">
        <f>IF($G587="","",IF(AND($G587&gt;=30,$AT$3&lt;=CC$7),ROUND(CC587*($AP$3+#REF!),-1),""))</f>
        <v/>
      </c>
      <c r="CE587" s="503" t="s">
        <v>621</v>
      </c>
      <c r="CF587" s="503" t="str">
        <f>IF($G587="","",IF(AND($G587&gt;=30,$AT$3&lt;=CE$7),ROUND(CE587*($AP$3+#REF!),-1),""))</f>
        <v/>
      </c>
      <c r="CG587" s="503" t="s">
        <v>621</v>
      </c>
      <c r="CH587" s="503" t="str">
        <f>IF($G587="","",IF(AND($G587&gt;=30,$AT$3&lt;=CG$7),ROUND(CG587*($AP$3+#REF!),-1),""))</f>
        <v/>
      </c>
      <c r="CI587" s="503" t="s">
        <v>621</v>
      </c>
      <c r="CJ587" s="503" t="str">
        <f>IF($G587="","",IF(AND($G587&gt;=30,$AT$3&lt;=CI$7),ROUND(CI587*($AP$3+#REF!),-1),""))</f>
        <v/>
      </c>
      <c r="CK587" s="503" t="s">
        <v>621</v>
      </c>
      <c r="CL587" s="503" t="str">
        <f>IF($G587="","",IF(AND($G587&gt;=30,$AT$3&lt;=CK$7),ROUND(CK587*($AP$3+#REF!),-1),""))</f>
        <v/>
      </c>
      <c r="CM587" s="503" t="s">
        <v>621</v>
      </c>
      <c r="CN587" s="503" t="str">
        <f>IF($G587="","",IF(AND($G587&gt;=30,$AT$3&lt;=CM$7),ROUND(CM587*($AP$3+#REF!),-1),""))</f>
        <v/>
      </c>
      <c r="CO587" s="503" t="s">
        <v>621</v>
      </c>
      <c r="CP587" s="503" t="str">
        <f>IF($G587="","",IF(AND($G587&gt;=30,$AT$3&lt;=CO$7),ROUND(CO587*($AP$3+#REF!),-1),""))</f>
        <v/>
      </c>
      <c r="CQ587" s="503" t="s">
        <v>621</v>
      </c>
      <c r="CR587" s="503" t="str">
        <f>IF($G587="","",IF(AND($G587&gt;=30,$AT$3&lt;=CQ$7),ROUND(CQ587*($AP$3+#REF!),-1),""))</f>
        <v/>
      </c>
      <c r="CS587" s="503" t="s">
        <v>621</v>
      </c>
      <c r="CT587" s="503" t="str">
        <f>IF($G587="","",IF(AND($G587&gt;=30,$AT$3&lt;=CS$7),ROUND(CS587*($AP$3+#REF!),-1),""))</f>
        <v/>
      </c>
      <c r="CU587" s="503" t="s">
        <v>621</v>
      </c>
      <c r="CV587" s="503" t="str">
        <f>IF($G587="","",IF(AND($G587&gt;=30,$AT$3&lt;=CU$7),ROUND(CU587*($AP$3+#REF!),-1),""))</f>
        <v/>
      </c>
      <c r="CW587" s="503" t="s">
        <v>621</v>
      </c>
      <c r="CX587" s="503" t="str">
        <f>IF($G587="","",IF(AND($G587&gt;=30,$AT$3&lt;=CW$7),ROUND(CW587*($AP$3+#REF!),-1),""))</f>
        <v/>
      </c>
      <c r="CY587" s="503" t="s">
        <v>621</v>
      </c>
      <c r="CZ587" s="503" t="str">
        <f>IF($G587="","",IF(AND($G587&gt;=30,$AT$3&lt;=CY$7),ROUND(CY587*($AP$3+#REF!),-1),""))</f>
        <v/>
      </c>
      <c r="DA587" s="503" t="s">
        <v>621</v>
      </c>
      <c r="DB587" s="503" t="str">
        <f>IF($G587="","",IF(AND($G587&gt;=30,$AT$3&lt;=DA$7),ROUND(DA587*($AP$3+#REF!),-1),""))</f>
        <v/>
      </c>
      <c r="DC587" s="503" t="s">
        <v>621</v>
      </c>
      <c r="DD587" s="503" t="str">
        <f>IF($G587="","",IF(AND($G587&gt;=30,$AT$3&lt;=DC$7),ROUND(DC587*($AP$3+#REF!),-1),""))</f>
        <v/>
      </c>
      <c r="DE587" s="503" t="s">
        <v>621</v>
      </c>
      <c r="DF587" s="503" t="str">
        <f>IF($G587="","",IF(AND($G587&gt;=30,$AT$3&lt;=DE$7),ROUND(DE587*($AP$3+#REF!),-1),""))</f>
        <v/>
      </c>
      <c r="DG587" s="503" t="s">
        <v>621</v>
      </c>
      <c r="DH587" s="503" t="str">
        <f>IF($G587="","",IF(AND($G587&gt;=30,$AT$3&lt;=DG$7),ROUND(DG587*($AP$3+#REF!),-1),""))</f>
        <v/>
      </c>
      <c r="DI587" s="503" t="s">
        <v>621</v>
      </c>
      <c r="DJ587" s="503" t="str">
        <f>IF($G587="","",IF(AND($G587&gt;=30,$AT$3&lt;=DI$7),ROUND(DI587*($AP$3+#REF!),-1),""))</f>
        <v/>
      </c>
      <c r="DK587" s="503" t="s">
        <v>621</v>
      </c>
      <c r="DL587" s="503" t="str">
        <f>IF($G587="","",IF(AND($G587&gt;=30,$AT$3&lt;=DK$7),ROUND(DK587*($AP$3+#REF!),-1),""))</f>
        <v/>
      </c>
      <c r="DM587" s="503" t="s">
        <v>621</v>
      </c>
      <c r="DN587" s="503" t="str">
        <f>IF($G587="","",IF(AND($G587&gt;=30,$AT$3&lt;=DM$7),ROUND(DM587*($AP$3+#REF!),-1),""))</f>
        <v/>
      </c>
      <c r="DO587" s="503" t="s">
        <v>621</v>
      </c>
      <c r="DP587" s="503" t="str">
        <f>IF($G587="","",IF(AND($G587&gt;=30,$AT$3&lt;=DO$7),ROUND(DO587*($AP$3+#REF!),-1),""))</f>
        <v/>
      </c>
      <c r="DQ587" s="503" t="s">
        <v>621</v>
      </c>
      <c r="DR587" s="503" t="str">
        <f>IF($G587="","",IF(AND($G587&gt;=30,$AT$3&lt;=DQ$7),ROUND(DQ587*($AP$3+#REF!),-1),""))</f>
        <v/>
      </c>
      <c r="DS587" s="503" t="s">
        <v>621</v>
      </c>
      <c r="DT587" s="503" t="str">
        <f>IF($G587="","",IF(AND($G587&gt;=30,$AT$3&lt;=DS$7),ROUND(DS587*($AP$3+#REF!),-1),""))</f>
        <v/>
      </c>
      <c r="DU587" s="503" t="s">
        <v>621</v>
      </c>
      <c r="DV587" s="503" t="str">
        <f>IF($G587="","",IF(AND($G587&gt;=30,$AT$3&lt;=DU$7),ROUND(DU587*($AP$3+#REF!),-1),""))</f>
        <v/>
      </c>
      <c r="DW587" s="503" t="s">
        <v>621</v>
      </c>
      <c r="DX587" s="503" t="str">
        <f>IF($G587="","",IF(AND($G587&gt;=30,$AT$3&lt;=DW$7),ROUND(DW587*($AP$3+#REF!),-1),""))</f>
        <v/>
      </c>
      <c r="DY587" s="517" t="e">
        <v>#REF!</v>
      </c>
      <c r="DZ587" s="503" t="str">
        <f>IF($G587="","",IF(AND($G587&gt;=30,$AT$3&lt;=DY$7),ROUND(DY587*($AP$3+#REF!),-1),""))</f>
        <v/>
      </c>
      <c r="EA587" s="503"/>
      <c r="EB587" s="503" t="str">
        <f>IF($G587="","",IF(AND($G587&gt;=30,$AT$3&lt;=EA$7),ROUND(EA587*($AP$3+#REF!),-1),""))</f>
        <v/>
      </c>
      <c r="EC587" s="436"/>
      <c r="ED587" s="436"/>
      <c r="EE587" s="394"/>
    </row>
    <row r="588" spans="1:135" ht="9.75" customHeight="1">
      <c r="A588" s="321" t="str">
        <f t="shared" si="138"/>
        <v/>
      </c>
      <c r="B588" s="567">
        <f>(ii!$D$13*12+V588)+1</f>
        <v>482</v>
      </c>
      <c r="C588" s="337">
        <f t="shared" si="142"/>
        <v>60022</v>
      </c>
      <c r="D588" s="484">
        <f t="shared" si="131"/>
        <v>2064</v>
      </c>
      <c r="E588" s="484">
        <f t="shared" si="129"/>
        <v>0.33333333333333331</v>
      </c>
      <c r="F588" s="484">
        <f t="shared" si="132"/>
        <v>2064.3333333333335</v>
      </c>
      <c r="G588" s="485" t="str">
        <f>IF(OR(C588&lt;$I$2,C588&gt;$J$3),"",(ii!$D$13*12+V588+1)/12)</f>
        <v/>
      </c>
      <c r="H588" s="486"/>
      <c r="I588" s="486"/>
      <c r="J588" s="487"/>
      <c r="K588" s="488"/>
      <c r="L588" s="548"/>
      <c r="M588" s="489" t="str">
        <f t="shared" si="133"/>
        <v/>
      </c>
      <c r="N588" s="490" t="s">
        <v>621</v>
      </c>
      <c r="O588" s="490" t="str">
        <f t="shared" si="140"/>
        <v/>
      </c>
      <c r="P588" s="491"/>
      <c r="Q588" s="491"/>
      <c r="R588" s="491" t="str">
        <f t="shared" si="141"/>
        <v/>
      </c>
      <c r="S588" s="528" t="str">
        <f t="shared" si="139"/>
        <v/>
      </c>
      <c r="T588" s="528" t="str">
        <f t="shared" si="137"/>
        <v/>
      </c>
      <c r="U588" s="493" t="str">
        <f>IF(H588="","",#REF!*12+#REF!+#REF!*12+#REF!)</f>
        <v/>
      </c>
      <c r="V588" s="338">
        <f>IF(ii!$J$3&gt;gg!C588,"",IF(AND((YEAR(C588)=YEAR($I$2)),MONTH(C588)=MONTH($I$2)),ii!$B$14*12+ii!$C$14+ii!$B$15*12+ii!$C$15-1,V587+1))</f>
        <v>481</v>
      </c>
      <c r="W588" s="339">
        <f t="shared" si="130"/>
        <v>40.083333333333336</v>
      </c>
      <c r="X588" s="494" t="s">
        <v>621</v>
      </c>
      <c r="Y588" s="495" t="s">
        <v>621</v>
      </c>
      <c r="Z588" s="496"/>
      <c r="AA588" s="497"/>
      <c r="AB588" s="498" t="str">
        <f t="shared" si="136"/>
        <v/>
      </c>
      <c r="AC588" s="484" t="str">
        <f t="shared" si="134"/>
        <v/>
      </c>
      <c r="AD588" s="495" t="str">
        <f t="shared" si="135"/>
        <v/>
      </c>
      <c r="AE588" s="499" t="s">
        <v>621</v>
      </c>
      <c r="AF588" s="500" t="s">
        <v>621</v>
      </c>
      <c r="AG588" s="556" t="s">
        <v>621</v>
      </c>
      <c r="AH588" s="503" t="str">
        <f>IF($G588="","",IF(AND($G588&gt;=30,$AT$3&lt;=AG$7),ROUND(AG588*($AP$3+#REF!),-1),""))</f>
        <v/>
      </c>
      <c r="AI588" s="506" t="s">
        <v>621</v>
      </c>
      <c r="AJ588" s="503" t="str">
        <f>IF($G588="","",IF(AND($G588&gt;=30,$AT$3&lt;=AI$7),ROUND(AI588*($AP$3+#REF!),-1),""))</f>
        <v/>
      </c>
      <c r="AK588" s="506" t="s">
        <v>621</v>
      </c>
      <c r="AL588" s="503" t="str">
        <f>IF($G588="","",IF(AND($G588&gt;=30,$AT$3&lt;=AK$7),ROUND(AK588*($AP$3+#REF!),-1),""))</f>
        <v/>
      </c>
      <c r="AM588" s="506" t="s">
        <v>621</v>
      </c>
      <c r="AN588" s="503" t="str">
        <f>IF($G588="","",IF(AND($G588&gt;=30,$AT$3&lt;=AM$7),ROUND(AM588*($AP$3+#REF!),-1),""))</f>
        <v/>
      </c>
      <c r="AO588" s="503" t="e">
        <v>#REF!</v>
      </c>
      <c r="AP588" s="503" t="str">
        <f>IF($G588="","",IF(AND($G588&gt;=30,$AT$3&lt;=AO$7),ROUND(AO588*($AP$3+#REF!),-1),""))</f>
        <v/>
      </c>
      <c r="AQ588" s="503" t="s">
        <v>621</v>
      </c>
      <c r="AR588" s="503" t="str">
        <f>IF($G588="","",IF(AND($G588&gt;=30,$AT$3&lt;=AQ$7),ROUND(AQ588*($AP$3+#REF!),-1),""))</f>
        <v/>
      </c>
      <c r="AS588" s="503" t="s">
        <v>621</v>
      </c>
      <c r="AT588" s="503" t="str">
        <f>IF($G588="","",IF(AND($G588&gt;=30,$AT$3&lt;=AS$7),ROUND(AS588*($AP$3+#REF!),-1),""))</f>
        <v/>
      </c>
      <c r="AU588" s="503" t="s">
        <v>621</v>
      </c>
      <c r="AV588" s="503" t="str">
        <f>IF($G588="","",IF(AND($G588&gt;=30,$AT$3&lt;=AU$7),ROUND(AU588*($AP$3+#REF!),-1),""))</f>
        <v/>
      </c>
      <c r="AW588" s="503" t="s">
        <v>621</v>
      </c>
      <c r="AX588" s="503" t="str">
        <f>IF($G588="","",IF(AND($G588&gt;=30,$AT$3&lt;=AW$7),ROUND(AW588*($AP$3+#REF!),-1),""))</f>
        <v/>
      </c>
      <c r="AY588" s="503" t="s">
        <v>621</v>
      </c>
      <c r="AZ588" s="503" t="str">
        <f>IF($G588="","",IF(AND($G588&gt;=30,$AT$3&lt;=AY$7),ROUND(AY588*($AP$3+#REF!),-1),""))</f>
        <v/>
      </c>
      <c r="BA588" s="503" t="s">
        <v>621</v>
      </c>
      <c r="BB588" s="503" t="str">
        <f>IF($G588="","",IF(AND($G588&gt;=30,$AT$3&lt;=BA$7),ROUND(BA588*($AP$3+#REF!),-1),""))</f>
        <v/>
      </c>
      <c r="BC588" s="503" t="s">
        <v>621</v>
      </c>
      <c r="BD588" s="503" t="str">
        <f>IF($G588="","",IF(AND($G588&gt;=30,$AT$3&lt;=BC$7),ROUND(BC588*($AP$3+#REF!),-1),""))</f>
        <v/>
      </c>
      <c r="BE588" s="503" t="s">
        <v>621</v>
      </c>
      <c r="BF588" s="503" t="str">
        <f>IF($G588="","",IF(AND($G588&gt;=30,$AT$3&lt;=BE$7),ROUND(BE588*($AP$3+#REF!),-1),""))</f>
        <v/>
      </c>
      <c r="BG588" s="503" t="s">
        <v>621</v>
      </c>
      <c r="BH588" s="503" t="str">
        <f>IF($G588="","",IF(AND($G588&gt;=30,$AT$3&lt;=BG$7),ROUND(BG588*($AP$3+#REF!),-1),""))</f>
        <v/>
      </c>
      <c r="BI588" s="503" t="s">
        <v>621</v>
      </c>
      <c r="BJ588" s="503" t="str">
        <f>IF($G588="","",IF(AND($G588&gt;=30,$AT$3&lt;=BI$7),ROUND(BI588*($AP$3+#REF!),-1),""))</f>
        <v/>
      </c>
      <c r="BK588" s="503" t="s">
        <v>621</v>
      </c>
      <c r="BL588" s="503" t="str">
        <f>IF($G588="","",IF(AND($G588&gt;=30,$AT$3&lt;=BK$7),ROUND(BK588*($AP$3+#REF!),-1),""))</f>
        <v/>
      </c>
      <c r="BM588" s="503" t="s">
        <v>621</v>
      </c>
      <c r="BN588" s="503" t="str">
        <f>IF($G588="","",IF(AND($G588&gt;=30,$AT$3&lt;=BM$7),ROUND(BM588*($AP$3+#REF!),-1),""))</f>
        <v/>
      </c>
      <c r="BO588" s="503" t="s">
        <v>621</v>
      </c>
      <c r="BP588" s="503" t="str">
        <f>IF($G588="","",IF(AND($G588&gt;=30,$AT$3&lt;=BO$7),ROUND(BO588*($AP$3+#REF!),-1),""))</f>
        <v/>
      </c>
      <c r="BQ588" s="503" t="s">
        <v>621</v>
      </c>
      <c r="BR588" s="503" t="str">
        <f>IF($G588="","",IF(AND($G588&gt;=30,$AT$3&lt;=BQ$7),ROUND(BQ588*($AP$3+#REF!),-1),""))</f>
        <v/>
      </c>
      <c r="BS588" s="503" t="s">
        <v>621</v>
      </c>
      <c r="BT588" s="503" t="str">
        <f>IF($G588="","",IF(AND($G588&gt;=30,$AT$3&lt;=BS$7),ROUND(BS588*($AP$3+#REF!),-1),""))</f>
        <v/>
      </c>
      <c r="BU588" s="503" t="s">
        <v>621</v>
      </c>
      <c r="BV588" s="503" t="str">
        <f>IF($G588="","",IF(AND($G588&gt;=30,$AT$3&lt;=BU$7),ROUND(BU588*($AP$3+#REF!),-1),""))</f>
        <v/>
      </c>
      <c r="BW588" s="503" t="s">
        <v>621</v>
      </c>
      <c r="BX588" s="503" t="str">
        <f>IF($G588="","",IF(AND($G588&gt;=30,$AT$3&lt;=BW$7),ROUND(BW588*($AP$3+#REF!),-1),""))</f>
        <v/>
      </c>
      <c r="BY588" s="503" t="s">
        <v>621</v>
      </c>
      <c r="BZ588" s="503" t="str">
        <f>IF($G588="","",IF(AND($G588&gt;=30,$AT$3&lt;=BY$7),ROUND(BY588*($AP$3+#REF!),-1),""))</f>
        <v/>
      </c>
      <c r="CA588" s="503" t="s">
        <v>621</v>
      </c>
      <c r="CB588" s="503" t="str">
        <f>IF($G588="","",IF(AND($G588&gt;=30,$AT$3&lt;=CA$7),ROUND(CA588*($AP$3+#REF!),-1),""))</f>
        <v/>
      </c>
      <c r="CC588" s="503" t="s">
        <v>621</v>
      </c>
      <c r="CD588" s="503" t="str">
        <f>IF($G588="","",IF(AND($G588&gt;=30,$AT$3&lt;=CC$7),ROUND(CC588*($AP$3+#REF!),-1),""))</f>
        <v/>
      </c>
      <c r="CE588" s="503" t="s">
        <v>621</v>
      </c>
      <c r="CF588" s="503" t="str">
        <f>IF($G588="","",IF(AND($G588&gt;=30,$AT$3&lt;=CE$7),ROUND(CE588*($AP$3+#REF!),-1),""))</f>
        <v/>
      </c>
      <c r="CG588" s="503" t="s">
        <v>621</v>
      </c>
      <c r="CH588" s="503" t="str">
        <f>IF($G588="","",IF(AND($G588&gt;=30,$AT$3&lt;=CG$7),ROUND(CG588*($AP$3+#REF!),-1),""))</f>
        <v/>
      </c>
      <c r="CI588" s="503" t="s">
        <v>621</v>
      </c>
      <c r="CJ588" s="503" t="str">
        <f>IF($G588="","",IF(AND($G588&gt;=30,$AT$3&lt;=CI$7),ROUND(CI588*($AP$3+#REF!),-1),""))</f>
        <v/>
      </c>
      <c r="CK588" s="503" t="s">
        <v>621</v>
      </c>
      <c r="CL588" s="503" t="str">
        <f>IF($G588="","",IF(AND($G588&gt;=30,$AT$3&lt;=CK$7),ROUND(CK588*($AP$3+#REF!),-1),""))</f>
        <v/>
      </c>
      <c r="CM588" s="503" t="s">
        <v>621</v>
      </c>
      <c r="CN588" s="503" t="str">
        <f>IF($G588="","",IF(AND($G588&gt;=30,$AT$3&lt;=CM$7),ROUND(CM588*($AP$3+#REF!),-1),""))</f>
        <v/>
      </c>
      <c r="CO588" s="503" t="s">
        <v>621</v>
      </c>
      <c r="CP588" s="503" t="str">
        <f>IF($G588="","",IF(AND($G588&gt;=30,$AT$3&lt;=CO$7),ROUND(CO588*($AP$3+#REF!),-1),""))</f>
        <v/>
      </c>
      <c r="CQ588" s="503" t="s">
        <v>621</v>
      </c>
      <c r="CR588" s="503" t="str">
        <f>IF($G588="","",IF(AND($G588&gt;=30,$AT$3&lt;=CQ$7),ROUND(CQ588*($AP$3+#REF!),-1),""))</f>
        <v/>
      </c>
      <c r="CS588" s="503" t="s">
        <v>621</v>
      </c>
      <c r="CT588" s="503" t="str">
        <f>IF($G588="","",IF(AND($G588&gt;=30,$AT$3&lt;=CS$7),ROUND(CS588*($AP$3+#REF!),-1),""))</f>
        <v/>
      </c>
      <c r="CU588" s="503" t="s">
        <v>621</v>
      </c>
      <c r="CV588" s="503" t="str">
        <f>IF($G588="","",IF(AND($G588&gt;=30,$AT$3&lt;=CU$7),ROUND(CU588*($AP$3+#REF!),-1),""))</f>
        <v/>
      </c>
      <c r="CW588" s="503" t="s">
        <v>621</v>
      </c>
      <c r="CX588" s="503" t="str">
        <f>IF($G588="","",IF(AND($G588&gt;=30,$AT$3&lt;=CW$7),ROUND(CW588*($AP$3+#REF!),-1),""))</f>
        <v/>
      </c>
      <c r="CY588" s="503" t="s">
        <v>621</v>
      </c>
      <c r="CZ588" s="503" t="str">
        <f>IF($G588="","",IF(AND($G588&gt;=30,$AT$3&lt;=CY$7),ROUND(CY588*($AP$3+#REF!),-1),""))</f>
        <v/>
      </c>
      <c r="DA588" s="503" t="s">
        <v>621</v>
      </c>
      <c r="DB588" s="503" t="str">
        <f>IF($G588="","",IF(AND($G588&gt;=30,$AT$3&lt;=DA$7),ROUND(DA588*($AP$3+#REF!),-1),""))</f>
        <v/>
      </c>
      <c r="DC588" s="503" t="s">
        <v>621</v>
      </c>
      <c r="DD588" s="503" t="str">
        <f>IF($G588="","",IF(AND($G588&gt;=30,$AT$3&lt;=DC$7),ROUND(DC588*($AP$3+#REF!),-1),""))</f>
        <v/>
      </c>
      <c r="DE588" s="503" t="s">
        <v>621</v>
      </c>
      <c r="DF588" s="503" t="str">
        <f>IF($G588="","",IF(AND($G588&gt;=30,$AT$3&lt;=DE$7),ROUND(DE588*($AP$3+#REF!),-1),""))</f>
        <v/>
      </c>
      <c r="DG588" s="503" t="s">
        <v>621</v>
      </c>
      <c r="DH588" s="503" t="str">
        <f>IF($G588="","",IF(AND($G588&gt;=30,$AT$3&lt;=DG$7),ROUND(DG588*($AP$3+#REF!),-1),""))</f>
        <v/>
      </c>
      <c r="DI588" s="503" t="s">
        <v>621</v>
      </c>
      <c r="DJ588" s="503" t="str">
        <f>IF($G588="","",IF(AND($G588&gt;=30,$AT$3&lt;=DI$7),ROUND(DI588*($AP$3+#REF!),-1),""))</f>
        <v/>
      </c>
      <c r="DK588" s="503" t="s">
        <v>621</v>
      </c>
      <c r="DL588" s="503" t="str">
        <f>IF($G588="","",IF(AND($G588&gt;=30,$AT$3&lt;=DK$7),ROUND(DK588*($AP$3+#REF!),-1),""))</f>
        <v/>
      </c>
      <c r="DM588" s="503" t="s">
        <v>621</v>
      </c>
      <c r="DN588" s="503" t="str">
        <f>IF($G588="","",IF(AND($G588&gt;=30,$AT$3&lt;=DM$7),ROUND(DM588*($AP$3+#REF!),-1),""))</f>
        <v/>
      </c>
      <c r="DO588" s="503" t="s">
        <v>621</v>
      </c>
      <c r="DP588" s="503" t="str">
        <f>IF($G588="","",IF(AND($G588&gt;=30,$AT$3&lt;=DO$7),ROUND(DO588*($AP$3+#REF!),-1),""))</f>
        <v/>
      </c>
      <c r="DQ588" s="503" t="s">
        <v>621</v>
      </c>
      <c r="DR588" s="503" t="str">
        <f>IF($G588="","",IF(AND($G588&gt;=30,$AT$3&lt;=DQ$7),ROUND(DQ588*($AP$3+#REF!),-1),""))</f>
        <v/>
      </c>
      <c r="DS588" s="503" t="s">
        <v>621</v>
      </c>
      <c r="DT588" s="503" t="str">
        <f>IF($G588="","",IF(AND($G588&gt;=30,$AT$3&lt;=DS$7),ROUND(DS588*($AP$3+#REF!),-1),""))</f>
        <v/>
      </c>
      <c r="DU588" s="503" t="s">
        <v>621</v>
      </c>
      <c r="DV588" s="503" t="str">
        <f>IF($G588="","",IF(AND($G588&gt;=30,$AT$3&lt;=DU$7),ROUND(DU588*($AP$3+#REF!),-1),""))</f>
        <v/>
      </c>
      <c r="DW588" s="503" t="s">
        <v>621</v>
      </c>
      <c r="DX588" s="503" t="str">
        <f>IF($G588="","",IF(AND($G588&gt;=30,$AT$3&lt;=DW$7),ROUND(DW588*($AP$3+#REF!),-1),""))</f>
        <v/>
      </c>
      <c r="DY588" s="517" t="e">
        <v>#REF!</v>
      </c>
      <c r="DZ588" s="503" t="str">
        <f>IF($G588="","",IF(AND($G588&gt;=30,$AT$3&lt;=DY$7),ROUND(DY588*($AP$3+#REF!),-1),""))</f>
        <v/>
      </c>
      <c r="EA588" s="503"/>
      <c r="EB588" s="503" t="str">
        <f>IF($G588="","",IF(AND($G588&gt;=30,$AT$3&lt;=EA$7),ROUND(EA588*($AP$3+#REF!),-1),""))</f>
        <v/>
      </c>
      <c r="EC588" s="436"/>
      <c r="ED588" s="436"/>
      <c r="EE588" s="394"/>
    </row>
    <row r="589" spans="1:135" ht="9.75" customHeight="1">
      <c r="A589" s="321" t="str">
        <f t="shared" si="138"/>
        <v/>
      </c>
      <c r="B589" s="567">
        <f>(ii!$D$13*12+V589)+1</f>
        <v>483</v>
      </c>
      <c r="C589" s="337">
        <f t="shared" si="142"/>
        <v>60053</v>
      </c>
      <c r="D589" s="484">
        <f t="shared" si="131"/>
        <v>2064</v>
      </c>
      <c r="E589" s="484">
        <f t="shared" si="129"/>
        <v>0.41666666666666669</v>
      </c>
      <c r="F589" s="484">
        <f t="shared" si="132"/>
        <v>2064.4166666666665</v>
      </c>
      <c r="G589" s="485" t="str">
        <f>IF(OR(C589&lt;$I$2,C589&gt;$J$3),"",(ii!$D$13*12+V589+1)/12)</f>
        <v/>
      </c>
      <c r="H589" s="486"/>
      <c r="I589" s="486"/>
      <c r="J589" s="507"/>
      <c r="K589" s="508"/>
      <c r="L589" s="548"/>
      <c r="M589" s="489" t="str">
        <f t="shared" si="133"/>
        <v/>
      </c>
      <c r="N589" s="490" t="s">
        <v>621</v>
      </c>
      <c r="O589" s="490" t="str">
        <f t="shared" si="140"/>
        <v/>
      </c>
      <c r="P589" s="507"/>
      <c r="Q589" s="507"/>
      <c r="R589" s="491" t="str">
        <f t="shared" si="141"/>
        <v/>
      </c>
      <c r="S589" s="528" t="str">
        <f t="shared" si="139"/>
        <v/>
      </c>
      <c r="T589" s="528" t="str">
        <f t="shared" si="137"/>
        <v/>
      </c>
      <c r="U589" s="493" t="str">
        <f>IF(H589="","",#REF!*12+#REF!+#REF!*12+#REF!)</f>
        <v/>
      </c>
      <c r="V589" s="338">
        <f>IF(ii!$J$3&gt;gg!C589,"",IF(AND((YEAR(C589)=YEAR($I$2)),MONTH(C589)=MONTH($I$2)),ii!$B$14*12+ii!$C$14+ii!$B$15*12+ii!$C$15-1,V588+1))</f>
        <v>482</v>
      </c>
      <c r="W589" s="339">
        <f t="shared" si="130"/>
        <v>40.166666666666664</v>
      </c>
      <c r="X589" s="494" t="s">
        <v>621</v>
      </c>
      <c r="Y589" s="495" t="s">
        <v>621</v>
      </c>
      <c r="Z589" s="496"/>
      <c r="AA589" s="497"/>
      <c r="AB589" s="498" t="str">
        <f t="shared" si="136"/>
        <v/>
      </c>
      <c r="AC589" s="484" t="str">
        <f t="shared" si="134"/>
        <v/>
      </c>
      <c r="AD589" s="495" t="str">
        <f t="shared" si="135"/>
        <v/>
      </c>
      <c r="AE589" s="499" t="s">
        <v>621</v>
      </c>
      <c r="AF589" s="500" t="s">
        <v>621</v>
      </c>
      <c r="AG589" s="556" t="s">
        <v>621</v>
      </c>
      <c r="AH589" s="503" t="str">
        <f>IF($G589="","",IF(AND($G589&gt;=30,$AT$3&lt;=AG$7),ROUND(AG589*($AP$3+#REF!),-1),""))</f>
        <v/>
      </c>
      <c r="AI589" s="506" t="s">
        <v>621</v>
      </c>
      <c r="AJ589" s="503" t="str">
        <f>IF($G589="","",IF(AND($G589&gt;=30,$AT$3&lt;=AI$7),ROUND(AI589*($AP$3+#REF!),-1),""))</f>
        <v/>
      </c>
      <c r="AK589" s="506" t="s">
        <v>621</v>
      </c>
      <c r="AL589" s="503" t="str">
        <f>IF($G589="","",IF(AND($G589&gt;=30,$AT$3&lt;=AK$7),ROUND(AK589*($AP$3+#REF!),-1),""))</f>
        <v/>
      </c>
      <c r="AM589" s="506" t="s">
        <v>621</v>
      </c>
      <c r="AN589" s="503" t="str">
        <f>IF($G589="","",IF(AND($G589&gt;=30,$AT$3&lt;=AM$7),ROUND(AM589*($AP$3+#REF!),-1),""))</f>
        <v/>
      </c>
      <c r="AO589" s="503" t="e">
        <v>#REF!</v>
      </c>
      <c r="AP589" s="503" t="str">
        <f>IF($G589="","",IF(AND($G589&gt;=30,$AT$3&lt;=AO$7),ROUND(AO589*($AP$3+#REF!),-1),""))</f>
        <v/>
      </c>
      <c r="AQ589" s="503" t="s">
        <v>621</v>
      </c>
      <c r="AR589" s="503" t="str">
        <f>IF($G589="","",IF(AND($G589&gt;=30,$AT$3&lt;=AQ$7),ROUND(AQ589*($AP$3+#REF!),-1),""))</f>
        <v/>
      </c>
      <c r="AS589" s="503" t="s">
        <v>621</v>
      </c>
      <c r="AT589" s="503" t="str">
        <f>IF($G589="","",IF(AND($G589&gt;=30,$AT$3&lt;=AS$7),ROUND(AS589*($AP$3+#REF!),-1),""))</f>
        <v/>
      </c>
      <c r="AU589" s="503" t="s">
        <v>621</v>
      </c>
      <c r="AV589" s="503" t="str">
        <f>IF($G589="","",IF(AND($G589&gt;=30,$AT$3&lt;=AU$7),ROUND(AU589*($AP$3+#REF!),-1),""))</f>
        <v/>
      </c>
      <c r="AW589" s="503" t="s">
        <v>621</v>
      </c>
      <c r="AX589" s="503" t="str">
        <f>IF($G589="","",IF(AND($G589&gt;=30,$AT$3&lt;=AW$7),ROUND(AW589*($AP$3+#REF!),-1),""))</f>
        <v/>
      </c>
      <c r="AY589" s="503" t="s">
        <v>621</v>
      </c>
      <c r="AZ589" s="503" t="str">
        <f>IF($G589="","",IF(AND($G589&gt;=30,$AT$3&lt;=AY$7),ROUND(AY589*($AP$3+#REF!),-1),""))</f>
        <v/>
      </c>
      <c r="BA589" s="503" t="s">
        <v>621</v>
      </c>
      <c r="BB589" s="503" t="str">
        <f>IF($G589="","",IF(AND($G589&gt;=30,$AT$3&lt;=BA$7),ROUND(BA589*($AP$3+#REF!),-1),""))</f>
        <v/>
      </c>
      <c r="BC589" s="503" t="s">
        <v>621</v>
      </c>
      <c r="BD589" s="503" t="str">
        <f>IF($G589="","",IF(AND($G589&gt;=30,$AT$3&lt;=BC$7),ROUND(BC589*($AP$3+#REF!),-1),""))</f>
        <v/>
      </c>
      <c r="BE589" s="503" t="s">
        <v>621</v>
      </c>
      <c r="BF589" s="503" t="str">
        <f>IF($G589="","",IF(AND($G589&gt;=30,$AT$3&lt;=BE$7),ROUND(BE589*($AP$3+#REF!),-1),""))</f>
        <v/>
      </c>
      <c r="BG589" s="503" t="s">
        <v>621</v>
      </c>
      <c r="BH589" s="503" t="str">
        <f>IF($G589="","",IF(AND($G589&gt;=30,$AT$3&lt;=BG$7),ROUND(BG589*($AP$3+#REF!),-1),""))</f>
        <v/>
      </c>
      <c r="BI589" s="503" t="s">
        <v>621</v>
      </c>
      <c r="BJ589" s="503" t="str">
        <f>IF($G589="","",IF(AND($G589&gt;=30,$AT$3&lt;=BI$7),ROUND(BI589*($AP$3+#REF!),-1),""))</f>
        <v/>
      </c>
      <c r="BK589" s="503" t="s">
        <v>621</v>
      </c>
      <c r="BL589" s="503" t="str">
        <f>IF($G589="","",IF(AND($G589&gt;=30,$AT$3&lt;=BK$7),ROUND(BK589*($AP$3+#REF!),-1),""))</f>
        <v/>
      </c>
      <c r="BM589" s="503" t="s">
        <v>621</v>
      </c>
      <c r="BN589" s="503" t="str">
        <f>IF($G589="","",IF(AND($G589&gt;=30,$AT$3&lt;=BM$7),ROUND(BM589*($AP$3+#REF!),-1),""))</f>
        <v/>
      </c>
      <c r="BO589" s="503" t="s">
        <v>621</v>
      </c>
      <c r="BP589" s="503" t="str">
        <f>IF($G589="","",IF(AND($G589&gt;=30,$AT$3&lt;=BO$7),ROUND(BO589*($AP$3+#REF!),-1),""))</f>
        <v/>
      </c>
      <c r="BQ589" s="503" t="s">
        <v>621</v>
      </c>
      <c r="BR589" s="503" t="str">
        <f>IF($G589="","",IF(AND($G589&gt;=30,$AT$3&lt;=BQ$7),ROUND(BQ589*($AP$3+#REF!),-1),""))</f>
        <v/>
      </c>
      <c r="BS589" s="503" t="s">
        <v>621</v>
      </c>
      <c r="BT589" s="503" t="str">
        <f>IF($G589="","",IF(AND($G589&gt;=30,$AT$3&lt;=BS$7),ROUND(BS589*($AP$3+#REF!),-1),""))</f>
        <v/>
      </c>
      <c r="BU589" s="503" t="s">
        <v>621</v>
      </c>
      <c r="BV589" s="503" t="str">
        <f>IF($G589="","",IF(AND($G589&gt;=30,$AT$3&lt;=BU$7),ROUND(BU589*($AP$3+#REF!),-1),""))</f>
        <v/>
      </c>
      <c r="BW589" s="503" t="s">
        <v>621</v>
      </c>
      <c r="BX589" s="503" t="str">
        <f>IF($G589="","",IF(AND($G589&gt;=30,$AT$3&lt;=BW$7),ROUND(BW589*($AP$3+#REF!),-1),""))</f>
        <v/>
      </c>
      <c r="BY589" s="503" t="s">
        <v>621</v>
      </c>
      <c r="BZ589" s="503" t="str">
        <f>IF($G589="","",IF(AND($G589&gt;=30,$AT$3&lt;=BY$7),ROUND(BY589*($AP$3+#REF!),-1),""))</f>
        <v/>
      </c>
      <c r="CA589" s="503" t="s">
        <v>621</v>
      </c>
      <c r="CB589" s="503" t="str">
        <f>IF($G589="","",IF(AND($G589&gt;=30,$AT$3&lt;=CA$7),ROUND(CA589*($AP$3+#REF!),-1),""))</f>
        <v/>
      </c>
      <c r="CC589" s="503" t="s">
        <v>621</v>
      </c>
      <c r="CD589" s="503" t="str">
        <f>IF($G589="","",IF(AND($G589&gt;=30,$AT$3&lt;=CC$7),ROUND(CC589*($AP$3+#REF!),-1),""))</f>
        <v/>
      </c>
      <c r="CE589" s="503" t="s">
        <v>621</v>
      </c>
      <c r="CF589" s="503" t="str">
        <f>IF($G589="","",IF(AND($G589&gt;=30,$AT$3&lt;=CE$7),ROUND(CE589*($AP$3+#REF!),-1),""))</f>
        <v/>
      </c>
      <c r="CG589" s="503" t="s">
        <v>621</v>
      </c>
      <c r="CH589" s="503" t="str">
        <f>IF($G589="","",IF(AND($G589&gt;=30,$AT$3&lt;=CG$7),ROUND(CG589*($AP$3+#REF!),-1),""))</f>
        <v/>
      </c>
      <c r="CI589" s="503" t="s">
        <v>621</v>
      </c>
      <c r="CJ589" s="503" t="str">
        <f>IF($G589="","",IF(AND($G589&gt;=30,$AT$3&lt;=CI$7),ROUND(CI589*($AP$3+#REF!),-1),""))</f>
        <v/>
      </c>
      <c r="CK589" s="503" t="s">
        <v>621</v>
      </c>
      <c r="CL589" s="503" t="str">
        <f>IF($G589="","",IF(AND($G589&gt;=30,$AT$3&lt;=CK$7),ROUND(CK589*($AP$3+#REF!),-1),""))</f>
        <v/>
      </c>
      <c r="CM589" s="503" t="s">
        <v>621</v>
      </c>
      <c r="CN589" s="503" t="str">
        <f>IF($G589="","",IF(AND($G589&gt;=30,$AT$3&lt;=CM$7),ROUND(CM589*($AP$3+#REF!),-1),""))</f>
        <v/>
      </c>
      <c r="CO589" s="503" t="s">
        <v>621</v>
      </c>
      <c r="CP589" s="503" t="str">
        <f>IF($G589="","",IF(AND($G589&gt;=30,$AT$3&lt;=CO$7),ROUND(CO589*($AP$3+#REF!),-1),""))</f>
        <v/>
      </c>
      <c r="CQ589" s="503" t="s">
        <v>621</v>
      </c>
      <c r="CR589" s="503" t="str">
        <f>IF($G589="","",IF(AND($G589&gt;=30,$AT$3&lt;=CQ$7),ROUND(CQ589*($AP$3+#REF!),-1),""))</f>
        <v/>
      </c>
      <c r="CS589" s="503" t="s">
        <v>621</v>
      </c>
      <c r="CT589" s="503" t="str">
        <f>IF($G589="","",IF(AND($G589&gt;=30,$AT$3&lt;=CS$7),ROUND(CS589*($AP$3+#REF!),-1),""))</f>
        <v/>
      </c>
      <c r="CU589" s="503" t="s">
        <v>621</v>
      </c>
      <c r="CV589" s="503" t="str">
        <f>IF($G589="","",IF(AND($G589&gt;=30,$AT$3&lt;=CU$7),ROUND(CU589*($AP$3+#REF!),-1),""))</f>
        <v/>
      </c>
      <c r="CW589" s="503" t="s">
        <v>621</v>
      </c>
      <c r="CX589" s="503" t="str">
        <f>IF($G589="","",IF(AND($G589&gt;=30,$AT$3&lt;=CW$7),ROUND(CW589*($AP$3+#REF!),-1),""))</f>
        <v/>
      </c>
      <c r="CY589" s="503" t="s">
        <v>621</v>
      </c>
      <c r="CZ589" s="503" t="str">
        <f>IF($G589="","",IF(AND($G589&gt;=30,$AT$3&lt;=CY$7),ROUND(CY589*($AP$3+#REF!),-1),""))</f>
        <v/>
      </c>
      <c r="DA589" s="503" t="s">
        <v>621</v>
      </c>
      <c r="DB589" s="503" t="str">
        <f>IF($G589="","",IF(AND($G589&gt;=30,$AT$3&lt;=DA$7),ROUND(DA589*($AP$3+#REF!),-1),""))</f>
        <v/>
      </c>
      <c r="DC589" s="503" t="s">
        <v>621</v>
      </c>
      <c r="DD589" s="503" t="str">
        <f>IF($G589="","",IF(AND($G589&gt;=30,$AT$3&lt;=DC$7),ROUND(DC589*($AP$3+#REF!),-1),""))</f>
        <v/>
      </c>
      <c r="DE589" s="503" t="s">
        <v>621</v>
      </c>
      <c r="DF589" s="503" t="str">
        <f>IF($G589="","",IF(AND($G589&gt;=30,$AT$3&lt;=DE$7),ROUND(DE589*($AP$3+#REF!),-1),""))</f>
        <v/>
      </c>
      <c r="DG589" s="503" t="s">
        <v>621</v>
      </c>
      <c r="DH589" s="503" t="str">
        <f>IF($G589="","",IF(AND($G589&gt;=30,$AT$3&lt;=DG$7),ROUND(DG589*($AP$3+#REF!),-1),""))</f>
        <v/>
      </c>
      <c r="DI589" s="503" t="s">
        <v>621</v>
      </c>
      <c r="DJ589" s="503" t="str">
        <f>IF($G589="","",IF(AND($G589&gt;=30,$AT$3&lt;=DI$7),ROUND(DI589*($AP$3+#REF!),-1),""))</f>
        <v/>
      </c>
      <c r="DK589" s="503" t="s">
        <v>621</v>
      </c>
      <c r="DL589" s="503" t="str">
        <f>IF($G589="","",IF(AND($G589&gt;=30,$AT$3&lt;=DK$7),ROUND(DK589*($AP$3+#REF!),-1),""))</f>
        <v/>
      </c>
      <c r="DM589" s="503" t="s">
        <v>621</v>
      </c>
      <c r="DN589" s="503" t="str">
        <f>IF($G589="","",IF(AND($G589&gt;=30,$AT$3&lt;=DM$7),ROUND(DM589*($AP$3+#REF!),-1),""))</f>
        <v/>
      </c>
      <c r="DO589" s="503" t="s">
        <v>621</v>
      </c>
      <c r="DP589" s="503" t="str">
        <f>IF($G589="","",IF(AND($G589&gt;=30,$AT$3&lt;=DO$7),ROUND(DO589*($AP$3+#REF!),-1),""))</f>
        <v/>
      </c>
      <c r="DQ589" s="503" t="s">
        <v>621</v>
      </c>
      <c r="DR589" s="503" t="str">
        <f>IF($G589="","",IF(AND($G589&gt;=30,$AT$3&lt;=DQ$7),ROUND(DQ589*($AP$3+#REF!),-1),""))</f>
        <v/>
      </c>
      <c r="DS589" s="503" t="s">
        <v>621</v>
      </c>
      <c r="DT589" s="503" t="str">
        <f>IF($G589="","",IF(AND($G589&gt;=30,$AT$3&lt;=DS$7),ROUND(DS589*($AP$3+#REF!),-1),""))</f>
        <v/>
      </c>
      <c r="DU589" s="503" t="s">
        <v>621</v>
      </c>
      <c r="DV589" s="503" t="str">
        <f>IF($G589="","",IF(AND($G589&gt;=30,$AT$3&lt;=DU$7),ROUND(DU589*($AP$3+#REF!),-1),""))</f>
        <v/>
      </c>
      <c r="DW589" s="503" t="s">
        <v>621</v>
      </c>
      <c r="DX589" s="503" t="str">
        <f>IF($G589="","",IF(AND($G589&gt;=30,$AT$3&lt;=DW$7),ROUND(DW589*($AP$3+#REF!),-1),""))</f>
        <v/>
      </c>
      <c r="DY589" s="517" t="e">
        <v>#REF!</v>
      </c>
      <c r="DZ589" s="503" t="str">
        <f>IF($G589="","",IF(AND($G589&gt;=30,$AT$3&lt;=DY$7),ROUND(DY589*($AP$3+#REF!),-1),""))</f>
        <v/>
      </c>
      <c r="EA589" s="503"/>
      <c r="EB589" s="503" t="str">
        <f>IF($G589="","",IF(AND($G589&gt;=30,$AT$3&lt;=EA$7),ROUND(EA589*($AP$3+#REF!),-1),""))</f>
        <v/>
      </c>
      <c r="EC589" s="436"/>
      <c r="ED589" s="436"/>
      <c r="EE589" s="394"/>
    </row>
    <row r="590" spans="1:135" ht="9.75" customHeight="1">
      <c r="A590" s="321" t="str">
        <f t="shared" si="138"/>
        <v/>
      </c>
      <c r="B590" s="567">
        <f>(ii!$D$13*12+V590)+1</f>
        <v>484</v>
      </c>
      <c r="C590" s="337">
        <f t="shared" si="142"/>
        <v>60083</v>
      </c>
      <c r="D590" s="484">
        <f t="shared" si="131"/>
        <v>2064</v>
      </c>
      <c r="E590" s="484">
        <f t="shared" ref="E590:E608" si="143">MONTH(C590)/12</f>
        <v>0.5</v>
      </c>
      <c r="F590" s="484">
        <f t="shared" si="132"/>
        <v>2064.5</v>
      </c>
      <c r="G590" s="485" t="str">
        <f>IF(OR(C590&lt;$I$2,C590&gt;$J$3),"",(ii!$D$13*12+V590+1)/12)</f>
        <v/>
      </c>
      <c r="H590" s="486"/>
      <c r="I590" s="486"/>
      <c r="J590" s="487"/>
      <c r="K590" s="488"/>
      <c r="L590" s="548"/>
      <c r="M590" s="489" t="str">
        <f t="shared" si="133"/>
        <v/>
      </c>
      <c r="N590" s="490" t="s">
        <v>621</v>
      </c>
      <c r="O590" s="490" t="str">
        <f t="shared" si="140"/>
        <v/>
      </c>
      <c r="P590" s="491"/>
      <c r="Q590" s="491"/>
      <c r="R590" s="491" t="str">
        <f t="shared" si="141"/>
        <v/>
      </c>
      <c r="S590" s="528" t="str">
        <f t="shared" si="139"/>
        <v/>
      </c>
      <c r="T590" s="528" t="str">
        <f t="shared" si="137"/>
        <v/>
      </c>
      <c r="U590" s="493" t="str">
        <f>IF(H590="","",#REF!*12+#REF!+#REF!*12+#REF!)</f>
        <v/>
      </c>
      <c r="V590" s="338">
        <f>IF(ii!$J$3&gt;gg!C590,"",IF(AND((YEAR(C590)=YEAR($I$2)),MONTH(C590)=MONTH($I$2)),ii!$B$14*12+ii!$C$14+ii!$B$15*12+ii!$C$15-1,V589+1))</f>
        <v>483</v>
      </c>
      <c r="W590" s="339">
        <f t="shared" si="130"/>
        <v>40.25</v>
      </c>
      <c r="X590" s="494" t="s">
        <v>621</v>
      </c>
      <c r="Y590" s="495" t="s">
        <v>621</v>
      </c>
      <c r="Z590" s="496"/>
      <c r="AA590" s="497"/>
      <c r="AB590" s="498" t="str">
        <f t="shared" si="136"/>
        <v/>
      </c>
      <c r="AC590" s="484" t="str">
        <f t="shared" si="134"/>
        <v/>
      </c>
      <c r="AD590" s="495" t="str">
        <f t="shared" si="135"/>
        <v/>
      </c>
      <c r="AE590" s="499" t="s">
        <v>621</v>
      </c>
      <c r="AF590" s="500" t="s">
        <v>621</v>
      </c>
      <c r="AG590" s="556" t="s">
        <v>621</v>
      </c>
      <c r="AH590" s="503" t="str">
        <f>IF($G590="","",IF(AND($G590&gt;=30,$AT$3&lt;=AG$7),ROUND(AG590*($AP$3+#REF!),-1),""))</f>
        <v/>
      </c>
      <c r="AI590" s="506" t="s">
        <v>621</v>
      </c>
      <c r="AJ590" s="503" t="str">
        <f>IF($G590="","",IF(AND($G590&gt;=30,$AT$3&lt;=AI$7),ROUND(AI590*($AP$3+#REF!),-1),""))</f>
        <v/>
      </c>
      <c r="AK590" s="506" t="s">
        <v>621</v>
      </c>
      <c r="AL590" s="503" t="str">
        <f>IF($G590="","",IF(AND($G590&gt;=30,$AT$3&lt;=AK$7),ROUND(AK590*($AP$3+#REF!),-1),""))</f>
        <v/>
      </c>
      <c r="AM590" s="506" t="s">
        <v>621</v>
      </c>
      <c r="AN590" s="503" t="str">
        <f>IF($G590="","",IF(AND($G590&gt;=30,$AT$3&lt;=AM$7),ROUND(AM590*($AP$3+#REF!),-1),""))</f>
        <v/>
      </c>
      <c r="AO590" s="503" t="e">
        <v>#REF!</v>
      </c>
      <c r="AP590" s="503" t="str">
        <f>IF($G590="","",IF(AND($G590&gt;=30,$AT$3&lt;=AO$7),ROUND(AO590*($AP$3+#REF!),-1),""))</f>
        <v/>
      </c>
      <c r="AQ590" s="503" t="s">
        <v>621</v>
      </c>
      <c r="AR590" s="503" t="str">
        <f>IF($G590="","",IF(AND($G590&gt;=30,$AT$3&lt;=AQ$7),ROUND(AQ590*($AP$3+#REF!),-1),""))</f>
        <v/>
      </c>
      <c r="AS590" s="503" t="s">
        <v>621</v>
      </c>
      <c r="AT590" s="503" t="str">
        <f>IF($G590="","",IF(AND($G590&gt;=30,$AT$3&lt;=AS$7),ROUND(AS590*($AP$3+#REF!),-1),""))</f>
        <v/>
      </c>
      <c r="AU590" s="503" t="s">
        <v>621</v>
      </c>
      <c r="AV590" s="503" t="str">
        <f>IF($G590="","",IF(AND($G590&gt;=30,$AT$3&lt;=AU$7),ROUND(AU590*($AP$3+#REF!),-1),""))</f>
        <v/>
      </c>
      <c r="AW590" s="503" t="s">
        <v>621</v>
      </c>
      <c r="AX590" s="503" t="str">
        <f>IF($G590="","",IF(AND($G590&gt;=30,$AT$3&lt;=AW$7),ROUND(AW590*($AP$3+#REF!),-1),""))</f>
        <v/>
      </c>
      <c r="AY590" s="503" t="s">
        <v>621</v>
      </c>
      <c r="AZ590" s="503" t="str">
        <f>IF($G590="","",IF(AND($G590&gt;=30,$AT$3&lt;=AY$7),ROUND(AY590*($AP$3+#REF!),-1),""))</f>
        <v/>
      </c>
      <c r="BA590" s="503" t="s">
        <v>621</v>
      </c>
      <c r="BB590" s="503" t="str">
        <f>IF($G590="","",IF(AND($G590&gt;=30,$AT$3&lt;=BA$7),ROUND(BA590*($AP$3+#REF!),-1),""))</f>
        <v/>
      </c>
      <c r="BC590" s="503" t="s">
        <v>621</v>
      </c>
      <c r="BD590" s="503" t="str">
        <f>IF($G590="","",IF(AND($G590&gt;=30,$AT$3&lt;=BC$7),ROUND(BC590*($AP$3+#REF!),-1),""))</f>
        <v/>
      </c>
      <c r="BE590" s="503" t="s">
        <v>621</v>
      </c>
      <c r="BF590" s="503" t="str">
        <f>IF($G590="","",IF(AND($G590&gt;=30,$AT$3&lt;=BE$7),ROUND(BE590*($AP$3+#REF!),-1),""))</f>
        <v/>
      </c>
      <c r="BG590" s="503" t="s">
        <v>621</v>
      </c>
      <c r="BH590" s="503" t="str">
        <f>IF($G590="","",IF(AND($G590&gt;=30,$AT$3&lt;=BG$7),ROUND(BG590*($AP$3+#REF!),-1),""))</f>
        <v/>
      </c>
      <c r="BI590" s="503" t="s">
        <v>621</v>
      </c>
      <c r="BJ590" s="503" t="str">
        <f>IF($G590="","",IF(AND($G590&gt;=30,$AT$3&lt;=BI$7),ROUND(BI590*($AP$3+#REF!),-1),""))</f>
        <v/>
      </c>
      <c r="BK590" s="503" t="s">
        <v>621</v>
      </c>
      <c r="BL590" s="503" t="str">
        <f>IF($G590="","",IF(AND($G590&gt;=30,$AT$3&lt;=BK$7),ROUND(BK590*($AP$3+#REF!),-1),""))</f>
        <v/>
      </c>
      <c r="BM590" s="503" t="s">
        <v>621</v>
      </c>
      <c r="BN590" s="503" t="str">
        <f>IF($G590="","",IF(AND($G590&gt;=30,$AT$3&lt;=BM$7),ROUND(BM590*($AP$3+#REF!),-1),""))</f>
        <v/>
      </c>
      <c r="BO590" s="503" t="s">
        <v>621</v>
      </c>
      <c r="BP590" s="503" t="str">
        <f>IF($G590="","",IF(AND($G590&gt;=30,$AT$3&lt;=BO$7),ROUND(BO590*($AP$3+#REF!),-1),""))</f>
        <v/>
      </c>
      <c r="BQ590" s="503" t="s">
        <v>621</v>
      </c>
      <c r="BR590" s="503" t="str">
        <f>IF($G590="","",IF(AND($G590&gt;=30,$AT$3&lt;=BQ$7),ROUND(BQ590*($AP$3+#REF!),-1),""))</f>
        <v/>
      </c>
      <c r="BS590" s="503" t="s">
        <v>621</v>
      </c>
      <c r="BT590" s="503" t="str">
        <f>IF($G590="","",IF(AND($G590&gt;=30,$AT$3&lt;=BS$7),ROUND(BS590*($AP$3+#REF!),-1),""))</f>
        <v/>
      </c>
      <c r="BU590" s="503" t="s">
        <v>621</v>
      </c>
      <c r="BV590" s="503" t="str">
        <f>IF($G590="","",IF(AND($G590&gt;=30,$AT$3&lt;=BU$7),ROUND(BU590*($AP$3+#REF!),-1),""))</f>
        <v/>
      </c>
      <c r="BW590" s="503" t="s">
        <v>621</v>
      </c>
      <c r="BX590" s="503" t="str">
        <f>IF($G590="","",IF(AND($G590&gt;=30,$AT$3&lt;=BW$7),ROUND(BW590*($AP$3+#REF!),-1),""))</f>
        <v/>
      </c>
      <c r="BY590" s="503" t="s">
        <v>621</v>
      </c>
      <c r="BZ590" s="503" t="str">
        <f>IF($G590="","",IF(AND($G590&gt;=30,$AT$3&lt;=BY$7),ROUND(BY590*($AP$3+#REF!),-1),""))</f>
        <v/>
      </c>
      <c r="CA590" s="503" t="s">
        <v>621</v>
      </c>
      <c r="CB590" s="503" t="str">
        <f>IF($G590="","",IF(AND($G590&gt;=30,$AT$3&lt;=CA$7),ROUND(CA590*($AP$3+#REF!),-1),""))</f>
        <v/>
      </c>
      <c r="CC590" s="503" t="s">
        <v>621</v>
      </c>
      <c r="CD590" s="503" t="str">
        <f>IF($G590="","",IF(AND($G590&gt;=30,$AT$3&lt;=CC$7),ROUND(CC590*($AP$3+#REF!),-1),""))</f>
        <v/>
      </c>
      <c r="CE590" s="503" t="s">
        <v>621</v>
      </c>
      <c r="CF590" s="503" t="str">
        <f>IF($G590="","",IF(AND($G590&gt;=30,$AT$3&lt;=CE$7),ROUND(CE590*($AP$3+#REF!),-1),""))</f>
        <v/>
      </c>
      <c r="CG590" s="503" t="s">
        <v>621</v>
      </c>
      <c r="CH590" s="503" t="str">
        <f>IF($G590="","",IF(AND($G590&gt;=30,$AT$3&lt;=CG$7),ROUND(CG590*($AP$3+#REF!),-1),""))</f>
        <v/>
      </c>
      <c r="CI590" s="503" t="s">
        <v>621</v>
      </c>
      <c r="CJ590" s="503" t="str">
        <f>IF($G590="","",IF(AND($G590&gt;=30,$AT$3&lt;=CI$7),ROUND(CI590*($AP$3+#REF!),-1),""))</f>
        <v/>
      </c>
      <c r="CK590" s="503" t="s">
        <v>621</v>
      </c>
      <c r="CL590" s="503" t="str">
        <f>IF($G590="","",IF(AND($G590&gt;=30,$AT$3&lt;=CK$7),ROUND(CK590*($AP$3+#REF!),-1),""))</f>
        <v/>
      </c>
      <c r="CM590" s="503" t="s">
        <v>621</v>
      </c>
      <c r="CN590" s="503" t="str">
        <f>IF($G590="","",IF(AND($G590&gt;=30,$AT$3&lt;=CM$7),ROUND(CM590*($AP$3+#REF!),-1),""))</f>
        <v/>
      </c>
      <c r="CO590" s="503" t="s">
        <v>621</v>
      </c>
      <c r="CP590" s="503" t="str">
        <f>IF($G590="","",IF(AND($G590&gt;=30,$AT$3&lt;=CO$7),ROUND(CO590*($AP$3+#REF!),-1),""))</f>
        <v/>
      </c>
      <c r="CQ590" s="503" t="s">
        <v>621</v>
      </c>
      <c r="CR590" s="503" t="str">
        <f>IF($G590="","",IF(AND($G590&gt;=30,$AT$3&lt;=CQ$7),ROUND(CQ590*($AP$3+#REF!),-1),""))</f>
        <v/>
      </c>
      <c r="CS590" s="503" t="s">
        <v>621</v>
      </c>
      <c r="CT590" s="503" t="str">
        <f>IF($G590="","",IF(AND($G590&gt;=30,$AT$3&lt;=CS$7),ROUND(CS590*($AP$3+#REF!),-1),""))</f>
        <v/>
      </c>
      <c r="CU590" s="503" t="s">
        <v>621</v>
      </c>
      <c r="CV590" s="503" t="str">
        <f>IF($G590="","",IF(AND($G590&gt;=30,$AT$3&lt;=CU$7),ROUND(CU590*($AP$3+#REF!),-1),""))</f>
        <v/>
      </c>
      <c r="CW590" s="503" t="s">
        <v>621</v>
      </c>
      <c r="CX590" s="503" t="str">
        <f>IF($G590="","",IF(AND($G590&gt;=30,$AT$3&lt;=CW$7),ROUND(CW590*($AP$3+#REF!),-1),""))</f>
        <v/>
      </c>
      <c r="CY590" s="503" t="s">
        <v>621</v>
      </c>
      <c r="CZ590" s="503" t="str">
        <f>IF($G590="","",IF(AND($G590&gt;=30,$AT$3&lt;=CY$7),ROUND(CY590*($AP$3+#REF!),-1),""))</f>
        <v/>
      </c>
      <c r="DA590" s="503" t="s">
        <v>621</v>
      </c>
      <c r="DB590" s="503" t="str">
        <f>IF($G590="","",IF(AND($G590&gt;=30,$AT$3&lt;=DA$7),ROUND(DA590*($AP$3+#REF!),-1),""))</f>
        <v/>
      </c>
      <c r="DC590" s="503" t="s">
        <v>621</v>
      </c>
      <c r="DD590" s="503" t="str">
        <f>IF($G590="","",IF(AND($G590&gt;=30,$AT$3&lt;=DC$7),ROUND(DC590*($AP$3+#REF!),-1),""))</f>
        <v/>
      </c>
      <c r="DE590" s="503" t="s">
        <v>621</v>
      </c>
      <c r="DF590" s="503" t="str">
        <f>IF($G590="","",IF(AND($G590&gt;=30,$AT$3&lt;=DE$7),ROUND(DE590*($AP$3+#REF!),-1),""))</f>
        <v/>
      </c>
      <c r="DG590" s="503" t="s">
        <v>621</v>
      </c>
      <c r="DH590" s="503" t="str">
        <f>IF($G590="","",IF(AND($G590&gt;=30,$AT$3&lt;=DG$7),ROUND(DG590*($AP$3+#REF!),-1),""))</f>
        <v/>
      </c>
      <c r="DI590" s="503" t="s">
        <v>621</v>
      </c>
      <c r="DJ590" s="503" t="str">
        <f>IF($G590="","",IF(AND($G590&gt;=30,$AT$3&lt;=DI$7),ROUND(DI590*($AP$3+#REF!),-1),""))</f>
        <v/>
      </c>
      <c r="DK590" s="503" t="s">
        <v>621</v>
      </c>
      <c r="DL590" s="503" t="str">
        <f>IF($G590="","",IF(AND($G590&gt;=30,$AT$3&lt;=DK$7),ROUND(DK590*($AP$3+#REF!),-1),""))</f>
        <v/>
      </c>
      <c r="DM590" s="503" t="s">
        <v>621</v>
      </c>
      <c r="DN590" s="503" t="str">
        <f>IF($G590="","",IF(AND($G590&gt;=30,$AT$3&lt;=DM$7),ROUND(DM590*($AP$3+#REF!),-1),""))</f>
        <v/>
      </c>
      <c r="DO590" s="503" t="s">
        <v>621</v>
      </c>
      <c r="DP590" s="503" t="str">
        <f>IF($G590="","",IF(AND($G590&gt;=30,$AT$3&lt;=DO$7),ROUND(DO590*($AP$3+#REF!),-1),""))</f>
        <v/>
      </c>
      <c r="DQ590" s="503" t="s">
        <v>621</v>
      </c>
      <c r="DR590" s="503" t="str">
        <f>IF($G590="","",IF(AND($G590&gt;=30,$AT$3&lt;=DQ$7),ROUND(DQ590*($AP$3+#REF!),-1),""))</f>
        <v/>
      </c>
      <c r="DS590" s="503" t="s">
        <v>621</v>
      </c>
      <c r="DT590" s="503" t="str">
        <f>IF($G590="","",IF(AND($G590&gt;=30,$AT$3&lt;=DS$7),ROUND(DS590*($AP$3+#REF!),-1),""))</f>
        <v/>
      </c>
      <c r="DU590" s="503" t="s">
        <v>621</v>
      </c>
      <c r="DV590" s="503" t="str">
        <f>IF($G590="","",IF(AND($G590&gt;=30,$AT$3&lt;=DU$7),ROUND(DU590*($AP$3+#REF!),-1),""))</f>
        <v/>
      </c>
      <c r="DW590" s="503" t="s">
        <v>621</v>
      </c>
      <c r="DX590" s="503" t="str">
        <f>IF($G590="","",IF(AND($G590&gt;=30,$AT$3&lt;=DW$7),ROUND(DW590*($AP$3+#REF!),-1),""))</f>
        <v/>
      </c>
      <c r="DY590" s="517" t="e">
        <v>#REF!</v>
      </c>
      <c r="DZ590" s="503" t="str">
        <f>IF($G590="","",IF(AND($G590&gt;=30,$AT$3&lt;=DY$7),ROUND(DY590*($AP$3+#REF!),-1),""))</f>
        <v/>
      </c>
      <c r="EA590" s="503"/>
      <c r="EB590" s="503" t="str">
        <f>IF($G590="","",IF(AND($G590&gt;=30,$AT$3&lt;=EA$7),ROUND(EA590*($AP$3+#REF!),-1),""))</f>
        <v/>
      </c>
      <c r="EC590" s="436"/>
      <c r="ED590" s="436"/>
      <c r="EE590" s="394"/>
    </row>
    <row r="591" spans="1:135" ht="9.75" customHeight="1">
      <c r="A591" s="321" t="str">
        <f t="shared" si="138"/>
        <v/>
      </c>
      <c r="B591" s="567">
        <f>(ii!$D$13*12+V591)+1</f>
        <v>485</v>
      </c>
      <c r="C591" s="337">
        <f t="shared" si="142"/>
        <v>60114</v>
      </c>
      <c r="D591" s="484">
        <f t="shared" si="131"/>
        <v>2064</v>
      </c>
      <c r="E591" s="484">
        <f t="shared" si="143"/>
        <v>0.58333333333333337</v>
      </c>
      <c r="F591" s="484">
        <f t="shared" si="132"/>
        <v>2064.5833333333335</v>
      </c>
      <c r="G591" s="485" t="str">
        <f>IF(OR(C591&lt;$I$2,C591&gt;$J$3),"",(ii!$D$13*12+V591+1)/12)</f>
        <v/>
      </c>
      <c r="H591" s="486"/>
      <c r="I591" s="486"/>
      <c r="J591" s="487"/>
      <c r="K591" s="488"/>
      <c r="L591" s="548"/>
      <c r="M591" s="489" t="str">
        <f t="shared" si="133"/>
        <v/>
      </c>
      <c r="N591" s="490" t="s">
        <v>621</v>
      </c>
      <c r="O591" s="490" t="str">
        <f t="shared" si="140"/>
        <v/>
      </c>
      <c r="P591" s="491"/>
      <c r="Q591" s="491"/>
      <c r="R591" s="491" t="str">
        <f t="shared" si="141"/>
        <v/>
      </c>
      <c r="S591" s="528" t="str">
        <f t="shared" si="139"/>
        <v/>
      </c>
      <c r="T591" s="528" t="str">
        <f t="shared" si="137"/>
        <v/>
      </c>
      <c r="U591" s="493" t="str">
        <f>IF(H591="","",#REF!*12+#REF!+#REF!*12+#REF!)</f>
        <v/>
      </c>
      <c r="V591" s="338">
        <f>IF(ii!$J$3&gt;gg!C591,"",IF(AND((YEAR(C591)=YEAR($I$2)),MONTH(C591)=MONTH($I$2)),ii!$B$14*12+ii!$C$14+ii!$B$15*12+ii!$C$15-1,V590+1))</f>
        <v>484</v>
      </c>
      <c r="W591" s="339">
        <f t="shared" si="130"/>
        <v>40.333333333333336</v>
      </c>
      <c r="X591" s="494" t="s">
        <v>621</v>
      </c>
      <c r="Y591" s="495" t="s">
        <v>621</v>
      </c>
      <c r="Z591" s="496"/>
      <c r="AA591" s="497"/>
      <c r="AB591" s="498" t="str">
        <f t="shared" si="136"/>
        <v/>
      </c>
      <c r="AC591" s="484" t="str">
        <f t="shared" si="134"/>
        <v/>
      </c>
      <c r="AD591" s="495" t="str">
        <f t="shared" si="135"/>
        <v/>
      </c>
      <c r="AE591" s="499" t="s">
        <v>621</v>
      </c>
      <c r="AF591" s="500" t="s">
        <v>621</v>
      </c>
      <c r="AG591" s="556" t="s">
        <v>621</v>
      </c>
      <c r="AH591" s="503" t="str">
        <f>IF($G591="","",IF(AND($G591&gt;=30,$AT$3&lt;=AG$7),ROUND(AG591*($AP$3+#REF!),-1),""))</f>
        <v/>
      </c>
      <c r="AI591" s="506" t="s">
        <v>621</v>
      </c>
      <c r="AJ591" s="503" t="str">
        <f>IF($G591="","",IF(AND($G591&gt;=30,$AT$3&lt;=AI$7),ROUND(AI591*($AP$3+#REF!),-1),""))</f>
        <v/>
      </c>
      <c r="AK591" s="506" t="s">
        <v>621</v>
      </c>
      <c r="AL591" s="503" t="str">
        <f>IF($G591="","",IF(AND($G591&gt;=30,$AT$3&lt;=AK$7),ROUND(AK591*($AP$3+#REF!),-1),""))</f>
        <v/>
      </c>
      <c r="AM591" s="506" t="s">
        <v>621</v>
      </c>
      <c r="AN591" s="503" t="str">
        <f>IF($G591="","",IF(AND($G591&gt;=30,$AT$3&lt;=AM$7),ROUND(AM591*($AP$3+#REF!),-1),""))</f>
        <v/>
      </c>
      <c r="AO591" s="503" t="e">
        <v>#REF!</v>
      </c>
      <c r="AP591" s="503" t="str">
        <f>IF($G591="","",IF(AND($G591&gt;=30,$AT$3&lt;=AO$7),ROUND(AO591*($AP$3+#REF!),-1),""))</f>
        <v/>
      </c>
      <c r="AQ591" s="503" t="s">
        <v>621</v>
      </c>
      <c r="AR591" s="503" t="str">
        <f>IF($G591="","",IF(AND($G591&gt;=30,$AT$3&lt;=AQ$7),ROUND(AQ591*($AP$3+#REF!),-1),""))</f>
        <v/>
      </c>
      <c r="AS591" s="503" t="s">
        <v>621</v>
      </c>
      <c r="AT591" s="503" t="str">
        <f>IF($G591="","",IF(AND($G591&gt;=30,$AT$3&lt;=AS$7),ROUND(AS591*($AP$3+#REF!),-1),""))</f>
        <v/>
      </c>
      <c r="AU591" s="503" t="s">
        <v>621</v>
      </c>
      <c r="AV591" s="503" t="str">
        <f>IF($G591="","",IF(AND($G591&gt;=30,$AT$3&lt;=AU$7),ROUND(AU591*($AP$3+#REF!),-1),""))</f>
        <v/>
      </c>
      <c r="AW591" s="503" t="s">
        <v>621</v>
      </c>
      <c r="AX591" s="503" t="str">
        <f>IF($G591="","",IF(AND($G591&gt;=30,$AT$3&lt;=AW$7),ROUND(AW591*($AP$3+#REF!),-1),""))</f>
        <v/>
      </c>
      <c r="AY591" s="503" t="s">
        <v>621</v>
      </c>
      <c r="AZ591" s="503" t="str">
        <f>IF($G591="","",IF(AND($G591&gt;=30,$AT$3&lt;=AY$7),ROUND(AY591*($AP$3+#REF!),-1),""))</f>
        <v/>
      </c>
      <c r="BA591" s="503" t="s">
        <v>621</v>
      </c>
      <c r="BB591" s="503" t="str">
        <f>IF($G591="","",IF(AND($G591&gt;=30,$AT$3&lt;=BA$7),ROUND(BA591*($AP$3+#REF!),-1),""))</f>
        <v/>
      </c>
      <c r="BC591" s="503" t="s">
        <v>621</v>
      </c>
      <c r="BD591" s="503" t="str">
        <f>IF($G591="","",IF(AND($G591&gt;=30,$AT$3&lt;=BC$7),ROUND(BC591*($AP$3+#REF!),-1),""))</f>
        <v/>
      </c>
      <c r="BE591" s="503" t="s">
        <v>621</v>
      </c>
      <c r="BF591" s="503" t="str">
        <f>IF($G591="","",IF(AND($G591&gt;=30,$AT$3&lt;=BE$7),ROUND(BE591*($AP$3+#REF!),-1),""))</f>
        <v/>
      </c>
      <c r="BG591" s="503" t="s">
        <v>621</v>
      </c>
      <c r="BH591" s="503" t="str">
        <f>IF($G591="","",IF(AND($G591&gt;=30,$AT$3&lt;=BG$7),ROUND(BG591*($AP$3+#REF!),-1),""))</f>
        <v/>
      </c>
      <c r="BI591" s="503" t="s">
        <v>621</v>
      </c>
      <c r="BJ591" s="503" t="str">
        <f>IF($G591="","",IF(AND($G591&gt;=30,$AT$3&lt;=BI$7),ROUND(BI591*($AP$3+#REF!),-1),""))</f>
        <v/>
      </c>
      <c r="BK591" s="503" t="s">
        <v>621</v>
      </c>
      <c r="BL591" s="503" t="str">
        <f>IF($G591="","",IF(AND($G591&gt;=30,$AT$3&lt;=BK$7),ROUND(BK591*($AP$3+#REF!),-1),""))</f>
        <v/>
      </c>
      <c r="BM591" s="503" t="s">
        <v>621</v>
      </c>
      <c r="BN591" s="503" t="str">
        <f>IF($G591="","",IF(AND($G591&gt;=30,$AT$3&lt;=BM$7),ROUND(BM591*($AP$3+#REF!),-1),""))</f>
        <v/>
      </c>
      <c r="BO591" s="503" t="s">
        <v>621</v>
      </c>
      <c r="BP591" s="503" t="str">
        <f>IF($G591="","",IF(AND($G591&gt;=30,$AT$3&lt;=BO$7),ROUND(BO591*($AP$3+#REF!),-1),""))</f>
        <v/>
      </c>
      <c r="BQ591" s="503" t="s">
        <v>621</v>
      </c>
      <c r="BR591" s="503" t="str">
        <f>IF($G591="","",IF(AND($G591&gt;=30,$AT$3&lt;=BQ$7),ROUND(BQ591*($AP$3+#REF!),-1),""))</f>
        <v/>
      </c>
      <c r="BS591" s="503" t="s">
        <v>621</v>
      </c>
      <c r="BT591" s="503" t="str">
        <f>IF($G591="","",IF(AND($G591&gt;=30,$AT$3&lt;=BS$7),ROUND(BS591*($AP$3+#REF!),-1),""))</f>
        <v/>
      </c>
      <c r="BU591" s="503" t="s">
        <v>621</v>
      </c>
      <c r="BV591" s="503" t="str">
        <f>IF($G591="","",IF(AND($G591&gt;=30,$AT$3&lt;=BU$7),ROUND(BU591*($AP$3+#REF!),-1),""))</f>
        <v/>
      </c>
      <c r="BW591" s="503" t="s">
        <v>621</v>
      </c>
      <c r="BX591" s="503" t="str">
        <f>IF($G591="","",IF(AND($G591&gt;=30,$AT$3&lt;=BW$7),ROUND(BW591*($AP$3+#REF!),-1),""))</f>
        <v/>
      </c>
      <c r="BY591" s="503" t="s">
        <v>621</v>
      </c>
      <c r="BZ591" s="503" t="str">
        <f>IF($G591="","",IF(AND($G591&gt;=30,$AT$3&lt;=BY$7),ROUND(BY591*($AP$3+#REF!),-1),""))</f>
        <v/>
      </c>
      <c r="CA591" s="503" t="s">
        <v>621</v>
      </c>
      <c r="CB591" s="503" t="str">
        <f>IF($G591="","",IF(AND($G591&gt;=30,$AT$3&lt;=CA$7),ROUND(CA591*($AP$3+#REF!),-1),""))</f>
        <v/>
      </c>
      <c r="CC591" s="503" t="s">
        <v>621</v>
      </c>
      <c r="CD591" s="503" t="str">
        <f>IF($G591="","",IF(AND($G591&gt;=30,$AT$3&lt;=CC$7),ROUND(CC591*($AP$3+#REF!),-1),""))</f>
        <v/>
      </c>
      <c r="CE591" s="503" t="s">
        <v>621</v>
      </c>
      <c r="CF591" s="503" t="str">
        <f>IF($G591="","",IF(AND($G591&gt;=30,$AT$3&lt;=CE$7),ROUND(CE591*($AP$3+#REF!),-1),""))</f>
        <v/>
      </c>
      <c r="CG591" s="503" t="s">
        <v>621</v>
      </c>
      <c r="CH591" s="503" t="str">
        <f>IF($G591="","",IF(AND($G591&gt;=30,$AT$3&lt;=CG$7),ROUND(CG591*($AP$3+#REF!),-1),""))</f>
        <v/>
      </c>
      <c r="CI591" s="503" t="s">
        <v>621</v>
      </c>
      <c r="CJ591" s="503" t="str">
        <f>IF($G591="","",IF(AND($G591&gt;=30,$AT$3&lt;=CI$7),ROUND(CI591*($AP$3+#REF!),-1),""))</f>
        <v/>
      </c>
      <c r="CK591" s="503" t="s">
        <v>621</v>
      </c>
      <c r="CL591" s="503" t="str">
        <f>IF($G591="","",IF(AND($G591&gt;=30,$AT$3&lt;=CK$7),ROUND(CK591*($AP$3+#REF!),-1),""))</f>
        <v/>
      </c>
      <c r="CM591" s="503" t="s">
        <v>621</v>
      </c>
      <c r="CN591" s="503" t="str">
        <f>IF($G591="","",IF(AND($G591&gt;=30,$AT$3&lt;=CM$7),ROUND(CM591*($AP$3+#REF!),-1),""))</f>
        <v/>
      </c>
      <c r="CO591" s="503" t="s">
        <v>621</v>
      </c>
      <c r="CP591" s="503" t="str">
        <f>IF($G591="","",IF(AND($G591&gt;=30,$AT$3&lt;=CO$7),ROUND(CO591*($AP$3+#REF!),-1),""))</f>
        <v/>
      </c>
      <c r="CQ591" s="503" t="s">
        <v>621</v>
      </c>
      <c r="CR591" s="503" t="str">
        <f>IF($G591="","",IF(AND($G591&gt;=30,$AT$3&lt;=CQ$7),ROUND(CQ591*($AP$3+#REF!),-1),""))</f>
        <v/>
      </c>
      <c r="CS591" s="503" t="s">
        <v>621</v>
      </c>
      <c r="CT591" s="503" t="str">
        <f>IF($G591="","",IF(AND($G591&gt;=30,$AT$3&lt;=CS$7),ROUND(CS591*($AP$3+#REF!),-1),""))</f>
        <v/>
      </c>
      <c r="CU591" s="503" t="s">
        <v>621</v>
      </c>
      <c r="CV591" s="503" t="str">
        <f>IF($G591="","",IF(AND($G591&gt;=30,$AT$3&lt;=CU$7),ROUND(CU591*($AP$3+#REF!),-1),""))</f>
        <v/>
      </c>
      <c r="CW591" s="503" t="s">
        <v>621</v>
      </c>
      <c r="CX591" s="503" t="str">
        <f>IF($G591="","",IF(AND($G591&gt;=30,$AT$3&lt;=CW$7),ROUND(CW591*($AP$3+#REF!),-1),""))</f>
        <v/>
      </c>
      <c r="CY591" s="503" t="s">
        <v>621</v>
      </c>
      <c r="CZ591" s="503" t="str">
        <f>IF($G591="","",IF(AND($G591&gt;=30,$AT$3&lt;=CY$7),ROUND(CY591*($AP$3+#REF!),-1),""))</f>
        <v/>
      </c>
      <c r="DA591" s="503" t="s">
        <v>621</v>
      </c>
      <c r="DB591" s="503" t="str">
        <f>IF($G591="","",IF(AND($G591&gt;=30,$AT$3&lt;=DA$7),ROUND(DA591*($AP$3+#REF!),-1),""))</f>
        <v/>
      </c>
      <c r="DC591" s="503" t="s">
        <v>621</v>
      </c>
      <c r="DD591" s="503" t="str">
        <f>IF($G591="","",IF(AND($G591&gt;=30,$AT$3&lt;=DC$7),ROUND(DC591*($AP$3+#REF!),-1),""))</f>
        <v/>
      </c>
      <c r="DE591" s="503" t="s">
        <v>621</v>
      </c>
      <c r="DF591" s="503" t="str">
        <f>IF($G591="","",IF(AND($G591&gt;=30,$AT$3&lt;=DE$7),ROUND(DE591*($AP$3+#REF!),-1),""))</f>
        <v/>
      </c>
      <c r="DG591" s="503" t="s">
        <v>621</v>
      </c>
      <c r="DH591" s="503" t="str">
        <f>IF($G591="","",IF(AND($G591&gt;=30,$AT$3&lt;=DG$7),ROUND(DG591*($AP$3+#REF!),-1),""))</f>
        <v/>
      </c>
      <c r="DI591" s="503" t="s">
        <v>621</v>
      </c>
      <c r="DJ591" s="503" t="str">
        <f>IF($G591="","",IF(AND($G591&gt;=30,$AT$3&lt;=DI$7),ROUND(DI591*($AP$3+#REF!),-1),""))</f>
        <v/>
      </c>
      <c r="DK591" s="503" t="s">
        <v>621</v>
      </c>
      <c r="DL591" s="503" t="str">
        <f>IF($G591="","",IF(AND($G591&gt;=30,$AT$3&lt;=DK$7),ROUND(DK591*($AP$3+#REF!),-1),""))</f>
        <v/>
      </c>
      <c r="DM591" s="503" t="s">
        <v>621</v>
      </c>
      <c r="DN591" s="503" t="str">
        <f>IF($G591="","",IF(AND($G591&gt;=30,$AT$3&lt;=DM$7),ROUND(DM591*($AP$3+#REF!),-1),""))</f>
        <v/>
      </c>
      <c r="DO591" s="503" t="s">
        <v>621</v>
      </c>
      <c r="DP591" s="503" t="str">
        <f>IF($G591="","",IF(AND($G591&gt;=30,$AT$3&lt;=DO$7),ROUND(DO591*($AP$3+#REF!),-1),""))</f>
        <v/>
      </c>
      <c r="DQ591" s="503" t="s">
        <v>621</v>
      </c>
      <c r="DR591" s="503" t="str">
        <f>IF($G591="","",IF(AND($G591&gt;=30,$AT$3&lt;=DQ$7),ROUND(DQ591*($AP$3+#REF!),-1),""))</f>
        <v/>
      </c>
      <c r="DS591" s="503" t="s">
        <v>621</v>
      </c>
      <c r="DT591" s="503" t="str">
        <f>IF($G591="","",IF(AND($G591&gt;=30,$AT$3&lt;=DS$7),ROUND(DS591*($AP$3+#REF!),-1),""))</f>
        <v/>
      </c>
      <c r="DU591" s="503" t="s">
        <v>621</v>
      </c>
      <c r="DV591" s="503" t="str">
        <f>IF($G591="","",IF(AND($G591&gt;=30,$AT$3&lt;=DU$7),ROUND(DU591*($AP$3+#REF!),-1),""))</f>
        <v/>
      </c>
      <c r="DW591" s="503" t="s">
        <v>621</v>
      </c>
      <c r="DX591" s="503" t="str">
        <f>IF($G591="","",IF(AND($G591&gt;=30,$AT$3&lt;=DW$7),ROUND(DW591*($AP$3+#REF!),-1),""))</f>
        <v/>
      </c>
      <c r="DY591" s="517" t="e">
        <v>#REF!</v>
      </c>
      <c r="DZ591" s="503" t="str">
        <f>IF($G591="","",IF(AND($G591&gt;=30,$AT$3&lt;=DY$7),ROUND(DY591*($AP$3+#REF!),-1),""))</f>
        <v/>
      </c>
      <c r="EA591" s="503"/>
      <c r="EB591" s="503" t="str">
        <f>IF($G591="","",IF(AND($G591&gt;=30,$AT$3&lt;=EA$7),ROUND(EA591*($AP$3+#REF!),-1),""))</f>
        <v/>
      </c>
      <c r="EC591" s="436"/>
      <c r="ED591" s="436"/>
      <c r="EE591" s="394"/>
    </row>
    <row r="592" spans="1:135" ht="9.75" customHeight="1">
      <c r="A592" s="321" t="str">
        <f t="shared" si="138"/>
        <v/>
      </c>
      <c r="B592" s="567">
        <f>(ii!$D$13*12+V592)+1</f>
        <v>486</v>
      </c>
      <c r="C592" s="337">
        <f t="shared" si="142"/>
        <v>60145</v>
      </c>
      <c r="D592" s="484">
        <f t="shared" si="131"/>
        <v>2064</v>
      </c>
      <c r="E592" s="484">
        <f t="shared" si="143"/>
        <v>0.66666666666666663</v>
      </c>
      <c r="F592" s="484">
        <f t="shared" si="132"/>
        <v>2064.6666666666665</v>
      </c>
      <c r="G592" s="485" t="str">
        <f>IF(OR(C592&lt;$I$2,C592&gt;$J$3),"",(ii!$D$13*12+V592+1)/12)</f>
        <v/>
      </c>
      <c r="H592" s="486"/>
      <c r="I592" s="486"/>
      <c r="J592" s="487"/>
      <c r="K592" s="488"/>
      <c r="L592" s="548"/>
      <c r="M592" s="489" t="str">
        <f t="shared" si="133"/>
        <v/>
      </c>
      <c r="N592" s="490" t="s">
        <v>621</v>
      </c>
      <c r="O592" s="490" t="str">
        <f t="shared" si="140"/>
        <v/>
      </c>
      <c r="P592" s="491"/>
      <c r="Q592" s="491"/>
      <c r="R592" s="491" t="str">
        <f t="shared" si="141"/>
        <v/>
      </c>
      <c r="S592" s="528" t="str">
        <f t="shared" si="139"/>
        <v/>
      </c>
      <c r="T592" s="528" t="str">
        <f t="shared" si="137"/>
        <v/>
      </c>
      <c r="U592" s="493" t="str">
        <f>IF(H592="","",#REF!*12+#REF!+#REF!*12+#REF!)</f>
        <v/>
      </c>
      <c r="V592" s="338">
        <f>IF(ii!$J$3&gt;gg!C592,"",IF(AND((YEAR(C592)=YEAR($I$2)),MONTH(C592)=MONTH($I$2)),ii!$B$14*12+ii!$C$14+ii!$B$15*12+ii!$C$15-1,V591+1))</f>
        <v>485</v>
      </c>
      <c r="W592" s="339">
        <f t="shared" si="130"/>
        <v>40.416666666666664</v>
      </c>
      <c r="X592" s="494" t="s">
        <v>621</v>
      </c>
      <c r="Y592" s="495" t="s">
        <v>621</v>
      </c>
      <c r="Z592" s="496"/>
      <c r="AA592" s="497"/>
      <c r="AB592" s="498" t="str">
        <f t="shared" si="136"/>
        <v/>
      </c>
      <c r="AC592" s="484" t="str">
        <f t="shared" si="134"/>
        <v/>
      </c>
      <c r="AD592" s="495" t="str">
        <f t="shared" si="135"/>
        <v/>
      </c>
      <c r="AE592" s="499" t="s">
        <v>621</v>
      </c>
      <c r="AF592" s="500" t="s">
        <v>621</v>
      </c>
      <c r="AG592" s="556" t="s">
        <v>621</v>
      </c>
      <c r="AH592" s="503" t="str">
        <f>IF($G592="","",IF(AND($G592&gt;=30,$AT$3&lt;=AG$7),ROUND(AG592*($AP$3+#REF!),-1),""))</f>
        <v/>
      </c>
      <c r="AI592" s="506" t="s">
        <v>621</v>
      </c>
      <c r="AJ592" s="503" t="str">
        <f>IF($G592="","",IF(AND($G592&gt;=30,$AT$3&lt;=AI$7),ROUND(AI592*($AP$3+#REF!),-1),""))</f>
        <v/>
      </c>
      <c r="AK592" s="506" t="s">
        <v>621</v>
      </c>
      <c r="AL592" s="503" t="str">
        <f>IF($G592="","",IF(AND($G592&gt;=30,$AT$3&lt;=AK$7),ROUND(AK592*($AP$3+#REF!),-1),""))</f>
        <v/>
      </c>
      <c r="AM592" s="506" t="s">
        <v>621</v>
      </c>
      <c r="AN592" s="503" t="str">
        <f>IF($G592="","",IF(AND($G592&gt;=30,$AT$3&lt;=AM$7),ROUND(AM592*($AP$3+#REF!),-1),""))</f>
        <v/>
      </c>
      <c r="AO592" s="503" t="e">
        <v>#REF!</v>
      </c>
      <c r="AP592" s="503" t="str">
        <f>IF($G592="","",IF(AND($G592&gt;=30,$AT$3&lt;=AO$7),ROUND(AO592*($AP$3+#REF!),-1),""))</f>
        <v/>
      </c>
      <c r="AQ592" s="503" t="s">
        <v>621</v>
      </c>
      <c r="AR592" s="503" t="str">
        <f>IF($G592="","",IF(AND($G592&gt;=30,$AT$3&lt;=AQ$7),ROUND(AQ592*($AP$3+#REF!),-1),""))</f>
        <v/>
      </c>
      <c r="AS592" s="503" t="s">
        <v>621</v>
      </c>
      <c r="AT592" s="503" t="str">
        <f>IF($G592="","",IF(AND($G592&gt;=30,$AT$3&lt;=AS$7),ROUND(AS592*($AP$3+#REF!),-1),""))</f>
        <v/>
      </c>
      <c r="AU592" s="503" t="s">
        <v>621</v>
      </c>
      <c r="AV592" s="503" t="str">
        <f>IF($G592="","",IF(AND($G592&gt;=30,$AT$3&lt;=AU$7),ROUND(AU592*($AP$3+#REF!),-1),""))</f>
        <v/>
      </c>
      <c r="AW592" s="503" t="s">
        <v>621</v>
      </c>
      <c r="AX592" s="503" t="str">
        <f>IF($G592="","",IF(AND($G592&gt;=30,$AT$3&lt;=AW$7),ROUND(AW592*($AP$3+#REF!),-1),""))</f>
        <v/>
      </c>
      <c r="AY592" s="503" t="s">
        <v>621</v>
      </c>
      <c r="AZ592" s="503" t="str">
        <f>IF($G592="","",IF(AND($G592&gt;=30,$AT$3&lt;=AY$7),ROUND(AY592*($AP$3+#REF!),-1),""))</f>
        <v/>
      </c>
      <c r="BA592" s="503" t="s">
        <v>621</v>
      </c>
      <c r="BB592" s="503" t="str">
        <f>IF($G592="","",IF(AND($G592&gt;=30,$AT$3&lt;=BA$7),ROUND(BA592*($AP$3+#REF!),-1),""))</f>
        <v/>
      </c>
      <c r="BC592" s="503" t="s">
        <v>621</v>
      </c>
      <c r="BD592" s="503" t="str">
        <f>IF($G592="","",IF(AND($G592&gt;=30,$AT$3&lt;=BC$7),ROUND(BC592*($AP$3+#REF!),-1),""))</f>
        <v/>
      </c>
      <c r="BE592" s="503" t="s">
        <v>621</v>
      </c>
      <c r="BF592" s="503" t="str">
        <f>IF($G592="","",IF(AND($G592&gt;=30,$AT$3&lt;=BE$7),ROUND(BE592*($AP$3+#REF!),-1),""))</f>
        <v/>
      </c>
      <c r="BG592" s="503" t="s">
        <v>621</v>
      </c>
      <c r="BH592" s="503" t="str">
        <f>IF($G592="","",IF(AND($G592&gt;=30,$AT$3&lt;=BG$7),ROUND(BG592*($AP$3+#REF!),-1),""))</f>
        <v/>
      </c>
      <c r="BI592" s="503" t="s">
        <v>621</v>
      </c>
      <c r="BJ592" s="503" t="str">
        <f>IF($G592="","",IF(AND($G592&gt;=30,$AT$3&lt;=BI$7),ROUND(BI592*($AP$3+#REF!),-1),""))</f>
        <v/>
      </c>
      <c r="BK592" s="503" t="s">
        <v>621</v>
      </c>
      <c r="BL592" s="503" t="str">
        <f>IF($G592="","",IF(AND($G592&gt;=30,$AT$3&lt;=BK$7),ROUND(BK592*($AP$3+#REF!),-1),""))</f>
        <v/>
      </c>
      <c r="BM592" s="503" t="s">
        <v>621</v>
      </c>
      <c r="BN592" s="503" t="str">
        <f>IF($G592="","",IF(AND($G592&gt;=30,$AT$3&lt;=BM$7),ROUND(BM592*($AP$3+#REF!),-1),""))</f>
        <v/>
      </c>
      <c r="BO592" s="503" t="s">
        <v>621</v>
      </c>
      <c r="BP592" s="503" t="str">
        <f>IF($G592="","",IF(AND($G592&gt;=30,$AT$3&lt;=BO$7),ROUND(BO592*($AP$3+#REF!),-1),""))</f>
        <v/>
      </c>
      <c r="BQ592" s="503" t="s">
        <v>621</v>
      </c>
      <c r="BR592" s="503" t="str">
        <f>IF($G592="","",IF(AND($G592&gt;=30,$AT$3&lt;=BQ$7),ROUND(BQ592*($AP$3+#REF!),-1),""))</f>
        <v/>
      </c>
      <c r="BS592" s="503" t="s">
        <v>621</v>
      </c>
      <c r="BT592" s="503" t="str">
        <f>IF($G592="","",IF(AND($G592&gt;=30,$AT$3&lt;=BS$7),ROUND(BS592*($AP$3+#REF!),-1),""))</f>
        <v/>
      </c>
      <c r="BU592" s="503" t="s">
        <v>621</v>
      </c>
      <c r="BV592" s="503" t="str">
        <f>IF($G592="","",IF(AND($G592&gt;=30,$AT$3&lt;=BU$7),ROUND(BU592*($AP$3+#REF!),-1),""))</f>
        <v/>
      </c>
      <c r="BW592" s="503" t="s">
        <v>621</v>
      </c>
      <c r="BX592" s="503" t="str">
        <f>IF($G592="","",IF(AND($G592&gt;=30,$AT$3&lt;=BW$7),ROUND(BW592*($AP$3+#REF!),-1),""))</f>
        <v/>
      </c>
      <c r="BY592" s="503" t="s">
        <v>621</v>
      </c>
      <c r="BZ592" s="503" t="str">
        <f>IF($G592="","",IF(AND($G592&gt;=30,$AT$3&lt;=BY$7),ROUND(BY592*($AP$3+#REF!),-1),""))</f>
        <v/>
      </c>
      <c r="CA592" s="503" t="s">
        <v>621</v>
      </c>
      <c r="CB592" s="503" t="str">
        <f>IF($G592="","",IF(AND($G592&gt;=30,$AT$3&lt;=CA$7),ROUND(CA592*($AP$3+#REF!),-1),""))</f>
        <v/>
      </c>
      <c r="CC592" s="503" t="s">
        <v>621</v>
      </c>
      <c r="CD592" s="503" t="str">
        <f>IF($G592="","",IF(AND($G592&gt;=30,$AT$3&lt;=CC$7),ROUND(CC592*($AP$3+#REF!),-1),""))</f>
        <v/>
      </c>
      <c r="CE592" s="503" t="s">
        <v>621</v>
      </c>
      <c r="CF592" s="503" t="str">
        <f>IF($G592="","",IF(AND($G592&gt;=30,$AT$3&lt;=CE$7),ROUND(CE592*($AP$3+#REF!),-1),""))</f>
        <v/>
      </c>
      <c r="CG592" s="503" t="s">
        <v>621</v>
      </c>
      <c r="CH592" s="503" t="str">
        <f>IF($G592="","",IF(AND($G592&gt;=30,$AT$3&lt;=CG$7),ROUND(CG592*($AP$3+#REF!),-1),""))</f>
        <v/>
      </c>
      <c r="CI592" s="503" t="s">
        <v>621</v>
      </c>
      <c r="CJ592" s="503" t="str">
        <f>IF($G592="","",IF(AND($G592&gt;=30,$AT$3&lt;=CI$7),ROUND(CI592*($AP$3+#REF!),-1),""))</f>
        <v/>
      </c>
      <c r="CK592" s="503" t="s">
        <v>621</v>
      </c>
      <c r="CL592" s="503" t="str">
        <f>IF($G592="","",IF(AND($G592&gt;=30,$AT$3&lt;=CK$7),ROUND(CK592*($AP$3+#REF!),-1),""))</f>
        <v/>
      </c>
      <c r="CM592" s="503" t="s">
        <v>621</v>
      </c>
      <c r="CN592" s="503" t="str">
        <f>IF($G592="","",IF(AND($G592&gt;=30,$AT$3&lt;=CM$7),ROUND(CM592*($AP$3+#REF!),-1),""))</f>
        <v/>
      </c>
      <c r="CO592" s="503" t="s">
        <v>621</v>
      </c>
      <c r="CP592" s="503" t="str">
        <f>IF($G592="","",IF(AND($G592&gt;=30,$AT$3&lt;=CO$7),ROUND(CO592*($AP$3+#REF!),-1),""))</f>
        <v/>
      </c>
      <c r="CQ592" s="503" t="s">
        <v>621</v>
      </c>
      <c r="CR592" s="503" t="str">
        <f>IF($G592="","",IF(AND($G592&gt;=30,$AT$3&lt;=CQ$7),ROUND(CQ592*($AP$3+#REF!),-1),""))</f>
        <v/>
      </c>
      <c r="CS592" s="503" t="s">
        <v>621</v>
      </c>
      <c r="CT592" s="503" t="str">
        <f>IF($G592="","",IF(AND($G592&gt;=30,$AT$3&lt;=CS$7),ROUND(CS592*($AP$3+#REF!),-1),""))</f>
        <v/>
      </c>
      <c r="CU592" s="503" t="s">
        <v>621</v>
      </c>
      <c r="CV592" s="503" t="str">
        <f>IF($G592="","",IF(AND($G592&gt;=30,$AT$3&lt;=CU$7),ROUND(CU592*($AP$3+#REF!),-1),""))</f>
        <v/>
      </c>
      <c r="CW592" s="503" t="s">
        <v>621</v>
      </c>
      <c r="CX592" s="503" t="str">
        <f>IF($G592="","",IF(AND($G592&gt;=30,$AT$3&lt;=CW$7),ROUND(CW592*($AP$3+#REF!),-1),""))</f>
        <v/>
      </c>
      <c r="CY592" s="503" t="s">
        <v>621</v>
      </c>
      <c r="CZ592" s="503" t="str">
        <f>IF($G592="","",IF(AND($G592&gt;=30,$AT$3&lt;=CY$7),ROUND(CY592*($AP$3+#REF!),-1),""))</f>
        <v/>
      </c>
      <c r="DA592" s="503" t="s">
        <v>621</v>
      </c>
      <c r="DB592" s="503" t="str">
        <f>IF($G592="","",IF(AND($G592&gt;=30,$AT$3&lt;=DA$7),ROUND(DA592*($AP$3+#REF!),-1),""))</f>
        <v/>
      </c>
      <c r="DC592" s="503" t="s">
        <v>621</v>
      </c>
      <c r="DD592" s="503" t="str">
        <f>IF($G592="","",IF(AND($G592&gt;=30,$AT$3&lt;=DC$7),ROUND(DC592*($AP$3+#REF!),-1),""))</f>
        <v/>
      </c>
      <c r="DE592" s="503" t="s">
        <v>621</v>
      </c>
      <c r="DF592" s="503" t="str">
        <f>IF($G592="","",IF(AND($G592&gt;=30,$AT$3&lt;=DE$7),ROUND(DE592*($AP$3+#REF!),-1),""))</f>
        <v/>
      </c>
      <c r="DG592" s="503" t="s">
        <v>621</v>
      </c>
      <c r="DH592" s="503" t="str">
        <f>IF($G592="","",IF(AND($G592&gt;=30,$AT$3&lt;=DG$7),ROUND(DG592*($AP$3+#REF!),-1),""))</f>
        <v/>
      </c>
      <c r="DI592" s="503" t="s">
        <v>621</v>
      </c>
      <c r="DJ592" s="503" t="str">
        <f>IF($G592="","",IF(AND($G592&gt;=30,$AT$3&lt;=DI$7),ROUND(DI592*($AP$3+#REF!),-1),""))</f>
        <v/>
      </c>
      <c r="DK592" s="503" t="s">
        <v>621</v>
      </c>
      <c r="DL592" s="503" t="str">
        <f>IF($G592="","",IF(AND($G592&gt;=30,$AT$3&lt;=DK$7),ROUND(DK592*($AP$3+#REF!),-1),""))</f>
        <v/>
      </c>
      <c r="DM592" s="503" t="s">
        <v>621</v>
      </c>
      <c r="DN592" s="503" t="str">
        <f>IF($G592="","",IF(AND($G592&gt;=30,$AT$3&lt;=DM$7),ROUND(DM592*($AP$3+#REF!),-1),""))</f>
        <v/>
      </c>
      <c r="DO592" s="503" t="s">
        <v>621</v>
      </c>
      <c r="DP592" s="503" t="str">
        <f>IF($G592="","",IF(AND($G592&gt;=30,$AT$3&lt;=DO$7),ROUND(DO592*($AP$3+#REF!),-1),""))</f>
        <v/>
      </c>
      <c r="DQ592" s="503" t="s">
        <v>621</v>
      </c>
      <c r="DR592" s="503" t="str">
        <f>IF($G592="","",IF(AND($G592&gt;=30,$AT$3&lt;=DQ$7),ROUND(DQ592*($AP$3+#REF!),-1),""))</f>
        <v/>
      </c>
      <c r="DS592" s="503" t="s">
        <v>621</v>
      </c>
      <c r="DT592" s="503" t="str">
        <f>IF($G592="","",IF(AND($G592&gt;=30,$AT$3&lt;=DS$7),ROUND(DS592*($AP$3+#REF!),-1),""))</f>
        <v/>
      </c>
      <c r="DU592" s="503" t="s">
        <v>621</v>
      </c>
      <c r="DV592" s="503" t="str">
        <f>IF($G592="","",IF(AND($G592&gt;=30,$AT$3&lt;=DU$7),ROUND(DU592*($AP$3+#REF!),-1),""))</f>
        <v/>
      </c>
      <c r="DW592" s="503" t="s">
        <v>621</v>
      </c>
      <c r="DX592" s="503" t="str">
        <f>IF($G592="","",IF(AND($G592&gt;=30,$AT$3&lt;=DW$7),ROUND(DW592*($AP$3+#REF!),-1),""))</f>
        <v/>
      </c>
      <c r="DY592" s="517" t="e">
        <v>#REF!</v>
      </c>
      <c r="DZ592" s="503" t="str">
        <f>IF($G592="","",IF(AND($G592&gt;=30,$AT$3&lt;=DY$7),ROUND(DY592*($AP$3+#REF!),-1),""))</f>
        <v/>
      </c>
      <c r="EA592" s="503"/>
      <c r="EB592" s="503" t="str">
        <f>IF($G592="","",IF(AND($G592&gt;=30,$AT$3&lt;=EA$7),ROUND(EA592*($AP$3+#REF!),-1),""))</f>
        <v/>
      </c>
      <c r="EC592" s="436"/>
      <c r="ED592" s="436"/>
      <c r="EE592" s="394"/>
    </row>
    <row r="593" spans="1:135" ht="9.75" customHeight="1">
      <c r="A593" s="321" t="str">
        <f t="shared" si="138"/>
        <v/>
      </c>
      <c r="B593" s="567">
        <f>(ii!$D$13*12+V593)+1</f>
        <v>487</v>
      </c>
      <c r="C593" s="337">
        <f t="shared" si="142"/>
        <v>60175</v>
      </c>
      <c r="D593" s="484">
        <f t="shared" si="131"/>
        <v>2064</v>
      </c>
      <c r="E593" s="484">
        <f t="shared" si="143"/>
        <v>0.75</v>
      </c>
      <c r="F593" s="484">
        <f t="shared" si="132"/>
        <v>2064.75</v>
      </c>
      <c r="G593" s="485" t="str">
        <f>IF(OR(C593&lt;$I$2,C593&gt;$J$3),"",(ii!$D$13*12+V593+1)/12)</f>
        <v/>
      </c>
      <c r="H593" s="486"/>
      <c r="I593" s="486"/>
      <c r="J593" s="487"/>
      <c r="K593" s="488"/>
      <c r="L593" s="548"/>
      <c r="M593" s="489" t="str">
        <f t="shared" si="133"/>
        <v/>
      </c>
      <c r="N593" s="490" t="s">
        <v>621</v>
      </c>
      <c r="O593" s="490" t="str">
        <f t="shared" si="140"/>
        <v/>
      </c>
      <c r="P593" s="491"/>
      <c r="Q593" s="491"/>
      <c r="R593" s="491" t="str">
        <f t="shared" si="141"/>
        <v/>
      </c>
      <c r="S593" s="528" t="str">
        <f t="shared" si="139"/>
        <v/>
      </c>
      <c r="T593" s="528" t="str">
        <f t="shared" si="137"/>
        <v/>
      </c>
      <c r="U593" s="493" t="str">
        <f>IF(H593="","",#REF!*12+#REF!+#REF!*12+#REF!)</f>
        <v/>
      </c>
      <c r="V593" s="338">
        <f>IF(ii!$J$3&gt;gg!C593,"",IF(AND((YEAR(C593)=YEAR($I$2)),MONTH(C593)=MONTH($I$2)),ii!$B$14*12+ii!$C$14+ii!$B$15*12+ii!$C$15-1,V592+1))</f>
        <v>486</v>
      </c>
      <c r="W593" s="339">
        <f t="shared" si="130"/>
        <v>40.5</v>
      </c>
      <c r="X593" s="494" t="s">
        <v>621</v>
      </c>
      <c r="Y593" s="495" t="s">
        <v>621</v>
      </c>
      <c r="Z593" s="496"/>
      <c r="AA593" s="497"/>
      <c r="AB593" s="498" t="str">
        <f t="shared" si="136"/>
        <v/>
      </c>
      <c r="AC593" s="484" t="str">
        <f t="shared" si="134"/>
        <v/>
      </c>
      <c r="AD593" s="495" t="str">
        <f t="shared" si="135"/>
        <v/>
      </c>
      <c r="AE593" s="499" t="s">
        <v>621</v>
      </c>
      <c r="AF593" s="500" t="s">
        <v>621</v>
      </c>
      <c r="AG593" s="556" t="s">
        <v>621</v>
      </c>
      <c r="AH593" s="503" t="str">
        <f>IF($G593="","",IF(AND($G593&gt;=30,$AT$3&lt;=AG$7),ROUND(AG593*($AP$3+#REF!),-1),""))</f>
        <v/>
      </c>
      <c r="AI593" s="506" t="s">
        <v>621</v>
      </c>
      <c r="AJ593" s="503" t="str">
        <f>IF($G593="","",IF(AND($G593&gt;=30,$AT$3&lt;=AI$7),ROUND(AI593*($AP$3+#REF!),-1),""))</f>
        <v/>
      </c>
      <c r="AK593" s="506" t="s">
        <v>621</v>
      </c>
      <c r="AL593" s="503" t="str">
        <f>IF($G593="","",IF(AND($G593&gt;=30,$AT$3&lt;=AK$7),ROUND(AK593*($AP$3+#REF!),-1),""))</f>
        <v/>
      </c>
      <c r="AM593" s="506" t="s">
        <v>621</v>
      </c>
      <c r="AN593" s="503" t="str">
        <f>IF($G593="","",IF(AND($G593&gt;=30,$AT$3&lt;=AM$7),ROUND(AM593*($AP$3+#REF!),-1),""))</f>
        <v/>
      </c>
      <c r="AO593" s="503" t="e">
        <v>#REF!</v>
      </c>
      <c r="AP593" s="503" t="str">
        <f>IF($G593="","",IF(AND($G593&gt;=30,$AT$3&lt;=AO$7),ROUND(AO593*($AP$3+#REF!),-1),""))</f>
        <v/>
      </c>
      <c r="AQ593" s="503" t="s">
        <v>621</v>
      </c>
      <c r="AR593" s="503" t="str">
        <f>IF($G593="","",IF(AND($G593&gt;=30,$AT$3&lt;=AQ$7),ROUND(AQ593*($AP$3+#REF!),-1),""))</f>
        <v/>
      </c>
      <c r="AS593" s="503" t="s">
        <v>621</v>
      </c>
      <c r="AT593" s="503" t="str">
        <f>IF($G593="","",IF(AND($G593&gt;=30,$AT$3&lt;=AS$7),ROUND(AS593*($AP$3+#REF!),-1),""))</f>
        <v/>
      </c>
      <c r="AU593" s="503" t="s">
        <v>621</v>
      </c>
      <c r="AV593" s="503" t="str">
        <f>IF($G593="","",IF(AND($G593&gt;=30,$AT$3&lt;=AU$7),ROUND(AU593*($AP$3+#REF!),-1),""))</f>
        <v/>
      </c>
      <c r="AW593" s="503" t="s">
        <v>621</v>
      </c>
      <c r="AX593" s="503" t="str">
        <f>IF($G593="","",IF(AND($G593&gt;=30,$AT$3&lt;=AW$7),ROUND(AW593*($AP$3+#REF!),-1),""))</f>
        <v/>
      </c>
      <c r="AY593" s="503" t="s">
        <v>621</v>
      </c>
      <c r="AZ593" s="503" t="str">
        <f>IF($G593="","",IF(AND($G593&gt;=30,$AT$3&lt;=AY$7),ROUND(AY593*($AP$3+#REF!),-1),""))</f>
        <v/>
      </c>
      <c r="BA593" s="503" t="s">
        <v>621</v>
      </c>
      <c r="BB593" s="503" t="str">
        <f>IF($G593="","",IF(AND($G593&gt;=30,$AT$3&lt;=BA$7),ROUND(BA593*($AP$3+#REF!),-1),""))</f>
        <v/>
      </c>
      <c r="BC593" s="503" t="s">
        <v>621</v>
      </c>
      <c r="BD593" s="503" t="str">
        <f>IF($G593="","",IF(AND($G593&gt;=30,$AT$3&lt;=BC$7),ROUND(BC593*($AP$3+#REF!),-1),""))</f>
        <v/>
      </c>
      <c r="BE593" s="503" t="s">
        <v>621</v>
      </c>
      <c r="BF593" s="503" t="str">
        <f>IF($G593="","",IF(AND($G593&gt;=30,$AT$3&lt;=BE$7),ROUND(BE593*($AP$3+#REF!),-1),""))</f>
        <v/>
      </c>
      <c r="BG593" s="503" t="s">
        <v>621</v>
      </c>
      <c r="BH593" s="503" t="str">
        <f>IF($G593="","",IF(AND($G593&gt;=30,$AT$3&lt;=BG$7),ROUND(BG593*($AP$3+#REF!),-1),""))</f>
        <v/>
      </c>
      <c r="BI593" s="503" t="s">
        <v>621</v>
      </c>
      <c r="BJ593" s="503" t="str">
        <f>IF($G593="","",IF(AND($G593&gt;=30,$AT$3&lt;=BI$7),ROUND(BI593*($AP$3+#REF!),-1),""))</f>
        <v/>
      </c>
      <c r="BK593" s="503" t="s">
        <v>621</v>
      </c>
      <c r="BL593" s="503" t="str">
        <f>IF($G593="","",IF(AND($G593&gt;=30,$AT$3&lt;=BK$7),ROUND(BK593*($AP$3+#REF!),-1),""))</f>
        <v/>
      </c>
      <c r="BM593" s="503" t="s">
        <v>621</v>
      </c>
      <c r="BN593" s="503" t="str">
        <f>IF($G593="","",IF(AND($G593&gt;=30,$AT$3&lt;=BM$7),ROUND(BM593*($AP$3+#REF!),-1),""))</f>
        <v/>
      </c>
      <c r="BO593" s="503" t="s">
        <v>621</v>
      </c>
      <c r="BP593" s="503" t="str">
        <f>IF($G593="","",IF(AND($G593&gt;=30,$AT$3&lt;=BO$7),ROUND(BO593*($AP$3+#REF!),-1),""))</f>
        <v/>
      </c>
      <c r="BQ593" s="503" t="s">
        <v>621</v>
      </c>
      <c r="BR593" s="503" t="str">
        <f>IF($G593="","",IF(AND($G593&gt;=30,$AT$3&lt;=BQ$7),ROUND(BQ593*($AP$3+#REF!),-1),""))</f>
        <v/>
      </c>
      <c r="BS593" s="503" t="s">
        <v>621</v>
      </c>
      <c r="BT593" s="503" t="str">
        <f>IF($G593="","",IF(AND($G593&gt;=30,$AT$3&lt;=BS$7),ROUND(BS593*($AP$3+#REF!),-1),""))</f>
        <v/>
      </c>
      <c r="BU593" s="503" t="s">
        <v>621</v>
      </c>
      <c r="BV593" s="503" t="str">
        <f>IF($G593="","",IF(AND($G593&gt;=30,$AT$3&lt;=BU$7),ROUND(BU593*($AP$3+#REF!),-1),""))</f>
        <v/>
      </c>
      <c r="BW593" s="503" t="s">
        <v>621</v>
      </c>
      <c r="BX593" s="503" t="str">
        <f>IF($G593="","",IF(AND($G593&gt;=30,$AT$3&lt;=BW$7),ROUND(BW593*($AP$3+#REF!),-1),""))</f>
        <v/>
      </c>
      <c r="BY593" s="503" t="s">
        <v>621</v>
      </c>
      <c r="BZ593" s="503" t="str">
        <f>IF($G593="","",IF(AND($G593&gt;=30,$AT$3&lt;=BY$7),ROUND(BY593*($AP$3+#REF!),-1),""))</f>
        <v/>
      </c>
      <c r="CA593" s="503" t="s">
        <v>621</v>
      </c>
      <c r="CB593" s="503" t="str">
        <f>IF($G593="","",IF(AND($G593&gt;=30,$AT$3&lt;=CA$7),ROUND(CA593*($AP$3+#REF!),-1),""))</f>
        <v/>
      </c>
      <c r="CC593" s="503" t="s">
        <v>621</v>
      </c>
      <c r="CD593" s="503" t="str">
        <f>IF($G593="","",IF(AND($G593&gt;=30,$AT$3&lt;=CC$7),ROUND(CC593*($AP$3+#REF!),-1),""))</f>
        <v/>
      </c>
      <c r="CE593" s="503" t="s">
        <v>621</v>
      </c>
      <c r="CF593" s="503" t="str">
        <f>IF($G593="","",IF(AND($G593&gt;=30,$AT$3&lt;=CE$7),ROUND(CE593*($AP$3+#REF!),-1),""))</f>
        <v/>
      </c>
      <c r="CG593" s="503" t="s">
        <v>621</v>
      </c>
      <c r="CH593" s="503" t="str">
        <f>IF($G593="","",IF(AND($G593&gt;=30,$AT$3&lt;=CG$7),ROUND(CG593*($AP$3+#REF!),-1),""))</f>
        <v/>
      </c>
      <c r="CI593" s="503" t="s">
        <v>621</v>
      </c>
      <c r="CJ593" s="503" t="str">
        <f>IF($G593="","",IF(AND($G593&gt;=30,$AT$3&lt;=CI$7),ROUND(CI593*($AP$3+#REF!),-1),""))</f>
        <v/>
      </c>
      <c r="CK593" s="503" t="s">
        <v>621</v>
      </c>
      <c r="CL593" s="503" t="str">
        <f>IF($G593="","",IF(AND($G593&gt;=30,$AT$3&lt;=CK$7),ROUND(CK593*($AP$3+#REF!),-1),""))</f>
        <v/>
      </c>
      <c r="CM593" s="503" t="s">
        <v>621</v>
      </c>
      <c r="CN593" s="503" t="str">
        <f>IF($G593="","",IF(AND($G593&gt;=30,$AT$3&lt;=CM$7),ROUND(CM593*($AP$3+#REF!),-1),""))</f>
        <v/>
      </c>
      <c r="CO593" s="503" t="s">
        <v>621</v>
      </c>
      <c r="CP593" s="503" t="str">
        <f>IF($G593="","",IF(AND($G593&gt;=30,$AT$3&lt;=CO$7),ROUND(CO593*($AP$3+#REF!),-1),""))</f>
        <v/>
      </c>
      <c r="CQ593" s="503" t="s">
        <v>621</v>
      </c>
      <c r="CR593" s="503" t="str">
        <f>IF($G593="","",IF(AND($G593&gt;=30,$AT$3&lt;=CQ$7),ROUND(CQ593*($AP$3+#REF!),-1),""))</f>
        <v/>
      </c>
      <c r="CS593" s="503" t="s">
        <v>621</v>
      </c>
      <c r="CT593" s="503" t="str">
        <f>IF($G593="","",IF(AND($G593&gt;=30,$AT$3&lt;=CS$7),ROUND(CS593*($AP$3+#REF!),-1),""))</f>
        <v/>
      </c>
      <c r="CU593" s="503" t="s">
        <v>621</v>
      </c>
      <c r="CV593" s="503" t="str">
        <f>IF($G593="","",IF(AND($G593&gt;=30,$AT$3&lt;=CU$7),ROUND(CU593*($AP$3+#REF!),-1),""))</f>
        <v/>
      </c>
      <c r="CW593" s="503" t="s">
        <v>621</v>
      </c>
      <c r="CX593" s="503" t="str">
        <f>IF($G593="","",IF(AND($G593&gt;=30,$AT$3&lt;=CW$7),ROUND(CW593*($AP$3+#REF!),-1),""))</f>
        <v/>
      </c>
      <c r="CY593" s="503" t="s">
        <v>621</v>
      </c>
      <c r="CZ593" s="503" t="str">
        <f>IF($G593="","",IF(AND($G593&gt;=30,$AT$3&lt;=CY$7),ROUND(CY593*($AP$3+#REF!),-1),""))</f>
        <v/>
      </c>
      <c r="DA593" s="503" t="s">
        <v>621</v>
      </c>
      <c r="DB593" s="503" t="str">
        <f>IF($G593="","",IF(AND($G593&gt;=30,$AT$3&lt;=DA$7),ROUND(DA593*($AP$3+#REF!),-1),""))</f>
        <v/>
      </c>
      <c r="DC593" s="503" t="s">
        <v>621</v>
      </c>
      <c r="DD593" s="503" t="str">
        <f>IF($G593="","",IF(AND($G593&gt;=30,$AT$3&lt;=DC$7),ROUND(DC593*($AP$3+#REF!),-1),""))</f>
        <v/>
      </c>
      <c r="DE593" s="503" t="s">
        <v>621</v>
      </c>
      <c r="DF593" s="503" t="str">
        <f>IF($G593="","",IF(AND($G593&gt;=30,$AT$3&lt;=DE$7),ROUND(DE593*($AP$3+#REF!),-1),""))</f>
        <v/>
      </c>
      <c r="DG593" s="503" t="s">
        <v>621</v>
      </c>
      <c r="DH593" s="503" t="str">
        <f>IF($G593="","",IF(AND($G593&gt;=30,$AT$3&lt;=DG$7),ROUND(DG593*($AP$3+#REF!),-1),""))</f>
        <v/>
      </c>
      <c r="DI593" s="503" t="s">
        <v>621</v>
      </c>
      <c r="DJ593" s="503" t="str">
        <f>IF($G593="","",IF(AND($G593&gt;=30,$AT$3&lt;=DI$7),ROUND(DI593*($AP$3+#REF!),-1),""))</f>
        <v/>
      </c>
      <c r="DK593" s="503" t="s">
        <v>621</v>
      </c>
      <c r="DL593" s="503" t="str">
        <f>IF($G593="","",IF(AND($G593&gt;=30,$AT$3&lt;=DK$7),ROUND(DK593*($AP$3+#REF!),-1),""))</f>
        <v/>
      </c>
      <c r="DM593" s="503" t="s">
        <v>621</v>
      </c>
      <c r="DN593" s="503" t="str">
        <f>IF($G593="","",IF(AND($G593&gt;=30,$AT$3&lt;=DM$7),ROUND(DM593*($AP$3+#REF!),-1),""))</f>
        <v/>
      </c>
      <c r="DO593" s="503" t="s">
        <v>621</v>
      </c>
      <c r="DP593" s="503" t="str">
        <f>IF($G593="","",IF(AND($G593&gt;=30,$AT$3&lt;=DO$7),ROUND(DO593*($AP$3+#REF!),-1),""))</f>
        <v/>
      </c>
      <c r="DQ593" s="503" t="s">
        <v>621</v>
      </c>
      <c r="DR593" s="503" t="str">
        <f>IF($G593="","",IF(AND($G593&gt;=30,$AT$3&lt;=DQ$7),ROUND(DQ593*($AP$3+#REF!),-1),""))</f>
        <v/>
      </c>
      <c r="DS593" s="503" t="s">
        <v>621</v>
      </c>
      <c r="DT593" s="503" t="str">
        <f>IF($G593="","",IF(AND($G593&gt;=30,$AT$3&lt;=DS$7),ROUND(DS593*($AP$3+#REF!),-1),""))</f>
        <v/>
      </c>
      <c r="DU593" s="503" t="s">
        <v>621</v>
      </c>
      <c r="DV593" s="503" t="str">
        <f>IF($G593="","",IF(AND($G593&gt;=30,$AT$3&lt;=DU$7),ROUND(DU593*($AP$3+#REF!),-1),""))</f>
        <v/>
      </c>
      <c r="DW593" s="503" t="s">
        <v>621</v>
      </c>
      <c r="DX593" s="503" t="str">
        <f>IF($G593="","",IF(AND($G593&gt;=30,$AT$3&lt;=DW$7),ROUND(DW593*($AP$3+#REF!),-1),""))</f>
        <v/>
      </c>
      <c r="DY593" s="517" t="e">
        <v>#REF!</v>
      </c>
      <c r="DZ593" s="503" t="str">
        <f>IF($G593="","",IF(AND($G593&gt;=30,$AT$3&lt;=DY$7),ROUND(DY593*($AP$3+#REF!),-1),""))</f>
        <v/>
      </c>
      <c r="EA593" s="503"/>
      <c r="EB593" s="503" t="str">
        <f>IF($G593="","",IF(AND($G593&gt;=30,$AT$3&lt;=EA$7),ROUND(EA593*($AP$3+#REF!),-1),""))</f>
        <v/>
      </c>
      <c r="EC593" s="436"/>
      <c r="ED593" s="436"/>
      <c r="EE593" s="394"/>
    </row>
    <row r="594" spans="1:135" ht="9.75" customHeight="1">
      <c r="A594" s="321" t="str">
        <f t="shared" si="138"/>
        <v/>
      </c>
      <c r="B594" s="567">
        <f>(ii!$D$13*12+V594)+1</f>
        <v>488</v>
      </c>
      <c r="C594" s="337">
        <f t="shared" si="142"/>
        <v>60206</v>
      </c>
      <c r="D594" s="484">
        <f t="shared" si="131"/>
        <v>2064</v>
      </c>
      <c r="E594" s="484">
        <f t="shared" si="143"/>
        <v>0.83333333333333337</v>
      </c>
      <c r="F594" s="484">
        <f t="shared" si="132"/>
        <v>2064.8333333333335</v>
      </c>
      <c r="G594" s="485" t="str">
        <f>IF(OR(C594&lt;$I$2,C594&gt;$J$3),"",(ii!$D$13*12+V594+1)/12)</f>
        <v/>
      </c>
      <c r="H594" s="486"/>
      <c r="I594" s="486"/>
      <c r="J594" s="487"/>
      <c r="K594" s="488"/>
      <c r="L594" s="548"/>
      <c r="M594" s="489" t="str">
        <f t="shared" si="133"/>
        <v/>
      </c>
      <c r="N594" s="490" t="s">
        <v>621</v>
      </c>
      <c r="O594" s="490" t="str">
        <f t="shared" si="140"/>
        <v/>
      </c>
      <c r="P594" s="491"/>
      <c r="Q594" s="491"/>
      <c r="R594" s="491" t="str">
        <f t="shared" si="141"/>
        <v/>
      </c>
      <c r="S594" s="528" t="str">
        <f t="shared" si="139"/>
        <v/>
      </c>
      <c r="T594" s="528" t="str">
        <f t="shared" si="137"/>
        <v/>
      </c>
      <c r="U594" s="493" t="str">
        <f>IF(H594="","",#REF!*12+#REF!+#REF!*12+#REF!)</f>
        <v/>
      </c>
      <c r="V594" s="338">
        <f>IF(ii!$J$3&gt;gg!C594,"",IF(AND((YEAR(C594)=YEAR($I$2)),MONTH(C594)=MONTH($I$2)),ii!$B$14*12+ii!$C$14+ii!$B$15*12+ii!$C$15-1,V593+1))</f>
        <v>487</v>
      </c>
      <c r="W594" s="339">
        <f t="shared" si="130"/>
        <v>40.583333333333336</v>
      </c>
      <c r="X594" s="494" t="s">
        <v>621</v>
      </c>
      <c r="Y594" s="495" t="s">
        <v>621</v>
      </c>
      <c r="Z594" s="496"/>
      <c r="AA594" s="497"/>
      <c r="AB594" s="498" t="str">
        <f t="shared" si="136"/>
        <v/>
      </c>
      <c r="AC594" s="484" t="str">
        <f t="shared" si="134"/>
        <v/>
      </c>
      <c r="AD594" s="495" t="str">
        <f t="shared" si="135"/>
        <v/>
      </c>
      <c r="AE594" s="499" t="s">
        <v>621</v>
      </c>
      <c r="AF594" s="500" t="s">
        <v>621</v>
      </c>
      <c r="AG594" s="556" t="s">
        <v>621</v>
      </c>
      <c r="AH594" s="503" t="str">
        <f>IF($G594="","",IF(AND($G594&gt;=30,$AT$3&lt;=AG$7),ROUND(AG594*($AP$3+#REF!),-1),""))</f>
        <v/>
      </c>
      <c r="AI594" s="506" t="s">
        <v>621</v>
      </c>
      <c r="AJ594" s="503" t="str">
        <f>IF($G594="","",IF(AND($G594&gt;=30,$AT$3&lt;=AI$7),ROUND(AI594*($AP$3+#REF!),-1),""))</f>
        <v/>
      </c>
      <c r="AK594" s="506" t="s">
        <v>621</v>
      </c>
      <c r="AL594" s="503" t="str">
        <f>IF($G594="","",IF(AND($G594&gt;=30,$AT$3&lt;=AK$7),ROUND(AK594*($AP$3+#REF!),-1),""))</f>
        <v/>
      </c>
      <c r="AM594" s="506" t="s">
        <v>621</v>
      </c>
      <c r="AN594" s="503" t="str">
        <f>IF($G594="","",IF(AND($G594&gt;=30,$AT$3&lt;=AM$7),ROUND(AM594*($AP$3+#REF!),-1),""))</f>
        <v/>
      </c>
      <c r="AO594" s="503" t="e">
        <v>#REF!</v>
      </c>
      <c r="AP594" s="503" t="str">
        <f>IF($G594="","",IF(AND($G594&gt;=30,$AT$3&lt;=AO$7),ROUND(AO594*($AP$3+#REF!),-1),""))</f>
        <v/>
      </c>
      <c r="AQ594" s="503" t="s">
        <v>621</v>
      </c>
      <c r="AR594" s="503" t="str">
        <f>IF($G594="","",IF(AND($G594&gt;=30,$AT$3&lt;=AQ$7),ROUND(AQ594*($AP$3+#REF!),-1),""))</f>
        <v/>
      </c>
      <c r="AS594" s="503" t="s">
        <v>621</v>
      </c>
      <c r="AT594" s="503" t="str">
        <f>IF($G594="","",IF(AND($G594&gt;=30,$AT$3&lt;=AS$7),ROUND(AS594*($AP$3+#REF!),-1),""))</f>
        <v/>
      </c>
      <c r="AU594" s="503" t="s">
        <v>621</v>
      </c>
      <c r="AV594" s="503" t="str">
        <f>IF($G594="","",IF(AND($G594&gt;=30,$AT$3&lt;=AU$7),ROUND(AU594*($AP$3+#REF!),-1),""))</f>
        <v/>
      </c>
      <c r="AW594" s="503" t="s">
        <v>621</v>
      </c>
      <c r="AX594" s="503" t="str">
        <f>IF($G594="","",IF(AND($G594&gt;=30,$AT$3&lt;=AW$7),ROUND(AW594*($AP$3+#REF!),-1),""))</f>
        <v/>
      </c>
      <c r="AY594" s="503" t="s">
        <v>621</v>
      </c>
      <c r="AZ594" s="503" t="str">
        <f>IF($G594="","",IF(AND($G594&gt;=30,$AT$3&lt;=AY$7),ROUND(AY594*($AP$3+#REF!),-1),""))</f>
        <v/>
      </c>
      <c r="BA594" s="503" t="s">
        <v>621</v>
      </c>
      <c r="BB594" s="503" t="str">
        <f>IF($G594="","",IF(AND($G594&gt;=30,$AT$3&lt;=BA$7),ROUND(BA594*($AP$3+#REF!),-1),""))</f>
        <v/>
      </c>
      <c r="BC594" s="503" t="s">
        <v>621</v>
      </c>
      <c r="BD594" s="503" t="str">
        <f>IF($G594="","",IF(AND($G594&gt;=30,$AT$3&lt;=BC$7),ROUND(BC594*($AP$3+#REF!),-1),""))</f>
        <v/>
      </c>
      <c r="BE594" s="503" t="s">
        <v>621</v>
      </c>
      <c r="BF594" s="503" t="str">
        <f>IF($G594="","",IF(AND($G594&gt;=30,$AT$3&lt;=BE$7),ROUND(BE594*($AP$3+#REF!),-1),""))</f>
        <v/>
      </c>
      <c r="BG594" s="503" t="s">
        <v>621</v>
      </c>
      <c r="BH594" s="503" t="str">
        <f>IF($G594="","",IF(AND($G594&gt;=30,$AT$3&lt;=BG$7),ROUND(BG594*($AP$3+#REF!),-1),""))</f>
        <v/>
      </c>
      <c r="BI594" s="503" t="s">
        <v>621</v>
      </c>
      <c r="BJ594" s="503" t="str">
        <f>IF($G594="","",IF(AND($G594&gt;=30,$AT$3&lt;=BI$7),ROUND(BI594*($AP$3+#REF!),-1),""))</f>
        <v/>
      </c>
      <c r="BK594" s="503" t="s">
        <v>621</v>
      </c>
      <c r="BL594" s="503" t="str">
        <f>IF($G594="","",IF(AND($G594&gt;=30,$AT$3&lt;=BK$7),ROUND(BK594*($AP$3+#REF!),-1),""))</f>
        <v/>
      </c>
      <c r="BM594" s="503" t="s">
        <v>621</v>
      </c>
      <c r="BN594" s="503" t="str">
        <f>IF($G594="","",IF(AND($G594&gt;=30,$AT$3&lt;=BM$7),ROUND(BM594*($AP$3+#REF!),-1),""))</f>
        <v/>
      </c>
      <c r="BO594" s="503" t="s">
        <v>621</v>
      </c>
      <c r="BP594" s="503" t="str">
        <f>IF($G594="","",IF(AND($G594&gt;=30,$AT$3&lt;=BO$7),ROUND(BO594*($AP$3+#REF!),-1),""))</f>
        <v/>
      </c>
      <c r="BQ594" s="503" t="s">
        <v>621</v>
      </c>
      <c r="BR594" s="503" t="str">
        <f>IF($G594="","",IF(AND($G594&gt;=30,$AT$3&lt;=BQ$7),ROUND(BQ594*($AP$3+#REF!),-1),""))</f>
        <v/>
      </c>
      <c r="BS594" s="503" t="s">
        <v>621</v>
      </c>
      <c r="BT594" s="503" t="str">
        <f>IF($G594="","",IF(AND($G594&gt;=30,$AT$3&lt;=BS$7),ROUND(BS594*($AP$3+#REF!),-1),""))</f>
        <v/>
      </c>
      <c r="BU594" s="503" t="s">
        <v>621</v>
      </c>
      <c r="BV594" s="503" t="str">
        <f>IF($G594="","",IF(AND($G594&gt;=30,$AT$3&lt;=BU$7),ROUND(BU594*($AP$3+#REF!),-1),""))</f>
        <v/>
      </c>
      <c r="BW594" s="503" t="s">
        <v>621</v>
      </c>
      <c r="BX594" s="503" t="str">
        <f>IF($G594="","",IF(AND($G594&gt;=30,$AT$3&lt;=BW$7),ROUND(BW594*($AP$3+#REF!),-1),""))</f>
        <v/>
      </c>
      <c r="BY594" s="503" t="s">
        <v>621</v>
      </c>
      <c r="BZ594" s="503" t="str">
        <f>IF($G594="","",IF(AND($G594&gt;=30,$AT$3&lt;=BY$7),ROUND(BY594*($AP$3+#REF!),-1),""))</f>
        <v/>
      </c>
      <c r="CA594" s="503" t="s">
        <v>621</v>
      </c>
      <c r="CB594" s="503" t="str">
        <f>IF($G594="","",IF(AND($G594&gt;=30,$AT$3&lt;=CA$7),ROUND(CA594*($AP$3+#REF!),-1),""))</f>
        <v/>
      </c>
      <c r="CC594" s="503" t="s">
        <v>621</v>
      </c>
      <c r="CD594" s="503" t="str">
        <f>IF($G594="","",IF(AND($G594&gt;=30,$AT$3&lt;=CC$7),ROUND(CC594*($AP$3+#REF!),-1),""))</f>
        <v/>
      </c>
      <c r="CE594" s="503" t="s">
        <v>621</v>
      </c>
      <c r="CF594" s="503" t="str">
        <f>IF($G594="","",IF(AND($G594&gt;=30,$AT$3&lt;=CE$7),ROUND(CE594*($AP$3+#REF!),-1),""))</f>
        <v/>
      </c>
      <c r="CG594" s="503" t="s">
        <v>621</v>
      </c>
      <c r="CH594" s="503" t="str">
        <f>IF($G594="","",IF(AND($G594&gt;=30,$AT$3&lt;=CG$7),ROUND(CG594*($AP$3+#REF!),-1),""))</f>
        <v/>
      </c>
      <c r="CI594" s="503" t="s">
        <v>621</v>
      </c>
      <c r="CJ594" s="503" t="str">
        <f>IF($G594="","",IF(AND($G594&gt;=30,$AT$3&lt;=CI$7),ROUND(CI594*($AP$3+#REF!),-1),""))</f>
        <v/>
      </c>
      <c r="CK594" s="503" t="s">
        <v>621</v>
      </c>
      <c r="CL594" s="503" t="str">
        <f>IF($G594="","",IF(AND($G594&gt;=30,$AT$3&lt;=CK$7),ROUND(CK594*($AP$3+#REF!),-1),""))</f>
        <v/>
      </c>
      <c r="CM594" s="503" t="s">
        <v>621</v>
      </c>
      <c r="CN594" s="503" t="str">
        <f>IF($G594="","",IF(AND($G594&gt;=30,$AT$3&lt;=CM$7),ROUND(CM594*($AP$3+#REF!),-1),""))</f>
        <v/>
      </c>
      <c r="CO594" s="503" t="s">
        <v>621</v>
      </c>
      <c r="CP594" s="503" t="str">
        <f>IF($G594="","",IF(AND($G594&gt;=30,$AT$3&lt;=CO$7),ROUND(CO594*($AP$3+#REF!),-1),""))</f>
        <v/>
      </c>
      <c r="CQ594" s="503" t="s">
        <v>621</v>
      </c>
      <c r="CR594" s="503" t="str">
        <f>IF($G594="","",IF(AND($G594&gt;=30,$AT$3&lt;=CQ$7),ROUND(CQ594*($AP$3+#REF!),-1),""))</f>
        <v/>
      </c>
      <c r="CS594" s="503" t="s">
        <v>621</v>
      </c>
      <c r="CT594" s="503" t="str">
        <f>IF($G594="","",IF(AND($G594&gt;=30,$AT$3&lt;=CS$7),ROUND(CS594*($AP$3+#REF!),-1),""))</f>
        <v/>
      </c>
      <c r="CU594" s="503" t="s">
        <v>621</v>
      </c>
      <c r="CV594" s="503" t="str">
        <f>IF($G594="","",IF(AND($G594&gt;=30,$AT$3&lt;=CU$7),ROUND(CU594*($AP$3+#REF!),-1),""))</f>
        <v/>
      </c>
      <c r="CW594" s="503" t="s">
        <v>621</v>
      </c>
      <c r="CX594" s="503" t="str">
        <f>IF($G594="","",IF(AND($G594&gt;=30,$AT$3&lt;=CW$7),ROUND(CW594*($AP$3+#REF!),-1),""))</f>
        <v/>
      </c>
      <c r="CY594" s="503" t="s">
        <v>621</v>
      </c>
      <c r="CZ594" s="503" t="str">
        <f>IF($G594="","",IF(AND($G594&gt;=30,$AT$3&lt;=CY$7),ROUND(CY594*($AP$3+#REF!),-1),""))</f>
        <v/>
      </c>
      <c r="DA594" s="503" t="s">
        <v>621</v>
      </c>
      <c r="DB594" s="503" t="str">
        <f>IF($G594="","",IF(AND($G594&gt;=30,$AT$3&lt;=DA$7),ROUND(DA594*($AP$3+#REF!),-1),""))</f>
        <v/>
      </c>
      <c r="DC594" s="503" t="s">
        <v>621</v>
      </c>
      <c r="DD594" s="503" t="str">
        <f>IF($G594="","",IF(AND($G594&gt;=30,$AT$3&lt;=DC$7),ROUND(DC594*($AP$3+#REF!),-1),""))</f>
        <v/>
      </c>
      <c r="DE594" s="503" t="s">
        <v>621</v>
      </c>
      <c r="DF594" s="503" t="str">
        <f>IF($G594="","",IF(AND($G594&gt;=30,$AT$3&lt;=DE$7),ROUND(DE594*($AP$3+#REF!),-1),""))</f>
        <v/>
      </c>
      <c r="DG594" s="503" t="s">
        <v>621</v>
      </c>
      <c r="DH594" s="503" t="str">
        <f>IF($G594="","",IF(AND($G594&gt;=30,$AT$3&lt;=DG$7),ROUND(DG594*($AP$3+#REF!),-1),""))</f>
        <v/>
      </c>
      <c r="DI594" s="503" t="s">
        <v>621</v>
      </c>
      <c r="DJ594" s="503" t="str">
        <f>IF($G594="","",IF(AND($G594&gt;=30,$AT$3&lt;=DI$7),ROUND(DI594*($AP$3+#REF!),-1),""))</f>
        <v/>
      </c>
      <c r="DK594" s="503" t="s">
        <v>621</v>
      </c>
      <c r="DL594" s="503" t="str">
        <f>IF($G594="","",IF(AND($G594&gt;=30,$AT$3&lt;=DK$7),ROUND(DK594*($AP$3+#REF!),-1),""))</f>
        <v/>
      </c>
      <c r="DM594" s="503" t="s">
        <v>621</v>
      </c>
      <c r="DN594" s="503" t="str">
        <f>IF($G594="","",IF(AND($G594&gt;=30,$AT$3&lt;=DM$7),ROUND(DM594*($AP$3+#REF!),-1),""))</f>
        <v/>
      </c>
      <c r="DO594" s="503" t="s">
        <v>621</v>
      </c>
      <c r="DP594" s="503" t="str">
        <f>IF($G594="","",IF(AND($G594&gt;=30,$AT$3&lt;=DO$7),ROUND(DO594*($AP$3+#REF!),-1),""))</f>
        <v/>
      </c>
      <c r="DQ594" s="503" t="s">
        <v>621</v>
      </c>
      <c r="DR594" s="503" t="str">
        <f>IF($G594="","",IF(AND($G594&gt;=30,$AT$3&lt;=DQ$7),ROUND(DQ594*($AP$3+#REF!),-1),""))</f>
        <v/>
      </c>
      <c r="DS594" s="503" t="s">
        <v>621</v>
      </c>
      <c r="DT594" s="503" t="str">
        <f>IF($G594="","",IF(AND($G594&gt;=30,$AT$3&lt;=DS$7),ROUND(DS594*($AP$3+#REF!),-1),""))</f>
        <v/>
      </c>
      <c r="DU594" s="503" t="s">
        <v>621</v>
      </c>
      <c r="DV594" s="503" t="str">
        <f>IF($G594="","",IF(AND($G594&gt;=30,$AT$3&lt;=DU$7),ROUND(DU594*($AP$3+#REF!),-1),""))</f>
        <v/>
      </c>
      <c r="DW594" s="503" t="s">
        <v>621</v>
      </c>
      <c r="DX594" s="503" t="str">
        <f>IF($G594="","",IF(AND($G594&gt;=30,$AT$3&lt;=DW$7),ROUND(DW594*($AP$3+#REF!),-1),""))</f>
        <v/>
      </c>
      <c r="DY594" s="517" t="e">
        <v>#REF!</v>
      </c>
      <c r="DZ594" s="503" t="str">
        <f>IF($G594="","",IF(AND($G594&gt;=30,$AT$3&lt;=DY$7),ROUND(DY594*($AP$3+#REF!),-1),""))</f>
        <v/>
      </c>
      <c r="EA594" s="503"/>
      <c r="EB594" s="503" t="str">
        <f>IF($G594="","",IF(AND($G594&gt;=30,$AT$3&lt;=EA$7),ROUND(EA594*($AP$3+#REF!),-1),""))</f>
        <v/>
      </c>
      <c r="EC594" s="436"/>
      <c r="ED594" s="436"/>
      <c r="EE594" s="394"/>
    </row>
    <row r="595" spans="1:135" ht="9.75" customHeight="1">
      <c r="A595" s="321" t="str">
        <f t="shared" si="138"/>
        <v/>
      </c>
      <c r="B595" s="567">
        <f>(ii!$D$13*12+V595)+1</f>
        <v>489</v>
      </c>
      <c r="C595" s="337">
        <f t="shared" si="142"/>
        <v>60236</v>
      </c>
      <c r="D595" s="484">
        <f t="shared" si="131"/>
        <v>2064</v>
      </c>
      <c r="E595" s="484">
        <f t="shared" si="143"/>
        <v>0.91666666666666663</v>
      </c>
      <c r="F595" s="484">
        <f t="shared" si="132"/>
        <v>2064.9166666666665</v>
      </c>
      <c r="G595" s="485" t="str">
        <f>IF(OR(C595&lt;$I$2,C595&gt;$J$3),"",(ii!$D$13*12+V595+1)/12)</f>
        <v/>
      </c>
      <c r="H595" s="486"/>
      <c r="I595" s="486"/>
      <c r="J595" s="487"/>
      <c r="K595" s="488"/>
      <c r="L595" s="548"/>
      <c r="M595" s="489" t="str">
        <f t="shared" si="133"/>
        <v/>
      </c>
      <c r="N595" s="490" t="s">
        <v>621</v>
      </c>
      <c r="O595" s="490" t="str">
        <f t="shared" si="140"/>
        <v/>
      </c>
      <c r="P595" s="491"/>
      <c r="Q595" s="491"/>
      <c r="R595" s="491" t="str">
        <f t="shared" si="141"/>
        <v/>
      </c>
      <c r="S595" s="528" t="str">
        <f t="shared" si="139"/>
        <v/>
      </c>
      <c r="T595" s="528" t="str">
        <f t="shared" si="137"/>
        <v/>
      </c>
      <c r="U595" s="493" t="str">
        <f>IF(H595="","",#REF!*12+#REF!+#REF!*12+#REF!)</f>
        <v/>
      </c>
      <c r="V595" s="338">
        <f>IF(ii!$J$3&gt;gg!C595,"",IF(AND((YEAR(C595)=YEAR($I$2)),MONTH(C595)=MONTH($I$2)),ii!$B$14*12+ii!$C$14+ii!$B$15*12+ii!$C$15-1,V594+1))</f>
        <v>488</v>
      </c>
      <c r="W595" s="339">
        <f t="shared" ref="W595:W607" si="144">IF(V596="","",(V596-1)/12)</f>
        <v>40.666666666666664</v>
      </c>
      <c r="X595" s="494" t="s">
        <v>621</v>
      </c>
      <c r="Y595" s="495" t="s">
        <v>621</v>
      </c>
      <c r="Z595" s="496"/>
      <c r="AA595" s="497"/>
      <c r="AB595" s="498" t="str">
        <f t="shared" si="136"/>
        <v/>
      </c>
      <c r="AC595" s="484" t="str">
        <f t="shared" si="134"/>
        <v/>
      </c>
      <c r="AD595" s="495" t="str">
        <f t="shared" si="135"/>
        <v/>
      </c>
      <c r="AE595" s="499" t="s">
        <v>621</v>
      </c>
      <c r="AF595" s="500" t="s">
        <v>621</v>
      </c>
      <c r="AG595" s="556" t="s">
        <v>621</v>
      </c>
      <c r="AH595" s="503" t="str">
        <f>IF($G595="","",IF(AND($G595&gt;=30,$AT$3&lt;=AG$7),ROUND(AG595*($AP$3+#REF!),-1),""))</f>
        <v/>
      </c>
      <c r="AI595" s="506" t="s">
        <v>621</v>
      </c>
      <c r="AJ595" s="503" t="str">
        <f>IF($G595="","",IF(AND($G595&gt;=30,$AT$3&lt;=AI$7),ROUND(AI595*($AP$3+#REF!),-1),""))</f>
        <v/>
      </c>
      <c r="AK595" s="506" t="s">
        <v>621</v>
      </c>
      <c r="AL595" s="503" t="str">
        <f>IF($G595="","",IF(AND($G595&gt;=30,$AT$3&lt;=AK$7),ROUND(AK595*($AP$3+#REF!),-1),""))</f>
        <v/>
      </c>
      <c r="AM595" s="506" t="s">
        <v>621</v>
      </c>
      <c r="AN595" s="503" t="str">
        <f>IF($G595="","",IF(AND($G595&gt;=30,$AT$3&lt;=AM$7),ROUND(AM595*($AP$3+#REF!),-1),""))</f>
        <v/>
      </c>
      <c r="AO595" s="503" t="e">
        <v>#REF!</v>
      </c>
      <c r="AP595" s="503" t="str">
        <f>IF($G595="","",IF(AND($G595&gt;=30,$AT$3&lt;=AO$7),ROUND(AO595*($AP$3+#REF!),-1),""))</f>
        <v/>
      </c>
      <c r="AQ595" s="503" t="s">
        <v>621</v>
      </c>
      <c r="AR595" s="503" t="str">
        <f>IF($G595="","",IF(AND($G595&gt;=30,$AT$3&lt;=AQ$7),ROUND(AQ595*($AP$3+#REF!),-1),""))</f>
        <v/>
      </c>
      <c r="AS595" s="503" t="s">
        <v>621</v>
      </c>
      <c r="AT595" s="503" t="str">
        <f>IF($G595="","",IF(AND($G595&gt;=30,$AT$3&lt;=AS$7),ROUND(AS595*($AP$3+#REF!),-1),""))</f>
        <v/>
      </c>
      <c r="AU595" s="503" t="s">
        <v>621</v>
      </c>
      <c r="AV595" s="503" t="str">
        <f>IF($G595="","",IF(AND($G595&gt;=30,$AT$3&lt;=AU$7),ROUND(AU595*($AP$3+#REF!),-1),""))</f>
        <v/>
      </c>
      <c r="AW595" s="503" t="s">
        <v>621</v>
      </c>
      <c r="AX595" s="503" t="str">
        <f>IF($G595="","",IF(AND($G595&gt;=30,$AT$3&lt;=AW$7),ROUND(AW595*($AP$3+#REF!),-1),""))</f>
        <v/>
      </c>
      <c r="AY595" s="503" t="s">
        <v>621</v>
      </c>
      <c r="AZ595" s="503" t="str">
        <f>IF($G595="","",IF(AND($G595&gt;=30,$AT$3&lt;=AY$7),ROUND(AY595*($AP$3+#REF!),-1),""))</f>
        <v/>
      </c>
      <c r="BA595" s="503" t="s">
        <v>621</v>
      </c>
      <c r="BB595" s="503" t="str">
        <f>IF($G595="","",IF(AND($G595&gt;=30,$AT$3&lt;=BA$7),ROUND(BA595*($AP$3+#REF!),-1),""))</f>
        <v/>
      </c>
      <c r="BC595" s="503" t="s">
        <v>621</v>
      </c>
      <c r="BD595" s="503" t="str">
        <f>IF($G595="","",IF(AND($G595&gt;=30,$AT$3&lt;=BC$7),ROUND(BC595*($AP$3+#REF!),-1),""))</f>
        <v/>
      </c>
      <c r="BE595" s="503" t="s">
        <v>621</v>
      </c>
      <c r="BF595" s="503" t="str">
        <f>IF($G595="","",IF(AND($G595&gt;=30,$AT$3&lt;=BE$7),ROUND(BE595*($AP$3+#REF!),-1),""))</f>
        <v/>
      </c>
      <c r="BG595" s="503" t="s">
        <v>621</v>
      </c>
      <c r="BH595" s="503" t="str">
        <f>IF($G595="","",IF(AND($G595&gt;=30,$AT$3&lt;=BG$7),ROUND(BG595*($AP$3+#REF!),-1),""))</f>
        <v/>
      </c>
      <c r="BI595" s="503" t="s">
        <v>621</v>
      </c>
      <c r="BJ595" s="503" t="str">
        <f>IF($G595="","",IF(AND($G595&gt;=30,$AT$3&lt;=BI$7),ROUND(BI595*($AP$3+#REF!),-1),""))</f>
        <v/>
      </c>
      <c r="BK595" s="503" t="s">
        <v>621</v>
      </c>
      <c r="BL595" s="503" t="str">
        <f>IF($G595="","",IF(AND($G595&gt;=30,$AT$3&lt;=BK$7),ROUND(BK595*($AP$3+#REF!),-1),""))</f>
        <v/>
      </c>
      <c r="BM595" s="503" t="s">
        <v>621</v>
      </c>
      <c r="BN595" s="503" t="str">
        <f>IF($G595="","",IF(AND($G595&gt;=30,$AT$3&lt;=BM$7),ROUND(BM595*($AP$3+#REF!),-1),""))</f>
        <v/>
      </c>
      <c r="BO595" s="503" t="s">
        <v>621</v>
      </c>
      <c r="BP595" s="503" t="str">
        <f>IF($G595="","",IF(AND($G595&gt;=30,$AT$3&lt;=BO$7),ROUND(BO595*($AP$3+#REF!),-1),""))</f>
        <v/>
      </c>
      <c r="BQ595" s="503" t="s">
        <v>621</v>
      </c>
      <c r="BR595" s="503" t="str">
        <f>IF($G595="","",IF(AND($G595&gt;=30,$AT$3&lt;=BQ$7),ROUND(BQ595*($AP$3+#REF!),-1),""))</f>
        <v/>
      </c>
      <c r="BS595" s="503" t="s">
        <v>621</v>
      </c>
      <c r="BT595" s="503" t="str">
        <f>IF($G595="","",IF(AND($G595&gt;=30,$AT$3&lt;=BS$7),ROUND(BS595*($AP$3+#REF!),-1),""))</f>
        <v/>
      </c>
      <c r="BU595" s="503" t="s">
        <v>621</v>
      </c>
      <c r="BV595" s="503" t="str">
        <f>IF($G595="","",IF(AND($G595&gt;=30,$AT$3&lt;=BU$7),ROUND(BU595*($AP$3+#REF!),-1),""))</f>
        <v/>
      </c>
      <c r="BW595" s="503" t="s">
        <v>621</v>
      </c>
      <c r="BX595" s="503" t="str">
        <f>IF($G595="","",IF(AND($G595&gt;=30,$AT$3&lt;=BW$7),ROUND(BW595*($AP$3+#REF!),-1),""))</f>
        <v/>
      </c>
      <c r="BY595" s="503" t="s">
        <v>621</v>
      </c>
      <c r="BZ595" s="503" t="str">
        <f>IF($G595="","",IF(AND($G595&gt;=30,$AT$3&lt;=BY$7),ROUND(BY595*($AP$3+#REF!),-1),""))</f>
        <v/>
      </c>
      <c r="CA595" s="503" t="s">
        <v>621</v>
      </c>
      <c r="CB595" s="503" t="str">
        <f>IF($G595="","",IF(AND($G595&gt;=30,$AT$3&lt;=CA$7),ROUND(CA595*($AP$3+#REF!),-1),""))</f>
        <v/>
      </c>
      <c r="CC595" s="503" t="s">
        <v>621</v>
      </c>
      <c r="CD595" s="503" t="str">
        <f>IF($G595="","",IF(AND($G595&gt;=30,$AT$3&lt;=CC$7),ROUND(CC595*($AP$3+#REF!),-1),""))</f>
        <v/>
      </c>
      <c r="CE595" s="503" t="s">
        <v>621</v>
      </c>
      <c r="CF595" s="503" t="str">
        <f>IF($G595="","",IF(AND($G595&gt;=30,$AT$3&lt;=CE$7),ROUND(CE595*($AP$3+#REF!),-1),""))</f>
        <v/>
      </c>
      <c r="CG595" s="503" t="s">
        <v>621</v>
      </c>
      <c r="CH595" s="503" t="str">
        <f>IF($G595="","",IF(AND($G595&gt;=30,$AT$3&lt;=CG$7),ROUND(CG595*($AP$3+#REF!),-1),""))</f>
        <v/>
      </c>
      <c r="CI595" s="503" t="s">
        <v>621</v>
      </c>
      <c r="CJ595" s="503" t="str">
        <f>IF($G595="","",IF(AND($G595&gt;=30,$AT$3&lt;=CI$7),ROUND(CI595*($AP$3+#REF!),-1),""))</f>
        <v/>
      </c>
      <c r="CK595" s="503" t="s">
        <v>621</v>
      </c>
      <c r="CL595" s="503" t="str">
        <f>IF($G595="","",IF(AND($G595&gt;=30,$AT$3&lt;=CK$7),ROUND(CK595*($AP$3+#REF!),-1),""))</f>
        <v/>
      </c>
      <c r="CM595" s="503" t="s">
        <v>621</v>
      </c>
      <c r="CN595" s="503" t="str">
        <f>IF($G595="","",IF(AND($G595&gt;=30,$AT$3&lt;=CM$7),ROUND(CM595*($AP$3+#REF!),-1),""))</f>
        <v/>
      </c>
      <c r="CO595" s="503" t="s">
        <v>621</v>
      </c>
      <c r="CP595" s="503" t="str">
        <f>IF($G595="","",IF(AND($G595&gt;=30,$AT$3&lt;=CO$7),ROUND(CO595*($AP$3+#REF!),-1),""))</f>
        <v/>
      </c>
      <c r="CQ595" s="503" t="s">
        <v>621</v>
      </c>
      <c r="CR595" s="503" t="str">
        <f>IF($G595="","",IF(AND($G595&gt;=30,$AT$3&lt;=CQ$7),ROUND(CQ595*($AP$3+#REF!),-1),""))</f>
        <v/>
      </c>
      <c r="CS595" s="503" t="s">
        <v>621</v>
      </c>
      <c r="CT595" s="503" t="str">
        <f>IF($G595="","",IF(AND($G595&gt;=30,$AT$3&lt;=CS$7),ROUND(CS595*($AP$3+#REF!),-1),""))</f>
        <v/>
      </c>
      <c r="CU595" s="503" t="s">
        <v>621</v>
      </c>
      <c r="CV595" s="503" t="str">
        <f>IF($G595="","",IF(AND($G595&gt;=30,$AT$3&lt;=CU$7),ROUND(CU595*($AP$3+#REF!),-1),""))</f>
        <v/>
      </c>
      <c r="CW595" s="503" t="s">
        <v>621</v>
      </c>
      <c r="CX595" s="503" t="str">
        <f>IF($G595="","",IF(AND($G595&gt;=30,$AT$3&lt;=CW$7),ROUND(CW595*($AP$3+#REF!),-1),""))</f>
        <v/>
      </c>
      <c r="CY595" s="503" t="s">
        <v>621</v>
      </c>
      <c r="CZ595" s="503" t="str">
        <f>IF($G595="","",IF(AND($G595&gt;=30,$AT$3&lt;=CY$7),ROUND(CY595*($AP$3+#REF!),-1),""))</f>
        <v/>
      </c>
      <c r="DA595" s="503" t="s">
        <v>621</v>
      </c>
      <c r="DB595" s="503" t="str">
        <f>IF($G595="","",IF(AND($G595&gt;=30,$AT$3&lt;=DA$7),ROUND(DA595*($AP$3+#REF!),-1),""))</f>
        <v/>
      </c>
      <c r="DC595" s="503" t="s">
        <v>621</v>
      </c>
      <c r="DD595" s="503" t="str">
        <f>IF($G595="","",IF(AND($G595&gt;=30,$AT$3&lt;=DC$7),ROUND(DC595*($AP$3+#REF!),-1),""))</f>
        <v/>
      </c>
      <c r="DE595" s="503" t="s">
        <v>621</v>
      </c>
      <c r="DF595" s="503" t="str">
        <f>IF($G595="","",IF(AND($G595&gt;=30,$AT$3&lt;=DE$7),ROUND(DE595*($AP$3+#REF!),-1),""))</f>
        <v/>
      </c>
      <c r="DG595" s="503" t="s">
        <v>621</v>
      </c>
      <c r="DH595" s="503" t="str">
        <f>IF($G595="","",IF(AND($G595&gt;=30,$AT$3&lt;=DG$7),ROUND(DG595*($AP$3+#REF!),-1),""))</f>
        <v/>
      </c>
      <c r="DI595" s="503" t="s">
        <v>621</v>
      </c>
      <c r="DJ595" s="503" t="str">
        <f>IF($G595="","",IF(AND($G595&gt;=30,$AT$3&lt;=DI$7),ROUND(DI595*($AP$3+#REF!),-1),""))</f>
        <v/>
      </c>
      <c r="DK595" s="503" t="s">
        <v>621</v>
      </c>
      <c r="DL595" s="503" t="str">
        <f>IF($G595="","",IF(AND($G595&gt;=30,$AT$3&lt;=DK$7),ROUND(DK595*($AP$3+#REF!),-1),""))</f>
        <v/>
      </c>
      <c r="DM595" s="503" t="s">
        <v>621</v>
      </c>
      <c r="DN595" s="503" t="str">
        <f>IF($G595="","",IF(AND($G595&gt;=30,$AT$3&lt;=DM$7),ROUND(DM595*($AP$3+#REF!),-1),""))</f>
        <v/>
      </c>
      <c r="DO595" s="503" t="s">
        <v>621</v>
      </c>
      <c r="DP595" s="503" t="str">
        <f>IF($G595="","",IF(AND($G595&gt;=30,$AT$3&lt;=DO$7),ROUND(DO595*($AP$3+#REF!),-1),""))</f>
        <v/>
      </c>
      <c r="DQ595" s="503" t="s">
        <v>621</v>
      </c>
      <c r="DR595" s="503" t="str">
        <f>IF($G595="","",IF(AND($G595&gt;=30,$AT$3&lt;=DQ$7),ROUND(DQ595*($AP$3+#REF!),-1),""))</f>
        <v/>
      </c>
      <c r="DS595" s="503" t="s">
        <v>621</v>
      </c>
      <c r="DT595" s="503" t="str">
        <f>IF($G595="","",IF(AND($G595&gt;=30,$AT$3&lt;=DS$7),ROUND(DS595*($AP$3+#REF!),-1),""))</f>
        <v/>
      </c>
      <c r="DU595" s="503" t="s">
        <v>621</v>
      </c>
      <c r="DV595" s="503" t="str">
        <f>IF($G595="","",IF(AND($G595&gt;=30,$AT$3&lt;=DU$7),ROUND(DU595*($AP$3+#REF!),-1),""))</f>
        <v/>
      </c>
      <c r="DW595" s="503" t="s">
        <v>621</v>
      </c>
      <c r="DX595" s="503" t="str">
        <f>IF($G595="","",IF(AND($G595&gt;=30,$AT$3&lt;=DW$7),ROUND(DW595*($AP$3+#REF!),-1),""))</f>
        <v/>
      </c>
      <c r="DY595" s="517" t="e">
        <v>#REF!</v>
      </c>
      <c r="DZ595" s="503" t="str">
        <f>IF($G595="","",IF(AND($G595&gt;=30,$AT$3&lt;=DY$7),ROUND(DY595*($AP$3+#REF!),-1),""))</f>
        <v/>
      </c>
      <c r="EA595" s="503"/>
      <c r="EB595" s="503" t="str">
        <f>IF($G595="","",IF(AND($G595&gt;=30,$AT$3&lt;=EA$7),ROUND(EA595*($AP$3+#REF!),-1),""))</f>
        <v/>
      </c>
      <c r="EC595" s="436"/>
      <c r="ED595" s="436"/>
      <c r="EE595" s="394"/>
    </row>
    <row r="596" spans="1:135" ht="9.75" customHeight="1">
      <c r="A596" s="321" t="str">
        <f t="shared" si="138"/>
        <v/>
      </c>
      <c r="B596" s="567">
        <f>(ii!$D$13*12+V596)+1</f>
        <v>490</v>
      </c>
      <c r="C596" s="337">
        <f t="shared" si="142"/>
        <v>60267</v>
      </c>
      <c r="D596" s="484">
        <f t="shared" si="131"/>
        <v>2064</v>
      </c>
      <c r="E596" s="484">
        <f t="shared" si="143"/>
        <v>1</v>
      </c>
      <c r="F596" s="484">
        <f t="shared" si="132"/>
        <v>2065</v>
      </c>
      <c r="G596" s="485" t="str">
        <f>IF(OR(C596&lt;$I$2,C596&gt;$J$3),"",(ii!$D$13*12+V596+1)/12)</f>
        <v/>
      </c>
      <c r="H596" s="486"/>
      <c r="I596" s="486"/>
      <c r="J596" s="487"/>
      <c r="K596" s="488"/>
      <c r="L596" s="548"/>
      <c r="M596" s="489" t="str">
        <f t="shared" si="133"/>
        <v/>
      </c>
      <c r="N596" s="490" t="s">
        <v>621</v>
      </c>
      <c r="O596" s="490" t="str">
        <f t="shared" si="140"/>
        <v/>
      </c>
      <c r="P596" s="491"/>
      <c r="Q596" s="491"/>
      <c r="R596" s="491" t="str">
        <f t="shared" si="141"/>
        <v/>
      </c>
      <c r="S596" s="528" t="str">
        <f t="shared" si="139"/>
        <v/>
      </c>
      <c r="T596" s="528" t="str">
        <f t="shared" si="137"/>
        <v/>
      </c>
      <c r="U596" s="493" t="str">
        <f>IF(H596="","",#REF!*12+#REF!+#REF!*12+#REF!)</f>
        <v/>
      </c>
      <c r="V596" s="338">
        <f>IF(ii!$J$3&gt;gg!C596,"",IF(AND((YEAR(C596)=YEAR($I$2)),MONTH(C596)=MONTH($I$2)),ii!$B$14*12+ii!$C$14+ii!$B$15*12+ii!$C$15-1,V595+1))</f>
        <v>489</v>
      </c>
      <c r="W596" s="339">
        <f t="shared" si="144"/>
        <v>40.75</v>
      </c>
      <c r="X596" s="494" t="s">
        <v>621</v>
      </c>
      <c r="Y596" s="495" t="s">
        <v>621</v>
      </c>
      <c r="Z596" s="496"/>
      <c r="AA596" s="497"/>
      <c r="AB596" s="498" t="str">
        <f t="shared" si="136"/>
        <v/>
      </c>
      <c r="AC596" s="484" t="str">
        <f t="shared" si="134"/>
        <v/>
      </c>
      <c r="AD596" s="495" t="str">
        <f t="shared" si="135"/>
        <v/>
      </c>
      <c r="AE596" s="499" t="s">
        <v>621</v>
      </c>
      <c r="AF596" s="500" t="s">
        <v>621</v>
      </c>
      <c r="AG596" s="556" t="s">
        <v>621</v>
      </c>
      <c r="AH596" s="503" t="str">
        <f>IF($G596="","",IF(AND($G596&gt;=30,$AT$3&lt;=AG$7),ROUND(AG596*($AP$3+#REF!),-1),""))</f>
        <v/>
      </c>
      <c r="AI596" s="506" t="s">
        <v>621</v>
      </c>
      <c r="AJ596" s="503" t="str">
        <f>IF($G596="","",IF(AND($G596&gt;=30,$AT$3&lt;=AI$7),ROUND(AI596*($AP$3+#REF!),-1),""))</f>
        <v/>
      </c>
      <c r="AK596" s="506" t="s">
        <v>621</v>
      </c>
      <c r="AL596" s="503" t="str">
        <f>IF($G596="","",IF(AND($G596&gt;=30,$AT$3&lt;=AK$7),ROUND(AK596*($AP$3+#REF!),-1),""))</f>
        <v/>
      </c>
      <c r="AM596" s="506" t="s">
        <v>621</v>
      </c>
      <c r="AN596" s="503" t="str">
        <f>IF($G596="","",IF(AND($G596&gt;=30,$AT$3&lt;=AM$7),ROUND(AM596*($AP$3+#REF!),-1),""))</f>
        <v/>
      </c>
      <c r="AO596" s="503" t="e">
        <v>#REF!</v>
      </c>
      <c r="AP596" s="503" t="str">
        <f>IF($G596="","",IF(AND($G596&gt;=30,$AT$3&lt;=AO$7),ROUND(AO596*($AP$3+#REF!),-1),""))</f>
        <v/>
      </c>
      <c r="AQ596" s="503" t="s">
        <v>621</v>
      </c>
      <c r="AR596" s="503" t="str">
        <f>IF($G596="","",IF(AND($G596&gt;=30,$AT$3&lt;=AQ$7),ROUND(AQ596*($AP$3+#REF!),-1),""))</f>
        <v/>
      </c>
      <c r="AS596" s="503" t="s">
        <v>621</v>
      </c>
      <c r="AT596" s="503" t="str">
        <f>IF($G596="","",IF(AND($G596&gt;=30,$AT$3&lt;=AS$7),ROUND(AS596*($AP$3+#REF!),-1),""))</f>
        <v/>
      </c>
      <c r="AU596" s="503" t="s">
        <v>621</v>
      </c>
      <c r="AV596" s="503" t="str">
        <f>IF($G596="","",IF(AND($G596&gt;=30,$AT$3&lt;=AU$7),ROUND(AU596*($AP$3+#REF!),-1),""))</f>
        <v/>
      </c>
      <c r="AW596" s="503" t="s">
        <v>621</v>
      </c>
      <c r="AX596" s="503" t="str">
        <f>IF($G596="","",IF(AND($G596&gt;=30,$AT$3&lt;=AW$7),ROUND(AW596*($AP$3+#REF!),-1),""))</f>
        <v/>
      </c>
      <c r="AY596" s="503" t="s">
        <v>621</v>
      </c>
      <c r="AZ596" s="503" t="str">
        <f>IF($G596="","",IF(AND($G596&gt;=30,$AT$3&lt;=AY$7),ROUND(AY596*($AP$3+#REF!),-1),""))</f>
        <v/>
      </c>
      <c r="BA596" s="503" t="s">
        <v>621</v>
      </c>
      <c r="BB596" s="503" t="str">
        <f>IF($G596="","",IF(AND($G596&gt;=30,$AT$3&lt;=BA$7),ROUND(BA596*($AP$3+#REF!),-1),""))</f>
        <v/>
      </c>
      <c r="BC596" s="503" t="s">
        <v>621</v>
      </c>
      <c r="BD596" s="503" t="str">
        <f>IF($G596="","",IF(AND($G596&gt;=30,$AT$3&lt;=BC$7),ROUND(BC596*($AP$3+#REF!),-1),""))</f>
        <v/>
      </c>
      <c r="BE596" s="503" t="s">
        <v>621</v>
      </c>
      <c r="BF596" s="503" t="str">
        <f>IF($G596="","",IF(AND($G596&gt;=30,$AT$3&lt;=BE$7),ROUND(BE596*($AP$3+#REF!),-1),""))</f>
        <v/>
      </c>
      <c r="BG596" s="503" t="s">
        <v>621</v>
      </c>
      <c r="BH596" s="503" t="str">
        <f>IF($G596="","",IF(AND($G596&gt;=30,$AT$3&lt;=BG$7),ROUND(BG596*($AP$3+#REF!),-1),""))</f>
        <v/>
      </c>
      <c r="BI596" s="503" t="s">
        <v>621</v>
      </c>
      <c r="BJ596" s="503" t="str">
        <f>IF($G596="","",IF(AND($G596&gt;=30,$AT$3&lt;=BI$7),ROUND(BI596*($AP$3+#REF!),-1),""))</f>
        <v/>
      </c>
      <c r="BK596" s="503" t="s">
        <v>621</v>
      </c>
      <c r="BL596" s="503" t="str">
        <f>IF($G596="","",IF(AND($G596&gt;=30,$AT$3&lt;=BK$7),ROUND(BK596*($AP$3+#REF!),-1),""))</f>
        <v/>
      </c>
      <c r="BM596" s="503" t="s">
        <v>621</v>
      </c>
      <c r="BN596" s="503" t="str">
        <f>IF($G596="","",IF(AND($G596&gt;=30,$AT$3&lt;=BM$7),ROUND(BM596*($AP$3+#REF!),-1),""))</f>
        <v/>
      </c>
      <c r="BO596" s="503" t="s">
        <v>621</v>
      </c>
      <c r="BP596" s="503" t="str">
        <f>IF($G596="","",IF(AND($G596&gt;=30,$AT$3&lt;=BO$7),ROUND(BO596*($AP$3+#REF!),-1),""))</f>
        <v/>
      </c>
      <c r="BQ596" s="503" t="s">
        <v>621</v>
      </c>
      <c r="BR596" s="503" t="str">
        <f>IF($G596="","",IF(AND($G596&gt;=30,$AT$3&lt;=BQ$7),ROUND(BQ596*($AP$3+#REF!),-1),""))</f>
        <v/>
      </c>
      <c r="BS596" s="503" t="s">
        <v>621</v>
      </c>
      <c r="BT596" s="503" t="str">
        <f>IF($G596="","",IF(AND($G596&gt;=30,$AT$3&lt;=BS$7),ROUND(BS596*($AP$3+#REF!),-1),""))</f>
        <v/>
      </c>
      <c r="BU596" s="503" t="s">
        <v>621</v>
      </c>
      <c r="BV596" s="503" t="str">
        <f>IF($G596="","",IF(AND($G596&gt;=30,$AT$3&lt;=BU$7),ROUND(BU596*($AP$3+#REF!),-1),""))</f>
        <v/>
      </c>
      <c r="BW596" s="503" t="s">
        <v>621</v>
      </c>
      <c r="BX596" s="503" t="str">
        <f>IF($G596="","",IF(AND($G596&gt;=30,$AT$3&lt;=BW$7),ROUND(BW596*($AP$3+#REF!),-1),""))</f>
        <v/>
      </c>
      <c r="BY596" s="503" t="s">
        <v>621</v>
      </c>
      <c r="BZ596" s="503" t="str">
        <f>IF($G596="","",IF(AND($G596&gt;=30,$AT$3&lt;=BY$7),ROUND(BY596*($AP$3+#REF!),-1),""))</f>
        <v/>
      </c>
      <c r="CA596" s="503" t="s">
        <v>621</v>
      </c>
      <c r="CB596" s="503" t="str">
        <f>IF($G596="","",IF(AND($G596&gt;=30,$AT$3&lt;=CA$7),ROUND(CA596*($AP$3+#REF!),-1),""))</f>
        <v/>
      </c>
      <c r="CC596" s="503" t="s">
        <v>621</v>
      </c>
      <c r="CD596" s="503" t="str">
        <f>IF($G596="","",IF(AND($G596&gt;=30,$AT$3&lt;=CC$7),ROUND(CC596*($AP$3+#REF!),-1),""))</f>
        <v/>
      </c>
      <c r="CE596" s="503" t="s">
        <v>621</v>
      </c>
      <c r="CF596" s="503" t="str">
        <f>IF($G596="","",IF(AND($G596&gt;=30,$AT$3&lt;=CE$7),ROUND(CE596*($AP$3+#REF!),-1),""))</f>
        <v/>
      </c>
      <c r="CG596" s="503" t="s">
        <v>621</v>
      </c>
      <c r="CH596" s="503" t="str">
        <f>IF($G596="","",IF(AND($G596&gt;=30,$AT$3&lt;=CG$7),ROUND(CG596*($AP$3+#REF!),-1),""))</f>
        <v/>
      </c>
      <c r="CI596" s="503" t="s">
        <v>621</v>
      </c>
      <c r="CJ596" s="503" t="str">
        <f>IF($G596="","",IF(AND($G596&gt;=30,$AT$3&lt;=CI$7),ROUND(CI596*($AP$3+#REF!),-1),""))</f>
        <v/>
      </c>
      <c r="CK596" s="503" t="s">
        <v>621</v>
      </c>
      <c r="CL596" s="503" t="str">
        <f>IF($G596="","",IF(AND($G596&gt;=30,$AT$3&lt;=CK$7),ROUND(CK596*($AP$3+#REF!),-1),""))</f>
        <v/>
      </c>
      <c r="CM596" s="503" t="s">
        <v>621</v>
      </c>
      <c r="CN596" s="503" t="str">
        <f>IF($G596="","",IF(AND($G596&gt;=30,$AT$3&lt;=CM$7),ROUND(CM596*($AP$3+#REF!),-1),""))</f>
        <v/>
      </c>
      <c r="CO596" s="503" t="s">
        <v>621</v>
      </c>
      <c r="CP596" s="503" t="str">
        <f>IF($G596="","",IF(AND($G596&gt;=30,$AT$3&lt;=CO$7),ROUND(CO596*($AP$3+#REF!),-1),""))</f>
        <v/>
      </c>
      <c r="CQ596" s="503" t="s">
        <v>621</v>
      </c>
      <c r="CR596" s="503" t="str">
        <f>IF($G596="","",IF(AND($G596&gt;=30,$AT$3&lt;=CQ$7),ROUND(CQ596*($AP$3+#REF!),-1),""))</f>
        <v/>
      </c>
      <c r="CS596" s="503" t="s">
        <v>621</v>
      </c>
      <c r="CT596" s="503" t="str">
        <f>IF($G596="","",IF(AND($G596&gt;=30,$AT$3&lt;=CS$7),ROUND(CS596*($AP$3+#REF!),-1),""))</f>
        <v/>
      </c>
      <c r="CU596" s="503" t="s">
        <v>621</v>
      </c>
      <c r="CV596" s="503" t="str">
        <f>IF($G596="","",IF(AND($G596&gt;=30,$AT$3&lt;=CU$7),ROUND(CU596*($AP$3+#REF!),-1),""))</f>
        <v/>
      </c>
      <c r="CW596" s="503" t="s">
        <v>621</v>
      </c>
      <c r="CX596" s="503" t="str">
        <f>IF($G596="","",IF(AND($G596&gt;=30,$AT$3&lt;=CW$7),ROUND(CW596*($AP$3+#REF!),-1),""))</f>
        <v/>
      </c>
      <c r="CY596" s="503" t="s">
        <v>621</v>
      </c>
      <c r="CZ596" s="503" t="str">
        <f>IF($G596="","",IF(AND($G596&gt;=30,$AT$3&lt;=CY$7),ROUND(CY596*($AP$3+#REF!),-1),""))</f>
        <v/>
      </c>
      <c r="DA596" s="503" t="s">
        <v>621</v>
      </c>
      <c r="DB596" s="503" t="str">
        <f>IF($G596="","",IF(AND($G596&gt;=30,$AT$3&lt;=DA$7),ROUND(DA596*($AP$3+#REF!),-1),""))</f>
        <v/>
      </c>
      <c r="DC596" s="503" t="s">
        <v>621</v>
      </c>
      <c r="DD596" s="503" t="str">
        <f>IF($G596="","",IF(AND($G596&gt;=30,$AT$3&lt;=DC$7),ROUND(DC596*($AP$3+#REF!),-1),""))</f>
        <v/>
      </c>
      <c r="DE596" s="503" t="s">
        <v>621</v>
      </c>
      <c r="DF596" s="503" t="str">
        <f>IF($G596="","",IF(AND($G596&gt;=30,$AT$3&lt;=DE$7),ROUND(DE596*($AP$3+#REF!),-1),""))</f>
        <v/>
      </c>
      <c r="DG596" s="503" t="s">
        <v>621</v>
      </c>
      <c r="DH596" s="503" t="str">
        <f>IF($G596="","",IF(AND($G596&gt;=30,$AT$3&lt;=DG$7),ROUND(DG596*($AP$3+#REF!),-1),""))</f>
        <v/>
      </c>
      <c r="DI596" s="503" t="s">
        <v>621</v>
      </c>
      <c r="DJ596" s="503" t="str">
        <f>IF($G596="","",IF(AND($G596&gt;=30,$AT$3&lt;=DI$7),ROUND(DI596*($AP$3+#REF!),-1),""))</f>
        <v/>
      </c>
      <c r="DK596" s="503" t="s">
        <v>621</v>
      </c>
      <c r="DL596" s="503" t="str">
        <f>IF($G596="","",IF(AND($G596&gt;=30,$AT$3&lt;=DK$7),ROUND(DK596*($AP$3+#REF!),-1),""))</f>
        <v/>
      </c>
      <c r="DM596" s="503" t="s">
        <v>621</v>
      </c>
      <c r="DN596" s="503" t="str">
        <f>IF($G596="","",IF(AND($G596&gt;=30,$AT$3&lt;=DM$7),ROUND(DM596*($AP$3+#REF!),-1),""))</f>
        <v/>
      </c>
      <c r="DO596" s="503" t="s">
        <v>621</v>
      </c>
      <c r="DP596" s="503" t="str">
        <f>IF($G596="","",IF(AND($G596&gt;=30,$AT$3&lt;=DO$7),ROUND(DO596*($AP$3+#REF!),-1),""))</f>
        <v/>
      </c>
      <c r="DQ596" s="503" t="s">
        <v>621</v>
      </c>
      <c r="DR596" s="503" t="str">
        <f>IF($G596="","",IF(AND($G596&gt;=30,$AT$3&lt;=DQ$7),ROUND(DQ596*($AP$3+#REF!),-1),""))</f>
        <v/>
      </c>
      <c r="DS596" s="503" t="s">
        <v>621</v>
      </c>
      <c r="DT596" s="503" t="str">
        <f>IF($G596="","",IF(AND($G596&gt;=30,$AT$3&lt;=DS$7),ROUND(DS596*($AP$3+#REF!),-1),""))</f>
        <v/>
      </c>
      <c r="DU596" s="503" t="s">
        <v>621</v>
      </c>
      <c r="DV596" s="503" t="str">
        <f>IF($G596="","",IF(AND($G596&gt;=30,$AT$3&lt;=DU$7),ROUND(DU596*($AP$3+#REF!),-1),""))</f>
        <v/>
      </c>
      <c r="DW596" s="503" t="s">
        <v>621</v>
      </c>
      <c r="DX596" s="503" t="str">
        <f>IF($G596="","",IF(AND($G596&gt;=30,$AT$3&lt;=DW$7),ROUND(DW596*($AP$3+#REF!),-1),""))</f>
        <v/>
      </c>
      <c r="DY596" s="517" t="e">
        <v>#REF!</v>
      </c>
      <c r="DZ596" s="503" t="str">
        <f>IF($G596="","",IF(AND($G596&gt;=30,$AT$3&lt;=DY$7),ROUND(DY596*($AP$3+#REF!),-1),""))</f>
        <v/>
      </c>
      <c r="EA596" s="503"/>
      <c r="EB596" s="503" t="str">
        <f>IF($G596="","",IF(AND($G596&gt;=30,$AT$3&lt;=EA$7),ROUND(EA596*($AP$3+#REF!),-1),""))</f>
        <v/>
      </c>
      <c r="EC596" s="436"/>
      <c r="ED596" s="436"/>
      <c r="EE596" s="394"/>
    </row>
    <row r="597" spans="1:135" ht="9.75" customHeight="1">
      <c r="A597" s="321" t="str">
        <f t="shared" si="138"/>
        <v/>
      </c>
      <c r="B597" s="569">
        <f>(ii!$D$13*12+V597)+1</f>
        <v>491</v>
      </c>
      <c r="C597" s="345">
        <f t="shared" si="142"/>
        <v>60298</v>
      </c>
      <c r="D597" s="340">
        <f t="shared" si="131"/>
        <v>2065</v>
      </c>
      <c r="E597" s="340">
        <f t="shared" si="143"/>
        <v>8.3333333333333329E-2</v>
      </c>
      <c r="F597" s="340">
        <f t="shared" si="132"/>
        <v>2065.0833333333335</v>
      </c>
      <c r="G597" s="531" t="str">
        <f>IF(OR(C597&lt;$I$2,C597&gt;$J$3),"",(ii!$D$13*12+V597+1)/12)</f>
        <v/>
      </c>
      <c r="H597" s="532"/>
      <c r="I597" s="532"/>
      <c r="J597" s="533"/>
      <c r="K597" s="553"/>
      <c r="L597" s="534"/>
      <c r="M597" s="489" t="str">
        <f t="shared" si="133"/>
        <v/>
      </c>
      <c r="N597" s="536" t="s">
        <v>621</v>
      </c>
      <c r="O597" s="490" t="str">
        <f t="shared" si="140"/>
        <v/>
      </c>
      <c r="P597" s="537"/>
      <c r="Q597" s="537"/>
      <c r="R597" s="533" t="str">
        <f t="shared" si="141"/>
        <v/>
      </c>
      <c r="S597" s="538" t="str">
        <f t="shared" si="139"/>
        <v/>
      </c>
      <c r="T597" s="538" t="str">
        <f t="shared" si="137"/>
        <v/>
      </c>
      <c r="U597" s="539" t="str">
        <f>IF(H597="","",#REF!*12+#REF!+#REF!*12+#REF!)</f>
        <v/>
      </c>
      <c r="V597" s="338">
        <f>IF(ii!$J$3&gt;gg!C597,"",IF(AND((YEAR(C597)=YEAR($I$2)),MONTH(C597)=MONTH($I$2)),ii!$B$14*12+ii!$C$14+ii!$B$15*12+ii!$C$15-1,V596+1))</f>
        <v>490</v>
      </c>
      <c r="W597" s="339">
        <f t="shared" si="144"/>
        <v>40.833333333333336</v>
      </c>
      <c r="X597" s="540" t="s">
        <v>621</v>
      </c>
      <c r="Y597" s="538" t="s">
        <v>621</v>
      </c>
      <c r="Z597" s="541">
        <f>Z585+$Z$26</f>
        <v>1.410000000000001</v>
      </c>
      <c r="AA597" s="542" t="str">
        <f>IF(Y597="","",(Y597-Y596)/Y596)</f>
        <v/>
      </c>
      <c r="AB597" s="543" t="str">
        <f t="shared" si="136"/>
        <v/>
      </c>
      <c r="AC597" s="544" t="str">
        <f t="shared" si="134"/>
        <v/>
      </c>
      <c r="AD597" s="538" t="str">
        <f t="shared" si="135"/>
        <v/>
      </c>
      <c r="AE597" s="545" t="s">
        <v>621</v>
      </c>
      <c r="AF597" s="546" t="s">
        <v>621</v>
      </c>
      <c r="AG597" s="558" t="s">
        <v>621</v>
      </c>
      <c r="AH597" s="547" t="str">
        <f>IF($G597="","",IF(AND($G597&gt;=30,$AT$3&lt;=AG$7),ROUND(AG597*($AP$3+#REF!),-1),""))</f>
        <v/>
      </c>
      <c r="AI597" s="558" t="s">
        <v>621</v>
      </c>
      <c r="AJ597" s="547" t="str">
        <f>IF($G597="","",IF(AND($G597&gt;=30,$AT$3&lt;=AI$7),ROUND(AI597*($AP$3+#REF!),-1),""))</f>
        <v/>
      </c>
      <c r="AK597" s="560" t="s">
        <v>621</v>
      </c>
      <c r="AL597" s="547" t="str">
        <f>IF($G597="","",IF(AND($G597&gt;=30,$AT$3&lt;=AK$7),ROUND(AK597*($AP$3+#REF!),-1),""))</f>
        <v/>
      </c>
      <c r="AM597" s="560" t="s">
        <v>621</v>
      </c>
      <c r="AN597" s="547" t="str">
        <f>IF($G597="","",IF(AND($G597&gt;=30,$AT$3&lt;=AM$7),ROUND(AM597*($AP$3+#REF!),-1),""))</f>
        <v/>
      </c>
      <c r="AO597" s="547" t="e">
        <v>#REF!</v>
      </c>
      <c r="AP597" s="547" t="str">
        <f>IF($G597="","",IF(AND($G597&gt;=30,$AT$3&lt;=AO$7),ROUND(AO597*($AP$3+#REF!),-1),""))</f>
        <v/>
      </c>
      <c r="AQ597" s="547" t="s">
        <v>621</v>
      </c>
      <c r="AR597" s="547" t="str">
        <f>IF($G597="","",IF(AND($G597&gt;=30,$AT$3&lt;=AQ$7),ROUND(AQ597*($AP$3+#REF!),-1),""))</f>
        <v/>
      </c>
      <c r="AS597" s="547" t="s">
        <v>621</v>
      </c>
      <c r="AT597" s="547" t="str">
        <f>IF($G597="","",IF(AND($G597&gt;=30,$AT$3&lt;=AS$7),ROUND(AS597*($AP$3+#REF!),-1),""))</f>
        <v/>
      </c>
      <c r="AU597" s="547" t="s">
        <v>621</v>
      </c>
      <c r="AV597" s="547" t="str">
        <f>IF($G597="","",IF(AND($G597&gt;=30,$AT$3&lt;=AU$7),ROUND(AU597*($AP$3+#REF!),-1),""))</f>
        <v/>
      </c>
      <c r="AW597" s="547" t="s">
        <v>621</v>
      </c>
      <c r="AX597" s="547" t="str">
        <f>IF($G597="","",IF(AND($G597&gt;=30,$AT$3&lt;=AW$7),ROUND(AW597*($AP$3+#REF!),-1),""))</f>
        <v/>
      </c>
      <c r="AY597" s="547" t="s">
        <v>621</v>
      </c>
      <c r="AZ597" s="547" t="str">
        <f>IF($G597="","",IF(AND($G597&gt;=30,$AT$3&lt;=AY$7),ROUND(AY597*($AP$3+#REF!),-1),""))</f>
        <v/>
      </c>
      <c r="BA597" s="547" t="s">
        <v>621</v>
      </c>
      <c r="BB597" s="547" t="str">
        <f>IF($G597="","",IF(AND($G597&gt;=30,$AT$3&lt;=BA$7),ROUND(BA597*($AP$3+#REF!),-1),""))</f>
        <v/>
      </c>
      <c r="BC597" s="547" t="s">
        <v>621</v>
      </c>
      <c r="BD597" s="547" t="str">
        <f>IF($G597="","",IF(AND($G597&gt;=30,$AT$3&lt;=BC$7),ROUND(BC597*($AP$3+#REF!),-1),""))</f>
        <v/>
      </c>
      <c r="BE597" s="547" t="s">
        <v>621</v>
      </c>
      <c r="BF597" s="547" t="str">
        <f>IF($G597="","",IF(AND($G597&gt;=30,$AT$3&lt;=BE$7),ROUND(BE597*($AP$3+#REF!),-1),""))</f>
        <v/>
      </c>
      <c r="BG597" s="547" t="s">
        <v>621</v>
      </c>
      <c r="BH597" s="547" t="str">
        <f>IF($G597="","",IF(AND($G597&gt;=30,$AT$3&lt;=BG$7),ROUND(BG597*($AP$3+#REF!),-1),""))</f>
        <v/>
      </c>
      <c r="BI597" s="547" t="s">
        <v>621</v>
      </c>
      <c r="BJ597" s="547" t="str">
        <f>IF($G597="","",IF(AND($G597&gt;=30,$AT$3&lt;=BI$7),ROUND(BI597*($AP$3+#REF!),-1),""))</f>
        <v/>
      </c>
      <c r="BK597" s="547" t="s">
        <v>621</v>
      </c>
      <c r="BL597" s="547" t="str">
        <f>IF($G597="","",IF(AND($G597&gt;=30,$AT$3&lt;=BK$7),ROUND(BK597*($AP$3+#REF!),-1),""))</f>
        <v/>
      </c>
      <c r="BM597" s="547" t="s">
        <v>621</v>
      </c>
      <c r="BN597" s="547" t="str">
        <f>IF($G597="","",IF(AND($G597&gt;=30,$AT$3&lt;=BM$7),ROUND(BM597*($AP$3+#REF!),-1),""))</f>
        <v/>
      </c>
      <c r="BO597" s="547" t="s">
        <v>621</v>
      </c>
      <c r="BP597" s="547" t="str">
        <f>IF($G597="","",IF(AND($G597&gt;=30,$AT$3&lt;=BO$7),ROUND(BO597*($AP$3+#REF!),-1),""))</f>
        <v/>
      </c>
      <c r="BQ597" s="547" t="s">
        <v>621</v>
      </c>
      <c r="BR597" s="547" t="str">
        <f>IF($G597="","",IF(AND($G597&gt;=30,$AT$3&lt;=BQ$7),ROUND(BQ597*($AP$3+#REF!),-1),""))</f>
        <v/>
      </c>
      <c r="BS597" s="547" t="s">
        <v>621</v>
      </c>
      <c r="BT597" s="547" t="str">
        <f>IF($G597="","",IF(AND($G597&gt;=30,$AT$3&lt;=BS$7),ROUND(BS597*($AP$3+#REF!),-1),""))</f>
        <v/>
      </c>
      <c r="BU597" s="547" t="s">
        <v>621</v>
      </c>
      <c r="BV597" s="547" t="str">
        <f>IF($G597="","",IF(AND($G597&gt;=30,$AT$3&lt;=BU$7),ROUND(BU597*($AP$3+#REF!),-1),""))</f>
        <v/>
      </c>
      <c r="BW597" s="547" t="s">
        <v>621</v>
      </c>
      <c r="BX597" s="547" t="str">
        <f>IF($G597="","",IF(AND($G597&gt;=30,$AT$3&lt;=BW$7),ROUND(BW597*($AP$3+#REF!),-1),""))</f>
        <v/>
      </c>
      <c r="BY597" s="547" t="s">
        <v>621</v>
      </c>
      <c r="BZ597" s="547" t="str">
        <f>IF($G597="","",IF(AND($G597&gt;=30,$AT$3&lt;=BY$7),ROUND(BY597*($AP$3+#REF!),-1),""))</f>
        <v/>
      </c>
      <c r="CA597" s="547" t="s">
        <v>621</v>
      </c>
      <c r="CB597" s="547" t="str">
        <f>IF($G597="","",IF(AND($G597&gt;=30,$AT$3&lt;=CA$7),ROUND(CA597*($AP$3+#REF!),-1),""))</f>
        <v/>
      </c>
      <c r="CC597" s="547" t="s">
        <v>621</v>
      </c>
      <c r="CD597" s="547" t="str">
        <f>IF($G597="","",IF(AND($G597&gt;=30,$AT$3&lt;=CC$7),ROUND(CC597*($AP$3+#REF!),-1),""))</f>
        <v/>
      </c>
      <c r="CE597" s="547" t="s">
        <v>621</v>
      </c>
      <c r="CF597" s="547" t="str">
        <f>IF($G597="","",IF(AND($G597&gt;=30,$AT$3&lt;=CE$7),ROUND(CE597*($AP$3+#REF!),-1),""))</f>
        <v/>
      </c>
      <c r="CG597" s="547" t="s">
        <v>621</v>
      </c>
      <c r="CH597" s="547" t="str">
        <f>IF($G597="","",IF(AND($G597&gt;=30,$AT$3&lt;=CG$7),ROUND(CG597*($AP$3+#REF!),-1),""))</f>
        <v/>
      </c>
      <c r="CI597" s="547" t="s">
        <v>621</v>
      </c>
      <c r="CJ597" s="547" t="str">
        <f>IF($G597="","",IF(AND($G597&gt;=30,$AT$3&lt;=CI$7),ROUND(CI597*($AP$3+#REF!),-1),""))</f>
        <v/>
      </c>
      <c r="CK597" s="547" t="s">
        <v>621</v>
      </c>
      <c r="CL597" s="547" t="str">
        <f>IF($G597="","",IF(AND($G597&gt;=30,$AT$3&lt;=CK$7),ROUND(CK597*($AP$3+#REF!),-1),""))</f>
        <v/>
      </c>
      <c r="CM597" s="547" t="s">
        <v>621</v>
      </c>
      <c r="CN597" s="547" t="str">
        <f>IF($G597="","",IF(AND($G597&gt;=30,$AT$3&lt;=CM$7),ROUND(CM597*($AP$3+#REF!),-1),""))</f>
        <v/>
      </c>
      <c r="CO597" s="547" t="s">
        <v>621</v>
      </c>
      <c r="CP597" s="547" t="str">
        <f>IF($G597="","",IF(AND($G597&gt;=30,$AT$3&lt;=CO$7),ROUND(CO597*($AP$3+#REF!),-1),""))</f>
        <v/>
      </c>
      <c r="CQ597" s="547" t="s">
        <v>621</v>
      </c>
      <c r="CR597" s="547" t="str">
        <f>IF($G597="","",IF(AND($G597&gt;=30,$AT$3&lt;=CQ$7),ROUND(CQ597*($AP$3+#REF!),-1),""))</f>
        <v/>
      </c>
      <c r="CS597" s="547" t="s">
        <v>621</v>
      </c>
      <c r="CT597" s="547" t="str">
        <f>IF($G597="","",IF(AND($G597&gt;=30,$AT$3&lt;=CS$7),ROUND(CS597*($AP$3+#REF!),-1),""))</f>
        <v/>
      </c>
      <c r="CU597" s="547" t="s">
        <v>621</v>
      </c>
      <c r="CV597" s="547" t="str">
        <f>IF($G597="","",IF(AND($G597&gt;=30,$AT$3&lt;=CU$7),ROUND(CU597*($AP$3+#REF!),-1),""))</f>
        <v/>
      </c>
      <c r="CW597" s="547" t="s">
        <v>621</v>
      </c>
      <c r="CX597" s="547" t="str">
        <f>IF($G597="","",IF(AND($G597&gt;=30,$AT$3&lt;=CW$7),ROUND(CW597*($AP$3+#REF!),-1),""))</f>
        <v/>
      </c>
      <c r="CY597" s="547" t="s">
        <v>621</v>
      </c>
      <c r="CZ597" s="547" t="str">
        <f>IF($G597="","",IF(AND($G597&gt;=30,$AT$3&lt;=CY$7),ROUND(CY597*($AP$3+#REF!),-1),""))</f>
        <v/>
      </c>
      <c r="DA597" s="547" t="s">
        <v>621</v>
      </c>
      <c r="DB597" s="547" t="str">
        <f>IF($G597="","",IF(AND($G597&gt;=30,$AT$3&lt;=DA$7),ROUND(DA597*($AP$3+#REF!),-1),""))</f>
        <v/>
      </c>
      <c r="DC597" s="547" t="s">
        <v>621</v>
      </c>
      <c r="DD597" s="547" t="str">
        <f>IF($G597="","",IF(AND($G597&gt;=30,$AT$3&lt;=DC$7),ROUND(DC597*($AP$3+#REF!),-1),""))</f>
        <v/>
      </c>
      <c r="DE597" s="547" t="s">
        <v>621</v>
      </c>
      <c r="DF597" s="547" t="str">
        <f>IF($G597="","",IF(AND($G597&gt;=30,$AT$3&lt;=DE$7),ROUND(DE597*($AP$3+#REF!),-1),""))</f>
        <v/>
      </c>
      <c r="DG597" s="547" t="s">
        <v>621</v>
      </c>
      <c r="DH597" s="547" t="str">
        <f>IF($G597="","",IF(AND($G597&gt;=30,$AT$3&lt;=DG$7),ROUND(DG597*($AP$3+#REF!),-1),""))</f>
        <v/>
      </c>
      <c r="DI597" s="547" t="s">
        <v>621</v>
      </c>
      <c r="DJ597" s="547" t="str">
        <f>IF($G597="","",IF(AND($G597&gt;=30,$AT$3&lt;=DI$7),ROUND(DI597*($AP$3+#REF!),-1),""))</f>
        <v/>
      </c>
      <c r="DK597" s="547" t="s">
        <v>621</v>
      </c>
      <c r="DL597" s="547" t="str">
        <f>IF($G597="","",IF(AND($G597&gt;=30,$AT$3&lt;=DK$7),ROUND(DK597*($AP$3+#REF!),-1),""))</f>
        <v/>
      </c>
      <c r="DM597" s="547" t="s">
        <v>621</v>
      </c>
      <c r="DN597" s="547" t="str">
        <f>IF($G597="","",IF(AND($G597&gt;=30,$AT$3&lt;=DM$7),ROUND(DM597*($AP$3+#REF!),-1),""))</f>
        <v/>
      </c>
      <c r="DO597" s="547" t="s">
        <v>621</v>
      </c>
      <c r="DP597" s="547" t="str">
        <f>IF($G597="","",IF(AND($G597&gt;=30,$AT$3&lt;=DO$7),ROUND(DO597*($AP$3+#REF!),-1),""))</f>
        <v/>
      </c>
      <c r="DQ597" s="547" t="s">
        <v>621</v>
      </c>
      <c r="DR597" s="547" t="str">
        <f>IF($G597="","",IF(AND($G597&gt;=30,$AT$3&lt;=DQ$7),ROUND(DQ597*($AP$3+#REF!),-1),""))</f>
        <v/>
      </c>
      <c r="DS597" s="547" t="s">
        <v>621</v>
      </c>
      <c r="DT597" s="547" t="str">
        <f>IF($G597="","",IF(AND($G597&gt;=30,$AT$3&lt;=DS$7),ROUND(DS597*($AP$3+#REF!),-1),""))</f>
        <v/>
      </c>
      <c r="DU597" s="547" t="s">
        <v>621</v>
      </c>
      <c r="DV597" s="547" t="str">
        <f>IF($G597="","",IF(AND($G597&gt;=30,$AT$3&lt;=DU$7),ROUND(DU597*($AP$3+#REF!),-1),""))</f>
        <v/>
      </c>
      <c r="DW597" s="547" t="s">
        <v>621</v>
      </c>
      <c r="DX597" s="547" t="str">
        <f>IF($G597="","",IF(AND($G597&gt;=30,$AT$3&lt;=DW$7),ROUND(DW597*($AP$3+#REF!),-1),""))</f>
        <v/>
      </c>
      <c r="DY597" s="547" t="s">
        <v>621</v>
      </c>
      <c r="DZ597" s="547" t="str">
        <f>IF($G597="","",IF(AND($G597&gt;=30,$AT$3&lt;=DY$7),ROUND(DY597*($AP$3+#REF!),-1),""))</f>
        <v/>
      </c>
      <c r="EA597" s="533" t="e">
        <v>#REF!</v>
      </c>
      <c r="EB597" s="547" t="str">
        <f>IF($G597="","",IF(AND($G597&gt;=30,$AT$3&lt;=EA$7),ROUND(EA597*($AP$3+#REF!),-1),""))</f>
        <v/>
      </c>
      <c r="EC597" s="547"/>
      <c r="ED597" s="436"/>
      <c r="EE597" s="394"/>
    </row>
    <row r="598" spans="1:135" ht="9.75" customHeight="1">
      <c r="A598" s="321" t="str">
        <f t="shared" si="138"/>
        <v/>
      </c>
      <c r="B598" s="567">
        <f>(ii!$D$13*12+V598)+1</f>
        <v>492</v>
      </c>
      <c r="C598" s="337">
        <f t="shared" si="142"/>
        <v>60326</v>
      </c>
      <c r="D598" s="484">
        <f t="shared" si="131"/>
        <v>2065</v>
      </c>
      <c r="E598" s="484">
        <f t="shared" si="143"/>
        <v>0.16666666666666666</v>
      </c>
      <c r="F598" s="484">
        <f t="shared" si="132"/>
        <v>2065.1666666666665</v>
      </c>
      <c r="G598" s="485" t="str">
        <f>IF(OR(C598&lt;$I$2,C598&gt;$J$3),"",(ii!$D$13*12+V598+1)/12)</f>
        <v/>
      </c>
      <c r="H598" s="486"/>
      <c r="I598" s="486"/>
      <c r="J598" s="487"/>
      <c r="K598" s="488"/>
      <c r="L598" s="548"/>
      <c r="M598" s="489" t="str">
        <f t="shared" si="133"/>
        <v/>
      </c>
      <c r="N598" s="490" t="s">
        <v>621</v>
      </c>
      <c r="O598" s="490" t="str">
        <f t="shared" si="140"/>
        <v/>
      </c>
      <c r="P598" s="491"/>
      <c r="Q598" s="491"/>
      <c r="R598" s="491" t="str">
        <f t="shared" si="141"/>
        <v/>
      </c>
      <c r="S598" s="528" t="str">
        <f t="shared" si="139"/>
        <v/>
      </c>
      <c r="T598" s="528" t="str">
        <f t="shared" si="137"/>
        <v/>
      </c>
      <c r="U598" s="493" t="str">
        <f>IF(H598="","",#REF!*12+#REF!+#REF!*12+#REF!)</f>
        <v/>
      </c>
      <c r="V598" s="338">
        <f>IF(ii!$J$3&gt;gg!C598,"",IF(AND((YEAR(C598)=YEAR($I$2)),MONTH(C598)=MONTH($I$2)),ii!$B$14*12+ii!$C$14+ii!$B$15*12+ii!$C$15-1,V597+1))</f>
        <v>491</v>
      </c>
      <c r="W598" s="339">
        <f t="shared" si="144"/>
        <v>40.916666666666664</v>
      </c>
      <c r="X598" s="494" t="s">
        <v>621</v>
      </c>
      <c r="Y598" s="495" t="s">
        <v>621</v>
      </c>
      <c r="Z598" s="496"/>
      <c r="AA598" s="497"/>
      <c r="AB598" s="498" t="str">
        <f t="shared" si="136"/>
        <v/>
      </c>
      <c r="AC598" s="484" t="str">
        <f t="shared" si="134"/>
        <v/>
      </c>
      <c r="AD598" s="495" t="str">
        <f t="shared" si="135"/>
        <v/>
      </c>
      <c r="AE598" s="499" t="s">
        <v>621</v>
      </c>
      <c r="AF598" s="500" t="s">
        <v>621</v>
      </c>
      <c r="AG598" s="556" t="s">
        <v>621</v>
      </c>
      <c r="AH598" s="503" t="str">
        <f>IF($G598="","",IF(AND($G598&gt;=30,$AT$3&lt;=AG$7),ROUND(AG598*($AP$3+#REF!),-1),""))</f>
        <v/>
      </c>
      <c r="AI598" s="506" t="s">
        <v>621</v>
      </c>
      <c r="AJ598" s="503" t="str">
        <f>IF($G598="","",IF(AND($G598&gt;=30,$AT$3&lt;=AI$7),ROUND(AI598*($AP$3+#REF!),-1),""))</f>
        <v/>
      </c>
      <c r="AK598" s="506" t="s">
        <v>621</v>
      </c>
      <c r="AL598" s="503" t="str">
        <f>IF($G598="","",IF(AND($G598&gt;=30,$AT$3&lt;=AK$7),ROUND(AK598*($AP$3+#REF!),-1),""))</f>
        <v/>
      </c>
      <c r="AM598" s="506" t="s">
        <v>621</v>
      </c>
      <c r="AN598" s="503" t="str">
        <f>IF($G598="","",IF(AND($G598&gt;=30,$AT$3&lt;=AM$7),ROUND(AM598*($AP$3+#REF!),-1),""))</f>
        <v/>
      </c>
      <c r="AO598" s="503" t="e">
        <f>IF(AO597="","",AO597*1.001)</f>
        <v>#REF!</v>
      </c>
      <c r="AP598" s="503" t="str">
        <f>IF($G598="","",IF(AND($G598&gt;=30,$AT$3&lt;=AO$7),ROUND(AO598*($AP$3+#REF!),-1),""))</f>
        <v/>
      </c>
      <c r="AQ598" s="503" t="s">
        <v>621</v>
      </c>
      <c r="AR598" s="503" t="str">
        <f>IF($G598="","",IF(AND($G598&gt;=30,$AT$3&lt;=AQ$7),ROUND(AQ598*($AP$3+#REF!),-1),""))</f>
        <v/>
      </c>
      <c r="AS598" s="503" t="s">
        <v>621</v>
      </c>
      <c r="AT598" s="503" t="str">
        <f>IF($G598="","",IF(AND($G598&gt;=30,$AT$3&lt;=AS$7),ROUND(AS598*($AP$3+#REF!),-1),""))</f>
        <v/>
      </c>
      <c r="AU598" s="503" t="s">
        <v>621</v>
      </c>
      <c r="AV598" s="503" t="str">
        <f>IF($G598="","",IF(AND($G598&gt;=30,$AT$3&lt;=AU$7),ROUND(AU598*($AP$3+#REF!),-1),""))</f>
        <v/>
      </c>
      <c r="AW598" s="503" t="s">
        <v>621</v>
      </c>
      <c r="AX598" s="503" t="str">
        <f>IF($G598="","",IF(AND($G598&gt;=30,$AT$3&lt;=AW$7),ROUND(AW598*($AP$3+#REF!),-1),""))</f>
        <v/>
      </c>
      <c r="AY598" s="503" t="s">
        <v>621</v>
      </c>
      <c r="AZ598" s="503" t="str">
        <f>IF($G598="","",IF(AND($G598&gt;=30,$AT$3&lt;=AY$7),ROUND(AY598*($AP$3+#REF!),-1),""))</f>
        <v/>
      </c>
      <c r="BA598" s="503" t="s">
        <v>621</v>
      </c>
      <c r="BB598" s="503" t="str">
        <f>IF($G598="","",IF(AND($G598&gt;=30,$AT$3&lt;=BA$7),ROUND(BA598*($AP$3+#REF!),-1),""))</f>
        <v/>
      </c>
      <c r="BC598" s="503" t="s">
        <v>621</v>
      </c>
      <c r="BD598" s="503" t="str">
        <f>IF($G598="","",IF(AND($G598&gt;=30,$AT$3&lt;=BC$7),ROUND(BC598*($AP$3+#REF!),-1),""))</f>
        <v/>
      </c>
      <c r="BE598" s="503" t="s">
        <v>621</v>
      </c>
      <c r="BF598" s="503" t="str">
        <f>IF($G598="","",IF(AND($G598&gt;=30,$AT$3&lt;=BE$7),ROUND(BE598*($AP$3+#REF!),-1),""))</f>
        <v/>
      </c>
      <c r="BG598" s="503" t="s">
        <v>621</v>
      </c>
      <c r="BH598" s="503" t="str">
        <f>IF($G598="","",IF(AND($G598&gt;=30,$AT$3&lt;=BG$7),ROUND(BG598*($AP$3+#REF!),-1),""))</f>
        <v/>
      </c>
      <c r="BI598" s="503" t="s">
        <v>621</v>
      </c>
      <c r="BJ598" s="503" t="str">
        <f>IF($G598="","",IF(AND($G598&gt;=30,$AT$3&lt;=BI$7),ROUND(BI598*($AP$3+#REF!),-1),""))</f>
        <v/>
      </c>
      <c r="BK598" s="503" t="s">
        <v>621</v>
      </c>
      <c r="BL598" s="503" t="str">
        <f>IF($G598="","",IF(AND($G598&gt;=30,$AT$3&lt;=BK$7),ROUND(BK598*($AP$3+#REF!),-1),""))</f>
        <v/>
      </c>
      <c r="BM598" s="503" t="s">
        <v>621</v>
      </c>
      <c r="BN598" s="503" t="str">
        <f>IF($G598="","",IF(AND($G598&gt;=30,$AT$3&lt;=BM$7),ROUND(BM598*($AP$3+#REF!),-1),""))</f>
        <v/>
      </c>
      <c r="BO598" s="503" t="s">
        <v>621</v>
      </c>
      <c r="BP598" s="503" t="str">
        <f>IF($G598="","",IF(AND($G598&gt;=30,$AT$3&lt;=BO$7),ROUND(BO598*($AP$3+#REF!),-1),""))</f>
        <v/>
      </c>
      <c r="BQ598" s="503" t="s">
        <v>621</v>
      </c>
      <c r="BR598" s="503" t="str">
        <f>IF($G598="","",IF(AND($G598&gt;=30,$AT$3&lt;=BQ$7),ROUND(BQ598*($AP$3+#REF!),-1),""))</f>
        <v/>
      </c>
      <c r="BS598" s="503" t="s">
        <v>621</v>
      </c>
      <c r="BT598" s="503" t="str">
        <f>IF($G598="","",IF(AND($G598&gt;=30,$AT$3&lt;=BS$7),ROUND(BS598*($AP$3+#REF!),-1),""))</f>
        <v/>
      </c>
      <c r="BU598" s="503" t="s">
        <v>621</v>
      </c>
      <c r="BV598" s="503" t="str">
        <f>IF($G598="","",IF(AND($G598&gt;=30,$AT$3&lt;=BU$7),ROUND(BU598*($AP$3+#REF!),-1),""))</f>
        <v/>
      </c>
      <c r="BW598" s="503" t="s">
        <v>621</v>
      </c>
      <c r="BX598" s="503" t="str">
        <f>IF($G598="","",IF(AND($G598&gt;=30,$AT$3&lt;=BW$7),ROUND(BW598*($AP$3+#REF!),-1),""))</f>
        <v/>
      </c>
      <c r="BY598" s="503" t="s">
        <v>621</v>
      </c>
      <c r="BZ598" s="503" t="str">
        <f>IF($G598="","",IF(AND($G598&gt;=30,$AT$3&lt;=BY$7),ROUND(BY598*($AP$3+#REF!),-1),""))</f>
        <v/>
      </c>
      <c r="CA598" s="503" t="s">
        <v>621</v>
      </c>
      <c r="CB598" s="503" t="str">
        <f>IF($G598="","",IF(AND($G598&gt;=30,$AT$3&lt;=CA$7),ROUND(CA598*($AP$3+#REF!),-1),""))</f>
        <v/>
      </c>
      <c r="CC598" s="503" t="s">
        <v>621</v>
      </c>
      <c r="CD598" s="503" t="str">
        <f>IF($G598="","",IF(AND($G598&gt;=30,$AT$3&lt;=CC$7),ROUND(CC598*($AP$3+#REF!),-1),""))</f>
        <v/>
      </c>
      <c r="CE598" s="503" t="s">
        <v>621</v>
      </c>
      <c r="CF598" s="503" t="str">
        <f>IF($G598="","",IF(AND($G598&gt;=30,$AT$3&lt;=CE$7),ROUND(CE598*($AP$3+#REF!),-1),""))</f>
        <v/>
      </c>
      <c r="CG598" s="503" t="s">
        <v>621</v>
      </c>
      <c r="CH598" s="503" t="str">
        <f>IF($G598="","",IF(AND($G598&gt;=30,$AT$3&lt;=CG$7),ROUND(CG598*($AP$3+#REF!),-1),""))</f>
        <v/>
      </c>
      <c r="CI598" s="503" t="s">
        <v>621</v>
      </c>
      <c r="CJ598" s="503" t="str">
        <f>IF($G598="","",IF(AND($G598&gt;=30,$AT$3&lt;=CI$7),ROUND(CI598*($AP$3+#REF!),-1),""))</f>
        <v/>
      </c>
      <c r="CK598" s="503" t="s">
        <v>621</v>
      </c>
      <c r="CL598" s="503" t="str">
        <f>IF($G598="","",IF(AND($G598&gt;=30,$AT$3&lt;=CK$7),ROUND(CK598*($AP$3+#REF!),-1),""))</f>
        <v/>
      </c>
      <c r="CM598" s="503" t="s">
        <v>621</v>
      </c>
      <c r="CN598" s="503" t="str">
        <f>IF($G598="","",IF(AND($G598&gt;=30,$AT$3&lt;=CM$7),ROUND(CM598*($AP$3+#REF!),-1),""))</f>
        <v/>
      </c>
      <c r="CO598" s="503" t="s">
        <v>621</v>
      </c>
      <c r="CP598" s="503" t="str">
        <f>IF($G598="","",IF(AND($G598&gt;=30,$AT$3&lt;=CO$7),ROUND(CO598*($AP$3+#REF!),-1),""))</f>
        <v/>
      </c>
      <c r="CQ598" s="503" t="s">
        <v>621</v>
      </c>
      <c r="CR598" s="503" t="str">
        <f>IF($G598="","",IF(AND($G598&gt;=30,$AT$3&lt;=CQ$7),ROUND(CQ598*($AP$3+#REF!),-1),""))</f>
        <v/>
      </c>
      <c r="CS598" s="503" t="s">
        <v>621</v>
      </c>
      <c r="CT598" s="503" t="str">
        <f>IF($G598="","",IF(AND($G598&gt;=30,$AT$3&lt;=CS$7),ROUND(CS598*($AP$3+#REF!),-1),""))</f>
        <v/>
      </c>
      <c r="CU598" s="503" t="s">
        <v>621</v>
      </c>
      <c r="CV598" s="503" t="str">
        <f>IF($G598="","",IF(AND($G598&gt;=30,$AT$3&lt;=CU$7),ROUND(CU598*($AP$3+#REF!),-1),""))</f>
        <v/>
      </c>
      <c r="CW598" s="503" t="s">
        <v>621</v>
      </c>
      <c r="CX598" s="503" t="str">
        <f>IF($G598="","",IF(AND($G598&gt;=30,$AT$3&lt;=CW$7),ROUND(CW598*($AP$3+#REF!),-1),""))</f>
        <v/>
      </c>
      <c r="CY598" s="503" t="s">
        <v>621</v>
      </c>
      <c r="CZ598" s="503" t="str">
        <f>IF($G598="","",IF(AND($G598&gt;=30,$AT$3&lt;=CY$7),ROUND(CY598*($AP$3+#REF!),-1),""))</f>
        <v/>
      </c>
      <c r="DA598" s="503" t="s">
        <v>621</v>
      </c>
      <c r="DB598" s="503" t="str">
        <f>IF($G598="","",IF(AND($G598&gt;=30,$AT$3&lt;=DA$7),ROUND(DA598*($AP$3+#REF!),-1),""))</f>
        <v/>
      </c>
      <c r="DC598" s="503" t="s">
        <v>621</v>
      </c>
      <c r="DD598" s="503" t="str">
        <f>IF($G598="","",IF(AND($G598&gt;=30,$AT$3&lt;=DC$7),ROUND(DC598*($AP$3+#REF!),-1),""))</f>
        <v/>
      </c>
      <c r="DE598" s="503" t="s">
        <v>621</v>
      </c>
      <c r="DF598" s="503" t="str">
        <f>IF($G598="","",IF(AND($G598&gt;=30,$AT$3&lt;=DE$7),ROUND(DE598*($AP$3+#REF!),-1),""))</f>
        <v/>
      </c>
      <c r="DG598" s="503" t="s">
        <v>621</v>
      </c>
      <c r="DH598" s="503" t="str">
        <f>IF($G598="","",IF(AND($G598&gt;=30,$AT$3&lt;=DG$7),ROUND(DG598*($AP$3+#REF!),-1),""))</f>
        <v/>
      </c>
      <c r="DI598" s="503" t="s">
        <v>621</v>
      </c>
      <c r="DJ598" s="503" t="str">
        <f>IF($G598="","",IF(AND($G598&gt;=30,$AT$3&lt;=DI$7),ROUND(DI598*($AP$3+#REF!),-1),""))</f>
        <v/>
      </c>
      <c r="DK598" s="503" t="s">
        <v>621</v>
      </c>
      <c r="DL598" s="503" t="str">
        <f>IF($G598="","",IF(AND($G598&gt;=30,$AT$3&lt;=DK$7),ROUND(DK598*($AP$3+#REF!),-1),""))</f>
        <v/>
      </c>
      <c r="DM598" s="503" t="s">
        <v>621</v>
      </c>
      <c r="DN598" s="503" t="str">
        <f>IF($G598="","",IF(AND($G598&gt;=30,$AT$3&lt;=DM$7),ROUND(DM598*($AP$3+#REF!),-1),""))</f>
        <v/>
      </c>
      <c r="DO598" s="503" t="s">
        <v>621</v>
      </c>
      <c r="DP598" s="503" t="str">
        <f>IF($G598="","",IF(AND($G598&gt;=30,$AT$3&lt;=DO$7),ROUND(DO598*($AP$3+#REF!),-1),""))</f>
        <v/>
      </c>
      <c r="DQ598" s="503" t="s">
        <v>621</v>
      </c>
      <c r="DR598" s="503" t="str">
        <f>IF($G598="","",IF(AND($G598&gt;=30,$AT$3&lt;=DQ$7),ROUND(DQ598*($AP$3+#REF!),-1),""))</f>
        <v/>
      </c>
      <c r="DS598" s="503" t="s">
        <v>621</v>
      </c>
      <c r="DT598" s="503" t="str">
        <f>IF($G598="","",IF(AND($G598&gt;=30,$AT$3&lt;=DS$7),ROUND(DS598*($AP$3+#REF!),-1),""))</f>
        <v/>
      </c>
      <c r="DU598" s="503" t="s">
        <v>621</v>
      </c>
      <c r="DV598" s="503" t="str">
        <f>IF($G598="","",IF(AND($G598&gt;=30,$AT$3&lt;=DU$7),ROUND(DU598*($AP$3+#REF!),-1),""))</f>
        <v/>
      </c>
      <c r="DW598" s="503" t="s">
        <v>621</v>
      </c>
      <c r="DX598" s="503" t="str">
        <f>IF($G598="","",IF(AND($G598&gt;=30,$AT$3&lt;=DW$7),ROUND(DW598*($AP$3+#REF!),-1),""))</f>
        <v/>
      </c>
      <c r="DY598" s="503" t="s">
        <v>621</v>
      </c>
      <c r="DZ598" s="503" t="str">
        <f>IF($G598="","",IF(AND($G598&gt;=30,$AT$3&lt;=DY$7),ROUND(DY598*($AP$3+#REF!),-1),""))</f>
        <v/>
      </c>
      <c r="EA598" s="517" t="e">
        <v>#REF!</v>
      </c>
      <c r="EB598" s="503" t="str">
        <f>IF($G598="","",IF(AND($G598&gt;=30,$AT$3&lt;=EA$7),ROUND(EA598*($AP$3+#REF!),-1),""))</f>
        <v/>
      </c>
      <c r="EC598" s="436"/>
      <c r="ED598" s="436"/>
      <c r="EE598" s="394"/>
    </row>
    <row r="599" spans="1:135" ht="9.75" customHeight="1">
      <c r="A599" s="321" t="str">
        <f t="shared" si="138"/>
        <v/>
      </c>
      <c r="B599" s="567">
        <f>(ii!$D$13*12+V599)+1</f>
        <v>493</v>
      </c>
      <c r="C599" s="337">
        <f t="shared" si="142"/>
        <v>60357</v>
      </c>
      <c r="D599" s="484">
        <f t="shared" si="131"/>
        <v>2065</v>
      </c>
      <c r="E599" s="484">
        <f t="shared" si="143"/>
        <v>0.25</v>
      </c>
      <c r="F599" s="484">
        <f t="shared" si="132"/>
        <v>2065.25</v>
      </c>
      <c r="G599" s="485" t="str">
        <f>IF(OR(C599&lt;$I$2,C599&gt;$J$3),"",(ii!$D$13*12+V599+1)/12)</f>
        <v/>
      </c>
      <c r="H599" s="486"/>
      <c r="I599" s="486"/>
      <c r="J599" s="487"/>
      <c r="K599" s="488"/>
      <c r="L599" s="548"/>
      <c r="M599" s="489" t="str">
        <f t="shared" si="133"/>
        <v/>
      </c>
      <c r="N599" s="490" t="s">
        <v>621</v>
      </c>
      <c r="O599" s="490" t="str">
        <f t="shared" si="140"/>
        <v/>
      </c>
      <c r="P599" s="491"/>
      <c r="Q599" s="491"/>
      <c r="R599" s="491" t="str">
        <f t="shared" si="141"/>
        <v/>
      </c>
      <c r="S599" s="528" t="str">
        <f t="shared" si="139"/>
        <v/>
      </c>
      <c r="T599" s="528" t="str">
        <f t="shared" si="137"/>
        <v/>
      </c>
      <c r="U599" s="493" t="str">
        <f>IF(H599="","",#REF!*12+#REF!+#REF!*12+#REF!)</f>
        <v/>
      </c>
      <c r="V599" s="338">
        <f>IF(ii!$J$3&gt;gg!C599,"",IF(AND((YEAR(C599)=YEAR($I$2)),MONTH(C599)=MONTH($I$2)),ii!$B$14*12+ii!$C$14+ii!$B$15*12+ii!$C$15-1,V598+1))</f>
        <v>492</v>
      </c>
      <c r="W599" s="339">
        <f t="shared" si="144"/>
        <v>41</v>
      </c>
      <c r="X599" s="494" t="s">
        <v>621</v>
      </c>
      <c r="Y599" s="495" t="s">
        <v>621</v>
      </c>
      <c r="Z599" s="496"/>
      <c r="AA599" s="497"/>
      <c r="AB599" s="498" t="str">
        <f t="shared" si="136"/>
        <v/>
      </c>
      <c r="AC599" s="484" t="str">
        <f t="shared" si="134"/>
        <v/>
      </c>
      <c r="AD599" s="495" t="str">
        <f t="shared" si="135"/>
        <v/>
      </c>
      <c r="AE599" s="499" t="s">
        <v>621</v>
      </c>
      <c r="AF599" s="500" t="s">
        <v>621</v>
      </c>
      <c r="AG599" s="556" t="s">
        <v>621</v>
      </c>
      <c r="AH599" s="503" t="str">
        <f>IF($G599="","",IF(AND($G599&gt;=30,$AT$3&lt;=AG$7),ROUND(AG599*($AP$3+#REF!),-1),""))</f>
        <v/>
      </c>
      <c r="AI599" s="506" t="s">
        <v>621</v>
      </c>
      <c r="AJ599" s="503" t="str">
        <f>IF($G599="","",IF(AND($G599&gt;=30,$AT$3&lt;=AI$7),ROUND(AI599*($AP$3+#REF!),-1),""))</f>
        <v/>
      </c>
      <c r="AK599" s="506" t="s">
        <v>621</v>
      </c>
      <c r="AL599" s="503" t="str">
        <f>IF($G599="","",IF(AND($G599&gt;=30,$AT$3&lt;=AK$7),ROUND(AK599*($AP$3+#REF!),-1),""))</f>
        <v/>
      </c>
      <c r="AM599" s="506" t="s">
        <v>621</v>
      </c>
      <c r="AN599" s="503" t="str">
        <f>IF($G599="","",IF(AND($G599&gt;=30,$AT$3&lt;=AM$7),ROUND(AM599*($AP$3+#REF!),-1),""))</f>
        <v/>
      </c>
      <c r="AO599" s="503" t="e">
        <v>#REF!</v>
      </c>
      <c r="AP599" s="503" t="str">
        <f>IF($G599="","",IF(AND($G599&gt;=30,$AT$3&lt;=AO$7),ROUND(AO599*($AP$3+#REF!),-1),""))</f>
        <v/>
      </c>
      <c r="AQ599" s="503" t="s">
        <v>621</v>
      </c>
      <c r="AR599" s="503" t="str">
        <f>IF($G599="","",IF(AND($G599&gt;=30,$AT$3&lt;=AQ$7),ROUND(AQ599*($AP$3+#REF!),-1),""))</f>
        <v/>
      </c>
      <c r="AS599" s="503" t="s">
        <v>621</v>
      </c>
      <c r="AT599" s="503" t="str">
        <f>IF($G599="","",IF(AND($G599&gt;=30,$AT$3&lt;=AS$7),ROUND(AS599*($AP$3+#REF!),-1),""))</f>
        <v/>
      </c>
      <c r="AU599" s="503" t="s">
        <v>621</v>
      </c>
      <c r="AV599" s="503" t="str">
        <f>IF($G599="","",IF(AND($G599&gt;=30,$AT$3&lt;=AU$7),ROUND(AU599*($AP$3+#REF!),-1),""))</f>
        <v/>
      </c>
      <c r="AW599" s="503" t="s">
        <v>621</v>
      </c>
      <c r="AX599" s="503" t="str">
        <f>IF($G599="","",IF(AND($G599&gt;=30,$AT$3&lt;=AW$7),ROUND(AW599*($AP$3+#REF!),-1),""))</f>
        <v/>
      </c>
      <c r="AY599" s="503" t="s">
        <v>621</v>
      </c>
      <c r="AZ599" s="503" t="str">
        <f>IF($G599="","",IF(AND($G599&gt;=30,$AT$3&lt;=AY$7),ROUND(AY599*($AP$3+#REF!),-1),""))</f>
        <v/>
      </c>
      <c r="BA599" s="503" t="s">
        <v>621</v>
      </c>
      <c r="BB599" s="503" t="str">
        <f>IF($G599="","",IF(AND($G599&gt;=30,$AT$3&lt;=BA$7),ROUND(BA599*($AP$3+#REF!),-1),""))</f>
        <v/>
      </c>
      <c r="BC599" s="503" t="s">
        <v>621</v>
      </c>
      <c r="BD599" s="503" t="str">
        <f>IF($G599="","",IF(AND($G599&gt;=30,$AT$3&lt;=BC$7),ROUND(BC599*($AP$3+#REF!),-1),""))</f>
        <v/>
      </c>
      <c r="BE599" s="503" t="s">
        <v>621</v>
      </c>
      <c r="BF599" s="503" t="str">
        <f>IF($G599="","",IF(AND($G599&gt;=30,$AT$3&lt;=BE$7),ROUND(BE599*($AP$3+#REF!),-1),""))</f>
        <v/>
      </c>
      <c r="BG599" s="503" t="s">
        <v>621</v>
      </c>
      <c r="BH599" s="503" t="str">
        <f>IF($G599="","",IF(AND($G599&gt;=30,$AT$3&lt;=BG$7),ROUND(BG599*($AP$3+#REF!),-1),""))</f>
        <v/>
      </c>
      <c r="BI599" s="503" t="s">
        <v>621</v>
      </c>
      <c r="BJ599" s="503" t="str">
        <f>IF($G599="","",IF(AND($G599&gt;=30,$AT$3&lt;=BI$7),ROUND(BI599*($AP$3+#REF!),-1),""))</f>
        <v/>
      </c>
      <c r="BK599" s="503" t="s">
        <v>621</v>
      </c>
      <c r="BL599" s="503" t="str">
        <f>IF($G599="","",IF(AND($G599&gt;=30,$AT$3&lt;=BK$7),ROUND(BK599*($AP$3+#REF!),-1),""))</f>
        <v/>
      </c>
      <c r="BM599" s="503" t="s">
        <v>621</v>
      </c>
      <c r="BN599" s="503" t="str">
        <f>IF($G599="","",IF(AND($G599&gt;=30,$AT$3&lt;=BM$7),ROUND(BM599*($AP$3+#REF!),-1),""))</f>
        <v/>
      </c>
      <c r="BO599" s="503" t="s">
        <v>621</v>
      </c>
      <c r="BP599" s="503" t="str">
        <f>IF($G599="","",IF(AND($G599&gt;=30,$AT$3&lt;=BO$7),ROUND(BO599*($AP$3+#REF!),-1),""))</f>
        <v/>
      </c>
      <c r="BQ599" s="503" t="s">
        <v>621</v>
      </c>
      <c r="BR599" s="503" t="str">
        <f>IF($G599="","",IF(AND($G599&gt;=30,$AT$3&lt;=BQ$7),ROUND(BQ599*($AP$3+#REF!),-1),""))</f>
        <v/>
      </c>
      <c r="BS599" s="503" t="s">
        <v>621</v>
      </c>
      <c r="BT599" s="503" t="str">
        <f>IF($G599="","",IF(AND($G599&gt;=30,$AT$3&lt;=BS$7),ROUND(BS599*($AP$3+#REF!),-1),""))</f>
        <v/>
      </c>
      <c r="BU599" s="503" t="s">
        <v>621</v>
      </c>
      <c r="BV599" s="503" t="str">
        <f>IF($G599="","",IF(AND($G599&gt;=30,$AT$3&lt;=BU$7),ROUND(BU599*($AP$3+#REF!),-1),""))</f>
        <v/>
      </c>
      <c r="BW599" s="503" t="s">
        <v>621</v>
      </c>
      <c r="BX599" s="503" t="str">
        <f>IF($G599="","",IF(AND($G599&gt;=30,$AT$3&lt;=BW$7),ROUND(BW599*($AP$3+#REF!),-1),""))</f>
        <v/>
      </c>
      <c r="BY599" s="503" t="s">
        <v>621</v>
      </c>
      <c r="BZ599" s="503" t="str">
        <f>IF($G599="","",IF(AND($G599&gt;=30,$AT$3&lt;=BY$7),ROUND(BY599*($AP$3+#REF!),-1),""))</f>
        <v/>
      </c>
      <c r="CA599" s="503" t="s">
        <v>621</v>
      </c>
      <c r="CB599" s="503" t="str">
        <f>IF($G599="","",IF(AND($G599&gt;=30,$AT$3&lt;=CA$7),ROUND(CA599*($AP$3+#REF!),-1),""))</f>
        <v/>
      </c>
      <c r="CC599" s="503" t="s">
        <v>621</v>
      </c>
      <c r="CD599" s="503" t="str">
        <f>IF($G599="","",IF(AND($G599&gt;=30,$AT$3&lt;=CC$7),ROUND(CC599*($AP$3+#REF!),-1),""))</f>
        <v/>
      </c>
      <c r="CE599" s="503" t="s">
        <v>621</v>
      </c>
      <c r="CF599" s="503" t="str">
        <f>IF($G599="","",IF(AND($G599&gt;=30,$AT$3&lt;=CE$7),ROUND(CE599*($AP$3+#REF!),-1),""))</f>
        <v/>
      </c>
      <c r="CG599" s="503" t="s">
        <v>621</v>
      </c>
      <c r="CH599" s="503" t="str">
        <f>IF($G599="","",IF(AND($G599&gt;=30,$AT$3&lt;=CG$7),ROUND(CG599*($AP$3+#REF!),-1),""))</f>
        <v/>
      </c>
      <c r="CI599" s="503" t="s">
        <v>621</v>
      </c>
      <c r="CJ599" s="503" t="str">
        <f>IF($G599="","",IF(AND($G599&gt;=30,$AT$3&lt;=CI$7),ROUND(CI599*($AP$3+#REF!),-1),""))</f>
        <v/>
      </c>
      <c r="CK599" s="503" t="s">
        <v>621</v>
      </c>
      <c r="CL599" s="503" t="str">
        <f>IF($G599="","",IF(AND($G599&gt;=30,$AT$3&lt;=CK$7),ROUND(CK599*($AP$3+#REF!),-1),""))</f>
        <v/>
      </c>
      <c r="CM599" s="503" t="s">
        <v>621</v>
      </c>
      <c r="CN599" s="503" t="str">
        <f>IF($G599="","",IF(AND($G599&gt;=30,$AT$3&lt;=CM$7),ROUND(CM599*($AP$3+#REF!),-1),""))</f>
        <v/>
      </c>
      <c r="CO599" s="503" t="s">
        <v>621</v>
      </c>
      <c r="CP599" s="503" t="str">
        <f>IF($G599="","",IF(AND($G599&gt;=30,$AT$3&lt;=CO$7),ROUND(CO599*($AP$3+#REF!),-1),""))</f>
        <v/>
      </c>
      <c r="CQ599" s="503" t="s">
        <v>621</v>
      </c>
      <c r="CR599" s="503" t="str">
        <f>IF($G599="","",IF(AND($G599&gt;=30,$AT$3&lt;=CQ$7),ROUND(CQ599*($AP$3+#REF!),-1),""))</f>
        <v/>
      </c>
      <c r="CS599" s="503" t="s">
        <v>621</v>
      </c>
      <c r="CT599" s="503" t="str">
        <f>IF($G599="","",IF(AND($G599&gt;=30,$AT$3&lt;=CS$7),ROUND(CS599*($AP$3+#REF!),-1),""))</f>
        <v/>
      </c>
      <c r="CU599" s="503" t="s">
        <v>621</v>
      </c>
      <c r="CV599" s="503" t="str">
        <f>IF($G599="","",IF(AND($G599&gt;=30,$AT$3&lt;=CU$7),ROUND(CU599*($AP$3+#REF!),-1),""))</f>
        <v/>
      </c>
      <c r="CW599" s="503" t="s">
        <v>621</v>
      </c>
      <c r="CX599" s="503" t="str">
        <f>IF($G599="","",IF(AND($G599&gt;=30,$AT$3&lt;=CW$7),ROUND(CW599*($AP$3+#REF!),-1),""))</f>
        <v/>
      </c>
      <c r="CY599" s="503" t="s">
        <v>621</v>
      </c>
      <c r="CZ599" s="503" t="str">
        <f>IF($G599="","",IF(AND($G599&gt;=30,$AT$3&lt;=CY$7),ROUND(CY599*($AP$3+#REF!),-1),""))</f>
        <v/>
      </c>
      <c r="DA599" s="503" t="s">
        <v>621</v>
      </c>
      <c r="DB599" s="503" t="str">
        <f>IF($G599="","",IF(AND($G599&gt;=30,$AT$3&lt;=DA$7),ROUND(DA599*($AP$3+#REF!),-1),""))</f>
        <v/>
      </c>
      <c r="DC599" s="503" t="s">
        <v>621</v>
      </c>
      <c r="DD599" s="503" t="str">
        <f>IF($G599="","",IF(AND($G599&gt;=30,$AT$3&lt;=DC$7),ROUND(DC599*($AP$3+#REF!),-1),""))</f>
        <v/>
      </c>
      <c r="DE599" s="503" t="s">
        <v>621</v>
      </c>
      <c r="DF599" s="503" t="str">
        <f>IF($G599="","",IF(AND($G599&gt;=30,$AT$3&lt;=DE$7),ROUND(DE599*($AP$3+#REF!),-1),""))</f>
        <v/>
      </c>
      <c r="DG599" s="503" t="s">
        <v>621</v>
      </c>
      <c r="DH599" s="503" t="str">
        <f>IF($G599="","",IF(AND($G599&gt;=30,$AT$3&lt;=DG$7),ROUND(DG599*($AP$3+#REF!),-1),""))</f>
        <v/>
      </c>
      <c r="DI599" s="503" t="s">
        <v>621</v>
      </c>
      <c r="DJ599" s="503" t="str">
        <f>IF($G599="","",IF(AND($G599&gt;=30,$AT$3&lt;=DI$7),ROUND(DI599*($AP$3+#REF!),-1),""))</f>
        <v/>
      </c>
      <c r="DK599" s="503" t="s">
        <v>621</v>
      </c>
      <c r="DL599" s="503" t="str">
        <f>IF($G599="","",IF(AND($G599&gt;=30,$AT$3&lt;=DK$7),ROUND(DK599*($AP$3+#REF!),-1),""))</f>
        <v/>
      </c>
      <c r="DM599" s="503" t="s">
        <v>621</v>
      </c>
      <c r="DN599" s="503" t="str">
        <f>IF($G599="","",IF(AND($G599&gt;=30,$AT$3&lt;=DM$7),ROUND(DM599*($AP$3+#REF!),-1),""))</f>
        <v/>
      </c>
      <c r="DO599" s="503" t="s">
        <v>621</v>
      </c>
      <c r="DP599" s="503" t="str">
        <f>IF($G599="","",IF(AND($G599&gt;=30,$AT$3&lt;=DO$7),ROUND(DO599*($AP$3+#REF!),-1),""))</f>
        <v/>
      </c>
      <c r="DQ599" s="503" t="s">
        <v>621</v>
      </c>
      <c r="DR599" s="503" t="str">
        <f>IF($G599="","",IF(AND($G599&gt;=30,$AT$3&lt;=DQ$7),ROUND(DQ599*($AP$3+#REF!),-1),""))</f>
        <v/>
      </c>
      <c r="DS599" s="503" t="s">
        <v>621</v>
      </c>
      <c r="DT599" s="503" t="str">
        <f>IF($G599="","",IF(AND($G599&gt;=30,$AT$3&lt;=DS$7),ROUND(DS599*($AP$3+#REF!),-1),""))</f>
        <v/>
      </c>
      <c r="DU599" s="503" t="s">
        <v>621</v>
      </c>
      <c r="DV599" s="503" t="str">
        <f>IF($G599="","",IF(AND($G599&gt;=30,$AT$3&lt;=DU$7),ROUND(DU599*($AP$3+#REF!),-1),""))</f>
        <v/>
      </c>
      <c r="DW599" s="503" t="s">
        <v>621</v>
      </c>
      <c r="DX599" s="503" t="str">
        <f>IF($G599="","",IF(AND($G599&gt;=30,$AT$3&lt;=DW$7),ROUND(DW599*($AP$3+#REF!),-1),""))</f>
        <v/>
      </c>
      <c r="DY599" s="503" t="s">
        <v>621</v>
      </c>
      <c r="DZ599" s="503" t="str">
        <f>IF($G599="","",IF(AND($G599&gt;=30,$AT$3&lt;=DY$7),ROUND(DY599*($AP$3+#REF!),-1),""))</f>
        <v/>
      </c>
      <c r="EA599" s="517" t="e">
        <v>#REF!</v>
      </c>
      <c r="EB599" s="503" t="str">
        <f>IF($G599="","",IF(AND($G599&gt;=30,$AT$3&lt;=EA$7),ROUND(EA599*($AP$3+#REF!),-1),""))</f>
        <v/>
      </c>
      <c r="EC599" s="436"/>
      <c r="ED599" s="436"/>
      <c r="EE599" s="394"/>
    </row>
    <row r="600" spans="1:135" ht="9.75" customHeight="1">
      <c r="A600" s="321" t="str">
        <f t="shared" si="138"/>
        <v/>
      </c>
      <c r="B600" s="567">
        <f>(ii!$D$13*12+V600)+1</f>
        <v>494</v>
      </c>
      <c r="C600" s="337">
        <f t="shared" si="142"/>
        <v>60387</v>
      </c>
      <c r="D600" s="484">
        <f t="shared" si="131"/>
        <v>2065</v>
      </c>
      <c r="E600" s="484">
        <f t="shared" si="143"/>
        <v>0.33333333333333331</v>
      </c>
      <c r="F600" s="484">
        <f t="shared" si="132"/>
        <v>2065.3333333333335</v>
      </c>
      <c r="G600" s="485" t="str">
        <f>IF(OR(C600&lt;$I$2,C600&gt;$J$3),"",(ii!$D$13*12+V600+1)/12)</f>
        <v/>
      </c>
      <c r="H600" s="486"/>
      <c r="I600" s="486"/>
      <c r="J600" s="487"/>
      <c r="K600" s="488"/>
      <c r="L600" s="548"/>
      <c r="M600" s="489" t="str">
        <f t="shared" si="133"/>
        <v/>
      </c>
      <c r="N600" s="490" t="s">
        <v>621</v>
      </c>
      <c r="O600" s="490" t="str">
        <f t="shared" si="140"/>
        <v/>
      </c>
      <c r="P600" s="491"/>
      <c r="Q600" s="491"/>
      <c r="R600" s="491" t="str">
        <f t="shared" si="141"/>
        <v/>
      </c>
      <c r="S600" s="528" t="str">
        <f t="shared" si="139"/>
        <v/>
      </c>
      <c r="T600" s="528" t="str">
        <f t="shared" si="137"/>
        <v/>
      </c>
      <c r="U600" s="493" t="str">
        <f>IF(H600="","",#REF!*12+#REF!+#REF!*12+#REF!)</f>
        <v/>
      </c>
      <c r="V600" s="338">
        <f>IF(ii!$J$3&gt;gg!C600,"",IF(AND((YEAR(C600)=YEAR($I$2)),MONTH(C600)=MONTH($I$2)),ii!$B$14*12+ii!$C$14+ii!$B$15*12+ii!$C$15-1,V599+1))</f>
        <v>493</v>
      </c>
      <c r="W600" s="339">
        <f t="shared" si="144"/>
        <v>41.083333333333336</v>
      </c>
      <c r="X600" s="494" t="s">
        <v>621</v>
      </c>
      <c r="Y600" s="495" t="s">
        <v>621</v>
      </c>
      <c r="Z600" s="496"/>
      <c r="AA600" s="497"/>
      <c r="AB600" s="498" t="str">
        <f t="shared" si="136"/>
        <v/>
      </c>
      <c r="AC600" s="484" t="str">
        <f t="shared" si="134"/>
        <v/>
      </c>
      <c r="AD600" s="495" t="str">
        <f t="shared" si="135"/>
        <v/>
      </c>
      <c r="AE600" s="499" t="s">
        <v>621</v>
      </c>
      <c r="AF600" s="500" t="s">
        <v>621</v>
      </c>
      <c r="AG600" s="556" t="s">
        <v>621</v>
      </c>
      <c r="AH600" s="503" t="str">
        <f>IF($G600="","",IF(AND($G600&gt;=30,$AT$3&lt;=AG$7),ROUND(AG600*($AP$3+#REF!),-1),""))</f>
        <v/>
      </c>
      <c r="AI600" s="506" t="s">
        <v>621</v>
      </c>
      <c r="AJ600" s="503" t="str">
        <f>IF($G600="","",IF(AND($G600&gt;=30,$AT$3&lt;=AI$7),ROUND(AI600*($AP$3+#REF!),-1),""))</f>
        <v/>
      </c>
      <c r="AK600" s="506" t="s">
        <v>621</v>
      </c>
      <c r="AL600" s="503" t="str">
        <f>IF($G600="","",IF(AND($G600&gt;=30,$AT$3&lt;=AK$7),ROUND(AK600*($AP$3+#REF!),-1),""))</f>
        <v/>
      </c>
      <c r="AM600" s="506" t="s">
        <v>621</v>
      </c>
      <c r="AN600" s="503" t="str">
        <f>IF($G600="","",IF(AND($G600&gt;=30,$AT$3&lt;=AM$7),ROUND(AM600*($AP$3+#REF!),-1),""))</f>
        <v/>
      </c>
      <c r="AO600" s="503" t="e">
        <v>#REF!</v>
      </c>
      <c r="AP600" s="503" t="str">
        <f>IF($G600="","",IF(AND($G600&gt;=30,$AT$3&lt;=AO$7),ROUND(AO600*($AP$3+#REF!),-1),""))</f>
        <v/>
      </c>
      <c r="AQ600" s="503" t="s">
        <v>621</v>
      </c>
      <c r="AR600" s="503" t="str">
        <f>IF($G600="","",IF(AND($G600&gt;=30,$AT$3&lt;=AQ$7),ROUND(AQ600*($AP$3+#REF!),-1),""))</f>
        <v/>
      </c>
      <c r="AS600" s="503" t="s">
        <v>621</v>
      </c>
      <c r="AT600" s="503" t="str">
        <f>IF($G600="","",IF(AND($G600&gt;=30,$AT$3&lt;=AS$7),ROUND(AS600*($AP$3+#REF!),-1),""))</f>
        <v/>
      </c>
      <c r="AU600" s="503" t="s">
        <v>621</v>
      </c>
      <c r="AV600" s="503" t="str">
        <f>IF($G600="","",IF(AND($G600&gt;=30,$AT$3&lt;=AU$7),ROUND(AU600*($AP$3+#REF!),-1),""))</f>
        <v/>
      </c>
      <c r="AW600" s="503" t="s">
        <v>621</v>
      </c>
      <c r="AX600" s="503" t="str">
        <f>IF($G600="","",IF(AND($G600&gt;=30,$AT$3&lt;=AW$7),ROUND(AW600*($AP$3+#REF!),-1),""))</f>
        <v/>
      </c>
      <c r="AY600" s="503" t="s">
        <v>621</v>
      </c>
      <c r="AZ600" s="503" t="str">
        <f>IF($G600="","",IF(AND($G600&gt;=30,$AT$3&lt;=AY$7),ROUND(AY600*($AP$3+#REF!),-1),""))</f>
        <v/>
      </c>
      <c r="BA600" s="503" t="s">
        <v>621</v>
      </c>
      <c r="BB600" s="503" t="str">
        <f>IF($G600="","",IF(AND($G600&gt;=30,$AT$3&lt;=BA$7),ROUND(BA600*($AP$3+#REF!),-1),""))</f>
        <v/>
      </c>
      <c r="BC600" s="503" t="s">
        <v>621</v>
      </c>
      <c r="BD600" s="503" t="str">
        <f>IF($G600="","",IF(AND($G600&gt;=30,$AT$3&lt;=BC$7),ROUND(BC600*($AP$3+#REF!),-1),""))</f>
        <v/>
      </c>
      <c r="BE600" s="503" t="s">
        <v>621</v>
      </c>
      <c r="BF600" s="503" t="str">
        <f>IF($G600="","",IF(AND($G600&gt;=30,$AT$3&lt;=BE$7),ROUND(BE600*($AP$3+#REF!),-1),""))</f>
        <v/>
      </c>
      <c r="BG600" s="503" t="s">
        <v>621</v>
      </c>
      <c r="BH600" s="503" t="str">
        <f>IF($G600="","",IF(AND($G600&gt;=30,$AT$3&lt;=BG$7),ROUND(BG600*($AP$3+#REF!),-1),""))</f>
        <v/>
      </c>
      <c r="BI600" s="503" t="s">
        <v>621</v>
      </c>
      <c r="BJ600" s="503" t="str">
        <f>IF($G600="","",IF(AND($G600&gt;=30,$AT$3&lt;=BI$7),ROUND(BI600*($AP$3+#REF!),-1),""))</f>
        <v/>
      </c>
      <c r="BK600" s="503" t="s">
        <v>621</v>
      </c>
      <c r="BL600" s="503" t="str">
        <f>IF($G600="","",IF(AND($G600&gt;=30,$AT$3&lt;=BK$7),ROUND(BK600*($AP$3+#REF!),-1),""))</f>
        <v/>
      </c>
      <c r="BM600" s="503" t="s">
        <v>621</v>
      </c>
      <c r="BN600" s="503" t="str">
        <f>IF($G600="","",IF(AND($G600&gt;=30,$AT$3&lt;=BM$7),ROUND(BM600*($AP$3+#REF!),-1),""))</f>
        <v/>
      </c>
      <c r="BO600" s="503" t="s">
        <v>621</v>
      </c>
      <c r="BP600" s="503" t="str">
        <f>IF($G600="","",IF(AND($G600&gt;=30,$AT$3&lt;=BO$7),ROUND(BO600*($AP$3+#REF!),-1),""))</f>
        <v/>
      </c>
      <c r="BQ600" s="503" t="s">
        <v>621</v>
      </c>
      <c r="BR600" s="503" t="str">
        <f>IF($G600="","",IF(AND($G600&gt;=30,$AT$3&lt;=BQ$7),ROUND(BQ600*($AP$3+#REF!),-1),""))</f>
        <v/>
      </c>
      <c r="BS600" s="503" t="s">
        <v>621</v>
      </c>
      <c r="BT600" s="503" t="str">
        <f>IF($G600="","",IF(AND($G600&gt;=30,$AT$3&lt;=BS$7),ROUND(BS600*($AP$3+#REF!),-1),""))</f>
        <v/>
      </c>
      <c r="BU600" s="503" t="s">
        <v>621</v>
      </c>
      <c r="BV600" s="503" t="str">
        <f>IF($G600="","",IF(AND($G600&gt;=30,$AT$3&lt;=BU$7),ROUND(BU600*($AP$3+#REF!),-1),""))</f>
        <v/>
      </c>
      <c r="BW600" s="503" t="s">
        <v>621</v>
      </c>
      <c r="BX600" s="503" t="str">
        <f>IF($G600="","",IF(AND($G600&gt;=30,$AT$3&lt;=BW$7),ROUND(BW600*($AP$3+#REF!),-1),""))</f>
        <v/>
      </c>
      <c r="BY600" s="503" t="s">
        <v>621</v>
      </c>
      <c r="BZ600" s="503" t="str">
        <f>IF($G600="","",IF(AND($G600&gt;=30,$AT$3&lt;=BY$7),ROUND(BY600*($AP$3+#REF!),-1),""))</f>
        <v/>
      </c>
      <c r="CA600" s="503" t="s">
        <v>621</v>
      </c>
      <c r="CB600" s="503" t="str">
        <f>IF($G600="","",IF(AND($G600&gt;=30,$AT$3&lt;=CA$7),ROUND(CA600*($AP$3+#REF!),-1),""))</f>
        <v/>
      </c>
      <c r="CC600" s="503" t="s">
        <v>621</v>
      </c>
      <c r="CD600" s="503" t="str">
        <f>IF($G600="","",IF(AND($G600&gt;=30,$AT$3&lt;=CC$7),ROUND(CC600*($AP$3+#REF!),-1),""))</f>
        <v/>
      </c>
      <c r="CE600" s="503" t="s">
        <v>621</v>
      </c>
      <c r="CF600" s="503" t="str">
        <f>IF($G600="","",IF(AND($G600&gt;=30,$AT$3&lt;=CE$7),ROUND(CE600*($AP$3+#REF!),-1),""))</f>
        <v/>
      </c>
      <c r="CG600" s="503" t="s">
        <v>621</v>
      </c>
      <c r="CH600" s="503" t="str">
        <f>IF($G600="","",IF(AND($G600&gt;=30,$AT$3&lt;=CG$7),ROUND(CG600*($AP$3+#REF!),-1),""))</f>
        <v/>
      </c>
      <c r="CI600" s="503" t="s">
        <v>621</v>
      </c>
      <c r="CJ600" s="503" t="str">
        <f>IF($G600="","",IF(AND($G600&gt;=30,$AT$3&lt;=CI$7),ROUND(CI600*($AP$3+#REF!),-1),""))</f>
        <v/>
      </c>
      <c r="CK600" s="503" t="s">
        <v>621</v>
      </c>
      <c r="CL600" s="503" t="str">
        <f>IF($G600="","",IF(AND($G600&gt;=30,$AT$3&lt;=CK$7),ROUND(CK600*($AP$3+#REF!),-1),""))</f>
        <v/>
      </c>
      <c r="CM600" s="503" t="s">
        <v>621</v>
      </c>
      <c r="CN600" s="503" t="str">
        <f>IF($G600="","",IF(AND($G600&gt;=30,$AT$3&lt;=CM$7),ROUND(CM600*($AP$3+#REF!),-1),""))</f>
        <v/>
      </c>
      <c r="CO600" s="503" t="s">
        <v>621</v>
      </c>
      <c r="CP600" s="503" t="str">
        <f>IF($G600="","",IF(AND($G600&gt;=30,$AT$3&lt;=CO$7),ROUND(CO600*($AP$3+#REF!),-1),""))</f>
        <v/>
      </c>
      <c r="CQ600" s="503" t="s">
        <v>621</v>
      </c>
      <c r="CR600" s="503" t="str">
        <f>IF($G600="","",IF(AND($G600&gt;=30,$AT$3&lt;=CQ$7),ROUND(CQ600*($AP$3+#REF!),-1),""))</f>
        <v/>
      </c>
      <c r="CS600" s="503" t="s">
        <v>621</v>
      </c>
      <c r="CT600" s="503" t="str">
        <f>IF($G600="","",IF(AND($G600&gt;=30,$AT$3&lt;=CS$7),ROUND(CS600*($AP$3+#REF!),-1),""))</f>
        <v/>
      </c>
      <c r="CU600" s="503" t="s">
        <v>621</v>
      </c>
      <c r="CV600" s="503" t="str">
        <f>IF($G600="","",IF(AND($G600&gt;=30,$AT$3&lt;=CU$7),ROUND(CU600*($AP$3+#REF!),-1),""))</f>
        <v/>
      </c>
      <c r="CW600" s="503" t="s">
        <v>621</v>
      </c>
      <c r="CX600" s="503" t="str">
        <f>IF($G600="","",IF(AND($G600&gt;=30,$AT$3&lt;=CW$7),ROUND(CW600*($AP$3+#REF!),-1),""))</f>
        <v/>
      </c>
      <c r="CY600" s="503" t="s">
        <v>621</v>
      </c>
      <c r="CZ600" s="503" t="str">
        <f>IF($G600="","",IF(AND($G600&gt;=30,$AT$3&lt;=CY$7),ROUND(CY600*($AP$3+#REF!),-1),""))</f>
        <v/>
      </c>
      <c r="DA600" s="503" t="s">
        <v>621</v>
      </c>
      <c r="DB600" s="503" t="str">
        <f>IF($G600="","",IF(AND($G600&gt;=30,$AT$3&lt;=DA$7),ROUND(DA600*($AP$3+#REF!),-1),""))</f>
        <v/>
      </c>
      <c r="DC600" s="503" t="s">
        <v>621</v>
      </c>
      <c r="DD600" s="503" t="str">
        <f>IF($G600="","",IF(AND($G600&gt;=30,$AT$3&lt;=DC$7),ROUND(DC600*($AP$3+#REF!),-1),""))</f>
        <v/>
      </c>
      <c r="DE600" s="503" t="s">
        <v>621</v>
      </c>
      <c r="DF600" s="503" t="str">
        <f>IF($G600="","",IF(AND($G600&gt;=30,$AT$3&lt;=DE$7),ROUND(DE600*($AP$3+#REF!),-1),""))</f>
        <v/>
      </c>
      <c r="DG600" s="503" t="s">
        <v>621</v>
      </c>
      <c r="DH600" s="503" t="str">
        <f>IF($G600="","",IF(AND($G600&gt;=30,$AT$3&lt;=DG$7),ROUND(DG600*($AP$3+#REF!),-1),""))</f>
        <v/>
      </c>
      <c r="DI600" s="503" t="s">
        <v>621</v>
      </c>
      <c r="DJ600" s="503" t="str">
        <f>IF($G600="","",IF(AND($G600&gt;=30,$AT$3&lt;=DI$7),ROUND(DI600*($AP$3+#REF!),-1),""))</f>
        <v/>
      </c>
      <c r="DK600" s="503" t="s">
        <v>621</v>
      </c>
      <c r="DL600" s="503" t="str">
        <f>IF($G600="","",IF(AND($G600&gt;=30,$AT$3&lt;=DK$7),ROUND(DK600*($AP$3+#REF!),-1),""))</f>
        <v/>
      </c>
      <c r="DM600" s="503" t="s">
        <v>621</v>
      </c>
      <c r="DN600" s="503" t="str">
        <f>IF($G600="","",IF(AND($G600&gt;=30,$AT$3&lt;=DM$7),ROUND(DM600*($AP$3+#REF!),-1),""))</f>
        <v/>
      </c>
      <c r="DO600" s="503" t="s">
        <v>621</v>
      </c>
      <c r="DP600" s="503" t="str">
        <f>IF($G600="","",IF(AND($G600&gt;=30,$AT$3&lt;=DO$7),ROUND(DO600*($AP$3+#REF!),-1),""))</f>
        <v/>
      </c>
      <c r="DQ600" s="503" t="s">
        <v>621</v>
      </c>
      <c r="DR600" s="503" t="str">
        <f>IF($G600="","",IF(AND($G600&gt;=30,$AT$3&lt;=DQ$7),ROUND(DQ600*($AP$3+#REF!),-1),""))</f>
        <v/>
      </c>
      <c r="DS600" s="503" t="s">
        <v>621</v>
      </c>
      <c r="DT600" s="503" t="str">
        <f>IF($G600="","",IF(AND($G600&gt;=30,$AT$3&lt;=DS$7),ROUND(DS600*($AP$3+#REF!),-1),""))</f>
        <v/>
      </c>
      <c r="DU600" s="503" t="s">
        <v>621</v>
      </c>
      <c r="DV600" s="503" t="str">
        <f>IF($G600="","",IF(AND($G600&gt;=30,$AT$3&lt;=DU$7),ROUND(DU600*($AP$3+#REF!),-1),""))</f>
        <v/>
      </c>
      <c r="DW600" s="503" t="s">
        <v>621</v>
      </c>
      <c r="DX600" s="503" t="str">
        <f>IF($G600="","",IF(AND($G600&gt;=30,$AT$3&lt;=DW$7),ROUND(DW600*($AP$3+#REF!),-1),""))</f>
        <v/>
      </c>
      <c r="DY600" s="503" t="s">
        <v>621</v>
      </c>
      <c r="DZ600" s="503" t="str">
        <f>IF($G600="","",IF(AND($G600&gt;=30,$AT$3&lt;=DY$7),ROUND(DY600*($AP$3+#REF!),-1),""))</f>
        <v/>
      </c>
      <c r="EA600" s="517" t="e">
        <v>#REF!</v>
      </c>
      <c r="EB600" s="503" t="str">
        <f>IF($G600="","",IF(AND($G600&gt;=30,$AT$3&lt;=EA$7),ROUND(EA600*($AP$3+#REF!),-1),""))</f>
        <v/>
      </c>
      <c r="EC600" s="436"/>
      <c r="ED600" s="436"/>
      <c r="EE600" s="394"/>
    </row>
    <row r="601" spans="1:135" ht="9.75" customHeight="1">
      <c r="A601" s="321" t="str">
        <f t="shared" si="138"/>
        <v/>
      </c>
      <c r="B601" s="567">
        <f>(ii!$D$13*12+V601)+1</f>
        <v>495</v>
      </c>
      <c r="C601" s="337">
        <f t="shared" si="142"/>
        <v>60418</v>
      </c>
      <c r="D601" s="484">
        <f t="shared" si="131"/>
        <v>2065</v>
      </c>
      <c r="E601" s="484">
        <f t="shared" si="143"/>
        <v>0.41666666666666669</v>
      </c>
      <c r="F601" s="484">
        <f t="shared" si="132"/>
        <v>2065.4166666666665</v>
      </c>
      <c r="G601" s="485" t="str">
        <f>IF(OR(C601&lt;$I$2,C601&gt;$J$3),"",(ii!$D$13*12+V601+1)/12)</f>
        <v/>
      </c>
      <c r="H601" s="486"/>
      <c r="I601" s="486"/>
      <c r="J601" s="507"/>
      <c r="K601" s="508"/>
      <c r="L601" s="548"/>
      <c r="M601" s="489" t="str">
        <f t="shared" si="133"/>
        <v/>
      </c>
      <c r="N601" s="490" t="s">
        <v>621</v>
      </c>
      <c r="O601" s="490" t="str">
        <f t="shared" si="140"/>
        <v/>
      </c>
      <c r="P601" s="507"/>
      <c r="Q601" s="507"/>
      <c r="R601" s="491" t="str">
        <f t="shared" si="141"/>
        <v/>
      </c>
      <c r="S601" s="528" t="str">
        <f t="shared" si="139"/>
        <v/>
      </c>
      <c r="T601" s="528" t="str">
        <f t="shared" si="137"/>
        <v/>
      </c>
      <c r="U601" s="493" t="str">
        <f>IF(H601="","",#REF!*12+#REF!+#REF!*12+#REF!)</f>
        <v/>
      </c>
      <c r="V601" s="338">
        <f>IF(ii!$J$3&gt;gg!C601,"",IF(AND((YEAR(C601)=YEAR($I$2)),MONTH(C601)=MONTH($I$2)),ii!$B$14*12+ii!$C$14+ii!$B$15*12+ii!$C$15-1,V600+1))</f>
        <v>494</v>
      </c>
      <c r="W601" s="339">
        <f t="shared" si="144"/>
        <v>41.166666666666664</v>
      </c>
      <c r="X601" s="494" t="s">
        <v>621</v>
      </c>
      <c r="Y601" s="495" t="s">
        <v>621</v>
      </c>
      <c r="Z601" s="496"/>
      <c r="AA601" s="497"/>
      <c r="AB601" s="498" t="str">
        <f t="shared" si="136"/>
        <v/>
      </c>
      <c r="AC601" s="484" t="str">
        <f t="shared" si="134"/>
        <v/>
      </c>
      <c r="AD601" s="495" t="str">
        <f t="shared" si="135"/>
        <v/>
      </c>
      <c r="AE601" s="499" t="s">
        <v>621</v>
      </c>
      <c r="AF601" s="500" t="s">
        <v>621</v>
      </c>
      <c r="AG601" s="556" t="s">
        <v>621</v>
      </c>
      <c r="AH601" s="503" t="str">
        <f>IF($G601="","",IF(AND($G601&gt;=30,$AT$3&lt;=AG$7),ROUND(AG601*($AP$3+#REF!),-1),""))</f>
        <v/>
      </c>
      <c r="AI601" s="506" t="s">
        <v>621</v>
      </c>
      <c r="AJ601" s="503" t="str">
        <f>IF($G601="","",IF(AND($G601&gt;=30,$AT$3&lt;=AI$7),ROUND(AI601*($AP$3+#REF!),-1),""))</f>
        <v/>
      </c>
      <c r="AK601" s="506" t="s">
        <v>621</v>
      </c>
      <c r="AL601" s="503" t="str">
        <f>IF($G601="","",IF(AND($G601&gt;=30,$AT$3&lt;=AK$7),ROUND(AK601*($AP$3+#REF!),-1),""))</f>
        <v/>
      </c>
      <c r="AM601" s="506" t="s">
        <v>621</v>
      </c>
      <c r="AN601" s="503" t="str">
        <f>IF($G601="","",IF(AND($G601&gt;=30,$AT$3&lt;=AM$7),ROUND(AM601*($AP$3+#REF!),-1),""))</f>
        <v/>
      </c>
      <c r="AO601" s="503" t="e">
        <v>#REF!</v>
      </c>
      <c r="AP601" s="503" t="str">
        <f>IF($G601="","",IF(AND($G601&gt;=30,$AT$3&lt;=AO$7),ROUND(AO601*($AP$3+#REF!),-1),""))</f>
        <v/>
      </c>
      <c r="AQ601" s="503" t="s">
        <v>621</v>
      </c>
      <c r="AR601" s="503" t="str">
        <f>IF($G601="","",IF(AND($G601&gt;=30,$AT$3&lt;=AQ$7),ROUND(AQ601*($AP$3+#REF!),-1),""))</f>
        <v/>
      </c>
      <c r="AS601" s="503" t="s">
        <v>621</v>
      </c>
      <c r="AT601" s="503" t="str">
        <f>IF($G601="","",IF(AND($G601&gt;=30,$AT$3&lt;=AS$7),ROUND(AS601*($AP$3+#REF!),-1),""))</f>
        <v/>
      </c>
      <c r="AU601" s="503" t="s">
        <v>621</v>
      </c>
      <c r="AV601" s="503" t="str">
        <f>IF($G601="","",IF(AND($G601&gt;=30,$AT$3&lt;=AU$7),ROUND(AU601*($AP$3+#REF!),-1),""))</f>
        <v/>
      </c>
      <c r="AW601" s="503" t="s">
        <v>621</v>
      </c>
      <c r="AX601" s="503" t="str">
        <f>IF($G601="","",IF(AND($G601&gt;=30,$AT$3&lt;=AW$7),ROUND(AW601*($AP$3+#REF!),-1),""))</f>
        <v/>
      </c>
      <c r="AY601" s="503" t="s">
        <v>621</v>
      </c>
      <c r="AZ601" s="503" t="str">
        <f>IF($G601="","",IF(AND($G601&gt;=30,$AT$3&lt;=AY$7),ROUND(AY601*($AP$3+#REF!),-1),""))</f>
        <v/>
      </c>
      <c r="BA601" s="503" t="s">
        <v>621</v>
      </c>
      <c r="BB601" s="503" t="str">
        <f>IF($G601="","",IF(AND($G601&gt;=30,$AT$3&lt;=BA$7),ROUND(BA601*($AP$3+#REF!),-1),""))</f>
        <v/>
      </c>
      <c r="BC601" s="503" t="s">
        <v>621</v>
      </c>
      <c r="BD601" s="503" t="str">
        <f>IF($G601="","",IF(AND($G601&gt;=30,$AT$3&lt;=BC$7),ROUND(BC601*($AP$3+#REF!),-1),""))</f>
        <v/>
      </c>
      <c r="BE601" s="503" t="s">
        <v>621</v>
      </c>
      <c r="BF601" s="503" t="str">
        <f>IF($G601="","",IF(AND($G601&gt;=30,$AT$3&lt;=BE$7),ROUND(BE601*($AP$3+#REF!),-1),""))</f>
        <v/>
      </c>
      <c r="BG601" s="503" t="s">
        <v>621</v>
      </c>
      <c r="BH601" s="503" t="str">
        <f>IF($G601="","",IF(AND($G601&gt;=30,$AT$3&lt;=BG$7),ROUND(BG601*($AP$3+#REF!),-1),""))</f>
        <v/>
      </c>
      <c r="BI601" s="503" t="s">
        <v>621</v>
      </c>
      <c r="BJ601" s="503" t="str">
        <f>IF($G601="","",IF(AND($G601&gt;=30,$AT$3&lt;=BI$7),ROUND(BI601*($AP$3+#REF!),-1),""))</f>
        <v/>
      </c>
      <c r="BK601" s="503" t="s">
        <v>621</v>
      </c>
      <c r="BL601" s="503" t="str">
        <f>IF($G601="","",IF(AND($G601&gt;=30,$AT$3&lt;=BK$7),ROUND(BK601*($AP$3+#REF!),-1),""))</f>
        <v/>
      </c>
      <c r="BM601" s="503" t="s">
        <v>621</v>
      </c>
      <c r="BN601" s="503" t="str">
        <f>IF($G601="","",IF(AND($G601&gt;=30,$AT$3&lt;=BM$7),ROUND(BM601*($AP$3+#REF!),-1),""))</f>
        <v/>
      </c>
      <c r="BO601" s="503" t="s">
        <v>621</v>
      </c>
      <c r="BP601" s="503" t="str">
        <f>IF($G601="","",IF(AND($G601&gt;=30,$AT$3&lt;=BO$7),ROUND(BO601*($AP$3+#REF!),-1),""))</f>
        <v/>
      </c>
      <c r="BQ601" s="503" t="s">
        <v>621</v>
      </c>
      <c r="BR601" s="503" t="str">
        <f>IF($G601="","",IF(AND($G601&gt;=30,$AT$3&lt;=BQ$7),ROUND(BQ601*($AP$3+#REF!),-1),""))</f>
        <v/>
      </c>
      <c r="BS601" s="503" t="s">
        <v>621</v>
      </c>
      <c r="BT601" s="503" t="str">
        <f>IF($G601="","",IF(AND($G601&gt;=30,$AT$3&lt;=BS$7),ROUND(BS601*($AP$3+#REF!),-1),""))</f>
        <v/>
      </c>
      <c r="BU601" s="503" t="s">
        <v>621</v>
      </c>
      <c r="BV601" s="503" t="str">
        <f>IF($G601="","",IF(AND($G601&gt;=30,$AT$3&lt;=BU$7),ROUND(BU601*($AP$3+#REF!),-1),""))</f>
        <v/>
      </c>
      <c r="BW601" s="503" t="s">
        <v>621</v>
      </c>
      <c r="BX601" s="503" t="str">
        <f>IF($G601="","",IF(AND($G601&gt;=30,$AT$3&lt;=BW$7),ROUND(BW601*($AP$3+#REF!),-1),""))</f>
        <v/>
      </c>
      <c r="BY601" s="503" t="s">
        <v>621</v>
      </c>
      <c r="BZ601" s="503" t="str">
        <f>IF($G601="","",IF(AND($G601&gt;=30,$AT$3&lt;=BY$7),ROUND(BY601*($AP$3+#REF!),-1),""))</f>
        <v/>
      </c>
      <c r="CA601" s="503" t="s">
        <v>621</v>
      </c>
      <c r="CB601" s="503" t="str">
        <f>IF($G601="","",IF(AND($G601&gt;=30,$AT$3&lt;=CA$7),ROUND(CA601*($AP$3+#REF!),-1),""))</f>
        <v/>
      </c>
      <c r="CC601" s="503" t="s">
        <v>621</v>
      </c>
      <c r="CD601" s="503" t="str">
        <f>IF($G601="","",IF(AND($G601&gt;=30,$AT$3&lt;=CC$7),ROUND(CC601*($AP$3+#REF!),-1),""))</f>
        <v/>
      </c>
      <c r="CE601" s="503" t="s">
        <v>621</v>
      </c>
      <c r="CF601" s="503" t="str">
        <f>IF($G601="","",IF(AND($G601&gt;=30,$AT$3&lt;=CE$7),ROUND(CE601*($AP$3+#REF!),-1),""))</f>
        <v/>
      </c>
      <c r="CG601" s="503" t="s">
        <v>621</v>
      </c>
      <c r="CH601" s="503" t="str">
        <f>IF($G601="","",IF(AND($G601&gt;=30,$AT$3&lt;=CG$7),ROUND(CG601*($AP$3+#REF!),-1),""))</f>
        <v/>
      </c>
      <c r="CI601" s="503" t="s">
        <v>621</v>
      </c>
      <c r="CJ601" s="503" t="str">
        <f>IF($G601="","",IF(AND($G601&gt;=30,$AT$3&lt;=CI$7),ROUND(CI601*($AP$3+#REF!),-1),""))</f>
        <v/>
      </c>
      <c r="CK601" s="503" t="s">
        <v>621</v>
      </c>
      <c r="CL601" s="503" t="str">
        <f>IF($G601="","",IF(AND($G601&gt;=30,$AT$3&lt;=CK$7),ROUND(CK601*($AP$3+#REF!),-1),""))</f>
        <v/>
      </c>
      <c r="CM601" s="503" t="s">
        <v>621</v>
      </c>
      <c r="CN601" s="503" t="str">
        <f>IF($G601="","",IF(AND($G601&gt;=30,$AT$3&lt;=CM$7),ROUND(CM601*($AP$3+#REF!),-1),""))</f>
        <v/>
      </c>
      <c r="CO601" s="503" t="s">
        <v>621</v>
      </c>
      <c r="CP601" s="503" t="str">
        <f>IF($G601="","",IF(AND($G601&gt;=30,$AT$3&lt;=CO$7),ROUND(CO601*($AP$3+#REF!),-1),""))</f>
        <v/>
      </c>
      <c r="CQ601" s="503" t="s">
        <v>621</v>
      </c>
      <c r="CR601" s="503" t="str">
        <f>IF($G601="","",IF(AND($G601&gt;=30,$AT$3&lt;=CQ$7),ROUND(CQ601*($AP$3+#REF!),-1),""))</f>
        <v/>
      </c>
      <c r="CS601" s="503" t="s">
        <v>621</v>
      </c>
      <c r="CT601" s="503" t="str">
        <f>IF($G601="","",IF(AND($G601&gt;=30,$AT$3&lt;=CS$7),ROUND(CS601*($AP$3+#REF!),-1),""))</f>
        <v/>
      </c>
      <c r="CU601" s="503" t="s">
        <v>621</v>
      </c>
      <c r="CV601" s="503" t="str">
        <f>IF($G601="","",IF(AND($G601&gt;=30,$AT$3&lt;=CU$7),ROUND(CU601*($AP$3+#REF!),-1),""))</f>
        <v/>
      </c>
      <c r="CW601" s="503" t="s">
        <v>621</v>
      </c>
      <c r="CX601" s="503" t="str">
        <f>IF($G601="","",IF(AND($G601&gt;=30,$AT$3&lt;=CW$7),ROUND(CW601*($AP$3+#REF!),-1),""))</f>
        <v/>
      </c>
      <c r="CY601" s="503" t="s">
        <v>621</v>
      </c>
      <c r="CZ601" s="503" t="str">
        <f>IF($G601="","",IF(AND($G601&gt;=30,$AT$3&lt;=CY$7),ROUND(CY601*($AP$3+#REF!),-1),""))</f>
        <v/>
      </c>
      <c r="DA601" s="503" t="s">
        <v>621</v>
      </c>
      <c r="DB601" s="503" t="str">
        <f>IF($G601="","",IF(AND($G601&gt;=30,$AT$3&lt;=DA$7),ROUND(DA601*($AP$3+#REF!),-1),""))</f>
        <v/>
      </c>
      <c r="DC601" s="503" t="s">
        <v>621</v>
      </c>
      <c r="DD601" s="503" t="str">
        <f>IF($G601="","",IF(AND($G601&gt;=30,$AT$3&lt;=DC$7),ROUND(DC601*($AP$3+#REF!),-1),""))</f>
        <v/>
      </c>
      <c r="DE601" s="503" t="s">
        <v>621</v>
      </c>
      <c r="DF601" s="503" t="str">
        <f>IF($G601="","",IF(AND($G601&gt;=30,$AT$3&lt;=DE$7),ROUND(DE601*($AP$3+#REF!),-1),""))</f>
        <v/>
      </c>
      <c r="DG601" s="503" t="s">
        <v>621</v>
      </c>
      <c r="DH601" s="503" t="str">
        <f>IF($G601="","",IF(AND($G601&gt;=30,$AT$3&lt;=DG$7),ROUND(DG601*($AP$3+#REF!),-1),""))</f>
        <v/>
      </c>
      <c r="DI601" s="503" t="s">
        <v>621</v>
      </c>
      <c r="DJ601" s="503" t="str">
        <f>IF($G601="","",IF(AND($G601&gt;=30,$AT$3&lt;=DI$7),ROUND(DI601*($AP$3+#REF!),-1),""))</f>
        <v/>
      </c>
      <c r="DK601" s="503" t="s">
        <v>621</v>
      </c>
      <c r="DL601" s="503" t="str">
        <f>IF($G601="","",IF(AND($G601&gt;=30,$AT$3&lt;=DK$7),ROUND(DK601*($AP$3+#REF!),-1),""))</f>
        <v/>
      </c>
      <c r="DM601" s="503" t="s">
        <v>621</v>
      </c>
      <c r="DN601" s="503" t="str">
        <f>IF($G601="","",IF(AND($G601&gt;=30,$AT$3&lt;=DM$7),ROUND(DM601*($AP$3+#REF!),-1),""))</f>
        <v/>
      </c>
      <c r="DO601" s="503" t="s">
        <v>621</v>
      </c>
      <c r="DP601" s="503" t="str">
        <f>IF($G601="","",IF(AND($G601&gt;=30,$AT$3&lt;=DO$7),ROUND(DO601*($AP$3+#REF!),-1),""))</f>
        <v/>
      </c>
      <c r="DQ601" s="503" t="s">
        <v>621</v>
      </c>
      <c r="DR601" s="503" t="str">
        <f>IF($G601="","",IF(AND($G601&gt;=30,$AT$3&lt;=DQ$7),ROUND(DQ601*($AP$3+#REF!),-1),""))</f>
        <v/>
      </c>
      <c r="DS601" s="503" t="s">
        <v>621</v>
      </c>
      <c r="DT601" s="503" t="str">
        <f>IF($G601="","",IF(AND($G601&gt;=30,$AT$3&lt;=DS$7),ROUND(DS601*($AP$3+#REF!),-1),""))</f>
        <v/>
      </c>
      <c r="DU601" s="503" t="s">
        <v>621</v>
      </c>
      <c r="DV601" s="503" t="str">
        <f>IF($G601="","",IF(AND($G601&gt;=30,$AT$3&lt;=DU$7),ROUND(DU601*($AP$3+#REF!),-1),""))</f>
        <v/>
      </c>
      <c r="DW601" s="503" t="s">
        <v>621</v>
      </c>
      <c r="DX601" s="503" t="str">
        <f>IF($G601="","",IF(AND($G601&gt;=30,$AT$3&lt;=DW$7),ROUND(DW601*($AP$3+#REF!),-1),""))</f>
        <v/>
      </c>
      <c r="DY601" s="503" t="s">
        <v>621</v>
      </c>
      <c r="DZ601" s="503" t="str">
        <f>IF($G601="","",IF(AND($G601&gt;=30,$AT$3&lt;=DY$7),ROUND(DY601*($AP$3+#REF!),-1),""))</f>
        <v/>
      </c>
      <c r="EA601" s="517" t="e">
        <v>#REF!</v>
      </c>
      <c r="EB601" s="503" t="str">
        <f>IF($G601="","",IF(AND($G601&gt;=30,$AT$3&lt;=EA$7),ROUND(EA601*($AP$3+#REF!),-1),""))</f>
        <v/>
      </c>
      <c r="EC601" s="436"/>
      <c r="ED601" s="436"/>
      <c r="EE601" s="394"/>
    </row>
    <row r="602" spans="1:135" ht="9.75" customHeight="1">
      <c r="A602" s="321" t="str">
        <f t="shared" si="138"/>
        <v/>
      </c>
      <c r="B602" s="567">
        <f>(ii!$D$13*12+V602)+1</f>
        <v>496</v>
      </c>
      <c r="C602" s="337">
        <f t="shared" si="142"/>
        <v>60448</v>
      </c>
      <c r="D602" s="484">
        <f t="shared" ref="D602:D608" si="145">YEAR(C602)</f>
        <v>2065</v>
      </c>
      <c r="E602" s="484">
        <f t="shared" si="143"/>
        <v>0.5</v>
      </c>
      <c r="F602" s="484">
        <f t="shared" ref="F602:F608" si="146">D602+E602</f>
        <v>2065.5</v>
      </c>
      <c r="G602" s="485" t="str">
        <f>IF(OR(C602&lt;$I$2,C602&gt;$J$3),"",(ii!$D$13*12+V602+1)/12)</f>
        <v/>
      </c>
      <c r="H602" s="486"/>
      <c r="I602" s="486"/>
      <c r="J602" s="487"/>
      <c r="K602" s="488"/>
      <c r="L602" s="548"/>
      <c r="M602" s="489" t="str">
        <f t="shared" ref="M602:M608" si="147">IF(K602="","",IF(OR(J600=0,J599=0,J600=""),"",(J602-J601)/J601))</f>
        <v/>
      </c>
      <c r="N602" s="490" t="s">
        <v>621</v>
      </c>
      <c r="O602" s="490" t="str">
        <f t="shared" si="140"/>
        <v/>
      </c>
      <c r="P602" s="491"/>
      <c r="Q602" s="491"/>
      <c r="R602" s="491" t="str">
        <f t="shared" si="141"/>
        <v/>
      </c>
      <c r="S602" s="528" t="str">
        <f t="shared" si="139"/>
        <v/>
      </c>
      <c r="T602" s="528" t="str">
        <f t="shared" si="137"/>
        <v/>
      </c>
      <c r="U602" s="493" t="str">
        <f>IF(H602="","",#REF!*12+#REF!+#REF!*12+#REF!)</f>
        <v/>
      </c>
      <c r="V602" s="338">
        <f>IF(ii!$J$3&gt;gg!C602,"",IF(AND((YEAR(C602)=YEAR($I$2)),MONTH(C602)=MONTH($I$2)),ii!$B$14*12+ii!$C$14+ii!$B$15*12+ii!$C$15-1,V601+1))</f>
        <v>495</v>
      </c>
      <c r="W602" s="339">
        <f t="shared" si="144"/>
        <v>41.25</v>
      </c>
      <c r="X602" s="494" t="s">
        <v>621</v>
      </c>
      <c r="Y602" s="495" t="s">
        <v>621</v>
      </c>
      <c r="Z602" s="496"/>
      <c r="AA602" s="497"/>
      <c r="AB602" s="498" t="str">
        <f t="shared" si="136"/>
        <v/>
      </c>
      <c r="AC602" s="484" t="str">
        <f t="shared" si="134"/>
        <v/>
      </c>
      <c r="AD602" s="495" t="str">
        <f t="shared" si="135"/>
        <v/>
      </c>
      <c r="AE602" s="499" t="s">
        <v>621</v>
      </c>
      <c r="AF602" s="500" t="s">
        <v>621</v>
      </c>
      <c r="AG602" s="556" t="s">
        <v>621</v>
      </c>
      <c r="AH602" s="503" t="str">
        <f>IF($G602="","",IF(AND($G602&gt;=30,$AT$3&lt;=AG$7),ROUND(AG602*($AP$3+#REF!),-1),""))</f>
        <v/>
      </c>
      <c r="AI602" s="506" t="s">
        <v>621</v>
      </c>
      <c r="AJ602" s="503" t="str">
        <f>IF($G602="","",IF(AND($G602&gt;=30,$AT$3&lt;=AI$7),ROUND(AI602*($AP$3+#REF!),-1),""))</f>
        <v/>
      </c>
      <c r="AK602" s="506" t="s">
        <v>621</v>
      </c>
      <c r="AL602" s="503" t="str">
        <f>IF($G602="","",IF(AND($G602&gt;=30,$AT$3&lt;=AK$7),ROUND(AK602*($AP$3+#REF!),-1),""))</f>
        <v/>
      </c>
      <c r="AM602" s="506" t="s">
        <v>621</v>
      </c>
      <c r="AN602" s="503" t="str">
        <f>IF($G602="","",IF(AND($G602&gt;=30,$AT$3&lt;=AM$7),ROUND(AM602*($AP$3+#REF!),-1),""))</f>
        <v/>
      </c>
      <c r="AO602" s="503" t="e">
        <v>#REF!</v>
      </c>
      <c r="AP602" s="503" t="str">
        <f>IF($G602="","",IF(AND($G602&gt;=30,$AT$3&lt;=AO$7),ROUND(AO602*($AP$3+#REF!),-1),""))</f>
        <v/>
      </c>
      <c r="AQ602" s="503" t="s">
        <v>621</v>
      </c>
      <c r="AR602" s="503" t="str">
        <f>IF($G602="","",IF(AND($G602&gt;=30,$AT$3&lt;=AQ$7),ROUND(AQ602*($AP$3+#REF!),-1),""))</f>
        <v/>
      </c>
      <c r="AS602" s="503" t="s">
        <v>621</v>
      </c>
      <c r="AT602" s="503" t="str">
        <f>IF($G602="","",IF(AND($G602&gt;=30,$AT$3&lt;=AS$7),ROUND(AS602*($AP$3+#REF!),-1),""))</f>
        <v/>
      </c>
      <c r="AU602" s="503" t="s">
        <v>621</v>
      </c>
      <c r="AV602" s="503" t="str">
        <f>IF($G602="","",IF(AND($G602&gt;=30,$AT$3&lt;=AU$7),ROUND(AU602*($AP$3+#REF!),-1),""))</f>
        <v/>
      </c>
      <c r="AW602" s="503" t="s">
        <v>621</v>
      </c>
      <c r="AX602" s="503" t="str">
        <f>IF($G602="","",IF(AND($G602&gt;=30,$AT$3&lt;=AW$7),ROUND(AW602*($AP$3+#REF!),-1),""))</f>
        <v/>
      </c>
      <c r="AY602" s="503" t="s">
        <v>621</v>
      </c>
      <c r="AZ602" s="503" t="str">
        <f>IF($G602="","",IF(AND($G602&gt;=30,$AT$3&lt;=AY$7),ROUND(AY602*($AP$3+#REF!),-1),""))</f>
        <v/>
      </c>
      <c r="BA602" s="503" t="s">
        <v>621</v>
      </c>
      <c r="BB602" s="503" t="str">
        <f>IF($G602="","",IF(AND($G602&gt;=30,$AT$3&lt;=BA$7),ROUND(BA602*($AP$3+#REF!),-1),""))</f>
        <v/>
      </c>
      <c r="BC602" s="503" t="s">
        <v>621</v>
      </c>
      <c r="BD602" s="503" t="str">
        <f>IF($G602="","",IF(AND($G602&gt;=30,$AT$3&lt;=BC$7),ROUND(BC602*($AP$3+#REF!),-1),""))</f>
        <v/>
      </c>
      <c r="BE602" s="503" t="s">
        <v>621</v>
      </c>
      <c r="BF602" s="503" t="str">
        <f>IF($G602="","",IF(AND($G602&gt;=30,$AT$3&lt;=BE$7),ROUND(BE602*($AP$3+#REF!),-1),""))</f>
        <v/>
      </c>
      <c r="BG602" s="503" t="s">
        <v>621</v>
      </c>
      <c r="BH602" s="503" t="str">
        <f>IF($G602="","",IF(AND($G602&gt;=30,$AT$3&lt;=BG$7),ROUND(BG602*($AP$3+#REF!),-1),""))</f>
        <v/>
      </c>
      <c r="BI602" s="503" t="s">
        <v>621</v>
      </c>
      <c r="BJ602" s="503" t="str">
        <f>IF($G602="","",IF(AND($G602&gt;=30,$AT$3&lt;=BI$7),ROUND(BI602*($AP$3+#REF!),-1),""))</f>
        <v/>
      </c>
      <c r="BK602" s="503" t="s">
        <v>621</v>
      </c>
      <c r="BL602" s="503" t="str">
        <f>IF($G602="","",IF(AND($G602&gt;=30,$AT$3&lt;=BK$7),ROUND(BK602*($AP$3+#REF!),-1),""))</f>
        <v/>
      </c>
      <c r="BM602" s="503" t="s">
        <v>621</v>
      </c>
      <c r="BN602" s="503" t="str">
        <f>IF($G602="","",IF(AND($G602&gt;=30,$AT$3&lt;=BM$7),ROUND(BM602*($AP$3+#REF!),-1),""))</f>
        <v/>
      </c>
      <c r="BO602" s="503" t="s">
        <v>621</v>
      </c>
      <c r="BP602" s="503" t="str">
        <f>IF($G602="","",IF(AND($G602&gt;=30,$AT$3&lt;=BO$7),ROUND(BO602*($AP$3+#REF!),-1),""))</f>
        <v/>
      </c>
      <c r="BQ602" s="503" t="s">
        <v>621</v>
      </c>
      <c r="BR602" s="503" t="str">
        <f>IF($G602="","",IF(AND($G602&gt;=30,$AT$3&lt;=BQ$7),ROUND(BQ602*($AP$3+#REF!),-1),""))</f>
        <v/>
      </c>
      <c r="BS602" s="503" t="s">
        <v>621</v>
      </c>
      <c r="BT602" s="503" t="str">
        <f>IF($G602="","",IF(AND($G602&gt;=30,$AT$3&lt;=BS$7),ROUND(BS602*($AP$3+#REF!),-1),""))</f>
        <v/>
      </c>
      <c r="BU602" s="503" t="s">
        <v>621</v>
      </c>
      <c r="BV602" s="503" t="str">
        <f>IF($G602="","",IF(AND($G602&gt;=30,$AT$3&lt;=BU$7),ROUND(BU602*($AP$3+#REF!),-1),""))</f>
        <v/>
      </c>
      <c r="BW602" s="503" t="s">
        <v>621</v>
      </c>
      <c r="BX602" s="503" t="str">
        <f>IF($G602="","",IF(AND($G602&gt;=30,$AT$3&lt;=BW$7),ROUND(BW602*($AP$3+#REF!),-1),""))</f>
        <v/>
      </c>
      <c r="BY602" s="503" t="s">
        <v>621</v>
      </c>
      <c r="BZ602" s="503" t="str">
        <f>IF($G602="","",IF(AND($G602&gt;=30,$AT$3&lt;=BY$7),ROUND(BY602*($AP$3+#REF!),-1),""))</f>
        <v/>
      </c>
      <c r="CA602" s="503" t="s">
        <v>621</v>
      </c>
      <c r="CB602" s="503" t="str">
        <f>IF($G602="","",IF(AND($G602&gt;=30,$AT$3&lt;=CA$7),ROUND(CA602*($AP$3+#REF!),-1),""))</f>
        <v/>
      </c>
      <c r="CC602" s="503" t="s">
        <v>621</v>
      </c>
      <c r="CD602" s="503" t="str">
        <f>IF($G602="","",IF(AND($G602&gt;=30,$AT$3&lt;=CC$7),ROUND(CC602*($AP$3+#REF!),-1),""))</f>
        <v/>
      </c>
      <c r="CE602" s="503" t="s">
        <v>621</v>
      </c>
      <c r="CF602" s="503" t="str">
        <f>IF($G602="","",IF(AND($G602&gt;=30,$AT$3&lt;=CE$7),ROUND(CE602*($AP$3+#REF!),-1),""))</f>
        <v/>
      </c>
      <c r="CG602" s="503" t="s">
        <v>621</v>
      </c>
      <c r="CH602" s="503" t="str">
        <f>IF($G602="","",IF(AND($G602&gt;=30,$AT$3&lt;=CG$7),ROUND(CG602*($AP$3+#REF!),-1),""))</f>
        <v/>
      </c>
      <c r="CI602" s="503" t="s">
        <v>621</v>
      </c>
      <c r="CJ602" s="503" t="str">
        <f>IF($G602="","",IF(AND($G602&gt;=30,$AT$3&lt;=CI$7),ROUND(CI602*($AP$3+#REF!),-1),""))</f>
        <v/>
      </c>
      <c r="CK602" s="503" t="s">
        <v>621</v>
      </c>
      <c r="CL602" s="503" t="str">
        <f>IF($G602="","",IF(AND($G602&gt;=30,$AT$3&lt;=CK$7),ROUND(CK602*($AP$3+#REF!),-1),""))</f>
        <v/>
      </c>
      <c r="CM602" s="503" t="s">
        <v>621</v>
      </c>
      <c r="CN602" s="503" t="str">
        <f>IF($G602="","",IF(AND($G602&gt;=30,$AT$3&lt;=CM$7),ROUND(CM602*($AP$3+#REF!),-1),""))</f>
        <v/>
      </c>
      <c r="CO602" s="503" t="s">
        <v>621</v>
      </c>
      <c r="CP602" s="503" t="str">
        <f>IF($G602="","",IF(AND($G602&gt;=30,$AT$3&lt;=CO$7),ROUND(CO602*($AP$3+#REF!),-1),""))</f>
        <v/>
      </c>
      <c r="CQ602" s="503" t="s">
        <v>621</v>
      </c>
      <c r="CR602" s="503" t="str">
        <f>IF($G602="","",IF(AND($G602&gt;=30,$AT$3&lt;=CQ$7),ROUND(CQ602*($AP$3+#REF!),-1),""))</f>
        <v/>
      </c>
      <c r="CS602" s="503" t="s">
        <v>621</v>
      </c>
      <c r="CT602" s="503" t="str">
        <f>IF($G602="","",IF(AND($G602&gt;=30,$AT$3&lt;=CS$7),ROUND(CS602*($AP$3+#REF!),-1),""))</f>
        <v/>
      </c>
      <c r="CU602" s="503" t="s">
        <v>621</v>
      </c>
      <c r="CV602" s="503" t="str">
        <f>IF($G602="","",IF(AND($G602&gt;=30,$AT$3&lt;=CU$7),ROUND(CU602*($AP$3+#REF!),-1),""))</f>
        <v/>
      </c>
      <c r="CW602" s="503" t="s">
        <v>621</v>
      </c>
      <c r="CX602" s="503" t="str">
        <f>IF($G602="","",IF(AND($G602&gt;=30,$AT$3&lt;=CW$7),ROUND(CW602*($AP$3+#REF!),-1),""))</f>
        <v/>
      </c>
      <c r="CY602" s="503" t="s">
        <v>621</v>
      </c>
      <c r="CZ602" s="503" t="str">
        <f>IF($G602="","",IF(AND($G602&gt;=30,$AT$3&lt;=CY$7),ROUND(CY602*($AP$3+#REF!),-1),""))</f>
        <v/>
      </c>
      <c r="DA602" s="503" t="s">
        <v>621</v>
      </c>
      <c r="DB602" s="503" t="str">
        <f>IF($G602="","",IF(AND($G602&gt;=30,$AT$3&lt;=DA$7),ROUND(DA602*($AP$3+#REF!),-1),""))</f>
        <v/>
      </c>
      <c r="DC602" s="503" t="s">
        <v>621</v>
      </c>
      <c r="DD602" s="503" t="str">
        <f>IF($G602="","",IF(AND($G602&gt;=30,$AT$3&lt;=DC$7),ROUND(DC602*($AP$3+#REF!),-1),""))</f>
        <v/>
      </c>
      <c r="DE602" s="503" t="s">
        <v>621</v>
      </c>
      <c r="DF602" s="503" t="str">
        <f>IF($G602="","",IF(AND($G602&gt;=30,$AT$3&lt;=DE$7),ROUND(DE602*($AP$3+#REF!),-1),""))</f>
        <v/>
      </c>
      <c r="DG602" s="503" t="s">
        <v>621</v>
      </c>
      <c r="DH602" s="503" t="str">
        <f>IF($G602="","",IF(AND($G602&gt;=30,$AT$3&lt;=DG$7),ROUND(DG602*($AP$3+#REF!),-1),""))</f>
        <v/>
      </c>
      <c r="DI602" s="503" t="s">
        <v>621</v>
      </c>
      <c r="DJ602" s="503" t="str">
        <f>IF($G602="","",IF(AND($G602&gt;=30,$AT$3&lt;=DI$7),ROUND(DI602*($AP$3+#REF!),-1),""))</f>
        <v/>
      </c>
      <c r="DK602" s="503" t="s">
        <v>621</v>
      </c>
      <c r="DL602" s="503" t="str">
        <f>IF($G602="","",IF(AND($G602&gt;=30,$AT$3&lt;=DK$7),ROUND(DK602*($AP$3+#REF!),-1),""))</f>
        <v/>
      </c>
      <c r="DM602" s="503" t="s">
        <v>621</v>
      </c>
      <c r="DN602" s="503" t="str">
        <f>IF($G602="","",IF(AND($G602&gt;=30,$AT$3&lt;=DM$7),ROUND(DM602*($AP$3+#REF!),-1),""))</f>
        <v/>
      </c>
      <c r="DO602" s="503" t="s">
        <v>621</v>
      </c>
      <c r="DP602" s="503" t="str">
        <f>IF($G602="","",IF(AND($G602&gt;=30,$AT$3&lt;=DO$7),ROUND(DO602*($AP$3+#REF!),-1),""))</f>
        <v/>
      </c>
      <c r="DQ602" s="503" t="s">
        <v>621</v>
      </c>
      <c r="DR602" s="503" t="str">
        <f>IF($G602="","",IF(AND($G602&gt;=30,$AT$3&lt;=DQ$7),ROUND(DQ602*($AP$3+#REF!),-1),""))</f>
        <v/>
      </c>
      <c r="DS602" s="503" t="s">
        <v>621</v>
      </c>
      <c r="DT602" s="503" t="str">
        <f>IF($G602="","",IF(AND($G602&gt;=30,$AT$3&lt;=DS$7),ROUND(DS602*($AP$3+#REF!),-1),""))</f>
        <v/>
      </c>
      <c r="DU602" s="503" t="s">
        <v>621</v>
      </c>
      <c r="DV602" s="503" t="str">
        <f>IF($G602="","",IF(AND($G602&gt;=30,$AT$3&lt;=DU$7),ROUND(DU602*($AP$3+#REF!),-1),""))</f>
        <v/>
      </c>
      <c r="DW602" s="503" t="s">
        <v>621</v>
      </c>
      <c r="DX602" s="503" t="str">
        <f>IF($G602="","",IF(AND($G602&gt;=30,$AT$3&lt;=DW$7),ROUND(DW602*($AP$3+#REF!),-1),""))</f>
        <v/>
      </c>
      <c r="DY602" s="503" t="s">
        <v>621</v>
      </c>
      <c r="DZ602" s="503" t="str">
        <f>IF($G602="","",IF(AND($G602&gt;=30,$AT$3&lt;=DY$7),ROUND(DY602*($AP$3+#REF!),-1),""))</f>
        <v/>
      </c>
      <c r="EA602" s="517" t="e">
        <v>#REF!</v>
      </c>
      <c r="EB602" s="503" t="str">
        <f>IF($G602="","",IF(AND($G602&gt;=30,$AT$3&lt;=EA$7),ROUND(EA602*($AP$3+#REF!),-1),""))</f>
        <v/>
      </c>
      <c r="EC602" s="436"/>
      <c r="ED602" s="436"/>
      <c r="EE602" s="394"/>
    </row>
    <row r="603" spans="1:135" ht="9.75" customHeight="1">
      <c r="A603" s="321" t="str">
        <f t="shared" si="138"/>
        <v/>
      </c>
      <c r="B603" s="567">
        <f>(ii!$D$13*12+V603)+1</f>
        <v>497</v>
      </c>
      <c r="C603" s="337">
        <f t="shared" si="142"/>
        <v>60479</v>
      </c>
      <c r="D603" s="484">
        <f t="shared" si="145"/>
        <v>2065</v>
      </c>
      <c r="E603" s="484">
        <f t="shared" si="143"/>
        <v>0.58333333333333337</v>
      </c>
      <c r="F603" s="484">
        <f t="shared" si="146"/>
        <v>2065.5833333333335</v>
      </c>
      <c r="G603" s="485" t="str">
        <f>IF(OR(C603&lt;$I$2,C603&gt;$J$3),"",(ii!$D$13*12+V603+1)/12)</f>
        <v/>
      </c>
      <c r="H603" s="486" t="str">
        <f t="shared" ref="H603:H608" si="148">IF(OR(F603&lt;$I$3,F603&gt;$F$3),"",ROUNDDOWN((N603+AF603+SUM(AG603:DE603)),-1))</f>
        <v/>
      </c>
      <c r="I603" s="486" t="str">
        <f t="shared" ref="I603:I608" si="149">IF(OR(H602="",H603=""),"",H603-H602)</f>
        <v/>
      </c>
      <c r="J603" s="487"/>
      <c r="K603" s="488"/>
      <c r="L603" s="548"/>
      <c r="M603" s="489" t="str">
        <f t="shared" si="147"/>
        <v/>
      </c>
      <c r="N603" s="490" t="s">
        <v>621</v>
      </c>
      <c r="O603" s="490" t="str">
        <f t="shared" si="140"/>
        <v/>
      </c>
      <c r="P603" s="491"/>
      <c r="Q603" s="491"/>
      <c r="R603" s="491" t="str">
        <f t="shared" si="141"/>
        <v/>
      </c>
      <c r="S603" s="528" t="str">
        <f t="shared" si="139"/>
        <v/>
      </c>
      <c r="T603" s="528" t="str">
        <f t="shared" si="137"/>
        <v/>
      </c>
      <c r="U603" s="493" t="str">
        <f>IF(H603="","",#REF!*12+#REF!+#REF!*12+#REF!)</f>
        <v/>
      </c>
      <c r="V603" s="338">
        <f>IF(ii!$J$3&gt;gg!C603,"",IF(AND((YEAR(C603)=YEAR($I$2)),MONTH(C603)=MONTH($I$2)),ii!$B$14*12+ii!$C$14+ii!$B$15*12+ii!$C$15-1,V602+1))</f>
        <v>496</v>
      </c>
      <c r="W603" s="339">
        <f t="shared" si="144"/>
        <v>41.333333333333336</v>
      </c>
      <c r="X603" s="494" t="s">
        <v>621</v>
      </c>
      <c r="Y603" s="495" t="s">
        <v>621</v>
      </c>
      <c r="Z603" s="496"/>
      <c r="AA603" s="497"/>
      <c r="AB603" s="498" t="str">
        <f t="shared" si="136"/>
        <v/>
      </c>
      <c r="AC603" s="484" t="str">
        <f t="shared" ref="AC603:AC608" si="150">IF(OR(C603&lt;$I$2,C603&gt;$J$3),"",IF(AB603&lt;0.3,300,IF(AND(AB603&gt;=0.3,AB603&lt;0.4),216.67,IF(AND(AB603&gt;=0.4,AB603&lt;0.5),175,IF(AND(AB603&gt;=0.5,AB603&lt;0.6),150,IF(AND(AB603&gt;=0.6,AB603&lt;0.7),133.33,IF(AND(AB603&gt;=0.7,AB603&lt;0.8),121.43,IF(AND(AB603&gt;=0.8,AB603&lt;0.9),112.5,IF(AND(AB603&gt;=0.9,AB603&lt;1),105.56,IF(AND(AB603&gt;=1,AB603&lt;1.1),100,IF(AND(AB603&gt;=1.1,AB603&lt;1.2),95.45,IF(AND(AB603&gt;=1.2,AB603&lt;1.3),91.67,IF(AND(AB603&gt;=1.3,AB603&lt;1.4),88.46,IF(AND(AB603&gt;=1.4,AB603&lt;1.5),85.71,IF(AND(AB603&gt;=1.5,AB603&lt;1.6),83.33,IF(AB603&gt;=1.6,81.25,"???"))))))))))))))))</f>
        <v/>
      </c>
      <c r="AD603" s="495" t="str">
        <f t="shared" ref="AD603:AD608" si="151">IF(AC603="","",P603*AC603%)</f>
        <v/>
      </c>
      <c r="AE603" s="499" t="s">
        <v>621</v>
      </c>
      <c r="AF603" s="500" t="s">
        <v>621</v>
      </c>
      <c r="AG603" s="556" t="s">
        <v>621</v>
      </c>
      <c r="AH603" s="503" t="str">
        <f>IF($G603="","",IF(AND($G603&gt;=30,$AT$3&lt;=AG$7),ROUND(AG603*($AP$3+#REF!),-1),""))</f>
        <v/>
      </c>
      <c r="AI603" s="506" t="s">
        <v>621</v>
      </c>
      <c r="AJ603" s="503" t="str">
        <f>IF($G603="","",IF(AND($G603&gt;=30,$AT$3&lt;=AI$7),ROUND(AI603*($AP$3+#REF!),-1),""))</f>
        <v/>
      </c>
      <c r="AK603" s="506" t="s">
        <v>621</v>
      </c>
      <c r="AL603" s="503" t="str">
        <f>IF($G603="","",IF(AND($G603&gt;=30,$AT$3&lt;=AK$7),ROUND(AK603*($AP$3+#REF!),-1),""))</f>
        <v/>
      </c>
      <c r="AM603" s="506" t="s">
        <v>621</v>
      </c>
      <c r="AN603" s="503" t="str">
        <f>IF($G603="","",IF(AND($G603&gt;=30,$AT$3&lt;=AM$7),ROUND(AM603*($AP$3+#REF!),-1),""))</f>
        <v/>
      </c>
      <c r="AO603" s="503" t="e">
        <v>#REF!</v>
      </c>
      <c r="AP603" s="503" t="str">
        <f>IF($G603="","",IF(AND($G603&gt;=30,$AT$3&lt;=AO$7),ROUND(AO603*($AP$3+#REF!),-1),""))</f>
        <v/>
      </c>
      <c r="AQ603" s="503" t="s">
        <v>621</v>
      </c>
      <c r="AR603" s="503" t="str">
        <f>IF($G603="","",IF(AND($G603&gt;=30,$AT$3&lt;=AQ$7),ROUND(AQ603*($AP$3+#REF!),-1),""))</f>
        <v/>
      </c>
      <c r="AS603" s="503" t="s">
        <v>621</v>
      </c>
      <c r="AT603" s="503" t="str">
        <f>IF($G603="","",IF(AND($G603&gt;=30,$AT$3&lt;=AS$7),ROUND(AS603*($AP$3+#REF!),-1),""))</f>
        <v/>
      </c>
      <c r="AU603" s="503" t="s">
        <v>621</v>
      </c>
      <c r="AV603" s="503" t="str">
        <f>IF($G603="","",IF(AND($G603&gt;=30,$AT$3&lt;=AU$7),ROUND(AU603*($AP$3+#REF!),-1),""))</f>
        <v/>
      </c>
      <c r="AW603" s="503" t="s">
        <v>621</v>
      </c>
      <c r="AX603" s="503" t="str">
        <f>IF($G603="","",IF(AND($G603&gt;=30,$AT$3&lt;=AW$7),ROUND(AW603*($AP$3+#REF!),-1),""))</f>
        <v/>
      </c>
      <c r="AY603" s="503" t="s">
        <v>621</v>
      </c>
      <c r="AZ603" s="503" t="str">
        <f>IF($G603="","",IF(AND($G603&gt;=30,$AT$3&lt;=AY$7),ROUND(AY603*($AP$3+#REF!),-1),""))</f>
        <v/>
      </c>
      <c r="BA603" s="503" t="s">
        <v>621</v>
      </c>
      <c r="BB603" s="503" t="str">
        <f>IF($G603="","",IF(AND($G603&gt;=30,$AT$3&lt;=BA$7),ROUND(BA603*($AP$3+#REF!),-1),""))</f>
        <v/>
      </c>
      <c r="BC603" s="503" t="s">
        <v>621</v>
      </c>
      <c r="BD603" s="503" t="str">
        <f>IF($G603="","",IF(AND($G603&gt;=30,$AT$3&lt;=BC$7),ROUND(BC603*($AP$3+#REF!),-1),""))</f>
        <v/>
      </c>
      <c r="BE603" s="503" t="s">
        <v>621</v>
      </c>
      <c r="BF603" s="503" t="str">
        <f>IF($G603="","",IF(AND($G603&gt;=30,$AT$3&lt;=BE$7),ROUND(BE603*($AP$3+#REF!),-1),""))</f>
        <v/>
      </c>
      <c r="BG603" s="503" t="s">
        <v>621</v>
      </c>
      <c r="BH603" s="503" t="str">
        <f>IF($G603="","",IF(AND($G603&gt;=30,$AT$3&lt;=BG$7),ROUND(BG603*($AP$3+#REF!),-1),""))</f>
        <v/>
      </c>
      <c r="BI603" s="503" t="s">
        <v>621</v>
      </c>
      <c r="BJ603" s="503" t="str">
        <f>IF($G603="","",IF(AND($G603&gt;=30,$AT$3&lt;=BI$7),ROUND(BI603*($AP$3+#REF!),-1),""))</f>
        <v/>
      </c>
      <c r="BK603" s="503" t="s">
        <v>621</v>
      </c>
      <c r="BL603" s="503" t="str">
        <f>IF($G603="","",IF(AND($G603&gt;=30,$AT$3&lt;=BK$7),ROUND(BK603*($AP$3+#REF!),-1),""))</f>
        <v/>
      </c>
      <c r="BM603" s="503" t="s">
        <v>621</v>
      </c>
      <c r="BN603" s="503" t="str">
        <f>IF($G603="","",IF(AND($G603&gt;=30,$AT$3&lt;=BM$7),ROUND(BM603*($AP$3+#REF!),-1),""))</f>
        <v/>
      </c>
      <c r="BO603" s="503" t="s">
        <v>621</v>
      </c>
      <c r="BP603" s="503" t="str">
        <f>IF($G603="","",IF(AND($G603&gt;=30,$AT$3&lt;=BO$7),ROUND(BO603*($AP$3+#REF!),-1),""))</f>
        <v/>
      </c>
      <c r="BQ603" s="503" t="s">
        <v>621</v>
      </c>
      <c r="BR603" s="503" t="str">
        <f>IF($G603="","",IF(AND($G603&gt;=30,$AT$3&lt;=BQ$7),ROUND(BQ603*($AP$3+#REF!),-1),""))</f>
        <v/>
      </c>
      <c r="BS603" s="503" t="s">
        <v>621</v>
      </c>
      <c r="BT603" s="503" t="str">
        <f>IF($G603="","",IF(AND($G603&gt;=30,$AT$3&lt;=BS$7),ROUND(BS603*($AP$3+#REF!),-1),""))</f>
        <v/>
      </c>
      <c r="BU603" s="503" t="s">
        <v>621</v>
      </c>
      <c r="BV603" s="503" t="str">
        <f>IF($G603="","",IF(AND($G603&gt;=30,$AT$3&lt;=BU$7),ROUND(BU603*($AP$3+#REF!),-1),""))</f>
        <v/>
      </c>
      <c r="BW603" s="503" t="s">
        <v>621</v>
      </c>
      <c r="BX603" s="503" t="str">
        <f>IF($G603="","",IF(AND($G603&gt;=30,$AT$3&lt;=BW$7),ROUND(BW603*($AP$3+#REF!),-1),""))</f>
        <v/>
      </c>
      <c r="BY603" s="503" t="s">
        <v>621</v>
      </c>
      <c r="BZ603" s="503" t="str">
        <f>IF($G603="","",IF(AND($G603&gt;=30,$AT$3&lt;=BY$7),ROUND(BY603*($AP$3+#REF!),-1),""))</f>
        <v/>
      </c>
      <c r="CA603" s="503" t="s">
        <v>621</v>
      </c>
      <c r="CB603" s="503" t="str">
        <f>IF($G603="","",IF(AND($G603&gt;=30,$AT$3&lt;=CA$7),ROUND(CA603*($AP$3+#REF!),-1),""))</f>
        <v/>
      </c>
      <c r="CC603" s="503" t="s">
        <v>621</v>
      </c>
      <c r="CD603" s="503" t="str">
        <f>IF($G603="","",IF(AND($G603&gt;=30,$AT$3&lt;=CC$7),ROUND(CC603*($AP$3+#REF!),-1),""))</f>
        <v/>
      </c>
      <c r="CE603" s="503" t="s">
        <v>621</v>
      </c>
      <c r="CF603" s="503" t="str">
        <f>IF($G603="","",IF(AND($G603&gt;=30,$AT$3&lt;=CE$7),ROUND(CE603*($AP$3+#REF!),-1),""))</f>
        <v/>
      </c>
      <c r="CG603" s="503" t="s">
        <v>621</v>
      </c>
      <c r="CH603" s="503" t="str">
        <f>IF($G603="","",IF(AND($G603&gt;=30,$AT$3&lt;=CG$7),ROUND(CG603*($AP$3+#REF!),-1),""))</f>
        <v/>
      </c>
      <c r="CI603" s="503" t="s">
        <v>621</v>
      </c>
      <c r="CJ603" s="503" t="str">
        <f>IF($G603="","",IF(AND($G603&gt;=30,$AT$3&lt;=CI$7),ROUND(CI603*($AP$3+#REF!),-1),""))</f>
        <v/>
      </c>
      <c r="CK603" s="503" t="s">
        <v>621</v>
      </c>
      <c r="CL603" s="503" t="str">
        <f>IF($G603="","",IF(AND($G603&gt;=30,$AT$3&lt;=CK$7),ROUND(CK603*($AP$3+#REF!),-1),""))</f>
        <v/>
      </c>
      <c r="CM603" s="503" t="s">
        <v>621</v>
      </c>
      <c r="CN603" s="503" t="str">
        <f>IF($G603="","",IF(AND($G603&gt;=30,$AT$3&lt;=CM$7),ROUND(CM603*($AP$3+#REF!),-1),""))</f>
        <v/>
      </c>
      <c r="CO603" s="503" t="s">
        <v>621</v>
      </c>
      <c r="CP603" s="503" t="str">
        <f>IF($G603="","",IF(AND($G603&gt;=30,$AT$3&lt;=CO$7),ROUND(CO603*($AP$3+#REF!),-1),""))</f>
        <v/>
      </c>
      <c r="CQ603" s="503" t="s">
        <v>621</v>
      </c>
      <c r="CR603" s="503" t="str">
        <f>IF($G603="","",IF(AND($G603&gt;=30,$AT$3&lt;=CQ$7),ROUND(CQ603*($AP$3+#REF!),-1),""))</f>
        <v/>
      </c>
      <c r="CS603" s="503" t="s">
        <v>621</v>
      </c>
      <c r="CT603" s="503" t="str">
        <f>IF($G603="","",IF(AND($G603&gt;=30,$AT$3&lt;=CS$7),ROUND(CS603*($AP$3+#REF!),-1),""))</f>
        <v/>
      </c>
      <c r="CU603" s="503" t="s">
        <v>621</v>
      </c>
      <c r="CV603" s="503" t="str">
        <f>IF($G603="","",IF(AND($G603&gt;=30,$AT$3&lt;=CU$7),ROUND(CU603*($AP$3+#REF!),-1),""))</f>
        <v/>
      </c>
      <c r="CW603" s="503" t="s">
        <v>621</v>
      </c>
      <c r="CX603" s="503" t="str">
        <f>IF($G603="","",IF(AND($G603&gt;=30,$AT$3&lt;=CW$7),ROUND(CW603*($AP$3+#REF!),-1),""))</f>
        <v/>
      </c>
      <c r="CY603" s="503" t="s">
        <v>621</v>
      </c>
      <c r="CZ603" s="503" t="str">
        <f>IF($G603="","",IF(AND($G603&gt;=30,$AT$3&lt;=CY$7),ROUND(CY603*($AP$3+#REF!),-1),""))</f>
        <v/>
      </c>
      <c r="DA603" s="503" t="s">
        <v>621</v>
      </c>
      <c r="DB603" s="503" t="str">
        <f>IF($G603="","",IF(AND($G603&gt;=30,$AT$3&lt;=DA$7),ROUND(DA603*($AP$3+#REF!),-1),""))</f>
        <v/>
      </c>
      <c r="DC603" s="503" t="s">
        <v>621</v>
      </c>
      <c r="DD603" s="503" t="str">
        <f>IF($G603="","",IF(AND($G603&gt;=30,$AT$3&lt;=DC$7),ROUND(DC603*($AP$3+#REF!),-1),""))</f>
        <v/>
      </c>
      <c r="DE603" s="503" t="s">
        <v>621</v>
      </c>
      <c r="DF603" s="503" t="str">
        <f>IF($G603="","",IF(AND($G603&gt;=30,$AT$3&lt;=DE$7),ROUND(DE603*($AP$3+#REF!),-1),""))</f>
        <v/>
      </c>
      <c r="DG603" s="503" t="s">
        <v>621</v>
      </c>
      <c r="DH603" s="503" t="str">
        <f>IF($G603="","",IF(AND($G603&gt;=30,$AT$3&lt;=DG$7),ROUND(DG603*($AP$3+#REF!),-1),""))</f>
        <v/>
      </c>
      <c r="DI603" s="503" t="s">
        <v>621</v>
      </c>
      <c r="DJ603" s="503" t="str">
        <f>IF($G603="","",IF(AND($G603&gt;=30,$AT$3&lt;=DI$7),ROUND(DI603*($AP$3+#REF!),-1),""))</f>
        <v/>
      </c>
      <c r="DK603" s="503" t="s">
        <v>621</v>
      </c>
      <c r="DL603" s="503" t="str">
        <f>IF($G603="","",IF(AND($G603&gt;=30,$AT$3&lt;=DK$7),ROUND(DK603*($AP$3+#REF!),-1),""))</f>
        <v/>
      </c>
      <c r="DM603" s="503" t="s">
        <v>621</v>
      </c>
      <c r="DN603" s="503" t="str">
        <f>IF($G603="","",IF(AND($G603&gt;=30,$AT$3&lt;=DM$7),ROUND(DM603*($AP$3+#REF!),-1),""))</f>
        <v/>
      </c>
      <c r="DO603" s="503" t="s">
        <v>621</v>
      </c>
      <c r="DP603" s="503" t="str">
        <f>IF($G603="","",IF(AND($G603&gt;=30,$AT$3&lt;=DO$7),ROUND(DO603*($AP$3+#REF!),-1),""))</f>
        <v/>
      </c>
      <c r="DQ603" s="503" t="s">
        <v>621</v>
      </c>
      <c r="DR603" s="503" t="str">
        <f>IF($G603="","",IF(AND($G603&gt;=30,$AT$3&lt;=DQ$7),ROUND(DQ603*($AP$3+#REF!),-1),""))</f>
        <v/>
      </c>
      <c r="DS603" s="503" t="s">
        <v>621</v>
      </c>
      <c r="DT603" s="503" t="str">
        <f>IF($G603="","",IF(AND($G603&gt;=30,$AT$3&lt;=DS$7),ROUND(DS603*($AP$3+#REF!),-1),""))</f>
        <v/>
      </c>
      <c r="DU603" s="503" t="s">
        <v>621</v>
      </c>
      <c r="DV603" s="503" t="str">
        <f>IF($G603="","",IF(AND($G603&gt;=30,$AT$3&lt;=DU$7),ROUND(DU603*($AP$3+#REF!),-1),""))</f>
        <v/>
      </c>
      <c r="DW603" s="503" t="s">
        <v>621</v>
      </c>
      <c r="DX603" s="503" t="str">
        <f>IF($G603="","",IF(AND($G603&gt;=30,$AT$3&lt;=DW$7),ROUND(DW603*($AP$3+#REF!),-1),""))</f>
        <v/>
      </c>
      <c r="DY603" s="503" t="s">
        <v>621</v>
      </c>
      <c r="DZ603" s="503" t="str">
        <f>IF($G603="","",IF(AND($G603&gt;=30,$AT$3&lt;=DY$7),ROUND(DY603*($AP$3+#REF!),-1),""))</f>
        <v/>
      </c>
      <c r="EA603" s="517" t="e">
        <v>#REF!</v>
      </c>
      <c r="EB603" s="503" t="str">
        <f>IF($G603="","",IF(AND($G603&gt;=30,$AT$3&lt;=EA$7),ROUND(EA603*($AP$3+#REF!),-1),""))</f>
        <v/>
      </c>
      <c r="EC603" s="436"/>
      <c r="ED603" s="436"/>
      <c r="EE603" s="394"/>
    </row>
    <row r="604" spans="1:135" ht="9.75" customHeight="1">
      <c r="A604" s="321" t="str">
        <f t="shared" si="138"/>
        <v/>
      </c>
      <c r="B604" s="567">
        <f>(ii!$D$13*12+V604)+1</f>
        <v>498</v>
      </c>
      <c r="C604" s="337">
        <f t="shared" si="142"/>
        <v>60510</v>
      </c>
      <c r="D604" s="484">
        <f t="shared" si="145"/>
        <v>2065</v>
      </c>
      <c r="E604" s="484">
        <f t="shared" si="143"/>
        <v>0.66666666666666663</v>
      </c>
      <c r="F604" s="484">
        <f t="shared" si="146"/>
        <v>2065.6666666666665</v>
      </c>
      <c r="G604" s="485" t="str">
        <f>IF(OR(C604&lt;$I$2,C604&gt;$J$3),"",(ii!$D$13*12+V604+1)/12)</f>
        <v/>
      </c>
      <c r="H604" s="486" t="str">
        <f t="shared" si="148"/>
        <v/>
      </c>
      <c r="I604" s="486" t="str">
        <f t="shared" si="149"/>
        <v/>
      </c>
      <c r="J604" s="487"/>
      <c r="K604" s="488"/>
      <c r="L604" s="548"/>
      <c r="M604" s="489" t="str">
        <f t="shared" si="147"/>
        <v/>
      </c>
      <c r="N604" s="490" t="s">
        <v>621</v>
      </c>
      <c r="O604" s="490" t="str">
        <f t="shared" si="140"/>
        <v/>
      </c>
      <c r="P604" s="491"/>
      <c r="Q604" s="491"/>
      <c r="R604" s="491" t="str">
        <f t="shared" si="141"/>
        <v/>
      </c>
      <c r="S604" s="528" t="str">
        <f t="shared" si="139"/>
        <v/>
      </c>
      <c r="T604" s="528" t="str">
        <f t="shared" si="137"/>
        <v/>
      </c>
      <c r="U604" s="493" t="str">
        <f>IF(H604="","",#REF!*12+#REF!+#REF!*12+#REF!)</f>
        <v/>
      </c>
      <c r="V604" s="338">
        <f>IF(ii!$J$3&gt;gg!C604,"",IF(AND((YEAR(C604)=YEAR($I$2)),MONTH(C604)=MONTH($I$2)),ii!$B$14*12+ii!$C$14+ii!$B$15*12+ii!$C$15-1,V603+1))</f>
        <v>497</v>
      </c>
      <c r="W604" s="339">
        <f t="shared" si="144"/>
        <v>41.416666666666664</v>
      </c>
      <c r="X604" s="494" t="s">
        <v>621</v>
      </c>
      <c r="Y604" s="495" t="s">
        <v>621</v>
      </c>
      <c r="Z604" s="496"/>
      <c r="AA604" s="497"/>
      <c r="AB604" s="498" t="str">
        <f t="shared" si="136"/>
        <v/>
      </c>
      <c r="AC604" s="484" t="str">
        <f t="shared" si="150"/>
        <v/>
      </c>
      <c r="AD604" s="495" t="str">
        <f t="shared" si="151"/>
        <v/>
      </c>
      <c r="AE604" s="499" t="s">
        <v>621</v>
      </c>
      <c r="AF604" s="500" t="s">
        <v>621</v>
      </c>
      <c r="AG604" s="556" t="s">
        <v>621</v>
      </c>
      <c r="AH604" s="503" t="str">
        <f>IF($G604="","",IF(AND($G604&gt;=30,$AT$3&lt;=AG$7),ROUND(AG604*($AP$3+#REF!),-1),""))</f>
        <v/>
      </c>
      <c r="AI604" s="506" t="s">
        <v>621</v>
      </c>
      <c r="AJ604" s="503" t="str">
        <f>IF($G604="","",IF(AND($G604&gt;=30,$AT$3&lt;=AI$7),ROUND(AI604*($AP$3+#REF!),-1),""))</f>
        <v/>
      </c>
      <c r="AK604" s="506" t="s">
        <v>621</v>
      </c>
      <c r="AL604" s="503" t="str">
        <f>IF($G604="","",IF(AND($G604&gt;=30,$AT$3&lt;=AK$7),ROUND(AK604*($AP$3+#REF!),-1),""))</f>
        <v/>
      </c>
      <c r="AM604" s="506" t="s">
        <v>621</v>
      </c>
      <c r="AN604" s="503" t="str">
        <f>IF($G604="","",IF(AND($G604&gt;=30,$AT$3&lt;=AM$7),ROUND(AM604*($AP$3+#REF!),-1),""))</f>
        <v/>
      </c>
      <c r="AO604" s="503" t="e">
        <v>#REF!</v>
      </c>
      <c r="AP604" s="503" t="str">
        <f>IF($G604="","",IF(AND($G604&gt;=30,$AT$3&lt;=AO$7),ROUND(AO604*($AP$3+#REF!),-1),""))</f>
        <v/>
      </c>
      <c r="AQ604" s="503" t="s">
        <v>621</v>
      </c>
      <c r="AR604" s="503" t="str">
        <f>IF($G604="","",IF(AND($G604&gt;=30,$AT$3&lt;=AQ$7),ROUND(AQ604*($AP$3+#REF!),-1),""))</f>
        <v/>
      </c>
      <c r="AS604" s="503" t="s">
        <v>621</v>
      </c>
      <c r="AT604" s="503" t="str">
        <f>IF($G604="","",IF(AND($G604&gt;=30,$AT$3&lt;=AS$7),ROUND(AS604*($AP$3+#REF!),-1),""))</f>
        <v/>
      </c>
      <c r="AU604" s="503" t="s">
        <v>621</v>
      </c>
      <c r="AV604" s="503" t="str">
        <f>IF($G604="","",IF(AND($G604&gt;=30,$AT$3&lt;=AU$7),ROUND(AU604*($AP$3+#REF!),-1),""))</f>
        <v/>
      </c>
      <c r="AW604" s="503" t="s">
        <v>621</v>
      </c>
      <c r="AX604" s="503" t="str">
        <f>IF($G604="","",IF(AND($G604&gt;=30,$AT$3&lt;=AW$7),ROUND(AW604*($AP$3+#REF!),-1),""))</f>
        <v/>
      </c>
      <c r="AY604" s="503" t="s">
        <v>621</v>
      </c>
      <c r="AZ604" s="503" t="str">
        <f>IF($G604="","",IF(AND($G604&gt;=30,$AT$3&lt;=AY$7),ROUND(AY604*($AP$3+#REF!),-1),""))</f>
        <v/>
      </c>
      <c r="BA604" s="503" t="s">
        <v>621</v>
      </c>
      <c r="BB604" s="503" t="str">
        <f>IF($G604="","",IF(AND($G604&gt;=30,$AT$3&lt;=BA$7),ROUND(BA604*($AP$3+#REF!),-1),""))</f>
        <v/>
      </c>
      <c r="BC604" s="503" t="s">
        <v>621</v>
      </c>
      <c r="BD604" s="503" t="str">
        <f>IF($G604="","",IF(AND($G604&gt;=30,$AT$3&lt;=BC$7),ROUND(BC604*($AP$3+#REF!),-1),""))</f>
        <v/>
      </c>
      <c r="BE604" s="503" t="s">
        <v>621</v>
      </c>
      <c r="BF604" s="503" t="str">
        <f>IF($G604="","",IF(AND($G604&gt;=30,$AT$3&lt;=BE$7),ROUND(BE604*($AP$3+#REF!),-1),""))</f>
        <v/>
      </c>
      <c r="BG604" s="503" t="s">
        <v>621</v>
      </c>
      <c r="BH604" s="503" t="str">
        <f>IF($G604="","",IF(AND($G604&gt;=30,$AT$3&lt;=BG$7),ROUND(BG604*($AP$3+#REF!),-1),""))</f>
        <v/>
      </c>
      <c r="BI604" s="503" t="s">
        <v>621</v>
      </c>
      <c r="BJ604" s="503" t="str">
        <f>IF($G604="","",IF(AND($G604&gt;=30,$AT$3&lt;=BI$7),ROUND(BI604*($AP$3+#REF!),-1),""))</f>
        <v/>
      </c>
      <c r="BK604" s="503" t="s">
        <v>621</v>
      </c>
      <c r="BL604" s="503" t="str">
        <f>IF($G604="","",IF(AND($G604&gt;=30,$AT$3&lt;=BK$7),ROUND(BK604*($AP$3+#REF!),-1),""))</f>
        <v/>
      </c>
      <c r="BM604" s="503" t="s">
        <v>621</v>
      </c>
      <c r="BN604" s="503" t="str">
        <f>IF($G604="","",IF(AND($G604&gt;=30,$AT$3&lt;=BM$7),ROUND(BM604*($AP$3+#REF!),-1),""))</f>
        <v/>
      </c>
      <c r="BO604" s="503" t="s">
        <v>621</v>
      </c>
      <c r="BP604" s="503" t="str">
        <f>IF($G604="","",IF(AND($G604&gt;=30,$AT$3&lt;=BO$7),ROUND(BO604*($AP$3+#REF!),-1),""))</f>
        <v/>
      </c>
      <c r="BQ604" s="503" t="s">
        <v>621</v>
      </c>
      <c r="BR604" s="503" t="str">
        <f>IF($G604="","",IF(AND($G604&gt;=30,$AT$3&lt;=BQ$7),ROUND(BQ604*($AP$3+#REF!),-1),""))</f>
        <v/>
      </c>
      <c r="BS604" s="503" t="s">
        <v>621</v>
      </c>
      <c r="BT604" s="503" t="str">
        <f>IF($G604="","",IF(AND($G604&gt;=30,$AT$3&lt;=BS$7),ROUND(BS604*($AP$3+#REF!),-1),""))</f>
        <v/>
      </c>
      <c r="BU604" s="503" t="s">
        <v>621</v>
      </c>
      <c r="BV604" s="503" t="str">
        <f>IF($G604="","",IF(AND($G604&gt;=30,$AT$3&lt;=BU$7),ROUND(BU604*($AP$3+#REF!),-1),""))</f>
        <v/>
      </c>
      <c r="BW604" s="503" t="s">
        <v>621</v>
      </c>
      <c r="BX604" s="503" t="str">
        <f>IF($G604="","",IF(AND($G604&gt;=30,$AT$3&lt;=BW$7),ROUND(BW604*($AP$3+#REF!),-1),""))</f>
        <v/>
      </c>
      <c r="BY604" s="503" t="s">
        <v>621</v>
      </c>
      <c r="BZ604" s="503" t="str">
        <f>IF($G604="","",IF(AND($G604&gt;=30,$AT$3&lt;=BY$7),ROUND(BY604*($AP$3+#REF!),-1),""))</f>
        <v/>
      </c>
      <c r="CA604" s="503" t="s">
        <v>621</v>
      </c>
      <c r="CB604" s="503" t="str">
        <f>IF($G604="","",IF(AND($G604&gt;=30,$AT$3&lt;=CA$7),ROUND(CA604*($AP$3+#REF!),-1),""))</f>
        <v/>
      </c>
      <c r="CC604" s="503" t="s">
        <v>621</v>
      </c>
      <c r="CD604" s="503" t="str">
        <f>IF($G604="","",IF(AND($G604&gt;=30,$AT$3&lt;=CC$7),ROUND(CC604*($AP$3+#REF!),-1),""))</f>
        <v/>
      </c>
      <c r="CE604" s="503" t="s">
        <v>621</v>
      </c>
      <c r="CF604" s="503" t="str">
        <f>IF($G604="","",IF(AND($G604&gt;=30,$AT$3&lt;=CE$7),ROUND(CE604*($AP$3+#REF!),-1),""))</f>
        <v/>
      </c>
      <c r="CG604" s="503" t="s">
        <v>621</v>
      </c>
      <c r="CH604" s="503" t="str">
        <f>IF($G604="","",IF(AND($G604&gt;=30,$AT$3&lt;=CG$7),ROUND(CG604*($AP$3+#REF!),-1),""))</f>
        <v/>
      </c>
      <c r="CI604" s="503" t="s">
        <v>621</v>
      </c>
      <c r="CJ604" s="503" t="str">
        <f>IF($G604="","",IF(AND($G604&gt;=30,$AT$3&lt;=CI$7),ROUND(CI604*($AP$3+#REF!),-1),""))</f>
        <v/>
      </c>
      <c r="CK604" s="503" t="s">
        <v>621</v>
      </c>
      <c r="CL604" s="503" t="str">
        <f>IF($G604="","",IF(AND($G604&gt;=30,$AT$3&lt;=CK$7),ROUND(CK604*($AP$3+#REF!),-1),""))</f>
        <v/>
      </c>
      <c r="CM604" s="503" t="s">
        <v>621</v>
      </c>
      <c r="CN604" s="503" t="str">
        <f>IF($G604="","",IF(AND($G604&gt;=30,$AT$3&lt;=CM$7),ROUND(CM604*($AP$3+#REF!),-1),""))</f>
        <v/>
      </c>
      <c r="CO604" s="503" t="s">
        <v>621</v>
      </c>
      <c r="CP604" s="503" t="str">
        <f>IF($G604="","",IF(AND($G604&gt;=30,$AT$3&lt;=CO$7),ROUND(CO604*($AP$3+#REF!),-1),""))</f>
        <v/>
      </c>
      <c r="CQ604" s="503" t="s">
        <v>621</v>
      </c>
      <c r="CR604" s="503" t="str">
        <f>IF($G604="","",IF(AND($G604&gt;=30,$AT$3&lt;=CQ$7),ROUND(CQ604*($AP$3+#REF!),-1),""))</f>
        <v/>
      </c>
      <c r="CS604" s="503" t="s">
        <v>621</v>
      </c>
      <c r="CT604" s="503" t="str">
        <f>IF($G604="","",IF(AND($G604&gt;=30,$AT$3&lt;=CS$7),ROUND(CS604*($AP$3+#REF!),-1),""))</f>
        <v/>
      </c>
      <c r="CU604" s="503" t="s">
        <v>621</v>
      </c>
      <c r="CV604" s="503" t="str">
        <f>IF($G604="","",IF(AND($G604&gt;=30,$AT$3&lt;=CU$7),ROUND(CU604*($AP$3+#REF!),-1),""))</f>
        <v/>
      </c>
      <c r="CW604" s="503" t="s">
        <v>621</v>
      </c>
      <c r="CX604" s="503" t="str">
        <f>IF($G604="","",IF(AND($G604&gt;=30,$AT$3&lt;=CW$7),ROUND(CW604*($AP$3+#REF!),-1),""))</f>
        <v/>
      </c>
      <c r="CY604" s="503" t="s">
        <v>621</v>
      </c>
      <c r="CZ604" s="503" t="str">
        <f>IF($G604="","",IF(AND($G604&gt;=30,$AT$3&lt;=CY$7),ROUND(CY604*($AP$3+#REF!),-1),""))</f>
        <v/>
      </c>
      <c r="DA604" s="503" t="s">
        <v>621</v>
      </c>
      <c r="DB604" s="503" t="str">
        <f>IF($G604="","",IF(AND($G604&gt;=30,$AT$3&lt;=DA$7),ROUND(DA604*($AP$3+#REF!),-1),""))</f>
        <v/>
      </c>
      <c r="DC604" s="503" t="s">
        <v>621</v>
      </c>
      <c r="DD604" s="503" t="str">
        <f>IF($G604="","",IF(AND($G604&gt;=30,$AT$3&lt;=DC$7),ROUND(DC604*($AP$3+#REF!),-1),""))</f>
        <v/>
      </c>
      <c r="DE604" s="503" t="s">
        <v>621</v>
      </c>
      <c r="DF604" s="503" t="str">
        <f>IF($G604="","",IF(AND($G604&gt;=30,$AT$3&lt;=DE$7),ROUND(DE604*($AP$3+#REF!),-1),""))</f>
        <v/>
      </c>
      <c r="DG604" s="503" t="s">
        <v>621</v>
      </c>
      <c r="DH604" s="503" t="str">
        <f>IF($G604="","",IF(AND($G604&gt;=30,$AT$3&lt;=DG$7),ROUND(DG604*($AP$3+#REF!),-1),""))</f>
        <v/>
      </c>
      <c r="DI604" s="503" t="s">
        <v>621</v>
      </c>
      <c r="DJ604" s="503" t="str">
        <f>IF($G604="","",IF(AND($G604&gt;=30,$AT$3&lt;=DI$7),ROUND(DI604*($AP$3+#REF!),-1),""))</f>
        <v/>
      </c>
      <c r="DK604" s="503" t="s">
        <v>621</v>
      </c>
      <c r="DL604" s="503" t="str">
        <f>IF($G604="","",IF(AND($G604&gt;=30,$AT$3&lt;=DK$7),ROUND(DK604*($AP$3+#REF!),-1),""))</f>
        <v/>
      </c>
      <c r="DM604" s="503" t="s">
        <v>621</v>
      </c>
      <c r="DN604" s="503" t="str">
        <f>IF($G604="","",IF(AND($G604&gt;=30,$AT$3&lt;=DM$7),ROUND(DM604*($AP$3+#REF!),-1),""))</f>
        <v/>
      </c>
      <c r="DO604" s="503" t="s">
        <v>621</v>
      </c>
      <c r="DP604" s="503" t="str">
        <f>IF($G604="","",IF(AND($G604&gt;=30,$AT$3&lt;=DO$7),ROUND(DO604*($AP$3+#REF!),-1),""))</f>
        <v/>
      </c>
      <c r="DQ604" s="503" t="s">
        <v>621</v>
      </c>
      <c r="DR604" s="503" t="str">
        <f>IF($G604="","",IF(AND($G604&gt;=30,$AT$3&lt;=DQ$7),ROUND(DQ604*($AP$3+#REF!),-1),""))</f>
        <v/>
      </c>
      <c r="DS604" s="503" t="s">
        <v>621</v>
      </c>
      <c r="DT604" s="503" t="str">
        <f>IF($G604="","",IF(AND($G604&gt;=30,$AT$3&lt;=DS$7),ROUND(DS604*($AP$3+#REF!),-1),""))</f>
        <v/>
      </c>
      <c r="DU604" s="503" t="s">
        <v>621</v>
      </c>
      <c r="DV604" s="503" t="str">
        <f>IF($G604="","",IF(AND($G604&gt;=30,$AT$3&lt;=DU$7),ROUND(DU604*($AP$3+#REF!),-1),""))</f>
        <v/>
      </c>
      <c r="DW604" s="503" t="s">
        <v>621</v>
      </c>
      <c r="DX604" s="503" t="str">
        <f>IF($G604="","",IF(AND($G604&gt;=30,$AT$3&lt;=DW$7),ROUND(DW604*($AP$3+#REF!),-1),""))</f>
        <v/>
      </c>
      <c r="DY604" s="503" t="s">
        <v>621</v>
      </c>
      <c r="DZ604" s="503" t="str">
        <f>IF($G604="","",IF(AND($G604&gt;=30,$AT$3&lt;=DY$7),ROUND(DY604*($AP$3+#REF!),-1),""))</f>
        <v/>
      </c>
      <c r="EA604" s="517" t="e">
        <v>#REF!</v>
      </c>
      <c r="EB604" s="503" t="str">
        <f>IF($G604="","",IF(AND($G604&gt;=30,$AT$3&lt;=EA$7),ROUND(EA604*($AP$3+#REF!),-1),""))</f>
        <v/>
      </c>
      <c r="EC604" s="436"/>
      <c r="ED604" s="436"/>
      <c r="EE604" s="394"/>
    </row>
    <row r="605" spans="1:135" ht="9.75" customHeight="1">
      <c r="A605" s="321" t="str">
        <f t="shared" si="138"/>
        <v/>
      </c>
      <c r="B605" s="567">
        <f>(ii!$D$13*12+V605)+1</f>
        <v>499</v>
      </c>
      <c r="C605" s="337">
        <f t="shared" si="142"/>
        <v>60540</v>
      </c>
      <c r="D605" s="484">
        <f t="shared" si="145"/>
        <v>2065</v>
      </c>
      <c r="E605" s="484">
        <f t="shared" si="143"/>
        <v>0.75</v>
      </c>
      <c r="F605" s="484">
        <f t="shared" si="146"/>
        <v>2065.75</v>
      </c>
      <c r="G605" s="485" t="str">
        <f>IF(OR(C605&lt;$I$2,C605&gt;$J$3),"",(ii!$D$13*12+V605+1)/12)</f>
        <v/>
      </c>
      <c r="H605" s="486" t="str">
        <f t="shared" si="148"/>
        <v/>
      </c>
      <c r="I605" s="486" t="str">
        <f t="shared" si="149"/>
        <v/>
      </c>
      <c r="J605" s="487"/>
      <c r="K605" s="488"/>
      <c r="L605" s="548"/>
      <c r="M605" s="489" t="str">
        <f t="shared" si="147"/>
        <v/>
      </c>
      <c r="N605" s="490" t="s">
        <v>621</v>
      </c>
      <c r="O605" s="490" t="str">
        <f t="shared" si="140"/>
        <v/>
      </c>
      <c r="P605" s="491"/>
      <c r="Q605" s="491"/>
      <c r="R605" s="491" t="str">
        <f t="shared" si="141"/>
        <v/>
      </c>
      <c r="S605" s="528" t="str">
        <f t="shared" si="139"/>
        <v/>
      </c>
      <c r="T605" s="528" t="str">
        <f t="shared" si="137"/>
        <v/>
      </c>
      <c r="U605" s="493" t="str">
        <f>IF(H605="","",#REF!*12+#REF!+#REF!*12+#REF!)</f>
        <v/>
      </c>
      <c r="V605" s="338">
        <f>IF(ii!$J$3&gt;gg!C605,"",IF(AND((YEAR(C605)=YEAR($I$2)),MONTH(C605)=MONTH($I$2)),ii!$B$14*12+ii!$C$14+ii!$B$15*12+ii!$C$15-1,V604+1))</f>
        <v>498</v>
      </c>
      <c r="W605" s="339">
        <f t="shared" si="144"/>
        <v>41.5</v>
      </c>
      <c r="X605" s="494" t="s">
        <v>621</v>
      </c>
      <c r="Y605" s="495" t="s">
        <v>621</v>
      </c>
      <c r="Z605" s="496"/>
      <c r="AA605" s="497"/>
      <c r="AB605" s="498" t="str">
        <f t="shared" si="136"/>
        <v/>
      </c>
      <c r="AC605" s="484" t="str">
        <f t="shared" si="150"/>
        <v/>
      </c>
      <c r="AD605" s="495" t="str">
        <f t="shared" si="151"/>
        <v/>
      </c>
      <c r="AE605" s="499" t="s">
        <v>621</v>
      </c>
      <c r="AF605" s="500" t="s">
        <v>621</v>
      </c>
      <c r="AG605" s="556" t="s">
        <v>621</v>
      </c>
      <c r="AH605" s="503" t="str">
        <f>IF($G605="","",IF(AND($G605&gt;=30,$AT$3&lt;=AG$7),ROUND(AG605*($AP$3+#REF!),-1),""))</f>
        <v/>
      </c>
      <c r="AI605" s="506" t="s">
        <v>621</v>
      </c>
      <c r="AJ605" s="503" t="str">
        <f>IF($G605="","",IF(AND($G605&gt;=30,$AT$3&lt;=AI$7),ROUND(AI605*($AP$3+#REF!),-1),""))</f>
        <v/>
      </c>
      <c r="AK605" s="506" t="s">
        <v>621</v>
      </c>
      <c r="AL605" s="503" t="str">
        <f>IF($G605="","",IF(AND($G605&gt;=30,$AT$3&lt;=AK$7),ROUND(AK605*($AP$3+#REF!),-1),""))</f>
        <v/>
      </c>
      <c r="AM605" s="506" t="s">
        <v>621</v>
      </c>
      <c r="AN605" s="503" t="str">
        <f>IF($G605="","",IF(AND($G605&gt;=30,$AT$3&lt;=AM$7),ROUND(AM605*($AP$3+#REF!),-1),""))</f>
        <v/>
      </c>
      <c r="AO605" s="503" t="e">
        <v>#REF!</v>
      </c>
      <c r="AP605" s="503" t="str">
        <f>IF($G605="","",IF(AND($G605&gt;=30,$AT$3&lt;=AO$7),ROUND(AO605*($AP$3+#REF!),-1),""))</f>
        <v/>
      </c>
      <c r="AQ605" s="503" t="s">
        <v>621</v>
      </c>
      <c r="AR605" s="503" t="str">
        <f>IF($G605="","",IF(AND($G605&gt;=30,$AT$3&lt;=AQ$7),ROUND(AQ605*($AP$3+#REF!),-1),""))</f>
        <v/>
      </c>
      <c r="AS605" s="503" t="s">
        <v>621</v>
      </c>
      <c r="AT605" s="503" t="str">
        <f>IF($G605="","",IF(AND($G605&gt;=30,$AT$3&lt;=AS$7),ROUND(AS605*($AP$3+#REF!),-1),""))</f>
        <v/>
      </c>
      <c r="AU605" s="503" t="s">
        <v>621</v>
      </c>
      <c r="AV605" s="503" t="str">
        <f>IF($G605="","",IF(AND($G605&gt;=30,$AT$3&lt;=AU$7),ROUND(AU605*($AP$3+#REF!),-1),""))</f>
        <v/>
      </c>
      <c r="AW605" s="503" t="s">
        <v>621</v>
      </c>
      <c r="AX605" s="503" t="str">
        <f>IF($G605="","",IF(AND($G605&gt;=30,$AT$3&lt;=AW$7),ROUND(AW605*($AP$3+#REF!),-1),""))</f>
        <v/>
      </c>
      <c r="AY605" s="503" t="s">
        <v>621</v>
      </c>
      <c r="AZ605" s="503" t="str">
        <f>IF($G605="","",IF(AND($G605&gt;=30,$AT$3&lt;=AY$7),ROUND(AY605*($AP$3+#REF!),-1),""))</f>
        <v/>
      </c>
      <c r="BA605" s="503" t="s">
        <v>621</v>
      </c>
      <c r="BB605" s="503" t="str">
        <f>IF($G605="","",IF(AND($G605&gt;=30,$AT$3&lt;=BA$7),ROUND(BA605*($AP$3+#REF!),-1),""))</f>
        <v/>
      </c>
      <c r="BC605" s="503" t="s">
        <v>621</v>
      </c>
      <c r="BD605" s="503" t="str">
        <f>IF($G605="","",IF(AND($G605&gt;=30,$AT$3&lt;=BC$7),ROUND(BC605*($AP$3+#REF!),-1),""))</f>
        <v/>
      </c>
      <c r="BE605" s="503" t="s">
        <v>621</v>
      </c>
      <c r="BF605" s="503" t="str">
        <f>IF($G605="","",IF(AND($G605&gt;=30,$AT$3&lt;=BE$7),ROUND(BE605*($AP$3+#REF!),-1),""))</f>
        <v/>
      </c>
      <c r="BG605" s="503" t="s">
        <v>621</v>
      </c>
      <c r="BH605" s="503" t="str">
        <f>IF($G605="","",IF(AND($G605&gt;=30,$AT$3&lt;=BG$7),ROUND(BG605*($AP$3+#REF!),-1),""))</f>
        <v/>
      </c>
      <c r="BI605" s="503" t="s">
        <v>621</v>
      </c>
      <c r="BJ605" s="503" t="str">
        <f>IF($G605="","",IF(AND($G605&gt;=30,$AT$3&lt;=BI$7),ROUND(BI605*($AP$3+#REF!),-1),""))</f>
        <v/>
      </c>
      <c r="BK605" s="503" t="s">
        <v>621</v>
      </c>
      <c r="BL605" s="503" t="str">
        <f>IF($G605="","",IF(AND($G605&gt;=30,$AT$3&lt;=BK$7),ROUND(BK605*($AP$3+#REF!),-1),""))</f>
        <v/>
      </c>
      <c r="BM605" s="503" t="s">
        <v>621</v>
      </c>
      <c r="BN605" s="503" t="str">
        <f>IF($G605="","",IF(AND($G605&gt;=30,$AT$3&lt;=BM$7),ROUND(BM605*($AP$3+#REF!),-1),""))</f>
        <v/>
      </c>
      <c r="BO605" s="503" t="s">
        <v>621</v>
      </c>
      <c r="BP605" s="503" t="str">
        <f>IF($G605="","",IF(AND($G605&gt;=30,$AT$3&lt;=BO$7),ROUND(BO605*($AP$3+#REF!),-1),""))</f>
        <v/>
      </c>
      <c r="BQ605" s="503" t="s">
        <v>621</v>
      </c>
      <c r="BR605" s="503" t="str">
        <f>IF($G605="","",IF(AND($G605&gt;=30,$AT$3&lt;=BQ$7),ROUND(BQ605*($AP$3+#REF!),-1),""))</f>
        <v/>
      </c>
      <c r="BS605" s="503" t="s">
        <v>621</v>
      </c>
      <c r="BT605" s="503" t="str">
        <f>IF($G605="","",IF(AND($G605&gt;=30,$AT$3&lt;=BS$7),ROUND(BS605*($AP$3+#REF!),-1),""))</f>
        <v/>
      </c>
      <c r="BU605" s="503" t="s">
        <v>621</v>
      </c>
      <c r="BV605" s="503" t="str">
        <f>IF($G605="","",IF(AND($G605&gt;=30,$AT$3&lt;=BU$7),ROUND(BU605*($AP$3+#REF!),-1),""))</f>
        <v/>
      </c>
      <c r="BW605" s="503" t="s">
        <v>621</v>
      </c>
      <c r="BX605" s="503" t="str">
        <f>IF($G605="","",IF(AND($G605&gt;=30,$AT$3&lt;=BW$7),ROUND(BW605*($AP$3+#REF!),-1),""))</f>
        <v/>
      </c>
      <c r="BY605" s="503" t="s">
        <v>621</v>
      </c>
      <c r="BZ605" s="503" t="str">
        <f>IF($G605="","",IF(AND($G605&gt;=30,$AT$3&lt;=BY$7),ROUND(BY605*($AP$3+#REF!),-1),""))</f>
        <v/>
      </c>
      <c r="CA605" s="503" t="s">
        <v>621</v>
      </c>
      <c r="CB605" s="503" t="str">
        <f>IF($G605="","",IF(AND($G605&gt;=30,$AT$3&lt;=CA$7),ROUND(CA605*($AP$3+#REF!),-1),""))</f>
        <v/>
      </c>
      <c r="CC605" s="503" t="s">
        <v>621</v>
      </c>
      <c r="CD605" s="503" t="str">
        <f>IF($G605="","",IF(AND($G605&gt;=30,$AT$3&lt;=CC$7),ROUND(CC605*($AP$3+#REF!),-1),""))</f>
        <v/>
      </c>
      <c r="CE605" s="503" t="s">
        <v>621</v>
      </c>
      <c r="CF605" s="503" t="str">
        <f>IF($G605="","",IF(AND($G605&gt;=30,$AT$3&lt;=CE$7),ROUND(CE605*($AP$3+#REF!),-1),""))</f>
        <v/>
      </c>
      <c r="CG605" s="503" t="s">
        <v>621</v>
      </c>
      <c r="CH605" s="503" t="str">
        <f>IF($G605="","",IF(AND($G605&gt;=30,$AT$3&lt;=CG$7),ROUND(CG605*($AP$3+#REF!),-1),""))</f>
        <v/>
      </c>
      <c r="CI605" s="503" t="s">
        <v>621</v>
      </c>
      <c r="CJ605" s="503" t="str">
        <f>IF($G605="","",IF(AND($G605&gt;=30,$AT$3&lt;=CI$7),ROUND(CI605*($AP$3+#REF!),-1),""))</f>
        <v/>
      </c>
      <c r="CK605" s="503" t="s">
        <v>621</v>
      </c>
      <c r="CL605" s="503" t="str">
        <f>IF($G605="","",IF(AND($G605&gt;=30,$AT$3&lt;=CK$7),ROUND(CK605*($AP$3+#REF!),-1),""))</f>
        <v/>
      </c>
      <c r="CM605" s="503" t="s">
        <v>621</v>
      </c>
      <c r="CN605" s="503" t="str">
        <f>IF($G605="","",IF(AND($G605&gt;=30,$AT$3&lt;=CM$7),ROUND(CM605*($AP$3+#REF!),-1),""))</f>
        <v/>
      </c>
      <c r="CO605" s="503" t="s">
        <v>621</v>
      </c>
      <c r="CP605" s="503" t="str">
        <f>IF($G605="","",IF(AND($G605&gt;=30,$AT$3&lt;=CO$7),ROUND(CO605*($AP$3+#REF!),-1),""))</f>
        <v/>
      </c>
      <c r="CQ605" s="503" t="s">
        <v>621</v>
      </c>
      <c r="CR605" s="503" t="str">
        <f>IF($G605="","",IF(AND($G605&gt;=30,$AT$3&lt;=CQ$7),ROUND(CQ605*($AP$3+#REF!),-1),""))</f>
        <v/>
      </c>
      <c r="CS605" s="503" t="s">
        <v>621</v>
      </c>
      <c r="CT605" s="503" t="str">
        <f>IF($G605="","",IF(AND($G605&gt;=30,$AT$3&lt;=CS$7),ROUND(CS605*($AP$3+#REF!),-1),""))</f>
        <v/>
      </c>
      <c r="CU605" s="503" t="s">
        <v>621</v>
      </c>
      <c r="CV605" s="503" t="str">
        <f>IF($G605="","",IF(AND($G605&gt;=30,$AT$3&lt;=CU$7),ROUND(CU605*($AP$3+#REF!),-1),""))</f>
        <v/>
      </c>
      <c r="CW605" s="503" t="s">
        <v>621</v>
      </c>
      <c r="CX605" s="503" t="str">
        <f>IF($G605="","",IF(AND($G605&gt;=30,$AT$3&lt;=CW$7),ROUND(CW605*($AP$3+#REF!),-1),""))</f>
        <v/>
      </c>
      <c r="CY605" s="503" t="s">
        <v>621</v>
      </c>
      <c r="CZ605" s="503" t="str">
        <f>IF($G605="","",IF(AND($G605&gt;=30,$AT$3&lt;=CY$7),ROUND(CY605*($AP$3+#REF!),-1),""))</f>
        <v/>
      </c>
      <c r="DA605" s="503" t="s">
        <v>621</v>
      </c>
      <c r="DB605" s="503" t="str">
        <f>IF($G605="","",IF(AND($G605&gt;=30,$AT$3&lt;=DA$7),ROUND(DA605*($AP$3+#REF!),-1),""))</f>
        <v/>
      </c>
      <c r="DC605" s="503" t="s">
        <v>621</v>
      </c>
      <c r="DD605" s="503" t="str">
        <f>IF($G605="","",IF(AND($G605&gt;=30,$AT$3&lt;=DC$7),ROUND(DC605*($AP$3+#REF!),-1),""))</f>
        <v/>
      </c>
      <c r="DE605" s="503" t="s">
        <v>621</v>
      </c>
      <c r="DF605" s="503" t="str">
        <f>IF($G605="","",IF(AND($G605&gt;=30,$AT$3&lt;=DE$7),ROUND(DE605*($AP$3+#REF!),-1),""))</f>
        <v/>
      </c>
      <c r="DG605" s="503" t="s">
        <v>621</v>
      </c>
      <c r="DH605" s="503" t="str">
        <f>IF($G605="","",IF(AND($G605&gt;=30,$AT$3&lt;=DG$7),ROUND(DG605*($AP$3+#REF!),-1),""))</f>
        <v/>
      </c>
      <c r="DI605" s="503" t="s">
        <v>621</v>
      </c>
      <c r="DJ605" s="503" t="str">
        <f>IF($G605="","",IF(AND($G605&gt;=30,$AT$3&lt;=DI$7),ROUND(DI605*($AP$3+#REF!),-1),""))</f>
        <v/>
      </c>
      <c r="DK605" s="503" t="s">
        <v>621</v>
      </c>
      <c r="DL605" s="503" t="str">
        <f>IF($G605="","",IF(AND($G605&gt;=30,$AT$3&lt;=DK$7),ROUND(DK605*($AP$3+#REF!),-1),""))</f>
        <v/>
      </c>
      <c r="DM605" s="503" t="s">
        <v>621</v>
      </c>
      <c r="DN605" s="503" t="str">
        <f>IF($G605="","",IF(AND($G605&gt;=30,$AT$3&lt;=DM$7),ROUND(DM605*($AP$3+#REF!),-1),""))</f>
        <v/>
      </c>
      <c r="DO605" s="503" t="s">
        <v>621</v>
      </c>
      <c r="DP605" s="503" t="str">
        <f>IF($G605="","",IF(AND($G605&gt;=30,$AT$3&lt;=DO$7),ROUND(DO605*($AP$3+#REF!),-1),""))</f>
        <v/>
      </c>
      <c r="DQ605" s="503" t="s">
        <v>621</v>
      </c>
      <c r="DR605" s="503" t="str">
        <f>IF($G605="","",IF(AND($G605&gt;=30,$AT$3&lt;=DQ$7),ROUND(DQ605*($AP$3+#REF!),-1),""))</f>
        <v/>
      </c>
      <c r="DS605" s="503" t="s">
        <v>621</v>
      </c>
      <c r="DT605" s="503" t="str">
        <f>IF($G605="","",IF(AND($G605&gt;=30,$AT$3&lt;=DS$7),ROUND(DS605*($AP$3+#REF!),-1),""))</f>
        <v/>
      </c>
      <c r="DU605" s="503" t="s">
        <v>621</v>
      </c>
      <c r="DV605" s="503" t="str">
        <f>IF($G605="","",IF(AND($G605&gt;=30,$AT$3&lt;=DU$7),ROUND(DU605*($AP$3+#REF!),-1),""))</f>
        <v/>
      </c>
      <c r="DW605" s="503" t="s">
        <v>621</v>
      </c>
      <c r="DX605" s="503" t="str">
        <f>IF($G605="","",IF(AND($G605&gt;=30,$AT$3&lt;=DW$7),ROUND(DW605*($AP$3+#REF!),-1),""))</f>
        <v/>
      </c>
      <c r="DY605" s="503" t="s">
        <v>621</v>
      </c>
      <c r="DZ605" s="503" t="str">
        <f>IF($G605="","",IF(AND($G605&gt;=30,$AT$3&lt;=DY$7),ROUND(DY605*($AP$3+#REF!),-1),""))</f>
        <v/>
      </c>
      <c r="EA605" s="517" t="e">
        <v>#REF!</v>
      </c>
      <c r="EB605" s="503" t="str">
        <f>IF($G605="","",IF(AND($G605&gt;=30,$AT$3&lt;=EA$7),ROUND(EA605*($AP$3+#REF!),-1),""))</f>
        <v/>
      </c>
      <c r="EC605" s="436"/>
      <c r="ED605" s="436"/>
      <c r="EE605" s="394"/>
    </row>
    <row r="606" spans="1:135" ht="9.75" customHeight="1">
      <c r="A606" s="321" t="str">
        <f t="shared" si="138"/>
        <v/>
      </c>
      <c r="B606" s="567">
        <f>(ii!$D$13*12+V606)+1</f>
        <v>500</v>
      </c>
      <c r="C606" s="337">
        <f t="shared" si="142"/>
        <v>60571</v>
      </c>
      <c r="D606" s="484">
        <f t="shared" si="145"/>
        <v>2065</v>
      </c>
      <c r="E606" s="484">
        <f t="shared" si="143"/>
        <v>0.83333333333333337</v>
      </c>
      <c r="F606" s="484">
        <f t="shared" si="146"/>
        <v>2065.8333333333335</v>
      </c>
      <c r="G606" s="485" t="str">
        <f>IF(OR(C606&lt;$I$2,C606&gt;$J$3),"",(ii!$D$13*12+V606+1)/12)</f>
        <v/>
      </c>
      <c r="H606" s="486" t="str">
        <f t="shared" si="148"/>
        <v/>
      </c>
      <c r="I606" s="486" t="str">
        <f t="shared" si="149"/>
        <v/>
      </c>
      <c r="J606" s="487"/>
      <c r="K606" s="488"/>
      <c r="L606" s="548"/>
      <c r="M606" s="489" t="str">
        <f t="shared" si="147"/>
        <v/>
      </c>
      <c r="N606" s="490" t="s">
        <v>621</v>
      </c>
      <c r="O606" s="490" t="str">
        <f t="shared" si="140"/>
        <v/>
      </c>
      <c r="P606" s="491"/>
      <c r="Q606" s="491"/>
      <c r="R606" s="491" t="str">
        <f t="shared" si="141"/>
        <v/>
      </c>
      <c r="S606" s="528" t="str">
        <f t="shared" si="139"/>
        <v/>
      </c>
      <c r="T606" s="528" t="str">
        <f t="shared" si="137"/>
        <v/>
      </c>
      <c r="U606" s="493" t="str">
        <f>IF(H606="","",#REF!*12+#REF!+#REF!*12+#REF!)</f>
        <v/>
      </c>
      <c r="V606" s="338">
        <f>IF(ii!$J$3&gt;gg!C606,"",IF(AND((YEAR(C606)=YEAR($I$2)),MONTH(C606)=MONTH($I$2)),ii!$B$14*12+ii!$C$14+ii!$B$15*12+ii!$C$15-1,V605+1))</f>
        <v>499</v>
      </c>
      <c r="W606" s="339">
        <f t="shared" si="144"/>
        <v>41.583333333333336</v>
      </c>
      <c r="X606" s="494" t="s">
        <v>621</v>
      </c>
      <c r="Y606" s="495" t="s">
        <v>621</v>
      </c>
      <c r="Z606" s="496"/>
      <c r="AA606" s="497"/>
      <c r="AB606" s="498" t="str">
        <f t="shared" si="136"/>
        <v/>
      </c>
      <c r="AC606" s="484" t="str">
        <f t="shared" si="150"/>
        <v/>
      </c>
      <c r="AD606" s="495" t="str">
        <f t="shared" si="151"/>
        <v/>
      </c>
      <c r="AE606" s="499" t="s">
        <v>621</v>
      </c>
      <c r="AF606" s="500" t="s">
        <v>621</v>
      </c>
      <c r="AG606" s="556" t="s">
        <v>621</v>
      </c>
      <c r="AH606" s="503" t="str">
        <f>IF($G606="","",IF(AND($G606&gt;=30,$AT$3&lt;=AG$7),ROUND(AG606*($AP$3+#REF!),-1),""))</f>
        <v/>
      </c>
      <c r="AI606" s="506" t="s">
        <v>621</v>
      </c>
      <c r="AJ606" s="503" t="str">
        <f>IF($G606="","",IF(AND($G606&gt;=30,$AT$3&lt;=AI$7),ROUND(AI606*($AP$3+#REF!),-1),""))</f>
        <v/>
      </c>
      <c r="AK606" s="506" t="s">
        <v>621</v>
      </c>
      <c r="AL606" s="503" t="str">
        <f>IF($G606="","",IF(AND($G606&gt;=30,$AT$3&lt;=AK$7),ROUND(AK606*($AP$3+#REF!),-1),""))</f>
        <v/>
      </c>
      <c r="AM606" s="506" t="s">
        <v>621</v>
      </c>
      <c r="AN606" s="503" t="str">
        <f>IF($G606="","",IF(AND($G606&gt;=30,$AT$3&lt;=AM$7),ROUND(AM606*($AP$3+#REF!),-1),""))</f>
        <v/>
      </c>
      <c r="AO606" s="503" t="e">
        <v>#REF!</v>
      </c>
      <c r="AP606" s="503" t="str">
        <f>IF($G606="","",IF(AND($G606&gt;=30,$AT$3&lt;=AO$7),ROUND(AO606*($AP$3+#REF!),-1),""))</f>
        <v/>
      </c>
      <c r="AQ606" s="503" t="s">
        <v>621</v>
      </c>
      <c r="AR606" s="503" t="str">
        <f>IF($G606="","",IF(AND($G606&gt;=30,$AT$3&lt;=AQ$7),ROUND(AQ606*($AP$3+#REF!),-1),""))</f>
        <v/>
      </c>
      <c r="AS606" s="503" t="s">
        <v>621</v>
      </c>
      <c r="AT606" s="503" t="str">
        <f>IF($G606="","",IF(AND($G606&gt;=30,$AT$3&lt;=AS$7),ROUND(AS606*($AP$3+#REF!),-1),""))</f>
        <v/>
      </c>
      <c r="AU606" s="503" t="s">
        <v>621</v>
      </c>
      <c r="AV606" s="503" t="str">
        <f>IF($G606="","",IF(AND($G606&gt;=30,$AT$3&lt;=AU$7),ROUND(AU606*($AP$3+#REF!),-1),""))</f>
        <v/>
      </c>
      <c r="AW606" s="503" t="s">
        <v>621</v>
      </c>
      <c r="AX606" s="503" t="str">
        <f>IF($G606="","",IF(AND($G606&gt;=30,$AT$3&lt;=AW$7),ROUND(AW606*($AP$3+#REF!),-1),""))</f>
        <v/>
      </c>
      <c r="AY606" s="503" t="s">
        <v>621</v>
      </c>
      <c r="AZ606" s="503" t="str">
        <f>IF($G606="","",IF(AND($G606&gt;=30,$AT$3&lt;=AY$7),ROUND(AY606*($AP$3+#REF!),-1),""))</f>
        <v/>
      </c>
      <c r="BA606" s="503" t="s">
        <v>621</v>
      </c>
      <c r="BB606" s="503" t="str">
        <f>IF($G606="","",IF(AND($G606&gt;=30,$AT$3&lt;=BA$7),ROUND(BA606*($AP$3+#REF!),-1),""))</f>
        <v/>
      </c>
      <c r="BC606" s="503" t="s">
        <v>621</v>
      </c>
      <c r="BD606" s="503" t="str">
        <f>IF($G606="","",IF(AND($G606&gt;=30,$AT$3&lt;=BC$7),ROUND(BC606*($AP$3+#REF!),-1),""))</f>
        <v/>
      </c>
      <c r="BE606" s="503" t="s">
        <v>621</v>
      </c>
      <c r="BF606" s="503" t="str">
        <f>IF($G606="","",IF(AND($G606&gt;=30,$AT$3&lt;=BE$7),ROUND(BE606*($AP$3+#REF!),-1),""))</f>
        <v/>
      </c>
      <c r="BG606" s="503" t="s">
        <v>621</v>
      </c>
      <c r="BH606" s="503" t="str">
        <f>IF($G606="","",IF(AND($G606&gt;=30,$AT$3&lt;=BG$7),ROUND(BG606*($AP$3+#REF!),-1),""))</f>
        <v/>
      </c>
      <c r="BI606" s="503" t="s">
        <v>621</v>
      </c>
      <c r="BJ606" s="503" t="str">
        <f>IF($G606="","",IF(AND($G606&gt;=30,$AT$3&lt;=BI$7),ROUND(BI606*($AP$3+#REF!),-1),""))</f>
        <v/>
      </c>
      <c r="BK606" s="503" t="s">
        <v>621</v>
      </c>
      <c r="BL606" s="503" t="str">
        <f>IF($G606="","",IF(AND($G606&gt;=30,$AT$3&lt;=BK$7),ROUND(BK606*($AP$3+#REF!),-1),""))</f>
        <v/>
      </c>
      <c r="BM606" s="503" t="s">
        <v>621</v>
      </c>
      <c r="BN606" s="503" t="str">
        <f>IF($G606="","",IF(AND($G606&gt;=30,$AT$3&lt;=BM$7),ROUND(BM606*($AP$3+#REF!),-1),""))</f>
        <v/>
      </c>
      <c r="BO606" s="503" t="s">
        <v>621</v>
      </c>
      <c r="BP606" s="503" t="str">
        <f>IF($G606="","",IF(AND($G606&gt;=30,$AT$3&lt;=BO$7),ROUND(BO606*($AP$3+#REF!),-1),""))</f>
        <v/>
      </c>
      <c r="BQ606" s="503" t="s">
        <v>621</v>
      </c>
      <c r="BR606" s="503" t="str">
        <f>IF($G606="","",IF(AND($G606&gt;=30,$AT$3&lt;=BQ$7),ROUND(BQ606*($AP$3+#REF!),-1),""))</f>
        <v/>
      </c>
      <c r="BS606" s="503" t="s">
        <v>621</v>
      </c>
      <c r="BT606" s="503" t="str">
        <f>IF($G606="","",IF(AND($G606&gt;=30,$AT$3&lt;=BS$7),ROUND(BS606*($AP$3+#REF!),-1),""))</f>
        <v/>
      </c>
      <c r="BU606" s="503" t="s">
        <v>621</v>
      </c>
      <c r="BV606" s="503" t="str">
        <f>IF($G606="","",IF(AND($G606&gt;=30,$AT$3&lt;=BU$7),ROUND(BU606*($AP$3+#REF!),-1),""))</f>
        <v/>
      </c>
      <c r="BW606" s="503" t="s">
        <v>621</v>
      </c>
      <c r="BX606" s="503" t="str">
        <f>IF($G606="","",IF(AND($G606&gt;=30,$AT$3&lt;=BW$7),ROUND(BW606*($AP$3+#REF!),-1),""))</f>
        <v/>
      </c>
      <c r="BY606" s="503" t="s">
        <v>621</v>
      </c>
      <c r="BZ606" s="503" t="str">
        <f>IF($G606="","",IF(AND($G606&gt;=30,$AT$3&lt;=BY$7),ROUND(BY606*($AP$3+#REF!),-1),""))</f>
        <v/>
      </c>
      <c r="CA606" s="503" t="s">
        <v>621</v>
      </c>
      <c r="CB606" s="503" t="str">
        <f>IF($G606="","",IF(AND($G606&gt;=30,$AT$3&lt;=CA$7),ROUND(CA606*($AP$3+#REF!),-1),""))</f>
        <v/>
      </c>
      <c r="CC606" s="503" t="s">
        <v>621</v>
      </c>
      <c r="CD606" s="503" t="str">
        <f>IF($G606="","",IF(AND($G606&gt;=30,$AT$3&lt;=CC$7),ROUND(CC606*($AP$3+#REF!),-1),""))</f>
        <v/>
      </c>
      <c r="CE606" s="503" t="s">
        <v>621</v>
      </c>
      <c r="CF606" s="503" t="str">
        <f>IF($G606="","",IF(AND($G606&gt;=30,$AT$3&lt;=CE$7),ROUND(CE606*($AP$3+#REF!),-1),""))</f>
        <v/>
      </c>
      <c r="CG606" s="503" t="s">
        <v>621</v>
      </c>
      <c r="CH606" s="503" t="str">
        <f>IF($G606="","",IF(AND($G606&gt;=30,$AT$3&lt;=CG$7),ROUND(CG606*($AP$3+#REF!),-1),""))</f>
        <v/>
      </c>
      <c r="CI606" s="503" t="s">
        <v>621</v>
      </c>
      <c r="CJ606" s="503" t="str">
        <f>IF($G606="","",IF(AND($G606&gt;=30,$AT$3&lt;=CI$7),ROUND(CI606*($AP$3+#REF!),-1),""))</f>
        <v/>
      </c>
      <c r="CK606" s="503" t="s">
        <v>621</v>
      </c>
      <c r="CL606" s="503" t="str">
        <f>IF($G606="","",IF(AND($G606&gt;=30,$AT$3&lt;=CK$7),ROUND(CK606*($AP$3+#REF!),-1),""))</f>
        <v/>
      </c>
      <c r="CM606" s="503" t="s">
        <v>621</v>
      </c>
      <c r="CN606" s="503" t="str">
        <f>IF($G606="","",IF(AND($G606&gt;=30,$AT$3&lt;=CM$7),ROUND(CM606*($AP$3+#REF!),-1),""))</f>
        <v/>
      </c>
      <c r="CO606" s="503" t="s">
        <v>621</v>
      </c>
      <c r="CP606" s="503" t="str">
        <f>IF($G606="","",IF(AND($G606&gt;=30,$AT$3&lt;=CO$7),ROUND(CO606*($AP$3+#REF!),-1),""))</f>
        <v/>
      </c>
      <c r="CQ606" s="503" t="s">
        <v>621</v>
      </c>
      <c r="CR606" s="503" t="str">
        <f>IF($G606="","",IF(AND($G606&gt;=30,$AT$3&lt;=CQ$7),ROUND(CQ606*($AP$3+#REF!),-1),""))</f>
        <v/>
      </c>
      <c r="CS606" s="503" t="s">
        <v>621</v>
      </c>
      <c r="CT606" s="503" t="str">
        <f>IF($G606="","",IF(AND($G606&gt;=30,$AT$3&lt;=CS$7),ROUND(CS606*($AP$3+#REF!),-1),""))</f>
        <v/>
      </c>
      <c r="CU606" s="503" t="s">
        <v>621</v>
      </c>
      <c r="CV606" s="503" t="str">
        <f>IF($G606="","",IF(AND($G606&gt;=30,$AT$3&lt;=CU$7),ROUND(CU606*($AP$3+#REF!),-1),""))</f>
        <v/>
      </c>
      <c r="CW606" s="503" t="s">
        <v>621</v>
      </c>
      <c r="CX606" s="503" t="str">
        <f>IF($G606="","",IF(AND($G606&gt;=30,$AT$3&lt;=CW$7),ROUND(CW606*($AP$3+#REF!),-1),""))</f>
        <v/>
      </c>
      <c r="CY606" s="503" t="s">
        <v>621</v>
      </c>
      <c r="CZ606" s="503" t="str">
        <f>IF($G606="","",IF(AND($G606&gt;=30,$AT$3&lt;=CY$7),ROUND(CY606*($AP$3+#REF!),-1),""))</f>
        <v/>
      </c>
      <c r="DA606" s="503" t="s">
        <v>621</v>
      </c>
      <c r="DB606" s="503" t="str">
        <f>IF($G606="","",IF(AND($G606&gt;=30,$AT$3&lt;=DA$7),ROUND(DA606*($AP$3+#REF!),-1),""))</f>
        <v/>
      </c>
      <c r="DC606" s="503" t="s">
        <v>621</v>
      </c>
      <c r="DD606" s="503" t="str">
        <f>IF($G606="","",IF(AND($G606&gt;=30,$AT$3&lt;=DC$7),ROUND(DC606*($AP$3+#REF!),-1),""))</f>
        <v/>
      </c>
      <c r="DE606" s="503" t="s">
        <v>621</v>
      </c>
      <c r="DF606" s="503" t="str">
        <f>IF($G606="","",IF(AND($G606&gt;=30,$AT$3&lt;=DE$7),ROUND(DE606*($AP$3+#REF!),-1),""))</f>
        <v/>
      </c>
      <c r="DG606" s="503" t="s">
        <v>621</v>
      </c>
      <c r="DH606" s="503" t="str">
        <f>IF($G606="","",IF(AND($G606&gt;=30,$AT$3&lt;=DG$7),ROUND(DG606*($AP$3+#REF!),-1),""))</f>
        <v/>
      </c>
      <c r="DI606" s="503" t="s">
        <v>621</v>
      </c>
      <c r="DJ606" s="503" t="str">
        <f>IF($G606="","",IF(AND($G606&gt;=30,$AT$3&lt;=DI$7),ROUND(DI606*($AP$3+#REF!),-1),""))</f>
        <v/>
      </c>
      <c r="DK606" s="503" t="s">
        <v>621</v>
      </c>
      <c r="DL606" s="503" t="str">
        <f>IF($G606="","",IF(AND($G606&gt;=30,$AT$3&lt;=DK$7),ROUND(DK606*($AP$3+#REF!),-1),""))</f>
        <v/>
      </c>
      <c r="DM606" s="503" t="s">
        <v>621</v>
      </c>
      <c r="DN606" s="503" t="str">
        <f>IF($G606="","",IF(AND($G606&gt;=30,$AT$3&lt;=DM$7),ROUND(DM606*($AP$3+#REF!),-1),""))</f>
        <v/>
      </c>
      <c r="DO606" s="503" t="s">
        <v>621</v>
      </c>
      <c r="DP606" s="503" t="str">
        <f>IF($G606="","",IF(AND($G606&gt;=30,$AT$3&lt;=DO$7),ROUND(DO606*($AP$3+#REF!),-1),""))</f>
        <v/>
      </c>
      <c r="DQ606" s="503" t="s">
        <v>621</v>
      </c>
      <c r="DR606" s="503" t="str">
        <f>IF($G606="","",IF(AND($G606&gt;=30,$AT$3&lt;=DQ$7),ROUND(DQ606*($AP$3+#REF!),-1),""))</f>
        <v/>
      </c>
      <c r="DS606" s="503" t="s">
        <v>621</v>
      </c>
      <c r="DT606" s="503" t="str">
        <f>IF($G606="","",IF(AND($G606&gt;=30,$AT$3&lt;=DS$7),ROUND(DS606*($AP$3+#REF!),-1),""))</f>
        <v/>
      </c>
      <c r="DU606" s="503" t="s">
        <v>621</v>
      </c>
      <c r="DV606" s="503" t="str">
        <f>IF($G606="","",IF(AND($G606&gt;=30,$AT$3&lt;=DU$7),ROUND(DU606*($AP$3+#REF!),-1),""))</f>
        <v/>
      </c>
      <c r="DW606" s="503" t="s">
        <v>621</v>
      </c>
      <c r="DX606" s="503" t="str">
        <f>IF($G606="","",IF(AND($G606&gt;=30,$AT$3&lt;=DW$7),ROUND(DW606*($AP$3+#REF!),-1),""))</f>
        <v/>
      </c>
      <c r="DY606" s="503" t="s">
        <v>621</v>
      </c>
      <c r="DZ606" s="503" t="str">
        <f>IF($G606="","",IF(AND($G606&gt;=30,$AT$3&lt;=DY$7),ROUND(DY606*($AP$3+#REF!),-1),""))</f>
        <v/>
      </c>
      <c r="EA606" s="517" t="e">
        <v>#REF!</v>
      </c>
      <c r="EB606" s="503" t="str">
        <f>IF($G606="","",IF(AND($G606&gt;=30,$AT$3&lt;=EA$7),ROUND(EA606*($AP$3+#REF!),-1),""))</f>
        <v/>
      </c>
      <c r="EC606" s="436"/>
      <c r="ED606" s="436"/>
      <c r="EE606" s="394"/>
    </row>
    <row r="607" spans="1:135" ht="9.75" customHeight="1">
      <c r="A607" s="321" t="str">
        <f t="shared" si="138"/>
        <v/>
      </c>
      <c r="B607" s="567">
        <f>(ii!$D$13*12+V607)+1</f>
        <v>501</v>
      </c>
      <c r="C607" s="337">
        <f t="shared" si="142"/>
        <v>60601</v>
      </c>
      <c r="D607" s="484">
        <f t="shared" si="145"/>
        <v>2065</v>
      </c>
      <c r="E607" s="484">
        <f t="shared" si="143"/>
        <v>0.91666666666666663</v>
      </c>
      <c r="F607" s="484">
        <f t="shared" si="146"/>
        <v>2065.9166666666665</v>
      </c>
      <c r="G607" s="485" t="str">
        <f>IF(OR(C607&lt;$I$2,C607&gt;$J$3),"",(ii!$D$13*12+V607+1)/12)</f>
        <v/>
      </c>
      <c r="H607" s="486" t="str">
        <f t="shared" si="148"/>
        <v/>
      </c>
      <c r="I607" s="486" t="str">
        <f t="shared" si="149"/>
        <v/>
      </c>
      <c r="J607" s="487"/>
      <c r="K607" s="488"/>
      <c r="L607" s="548"/>
      <c r="M607" s="489" t="str">
        <f t="shared" si="147"/>
        <v/>
      </c>
      <c r="N607" s="490" t="s">
        <v>621</v>
      </c>
      <c r="O607" s="490" t="str">
        <f t="shared" si="140"/>
        <v/>
      </c>
      <c r="P607" s="491"/>
      <c r="Q607" s="491"/>
      <c r="R607" s="491" t="str">
        <f t="shared" si="141"/>
        <v/>
      </c>
      <c r="S607" s="528" t="str">
        <f t="shared" si="139"/>
        <v/>
      </c>
      <c r="T607" s="528" t="str">
        <f t="shared" si="137"/>
        <v/>
      </c>
      <c r="U607" s="493" t="str">
        <f>IF(H607="","",#REF!*12+#REF!+#REF!*12+#REF!)</f>
        <v/>
      </c>
      <c r="V607" s="338">
        <f>IF(ii!$J$3&gt;gg!C607,"",IF(AND((YEAR(C607)=YEAR($I$2)),MONTH(C607)=MONTH($I$2)),ii!$B$14*12+ii!$C$14+ii!$B$15*12+ii!$C$15-1,V606+1))</f>
        <v>500</v>
      </c>
      <c r="W607" s="339">
        <f t="shared" si="144"/>
        <v>41.666666666666664</v>
      </c>
      <c r="X607" s="494" t="s">
        <v>621</v>
      </c>
      <c r="Y607" s="495" t="s">
        <v>621</v>
      </c>
      <c r="Z607" s="496"/>
      <c r="AA607" s="497"/>
      <c r="AB607" s="498" t="str">
        <f t="shared" si="136"/>
        <v/>
      </c>
      <c r="AC607" s="484" t="str">
        <f t="shared" si="150"/>
        <v/>
      </c>
      <c r="AD607" s="495" t="str">
        <f t="shared" si="151"/>
        <v/>
      </c>
      <c r="AE607" s="499" t="s">
        <v>621</v>
      </c>
      <c r="AF607" s="500" t="s">
        <v>621</v>
      </c>
      <c r="AG607" s="556" t="s">
        <v>621</v>
      </c>
      <c r="AH607" s="503" t="str">
        <f>IF($G607="","",IF(AND($G607&gt;=30,$AT$3&lt;=AG$7),ROUND(AG607*($AP$3+#REF!),-1),""))</f>
        <v/>
      </c>
      <c r="AI607" s="506" t="s">
        <v>621</v>
      </c>
      <c r="AJ607" s="503" t="str">
        <f>IF($G607="","",IF(AND($G607&gt;=30,$AT$3&lt;=AI$7),ROUND(AI607*($AP$3+#REF!),-1),""))</f>
        <v/>
      </c>
      <c r="AK607" s="506" t="s">
        <v>621</v>
      </c>
      <c r="AL607" s="503" t="str">
        <f>IF($G607="","",IF(AND($G607&gt;=30,$AT$3&lt;=AK$7),ROUND(AK607*($AP$3+#REF!),-1),""))</f>
        <v/>
      </c>
      <c r="AM607" s="506" t="s">
        <v>621</v>
      </c>
      <c r="AN607" s="503" t="str">
        <f>IF($G607="","",IF(AND($G607&gt;=30,$AT$3&lt;=AM$7),ROUND(AM607*($AP$3+#REF!),-1),""))</f>
        <v/>
      </c>
      <c r="AO607" s="503" t="e">
        <v>#REF!</v>
      </c>
      <c r="AP607" s="503" t="str">
        <f>IF($G607="","",IF(AND($G607&gt;=30,$AT$3&lt;=AO$7),ROUND(AO607*($AP$3+#REF!),-1),""))</f>
        <v/>
      </c>
      <c r="AQ607" s="503" t="s">
        <v>621</v>
      </c>
      <c r="AR607" s="503" t="str">
        <f>IF($G607="","",IF(AND($G607&gt;=30,$AT$3&lt;=AQ$7),ROUND(AQ607*($AP$3+#REF!),-1),""))</f>
        <v/>
      </c>
      <c r="AS607" s="503" t="s">
        <v>621</v>
      </c>
      <c r="AT607" s="503" t="str">
        <f>IF($G607="","",IF(AND($G607&gt;=30,$AT$3&lt;=AS$7),ROUND(AS607*($AP$3+#REF!),-1),""))</f>
        <v/>
      </c>
      <c r="AU607" s="503" t="s">
        <v>621</v>
      </c>
      <c r="AV607" s="503" t="str">
        <f>IF($G607="","",IF(AND($G607&gt;=30,$AT$3&lt;=AU$7),ROUND(AU607*($AP$3+#REF!),-1),""))</f>
        <v/>
      </c>
      <c r="AW607" s="503" t="s">
        <v>621</v>
      </c>
      <c r="AX607" s="503" t="str">
        <f>IF($G607="","",IF(AND($G607&gt;=30,$AT$3&lt;=AW$7),ROUND(AW607*($AP$3+#REF!),-1),""))</f>
        <v/>
      </c>
      <c r="AY607" s="503" t="s">
        <v>621</v>
      </c>
      <c r="AZ607" s="503" t="str">
        <f>IF($G607="","",IF(AND($G607&gt;=30,$AT$3&lt;=AY$7),ROUND(AY607*($AP$3+#REF!),-1),""))</f>
        <v/>
      </c>
      <c r="BA607" s="503" t="s">
        <v>621</v>
      </c>
      <c r="BB607" s="503" t="str">
        <f>IF($G607="","",IF(AND($G607&gt;=30,$AT$3&lt;=BA$7),ROUND(BA607*($AP$3+#REF!),-1),""))</f>
        <v/>
      </c>
      <c r="BC607" s="503" t="s">
        <v>621</v>
      </c>
      <c r="BD607" s="503" t="str">
        <f>IF($G607="","",IF(AND($G607&gt;=30,$AT$3&lt;=BC$7),ROUND(BC607*($AP$3+#REF!),-1),""))</f>
        <v/>
      </c>
      <c r="BE607" s="503" t="s">
        <v>621</v>
      </c>
      <c r="BF607" s="503" t="str">
        <f>IF($G607="","",IF(AND($G607&gt;=30,$AT$3&lt;=BE$7),ROUND(BE607*($AP$3+#REF!),-1),""))</f>
        <v/>
      </c>
      <c r="BG607" s="503" t="s">
        <v>621</v>
      </c>
      <c r="BH607" s="503" t="str">
        <f>IF($G607="","",IF(AND($G607&gt;=30,$AT$3&lt;=BG$7),ROUND(BG607*($AP$3+#REF!),-1),""))</f>
        <v/>
      </c>
      <c r="BI607" s="503" t="s">
        <v>621</v>
      </c>
      <c r="BJ607" s="503" t="str">
        <f>IF($G607="","",IF(AND($G607&gt;=30,$AT$3&lt;=BI$7),ROUND(BI607*($AP$3+#REF!),-1),""))</f>
        <v/>
      </c>
      <c r="BK607" s="503" t="s">
        <v>621</v>
      </c>
      <c r="BL607" s="503" t="str">
        <f>IF($G607="","",IF(AND($G607&gt;=30,$AT$3&lt;=BK$7),ROUND(BK607*($AP$3+#REF!),-1),""))</f>
        <v/>
      </c>
      <c r="BM607" s="503" t="s">
        <v>621</v>
      </c>
      <c r="BN607" s="503" t="str">
        <f>IF($G607="","",IF(AND($G607&gt;=30,$AT$3&lt;=BM$7),ROUND(BM607*($AP$3+#REF!),-1),""))</f>
        <v/>
      </c>
      <c r="BO607" s="503" t="s">
        <v>621</v>
      </c>
      <c r="BP607" s="503" t="str">
        <f>IF($G607="","",IF(AND($G607&gt;=30,$AT$3&lt;=BO$7),ROUND(BO607*($AP$3+#REF!),-1),""))</f>
        <v/>
      </c>
      <c r="BQ607" s="503" t="s">
        <v>621</v>
      </c>
      <c r="BR607" s="503" t="str">
        <f>IF($G607="","",IF(AND($G607&gt;=30,$AT$3&lt;=BQ$7),ROUND(BQ607*($AP$3+#REF!),-1),""))</f>
        <v/>
      </c>
      <c r="BS607" s="503" t="s">
        <v>621</v>
      </c>
      <c r="BT607" s="503" t="str">
        <f>IF($G607="","",IF(AND($G607&gt;=30,$AT$3&lt;=BS$7),ROUND(BS607*($AP$3+#REF!),-1),""))</f>
        <v/>
      </c>
      <c r="BU607" s="503" t="s">
        <v>621</v>
      </c>
      <c r="BV607" s="503" t="str">
        <f>IF($G607="","",IF(AND($G607&gt;=30,$AT$3&lt;=BU$7),ROUND(BU607*($AP$3+#REF!),-1),""))</f>
        <v/>
      </c>
      <c r="BW607" s="503" t="s">
        <v>621</v>
      </c>
      <c r="BX607" s="503" t="str">
        <f>IF($G607="","",IF(AND($G607&gt;=30,$AT$3&lt;=BW$7),ROUND(BW607*($AP$3+#REF!),-1),""))</f>
        <v/>
      </c>
      <c r="BY607" s="503" t="s">
        <v>621</v>
      </c>
      <c r="BZ607" s="503" t="str">
        <f>IF($G607="","",IF(AND($G607&gt;=30,$AT$3&lt;=BY$7),ROUND(BY607*($AP$3+#REF!),-1),""))</f>
        <v/>
      </c>
      <c r="CA607" s="503" t="s">
        <v>621</v>
      </c>
      <c r="CB607" s="503" t="str">
        <f>IF($G607="","",IF(AND($G607&gt;=30,$AT$3&lt;=CA$7),ROUND(CA607*($AP$3+#REF!),-1),""))</f>
        <v/>
      </c>
      <c r="CC607" s="503" t="s">
        <v>621</v>
      </c>
      <c r="CD607" s="503" t="str">
        <f>IF($G607="","",IF(AND($G607&gt;=30,$AT$3&lt;=CC$7),ROUND(CC607*($AP$3+#REF!),-1),""))</f>
        <v/>
      </c>
      <c r="CE607" s="503" t="s">
        <v>621</v>
      </c>
      <c r="CF607" s="503" t="str">
        <f>IF($G607="","",IF(AND($G607&gt;=30,$AT$3&lt;=CE$7),ROUND(CE607*($AP$3+#REF!),-1),""))</f>
        <v/>
      </c>
      <c r="CG607" s="503" t="s">
        <v>621</v>
      </c>
      <c r="CH607" s="503" t="str">
        <f>IF($G607="","",IF(AND($G607&gt;=30,$AT$3&lt;=CG$7),ROUND(CG607*($AP$3+#REF!),-1),""))</f>
        <v/>
      </c>
      <c r="CI607" s="503" t="s">
        <v>621</v>
      </c>
      <c r="CJ607" s="503" t="str">
        <f>IF($G607="","",IF(AND($G607&gt;=30,$AT$3&lt;=CI$7),ROUND(CI607*($AP$3+#REF!),-1),""))</f>
        <v/>
      </c>
      <c r="CK607" s="503" t="s">
        <v>621</v>
      </c>
      <c r="CL607" s="503" t="str">
        <f>IF($G607="","",IF(AND($G607&gt;=30,$AT$3&lt;=CK$7),ROUND(CK607*($AP$3+#REF!),-1),""))</f>
        <v/>
      </c>
      <c r="CM607" s="503" t="s">
        <v>621</v>
      </c>
      <c r="CN607" s="503" t="str">
        <f>IF($G607="","",IF(AND($G607&gt;=30,$AT$3&lt;=CM$7),ROUND(CM607*($AP$3+#REF!),-1),""))</f>
        <v/>
      </c>
      <c r="CO607" s="503" t="s">
        <v>621</v>
      </c>
      <c r="CP607" s="503" t="str">
        <f>IF($G607="","",IF(AND($G607&gt;=30,$AT$3&lt;=CO$7),ROUND(CO607*($AP$3+#REF!),-1),""))</f>
        <v/>
      </c>
      <c r="CQ607" s="503" t="s">
        <v>621</v>
      </c>
      <c r="CR607" s="503" t="str">
        <f>IF($G607="","",IF(AND($G607&gt;=30,$AT$3&lt;=CQ$7),ROUND(CQ607*($AP$3+#REF!),-1),""))</f>
        <v/>
      </c>
      <c r="CS607" s="503" t="s">
        <v>621</v>
      </c>
      <c r="CT607" s="503" t="str">
        <f>IF($G607="","",IF(AND($G607&gt;=30,$AT$3&lt;=CS$7),ROUND(CS607*($AP$3+#REF!),-1),""))</f>
        <v/>
      </c>
      <c r="CU607" s="503" t="s">
        <v>621</v>
      </c>
      <c r="CV607" s="503" t="str">
        <f>IF($G607="","",IF(AND($G607&gt;=30,$AT$3&lt;=CU$7),ROUND(CU607*($AP$3+#REF!),-1),""))</f>
        <v/>
      </c>
      <c r="CW607" s="503" t="s">
        <v>621</v>
      </c>
      <c r="CX607" s="503" t="str">
        <f>IF($G607="","",IF(AND($G607&gt;=30,$AT$3&lt;=CW$7),ROUND(CW607*($AP$3+#REF!),-1),""))</f>
        <v/>
      </c>
      <c r="CY607" s="503" t="s">
        <v>621</v>
      </c>
      <c r="CZ607" s="503" t="str">
        <f>IF($G607="","",IF(AND($G607&gt;=30,$AT$3&lt;=CY$7),ROUND(CY607*($AP$3+#REF!),-1),""))</f>
        <v/>
      </c>
      <c r="DA607" s="503" t="s">
        <v>621</v>
      </c>
      <c r="DB607" s="503" t="str">
        <f>IF($G607="","",IF(AND($G607&gt;=30,$AT$3&lt;=DA$7),ROUND(DA607*($AP$3+#REF!),-1),""))</f>
        <v/>
      </c>
      <c r="DC607" s="503" t="s">
        <v>621</v>
      </c>
      <c r="DD607" s="503" t="str">
        <f>IF($G607="","",IF(AND($G607&gt;=30,$AT$3&lt;=DC$7),ROUND(DC607*($AP$3+#REF!),-1),""))</f>
        <v/>
      </c>
      <c r="DE607" s="503" t="s">
        <v>621</v>
      </c>
      <c r="DF607" s="503" t="str">
        <f>IF($G607="","",IF(AND($G607&gt;=30,$AT$3&lt;=DE$7),ROUND(DE607*($AP$3+#REF!),-1),""))</f>
        <v/>
      </c>
      <c r="DG607" s="503" t="s">
        <v>621</v>
      </c>
      <c r="DH607" s="503" t="str">
        <f>IF($G607="","",IF(AND($G607&gt;=30,$AT$3&lt;=DG$7),ROUND(DG607*($AP$3+#REF!),-1),""))</f>
        <v/>
      </c>
      <c r="DI607" s="503" t="s">
        <v>621</v>
      </c>
      <c r="DJ607" s="503" t="str">
        <f>IF($G607="","",IF(AND($G607&gt;=30,$AT$3&lt;=DI$7),ROUND(DI607*($AP$3+#REF!),-1),""))</f>
        <v/>
      </c>
      <c r="DK607" s="503" t="s">
        <v>621</v>
      </c>
      <c r="DL607" s="503" t="str">
        <f>IF($G607="","",IF(AND($G607&gt;=30,$AT$3&lt;=DK$7),ROUND(DK607*($AP$3+#REF!),-1),""))</f>
        <v/>
      </c>
      <c r="DM607" s="503" t="s">
        <v>621</v>
      </c>
      <c r="DN607" s="503" t="str">
        <f>IF($G607="","",IF(AND($G607&gt;=30,$AT$3&lt;=DM$7),ROUND(DM607*($AP$3+#REF!),-1),""))</f>
        <v/>
      </c>
      <c r="DO607" s="503" t="s">
        <v>621</v>
      </c>
      <c r="DP607" s="503" t="str">
        <f>IF($G607="","",IF(AND($G607&gt;=30,$AT$3&lt;=DO$7),ROUND(DO607*($AP$3+#REF!),-1),""))</f>
        <v/>
      </c>
      <c r="DQ607" s="503" t="s">
        <v>621</v>
      </c>
      <c r="DR607" s="503" t="str">
        <f>IF($G607="","",IF(AND($G607&gt;=30,$AT$3&lt;=DQ$7),ROUND(DQ607*($AP$3+#REF!),-1),""))</f>
        <v/>
      </c>
      <c r="DS607" s="503" t="s">
        <v>621</v>
      </c>
      <c r="DT607" s="503" t="str">
        <f>IF($G607="","",IF(AND($G607&gt;=30,$AT$3&lt;=DS$7),ROUND(DS607*($AP$3+#REF!),-1),""))</f>
        <v/>
      </c>
      <c r="DU607" s="503" t="s">
        <v>621</v>
      </c>
      <c r="DV607" s="503" t="str">
        <f>IF($G607="","",IF(AND($G607&gt;=30,$AT$3&lt;=DU$7),ROUND(DU607*($AP$3+#REF!),-1),""))</f>
        <v/>
      </c>
      <c r="DW607" s="503" t="s">
        <v>621</v>
      </c>
      <c r="DX607" s="503" t="str">
        <f>IF($G607="","",IF(AND($G607&gt;=30,$AT$3&lt;=DW$7),ROUND(DW607*($AP$3+#REF!),-1),""))</f>
        <v/>
      </c>
      <c r="DY607" s="503" t="s">
        <v>621</v>
      </c>
      <c r="DZ607" s="503" t="str">
        <f>IF($G607="","",IF(AND($G607&gt;=30,$AT$3&lt;=DY$7),ROUND(DY607*($AP$3+#REF!),-1),""))</f>
        <v/>
      </c>
      <c r="EA607" s="517" t="e">
        <v>#REF!</v>
      </c>
      <c r="EB607" s="503" t="str">
        <f>IF($G607="","",IF(AND($G607&gt;=30,$AT$3&lt;=EA$7),ROUND(EA607*($AP$3+#REF!),-1),""))</f>
        <v/>
      </c>
      <c r="EC607" s="436"/>
      <c r="ED607" s="436"/>
      <c r="EE607" s="394"/>
    </row>
    <row r="608" spans="1:135" ht="9.75" customHeight="1">
      <c r="A608" s="321" t="str">
        <f t="shared" si="138"/>
        <v/>
      </c>
      <c r="B608" s="567">
        <f>(ii!$D$13*12+V608)+1</f>
        <v>502</v>
      </c>
      <c r="C608" s="337">
        <f t="shared" si="142"/>
        <v>60632</v>
      </c>
      <c r="D608" s="484">
        <f t="shared" si="145"/>
        <v>2065</v>
      </c>
      <c r="E608" s="484">
        <f t="shared" si="143"/>
        <v>1</v>
      </c>
      <c r="F608" s="484">
        <f t="shared" si="146"/>
        <v>2066</v>
      </c>
      <c r="G608" s="485" t="str">
        <f>IF(OR(C608&lt;$I$2,C608&gt;$J$3),"",(ii!$D$13*12+V608+1)/12)</f>
        <v/>
      </c>
      <c r="H608" s="486" t="str">
        <f t="shared" si="148"/>
        <v/>
      </c>
      <c r="I608" s="486" t="str">
        <f t="shared" si="149"/>
        <v/>
      </c>
      <c r="J608" s="487"/>
      <c r="K608" s="488"/>
      <c r="L608" s="548"/>
      <c r="M608" s="489" t="str">
        <f t="shared" si="147"/>
        <v/>
      </c>
      <c r="N608" s="490" t="s">
        <v>621</v>
      </c>
      <c r="O608" s="490" t="str">
        <f t="shared" si="140"/>
        <v/>
      </c>
      <c r="P608" s="491"/>
      <c r="Q608" s="491"/>
      <c r="R608" s="491" t="str">
        <f t="shared" si="141"/>
        <v/>
      </c>
      <c r="S608" s="528" t="str">
        <f t="shared" si="139"/>
        <v/>
      </c>
      <c r="T608" s="528" t="str">
        <f t="shared" si="137"/>
        <v/>
      </c>
      <c r="U608" s="493" t="str">
        <f>IF(H608="","",#REF!*12+#REF!+#REF!*12+#REF!)</f>
        <v/>
      </c>
      <c r="V608" s="338">
        <f>IF(ii!$J$3&gt;gg!C608,"",IF(AND((YEAR(C608)=YEAR($I$2)),MONTH(C608)=MONTH($I$2)),ii!$B$14*12+ii!$C$14+ii!$B$15*12+ii!$C$15-1,V607+1))</f>
        <v>501</v>
      </c>
      <c r="W608" s="339" t="e">
        <f>IF(#REF!="","",(#REF!-1)/12)</f>
        <v>#REF!</v>
      </c>
      <c r="X608" s="494" t="s">
        <v>621</v>
      </c>
      <c r="Y608" s="495" t="s">
        <v>621</v>
      </c>
      <c r="Z608" s="496"/>
      <c r="AA608" s="497"/>
      <c r="AB608" s="498" t="str">
        <f t="shared" si="136"/>
        <v/>
      </c>
      <c r="AC608" s="484" t="str">
        <f t="shared" si="150"/>
        <v/>
      </c>
      <c r="AD608" s="495" t="str">
        <f t="shared" si="151"/>
        <v/>
      </c>
      <c r="AE608" s="499" t="s">
        <v>621</v>
      </c>
      <c r="AF608" s="500" t="s">
        <v>621</v>
      </c>
      <c r="AG608" s="556" t="s">
        <v>621</v>
      </c>
      <c r="AH608" s="503" t="str">
        <f>IF($G608="","",IF(AND($G608&gt;=30,$AT$3&lt;=AG$7),ROUND(AG608*($AP$3+#REF!),-1),""))</f>
        <v/>
      </c>
      <c r="AI608" s="506" t="s">
        <v>621</v>
      </c>
      <c r="AJ608" s="503" t="str">
        <f>IF($G608="","",IF(AND($G608&gt;=30,$AT$3&lt;=AI$7),ROUND(AI608*($AP$3+#REF!),-1),""))</f>
        <v/>
      </c>
      <c r="AK608" s="506" t="s">
        <v>621</v>
      </c>
      <c r="AL608" s="503" t="str">
        <f>IF($G608="","",IF(AND($G608&gt;=30,$AT$3&lt;=AK$7),ROUND(AK608*($AP$3+#REF!),-1),""))</f>
        <v/>
      </c>
      <c r="AM608" s="506" t="s">
        <v>621</v>
      </c>
      <c r="AN608" s="503" t="str">
        <f>IF($G608="","",IF(AND($G608&gt;=30,$AT$3&lt;=AM$7),ROUND(AM608*($AP$3+#REF!),-1),""))</f>
        <v/>
      </c>
      <c r="AO608" s="503" t="e">
        <v>#REF!</v>
      </c>
      <c r="AP608" s="503" t="str">
        <f>IF($G608="","",IF(AND($G608&gt;=30,$AT$3&lt;=AO$7),ROUND(AO608*($AP$3+#REF!),-1),""))</f>
        <v/>
      </c>
      <c r="AQ608" s="503" t="s">
        <v>621</v>
      </c>
      <c r="AR608" s="503" t="str">
        <f>IF($G608="","",IF(AND($G608&gt;=30,$AT$3&lt;=AQ$7),ROUND(AQ608*($AP$3+#REF!),-1),""))</f>
        <v/>
      </c>
      <c r="AS608" s="503" t="s">
        <v>621</v>
      </c>
      <c r="AT608" s="503" t="str">
        <f>IF($G608="","",IF(AND($G608&gt;=30,$AT$3&lt;=AS$7),ROUND(AS608*($AP$3+#REF!),-1),""))</f>
        <v/>
      </c>
      <c r="AU608" s="503" t="s">
        <v>621</v>
      </c>
      <c r="AV608" s="503" t="str">
        <f>IF($G608="","",IF(AND($G608&gt;=30,$AT$3&lt;=AU$7),ROUND(AU608*($AP$3+#REF!),-1),""))</f>
        <v/>
      </c>
      <c r="AW608" s="503" t="s">
        <v>621</v>
      </c>
      <c r="AX608" s="503" t="str">
        <f>IF($G608="","",IF(AND($G608&gt;=30,$AT$3&lt;=AW$7),ROUND(AW608*($AP$3+#REF!),-1),""))</f>
        <v/>
      </c>
      <c r="AY608" s="503" t="s">
        <v>621</v>
      </c>
      <c r="AZ608" s="503" t="str">
        <f>IF($G608="","",IF(AND($G608&gt;=30,$AT$3&lt;=AY$7),ROUND(AY608*($AP$3+#REF!),-1),""))</f>
        <v/>
      </c>
      <c r="BA608" s="503" t="s">
        <v>621</v>
      </c>
      <c r="BB608" s="503" t="str">
        <f>IF($G608="","",IF(AND($G608&gt;=30,$AT$3&lt;=BA$7),ROUND(BA608*($AP$3+#REF!),-1),""))</f>
        <v/>
      </c>
      <c r="BC608" s="503" t="s">
        <v>621</v>
      </c>
      <c r="BD608" s="503" t="str">
        <f>IF($G608="","",IF(AND($G608&gt;=30,$AT$3&lt;=BC$7),ROUND(BC608*($AP$3+#REF!),-1),""))</f>
        <v/>
      </c>
      <c r="BE608" s="503" t="s">
        <v>621</v>
      </c>
      <c r="BF608" s="503" t="str">
        <f>IF($G608="","",IF(AND($G608&gt;=30,$AT$3&lt;=BE$7),ROUND(BE608*($AP$3+#REF!),-1),""))</f>
        <v/>
      </c>
      <c r="BG608" s="503" t="s">
        <v>621</v>
      </c>
      <c r="BH608" s="503" t="str">
        <f>IF($G608="","",IF(AND($G608&gt;=30,$AT$3&lt;=BG$7),ROUND(BG608*($AP$3+#REF!),-1),""))</f>
        <v/>
      </c>
      <c r="BI608" s="503" t="s">
        <v>621</v>
      </c>
      <c r="BJ608" s="503" t="str">
        <f>IF($G608="","",IF(AND($G608&gt;=30,$AT$3&lt;=BI$7),ROUND(BI608*($AP$3+#REF!),-1),""))</f>
        <v/>
      </c>
      <c r="BK608" s="503" t="s">
        <v>621</v>
      </c>
      <c r="BL608" s="503" t="str">
        <f>IF($G608="","",IF(AND($G608&gt;=30,$AT$3&lt;=BK$7),ROUND(BK608*($AP$3+#REF!),-1),""))</f>
        <v/>
      </c>
      <c r="BM608" s="503" t="s">
        <v>621</v>
      </c>
      <c r="BN608" s="503" t="str">
        <f>IF($G608="","",IF(AND($G608&gt;=30,$AT$3&lt;=BM$7),ROUND(BM608*($AP$3+#REF!),-1),""))</f>
        <v/>
      </c>
      <c r="BO608" s="503" t="s">
        <v>621</v>
      </c>
      <c r="BP608" s="503" t="str">
        <f>IF($G608="","",IF(AND($G608&gt;=30,$AT$3&lt;=BO$7),ROUND(BO608*($AP$3+#REF!),-1),""))</f>
        <v/>
      </c>
      <c r="BQ608" s="503" t="s">
        <v>621</v>
      </c>
      <c r="BR608" s="503" t="str">
        <f>IF($G608="","",IF(AND($G608&gt;=30,$AT$3&lt;=BQ$7),ROUND(BQ608*($AP$3+#REF!),-1),""))</f>
        <v/>
      </c>
      <c r="BS608" s="503" t="s">
        <v>621</v>
      </c>
      <c r="BT608" s="503" t="str">
        <f>IF($G608="","",IF(AND($G608&gt;=30,$AT$3&lt;=BS$7),ROUND(BS608*($AP$3+#REF!),-1),""))</f>
        <v/>
      </c>
      <c r="BU608" s="503" t="s">
        <v>621</v>
      </c>
      <c r="BV608" s="503" t="str">
        <f>IF($G608="","",IF(AND($G608&gt;=30,$AT$3&lt;=BU$7),ROUND(BU608*($AP$3+#REF!),-1),""))</f>
        <v/>
      </c>
      <c r="BW608" s="503" t="s">
        <v>621</v>
      </c>
      <c r="BX608" s="503" t="str">
        <f>IF($G608="","",IF(AND($G608&gt;=30,$AT$3&lt;=BW$7),ROUND(BW608*($AP$3+#REF!),-1),""))</f>
        <v/>
      </c>
      <c r="BY608" s="503" t="s">
        <v>621</v>
      </c>
      <c r="BZ608" s="503" t="str">
        <f>IF($G608="","",IF(AND($G608&gt;=30,$AT$3&lt;=BY$7),ROUND(BY608*($AP$3+#REF!),-1),""))</f>
        <v/>
      </c>
      <c r="CA608" s="503" t="s">
        <v>621</v>
      </c>
      <c r="CB608" s="503" t="str">
        <f>IF($G608="","",IF(AND($G608&gt;=30,$AT$3&lt;=CA$7),ROUND(CA608*($AP$3+#REF!),-1),""))</f>
        <v/>
      </c>
      <c r="CC608" s="503" t="s">
        <v>621</v>
      </c>
      <c r="CD608" s="503" t="str">
        <f>IF($G608="","",IF(AND($G608&gt;=30,$AT$3&lt;=CC$7),ROUND(CC608*($AP$3+#REF!),-1),""))</f>
        <v/>
      </c>
      <c r="CE608" s="503" t="s">
        <v>621</v>
      </c>
      <c r="CF608" s="503" t="str">
        <f>IF($G608="","",IF(AND($G608&gt;=30,$AT$3&lt;=CE$7),ROUND(CE608*($AP$3+#REF!),-1),""))</f>
        <v/>
      </c>
      <c r="CG608" s="503" t="s">
        <v>621</v>
      </c>
      <c r="CH608" s="503" t="str">
        <f>IF($G608="","",IF(AND($G608&gt;=30,$AT$3&lt;=CG$7),ROUND(CG608*($AP$3+#REF!),-1),""))</f>
        <v/>
      </c>
      <c r="CI608" s="503" t="s">
        <v>621</v>
      </c>
      <c r="CJ608" s="503" t="str">
        <f>IF($G608="","",IF(AND($G608&gt;=30,$AT$3&lt;=CI$7),ROUND(CI608*($AP$3+#REF!),-1),""))</f>
        <v/>
      </c>
      <c r="CK608" s="503" t="s">
        <v>621</v>
      </c>
      <c r="CL608" s="503" t="str">
        <f>IF($G608="","",IF(AND($G608&gt;=30,$AT$3&lt;=CK$7),ROUND(CK608*($AP$3+#REF!),-1),""))</f>
        <v/>
      </c>
      <c r="CM608" s="503" t="s">
        <v>621</v>
      </c>
      <c r="CN608" s="503" t="str">
        <f>IF($G608="","",IF(AND($G608&gt;=30,$AT$3&lt;=CM$7),ROUND(CM608*($AP$3+#REF!),-1),""))</f>
        <v/>
      </c>
      <c r="CO608" s="503" t="s">
        <v>621</v>
      </c>
      <c r="CP608" s="503" t="str">
        <f>IF($G608="","",IF(AND($G608&gt;=30,$AT$3&lt;=CO$7),ROUND(CO608*($AP$3+#REF!),-1),""))</f>
        <v/>
      </c>
      <c r="CQ608" s="503" t="s">
        <v>621</v>
      </c>
      <c r="CR608" s="503" t="str">
        <f>IF($G608="","",IF(AND($G608&gt;=30,$AT$3&lt;=CQ$7),ROUND(CQ608*($AP$3+#REF!),-1),""))</f>
        <v/>
      </c>
      <c r="CS608" s="503" t="s">
        <v>621</v>
      </c>
      <c r="CT608" s="503" t="str">
        <f>IF($G608="","",IF(AND($G608&gt;=30,$AT$3&lt;=CS$7),ROUND(CS608*($AP$3+#REF!),-1),""))</f>
        <v/>
      </c>
      <c r="CU608" s="503" t="s">
        <v>621</v>
      </c>
      <c r="CV608" s="503" t="str">
        <f>IF($G608="","",IF(AND($G608&gt;=30,$AT$3&lt;=CU$7),ROUND(CU608*($AP$3+#REF!),-1),""))</f>
        <v/>
      </c>
      <c r="CW608" s="503" t="s">
        <v>621</v>
      </c>
      <c r="CX608" s="503" t="str">
        <f>IF($G608="","",IF(AND($G608&gt;=30,$AT$3&lt;=CW$7),ROUND(CW608*($AP$3+#REF!),-1),""))</f>
        <v/>
      </c>
      <c r="CY608" s="503" t="s">
        <v>621</v>
      </c>
      <c r="CZ608" s="503" t="str">
        <f>IF($G608="","",IF(AND($G608&gt;=30,$AT$3&lt;=CY$7),ROUND(CY608*($AP$3+#REF!),-1),""))</f>
        <v/>
      </c>
      <c r="DA608" s="503" t="s">
        <v>621</v>
      </c>
      <c r="DB608" s="503" t="str">
        <f>IF($G608="","",IF(AND($G608&gt;=30,$AT$3&lt;=DA$7),ROUND(DA608*($AP$3+#REF!),-1),""))</f>
        <v/>
      </c>
      <c r="DC608" s="503" t="s">
        <v>621</v>
      </c>
      <c r="DD608" s="503" t="str">
        <f>IF($G608="","",IF(AND($G608&gt;=30,$AT$3&lt;=DC$7),ROUND(DC608*($AP$3+#REF!),-1),""))</f>
        <v/>
      </c>
      <c r="DE608" s="503" t="s">
        <v>621</v>
      </c>
      <c r="DF608" s="503" t="str">
        <f>IF($G608="","",IF(AND($G608&gt;=30,$AT$3&lt;=DE$7),ROUND(DE608*($AP$3+#REF!),-1),""))</f>
        <v/>
      </c>
      <c r="DG608" s="503" t="s">
        <v>621</v>
      </c>
      <c r="DH608" s="503" t="str">
        <f>IF($G608="","",IF(AND($G608&gt;=30,$AT$3&lt;=DG$7),ROUND(DG608*($AP$3+#REF!),-1),""))</f>
        <v/>
      </c>
      <c r="DI608" s="503" t="s">
        <v>621</v>
      </c>
      <c r="DJ608" s="503" t="str">
        <f>IF($G608="","",IF(AND($G608&gt;=30,$AT$3&lt;=DI$7),ROUND(DI608*($AP$3+#REF!),-1),""))</f>
        <v/>
      </c>
      <c r="DK608" s="503" t="s">
        <v>621</v>
      </c>
      <c r="DL608" s="503" t="str">
        <f>IF($G608="","",IF(AND($G608&gt;=30,$AT$3&lt;=DK$7),ROUND(DK608*($AP$3+#REF!),-1),""))</f>
        <v/>
      </c>
      <c r="DM608" s="503" t="s">
        <v>621</v>
      </c>
      <c r="DN608" s="503" t="str">
        <f>IF($G608="","",IF(AND($G608&gt;=30,$AT$3&lt;=DM$7),ROUND(DM608*($AP$3+#REF!),-1),""))</f>
        <v/>
      </c>
      <c r="DO608" s="503" t="s">
        <v>621</v>
      </c>
      <c r="DP608" s="503" t="str">
        <f>IF($G608="","",IF(AND($G608&gt;=30,$AT$3&lt;=DO$7),ROUND(DO608*($AP$3+#REF!),-1),""))</f>
        <v/>
      </c>
      <c r="DQ608" s="503" t="s">
        <v>621</v>
      </c>
      <c r="DR608" s="503" t="str">
        <f>IF($G608="","",IF(AND($G608&gt;=30,$AT$3&lt;=DQ$7),ROUND(DQ608*($AP$3+#REF!),-1),""))</f>
        <v/>
      </c>
      <c r="DS608" s="503" t="s">
        <v>621</v>
      </c>
      <c r="DT608" s="503" t="str">
        <f>IF($G608="","",IF(AND($G608&gt;=30,$AT$3&lt;=DS$7),ROUND(DS608*($AP$3+#REF!),-1),""))</f>
        <v/>
      </c>
      <c r="DU608" s="503" t="s">
        <v>621</v>
      </c>
      <c r="DV608" s="503" t="str">
        <f>IF($G608="","",IF(AND($G608&gt;=30,$AT$3&lt;=DU$7),ROUND(DU608*($AP$3+#REF!),-1),""))</f>
        <v/>
      </c>
      <c r="DW608" s="503" t="s">
        <v>621</v>
      </c>
      <c r="DX608" s="503" t="str">
        <f>IF($G608="","",IF(AND($G608&gt;=30,$AT$3&lt;=DW$7),ROUND(DW608*($AP$3+#REF!),-1),""))</f>
        <v/>
      </c>
      <c r="DY608" s="503" t="s">
        <v>621</v>
      </c>
      <c r="DZ608" s="503" t="str">
        <f>IF($G608="","",IF(AND($G608&gt;=30,$AT$3&lt;=DY$7),ROUND(DY608*($AP$3+#REF!),-1),""))</f>
        <v/>
      </c>
      <c r="EA608" s="517" t="e">
        <v>#REF!</v>
      </c>
      <c r="EB608" s="503" t="str">
        <f>IF($G608="","",IF(AND($G608&gt;=30,$AT$3&lt;=EA$7),ROUND(EA608*($AP$3+#REF!),-1),""))</f>
        <v/>
      </c>
      <c r="EC608" s="436"/>
      <c r="ED608" s="436"/>
      <c r="EE608" s="394"/>
    </row>
    <row r="609" spans="2:2" ht="9.75" customHeight="1">
      <c r="B609" s="570"/>
    </row>
    <row r="610" spans="2:2" ht="9.75" customHeight="1">
      <c r="B610" s="570"/>
    </row>
    <row r="611" spans="2:2" ht="9.75" customHeight="1">
      <c r="B611" s="570"/>
    </row>
    <row r="612" spans="2:2" ht="9.75" customHeight="1">
      <c r="B612" s="570"/>
    </row>
  </sheetData>
  <sheetProtection selectLockedCells="1"/>
  <mergeCells count="68">
    <mergeCell ref="C1:S1"/>
    <mergeCell ref="AR2:AS2"/>
    <mergeCell ref="AB3:AC3"/>
    <mergeCell ref="AF3:AG3"/>
    <mergeCell ref="AL3:AM3"/>
    <mergeCell ref="AN3:AO3"/>
    <mergeCell ref="C4:G4"/>
    <mergeCell ref="P5:R5"/>
    <mergeCell ref="B6:B8"/>
    <mergeCell ref="C6:C8"/>
    <mergeCell ref="D6:D8"/>
    <mergeCell ref="E6:E8"/>
    <mergeCell ref="F6:F8"/>
    <mergeCell ref="G6:G8"/>
    <mergeCell ref="H6:I7"/>
    <mergeCell ref="J6:O6"/>
    <mergeCell ref="P6:U6"/>
    <mergeCell ref="J7:O7"/>
    <mergeCell ref="P7:R7"/>
    <mergeCell ref="S7:U7"/>
    <mergeCell ref="V6:BG6"/>
    <mergeCell ref="BI6:DE6"/>
    <mergeCell ref="EC6:EC8"/>
    <mergeCell ref="ED6:ED8"/>
    <mergeCell ref="EE6:EE8"/>
    <mergeCell ref="V7:W7"/>
    <mergeCell ref="X7:X8"/>
    <mergeCell ref="Y7:AA7"/>
    <mergeCell ref="AB7:AD7"/>
    <mergeCell ref="ED9:ED20"/>
    <mergeCell ref="ED21:ED32"/>
    <mergeCell ref="ED33:ED44"/>
    <mergeCell ref="ED45:ED56"/>
    <mergeCell ref="ED57:ED68"/>
    <mergeCell ref="ED69:ED80"/>
    <mergeCell ref="ED81:ED92"/>
    <mergeCell ref="ED93:ED104"/>
    <mergeCell ref="ED105:ED116"/>
    <mergeCell ref="ED117:ED128"/>
    <mergeCell ref="ED129:ED140"/>
    <mergeCell ref="ED141:ED152"/>
    <mergeCell ref="ED153:ED164"/>
    <mergeCell ref="ED165:ED176"/>
    <mergeCell ref="ED177:ED188"/>
    <mergeCell ref="ED189:ED200"/>
    <mergeCell ref="ED201:ED212"/>
    <mergeCell ref="ED213:ED224"/>
    <mergeCell ref="ED225:ED236"/>
    <mergeCell ref="ED237:ED248"/>
    <mergeCell ref="ED249:ED260"/>
    <mergeCell ref="ED261:ED272"/>
    <mergeCell ref="ED273:ED284"/>
    <mergeCell ref="ED285:ED296"/>
    <mergeCell ref="ED297:ED308"/>
    <mergeCell ref="ED309:ED320"/>
    <mergeCell ref="ED321:ED332"/>
    <mergeCell ref="ED333:ED344"/>
    <mergeCell ref="ED345:ED356"/>
    <mergeCell ref="ED357:ED368"/>
    <mergeCell ref="ED429:ED440"/>
    <mergeCell ref="ED441:ED452"/>
    <mergeCell ref="ED453:ED464"/>
    <mergeCell ref="ED465:ED476"/>
    <mergeCell ref="ED369:ED380"/>
    <mergeCell ref="ED381:ED392"/>
    <mergeCell ref="ED393:ED404"/>
    <mergeCell ref="ED405:ED416"/>
    <mergeCell ref="ED417:ED428"/>
  </mergeCells>
  <phoneticPr fontId="167" type="noConversion"/>
  <conditionalFormatting sqref="H189">
    <cfRule type="top10" dxfId="586" priority="35" rank="1"/>
  </conditionalFormatting>
  <conditionalFormatting sqref="H201">
    <cfRule type="top10" dxfId="585" priority="34" rank="1"/>
  </conditionalFormatting>
  <conditionalFormatting sqref="H202:H212 H190:H200 H214:H224 H226:H236 H238:H248 H250:H260 H262:H272 H274:H284 H286:H296 H298:H308 H310:H320 H322:H332 H334:H344 H346:H356 H358:H368 H370:H380 H382:H392 H394:H404 H406:H416 H418:H428 H430:H440 H442:H452 H454:H464 H466:H476 H478:H488 H490:H500 H502:H512 H514:H524 H526:H536 H538:H548 H550:H560 H562:H572 H574:H584 H586:H596 H598:H608 H27:H188">
    <cfRule type="top10" dxfId="584" priority="36" rank="1"/>
  </conditionalFormatting>
  <conditionalFormatting sqref="H213">
    <cfRule type="top10" dxfId="583" priority="33" rank="1"/>
  </conditionalFormatting>
  <conditionalFormatting sqref="H225">
    <cfRule type="top10" dxfId="582" priority="32" rank="1"/>
  </conditionalFormatting>
  <conditionalFormatting sqref="H237">
    <cfRule type="top10" dxfId="581" priority="31" rank="1"/>
  </conditionalFormatting>
  <conditionalFormatting sqref="H249">
    <cfRule type="top10" dxfId="580" priority="30" rank="1"/>
  </conditionalFormatting>
  <conditionalFormatting sqref="H261">
    <cfRule type="top10" dxfId="579" priority="29" rank="1"/>
  </conditionalFormatting>
  <conditionalFormatting sqref="H273">
    <cfRule type="top10" dxfId="578" priority="28" rank="1"/>
  </conditionalFormatting>
  <conditionalFormatting sqref="H285">
    <cfRule type="top10" dxfId="577" priority="27" rank="1"/>
  </conditionalFormatting>
  <conditionalFormatting sqref="H297">
    <cfRule type="top10" dxfId="576" priority="1" rank="1"/>
  </conditionalFormatting>
  <conditionalFormatting sqref="H309">
    <cfRule type="top10" dxfId="575" priority="26" rank="1"/>
  </conditionalFormatting>
  <conditionalFormatting sqref="H321">
    <cfRule type="top10" dxfId="574" priority="25" rank="1"/>
  </conditionalFormatting>
  <conditionalFormatting sqref="H333">
    <cfRule type="top10" dxfId="573" priority="24" rank="1"/>
  </conditionalFormatting>
  <conditionalFormatting sqref="H345">
    <cfRule type="top10" dxfId="572" priority="23" rank="1"/>
  </conditionalFormatting>
  <conditionalFormatting sqref="H357">
    <cfRule type="top10" dxfId="571" priority="22" rank="1"/>
  </conditionalFormatting>
  <conditionalFormatting sqref="H369">
    <cfRule type="top10" dxfId="570" priority="21" rank="1"/>
  </conditionalFormatting>
  <conditionalFormatting sqref="H381">
    <cfRule type="top10" dxfId="569" priority="20" rank="1"/>
  </conditionalFormatting>
  <conditionalFormatting sqref="H393">
    <cfRule type="top10" dxfId="568" priority="19" rank="1"/>
  </conditionalFormatting>
  <conditionalFormatting sqref="H405">
    <cfRule type="top10" dxfId="567" priority="18" rank="1"/>
  </conditionalFormatting>
  <conditionalFormatting sqref="H417">
    <cfRule type="top10" dxfId="566" priority="17" rank="1"/>
  </conditionalFormatting>
  <conditionalFormatting sqref="H429">
    <cfRule type="top10" dxfId="565" priority="16" rank="1"/>
  </conditionalFormatting>
  <conditionalFormatting sqref="H441">
    <cfRule type="top10" dxfId="564" priority="15" rank="1"/>
  </conditionalFormatting>
  <conditionalFormatting sqref="H453">
    <cfRule type="top10" dxfId="563" priority="14" rank="1"/>
  </conditionalFormatting>
  <conditionalFormatting sqref="H465">
    <cfRule type="top10" dxfId="562" priority="13" rank="1"/>
  </conditionalFormatting>
  <conditionalFormatting sqref="H477">
    <cfRule type="top10" dxfId="561" priority="12" rank="1"/>
  </conditionalFormatting>
  <conditionalFormatting sqref="H489">
    <cfRule type="top10" dxfId="560" priority="11" rank="1"/>
  </conditionalFormatting>
  <conditionalFormatting sqref="H501">
    <cfRule type="top10" dxfId="559" priority="10" rank="1"/>
  </conditionalFormatting>
  <conditionalFormatting sqref="H513">
    <cfRule type="top10" dxfId="558" priority="9" rank="1"/>
  </conditionalFormatting>
  <conditionalFormatting sqref="H525">
    <cfRule type="top10" dxfId="557" priority="8" rank="1"/>
  </conditionalFormatting>
  <conditionalFormatting sqref="H537">
    <cfRule type="top10" dxfId="556" priority="7" rank="1"/>
  </conditionalFormatting>
  <conditionalFormatting sqref="H549">
    <cfRule type="top10" dxfId="555" priority="6" rank="1"/>
  </conditionalFormatting>
  <conditionalFormatting sqref="H561">
    <cfRule type="top10" dxfId="554" priority="5" rank="1"/>
  </conditionalFormatting>
  <conditionalFormatting sqref="H573">
    <cfRule type="top10" dxfId="553" priority="4" rank="1"/>
  </conditionalFormatting>
  <conditionalFormatting sqref="H585">
    <cfRule type="top10" dxfId="552" priority="3" rank="1"/>
  </conditionalFormatting>
  <conditionalFormatting sqref="H597">
    <cfRule type="top10" dxfId="551" priority="2" rank="1"/>
  </conditionalFormatting>
  <pageMargins left="0.69986110925674438" right="0.69986110925674438" top="0.75" bottom="0.75" header="0.30000001192092896" footer="0.30000001192092896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FF00"/>
  </sheetPr>
  <dimension ref="A1:V44"/>
  <sheetViews>
    <sheetView showGridLines="0" showRowColHeaders="0" zoomScale="190" zoomScaleNormal="190" zoomScaleSheetLayoutView="210" workbookViewId="0">
      <pane xSplit="5" ySplit="2" topLeftCell="F3" activePane="bottomRight" state="frozen"/>
      <selection pane="topRight"/>
      <selection pane="bottomLeft"/>
      <selection pane="bottomRight"/>
    </sheetView>
  </sheetViews>
  <sheetFormatPr baseColWidth="10" defaultColWidth="9" defaultRowHeight="9.75" customHeight="1"/>
  <cols>
    <col min="1" max="1" width="3.83203125" style="43" customWidth="1"/>
    <col min="2" max="2" width="4.1640625" style="43" customWidth="1"/>
    <col min="3" max="3" width="5.5" style="43" customWidth="1"/>
    <col min="4" max="4" width="5" style="43" customWidth="1"/>
    <col min="5" max="5" width="4.5" style="43" customWidth="1"/>
    <col min="6" max="6" width="9.6640625" style="162" customWidth="1"/>
    <col min="7" max="7" width="8.5" style="162" customWidth="1"/>
    <col min="8" max="8" width="5.5" style="361" customWidth="1"/>
    <col min="9" max="9" width="8.33203125" style="43" customWidth="1"/>
    <col min="10" max="10" width="7.83203125" style="43" customWidth="1"/>
    <col min="11" max="11" width="5.83203125" style="162" customWidth="1"/>
    <col min="12" max="12" width="9.5" style="43" customWidth="1"/>
    <col min="13" max="13" width="8.1640625" style="43" bestFit="1" customWidth="1"/>
    <col min="14" max="14" width="5.1640625" style="43" customWidth="1"/>
    <col min="15" max="15" width="9" style="43" customWidth="1"/>
    <col min="16" max="16" width="9.1640625" style="43" customWidth="1"/>
    <col min="17" max="17" width="9.5" style="43" customWidth="1"/>
    <col min="18" max="18" width="12.6640625" style="43" bestFit="1" customWidth="1"/>
    <col min="19" max="19" width="9.6640625" style="43" bestFit="1" customWidth="1"/>
    <col min="20" max="20" width="10.1640625" style="43" bestFit="1" customWidth="1"/>
    <col min="21" max="21" width="9.6640625" style="43" bestFit="1" customWidth="1"/>
    <col min="22" max="16384" width="9" style="43"/>
  </cols>
  <sheetData>
    <row r="1" spans="1:22" ht="19.5" customHeight="1">
      <c r="A1" s="698" t="str">
        <f ca="1">'2025'!D1</f>
        <v>2025</v>
      </c>
      <c r="B1" s="697" t="s">
        <v>392</v>
      </c>
      <c r="C1" s="697"/>
      <c r="D1" s="697"/>
      <c r="E1" s="1161" t="s">
        <v>416</v>
      </c>
      <c r="F1" s="1161"/>
      <c r="G1" s="1161"/>
      <c r="H1" s="1161"/>
      <c r="I1" s="1162" t="s">
        <v>657</v>
      </c>
      <c r="J1" s="1162"/>
      <c r="K1" s="1162"/>
      <c r="L1" s="1162"/>
      <c r="M1" s="1162"/>
      <c r="N1" s="875"/>
      <c r="O1" s="1029" t="s">
        <v>337</v>
      </c>
      <c r="P1" s="1033">
        <v>2.5000000000000001E-2</v>
      </c>
      <c r="Q1" s="1031">
        <f>'2026'!B1</f>
        <v>58134</v>
      </c>
      <c r="R1" s="161"/>
    </row>
    <row r="2" spans="1:22" ht="9.75" customHeight="1">
      <c r="A2" s="374" t="s">
        <v>504</v>
      </c>
      <c r="B2" s="374" t="s">
        <v>464</v>
      </c>
      <c r="C2" s="374" t="s">
        <v>529</v>
      </c>
      <c r="D2" s="374" t="s">
        <v>500</v>
      </c>
      <c r="E2" s="375" t="s">
        <v>643</v>
      </c>
      <c r="F2" s="362" t="s">
        <v>129</v>
      </c>
      <c r="G2" s="362" t="s">
        <v>549</v>
      </c>
      <c r="H2" s="362" t="s">
        <v>541</v>
      </c>
      <c r="I2" s="373" t="s">
        <v>518</v>
      </c>
      <c r="J2" s="373" t="s">
        <v>549</v>
      </c>
      <c r="K2" s="373" t="s">
        <v>541</v>
      </c>
      <c r="L2" s="367" t="s">
        <v>79</v>
      </c>
      <c r="M2" s="367" t="s">
        <v>549</v>
      </c>
      <c r="N2" s="367" t="s">
        <v>541</v>
      </c>
      <c r="O2" s="373" t="s">
        <v>133</v>
      </c>
      <c r="P2" s="376" t="s">
        <v>511</v>
      </c>
      <c r="Q2" s="374" t="s">
        <v>118</v>
      </c>
      <c r="T2" s="379"/>
    </row>
    <row r="3" spans="1:22" ht="9.75" customHeight="1">
      <c r="A3" s="230">
        <v>1</v>
      </c>
      <c r="B3" s="357">
        <f t="shared" ref="B3:B43" ca="1" si="0">IF(F3="","",IF(INDIRECT(D3&amp;"!d6")=0,"",INDIRECT(D3&amp;"!d5")))</f>
        <v>2</v>
      </c>
      <c r="C3" s="673">
        <f ca="1">IF(B3="","",D3-RIGHT(YEAR('2025'!$B$2),2)+(IF(YEAR('2025'!$B$2)&lt;2000,100,0))-2000)</f>
        <v>28</v>
      </c>
      <c r="D3" s="675">
        <f ca="1">VALUE('2025'!$D$1)</f>
        <v>2025</v>
      </c>
      <c r="E3" s="674">
        <f t="shared" ref="E3:E43" ca="1" si="1">IF(F3="","",IF(INDIRECT(D3&amp;"!d4")=0,"",INDIRECT(D3&amp;"!d4")))</f>
        <v>12</v>
      </c>
      <c r="F3" s="363">
        <f ca="1">IF(YEAR('2026'!$B$1)&lt;D3,"",ROUND(INDIRECT(D3&amp;"!n26"),-1))</f>
        <v>47760570</v>
      </c>
      <c r="G3" s="363"/>
      <c r="H3" s="364"/>
      <c r="I3" s="233">
        <f t="shared" ref="I3:I43" ca="1" si="2">IF(F3="","",ROUND(INDIRECT(D3&amp;"!N40"),-1))</f>
        <v>8892250</v>
      </c>
      <c r="J3" s="233"/>
      <c r="K3" s="377"/>
      <c r="L3" s="368">
        <f t="shared" ref="L3:L43" ca="1" si="3">IF(F3="","",ROUND(INDIRECT(D3&amp;"!N41"),-1))</f>
        <v>38868320</v>
      </c>
      <c r="M3" s="368"/>
      <c r="N3" s="369"/>
      <c r="O3" s="233">
        <f ca="1">IF(F3="","",ROUND(INDIRECT(D3&amp;"!N52"),-1))</f>
        <v>1200</v>
      </c>
      <c r="P3" s="234">
        <f ca="1">IF(F3="","",ROUND(INDIRECT(D3&amp;"!N53"),-1))</f>
        <v>38867120</v>
      </c>
      <c r="Q3" s="235">
        <f ca="1">IF(F3="","",ROUND(SUM($P$3:P3),-1))</f>
        <v>38867120</v>
      </c>
      <c r="S3" s="164"/>
    </row>
    <row r="4" spans="1:22" ht="9.75" customHeight="1">
      <c r="A4" s="230">
        <v>2</v>
      </c>
      <c r="B4" s="357">
        <f t="shared" ca="1" si="0"/>
        <v>4</v>
      </c>
      <c r="C4" s="673">
        <f ca="1">IF(B4="","",D4-RIGHT(YEAR('2025'!$B$2),2)+(IF(YEAR('2025'!$B$2)&lt;2000,100,0))-2000)</f>
        <v>29</v>
      </c>
      <c r="D4" s="675">
        <f ca="1">VALUE('2026'!$D$1)</f>
        <v>2026</v>
      </c>
      <c r="E4" s="674">
        <f t="shared" ca="1" si="1"/>
        <v>14</v>
      </c>
      <c r="F4" s="363">
        <f ca="1">IF(YEAR('2026'!$B$1)&lt;D4,"",ROUND(INDIRECT(D4&amp;"!N26"),-1))</f>
        <v>51713610</v>
      </c>
      <c r="G4" s="363">
        <f ca="1">IF(F4="","",F4-F3)</f>
        <v>3953040</v>
      </c>
      <c r="H4" s="365">
        <f t="shared" ref="H4:H43" ca="1" si="4">IF(F4="","",(F4-F3)/F3)</f>
        <v>8.276785641377396E-2</v>
      </c>
      <c r="I4" s="233">
        <f t="shared" ca="1" si="2"/>
        <v>12714840</v>
      </c>
      <c r="J4" s="233">
        <f t="shared" ref="J4:J43" ca="1" si="5">IF(I4="","",I4-I3)</f>
        <v>3822590</v>
      </c>
      <c r="K4" s="377">
        <f ca="1">IF(I4="","",(I4-I3)/I3)</f>
        <v>0.42987882706851471</v>
      </c>
      <c r="L4" s="368">
        <f t="shared" ca="1" si="3"/>
        <v>38998770</v>
      </c>
      <c r="M4" s="368">
        <f t="shared" ref="M4:M42" ca="1" si="6">IF(L4="","",L4-L3)</f>
        <v>130450</v>
      </c>
      <c r="N4" s="369">
        <f ca="1">IF(L4="","",(L4-L3)/L3)</f>
        <v>3.3562037155194769E-3</v>
      </c>
      <c r="O4" s="233">
        <f t="shared" ref="O4:O43" ca="1" si="7">IF(F4="","",ROUND(INDIRECT(D4&amp;"!N52"),-1))</f>
        <v>1200</v>
      </c>
      <c r="P4" s="234">
        <f t="shared" ref="P4:P43" ca="1" si="8">IF(F4="","",ROUND(INDIRECT(D4&amp;"!N53"),-1))</f>
        <v>38997570</v>
      </c>
      <c r="Q4" s="235">
        <f ca="1">IF(F4="","",ROUND(SUM($P$3:P4),-1))</f>
        <v>77864690</v>
      </c>
      <c r="S4" s="382"/>
      <c r="T4" s="379"/>
    </row>
    <row r="5" spans="1:22" ht="9.75" customHeight="1">
      <c r="A5" s="230">
        <v>3</v>
      </c>
      <c r="B5" s="357">
        <f t="shared" ca="1" si="0"/>
        <v>5</v>
      </c>
      <c r="C5" s="673">
        <f ca="1">IF(B5="","",D5-RIGHT(YEAR('2025'!$B$2),2)+(IF(YEAR('2025'!$B$2)&lt;2000,100,0))-2000)</f>
        <v>30</v>
      </c>
      <c r="D5" s="675">
        <f ca="1">VALUE('2027'!$D$1)</f>
        <v>2027</v>
      </c>
      <c r="E5" s="674">
        <f t="shared" ca="1" si="1"/>
        <v>15</v>
      </c>
      <c r="F5" s="363">
        <f ca="1">IF(YEAR('2026'!$B$1)&lt;D5,"",ROUND(INDIRECT(D5&amp;"!N26"),-1))</f>
        <v>54691190</v>
      </c>
      <c r="G5" s="363">
        <f t="shared" ref="G5:G43" ca="1" si="9">IF(F5="","",F5-F4)</f>
        <v>2977580</v>
      </c>
      <c r="H5" s="365">
        <f t="shared" ca="1" si="4"/>
        <v>5.7578266146958219E-2</v>
      </c>
      <c r="I5" s="233">
        <f t="shared" ca="1" si="2"/>
        <v>13709680</v>
      </c>
      <c r="J5" s="233">
        <f t="shared" ca="1" si="5"/>
        <v>994840</v>
      </c>
      <c r="K5" s="377">
        <f t="shared" ref="K5:K43" ca="1" si="10">IF(I5="","",(I5-I4)/I4)</f>
        <v>7.8242431678259422E-2</v>
      </c>
      <c r="L5" s="368">
        <f t="shared" ca="1" si="3"/>
        <v>40981510</v>
      </c>
      <c r="M5" s="368">
        <f t="shared" ca="1" si="6"/>
        <v>1982740</v>
      </c>
      <c r="N5" s="369">
        <f t="shared" ref="N5:N43" ca="1" si="11">IF(L5="","",(L5-L4)/L4)</f>
        <v>5.0841090629268566E-2</v>
      </c>
      <c r="O5" s="233">
        <f t="shared" ca="1" si="7"/>
        <v>1200</v>
      </c>
      <c r="P5" s="234">
        <f t="shared" ca="1" si="8"/>
        <v>40980310</v>
      </c>
      <c r="Q5" s="235">
        <f ca="1">IF(F5="","",ROUND(SUM($P$3:P5),-1))</f>
        <v>118845000</v>
      </c>
    </row>
    <row r="6" spans="1:22" ht="9.75" customHeight="1">
      <c r="A6" s="230">
        <v>4</v>
      </c>
      <c r="B6" s="357">
        <f t="shared" ca="1" si="0"/>
        <v>6</v>
      </c>
      <c r="C6" s="673">
        <f ca="1">IF(B6="","",D6-RIGHT(YEAR('2025'!$B$2),2)+(IF(YEAR('2025'!$B$2)&lt;2000,100,0))-2000)</f>
        <v>31</v>
      </c>
      <c r="D6" s="675">
        <f ca="1">VALUE('2028'!$D$1)</f>
        <v>2028</v>
      </c>
      <c r="E6" s="674">
        <f t="shared" ca="1" si="1"/>
        <v>16</v>
      </c>
      <c r="F6" s="363">
        <f ca="1">IF(YEAR('2026'!$B$1)&lt;D6,"",ROUND(INDIRECT(D6&amp;"!N26"),-1))</f>
        <v>57830590</v>
      </c>
      <c r="G6" s="363">
        <f t="shared" ca="1" si="9"/>
        <v>3139400</v>
      </c>
      <c r="H6" s="365">
        <f t="shared" ca="1" si="4"/>
        <v>5.7402298249498683E-2</v>
      </c>
      <c r="I6" s="233">
        <f t="shared" ca="1" si="2"/>
        <v>14689780</v>
      </c>
      <c r="J6" s="233">
        <f t="shared" ca="1" si="5"/>
        <v>980100</v>
      </c>
      <c r="K6" s="377">
        <f t="shared" ca="1" si="10"/>
        <v>7.1489633601951319E-2</v>
      </c>
      <c r="L6" s="368">
        <f t="shared" ca="1" si="3"/>
        <v>43140810</v>
      </c>
      <c r="M6" s="368">
        <f t="shared" ca="1" si="6"/>
        <v>2159300</v>
      </c>
      <c r="N6" s="369">
        <f t="shared" ca="1" si="11"/>
        <v>5.2689615389964889E-2</v>
      </c>
      <c r="O6" s="233">
        <f t="shared" ca="1" si="7"/>
        <v>1200</v>
      </c>
      <c r="P6" s="234">
        <f t="shared" ca="1" si="8"/>
        <v>43139610</v>
      </c>
      <c r="Q6" s="235">
        <f ca="1">IF(F6="","",ROUND(SUM($P$3:P6),-1))</f>
        <v>161984610</v>
      </c>
      <c r="U6" s="380"/>
    </row>
    <row r="7" spans="1:22" ht="9.75" customHeight="1">
      <c r="A7" s="230">
        <v>5</v>
      </c>
      <c r="B7" s="357">
        <f t="shared" ca="1" si="0"/>
        <v>7</v>
      </c>
      <c r="C7" s="673">
        <f ca="1">IF(B7="","",D7-RIGHT(YEAR('2025'!$B$2),2)+(IF(YEAR('2025'!$B$2)&lt;2000,100,0))-2000)</f>
        <v>32</v>
      </c>
      <c r="D7" s="675">
        <f ca="1">VALUE('2029'!$D$1)</f>
        <v>2029</v>
      </c>
      <c r="E7" s="674">
        <f t="shared" ca="1" si="1"/>
        <v>17</v>
      </c>
      <c r="F7" s="363">
        <f ca="1">IF(YEAR('2026'!$B$1)&lt;D7,"",ROUND(INDIRECT(D7&amp;"!N26"),-1))</f>
        <v>61094460</v>
      </c>
      <c r="G7" s="363">
        <f t="shared" ca="1" si="9"/>
        <v>3263870</v>
      </c>
      <c r="H7" s="365">
        <f t="shared" ca="1" si="4"/>
        <v>5.6438469674959219E-2</v>
      </c>
      <c r="I7" s="233">
        <f t="shared" ca="1" si="2"/>
        <v>15712400</v>
      </c>
      <c r="J7" s="233">
        <f t="shared" ca="1" si="5"/>
        <v>1022620</v>
      </c>
      <c r="K7" s="377">
        <f t="shared" ca="1" si="10"/>
        <v>6.9614384966963427E-2</v>
      </c>
      <c r="L7" s="368">
        <f t="shared" ca="1" si="3"/>
        <v>45382060</v>
      </c>
      <c r="M7" s="368">
        <f t="shared" ca="1" si="6"/>
        <v>2241250</v>
      </c>
      <c r="N7" s="369">
        <f t="shared" ca="1" si="11"/>
        <v>5.1951968449363839E-2</v>
      </c>
      <c r="O7" s="233">
        <f t="shared" ca="1" si="7"/>
        <v>1200</v>
      </c>
      <c r="P7" s="234">
        <f t="shared" ca="1" si="8"/>
        <v>45380860</v>
      </c>
      <c r="Q7" s="235">
        <f ca="1">IF(F7="","",ROUND(SUM($P$3:P7),-1))</f>
        <v>207365470</v>
      </c>
    </row>
    <row r="8" spans="1:22" ht="9.75" customHeight="1">
      <c r="A8" s="230">
        <v>6</v>
      </c>
      <c r="B8" s="357">
        <f t="shared" ca="1" si="0"/>
        <v>8</v>
      </c>
      <c r="C8" s="673">
        <f ca="1">IF(B8="","",D8-RIGHT(YEAR('2025'!$B$2),2)+(IF(YEAR('2025'!$B$2)&lt;2000,100,0))-2000)</f>
        <v>33</v>
      </c>
      <c r="D8" s="675">
        <f ca="1">VALUE('2030'!$D$1)</f>
        <v>2030</v>
      </c>
      <c r="E8" s="674">
        <f t="shared" ca="1" si="1"/>
        <v>18</v>
      </c>
      <c r="F8" s="363">
        <f ca="1">IF(YEAR('2026'!$B$1)&lt;D8,"",ROUND(INDIRECT(D8&amp;"!N26"),-1))</f>
        <v>64578840</v>
      </c>
      <c r="G8" s="363">
        <f t="shared" ca="1" si="9"/>
        <v>3484380</v>
      </c>
      <c r="H8" s="365">
        <f t="shared" ca="1" si="4"/>
        <v>5.7032667119080845E-2</v>
      </c>
      <c r="I8" s="233">
        <f t="shared" ca="1" si="2"/>
        <v>16728810</v>
      </c>
      <c r="J8" s="233">
        <f t="shared" ca="1" si="5"/>
        <v>1016410</v>
      </c>
      <c r="K8" s="377">
        <f t="shared" ca="1" si="10"/>
        <v>6.4688398971512948E-2</v>
      </c>
      <c r="L8" s="368">
        <f t="shared" ca="1" si="3"/>
        <v>47850030</v>
      </c>
      <c r="M8" s="368">
        <f t="shared" ca="1" si="6"/>
        <v>2467970</v>
      </c>
      <c r="N8" s="369">
        <f t="shared" ca="1" si="11"/>
        <v>5.4382061986608804E-2</v>
      </c>
      <c r="O8" s="233">
        <f t="shared" ca="1" si="7"/>
        <v>1200</v>
      </c>
      <c r="P8" s="234">
        <f t="shared" ca="1" si="8"/>
        <v>47848830</v>
      </c>
      <c r="Q8" s="235">
        <f ca="1">IF(F8="","",ROUND(SUM($P$3:P8),-1))</f>
        <v>255214300</v>
      </c>
    </row>
    <row r="9" spans="1:22" ht="9.75" customHeight="1">
      <c r="A9" s="230">
        <v>7</v>
      </c>
      <c r="B9" s="357">
        <f t="shared" ca="1" si="0"/>
        <v>9</v>
      </c>
      <c r="C9" s="673">
        <f ca="1">IF(B9="","",D9-RIGHT(YEAR('2025'!$B$2),2)+(IF(YEAR('2025'!$B$2)&lt;2000,100,0))-2000)</f>
        <v>34</v>
      </c>
      <c r="D9" s="675">
        <f ca="1">VALUE('2031'!$D$1)</f>
        <v>2031</v>
      </c>
      <c r="E9" s="674">
        <f t="shared" ca="1" si="1"/>
        <v>19</v>
      </c>
      <c r="F9" s="363">
        <f ca="1">IF(YEAR('2026'!$B$1)&lt;D9,"",ROUND(INDIRECT(D9&amp;"!N26"),-1))</f>
        <v>68241540</v>
      </c>
      <c r="G9" s="363">
        <f t="shared" ca="1" si="9"/>
        <v>3662700</v>
      </c>
      <c r="H9" s="365">
        <f t="shared" ca="1" si="4"/>
        <v>5.6716720213617962E-2</v>
      </c>
      <c r="I9" s="233">
        <f t="shared" ca="1" si="2"/>
        <v>17874310</v>
      </c>
      <c r="J9" s="233">
        <f t="shared" ca="1" si="5"/>
        <v>1145500</v>
      </c>
      <c r="K9" s="377">
        <f t="shared" ca="1" si="10"/>
        <v>6.8474685288433548E-2</v>
      </c>
      <c r="L9" s="368">
        <f t="shared" ca="1" si="3"/>
        <v>50367230</v>
      </c>
      <c r="M9" s="368">
        <f t="shared" ca="1" si="6"/>
        <v>2517200</v>
      </c>
      <c r="N9" s="369">
        <f t="shared" ca="1" si="11"/>
        <v>5.2606027624225102E-2</v>
      </c>
      <c r="O9" s="233">
        <f t="shared" ca="1" si="7"/>
        <v>1200</v>
      </c>
      <c r="P9" s="234">
        <f t="shared" ca="1" si="8"/>
        <v>50366030</v>
      </c>
      <c r="Q9" s="235">
        <f ca="1">IF(F9="","",ROUND(SUM($P$3:P9),-1))</f>
        <v>305580330</v>
      </c>
    </row>
    <row r="10" spans="1:22" ht="9.75" customHeight="1">
      <c r="A10" s="230">
        <v>8</v>
      </c>
      <c r="B10" s="357">
        <f t="shared" ca="1" si="0"/>
        <v>10</v>
      </c>
      <c r="C10" s="673">
        <f ca="1">IF(B10="","",D10-RIGHT(YEAR('2025'!$B$2),2)+(IF(YEAR('2025'!$B$2)&lt;2000,100,0))-2000)</f>
        <v>35</v>
      </c>
      <c r="D10" s="675">
        <f ca="1">VALUE('2032'!$D$1)</f>
        <v>2032</v>
      </c>
      <c r="E10" s="674">
        <f t="shared" ca="1" si="1"/>
        <v>20</v>
      </c>
      <c r="F10" s="363">
        <f ca="1">IF(YEAR('2026'!$B$1)&lt;D10,"",ROUND(INDIRECT(D10&amp;"!N26"),-1))</f>
        <v>72347490</v>
      </c>
      <c r="G10" s="363">
        <f t="shared" ca="1" si="9"/>
        <v>4105950</v>
      </c>
      <c r="H10" s="365">
        <f t="shared" ca="1" si="4"/>
        <v>6.0167897735015942E-2</v>
      </c>
      <c r="I10" s="233">
        <f t="shared" ca="1" si="2"/>
        <v>19801920</v>
      </c>
      <c r="J10" s="233">
        <f t="shared" ca="1" si="5"/>
        <v>1927610</v>
      </c>
      <c r="K10" s="377">
        <f t="shared" ca="1" si="10"/>
        <v>0.10784248454905392</v>
      </c>
      <c r="L10" s="368">
        <f t="shared" ca="1" si="3"/>
        <v>52545570</v>
      </c>
      <c r="M10" s="368">
        <f t="shared" ca="1" si="6"/>
        <v>2178340</v>
      </c>
      <c r="N10" s="369">
        <f t="shared" ca="1" si="11"/>
        <v>4.3249152276192276E-2</v>
      </c>
      <c r="O10" s="233">
        <f t="shared" ca="1" si="7"/>
        <v>1200</v>
      </c>
      <c r="P10" s="234">
        <f t="shared" ca="1" si="8"/>
        <v>52544370</v>
      </c>
      <c r="Q10" s="235">
        <f ca="1">IF(F10="","",ROUND(SUM($P$3:P10),-1))</f>
        <v>358124700</v>
      </c>
      <c r="V10" s="380"/>
    </row>
    <row r="11" spans="1:22" ht="9.75" customHeight="1">
      <c r="A11" s="230">
        <v>9</v>
      </c>
      <c r="B11" s="357">
        <f t="shared" ca="1" si="0"/>
        <v>11</v>
      </c>
      <c r="C11" s="673">
        <f ca="1">IF(B11="","",D11-RIGHT(YEAR('2025'!$B$2),2)+(IF(YEAR('2025'!$B$2)&lt;2000,100,0))-2000)</f>
        <v>36</v>
      </c>
      <c r="D11" s="675">
        <f ca="1">VALUE('2033'!$D$1)</f>
        <v>2033</v>
      </c>
      <c r="E11" s="674">
        <f t="shared" ca="1" si="1"/>
        <v>21</v>
      </c>
      <c r="F11" s="363">
        <f ca="1">IF(YEAR('2026'!$B$1)&lt;D11,"",ROUND(INDIRECT(D11&amp;"!N26"),-1))</f>
        <v>76176510</v>
      </c>
      <c r="G11" s="363">
        <f t="shared" ca="1" si="9"/>
        <v>3829020</v>
      </c>
      <c r="H11" s="365">
        <f t="shared" ca="1" si="4"/>
        <v>5.2925402111393224E-2</v>
      </c>
      <c r="I11" s="233">
        <f t="shared" ca="1" si="2"/>
        <v>21336320</v>
      </c>
      <c r="J11" s="233">
        <f t="shared" ca="1" si="5"/>
        <v>1534400</v>
      </c>
      <c r="K11" s="377">
        <f t="shared" ca="1" si="10"/>
        <v>7.7487435561804111E-2</v>
      </c>
      <c r="L11" s="368">
        <f t="shared" ca="1" si="3"/>
        <v>54840190</v>
      </c>
      <c r="M11" s="368">
        <f t="shared" ca="1" si="6"/>
        <v>2294620</v>
      </c>
      <c r="N11" s="369">
        <f t="shared" ca="1" si="11"/>
        <v>4.3669142803094536E-2</v>
      </c>
      <c r="O11" s="233">
        <f t="shared" ca="1" si="7"/>
        <v>1200</v>
      </c>
      <c r="P11" s="234">
        <f t="shared" ca="1" si="8"/>
        <v>54838990</v>
      </c>
      <c r="Q11" s="235">
        <f ca="1">IF(F11="","",ROUND(SUM($P$3:P11),-1))</f>
        <v>412963690</v>
      </c>
    </row>
    <row r="12" spans="1:22" ht="9.75" customHeight="1">
      <c r="A12" s="230">
        <v>10</v>
      </c>
      <c r="B12" s="357">
        <f t="shared" ca="1" si="0"/>
        <v>12</v>
      </c>
      <c r="C12" s="673">
        <f ca="1">IF(B12="","",D12-RIGHT(YEAR('2025'!$B$2),2)+(IF(YEAR('2025'!$B$2)&lt;2000,100,0))-2000)</f>
        <v>37</v>
      </c>
      <c r="D12" s="675">
        <f ca="1">VALUE('2034'!$D$1)</f>
        <v>2034</v>
      </c>
      <c r="E12" s="674">
        <f t="shared" ca="1" si="1"/>
        <v>22</v>
      </c>
      <c r="F12" s="363">
        <f ca="1">IF(YEAR('2026'!$B$1)&lt;D12,"",ROUND(INDIRECT(D12&amp;"!N26"),-1))</f>
        <v>80109680</v>
      </c>
      <c r="G12" s="363">
        <f t="shared" ca="1" si="9"/>
        <v>3933170</v>
      </c>
      <c r="H12" s="365">
        <f t="shared" ca="1" si="4"/>
        <v>5.1632320777100449E-2</v>
      </c>
      <c r="I12" s="233">
        <f t="shared" ca="1" si="2"/>
        <v>24784370</v>
      </c>
      <c r="J12" s="233">
        <f t="shared" ca="1" si="5"/>
        <v>3448050</v>
      </c>
      <c r="K12" s="377">
        <f t="shared" ca="1" si="10"/>
        <v>0.1616047190893275</v>
      </c>
      <c r="L12" s="368">
        <f t="shared" ca="1" si="3"/>
        <v>55325310</v>
      </c>
      <c r="M12" s="368">
        <f t="shared" ca="1" si="6"/>
        <v>485120</v>
      </c>
      <c r="N12" s="369">
        <f t="shared" ca="1" si="11"/>
        <v>8.8460670905771838E-3</v>
      </c>
      <c r="O12" s="233">
        <f t="shared" ca="1" si="7"/>
        <v>1200</v>
      </c>
      <c r="P12" s="234">
        <f t="shared" ca="1" si="8"/>
        <v>55324110</v>
      </c>
      <c r="Q12" s="235">
        <f ca="1">IF(F12="","",ROUND(SUM($P$3:P12),-1))</f>
        <v>468287800</v>
      </c>
    </row>
    <row r="13" spans="1:22" ht="9.75" customHeight="1">
      <c r="A13" s="230">
        <v>11</v>
      </c>
      <c r="B13" s="357">
        <f t="shared" ca="1" si="0"/>
        <v>13</v>
      </c>
      <c r="C13" s="673">
        <f ca="1">IF(B13="","",D13-RIGHT(YEAR('2025'!$B$2),2)+(IF(YEAR('2025'!$B$2)&lt;2000,100,0))-2000)</f>
        <v>38</v>
      </c>
      <c r="D13" s="675">
        <f ca="1">VALUE('2035'!$D$1)</f>
        <v>2035</v>
      </c>
      <c r="E13" s="674">
        <f t="shared" ca="1" si="1"/>
        <v>23</v>
      </c>
      <c r="F13" s="363">
        <f ca="1">IF(YEAR('2026'!$B$1)&lt;D13,"",ROUND(INDIRECT(D13&amp;"!N26"),-1))</f>
        <v>84231850</v>
      </c>
      <c r="G13" s="363">
        <f t="shared" ca="1" si="9"/>
        <v>4122170</v>
      </c>
      <c r="H13" s="365">
        <f t="shared" ca="1" si="4"/>
        <v>5.145657803151879E-2</v>
      </c>
      <c r="I13" s="233">
        <f t="shared" ca="1" si="2"/>
        <v>24565470</v>
      </c>
      <c r="J13" s="233">
        <f t="shared" ca="1" si="5"/>
        <v>-218900</v>
      </c>
      <c r="K13" s="377">
        <f t="shared" ca="1" si="10"/>
        <v>-8.8321793130105783E-3</v>
      </c>
      <c r="L13" s="368">
        <f t="shared" ca="1" si="3"/>
        <v>59666380</v>
      </c>
      <c r="M13" s="368">
        <f t="shared" ca="1" si="6"/>
        <v>4341070</v>
      </c>
      <c r="N13" s="369">
        <f t="shared" ca="1" si="11"/>
        <v>7.8464449634353603E-2</v>
      </c>
      <c r="O13" s="233">
        <f t="shared" ca="1" si="7"/>
        <v>1200</v>
      </c>
      <c r="P13" s="234">
        <f t="shared" ca="1" si="8"/>
        <v>59665180</v>
      </c>
      <c r="Q13" s="235">
        <f ca="1">IF(F13="","",ROUND(SUM($P$3:P13),-1))</f>
        <v>527952980</v>
      </c>
    </row>
    <row r="14" spans="1:22" ht="9.75" customHeight="1">
      <c r="A14" s="230">
        <v>12</v>
      </c>
      <c r="B14" s="357">
        <f t="shared" ca="1" si="0"/>
        <v>14</v>
      </c>
      <c r="C14" s="673">
        <f ca="1">IF(B14="","",D14-RIGHT(YEAR('2025'!$B$2),2)+(IF(YEAR('2025'!$B$2)&lt;2000,100,0))-2000)</f>
        <v>39</v>
      </c>
      <c r="D14" s="675">
        <f ca="1">VALUE('2036'!$D$1)</f>
        <v>2036</v>
      </c>
      <c r="E14" s="674">
        <f t="shared" ca="1" si="1"/>
        <v>24</v>
      </c>
      <c r="F14" s="363">
        <f ca="1">IF(YEAR('2026'!$B$1)&lt;D14,"",ROUND(INDIRECT(D14&amp;"!N26"),-1))</f>
        <v>88518240</v>
      </c>
      <c r="G14" s="363">
        <f t="shared" ca="1" si="9"/>
        <v>4286390</v>
      </c>
      <c r="H14" s="365">
        <f t="shared" ca="1" si="4"/>
        <v>5.0887995455400778E-2</v>
      </c>
      <c r="I14" s="233">
        <f t="shared" ca="1" si="2"/>
        <v>26272800</v>
      </c>
      <c r="J14" s="233">
        <f t="shared" ca="1" si="5"/>
        <v>1707330</v>
      </c>
      <c r="K14" s="377">
        <f t="shared" ca="1" si="10"/>
        <v>6.9501214509634868E-2</v>
      </c>
      <c r="L14" s="368">
        <f t="shared" ca="1" si="3"/>
        <v>62245440</v>
      </c>
      <c r="M14" s="368">
        <f t="shared" ca="1" si="6"/>
        <v>2579060</v>
      </c>
      <c r="N14" s="369">
        <f t="shared" ca="1" si="11"/>
        <v>4.3224676945375268E-2</v>
      </c>
      <c r="O14" s="233">
        <f t="shared" ca="1" si="7"/>
        <v>1200</v>
      </c>
      <c r="P14" s="234">
        <f t="shared" ca="1" si="8"/>
        <v>62244240</v>
      </c>
      <c r="Q14" s="235">
        <f ca="1">IF(F14="","",ROUND(SUM($P$3:P14),-1))</f>
        <v>590197220</v>
      </c>
    </row>
    <row r="15" spans="1:22" ht="9.75" customHeight="1">
      <c r="A15" s="230">
        <v>13</v>
      </c>
      <c r="B15" s="357">
        <f t="shared" ca="1" si="0"/>
        <v>15</v>
      </c>
      <c r="C15" s="673">
        <f ca="1">IF(B15="","",D15-RIGHT(YEAR('2025'!$B$2),2)+(IF(YEAR('2025'!$B$2)&lt;2000,100,0))-2000)</f>
        <v>40</v>
      </c>
      <c r="D15" s="675">
        <f ca="1">VALUE('2037'!$D$1)</f>
        <v>2037</v>
      </c>
      <c r="E15" s="674">
        <f t="shared" ca="1" si="1"/>
        <v>25</v>
      </c>
      <c r="F15" s="363">
        <f ca="1">IF(YEAR('2026'!$B$1)&lt;D15,"",ROUND(INDIRECT(D15&amp;"!N26"),-1))</f>
        <v>93170500</v>
      </c>
      <c r="G15" s="363">
        <f t="shared" ca="1" si="9"/>
        <v>4652260</v>
      </c>
      <c r="H15" s="365">
        <f t="shared" ca="1" si="4"/>
        <v>5.2557077501766865E-2</v>
      </c>
      <c r="I15" s="233">
        <f t="shared" ca="1" si="2"/>
        <v>28093450</v>
      </c>
      <c r="J15" s="233">
        <f t="shared" ca="1" si="5"/>
        <v>1820650</v>
      </c>
      <c r="K15" s="377">
        <f t="shared" ca="1" si="10"/>
        <v>6.9297905057702266E-2</v>
      </c>
      <c r="L15" s="368">
        <f t="shared" ca="1" si="3"/>
        <v>65077050</v>
      </c>
      <c r="M15" s="368">
        <f t="shared" ca="1" si="6"/>
        <v>2831610</v>
      </c>
      <c r="N15" s="369">
        <f t="shared" ca="1" si="11"/>
        <v>4.5491043199309057E-2</v>
      </c>
      <c r="O15" s="233">
        <f t="shared" ca="1" si="7"/>
        <v>1200</v>
      </c>
      <c r="P15" s="234">
        <f t="shared" ca="1" si="8"/>
        <v>65075850</v>
      </c>
      <c r="Q15" s="235">
        <f ca="1">IF(F15="","",ROUND(SUM($P$3:P15),-1))</f>
        <v>655273070</v>
      </c>
      <c r="S15" s="380"/>
      <c r="T15" s="381"/>
      <c r="U15" s="379"/>
    </row>
    <row r="16" spans="1:22" ht="9.75" customHeight="1">
      <c r="A16" s="230">
        <v>14</v>
      </c>
      <c r="B16" s="357">
        <f t="shared" ca="1" si="0"/>
        <v>16</v>
      </c>
      <c r="C16" s="673">
        <f ca="1">IF(B16="","",D16-RIGHT(YEAR('2025'!$B$2),2)+(IF(YEAR('2025'!$B$2)&lt;2000,100,0))-2000)</f>
        <v>41</v>
      </c>
      <c r="D16" s="675">
        <f ca="1">VALUE('2038'!$D$1)</f>
        <v>2038</v>
      </c>
      <c r="E16" s="674">
        <f t="shared" ca="1" si="1"/>
        <v>26</v>
      </c>
      <c r="F16" s="363">
        <f ca="1">IF(YEAR('2026'!$B$1)&lt;D16,"",ROUND(INDIRECT(D16&amp;"!N26"),-1))</f>
        <v>97839950</v>
      </c>
      <c r="G16" s="363">
        <f t="shared" ca="1" si="9"/>
        <v>4669450</v>
      </c>
      <c r="H16" s="365">
        <f t="shared" ca="1" si="4"/>
        <v>5.0117258145013714E-2</v>
      </c>
      <c r="I16" s="233">
        <f t="shared" ca="1" si="2"/>
        <v>29993400</v>
      </c>
      <c r="J16" s="233">
        <f t="shared" ca="1" si="5"/>
        <v>1899950</v>
      </c>
      <c r="K16" s="377">
        <f t="shared" ca="1" si="10"/>
        <v>6.7629643208648282E-2</v>
      </c>
      <c r="L16" s="368">
        <f t="shared" ca="1" si="3"/>
        <v>67846550</v>
      </c>
      <c r="M16" s="368">
        <f t="shared" ca="1" si="6"/>
        <v>2769500</v>
      </c>
      <c r="N16" s="369">
        <f t="shared" ca="1" si="11"/>
        <v>4.2557245603480794E-2</v>
      </c>
      <c r="O16" s="233">
        <f t="shared" ca="1" si="7"/>
        <v>1200</v>
      </c>
      <c r="P16" s="234">
        <f t="shared" ca="1" si="8"/>
        <v>67845350</v>
      </c>
      <c r="Q16" s="235">
        <f ca="1">IF(F16="","",ROUND(SUM($P$3:P16),-1))</f>
        <v>723118420</v>
      </c>
    </row>
    <row r="17" spans="1:21" ht="9.75" customHeight="1">
      <c r="A17" s="230">
        <v>15</v>
      </c>
      <c r="B17" s="357">
        <f t="shared" ca="1" si="0"/>
        <v>17</v>
      </c>
      <c r="C17" s="673">
        <f ca="1">IF(B17="","",D17-RIGHT(YEAR('2025'!$B$2),2)+(IF(YEAR('2025'!$B$2)&lt;2000,100,0))-2000)</f>
        <v>42</v>
      </c>
      <c r="D17" s="675">
        <f ca="1">VALUE('2039'!$D$1)</f>
        <v>2039</v>
      </c>
      <c r="E17" s="674">
        <f t="shared" ca="1" si="1"/>
        <v>27</v>
      </c>
      <c r="F17" s="363">
        <f ca="1">IF(YEAR('2026'!$B$1)&lt;D17,"",ROUND(INDIRECT(D17&amp;"!N26"),-1))</f>
        <v>102742770</v>
      </c>
      <c r="G17" s="363">
        <f t="shared" ca="1" si="9"/>
        <v>4902820</v>
      </c>
      <c r="H17" s="365">
        <f t="shared" ca="1" si="4"/>
        <v>5.0110614324721137E-2</v>
      </c>
      <c r="I17" s="233">
        <f t="shared" ca="1" si="2"/>
        <v>31911980</v>
      </c>
      <c r="J17" s="233">
        <f t="shared" ca="1" si="5"/>
        <v>1918580</v>
      </c>
      <c r="K17" s="377">
        <f t="shared" ca="1" si="10"/>
        <v>6.3966739349323523E-2</v>
      </c>
      <c r="L17" s="368">
        <f t="shared" ca="1" si="3"/>
        <v>70830790</v>
      </c>
      <c r="M17" s="368">
        <f t="shared" ca="1" si="6"/>
        <v>2984240</v>
      </c>
      <c r="N17" s="369">
        <f t="shared" ca="1" si="11"/>
        <v>4.3985139996064647E-2</v>
      </c>
      <c r="O17" s="233">
        <f t="shared" ca="1" si="7"/>
        <v>1200</v>
      </c>
      <c r="P17" s="234">
        <f t="shared" ca="1" si="8"/>
        <v>70829590</v>
      </c>
      <c r="Q17" s="235">
        <f ca="1">IF(F17="","",ROUND(SUM($P$3:P17),-1))</f>
        <v>793948010</v>
      </c>
    </row>
    <row r="18" spans="1:21" ht="9.75" customHeight="1">
      <c r="A18" s="230">
        <v>16</v>
      </c>
      <c r="B18" s="357">
        <f t="shared" ca="1" si="0"/>
        <v>18</v>
      </c>
      <c r="C18" s="673">
        <f ca="1">IF(B18="","",D18-RIGHT(YEAR('2025'!$B$2),2)+(IF(YEAR('2025'!$B$2)&lt;2000,100,0))-2000)</f>
        <v>43</v>
      </c>
      <c r="D18" s="675">
        <f ca="1">VALUE('2040'!$D$1)</f>
        <v>2040</v>
      </c>
      <c r="E18" s="674">
        <f t="shared" ca="1" si="1"/>
        <v>28</v>
      </c>
      <c r="F18" s="363">
        <f ca="1">IF(YEAR('2026'!$B$1)&lt;D18,"",ROUND(INDIRECT(D18&amp;"!N26"),-1))</f>
        <v>107855020</v>
      </c>
      <c r="G18" s="363">
        <f t="shared" ca="1" si="9"/>
        <v>5112250</v>
      </c>
      <c r="H18" s="365">
        <f t="shared" ca="1" si="4"/>
        <v>4.9757759110446408E-2</v>
      </c>
      <c r="I18" s="233">
        <f t="shared" ca="1" si="2"/>
        <v>34017290</v>
      </c>
      <c r="J18" s="233">
        <f t="shared" ca="1" si="5"/>
        <v>2105310</v>
      </c>
      <c r="K18" s="377">
        <f t="shared" ca="1" si="10"/>
        <v>6.5972402840563327E-2</v>
      </c>
      <c r="L18" s="368">
        <f t="shared" ca="1" si="3"/>
        <v>73837730</v>
      </c>
      <c r="M18" s="368">
        <f t="shared" ca="1" si="6"/>
        <v>3006940</v>
      </c>
      <c r="N18" s="369">
        <f t="shared" ca="1" si="11"/>
        <v>4.2452441939444696E-2</v>
      </c>
      <c r="O18" s="233">
        <f t="shared" ca="1" si="7"/>
        <v>1200</v>
      </c>
      <c r="P18" s="234">
        <f t="shared" ca="1" si="8"/>
        <v>73836530</v>
      </c>
      <c r="Q18" s="235">
        <f ca="1">IF(F18="","",ROUND(SUM($P$3:P18),-1))</f>
        <v>867784540</v>
      </c>
    </row>
    <row r="19" spans="1:21" ht="9.75" customHeight="1">
      <c r="A19" s="230">
        <v>17</v>
      </c>
      <c r="B19" s="357">
        <f t="shared" ca="1" si="0"/>
        <v>19</v>
      </c>
      <c r="C19" s="673">
        <f ca="1">IF(B19="","",D19-RIGHT(YEAR('2025'!$B$2),2)+(IF(YEAR('2025'!$B$2)&lt;2000,100,0))-2000)</f>
        <v>44</v>
      </c>
      <c r="D19" s="675">
        <f ca="1">VALUE('2041'!$D$1)</f>
        <v>2041</v>
      </c>
      <c r="E19" s="674">
        <f t="shared" ca="1" si="1"/>
        <v>29</v>
      </c>
      <c r="F19" s="363">
        <f ca="1">IF(YEAR('2026'!$B$1)&lt;D19,"",ROUND(INDIRECT(D19&amp;"!N26"),-1))</f>
        <v>113258810</v>
      </c>
      <c r="G19" s="363">
        <f t="shared" ca="1" si="9"/>
        <v>5403790</v>
      </c>
      <c r="H19" s="365">
        <f t="shared" ca="1" si="4"/>
        <v>5.0102350358842827E-2</v>
      </c>
      <c r="I19" s="233">
        <f t="shared" ca="1" si="2"/>
        <v>36290530</v>
      </c>
      <c r="J19" s="233">
        <f t="shared" ca="1" si="5"/>
        <v>2273240</v>
      </c>
      <c r="K19" s="377">
        <f t="shared" ca="1" si="10"/>
        <v>6.682601700488193E-2</v>
      </c>
      <c r="L19" s="368">
        <f t="shared" ca="1" si="3"/>
        <v>76968280</v>
      </c>
      <c r="M19" s="368">
        <f t="shared" ca="1" si="6"/>
        <v>3130550</v>
      </c>
      <c r="N19" s="369">
        <f t="shared" ca="1" si="11"/>
        <v>4.239770101274782E-2</v>
      </c>
      <c r="O19" s="233">
        <f t="shared" ca="1" si="7"/>
        <v>1200</v>
      </c>
      <c r="P19" s="234">
        <f t="shared" ca="1" si="8"/>
        <v>76967080</v>
      </c>
      <c r="Q19" s="235">
        <f ca="1">IF(F19="","",ROUND(SUM($P$3:P19),-1))</f>
        <v>944751620</v>
      </c>
    </row>
    <row r="20" spans="1:21" ht="9.75" customHeight="1">
      <c r="A20" s="230">
        <v>18</v>
      </c>
      <c r="B20" s="357">
        <f t="shared" ca="1" si="0"/>
        <v>20</v>
      </c>
      <c r="C20" s="673">
        <f ca="1">IF(B20="","",D20-RIGHT(YEAR('2025'!$B$2),2)+(IF(YEAR('2025'!$B$2)&lt;2000,100,0))-2000)</f>
        <v>45</v>
      </c>
      <c r="D20" s="675">
        <f ca="1">VALUE('2042'!$D$1)</f>
        <v>2042</v>
      </c>
      <c r="E20" s="674">
        <f t="shared" ca="1" si="1"/>
        <v>30</v>
      </c>
      <c r="F20" s="363">
        <f ca="1">IF(YEAR('2026'!$B$1)&lt;D20,"",ROUND(INDIRECT(D20&amp;"!N26"),-1))</f>
        <v>119369610</v>
      </c>
      <c r="G20" s="363">
        <f t="shared" ca="1" si="9"/>
        <v>6110800</v>
      </c>
      <c r="H20" s="365">
        <f t="shared" ca="1" si="4"/>
        <v>5.3954301656533386E-2</v>
      </c>
      <c r="I20" s="233">
        <f t="shared" ca="1" si="2"/>
        <v>39537540</v>
      </c>
      <c r="J20" s="233">
        <f t="shared" ca="1" si="5"/>
        <v>3247010</v>
      </c>
      <c r="K20" s="377">
        <f t="shared" ca="1" si="10"/>
        <v>8.9472653058525184E-2</v>
      </c>
      <c r="L20" s="368">
        <f t="shared" ca="1" si="3"/>
        <v>79832070</v>
      </c>
      <c r="M20" s="368">
        <f t="shared" ca="1" si="6"/>
        <v>2863790</v>
      </c>
      <c r="N20" s="369">
        <f t="shared" ca="1" si="11"/>
        <v>3.7207405440267079E-2</v>
      </c>
      <c r="O20" s="233">
        <f t="shared" ca="1" si="7"/>
        <v>1200</v>
      </c>
      <c r="P20" s="234">
        <f t="shared" ca="1" si="8"/>
        <v>79830870</v>
      </c>
      <c r="Q20" s="235">
        <f ca="1">IF(F20="","",ROUND(SUM($P$3:P20),-1))</f>
        <v>1024582490</v>
      </c>
      <c r="T20" s="161"/>
    </row>
    <row r="21" spans="1:21" ht="9.75" customHeight="1">
      <c r="A21" s="230">
        <v>19</v>
      </c>
      <c r="B21" s="357">
        <f t="shared" ca="1" si="0"/>
        <v>21</v>
      </c>
      <c r="C21" s="673">
        <f ca="1">IF(B21="","",D21-RIGHT(YEAR('2025'!$B$2),2)+(IF(YEAR('2025'!$B$2)&lt;2000,100,0))-2000)</f>
        <v>46</v>
      </c>
      <c r="D21" s="675">
        <f ca="1">VALUE('2043'!$D$1)</f>
        <v>2043</v>
      </c>
      <c r="E21" s="674">
        <f t="shared" ca="1" si="1"/>
        <v>31</v>
      </c>
      <c r="F21" s="363">
        <f ca="1">IF(YEAR('2026'!$B$1)&lt;D21,"",ROUND(INDIRECT(D21&amp;"!N26"),-1))</f>
        <v>125299390</v>
      </c>
      <c r="G21" s="363">
        <f t="shared" ca="1" si="9"/>
        <v>5929780</v>
      </c>
      <c r="H21" s="365">
        <f t="shared" ca="1" si="4"/>
        <v>4.9675792691288849E-2</v>
      </c>
      <c r="I21" s="233">
        <f t="shared" ca="1" si="2"/>
        <v>41356890</v>
      </c>
      <c r="J21" s="233">
        <f t="shared" ca="1" si="5"/>
        <v>1819350</v>
      </c>
      <c r="K21" s="377">
        <f t="shared" ca="1" si="10"/>
        <v>4.6015761223384154E-2</v>
      </c>
      <c r="L21" s="368">
        <f t="shared" ca="1" si="3"/>
        <v>83942500</v>
      </c>
      <c r="M21" s="368">
        <f t="shared" ca="1" si="6"/>
        <v>4110430</v>
      </c>
      <c r="N21" s="369">
        <f t="shared" ca="1" si="11"/>
        <v>5.1488455704580875E-2</v>
      </c>
      <c r="O21" s="233">
        <f t="shared" ca="1" si="7"/>
        <v>1200</v>
      </c>
      <c r="P21" s="234">
        <f t="shared" ca="1" si="8"/>
        <v>83941300</v>
      </c>
      <c r="Q21" s="235">
        <f ca="1">IF(F21="","",ROUND(SUM($P$3:P21),-1))</f>
        <v>1108523790</v>
      </c>
    </row>
    <row r="22" spans="1:21" ht="9.75" customHeight="1">
      <c r="A22" s="230">
        <v>20</v>
      </c>
      <c r="B22" s="357">
        <f t="shared" ca="1" si="0"/>
        <v>22</v>
      </c>
      <c r="C22" s="673">
        <f ca="1">IF(B22="","",D22-RIGHT(YEAR('2025'!$B$2),2)+(IF(YEAR('2025'!$B$2)&lt;2000,100,0))-2000)</f>
        <v>47</v>
      </c>
      <c r="D22" s="675">
        <f ca="1">VALUE('2044'!$D$1)</f>
        <v>2044</v>
      </c>
      <c r="E22" s="674">
        <f t="shared" ca="1" si="1"/>
        <v>32</v>
      </c>
      <c r="F22" s="363">
        <f ca="1">IF(YEAR('2026'!$B$1)&lt;D22,"",ROUND(INDIRECT(D22&amp;"!N26"),-1))</f>
        <v>131390550</v>
      </c>
      <c r="G22" s="363">
        <f t="shared" ca="1" si="9"/>
        <v>6091160</v>
      </c>
      <c r="H22" s="365">
        <f t="shared" ca="1" si="4"/>
        <v>4.8612846399332034E-2</v>
      </c>
      <c r="I22" s="233">
        <f t="shared" ca="1" si="2"/>
        <v>42179570</v>
      </c>
      <c r="J22" s="233">
        <f t="shared" ca="1" si="5"/>
        <v>822680</v>
      </c>
      <c r="K22" s="377">
        <f t="shared" ca="1" si="10"/>
        <v>1.9892211430791822E-2</v>
      </c>
      <c r="L22" s="368">
        <f t="shared" ca="1" si="3"/>
        <v>89210980</v>
      </c>
      <c r="M22" s="368">
        <f t="shared" ca="1" si="6"/>
        <v>5268480</v>
      </c>
      <c r="N22" s="369">
        <f t="shared" ca="1" si="11"/>
        <v>6.2762962742353393E-2</v>
      </c>
      <c r="O22" s="233">
        <f t="shared" ca="1" si="7"/>
        <v>1200</v>
      </c>
      <c r="P22" s="234">
        <f t="shared" ca="1" si="8"/>
        <v>89209780</v>
      </c>
      <c r="Q22" s="235">
        <f ca="1">IF(F22="","",ROUND(SUM($P$3:P22),-1))</f>
        <v>1197733570</v>
      </c>
    </row>
    <row r="23" spans="1:21" ht="9.75" customHeight="1">
      <c r="A23" s="230">
        <v>21</v>
      </c>
      <c r="B23" s="357">
        <f t="shared" ca="1" si="0"/>
        <v>23</v>
      </c>
      <c r="C23" s="673">
        <f ca="1">IF(B23="","",D23-RIGHT(YEAR('2025'!$B$2),2)+(IF(YEAR('2025'!$B$2)&lt;2000,100,0))-2000)</f>
        <v>48</v>
      </c>
      <c r="D23" s="675">
        <f ca="1">VALUE('2045'!$D$1)</f>
        <v>2045</v>
      </c>
      <c r="E23" s="674">
        <f t="shared" ca="1" si="1"/>
        <v>33</v>
      </c>
      <c r="F23" s="363">
        <f ca="1">IF(YEAR('2026'!$B$1)&lt;D23,"",ROUND(INDIRECT(D23&amp;"!N26"),-1))</f>
        <v>137752500</v>
      </c>
      <c r="G23" s="363">
        <f t="shared" ca="1" si="9"/>
        <v>6361950</v>
      </c>
      <c r="H23" s="365">
        <f t="shared" ca="1" si="4"/>
        <v>4.8420148937651911E-2</v>
      </c>
      <c r="I23" s="233">
        <f t="shared" ca="1" si="2"/>
        <v>43040030</v>
      </c>
      <c r="J23" s="233">
        <f t="shared" ca="1" si="5"/>
        <v>860460</v>
      </c>
      <c r="K23" s="377">
        <f t="shared" ca="1" si="10"/>
        <v>2.0399923470059082E-2</v>
      </c>
      <c r="L23" s="368">
        <f t="shared" ca="1" si="3"/>
        <v>94712470</v>
      </c>
      <c r="M23" s="368">
        <f t="shared" ca="1" si="6"/>
        <v>5501490</v>
      </c>
      <c r="N23" s="369">
        <f t="shared" ca="1" si="11"/>
        <v>6.1668305852037496E-2</v>
      </c>
      <c r="O23" s="233">
        <f t="shared" ca="1" si="7"/>
        <v>1200</v>
      </c>
      <c r="P23" s="234">
        <f t="shared" ca="1" si="8"/>
        <v>94711270</v>
      </c>
      <c r="Q23" s="235">
        <f ca="1">IF(F23="","",ROUND(SUM($P$3:P23),-1))</f>
        <v>1292444840</v>
      </c>
    </row>
    <row r="24" spans="1:21" ht="9.75" customHeight="1">
      <c r="A24" s="230">
        <v>22</v>
      </c>
      <c r="B24" s="357">
        <f t="shared" ca="1" si="0"/>
        <v>24</v>
      </c>
      <c r="C24" s="673">
        <f ca="1">IF(B24="","",D24-RIGHT(YEAR('2025'!$B$2),2)+(IF(YEAR('2025'!$B$2)&lt;2000,100,0))-2000)</f>
        <v>49</v>
      </c>
      <c r="D24" s="675">
        <f ca="1">VALUE('2046'!$D$1)</f>
        <v>2046</v>
      </c>
      <c r="E24" s="674">
        <f t="shared" ca="1" si="1"/>
        <v>34</v>
      </c>
      <c r="F24" s="363">
        <f ca="1">IF(YEAR('2026'!$B$1)&lt;D24,"",ROUND(INDIRECT(D24&amp;"!N26"),-1))</f>
        <v>144358520</v>
      </c>
      <c r="G24" s="363">
        <f t="shared" ca="1" si="9"/>
        <v>6606020</v>
      </c>
      <c r="H24" s="365">
        <f t="shared" ca="1" si="4"/>
        <v>4.7955717682074739E-2</v>
      </c>
      <c r="I24" s="233">
        <f t="shared" ca="1" si="2"/>
        <v>43915810</v>
      </c>
      <c r="J24" s="233">
        <f t="shared" ca="1" si="5"/>
        <v>875780</v>
      </c>
      <c r="K24" s="377">
        <f t="shared" ca="1" si="10"/>
        <v>2.0348034144028245E-2</v>
      </c>
      <c r="L24" s="368">
        <f t="shared" ca="1" si="3"/>
        <v>100442710</v>
      </c>
      <c r="M24" s="368">
        <f t="shared" ca="1" si="6"/>
        <v>5730240</v>
      </c>
      <c r="N24" s="369">
        <f t="shared" ca="1" si="11"/>
        <v>6.0501431332114976E-2</v>
      </c>
      <c r="O24" s="233">
        <f t="shared" ca="1" si="7"/>
        <v>1200</v>
      </c>
      <c r="P24" s="234">
        <f t="shared" ca="1" si="8"/>
        <v>100441510</v>
      </c>
      <c r="Q24" s="235">
        <f ca="1">IF(F24="","",ROUND(SUM($P$3:P24),-1))</f>
        <v>1392886350</v>
      </c>
    </row>
    <row r="25" spans="1:21" ht="9.75" customHeight="1">
      <c r="A25" s="230">
        <v>23</v>
      </c>
      <c r="B25" s="357">
        <f t="shared" ca="1" si="0"/>
        <v>25</v>
      </c>
      <c r="C25" s="673">
        <f ca="1">IF(B25="","",D25-RIGHT(YEAR('2025'!$B$2),2)+(IF(YEAR('2025'!$B$2)&lt;2000,100,0))-2000)</f>
        <v>50</v>
      </c>
      <c r="D25" s="675">
        <f ca="1">VALUE('2047'!$D$1)</f>
        <v>2047</v>
      </c>
      <c r="E25" s="674">
        <f t="shared" ca="1" si="1"/>
        <v>35</v>
      </c>
      <c r="F25" s="363">
        <f ca="1">IF(YEAR('2026'!$B$1)&lt;D25,"",ROUND(INDIRECT(D25&amp;"!N26"),-1))</f>
        <v>151414130</v>
      </c>
      <c r="G25" s="363">
        <f t="shared" ca="1" si="9"/>
        <v>7055610</v>
      </c>
      <c r="H25" s="365">
        <f t="shared" ca="1" si="4"/>
        <v>4.8875604986806459E-2</v>
      </c>
      <c r="I25" s="233">
        <f t="shared" ca="1" si="2"/>
        <v>44817060</v>
      </c>
      <c r="J25" s="233">
        <f t="shared" ca="1" si="5"/>
        <v>901250</v>
      </c>
      <c r="K25" s="377">
        <f t="shared" ca="1" si="10"/>
        <v>2.0522221951502204E-2</v>
      </c>
      <c r="L25" s="368">
        <f t="shared" ca="1" si="3"/>
        <v>106597070</v>
      </c>
      <c r="M25" s="368">
        <f t="shared" ca="1" si="6"/>
        <v>6154360</v>
      </c>
      <c r="N25" s="369">
        <f t="shared" ca="1" si="11"/>
        <v>6.1272341218192937E-2</v>
      </c>
      <c r="O25" s="233">
        <f t="shared" ca="1" si="7"/>
        <v>1200</v>
      </c>
      <c r="P25" s="234">
        <f t="shared" ca="1" si="8"/>
        <v>106595870</v>
      </c>
      <c r="Q25" s="235">
        <f ca="1">IF(F25="","",ROUND(SUM($P$3:P25),-1))</f>
        <v>1499482220</v>
      </c>
      <c r="T25" s="380"/>
    </row>
    <row r="26" spans="1:21" ht="9.75" customHeight="1">
      <c r="A26" s="230">
        <v>24</v>
      </c>
      <c r="B26" s="357">
        <f t="shared" ca="1" si="0"/>
        <v>26</v>
      </c>
      <c r="C26" s="673">
        <f ca="1">IF(B26="","",D26-RIGHT(YEAR('2025'!$B$2),2)+(IF(YEAR('2025'!$B$2)&lt;2000,100,0))-2000)</f>
        <v>51</v>
      </c>
      <c r="D26" s="675">
        <f ca="1">VALUE('2048'!$D$1)</f>
        <v>2048</v>
      </c>
      <c r="E26" s="674">
        <f t="shared" ca="1" si="1"/>
        <v>36</v>
      </c>
      <c r="F26" s="363">
        <f ca="1">IF(YEAR('2026'!$B$1)&lt;D26,"",ROUND(INDIRECT(D26&amp;"!N26"),-1))</f>
        <v>158556860</v>
      </c>
      <c r="G26" s="363">
        <f t="shared" ca="1" si="9"/>
        <v>7142730</v>
      </c>
      <c r="H26" s="365">
        <f t="shared" ca="1" si="4"/>
        <v>4.7173470534090843E-2</v>
      </c>
      <c r="I26" s="233">
        <f t="shared" ca="1" si="2"/>
        <v>45747900</v>
      </c>
      <c r="J26" s="233">
        <f t="shared" ca="1" si="5"/>
        <v>930840</v>
      </c>
      <c r="K26" s="377">
        <f t="shared" ca="1" si="10"/>
        <v>2.076976936907508E-2</v>
      </c>
      <c r="L26" s="368">
        <f t="shared" ca="1" si="3"/>
        <v>112808960</v>
      </c>
      <c r="M26" s="368">
        <f t="shared" ca="1" si="6"/>
        <v>6211890</v>
      </c>
      <c r="N26" s="369">
        <f t="shared" ca="1" si="11"/>
        <v>5.827449103432205E-2</v>
      </c>
      <c r="O26" s="233">
        <f t="shared" ca="1" si="7"/>
        <v>1200</v>
      </c>
      <c r="P26" s="234">
        <f t="shared" ca="1" si="8"/>
        <v>112807760</v>
      </c>
      <c r="Q26" s="235">
        <f ca="1">IF(F26="","",ROUND(SUM($P$3:P26),-1))</f>
        <v>1612289980</v>
      </c>
      <c r="U26" s="380"/>
    </row>
    <row r="27" spans="1:21" ht="9.75" customHeight="1">
      <c r="A27" s="230">
        <v>25</v>
      </c>
      <c r="B27" s="357">
        <f t="shared" ca="1" si="0"/>
        <v>27</v>
      </c>
      <c r="C27" s="673">
        <f ca="1">IF(B27="","",D27-RIGHT(YEAR('2025'!$B$2),2)+(IF(YEAR('2025'!$B$2)&lt;2000,100,0))-2000)</f>
        <v>52</v>
      </c>
      <c r="D27" s="675">
        <f ca="1">VALUE('2049'!$D$1)</f>
        <v>2049</v>
      </c>
      <c r="E27" s="674">
        <f t="shared" ca="1" si="1"/>
        <v>37</v>
      </c>
      <c r="F27" s="363">
        <f ca="1">IF(YEAR('2026'!$B$1)&lt;D27,"",ROUND(INDIRECT(D27&amp;"!N26"),-1))</f>
        <v>165555750</v>
      </c>
      <c r="G27" s="363">
        <f t="shared" ca="1" si="9"/>
        <v>6998890</v>
      </c>
      <c r="H27" s="365">
        <f t="shared" ca="1" si="4"/>
        <v>4.4141199567145815E-2</v>
      </c>
      <c r="I27" s="233">
        <f t="shared" ca="1" si="2"/>
        <v>46646260</v>
      </c>
      <c r="J27" s="233">
        <f t="shared" ca="1" si="5"/>
        <v>898360</v>
      </c>
      <c r="K27" s="377">
        <f t="shared" ca="1" si="10"/>
        <v>1.963718553201349E-2</v>
      </c>
      <c r="L27" s="368">
        <f t="shared" ca="1" si="3"/>
        <v>118909490</v>
      </c>
      <c r="M27" s="368">
        <f t="shared" ca="1" si="6"/>
        <v>6100530</v>
      </c>
      <c r="N27" s="369">
        <f t="shared" ca="1" si="11"/>
        <v>5.4078417175373303E-2</v>
      </c>
      <c r="O27" s="233">
        <f t="shared" ca="1" si="7"/>
        <v>1200</v>
      </c>
      <c r="P27" s="234">
        <f t="shared" ca="1" si="8"/>
        <v>118908290</v>
      </c>
      <c r="Q27" s="235">
        <f ca="1">IF(F27="","",ROUND(SUM($P$3:P27),-1))</f>
        <v>1731198270</v>
      </c>
    </row>
    <row r="28" spans="1:21" ht="9.75" customHeight="1">
      <c r="A28" s="230">
        <v>26</v>
      </c>
      <c r="B28" s="357">
        <f t="shared" ca="1" si="0"/>
        <v>28</v>
      </c>
      <c r="C28" s="673">
        <f ca="1">IF(B28="","",D28-RIGHT(YEAR('2025'!$B$2),2)+(IF(YEAR('2025'!$B$2)&lt;2000,100,0))-2000)</f>
        <v>53</v>
      </c>
      <c r="D28" s="675">
        <f ca="1">VALUE('2050'!$D$1)</f>
        <v>2050</v>
      </c>
      <c r="E28" s="674">
        <f t="shared" ca="1" si="1"/>
        <v>38</v>
      </c>
      <c r="F28" s="363">
        <f ca="1">IF(YEAR('2026'!$B$1)&lt;D28,"",ROUND(INDIRECT(D28&amp;"!N26"),-1))</f>
        <v>172707380</v>
      </c>
      <c r="G28" s="363">
        <f t="shared" ca="1" si="9"/>
        <v>7151630</v>
      </c>
      <c r="H28" s="365">
        <f t="shared" ca="1" si="4"/>
        <v>4.319771436510058E-2</v>
      </c>
      <c r="I28" s="233">
        <f t="shared" ca="1" si="2"/>
        <v>47578920</v>
      </c>
      <c r="J28" s="233">
        <f t="shared" ca="1" si="5"/>
        <v>932660</v>
      </c>
      <c r="K28" s="377">
        <f t="shared" ca="1" si="10"/>
        <v>1.9994314656737754E-2</v>
      </c>
      <c r="L28" s="368">
        <f t="shared" ca="1" si="3"/>
        <v>125128460</v>
      </c>
      <c r="M28" s="368">
        <f t="shared" ca="1" si="6"/>
        <v>6218970</v>
      </c>
      <c r="N28" s="369">
        <f t="shared" ca="1" si="11"/>
        <v>5.2300030889040061E-2</v>
      </c>
      <c r="O28" s="233">
        <f t="shared" ca="1" si="7"/>
        <v>1200</v>
      </c>
      <c r="P28" s="234">
        <f t="shared" ca="1" si="8"/>
        <v>125127260</v>
      </c>
      <c r="Q28" s="235">
        <f ca="1">IF(F28="","",ROUND(SUM($P$3:P28),-1))</f>
        <v>1856325530</v>
      </c>
    </row>
    <row r="29" spans="1:21" ht="9.75" customHeight="1">
      <c r="A29" s="230">
        <v>27</v>
      </c>
      <c r="B29" s="357">
        <f t="shared" ca="1" si="0"/>
        <v>29</v>
      </c>
      <c r="C29" s="673">
        <f ca="1">IF(B29="","",D29-RIGHT(YEAR('2025'!$B$2),2)+(IF(YEAR('2025'!$B$2)&lt;2000,100,0))-2000)</f>
        <v>54</v>
      </c>
      <c r="D29" s="675">
        <f ca="1">VALUE('2051'!$D$1)</f>
        <v>2051</v>
      </c>
      <c r="E29" s="674">
        <f t="shared" ca="1" si="1"/>
        <v>39</v>
      </c>
      <c r="F29" s="363">
        <f ca="1">IF(YEAR('2026'!$B$1)&lt;D29,"",ROUND(INDIRECT(D29&amp;"!N26"),-1))</f>
        <v>180132110</v>
      </c>
      <c r="G29" s="363">
        <f t="shared" ca="1" si="9"/>
        <v>7424730</v>
      </c>
      <c r="H29" s="365">
        <f t="shared" ca="1" si="4"/>
        <v>4.2990230064285616E-2</v>
      </c>
      <c r="I29" s="233">
        <f t="shared" ca="1" si="2"/>
        <v>48539340</v>
      </c>
      <c r="J29" s="233">
        <f t="shared" ca="1" si="5"/>
        <v>960420</v>
      </c>
      <c r="K29" s="377">
        <f t="shared" ca="1" si="10"/>
        <v>2.0185830195389051E-2</v>
      </c>
      <c r="L29" s="368">
        <f t="shared" ca="1" si="3"/>
        <v>131592770</v>
      </c>
      <c r="M29" s="368">
        <f t="shared" ca="1" si="6"/>
        <v>6464310</v>
      </c>
      <c r="N29" s="369">
        <f t="shared" ca="1" si="11"/>
        <v>5.1661388624138743E-2</v>
      </c>
      <c r="O29" s="233">
        <f t="shared" ca="1" si="7"/>
        <v>1200</v>
      </c>
      <c r="P29" s="234">
        <f t="shared" ca="1" si="8"/>
        <v>131591570</v>
      </c>
      <c r="Q29" s="235">
        <f ca="1">IF(F29="","",ROUND(SUM($P$3:P29),-1))</f>
        <v>1987917100</v>
      </c>
    </row>
    <row r="30" spans="1:21" ht="9.75" customHeight="1">
      <c r="A30" s="230">
        <v>28</v>
      </c>
      <c r="B30" s="357">
        <f t="shared" ca="1" si="0"/>
        <v>30</v>
      </c>
      <c r="C30" s="673">
        <f ca="1">IF(B30="","",D30-RIGHT(YEAR('2025'!$B$2),2)+(IF(YEAR('2025'!$B$2)&lt;2000,100,0))-2000)</f>
        <v>55</v>
      </c>
      <c r="D30" s="675">
        <f ca="1">VALUE('2052'!$D$1)</f>
        <v>2052</v>
      </c>
      <c r="E30" s="674">
        <f t="shared" ca="1" si="1"/>
        <v>40</v>
      </c>
      <c r="F30" s="363">
        <f ca="1">IF(YEAR('2026'!$B$1)&lt;D30,"",ROUND(INDIRECT(D30&amp;"!N26"),-1))</f>
        <v>187799030</v>
      </c>
      <c r="G30" s="363">
        <f t="shared" ca="1" si="9"/>
        <v>7666920</v>
      </c>
      <c r="H30" s="365">
        <f t="shared" ca="1" si="4"/>
        <v>4.2562761297805264E-2</v>
      </c>
      <c r="I30" s="233">
        <f t="shared" ca="1" si="2"/>
        <v>49510020</v>
      </c>
      <c r="J30" s="233">
        <f t="shared" ca="1" si="5"/>
        <v>970680</v>
      </c>
      <c r="K30" s="377">
        <f t="shared" ca="1" si="10"/>
        <v>1.999779972286397E-2</v>
      </c>
      <c r="L30" s="368">
        <f t="shared" ca="1" si="3"/>
        <v>138289010</v>
      </c>
      <c r="M30" s="368">
        <f t="shared" ca="1" si="6"/>
        <v>6696240</v>
      </c>
      <c r="N30" s="369">
        <f t="shared" ca="1" si="11"/>
        <v>5.0886078315700779E-2</v>
      </c>
      <c r="O30" s="233">
        <f t="shared" ca="1" si="7"/>
        <v>1200</v>
      </c>
      <c r="P30" s="234">
        <f t="shared" ca="1" si="8"/>
        <v>138287810</v>
      </c>
      <c r="Q30" s="235">
        <f ca="1">IF(F30="","",ROUND(SUM($P$3:P30),-1))</f>
        <v>2126204910</v>
      </c>
      <c r="T30" s="380"/>
    </row>
    <row r="31" spans="1:21" ht="9.75" customHeight="1">
      <c r="A31" s="230">
        <v>29</v>
      </c>
      <c r="B31" s="357">
        <f t="shared" ca="1" si="0"/>
        <v>31</v>
      </c>
      <c r="C31" s="673">
        <f ca="1">IF(B31="","",D31-RIGHT(YEAR('2025'!$B$2),2)+(IF(YEAR('2025'!$B$2)&lt;2000,100,0))-2000)</f>
        <v>56</v>
      </c>
      <c r="D31" s="675">
        <f ca="1">VALUE('2053'!$D$1)</f>
        <v>2053</v>
      </c>
      <c r="E31" s="674">
        <f t="shared" ca="1" si="1"/>
        <v>41</v>
      </c>
      <c r="F31" s="363">
        <f ca="1">IF(YEAR('2026'!$B$1)&lt;D31,"",ROUND(INDIRECT(D31&amp;"!N26"),-1))</f>
        <v>194765040</v>
      </c>
      <c r="G31" s="363">
        <f t="shared" ca="1" si="9"/>
        <v>6966010</v>
      </c>
      <c r="H31" s="365">
        <f t="shared" ca="1" si="4"/>
        <v>3.709289659270338E-2</v>
      </c>
      <c r="I31" s="233">
        <f t="shared" ca="1" si="2"/>
        <v>50480720</v>
      </c>
      <c r="J31" s="233">
        <f t="shared" ca="1" si="5"/>
        <v>970700</v>
      </c>
      <c r="K31" s="377">
        <f t="shared" ca="1" si="10"/>
        <v>1.96061322536327E-2</v>
      </c>
      <c r="L31" s="368">
        <f t="shared" ca="1" si="3"/>
        <v>144284320</v>
      </c>
      <c r="M31" s="368">
        <f t="shared" ca="1" si="6"/>
        <v>5995310</v>
      </c>
      <c r="N31" s="369">
        <f t="shared" ca="1" si="11"/>
        <v>4.335348123469826E-2</v>
      </c>
      <c r="O31" s="233">
        <f t="shared" ca="1" si="7"/>
        <v>1200</v>
      </c>
      <c r="P31" s="234">
        <f t="shared" ca="1" si="8"/>
        <v>144283120</v>
      </c>
      <c r="Q31" s="235">
        <f ca="1">IF(F31="","",ROUND(SUM($P$3:P31),-1))</f>
        <v>2270488030</v>
      </c>
    </row>
    <row r="32" spans="1:21" ht="9.75" customHeight="1">
      <c r="A32" s="230">
        <v>30</v>
      </c>
      <c r="B32" s="357">
        <f t="shared" ca="1" si="0"/>
        <v>32</v>
      </c>
      <c r="C32" s="673">
        <f ca="1">IF(B32="","",D32-RIGHT(YEAR('2025'!$B$2),2)+(IF(YEAR('2025'!$B$2)&lt;2000,100,0))-2000)</f>
        <v>57</v>
      </c>
      <c r="D32" s="675">
        <f ca="1">VALUE('2054'!$D$1)</f>
        <v>2054</v>
      </c>
      <c r="E32" s="674">
        <f t="shared" ca="1" si="1"/>
        <v>42</v>
      </c>
      <c r="F32" s="363">
        <f ca="1">IF(YEAR('2026'!$B$1)&lt;D32,"",ROUND(INDIRECT(D32&amp;"!N26"),-1))</f>
        <v>202140020</v>
      </c>
      <c r="G32" s="363">
        <f t="shared" ca="1" si="9"/>
        <v>7374980</v>
      </c>
      <c r="H32" s="365">
        <f t="shared" ca="1" si="4"/>
        <v>3.7866035916918152E-2</v>
      </c>
      <c r="I32" s="233">
        <f t="shared" ca="1" si="2"/>
        <v>51431700</v>
      </c>
      <c r="J32" s="233">
        <f t="shared" ca="1" si="5"/>
        <v>950980</v>
      </c>
      <c r="K32" s="377">
        <f t="shared" ca="1" si="10"/>
        <v>1.8838479324383647E-2</v>
      </c>
      <c r="L32" s="368">
        <f t="shared" ca="1" si="3"/>
        <v>150708320</v>
      </c>
      <c r="M32" s="368">
        <f t="shared" ca="1" si="6"/>
        <v>6424000</v>
      </c>
      <c r="N32" s="369">
        <f t="shared" ca="1" si="11"/>
        <v>4.4523202521244164E-2</v>
      </c>
      <c r="O32" s="233">
        <f t="shared" ca="1" si="7"/>
        <v>1200</v>
      </c>
      <c r="P32" s="234">
        <f t="shared" ca="1" si="8"/>
        <v>150707120</v>
      </c>
      <c r="Q32" s="235">
        <f ca="1">IF(F32="","",ROUND(SUM($P$3:P32),-1))</f>
        <v>2421195150</v>
      </c>
    </row>
    <row r="33" spans="1:17" ht="9.75" customHeight="1">
      <c r="A33" s="230">
        <v>31</v>
      </c>
      <c r="B33" s="357">
        <f t="shared" ca="1" si="0"/>
        <v>33</v>
      </c>
      <c r="C33" s="673">
        <f ca="1">IF(B33="","",D33-RIGHT(YEAR('2025'!$B$2),2)+(IF(YEAR('2025'!$B$2)&lt;2000,100,0))-2000)</f>
        <v>58</v>
      </c>
      <c r="D33" s="675">
        <f ca="1">VALUE('2055'!$D$1)</f>
        <v>2055</v>
      </c>
      <c r="E33" s="674">
        <f t="shared" ca="1" si="1"/>
        <v>43</v>
      </c>
      <c r="F33" s="363">
        <f ca="1">IF(YEAR('2026'!$B$1)&lt;D33,"",ROUND(INDIRECT(D33&amp;"!N26"),-1))</f>
        <v>209443390</v>
      </c>
      <c r="G33" s="363">
        <f t="shared" ca="1" si="9"/>
        <v>7303370</v>
      </c>
      <c r="H33" s="365">
        <f t="shared" ca="1" si="4"/>
        <v>3.6130252683263808E-2</v>
      </c>
      <c r="I33" s="233">
        <f t="shared" ca="1" si="2"/>
        <v>52419590</v>
      </c>
      <c r="J33" s="233">
        <f t="shared" ca="1" si="5"/>
        <v>987890</v>
      </c>
      <c r="K33" s="377">
        <f t="shared" ca="1" si="10"/>
        <v>1.920780374749425E-2</v>
      </c>
      <c r="L33" s="368">
        <f t="shared" ca="1" si="3"/>
        <v>157023800</v>
      </c>
      <c r="M33" s="368">
        <f t="shared" ca="1" si="6"/>
        <v>6315480</v>
      </c>
      <c r="N33" s="369">
        <f t="shared" ca="1" si="11"/>
        <v>4.1905317503373403E-2</v>
      </c>
      <c r="O33" s="233">
        <f t="shared" ca="1" si="7"/>
        <v>1200</v>
      </c>
      <c r="P33" s="234">
        <f t="shared" ca="1" si="8"/>
        <v>157022600</v>
      </c>
      <c r="Q33" s="235">
        <f ca="1">IF(F33="","",ROUND(SUM($P$3:P33),-1))</f>
        <v>2578217750</v>
      </c>
    </row>
    <row r="34" spans="1:17" ht="9.75" customHeight="1">
      <c r="A34" s="230">
        <v>32</v>
      </c>
      <c r="B34" s="357">
        <f t="shared" ca="1" si="0"/>
        <v>34</v>
      </c>
      <c r="C34" s="673">
        <f ca="1">IF(B34="","",D34-RIGHT(YEAR('2025'!$B$2),2)+(IF(YEAR('2025'!$B$2)&lt;2000,100,0))-2000)</f>
        <v>59</v>
      </c>
      <c r="D34" s="675">
        <f ca="1">VALUE('2056'!$D$1)</f>
        <v>2056</v>
      </c>
      <c r="E34" s="674">
        <f t="shared" ca="1" si="1"/>
        <v>44</v>
      </c>
      <c r="F34" s="363">
        <f ca="1">IF(YEAR('2026'!$B$1)&lt;D34,"",ROUND(INDIRECT(D34&amp;"!N26"),-1))</f>
        <v>216834110</v>
      </c>
      <c r="G34" s="363">
        <f t="shared" ca="1" si="9"/>
        <v>7390720</v>
      </c>
      <c r="H34" s="365">
        <f t="shared" ca="1" si="4"/>
        <v>3.5287434948412549E-2</v>
      </c>
      <c r="I34" s="233">
        <f t="shared" ca="1" si="2"/>
        <v>53382510</v>
      </c>
      <c r="J34" s="233">
        <f t="shared" ca="1" si="5"/>
        <v>962920</v>
      </c>
      <c r="K34" s="377">
        <f t="shared" ca="1" si="10"/>
        <v>1.8369468360969629E-2</v>
      </c>
      <c r="L34" s="368">
        <f t="shared" ca="1" si="3"/>
        <v>163451600</v>
      </c>
      <c r="M34" s="368">
        <f t="shared" ca="1" si="6"/>
        <v>6427800</v>
      </c>
      <c r="N34" s="369">
        <f t="shared" ca="1" si="11"/>
        <v>4.093519581108087E-2</v>
      </c>
      <c r="O34" s="233">
        <f t="shared" ca="1" si="7"/>
        <v>1200</v>
      </c>
      <c r="P34" s="234">
        <f t="shared" ca="1" si="8"/>
        <v>163450400</v>
      </c>
      <c r="Q34" s="235">
        <f ca="1">IF(F34="","",ROUND(SUM($P$3:P34),-1))</f>
        <v>2741668150</v>
      </c>
    </row>
    <row r="35" spans="1:17" ht="9.75" customHeight="1">
      <c r="A35" s="230">
        <v>33</v>
      </c>
      <c r="B35" s="357">
        <f t="shared" ca="1" si="0"/>
        <v>35</v>
      </c>
      <c r="C35" s="673">
        <f ca="1">IF(B35="","",D35-RIGHT(YEAR('2025'!$B$2),2)+(IF(YEAR('2025'!$B$2)&lt;2000,100,0))-2000)</f>
        <v>60</v>
      </c>
      <c r="D35" s="675">
        <f ca="1">VALUE('2057'!$D$1)</f>
        <v>2057</v>
      </c>
      <c r="E35" s="674">
        <f t="shared" ca="1" si="1"/>
        <v>45</v>
      </c>
      <c r="F35" s="363">
        <f ca="1">IF(YEAR('2026'!$B$1)&lt;D35,"",ROUND(INDIRECT(D35&amp;"!N26"),-1))</f>
        <v>224467840</v>
      </c>
      <c r="G35" s="363">
        <f t="shared" ca="1" si="9"/>
        <v>7633730</v>
      </c>
      <c r="H35" s="365">
        <f t="shared" ca="1" si="4"/>
        <v>3.5205392730876153E-2</v>
      </c>
      <c r="I35" s="233">
        <f t="shared" ca="1" si="2"/>
        <v>54355200</v>
      </c>
      <c r="J35" s="233">
        <f t="shared" ca="1" si="5"/>
        <v>972690</v>
      </c>
      <c r="K35" s="377">
        <f t="shared" ca="1" si="10"/>
        <v>1.8221136473350542E-2</v>
      </c>
      <c r="L35" s="368">
        <f t="shared" ca="1" si="3"/>
        <v>170112640</v>
      </c>
      <c r="M35" s="368">
        <f t="shared" ca="1" si="6"/>
        <v>6661040</v>
      </c>
      <c r="N35" s="369">
        <f t="shared" ca="1" si="11"/>
        <v>4.0752369508772014E-2</v>
      </c>
      <c r="O35" s="233">
        <f t="shared" ca="1" si="7"/>
        <v>1200</v>
      </c>
      <c r="P35" s="234">
        <f t="shared" ca="1" si="8"/>
        <v>170111440</v>
      </c>
      <c r="Q35" s="235">
        <f ca="1">IF(F35="","",ROUND(SUM($P$3:P35),-1))</f>
        <v>2911779590</v>
      </c>
    </row>
    <row r="36" spans="1:17" ht="9.75" customHeight="1">
      <c r="A36" s="230">
        <v>34</v>
      </c>
      <c r="B36" s="357">
        <f t="shared" ca="1" si="0"/>
        <v>36</v>
      </c>
      <c r="C36" s="673">
        <f ca="1">IF(B36="","",D36-RIGHT(YEAR('2025'!$B$2),2)+(IF(YEAR('2025'!$B$2)&lt;2000,100,0))-2000)</f>
        <v>61</v>
      </c>
      <c r="D36" s="675">
        <f ca="1">VALUE('2058'!$D$1)</f>
        <v>2058</v>
      </c>
      <c r="E36" s="674">
        <f t="shared" ca="1" si="1"/>
        <v>46</v>
      </c>
      <c r="F36" s="363">
        <f ca="1">IF(YEAR('2026'!$B$1)&lt;D36,"",ROUND(INDIRECT(D36&amp;"!N26"),-1))</f>
        <v>232361690</v>
      </c>
      <c r="G36" s="363">
        <f t="shared" ca="1" si="9"/>
        <v>7893850</v>
      </c>
      <c r="H36" s="365">
        <f t="shared" ca="1" si="4"/>
        <v>3.5166953092255891E-2</v>
      </c>
      <c r="I36" s="233">
        <f t="shared" ca="1" si="2"/>
        <v>55385120</v>
      </c>
      <c r="J36" s="233">
        <f t="shared" ca="1" si="5"/>
        <v>1029920</v>
      </c>
      <c r="K36" s="377">
        <f t="shared" ca="1" si="10"/>
        <v>1.8947957141175087E-2</v>
      </c>
      <c r="L36" s="368">
        <f t="shared" ca="1" si="3"/>
        <v>176976570</v>
      </c>
      <c r="M36" s="368">
        <f t="shared" ca="1" si="6"/>
        <v>6863930</v>
      </c>
      <c r="N36" s="369">
        <f t="shared" ca="1" si="11"/>
        <v>4.0349323836253441E-2</v>
      </c>
      <c r="O36" s="233">
        <f t="shared" ca="1" si="7"/>
        <v>1200</v>
      </c>
      <c r="P36" s="234">
        <f t="shared" ca="1" si="8"/>
        <v>176975370</v>
      </c>
      <c r="Q36" s="235">
        <f ca="1">IF(F36="","",ROUND(SUM($P$3:P36),-1))</f>
        <v>3088754960</v>
      </c>
    </row>
    <row r="37" spans="1:17" ht="9.75" customHeight="1">
      <c r="A37" s="230">
        <v>35</v>
      </c>
      <c r="B37" s="357">
        <f t="shared" ca="1" si="0"/>
        <v>37</v>
      </c>
      <c r="C37" s="673">
        <f ca="1">IF(B37="","",D37-RIGHT(YEAR('2025'!$B$2),2)+(IF(YEAR('2025'!$B$2)&lt;2000,100,0))-2000)</f>
        <v>62</v>
      </c>
      <c r="D37" s="675">
        <f ca="1">VALUE('2059'!$D$1)</f>
        <v>2059</v>
      </c>
      <c r="E37" s="674">
        <f t="shared" ca="1" si="1"/>
        <v>47</v>
      </c>
      <c r="F37" s="363">
        <f ca="1">IF(YEAR('2026'!$B$1)&lt;D37,"",ROUND(INDIRECT(D37&amp;"!N26"),-1))</f>
        <v>48568360</v>
      </c>
      <c r="G37" s="363">
        <f t="shared" ca="1" si="9"/>
        <v>-183793330</v>
      </c>
      <c r="H37" s="365">
        <f t="shared" ca="1" si="4"/>
        <v>-0.79097948547370267</v>
      </c>
      <c r="I37" s="233">
        <f t="shared" ca="1" si="2"/>
        <v>6021320</v>
      </c>
      <c r="J37" s="233">
        <f t="shared" ca="1" si="5"/>
        <v>-49363800</v>
      </c>
      <c r="K37" s="377">
        <f t="shared" ca="1" si="10"/>
        <v>-0.89128271275750603</v>
      </c>
      <c r="L37" s="368">
        <f t="shared" ca="1" si="3"/>
        <v>42547040</v>
      </c>
      <c r="M37" s="368">
        <f t="shared" ca="1" si="6"/>
        <v>-134429530</v>
      </c>
      <c r="N37" s="369">
        <f t="shared" ca="1" si="11"/>
        <v>-0.75958941909655042</v>
      </c>
      <c r="O37" s="233">
        <f t="shared" ca="1" si="7"/>
        <v>1200</v>
      </c>
      <c r="P37" s="234">
        <f t="shared" ca="1" si="8"/>
        <v>42545840</v>
      </c>
      <c r="Q37" s="235">
        <f ca="1">IF(F37="","",ROUND(SUM($P$3:P37),-1))</f>
        <v>3131300800</v>
      </c>
    </row>
    <row r="38" spans="1:17" ht="9.75" customHeight="1">
      <c r="A38" s="230">
        <v>36</v>
      </c>
      <c r="B38" s="357" t="str">
        <f t="shared" ca="1" si="0"/>
        <v/>
      </c>
      <c r="C38" s="673" t="str">
        <f ca="1">IF(B38="","",D38-RIGHT(YEAR('2025'!$B$2),2)+(IF(YEAR('2025'!$B$2)&lt;2000,100,0))-2000)</f>
        <v/>
      </c>
      <c r="D38" s="675">
        <f ca="1">VALUE('2060'!$D$1)</f>
        <v>2060</v>
      </c>
      <c r="E38" s="674" t="str">
        <f t="shared" ca="1" si="1"/>
        <v/>
      </c>
      <c r="F38" s="363" t="str">
        <f ca="1">IF(YEAR('2026'!$B$1)&lt;D38,"",ROUND(INDIRECT(D38&amp;"!N26"),-1))</f>
        <v/>
      </c>
      <c r="G38" s="363" t="str">
        <f t="shared" ca="1" si="9"/>
        <v/>
      </c>
      <c r="H38" s="365" t="str">
        <f t="shared" ca="1" si="4"/>
        <v/>
      </c>
      <c r="I38" s="233" t="str">
        <f t="shared" ca="1" si="2"/>
        <v/>
      </c>
      <c r="J38" s="233" t="str">
        <f t="shared" ca="1" si="5"/>
        <v/>
      </c>
      <c r="K38" s="377" t="str">
        <f t="shared" ca="1" si="10"/>
        <v/>
      </c>
      <c r="L38" s="368" t="str">
        <f t="shared" ca="1" si="3"/>
        <v/>
      </c>
      <c r="M38" s="368" t="str">
        <f t="shared" ca="1" si="6"/>
        <v/>
      </c>
      <c r="N38" s="369" t="str">
        <f t="shared" ca="1" si="11"/>
        <v/>
      </c>
      <c r="O38" s="233" t="str">
        <f t="shared" ca="1" si="7"/>
        <v/>
      </c>
      <c r="P38" s="234" t="str">
        <f t="shared" ca="1" si="8"/>
        <v/>
      </c>
      <c r="Q38" s="235" t="str">
        <f ca="1">IF(F38="","",ROUND(SUM($P$3:P38),-1))</f>
        <v/>
      </c>
    </row>
    <row r="39" spans="1:17" ht="9.75" customHeight="1">
      <c r="A39" s="230">
        <v>37</v>
      </c>
      <c r="B39" s="357" t="str">
        <f t="shared" ca="1" si="0"/>
        <v/>
      </c>
      <c r="C39" s="673" t="str">
        <f ca="1">IF(B39="","",D39-RIGHT(YEAR('2025'!$B$2),2)+(IF(YEAR('2025'!$B$2)&lt;2000,100,0))-2000)</f>
        <v/>
      </c>
      <c r="D39" s="675">
        <f ca="1">VALUE('2061'!$D$1)</f>
        <v>2061</v>
      </c>
      <c r="E39" s="674" t="str">
        <f t="shared" ca="1" si="1"/>
        <v/>
      </c>
      <c r="F39" s="363" t="str">
        <f ca="1">IF(YEAR('2026'!$B$1)&lt;D39,"",ROUND(INDIRECT(D39&amp;"!N26"),-1))</f>
        <v/>
      </c>
      <c r="G39" s="363" t="str">
        <f t="shared" ca="1" si="9"/>
        <v/>
      </c>
      <c r="H39" s="365" t="str">
        <f t="shared" ca="1" si="4"/>
        <v/>
      </c>
      <c r="I39" s="233" t="str">
        <f t="shared" ca="1" si="2"/>
        <v/>
      </c>
      <c r="J39" s="233" t="str">
        <f t="shared" ca="1" si="5"/>
        <v/>
      </c>
      <c r="K39" s="377" t="str">
        <f t="shared" ca="1" si="10"/>
        <v/>
      </c>
      <c r="L39" s="368" t="str">
        <f t="shared" ca="1" si="3"/>
        <v/>
      </c>
      <c r="M39" s="368" t="str">
        <f t="shared" ca="1" si="6"/>
        <v/>
      </c>
      <c r="N39" s="369" t="str">
        <f t="shared" ca="1" si="11"/>
        <v/>
      </c>
      <c r="O39" s="233" t="str">
        <f t="shared" ca="1" si="7"/>
        <v/>
      </c>
      <c r="P39" s="234" t="str">
        <f t="shared" ca="1" si="8"/>
        <v/>
      </c>
      <c r="Q39" s="235" t="str">
        <f ca="1">IF(F39="","",ROUND(SUM($P$3:P39),-1))</f>
        <v/>
      </c>
    </row>
    <row r="40" spans="1:17" ht="9.75" customHeight="1">
      <c r="A40" s="230">
        <v>38</v>
      </c>
      <c r="B40" s="357" t="str">
        <f t="shared" ca="1" si="0"/>
        <v/>
      </c>
      <c r="C40" s="673" t="str">
        <f ca="1">IF(B40="","",D40-RIGHT(YEAR('2025'!$B$2),2)+(IF(YEAR('2025'!$B$2)&lt;2000,100,0))-2000)</f>
        <v/>
      </c>
      <c r="D40" s="675">
        <f ca="1">VALUE('2062'!$D$1)</f>
        <v>2062</v>
      </c>
      <c r="E40" s="674" t="str">
        <f t="shared" ca="1" si="1"/>
        <v/>
      </c>
      <c r="F40" s="363" t="str">
        <f ca="1">IF(YEAR('2026'!$B$1)&lt;D40,"",ROUND(INDIRECT(D40&amp;"!N26"),-1))</f>
        <v/>
      </c>
      <c r="G40" s="363" t="str">
        <f t="shared" ca="1" si="9"/>
        <v/>
      </c>
      <c r="H40" s="365" t="str">
        <f t="shared" ca="1" si="4"/>
        <v/>
      </c>
      <c r="I40" s="233" t="str">
        <f t="shared" ca="1" si="2"/>
        <v/>
      </c>
      <c r="J40" s="233" t="str">
        <f t="shared" ca="1" si="5"/>
        <v/>
      </c>
      <c r="K40" s="377" t="str">
        <f t="shared" ca="1" si="10"/>
        <v/>
      </c>
      <c r="L40" s="368" t="str">
        <f t="shared" ca="1" si="3"/>
        <v/>
      </c>
      <c r="M40" s="368" t="str">
        <f t="shared" ca="1" si="6"/>
        <v/>
      </c>
      <c r="N40" s="369" t="str">
        <f t="shared" ca="1" si="11"/>
        <v/>
      </c>
      <c r="O40" s="233" t="str">
        <f t="shared" ca="1" si="7"/>
        <v/>
      </c>
      <c r="P40" s="234" t="str">
        <f t="shared" ca="1" si="8"/>
        <v/>
      </c>
      <c r="Q40" s="235" t="str">
        <f ca="1">IF(F40="","",ROUND(SUM($P$3:P40),-1))</f>
        <v/>
      </c>
    </row>
    <row r="41" spans="1:17" ht="9.75" customHeight="1">
      <c r="A41" s="230">
        <v>39</v>
      </c>
      <c r="B41" s="357" t="str">
        <f t="shared" ca="1" si="0"/>
        <v/>
      </c>
      <c r="C41" s="673" t="str">
        <f ca="1">IF(B41="","",D41-RIGHT(YEAR('2025'!$B$2),2)+(IF(YEAR('2025'!$B$2)&lt;2000,100,0))-2000)</f>
        <v/>
      </c>
      <c r="D41" s="675">
        <f ca="1">VALUE('2063'!$D$1)</f>
        <v>2063</v>
      </c>
      <c r="E41" s="674" t="str">
        <f t="shared" ca="1" si="1"/>
        <v/>
      </c>
      <c r="F41" s="363" t="str">
        <f ca="1">IF(YEAR('2026'!$B$1)&lt;D41,"",ROUND(INDIRECT(D41&amp;"!N26"),-1))</f>
        <v/>
      </c>
      <c r="G41" s="363" t="str">
        <f t="shared" ca="1" si="9"/>
        <v/>
      </c>
      <c r="H41" s="365" t="str">
        <f t="shared" ca="1" si="4"/>
        <v/>
      </c>
      <c r="I41" s="233" t="str">
        <f t="shared" ca="1" si="2"/>
        <v/>
      </c>
      <c r="J41" s="233" t="str">
        <f t="shared" ca="1" si="5"/>
        <v/>
      </c>
      <c r="K41" s="377" t="str">
        <f t="shared" ca="1" si="10"/>
        <v/>
      </c>
      <c r="L41" s="368" t="str">
        <f t="shared" ca="1" si="3"/>
        <v/>
      </c>
      <c r="M41" s="368" t="str">
        <f t="shared" ca="1" si="6"/>
        <v/>
      </c>
      <c r="N41" s="369" t="str">
        <f t="shared" ca="1" si="11"/>
        <v/>
      </c>
      <c r="O41" s="233" t="str">
        <f t="shared" ca="1" si="7"/>
        <v/>
      </c>
      <c r="P41" s="234" t="str">
        <f t="shared" ca="1" si="8"/>
        <v/>
      </c>
      <c r="Q41" s="235" t="str">
        <f ca="1">IF(F41="","",ROUND(SUM($P$3:P41),-1))</f>
        <v/>
      </c>
    </row>
    <row r="42" spans="1:17" ht="9.75" customHeight="1">
      <c r="A42" s="230">
        <v>40</v>
      </c>
      <c r="B42" s="357" t="str">
        <f t="shared" ca="1" si="0"/>
        <v/>
      </c>
      <c r="C42" s="673" t="str">
        <f ca="1">IF(B42="","",D42-RIGHT(YEAR('2025'!$B$2),2)+(IF(YEAR('2025'!$B$2)&lt;2000,100,0))-2000)</f>
        <v/>
      </c>
      <c r="D42" s="675">
        <f ca="1">VALUE('2064'!$D$1)</f>
        <v>2064</v>
      </c>
      <c r="E42" s="674" t="str">
        <f t="shared" ca="1" si="1"/>
        <v/>
      </c>
      <c r="F42" s="363" t="str">
        <f ca="1">IF(YEAR('2026'!$B$1)&lt;D42,"",ROUND(INDIRECT(D42&amp;"!N26"),-1))</f>
        <v/>
      </c>
      <c r="G42" s="363" t="str">
        <f t="shared" ca="1" si="9"/>
        <v/>
      </c>
      <c r="H42" s="365" t="str">
        <f t="shared" ca="1" si="4"/>
        <v/>
      </c>
      <c r="I42" s="233" t="str">
        <f t="shared" ca="1" si="2"/>
        <v/>
      </c>
      <c r="J42" s="233" t="str">
        <f t="shared" ca="1" si="5"/>
        <v/>
      </c>
      <c r="K42" s="377" t="str">
        <f t="shared" ca="1" si="10"/>
        <v/>
      </c>
      <c r="L42" s="368" t="str">
        <f t="shared" ca="1" si="3"/>
        <v/>
      </c>
      <c r="M42" s="368" t="str">
        <f t="shared" ca="1" si="6"/>
        <v/>
      </c>
      <c r="N42" s="369" t="str">
        <f t="shared" ca="1" si="11"/>
        <v/>
      </c>
      <c r="O42" s="233" t="str">
        <f t="shared" ca="1" si="7"/>
        <v/>
      </c>
      <c r="P42" s="234" t="str">
        <f t="shared" ca="1" si="8"/>
        <v/>
      </c>
      <c r="Q42" s="235" t="str">
        <f ca="1">IF(F42="","",ROUND(SUM($P$3:P42),-1))</f>
        <v/>
      </c>
    </row>
    <row r="43" spans="1:17" ht="9.75" customHeight="1">
      <c r="A43" s="230">
        <v>41</v>
      </c>
      <c r="B43" s="357" t="str">
        <f t="shared" ca="1" si="0"/>
        <v/>
      </c>
      <c r="C43" s="673" t="str">
        <f ca="1">IF(B43="","",D43-RIGHT(YEAR('2025'!$B$2),2)+(IF(YEAR('2025'!$B$2)&lt;2000,100,0))-2000)</f>
        <v/>
      </c>
      <c r="D43" s="675">
        <f ca="1">VALUE('2065'!$D$1)</f>
        <v>2065</v>
      </c>
      <c r="E43" s="674" t="str">
        <f t="shared" ca="1" si="1"/>
        <v/>
      </c>
      <c r="F43" s="363" t="str">
        <f ca="1">IF(YEAR('2026'!$B$1)&lt;D43,"",ROUND(INDIRECT(D43&amp;"!N26"),-1))</f>
        <v/>
      </c>
      <c r="G43" s="363" t="str">
        <f t="shared" ca="1" si="9"/>
        <v/>
      </c>
      <c r="H43" s="365" t="str">
        <f t="shared" ca="1" si="4"/>
        <v/>
      </c>
      <c r="I43" s="233" t="str">
        <f t="shared" ca="1" si="2"/>
        <v/>
      </c>
      <c r="J43" s="233" t="str">
        <f t="shared" ca="1" si="5"/>
        <v/>
      </c>
      <c r="K43" s="377" t="str">
        <f t="shared" ca="1" si="10"/>
        <v/>
      </c>
      <c r="L43" s="368" t="str">
        <f t="shared" ca="1" si="3"/>
        <v/>
      </c>
      <c r="M43" s="368"/>
      <c r="N43" s="369" t="str">
        <f t="shared" ca="1" si="11"/>
        <v/>
      </c>
      <c r="O43" s="233" t="str">
        <f t="shared" ca="1" si="7"/>
        <v/>
      </c>
      <c r="P43" s="234" t="str">
        <f t="shared" ca="1" si="8"/>
        <v/>
      </c>
      <c r="Q43" s="235" t="str">
        <f ca="1">IF(F43="","",ROUND(SUM($P$3:P43),-1))</f>
        <v/>
      </c>
    </row>
    <row r="44" spans="1:17" ht="9.75" customHeight="1">
      <c r="A44" s="1163" t="s">
        <v>479</v>
      </c>
      <c r="B44" s="1164"/>
      <c r="C44" s="1164"/>
      <c r="D44" s="1164"/>
      <c r="E44" s="1165"/>
      <c r="F44" s="366">
        <f ca="1">SUM(F3:F43)</f>
        <v>4325077900</v>
      </c>
      <c r="G44" s="366"/>
      <c r="H44" s="371">
        <f ca="1">AVERAGE(H4:H42)</f>
        <v>2.4440611765939747E-2</v>
      </c>
      <c r="I44" s="236">
        <f t="shared" ref="I44:P44" ca="1" si="12">SUM(I3:I43)</f>
        <v>1193735100</v>
      </c>
      <c r="J44" s="236"/>
      <c r="K44" s="378">
        <f ca="1">AVERAGE(K4:K42)</f>
        <v>3.1259668021512782E-2</v>
      </c>
      <c r="L44" s="370">
        <f t="shared" ca="1" si="12"/>
        <v>3131342800</v>
      </c>
      <c r="M44" s="370"/>
      <c r="N44" s="372">
        <f ca="1">AVERAGE(N4:N42)</f>
        <v>2.3367494351252471E-2</v>
      </c>
      <c r="O44" s="237">
        <f t="shared" ca="1" si="12"/>
        <v>42000</v>
      </c>
      <c r="P44" s="238">
        <f t="shared" ca="1" si="12"/>
        <v>3131300800</v>
      </c>
      <c r="Q44" s="239"/>
    </row>
  </sheetData>
  <sheetProtection algorithmName="SHA-512" hashValue="etr3Zavy2JxpSdPJLscGMyDBRpNn2d0sAvxGg35PKqlnUyYaguP47niiBoWP1Fi2q9dHLPk+nkdW9j9Or1nTpg==" saltValue="WzCJY7PaXXHd0gmlhzsiog==" spinCount="100000" sheet="1" objects="1" scenarios="1"/>
  <mergeCells count="3">
    <mergeCell ref="E1:H1"/>
    <mergeCell ref="I1:M1"/>
    <mergeCell ref="A44:E44"/>
  </mergeCells>
  <phoneticPr fontId="167" type="noConversion"/>
  <printOptions horizontalCentered="1"/>
  <pageMargins left="0.19666667282581329" right="0.19666667282581329" top="0.74777776002883911" bottom="0.55097222328186035" header="0.31486111879348755" footer="0.31486111879348755"/>
  <pageSetup paperSize="9" orientation="landscape"/>
  <headerFooter>
    <oddFooter>&amp;R&amp;"맑은 고딕,Regular"&amp;8제작 : 교사카페 운영자</oddFooter>
  </headerFooter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FF00"/>
  </sheetPr>
  <dimension ref="A1:U44"/>
  <sheetViews>
    <sheetView zoomScale="160" zoomScaleNormal="160" zoomScaleSheetLayoutView="160" workbookViewId="0">
      <pane xSplit="5" ySplit="2" topLeftCell="F3" activePane="bottomRight" state="frozen"/>
      <selection pane="topRight"/>
      <selection pane="bottomLeft"/>
      <selection pane="bottomRight" activeCell="O23" sqref="O23"/>
    </sheetView>
  </sheetViews>
  <sheetFormatPr baseColWidth="10" defaultColWidth="9" defaultRowHeight="9.75" customHeight="1"/>
  <cols>
    <col min="1" max="1" width="5" style="43" customWidth="1"/>
    <col min="2" max="2" width="5.6640625" style="43" customWidth="1"/>
    <col min="3" max="3" width="6.83203125" style="43" customWidth="1"/>
    <col min="4" max="4" width="4.33203125" style="43" bestFit="1" customWidth="1"/>
    <col min="5" max="5" width="6.1640625" style="43" bestFit="1" customWidth="1"/>
    <col min="6" max="6" width="9.5" style="162" bestFit="1" customWidth="1"/>
    <col min="7" max="8" width="8" style="43" bestFit="1" customWidth="1"/>
    <col min="9" max="9" width="7.5" style="43" bestFit="1" customWidth="1"/>
    <col min="10" max="10" width="7.33203125" style="43" bestFit="1" customWidth="1"/>
    <col min="11" max="11" width="7.5" style="43" bestFit="1" customWidth="1"/>
    <col min="12" max="12" width="9" style="43" bestFit="1" customWidth="1"/>
    <col min="13" max="13" width="9.33203125" style="43" bestFit="1" customWidth="1"/>
    <col min="14" max="14" width="10.1640625" style="43" bestFit="1" customWidth="1"/>
    <col min="15" max="15" width="9.5" style="43" bestFit="1" customWidth="1"/>
    <col min="16" max="16" width="10.5" style="43" bestFit="1" customWidth="1"/>
    <col min="17" max="17" width="12.6640625" style="43" bestFit="1" customWidth="1"/>
    <col min="18" max="18" width="9.6640625" style="43" bestFit="1" customWidth="1"/>
    <col min="19" max="19" width="10.1640625" style="43" bestFit="1" customWidth="1"/>
    <col min="20" max="20" width="9.6640625" style="43" bestFit="1" customWidth="1"/>
    <col min="21" max="16384" width="9" style="43"/>
  </cols>
  <sheetData>
    <row r="1" spans="1:21" ht="19.5" customHeight="1">
      <c r="A1" s="1166" t="s">
        <v>414</v>
      </c>
      <c r="B1" s="1166"/>
      <c r="C1" s="1166"/>
      <c r="D1" s="1166"/>
      <c r="E1" s="1161" t="s">
        <v>416</v>
      </c>
      <c r="F1" s="1161"/>
      <c r="G1" s="1162" t="s">
        <v>650</v>
      </c>
      <c r="H1" s="1162"/>
      <c r="I1" s="1162"/>
      <c r="J1" s="1162"/>
      <c r="K1" s="1162"/>
      <c r="L1" s="1162"/>
      <c r="M1" s="1162"/>
      <c r="N1" s="1162"/>
      <c r="O1" s="383"/>
      <c r="P1" s="229">
        <f>'2026'!B1</f>
        <v>58134</v>
      </c>
      <c r="Q1" s="161"/>
    </row>
    <row r="2" spans="1:21" ht="9.75" customHeight="1">
      <c r="A2" s="374" t="s">
        <v>504</v>
      </c>
      <c r="B2" s="374" t="s">
        <v>464</v>
      </c>
      <c r="C2" s="374" t="s">
        <v>529</v>
      </c>
      <c r="D2" s="374" t="s">
        <v>500</v>
      </c>
      <c r="E2" s="375" t="s">
        <v>643</v>
      </c>
      <c r="F2" s="362" t="s">
        <v>129</v>
      </c>
      <c r="G2" s="661" t="s">
        <v>294</v>
      </c>
      <c r="H2" s="661" t="s">
        <v>288</v>
      </c>
      <c r="I2" s="661" t="s">
        <v>299</v>
      </c>
      <c r="J2" s="661" t="s">
        <v>290</v>
      </c>
      <c r="K2" s="661" t="s">
        <v>242</v>
      </c>
      <c r="L2" s="662" t="s">
        <v>302</v>
      </c>
      <c r="M2" s="662" t="s">
        <v>395</v>
      </c>
      <c r="N2" s="662" t="s">
        <v>390</v>
      </c>
      <c r="O2" s="376" t="s">
        <v>279</v>
      </c>
      <c r="P2" s="374" t="s">
        <v>53</v>
      </c>
      <c r="S2" s="379"/>
    </row>
    <row r="3" spans="1:21" ht="9.75" customHeight="1">
      <c r="A3" s="230">
        <v>1</v>
      </c>
      <c r="B3" s="357">
        <f t="shared" ref="B3:B38" ca="1" si="0">IF(F3="","",IF(INDIRECT(D3&amp;"!d6")=0,"",INDIRECT(D3&amp;"!d5")))</f>
        <v>2</v>
      </c>
      <c r="C3" s="384">
        <f ca="1">IF(B3="","",D3-RIGHT(YEAR('2025'!$B$2),2)+100-2000)</f>
        <v>28</v>
      </c>
      <c r="D3" s="231">
        <f ca="1">'퇴직때까지의 총연봉액'!D3</f>
        <v>2025</v>
      </c>
      <c r="E3" s="232">
        <f t="shared" ref="E3:E38" ca="1" si="1">IF(F3="","",IF(INDIRECT(D3&amp;"!d4")=0,"",INDIRECT(D3&amp;"!d4")))</f>
        <v>12</v>
      </c>
      <c r="F3" s="363">
        <f ca="1">IF(YEAR('2026'!$B$1)&lt;D3,"",ROUND(INDIRECT(D3&amp;"!N26"),-1))</f>
        <v>47760570</v>
      </c>
      <c r="G3" s="233">
        <f ca="1">IF(F3="","",ROUND(INDIRECT(D3&amp;"!N10"),-1))</f>
        <v>4273220</v>
      </c>
      <c r="H3" s="233">
        <f ca="1">IF(F3="","",ROUND(INDIRECT(D3&amp;"!N21"),-1))</f>
        <v>1195090</v>
      </c>
      <c r="I3" s="233">
        <f ca="1">IF(F3="","",ROUND(INDIRECT(D3&amp;"!N22"),-1))</f>
        <v>0</v>
      </c>
      <c r="J3" s="233">
        <f ca="1">IF(F3="","",ROUND(INDIRECT(D3&amp;"!N17"),-1))</f>
        <v>900000</v>
      </c>
      <c r="K3" s="233">
        <f ca="1">IF(F3="","",ROUND(INDIRECT(D3&amp;"!N11"),-1))-40000*12</f>
        <v>1200000</v>
      </c>
      <c r="L3" s="368"/>
      <c r="M3" s="368">
        <f>1779000*(1+gibon40!B3)</f>
        <v>1809242.9999999998</v>
      </c>
      <c r="N3" s="368">
        <f>ROUND(6000*(1+0.9%),-1)</f>
        <v>6050</v>
      </c>
      <c r="O3" s="633">
        <f ca="1">SUM(F3-G3-H3-I3+L3+M3+N3)*90%</f>
        <v>39696797.700000003</v>
      </c>
      <c r="P3" s="235">
        <f ca="1">IF(B3="","",O3/10)</f>
        <v>3969679.7700000005</v>
      </c>
      <c r="R3" s="164"/>
    </row>
    <row r="4" spans="1:21" ht="9.75" customHeight="1">
      <c r="A4" s="230">
        <v>2</v>
      </c>
      <c r="B4" s="357">
        <f t="shared" ca="1" si="0"/>
        <v>4</v>
      </c>
      <c r="C4" s="384">
        <f ca="1">IF(B4="","",D4-RIGHT(YEAR('2025'!$B$2),2)+100-2000)</f>
        <v>29</v>
      </c>
      <c r="D4" s="231">
        <f ca="1">'퇴직때까지의 총연봉액'!D4</f>
        <v>2026</v>
      </c>
      <c r="E4" s="232">
        <f t="shared" ca="1" si="1"/>
        <v>14</v>
      </c>
      <c r="F4" s="363">
        <f ca="1">IF(YEAR('2026'!$B$1)&lt;D4,"",ROUND(INDIRECT(D4&amp;"!N26"),-1))</f>
        <v>51713610</v>
      </c>
      <c r="G4" s="233">
        <f t="shared" ref="G4:G38" ca="1" si="2">IF(F4="","",ROUND(INDIRECT(D4&amp;"!N10"),-1))</f>
        <v>4401380</v>
      </c>
      <c r="H4" s="233">
        <f t="shared" ref="H4:H38" ca="1" si="3">IF(F4="","",ROUND(INDIRECT(D4&amp;"!N10"),-1))</f>
        <v>4401380</v>
      </c>
      <c r="I4" s="233">
        <f t="shared" ref="I4:I38" ca="1" si="4">IF(F4="","",ROUND(INDIRECT(D4&amp;"!N22"),-1))</f>
        <v>0</v>
      </c>
      <c r="J4" s="233">
        <f t="shared" ref="J4:J38" ca="1" si="5">IF(F4="","",ROUND(INDIRECT(D4&amp;"!N17"),-1))</f>
        <v>900000</v>
      </c>
      <c r="K4" s="233">
        <f t="shared" ref="K4:K38" ca="1" si="6">IF(F4="","",ROUND(INDIRECT(D4&amp;"!N11"),-1))-40000*12</f>
        <v>1200000</v>
      </c>
      <c r="L4" s="368">
        <f>3984327+3984327*gibon40!B3</f>
        <v>4052060.5589999999</v>
      </c>
      <c r="M4" s="368">
        <f>M3*(1+gibon40!$E$3)</f>
        <v>1872566.5049999997</v>
      </c>
      <c r="N4" s="368">
        <f t="shared" ref="N4:N38" si="7">ROUND(6000*(1+0.9%),-1)</f>
        <v>6050</v>
      </c>
      <c r="O4" s="633">
        <f t="shared" ref="O4:O38" ca="1" si="8">SUM(F4-G4-H4-I4+L4+M4+N4)*90%</f>
        <v>43957374.357600003</v>
      </c>
      <c r="P4" s="235">
        <f t="shared" ref="P4:P38" ca="1" si="9">IF(B4="","",O4/12)</f>
        <v>3663114.5298000001</v>
      </c>
      <c r="R4" s="382"/>
      <c r="S4" s="379"/>
    </row>
    <row r="5" spans="1:21" ht="9.75" customHeight="1">
      <c r="A5" s="230">
        <v>3</v>
      </c>
      <c r="B5" s="357">
        <f t="shared" ca="1" si="0"/>
        <v>5</v>
      </c>
      <c r="C5" s="384">
        <f ca="1">IF(B5="","",D5-RIGHT(YEAR('2025'!$B$2),2)+100-2000)</f>
        <v>30</v>
      </c>
      <c r="D5" s="231">
        <f ca="1">'퇴직때까지의 총연봉액'!D5</f>
        <v>2027</v>
      </c>
      <c r="E5" s="232">
        <f t="shared" ca="1" si="1"/>
        <v>15</v>
      </c>
      <c r="F5" s="363">
        <f ca="1">IF(YEAR('2026'!$B$1)&lt;D5,"",ROUND(INDIRECT(D5&amp;"!N26"),-1))</f>
        <v>54691190</v>
      </c>
      <c r="G5" s="233">
        <f t="shared" ca="1" si="2"/>
        <v>4555400</v>
      </c>
      <c r="H5" s="233">
        <f t="shared" ca="1" si="3"/>
        <v>4555400</v>
      </c>
      <c r="I5" s="233">
        <f t="shared" ca="1" si="4"/>
        <v>0</v>
      </c>
      <c r="J5" s="233">
        <f t="shared" ca="1" si="5"/>
        <v>750000</v>
      </c>
      <c r="K5" s="233">
        <f t="shared" ca="1" si="6"/>
        <v>1200000</v>
      </c>
      <c r="L5" s="368">
        <f>L4+L4*gibon40!E3</f>
        <v>4193882.6785649997</v>
      </c>
      <c r="M5" s="368">
        <f ca="1">M4*(1+gibon40!$F$3)</f>
        <v>1919380.6676249995</v>
      </c>
      <c r="N5" s="368">
        <f t="shared" si="7"/>
        <v>6050</v>
      </c>
      <c r="O5" s="633">
        <f t="shared" ca="1" si="8"/>
        <v>46529733.011571005</v>
      </c>
      <c r="P5" s="235">
        <f t="shared" ca="1" si="9"/>
        <v>3877477.7509642504</v>
      </c>
    </row>
    <row r="6" spans="1:21" ht="9.75" customHeight="1">
      <c r="A6" s="230">
        <v>4</v>
      </c>
      <c r="B6" s="357">
        <f t="shared" ca="1" si="0"/>
        <v>6</v>
      </c>
      <c r="C6" s="384">
        <f ca="1">IF(B6="","",D6-RIGHT(YEAR('2025'!$B$2),2)+100-2000)</f>
        <v>31</v>
      </c>
      <c r="D6" s="231">
        <f ca="1">'퇴직때까지의 총연봉액'!D6</f>
        <v>2028</v>
      </c>
      <c r="E6" s="232">
        <f t="shared" ca="1" si="1"/>
        <v>16</v>
      </c>
      <c r="F6" s="363">
        <f ca="1">IF(YEAR('2026'!$B$1)&lt;D6,"",ROUND(INDIRECT(D6&amp;"!N26"),-1))</f>
        <v>57830590</v>
      </c>
      <c r="G6" s="233">
        <f t="shared" ca="1" si="2"/>
        <v>4669230</v>
      </c>
      <c r="H6" s="233">
        <f t="shared" ca="1" si="3"/>
        <v>4669230</v>
      </c>
      <c r="I6" s="233">
        <f t="shared" ca="1" si="4"/>
        <v>0</v>
      </c>
      <c r="J6" s="233">
        <f t="shared" ca="1" si="5"/>
        <v>720000</v>
      </c>
      <c r="K6" s="233">
        <f t="shared" ca="1" si="6"/>
        <v>1200000</v>
      </c>
      <c r="L6" s="368">
        <f ca="1">L5+L5*gibon40!F3</f>
        <v>4298729.7455291245</v>
      </c>
      <c r="M6" s="368">
        <f ca="1">M5*(1+gibon40!$G$3)</f>
        <v>1967365.1843156244</v>
      </c>
      <c r="N6" s="368">
        <f t="shared" si="7"/>
        <v>6050</v>
      </c>
      <c r="O6" s="633">
        <f t="shared" ca="1" si="8"/>
        <v>49287847.436860271</v>
      </c>
      <c r="P6" s="235">
        <f t="shared" ca="1" si="9"/>
        <v>4107320.6197383557</v>
      </c>
      <c r="T6" s="380"/>
    </row>
    <row r="7" spans="1:21" ht="9.75" customHeight="1">
      <c r="A7" s="230">
        <v>5</v>
      </c>
      <c r="B7" s="357">
        <f t="shared" ca="1" si="0"/>
        <v>7</v>
      </c>
      <c r="C7" s="384">
        <f ca="1">IF(B7="","",D7-RIGHT(YEAR('2025'!$B$2),2)+100-2000)</f>
        <v>32</v>
      </c>
      <c r="D7" s="231">
        <f ca="1">'퇴직때까지의 총연봉액'!D7</f>
        <v>2029</v>
      </c>
      <c r="E7" s="232">
        <f t="shared" ca="1" si="1"/>
        <v>17</v>
      </c>
      <c r="F7" s="363">
        <f ca="1">IF(YEAR('2026'!$B$1)&lt;D7,"",ROUND(INDIRECT(D7&amp;"!N26"),-1))</f>
        <v>61094460</v>
      </c>
      <c r="G7" s="233">
        <f t="shared" ca="1" si="2"/>
        <v>4785950</v>
      </c>
      <c r="H7" s="233">
        <f t="shared" ca="1" si="3"/>
        <v>4785950</v>
      </c>
      <c r="I7" s="233">
        <f t="shared" ca="1" si="4"/>
        <v>0</v>
      </c>
      <c r="J7" s="233">
        <f t="shared" ca="1" si="5"/>
        <v>720000</v>
      </c>
      <c r="K7" s="233">
        <f t="shared" ca="1" si="6"/>
        <v>1200000</v>
      </c>
      <c r="L7" s="368">
        <f ca="1">L6+L6*gibon40!G3</f>
        <v>4406197.9891673522</v>
      </c>
      <c r="M7" s="368">
        <f ca="1">M6*(1+gibon40!$H$3)</f>
        <v>2016549.3139235149</v>
      </c>
      <c r="N7" s="368">
        <f t="shared" si="7"/>
        <v>6050</v>
      </c>
      <c r="O7" s="633">
        <f t="shared" ca="1" si="8"/>
        <v>52156221.572781786</v>
      </c>
      <c r="P7" s="235">
        <f t="shared" ca="1" si="9"/>
        <v>4346351.7977318158</v>
      </c>
    </row>
    <row r="8" spans="1:21" ht="9.75" customHeight="1">
      <c r="A8" s="230">
        <v>6</v>
      </c>
      <c r="B8" s="357">
        <f t="shared" ca="1" si="0"/>
        <v>8</v>
      </c>
      <c r="C8" s="384">
        <f ca="1">IF(B8="","",D8-RIGHT(YEAR('2025'!$B$2),2)+100-2000)</f>
        <v>33</v>
      </c>
      <c r="D8" s="231">
        <f ca="1">'퇴직때까지의 총연봉액'!D8</f>
        <v>2030</v>
      </c>
      <c r="E8" s="232">
        <f t="shared" ca="1" si="1"/>
        <v>18</v>
      </c>
      <c r="F8" s="363">
        <f ca="1">IF(YEAR('2026'!$B$1)&lt;D8,"",ROUND(INDIRECT(D8&amp;"!N26"),-1))</f>
        <v>64578840</v>
      </c>
      <c r="G8" s="233">
        <f t="shared" ca="1" si="2"/>
        <v>4905560</v>
      </c>
      <c r="H8" s="233">
        <f t="shared" ca="1" si="3"/>
        <v>4905560</v>
      </c>
      <c r="I8" s="233">
        <f t="shared" ca="1" si="4"/>
        <v>0</v>
      </c>
      <c r="J8" s="233">
        <f t="shared" ca="1" si="5"/>
        <v>720000</v>
      </c>
      <c r="K8" s="233">
        <f t="shared" ca="1" si="6"/>
        <v>1200000</v>
      </c>
      <c r="L8" s="368">
        <f ca="1">L7+L7*gibon40!H3</f>
        <v>4516352.9388965359</v>
      </c>
      <c r="M8" s="368">
        <f ca="1">M7*(1+gibon40!$I$3)</f>
        <v>2066963.0467716027</v>
      </c>
      <c r="N8" s="368">
        <f t="shared" si="7"/>
        <v>6050</v>
      </c>
      <c r="O8" s="633">
        <f t="shared" ca="1" si="8"/>
        <v>55221377.387101322</v>
      </c>
      <c r="P8" s="235">
        <f t="shared" ca="1" si="9"/>
        <v>4601781.4489251105</v>
      </c>
    </row>
    <row r="9" spans="1:21" ht="9.75" customHeight="1">
      <c r="A9" s="230">
        <v>7</v>
      </c>
      <c r="B9" s="357">
        <f t="shared" ca="1" si="0"/>
        <v>9</v>
      </c>
      <c r="C9" s="384">
        <f ca="1">IF(B9="","",D9-RIGHT(YEAR('2025'!$B$2),2)+100-2000)</f>
        <v>34</v>
      </c>
      <c r="D9" s="231">
        <f ca="1">'퇴직때까지의 총연봉액'!D9</f>
        <v>2031</v>
      </c>
      <c r="E9" s="232">
        <f t="shared" ca="1" si="1"/>
        <v>19</v>
      </c>
      <c r="F9" s="363">
        <f ca="1">IF(YEAR('2026'!$B$1)&lt;D9,"",ROUND(INDIRECT(D9&amp;"!N26"),-1))</f>
        <v>68241540</v>
      </c>
      <c r="G9" s="233">
        <f t="shared" ca="1" si="2"/>
        <v>5028160</v>
      </c>
      <c r="H9" s="233">
        <f t="shared" ca="1" si="3"/>
        <v>5028160</v>
      </c>
      <c r="I9" s="233">
        <f t="shared" ca="1" si="4"/>
        <v>0</v>
      </c>
      <c r="J9" s="233">
        <f t="shared" ca="1" si="5"/>
        <v>720000</v>
      </c>
      <c r="K9" s="233">
        <f t="shared" ca="1" si="6"/>
        <v>1200000</v>
      </c>
      <c r="L9" s="368">
        <f ca="1">L8+L8*gibon40!I3</f>
        <v>4629261.7623689491</v>
      </c>
      <c r="M9" s="368">
        <f ca="1">M8*(1+gibon40!$J$3)</f>
        <v>2118637.1229408928</v>
      </c>
      <c r="N9" s="368">
        <f t="shared" si="7"/>
        <v>6050</v>
      </c>
      <c r="O9" s="633">
        <f t="shared" ca="1" si="8"/>
        <v>58445251.996778853</v>
      </c>
      <c r="P9" s="235">
        <f t="shared" ca="1" si="9"/>
        <v>4870437.6663982375</v>
      </c>
    </row>
    <row r="10" spans="1:21" ht="9.75" customHeight="1">
      <c r="A10" s="230">
        <v>8</v>
      </c>
      <c r="B10" s="357">
        <f t="shared" ca="1" si="0"/>
        <v>10</v>
      </c>
      <c r="C10" s="384">
        <f ca="1">IF(B10="","",D10-RIGHT(YEAR('2025'!$B$2),2)+100-2000)</f>
        <v>35</v>
      </c>
      <c r="D10" s="231">
        <f ca="1">'퇴직때까지의 총연봉액'!D10</f>
        <v>2032</v>
      </c>
      <c r="E10" s="232">
        <f t="shared" ca="1" si="1"/>
        <v>20</v>
      </c>
      <c r="F10" s="363">
        <f ca="1">IF(YEAR('2026'!$B$1)&lt;D10,"",ROUND(INDIRECT(D10&amp;"!N26"),-1))</f>
        <v>72347490</v>
      </c>
      <c r="G10" s="233">
        <f t="shared" ca="1" si="2"/>
        <v>5153860</v>
      </c>
      <c r="H10" s="233">
        <f t="shared" ca="1" si="3"/>
        <v>5153860</v>
      </c>
      <c r="I10" s="233">
        <f t="shared" ca="1" si="4"/>
        <v>0</v>
      </c>
      <c r="J10" s="233">
        <f t="shared" ca="1" si="5"/>
        <v>720000</v>
      </c>
      <c r="K10" s="233">
        <f t="shared" ca="1" si="6"/>
        <v>1200000</v>
      </c>
      <c r="L10" s="368">
        <f ca="1">L9+L9*gibon40!$J$3</f>
        <v>4744993.3064281726</v>
      </c>
      <c r="M10" s="368">
        <f ca="1">M9*(1+gibon40!$K$3)</f>
        <v>2171603.051014415</v>
      </c>
      <c r="N10" s="368">
        <f t="shared" si="7"/>
        <v>6050</v>
      </c>
      <c r="O10" s="633">
        <f t="shared" ca="1" si="8"/>
        <v>62066174.721698329</v>
      </c>
      <c r="P10" s="235">
        <f t="shared" ca="1" si="9"/>
        <v>5172181.2268081941</v>
      </c>
      <c r="U10" s="380"/>
    </row>
    <row r="11" spans="1:21" ht="9.75" customHeight="1">
      <c r="A11" s="230">
        <v>9</v>
      </c>
      <c r="B11" s="357">
        <f t="shared" ca="1" si="0"/>
        <v>11</v>
      </c>
      <c r="C11" s="384">
        <f ca="1">IF(B11="","",D11-RIGHT(YEAR('2025'!$B$2),2)+100-2000)</f>
        <v>36</v>
      </c>
      <c r="D11" s="231">
        <f ca="1">'퇴직때까지의 총연봉액'!D11</f>
        <v>2033</v>
      </c>
      <c r="E11" s="232">
        <f t="shared" ca="1" si="1"/>
        <v>21</v>
      </c>
      <c r="F11" s="363">
        <f ca="1">IF(YEAR('2026'!$B$1)&lt;D11,"",ROUND(INDIRECT(D11&amp;"!N26"),-1))</f>
        <v>76176510</v>
      </c>
      <c r="G11" s="233">
        <f t="shared" ca="1" si="2"/>
        <v>5282660</v>
      </c>
      <c r="H11" s="233">
        <f t="shared" ca="1" si="3"/>
        <v>5282660</v>
      </c>
      <c r="I11" s="233">
        <f t="shared" ca="1" si="4"/>
        <v>0</v>
      </c>
      <c r="J11" s="233">
        <f t="shared" ca="1" si="5"/>
        <v>720000</v>
      </c>
      <c r="K11" s="233">
        <f t="shared" ca="1" si="6"/>
        <v>1200000</v>
      </c>
      <c r="L11" s="368">
        <f ca="1">L10+L10*gibon40!$K$3</f>
        <v>4863618.1390888765</v>
      </c>
      <c r="M11" s="368">
        <f ca="1">M10*(1+gibon40!$L$3)</f>
        <v>2225893.1272897753</v>
      </c>
      <c r="N11" s="368">
        <f t="shared" si="7"/>
        <v>6050</v>
      </c>
      <c r="O11" s="633">
        <f t="shared" ca="1" si="8"/>
        <v>65436076.13974078</v>
      </c>
      <c r="P11" s="235">
        <f t="shared" ca="1" si="9"/>
        <v>5453006.3449783986</v>
      </c>
    </row>
    <row r="12" spans="1:21" ht="9.75" customHeight="1">
      <c r="A12" s="230">
        <v>10</v>
      </c>
      <c r="B12" s="357">
        <f t="shared" ca="1" si="0"/>
        <v>12</v>
      </c>
      <c r="C12" s="384">
        <f ca="1">IF(B12="","",D12-RIGHT(YEAR('2025'!$B$2),2)+100-2000)</f>
        <v>37</v>
      </c>
      <c r="D12" s="231">
        <f ca="1">'퇴직때까지의 총연봉액'!D12</f>
        <v>2034</v>
      </c>
      <c r="E12" s="232">
        <f t="shared" ca="1" si="1"/>
        <v>22</v>
      </c>
      <c r="F12" s="363">
        <f ca="1">IF(YEAR('2026'!$B$1)&lt;D12,"",ROUND(INDIRECT(D12&amp;"!N26"),-1))</f>
        <v>80109680</v>
      </c>
      <c r="G12" s="233">
        <f t="shared" ca="1" si="2"/>
        <v>5414770</v>
      </c>
      <c r="H12" s="233">
        <f t="shared" ca="1" si="3"/>
        <v>5414770</v>
      </c>
      <c r="I12" s="233">
        <f t="shared" ca="1" si="4"/>
        <v>0</v>
      </c>
      <c r="J12" s="233">
        <f t="shared" ca="1" si="5"/>
        <v>720000</v>
      </c>
      <c r="K12" s="233">
        <f t="shared" ca="1" si="6"/>
        <v>1200000</v>
      </c>
      <c r="L12" s="368">
        <f ca="1">L11+L11*gibon40!$L$3</f>
        <v>4985208.5925660981</v>
      </c>
      <c r="M12" s="368">
        <f ca="1">M11*(1+gibon40!$M$3)</f>
        <v>2281540.4554720195</v>
      </c>
      <c r="N12" s="368">
        <f t="shared" si="7"/>
        <v>6050</v>
      </c>
      <c r="O12" s="633">
        <f t="shared" ca="1" si="8"/>
        <v>68897645.143234313</v>
      </c>
      <c r="P12" s="235">
        <f t="shared" ca="1" si="9"/>
        <v>5741470.4286028594</v>
      </c>
    </row>
    <row r="13" spans="1:21" ht="9.75" customHeight="1">
      <c r="A13" s="230">
        <v>11</v>
      </c>
      <c r="B13" s="357">
        <f t="shared" ca="1" si="0"/>
        <v>13</v>
      </c>
      <c r="C13" s="384">
        <f ca="1">IF(B13="","",D13-RIGHT(YEAR('2025'!$B$2),2)+100-2000)</f>
        <v>38</v>
      </c>
      <c r="D13" s="231">
        <f ca="1">'퇴직때까지의 총연봉액'!D13</f>
        <v>2035</v>
      </c>
      <c r="E13" s="232">
        <f t="shared" ca="1" si="1"/>
        <v>23</v>
      </c>
      <c r="F13" s="363">
        <f ca="1">IF(YEAR('2026'!$B$1)&lt;D13,"",ROUND(INDIRECT(D13&amp;"!N26"),-1))</f>
        <v>84231850</v>
      </c>
      <c r="G13" s="233">
        <f t="shared" ca="1" si="2"/>
        <v>5550090</v>
      </c>
      <c r="H13" s="233">
        <f t="shared" ca="1" si="3"/>
        <v>5550090</v>
      </c>
      <c r="I13" s="233">
        <f t="shared" ca="1" si="4"/>
        <v>0</v>
      </c>
      <c r="J13" s="233">
        <f t="shared" ca="1" si="5"/>
        <v>720000</v>
      </c>
      <c r="K13" s="233">
        <f t="shared" ca="1" si="6"/>
        <v>1200000</v>
      </c>
      <c r="L13" s="368">
        <f ca="1">L12+L12*gibon40!$M$3</f>
        <v>5109838.8073802507</v>
      </c>
      <c r="M13" s="368">
        <f ca="1">M12*(1+gibon40!$N$3)</f>
        <v>2338578.9668588196</v>
      </c>
      <c r="N13" s="368">
        <f t="shared" si="7"/>
        <v>6050</v>
      </c>
      <c r="O13" s="633">
        <f t="shared" ca="1" si="8"/>
        <v>72527523.99681516</v>
      </c>
      <c r="P13" s="235">
        <f t="shared" ca="1" si="9"/>
        <v>6043960.3330679303</v>
      </c>
    </row>
    <row r="14" spans="1:21" ht="9.75" customHeight="1">
      <c r="A14" s="230">
        <v>12</v>
      </c>
      <c r="B14" s="357">
        <f t="shared" ca="1" si="0"/>
        <v>14</v>
      </c>
      <c r="C14" s="384">
        <f ca="1">IF(B14="","",D14-RIGHT(YEAR('2025'!$B$2),2)+100-2000)</f>
        <v>39</v>
      </c>
      <c r="D14" s="231">
        <f ca="1">'퇴직때까지의 총연봉액'!D14</f>
        <v>2036</v>
      </c>
      <c r="E14" s="232">
        <f t="shared" ca="1" si="1"/>
        <v>24</v>
      </c>
      <c r="F14" s="363">
        <f ca="1">IF(YEAR('2026'!$B$1)&lt;D14,"",ROUND(INDIRECT(D14&amp;"!N26"),-1))</f>
        <v>88518240</v>
      </c>
      <c r="G14" s="233">
        <f t="shared" ca="1" si="2"/>
        <v>5688830</v>
      </c>
      <c r="H14" s="233">
        <f t="shared" ca="1" si="3"/>
        <v>5688830</v>
      </c>
      <c r="I14" s="233">
        <f t="shared" ca="1" si="4"/>
        <v>0</v>
      </c>
      <c r="J14" s="233">
        <f t="shared" ca="1" si="5"/>
        <v>720000</v>
      </c>
      <c r="K14" s="233">
        <f t="shared" ca="1" si="6"/>
        <v>1200000</v>
      </c>
      <c r="L14" s="368">
        <f ca="1">L13+L13*gibon40!$N$3</f>
        <v>5237584.7775647566</v>
      </c>
      <c r="M14" s="368">
        <f ca="1">M13*(1+gibon40!$O$3)</f>
        <v>2397043.44103029</v>
      </c>
      <c r="N14" s="368">
        <f t="shared" si="7"/>
        <v>6050</v>
      </c>
      <c r="O14" s="633">
        <f t="shared" ca="1" si="8"/>
        <v>76303132.396735549</v>
      </c>
      <c r="P14" s="235">
        <f t="shared" ca="1" si="9"/>
        <v>6358594.3663946288</v>
      </c>
    </row>
    <row r="15" spans="1:21" ht="9.75" customHeight="1">
      <c r="A15" s="230">
        <v>13</v>
      </c>
      <c r="B15" s="357">
        <f t="shared" ca="1" si="0"/>
        <v>15</v>
      </c>
      <c r="C15" s="384">
        <f ca="1">IF(B15="","",D15-RIGHT(YEAR('2025'!$B$2),2)+100-2000)</f>
        <v>40</v>
      </c>
      <c r="D15" s="231">
        <f ca="1">'퇴직때까지의 총연봉액'!D15</f>
        <v>2037</v>
      </c>
      <c r="E15" s="232">
        <f t="shared" ca="1" si="1"/>
        <v>25</v>
      </c>
      <c r="F15" s="363">
        <f ca="1">IF(YEAR('2026'!$B$1)&lt;D15,"",ROUND(INDIRECT(D15&amp;"!N26"),-1))</f>
        <v>93170500</v>
      </c>
      <c r="G15" s="233">
        <f t="shared" ca="1" si="2"/>
        <v>5831100</v>
      </c>
      <c r="H15" s="233">
        <f t="shared" ca="1" si="3"/>
        <v>5831100</v>
      </c>
      <c r="I15" s="233">
        <f t="shared" ca="1" si="4"/>
        <v>0</v>
      </c>
      <c r="J15" s="233">
        <f t="shared" ca="1" si="5"/>
        <v>720000</v>
      </c>
      <c r="K15" s="233">
        <f t="shared" ca="1" si="6"/>
        <v>1200000</v>
      </c>
      <c r="L15" s="368">
        <f ca="1">L14+L14*gibon40!$O$3</f>
        <v>5368524.3970038751</v>
      </c>
      <c r="M15" s="368">
        <f ca="1">M14*(1+gibon40!$P$3)</f>
        <v>2456969.5270560472</v>
      </c>
      <c r="N15" s="368">
        <f t="shared" si="7"/>
        <v>6050</v>
      </c>
      <c r="O15" s="633">
        <f t="shared" ca="1" si="8"/>
        <v>80405859.531653941</v>
      </c>
      <c r="P15" s="235">
        <f t="shared" ca="1" si="9"/>
        <v>6700488.2943044947</v>
      </c>
      <c r="R15" s="380"/>
      <c r="S15" s="381"/>
      <c r="T15" s="379"/>
    </row>
    <row r="16" spans="1:21" ht="9.75" customHeight="1">
      <c r="A16" s="230">
        <v>14</v>
      </c>
      <c r="B16" s="357">
        <f t="shared" ca="1" si="0"/>
        <v>16</v>
      </c>
      <c r="C16" s="384">
        <f ca="1">IF(B16="","",D16-RIGHT(YEAR('2025'!$B$2),2)+100-2000)</f>
        <v>41</v>
      </c>
      <c r="D16" s="231">
        <f ca="1">'퇴직때까지의 총연봉액'!D16</f>
        <v>2038</v>
      </c>
      <c r="E16" s="232">
        <f t="shared" ca="1" si="1"/>
        <v>26</v>
      </c>
      <c r="F16" s="363">
        <f ca="1">IF(YEAR('2026'!$B$1)&lt;D16,"",ROUND(INDIRECT(D16&amp;"!N26"),-1))</f>
        <v>97839950</v>
      </c>
      <c r="G16" s="233">
        <f t="shared" ca="1" si="2"/>
        <v>5976890</v>
      </c>
      <c r="H16" s="233">
        <f t="shared" ca="1" si="3"/>
        <v>5976890</v>
      </c>
      <c r="I16" s="233">
        <f t="shared" ca="1" si="4"/>
        <v>0</v>
      </c>
      <c r="J16" s="233">
        <f t="shared" ca="1" si="5"/>
        <v>720000</v>
      </c>
      <c r="K16" s="233">
        <f t="shared" ca="1" si="6"/>
        <v>1200000</v>
      </c>
      <c r="L16" s="368">
        <f ca="1">L15+L15*gibon40!$P$3</f>
        <v>5502737.506928972</v>
      </c>
      <c r="M16" s="368">
        <f ca="1">M15*(1+gibon40!$Q$3)</f>
        <v>2518393.765232448</v>
      </c>
      <c r="N16" s="368">
        <f t="shared" si="7"/>
        <v>6050</v>
      </c>
      <c r="O16" s="633">
        <f t="shared" ca="1" si="8"/>
        <v>84522016.144945264</v>
      </c>
      <c r="P16" s="235">
        <f t="shared" ca="1" si="9"/>
        <v>7043501.3454121053</v>
      </c>
    </row>
    <row r="17" spans="1:20" ht="9.75" customHeight="1">
      <c r="A17" s="230">
        <v>15</v>
      </c>
      <c r="B17" s="357">
        <f t="shared" ca="1" si="0"/>
        <v>17</v>
      </c>
      <c r="C17" s="384">
        <f ca="1">IF(B17="","",D17-RIGHT(YEAR('2025'!$B$2),2)+100-2000)</f>
        <v>42</v>
      </c>
      <c r="D17" s="231">
        <f ca="1">'퇴직때까지의 총연봉액'!D17</f>
        <v>2039</v>
      </c>
      <c r="E17" s="232">
        <f t="shared" ca="1" si="1"/>
        <v>27</v>
      </c>
      <c r="F17" s="363">
        <f ca="1">IF(YEAR('2026'!$B$1)&lt;D17,"",ROUND(INDIRECT(D17&amp;"!N26"),-1))</f>
        <v>102742770</v>
      </c>
      <c r="G17" s="233">
        <f t="shared" ca="1" si="2"/>
        <v>6126320</v>
      </c>
      <c r="H17" s="233">
        <f t="shared" ca="1" si="3"/>
        <v>6126320</v>
      </c>
      <c r="I17" s="233">
        <f t="shared" ca="1" si="4"/>
        <v>0</v>
      </c>
      <c r="J17" s="233">
        <f t="shared" ca="1" si="5"/>
        <v>720000</v>
      </c>
      <c r="K17" s="233">
        <f t="shared" ca="1" si="6"/>
        <v>1200000</v>
      </c>
      <c r="L17" s="368">
        <f ca="1">L16+L16*gibon40!$Q$3</f>
        <v>5640305.9446021961</v>
      </c>
      <c r="M17" s="368">
        <f ca="1">M16*(1+gibon40!$R$3)</f>
        <v>2581353.6093632588</v>
      </c>
      <c r="N17" s="368">
        <f t="shared" si="7"/>
        <v>6050</v>
      </c>
      <c r="O17" s="633">
        <f t="shared" ca="1" si="8"/>
        <v>88846055.598568901</v>
      </c>
      <c r="P17" s="235">
        <f t="shared" ca="1" si="9"/>
        <v>7403837.9665474081</v>
      </c>
    </row>
    <row r="18" spans="1:20" ht="9.75" customHeight="1">
      <c r="A18" s="230">
        <v>16</v>
      </c>
      <c r="B18" s="357">
        <f t="shared" ca="1" si="0"/>
        <v>18</v>
      </c>
      <c r="C18" s="384">
        <f ca="1">IF(B18="","",D18-RIGHT(YEAR('2025'!$B$2),2)+100-2000)</f>
        <v>43</v>
      </c>
      <c r="D18" s="231">
        <f ca="1">'퇴직때까지의 총연봉액'!D18</f>
        <v>2040</v>
      </c>
      <c r="E18" s="232">
        <f t="shared" ca="1" si="1"/>
        <v>28</v>
      </c>
      <c r="F18" s="363">
        <f ca="1">IF(YEAR('2026'!$B$1)&lt;D18,"",ROUND(INDIRECT(D18&amp;"!N26"),-1))</f>
        <v>107855020</v>
      </c>
      <c r="G18" s="233">
        <f t="shared" ca="1" si="2"/>
        <v>6279490</v>
      </c>
      <c r="H18" s="233">
        <f t="shared" ca="1" si="3"/>
        <v>6279490</v>
      </c>
      <c r="I18" s="233">
        <f t="shared" ca="1" si="4"/>
        <v>0</v>
      </c>
      <c r="J18" s="233">
        <f t="shared" ca="1" si="5"/>
        <v>720000</v>
      </c>
      <c r="K18" s="233">
        <f t="shared" ca="1" si="6"/>
        <v>1200000</v>
      </c>
      <c r="L18" s="368">
        <f ca="1">L17+L17*gibon40!$R$3</f>
        <v>5781313.5932172509</v>
      </c>
      <c r="M18" s="368">
        <f ca="1">M17*(1+gibon40!$S$3)</f>
        <v>2645887.4495973401</v>
      </c>
      <c r="N18" s="368">
        <f t="shared" si="7"/>
        <v>6050</v>
      </c>
      <c r="O18" s="633">
        <f t="shared" ca="1" si="8"/>
        <v>93356361.938533142</v>
      </c>
      <c r="P18" s="235">
        <f t="shared" ca="1" si="9"/>
        <v>7779696.8282110952</v>
      </c>
    </row>
    <row r="19" spans="1:20" ht="9.75" customHeight="1">
      <c r="A19" s="230">
        <v>17</v>
      </c>
      <c r="B19" s="357">
        <f t="shared" ca="1" si="0"/>
        <v>19</v>
      </c>
      <c r="C19" s="384">
        <f ca="1">IF(B19="","",D19-RIGHT(YEAR('2025'!$B$2),2)+100-2000)</f>
        <v>44</v>
      </c>
      <c r="D19" s="231">
        <f ca="1">'퇴직때까지의 총연봉액'!D19</f>
        <v>2041</v>
      </c>
      <c r="E19" s="232">
        <f t="shared" ca="1" si="1"/>
        <v>29</v>
      </c>
      <c r="F19" s="363">
        <f ca="1">IF(YEAR('2026'!$B$1)&lt;D19,"",ROUND(INDIRECT(D19&amp;"!N26"),-1))</f>
        <v>113258810</v>
      </c>
      <c r="G19" s="233">
        <f t="shared" ca="1" si="2"/>
        <v>6436510</v>
      </c>
      <c r="H19" s="233">
        <f t="shared" ca="1" si="3"/>
        <v>6436510</v>
      </c>
      <c r="I19" s="233">
        <f t="shared" ca="1" si="4"/>
        <v>0</v>
      </c>
      <c r="J19" s="233">
        <f t="shared" ca="1" si="5"/>
        <v>720000</v>
      </c>
      <c r="K19" s="233">
        <f t="shared" ca="1" si="6"/>
        <v>1200000</v>
      </c>
      <c r="L19" s="368">
        <f ca="1">L18+L18*gibon40!$S$3</f>
        <v>5925846.433047682</v>
      </c>
      <c r="M19" s="368">
        <f ca="1">M18*(1+gibon40!$T$3)</f>
        <v>2712034.6358372732</v>
      </c>
      <c r="N19" s="368">
        <f t="shared" si="7"/>
        <v>6050</v>
      </c>
      <c r="O19" s="633">
        <f t="shared" ca="1" si="8"/>
        <v>98126748.961996466</v>
      </c>
      <c r="P19" s="235">
        <f t="shared" ca="1" si="9"/>
        <v>8177229.0801663725</v>
      </c>
    </row>
    <row r="20" spans="1:20" ht="9.75" customHeight="1">
      <c r="A20" s="230">
        <v>18</v>
      </c>
      <c r="B20" s="357">
        <f t="shared" ca="1" si="0"/>
        <v>20</v>
      </c>
      <c r="C20" s="384">
        <f ca="1">IF(B20="","",D20-RIGHT(YEAR('2025'!$B$2),2)+100-2000)</f>
        <v>45</v>
      </c>
      <c r="D20" s="231">
        <f ca="1">'퇴직때까지의 총연봉액'!D20</f>
        <v>2042</v>
      </c>
      <c r="E20" s="232">
        <f t="shared" ca="1" si="1"/>
        <v>30</v>
      </c>
      <c r="F20" s="363">
        <f ca="1">IF(YEAR('2026'!$B$1)&lt;D20,"",ROUND(INDIRECT(D20&amp;"!N26"),-1))</f>
        <v>119369610</v>
      </c>
      <c r="G20" s="233">
        <f t="shared" ca="1" si="2"/>
        <v>6597370</v>
      </c>
      <c r="H20" s="233">
        <f t="shared" ca="1" si="3"/>
        <v>6597370</v>
      </c>
      <c r="I20" s="233">
        <f t="shared" ca="1" si="4"/>
        <v>0</v>
      </c>
      <c r="J20" s="233">
        <f t="shared" ca="1" si="5"/>
        <v>720000</v>
      </c>
      <c r="K20" s="233">
        <f t="shared" ca="1" si="6"/>
        <v>1200000</v>
      </c>
      <c r="L20" s="368">
        <f ca="1">L19+L19*gibon40!$T$3</f>
        <v>6073992.5938738743</v>
      </c>
      <c r="M20" s="368">
        <f ca="1">M19*(1+gibon40!$U$3)</f>
        <v>2779835.5017332048</v>
      </c>
      <c r="N20" s="368">
        <f t="shared" si="7"/>
        <v>6050</v>
      </c>
      <c r="O20" s="633">
        <f t="shared" ca="1" si="8"/>
        <v>103531273.28604637</v>
      </c>
      <c r="P20" s="235">
        <f t="shared" ca="1" si="9"/>
        <v>8627606.1071705315</v>
      </c>
      <c r="S20" s="161"/>
    </row>
    <row r="21" spans="1:20" ht="9.75" customHeight="1">
      <c r="A21" s="230">
        <v>19</v>
      </c>
      <c r="B21" s="357">
        <f t="shared" ca="1" si="0"/>
        <v>21</v>
      </c>
      <c r="C21" s="384">
        <f ca="1">IF(B21="","",D21-RIGHT(YEAR('2025'!$B$2),2)+100-2000)</f>
        <v>46</v>
      </c>
      <c r="D21" s="231">
        <f ca="1">'퇴직때까지의 총연봉액'!D21</f>
        <v>2043</v>
      </c>
      <c r="E21" s="232">
        <f t="shared" ca="1" si="1"/>
        <v>31</v>
      </c>
      <c r="F21" s="363">
        <f ca="1">IF(YEAR('2026'!$B$1)&lt;D21,"",ROUND(INDIRECT(D21&amp;"!N26"),-1))</f>
        <v>125299390</v>
      </c>
      <c r="G21" s="233">
        <f t="shared" ca="1" si="2"/>
        <v>6762300</v>
      </c>
      <c r="H21" s="233">
        <f t="shared" ca="1" si="3"/>
        <v>6762300</v>
      </c>
      <c r="I21" s="233">
        <f t="shared" ca="1" si="4"/>
        <v>0</v>
      </c>
      <c r="J21" s="233">
        <f t="shared" ca="1" si="5"/>
        <v>720000</v>
      </c>
      <c r="K21" s="233">
        <f t="shared" ca="1" si="6"/>
        <v>1200000</v>
      </c>
      <c r="L21" s="368">
        <f ca="1">L20+L20*gibon40!$U$3</f>
        <v>6225842.4087207215</v>
      </c>
      <c r="M21" s="368">
        <f ca="1">M20*(1+gibon40!$V$3)</f>
        <v>2849331.3892765348</v>
      </c>
      <c r="N21" s="368">
        <f t="shared" si="7"/>
        <v>6050</v>
      </c>
      <c r="O21" s="633">
        <f t="shared" ca="1" si="8"/>
        <v>108770412.41819753</v>
      </c>
      <c r="P21" s="235">
        <f t="shared" ca="1" si="9"/>
        <v>9064201.0348497946</v>
      </c>
    </row>
    <row r="22" spans="1:20" ht="9.75" customHeight="1">
      <c r="A22" s="230">
        <v>20</v>
      </c>
      <c r="B22" s="357">
        <f t="shared" ca="1" si="0"/>
        <v>22</v>
      </c>
      <c r="C22" s="384">
        <f ca="1">IF(B22="","",D22-RIGHT(YEAR('2025'!$B$2),2)+100-2000)</f>
        <v>47</v>
      </c>
      <c r="D22" s="231">
        <f ca="1">'퇴직때까지의 총연봉액'!D22</f>
        <v>2044</v>
      </c>
      <c r="E22" s="232">
        <f t="shared" ca="1" si="1"/>
        <v>32</v>
      </c>
      <c r="F22" s="363">
        <f ca="1">IF(YEAR('2026'!$B$1)&lt;D22,"",ROUND(INDIRECT(D22&amp;"!N26"),-1))</f>
        <v>131390550</v>
      </c>
      <c r="G22" s="233">
        <f t="shared" ca="1" si="2"/>
        <v>6931390</v>
      </c>
      <c r="H22" s="233">
        <f t="shared" ca="1" si="3"/>
        <v>6931390</v>
      </c>
      <c r="I22" s="233">
        <f t="shared" ca="1" si="4"/>
        <v>0</v>
      </c>
      <c r="J22" s="233">
        <f t="shared" ca="1" si="5"/>
        <v>720000</v>
      </c>
      <c r="K22" s="233">
        <f t="shared" ca="1" si="6"/>
        <v>1200000</v>
      </c>
      <c r="L22" s="368">
        <f ca="1">L21+L21*gibon40!$V$3</f>
        <v>6381488.46893874</v>
      </c>
      <c r="M22" s="368">
        <f ca="1">M21*(1+gibon40!$W$3)</f>
        <v>2920564.6740084477</v>
      </c>
      <c r="N22" s="368">
        <f t="shared" si="7"/>
        <v>6050</v>
      </c>
      <c r="O22" s="633">
        <f t="shared" ca="1" si="8"/>
        <v>114152285.82865247</v>
      </c>
      <c r="P22" s="235">
        <f t="shared" ca="1" si="9"/>
        <v>9512690.4857210387</v>
      </c>
    </row>
    <row r="23" spans="1:20" ht="9.75" customHeight="1">
      <c r="A23" s="230">
        <v>21</v>
      </c>
      <c r="B23" s="357">
        <f t="shared" ca="1" si="0"/>
        <v>23</v>
      </c>
      <c r="C23" s="384">
        <f ca="1">IF(B23="","",D23-RIGHT(YEAR('2025'!$B$2),2)+100-2000)</f>
        <v>48</v>
      </c>
      <c r="D23" s="231">
        <f ca="1">'퇴직때까지의 총연봉액'!D23</f>
        <v>2045</v>
      </c>
      <c r="E23" s="232">
        <f t="shared" ca="1" si="1"/>
        <v>33</v>
      </c>
      <c r="F23" s="363">
        <f ca="1">IF(YEAR('2026'!$B$1)&lt;D23,"",ROUND(INDIRECT(D23&amp;"!N26"),-1))</f>
        <v>137752500</v>
      </c>
      <c r="G23" s="233">
        <f t="shared" ca="1" si="2"/>
        <v>7104650</v>
      </c>
      <c r="H23" s="233">
        <f t="shared" ca="1" si="3"/>
        <v>7104650</v>
      </c>
      <c r="I23" s="233">
        <f t="shared" ca="1" si="4"/>
        <v>0</v>
      </c>
      <c r="J23" s="233">
        <f t="shared" ca="1" si="5"/>
        <v>720000</v>
      </c>
      <c r="K23" s="233">
        <f t="shared" ca="1" si="6"/>
        <v>1200000</v>
      </c>
      <c r="L23" s="368">
        <f ca="1">L22+L22*gibon40!$W$3</f>
        <v>6541025.6806622082</v>
      </c>
      <c r="M23" s="368">
        <f ca="1">M22*(1+gibon40!$X$3)</f>
        <v>2993578.7908586585</v>
      </c>
      <c r="N23" s="368">
        <f t="shared" si="7"/>
        <v>6050</v>
      </c>
      <c r="O23" s="633">
        <f t="shared" ca="1" si="8"/>
        <v>119775469.02436879</v>
      </c>
      <c r="P23" s="235">
        <f t="shared" ca="1" si="9"/>
        <v>9981289.0853640661</v>
      </c>
    </row>
    <row r="24" spans="1:20" ht="9.75" customHeight="1">
      <c r="A24" s="230">
        <v>22</v>
      </c>
      <c r="B24" s="357">
        <f t="shared" ca="1" si="0"/>
        <v>24</v>
      </c>
      <c r="C24" s="384">
        <f ca="1">IF(B24="","",D24-RIGHT(YEAR('2025'!$B$2),2)+100-2000)</f>
        <v>49</v>
      </c>
      <c r="D24" s="231">
        <f ca="1">'퇴직때까지의 총연봉액'!D24</f>
        <v>2046</v>
      </c>
      <c r="E24" s="232">
        <f t="shared" ca="1" si="1"/>
        <v>34</v>
      </c>
      <c r="F24" s="363">
        <f ca="1">IF(YEAR('2026'!$B$1)&lt;D24,"",ROUND(INDIRECT(D24&amp;"!N26"),-1))</f>
        <v>144358520</v>
      </c>
      <c r="G24" s="233">
        <f t="shared" ca="1" si="2"/>
        <v>7282300</v>
      </c>
      <c r="H24" s="233">
        <f t="shared" ca="1" si="3"/>
        <v>7282300</v>
      </c>
      <c r="I24" s="233">
        <f t="shared" ca="1" si="4"/>
        <v>0</v>
      </c>
      <c r="J24" s="233">
        <f t="shared" ca="1" si="5"/>
        <v>720000</v>
      </c>
      <c r="K24" s="233">
        <f t="shared" ca="1" si="6"/>
        <v>1200000</v>
      </c>
      <c r="L24" s="368">
        <f ca="1">L23+L23*gibon40!$X$3</f>
        <v>6704551.3226787634</v>
      </c>
      <c r="M24" s="368">
        <f ca="1">M23*(1+gibon40!$Y$3)</f>
        <v>3068418.2606301247</v>
      </c>
      <c r="N24" s="368">
        <f t="shared" si="7"/>
        <v>6050</v>
      </c>
      <c r="O24" s="633">
        <f t="shared" ca="1" si="8"/>
        <v>125615645.62497802</v>
      </c>
      <c r="P24" s="235">
        <f t="shared" ca="1" si="9"/>
        <v>10467970.468748169</v>
      </c>
    </row>
    <row r="25" spans="1:20" ht="9.75" customHeight="1">
      <c r="A25" s="230">
        <v>23</v>
      </c>
      <c r="B25" s="357">
        <f t="shared" ca="1" si="0"/>
        <v>25</v>
      </c>
      <c r="C25" s="384">
        <f ca="1">IF(B25="","",D25-RIGHT(YEAR('2025'!$B$2),2)+100-2000)</f>
        <v>50</v>
      </c>
      <c r="D25" s="231">
        <f ca="1">'퇴직때까지의 총연봉액'!D25</f>
        <v>2047</v>
      </c>
      <c r="E25" s="232">
        <f t="shared" ca="1" si="1"/>
        <v>35</v>
      </c>
      <c r="F25" s="363">
        <f ca="1">IF(YEAR('2026'!$B$1)&lt;D25,"",ROUND(INDIRECT(D25&amp;"!N26"),-1))</f>
        <v>151414130</v>
      </c>
      <c r="G25" s="233">
        <f t="shared" ca="1" si="2"/>
        <v>7464330</v>
      </c>
      <c r="H25" s="233">
        <f t="shared" ca="1" si="3"/>
        <v>7464330</v>
      </c>
      <c r="I25" s="233">
        <f t="shared" ca="1" si="4"/>
        <v>0</v>
      </c>
      <c r="J25" s="233">
        <f t="shared" ca="1" si="5"/>
        <v>720000</v>
      </c>
      <c r="K25" s="233">
        <f t="shared" ca="1" si="6"/>
        <v>1200000</v>
      </c>
      <c r="L25" s="368">
        <f ca="1">L24+L24*gibon40!$Y$3</f>
        <v>6872165.1057457328</v>
      </c>
      <c r="M25" s="368">
        <f ca="1">M24*(1+gibon40!$Z$3)</f>
        <v>3145128.7171458774</v>
      </c>
      <c r="N25" s="368">
        <f t="shared" si="7"/>
        <v>6050</v>
      </c>
      <c r="O25" s="633">
        <f t="shared" ca="1" si="8"/>
        <v>131857932.44060247</v>
      </c>
      <c r="P25" s="235">
        <f t="shared" ca="1" si="9"/>
        <v>10988161.036716873</v>
      </c>
      <c r="S25" s="380"/>
    </row>
    <row r="26" spans="1:20" ht="9.75" customHeight="1">
      <c r="A26" s="230">
        <v>24</v>
      </c>
      <c r="B26" s="357">
        <f t="shared" ca="1" si="0"/>
        <v>26</v>
      </c>
      <c r="C26" s="384">
        <f ca="1">IF(B26="","",D26-RIGHT(YEAR('2025'!$B$2),2)+100-2000)</f>
        <v>51</v>
      </c>
      <c r="D26" s="231">
        <f ca="1">'퇴직때까지의 총연봉액'!D26</f>
        <v>2048</v>
      </c>
      <c r="E26" s="232">
        <f t="shared" ca="1" si="1"/>
        <v>36</v>
      </c>
      <c r="F26" s="363">
        <f ca="1">IF(YEAR('2026'!$B$1)&lt;D26,"",ROUND(INDIRECT(D26&amp;"!N26"),-1))</f>
        <v>158556860</v>
      </c>
      <c r="G26" s="233">
        <f t="shared" ca="1" si="2"/>
        <v>7650950</v>
      </c>
      <c r="H26" s="233">
        <f t="shared" ca="1" si="3"/>
        <v>7650950</v>
      </c>
      <c r="I26" s="233">
        <f t="shared" ca="1" si="4"/>
        <v>0</v>
      </c>
      <c r="J26" s="233">
        <f t="shared" ca="1" si="5"/>
        <v>720000</v>
      </c>
      <c r="K26" s="233">
        <f t="shared" ca="1" si="6"/>
        <v>1200000</v>
      </c>
      <c r="L26" s="368">
        <f ca="1">L25+L25*gibon40!$Z$3</f>
        <v>7043969.2333893757</v>
      </c>
      <c r="M26" s="368">
        <f ca="1">M25*(1+gibon40!$AA$3)</f>
        <v>3223756.935074524</v>
      </c>
      <c r="N26" s="368">
        <f t="shared" si="7"/>
        <v>6050</v>
      </c>
      <c r="O26" s="633">
        <f t="shared" ca="1" si="8"/>
        <v>138175862.55161753</v>
      </c>
      <c r="P26" s="235">
        <f t="shared" ca="1" si="9"/>
        <v>11514655.212634794</v>
      </c>
      <c r="T26" s="380"/>
    </row>
    <row r="27" spans="1:20" ht="9.75" customHeight="1">
      <c r="A27" s="230">
        <v>25</v>
      </c>
      <c r="B27" s="357">
        <f t="shared" ca="1" si="0"/>
        <v>27</v>
      </c>
      <c r="C27" s="384">
        <f ca="1">IF(B27="","",D27-RIGHT(YEAR('2025'!$B$2),2)+100-2000)</f>
        <v>52</v>
      </c>
      <c r="D27" s="231">
        <f ca="1">'퇴직때까지의 총연봉액'!D27</f>
        <v>2049</v>
      </c>
      <c r="E27" s="232">
        <f t="shared" ca="1" si="1"/>
        <v>37</v>
      </c>
      <c r="F27" s="363">
        <f ca="1">IF(YEAR('2026'!$B$1)&lt;D27,"",ROUND(INDIRECT(D27&amp;"!N26"),-1))</f>
        <v>165555750</v>
      </c>
      <c r="G27" s="233">
        <f t="shared" ca="1" si="2"/>
        <v>7842280</v>
      </c>
      <c r="H27" s="233">
        <f t="shared" ca="1" si="3"/>
        <v>7842280</v>
      </c>
      <c r="I27" s="233">
        <f t="shared" ca="1" si="4"/>
        <v>0</v>
      </c>
      <c r="J27" s="233">
        <f t="shared" ca="1" si="5"/>
        <v>720000</v>
      </c>
      <c r="K27" s="233">
        <f t="shared" ca="1" si="6"/>
        <v>1200000</v>
      </c>
      <c r="L27" s="368">
        <f ca="1">L26+L26*gibon40!$AA$3</f>
        <v>7220068.4642241104</v>
      </c>
      <c r="M27" s="368">
        <f ca="1">M26*(1+gibon40!$AB$3)</f>
        <v>3304350.8584513869</v>
      </c>
      <c r="N27" s="368">
        <f t="shared" si="7"/>
        <v>6050</v>
      </c>
      <c r="O27" s="633">
        <f t="shared" ca="1" si="8"/>
        <v>144361493.39040795</v>
      </c>
      <c r="P27" s="235">
        <f t="shared" ca="1" si="9"/>
        <v>12030124.449200662</v>
      </c>
    </row>
    <row r="28" spans="1:20" ht="9.75" customHeight="1">
      <c r="A28" s="230">
        <v>26</v>
      </c>
      <c r="B28" s="357">
        <f t="shared" ca="1" si="0"/>
        <v>28</v>
      </c>
      <c r="C28" s="384">
        <f ca="1">IF(B28="","",D28-RIGHT(YEAR('2025'!$B$2),2)+100-2000)</f>
        <v>53</v>
      </c>
      <c r="D28" s="231">
        <f ca="1">'퇴직때까지의 총연봉액'!D28</f>
        <v>2050</v>
      </c>
      <c r="E28" s="232">
        <f t="shared" ca="1" si="1"/>
        <v>38</v>
      </c>
      <c r="F28" s="363">
        <f ca="1">IF(YEAR('2026'!$B$1)&lt;D28,"",ROUND(INDIRECT(D28&amp;"!N26"),-1))</f>
        <v>172707380</v>
      </c>
      <c r="G28" s="233">
        <f t="shared" ca="1" si="2"/>
        <v>8038310</v>
      </c>
      <c r="H28" s="233">
        <f t="shared" ca="1" si="3"/>
        <v>8038310</v>
      </c>
      <c r="I28" s="233">
        <f t="shared" ca="1" si="4"/>
        <v>0</v>
      </c>
      <c r="J28" s="233">
        <f t="shared" ca="1" si="5"/>
        <v>720000</v>
      </c>
      <c r="K28" s="233">
        <f t="shared" ca="1" si="6"/>
        <v>1200000</v>
      </c>
      <c r="L28" s="368">
        <f ca="1">L27+L27*gibon40!$AB$3</f>
        <v>7400570.1758297132</v>
      </c>
      <c r="M28" s="368">
        <f ca="1">M27*(1+gibon40!$AC$3)</f>
        <v>3386959.6299126712</v>
      </c>
      <c r="N28" s="368">
        <f t="shared" si="7"/>
        <v>6050</v>
      </c>
      <c r="O28" s="633">
        <f t="shared" ca="1" si="8"/>
        <v>150681905.82516816</v>
      </c>
      <c r="P28" s="235">
        <f t="shared" ca="1" si="9"/>
        <v>12556825.48543068</v>
      </c>
    </row>
    <row r="29" spans="1:20" ht="9.75" customHeight="1">
      <c r="A29" s="230">
        <v>27</v>
      </c>
      <c r="B29" s="357">
        <f t="shared" ca="1" si="0"/>
        <v>29</v>
      </c>
      <c r="C29" s="384">
        <f ca="1">IF(B29="","",D29-RIGHT(YEAR('2025'!$B$2),2)+100-2000)</f>
        <v>54</v>
      </c>
      <c r="D29" s="231">
        <f ca="1">'퇴직때까지의 총연봉액'!D29</f>
        <v>2051</v>
      </c>
      <c r="E29" s="232">
        <f t="shared" ca="1" si="1"/>
        <v>39</v>
      </c>
      <c r="F29" s="363">
        <f ca="1">IF(YEAR('2026'!$B$1)&lt;D29,"",ROUND(INDIRECT(D29&amp;"!N26"),-1))</f>
        <v>180132110</v>
      </c>
      <c r="G29" s="233">
        <f t="shared" ca="1" si="2"/>
        <v>8239260</v>
      </c>
      <c r="H29" s="233">
        <f t="shared" ca="1" si="3"/>
        <v>8239260</v>
      </c>
      <c r="I29" s="233">
        <f t="shared" ca="1" si="4"/>
        <v>0</v>
      </c>
      <c r="J29" s="233">
        <f t="shared" ca="1" si="5"/>
        <v>720000</v>
      </c>
      <c r="K29" s="233">
        <f t="shared" ca="1" si="6"/>
        <v>1200000</v>
      </c>
      <c r="L29" s="368">
        <f ca="1">L28+L28*gibon40!$AC$3</f>
        <v>7585584.4302254561</v>
      </c>
      <c r="M29" s="368">
        <f ca="1">M28*(1+gibon40!$AD$3)</f>
        <v>3471633.6206604876</v>
      </c>
      <c r="N29" s="368">
        <f t="shared" si="7"/>
        <v>6050</v>
      </c>
      <c r="O29" s="633">
        <f t="shared" ca="1" si="8"/>
        <v>157245172.24579737</v>
      </c>
      <c r="P29" s="235">
        <f t="shared" ca="1" si="9"/>
        <v>13103764.353816448</v>
      </c>
    </row>
    <row r="30" spans="1:20" ht="9.75" customHeight="1">
      <c r="A30" s="230">
        <v>28</v>
      </c>
      <c r="B30" s="357">
        <f t="shared" ca="1" si="0"/>
        <v>30</v>
      </c>
      <c r="C30" s="384">
        <f ca="1">IF(B30="","",D30-RIGHT(YEAR('2025'!$B$2),2)+100-2000)</f>
        <v>55</v>
      </c>
      <c r="D30" s="231">
        <f ca="1">'퇴직때까지의 총연봉액'!D30</f>
        <v>2052</v>
      </c>
      <c r="E30" s="232">
        <f t="shared" ca="1" si="1"/>
        <v>40</v>
      </c>
      <c r="F30" s="363">
        <f ca="1">IF(YEAR('2026'!$B$1)&lt;D30,"",ROUND(INDIRECT(D30&amp;"!N26"),-1))</f>
        <v>187799030</v>
      </c>
      <c r="G30" s="233">
        <f t="shared" ca="1" si="2"/>
        <v>8445230</v>
      </c>
      <c r="H30" s="233">
        <f t="shared" ca="1" si="3"/>
        <v>8445230</v>
      </c>
      <c r="I30" s="233">
        <f t="shared" ca="1" si="4"/>
        <v>0</v>
      </c>
      <c r="J30" s="233">
        <f t="shared" ca="1" si="5"/>
        <v>720000</v>
      </c>
      <c r="K30" s="233">
        <f t="shared" ca="1" si="6"/>
        <v>1200000</v>
      </c>
      <c r="L30" s="368">
        <f ca="1">L29+L29*gibon40!$AD$3</f>
        <v>7775224.0409810925</v>
      </c>
      <c r="M30" s="368">
        <f ca="1">M29*(1+gibon40!$AE$3)</f>
        <v>3558424.4611769994</v>
      </c>
      <c r="N30" s="368">
        <f t="shared" si="7"/>
        <v>6050</v>
      </c>
      <c r="O30" s="633">
        <f t="shared" ca="1" si="8"/>
        <v>164023441.65194228</v>
      </c>
      <c r="P30" s="235">
        <f t="shared" ca="1" si="9"/>
        <v>13668620.137661858</v>
      </c>
      <c r="S30" s="380"/>
    </row>
    <row r="31" spans="1:20" ht="9.75" customHeight="1">
      <c r="A31" s="230">
        <v>29</v>
      </c>
      <c r="B31" s="357">
        <f t="shared" ca="1" si="0"/>
        <v>31</v>
      </c>
      <c r="C31" s="384">
        <f ca="1">IF(B31="","",D31-RIGHT(YEAR('2025'!$B$2),2)+100-2000)</f>
        <v>56</v>
      </c>
      <c r="D31" s="231">
        <f ca="1">'퇴직때까지의 총연봉액'!D31</f>
        <v>2053</v>
      </c>
      <c r="E31" s="232">
        <f t="shared" ca="1" si="1"/>
        <v>41</v>
      </c>
      <c r="F31" s="363">
        <f ca="1">IF(YEAR('2026'!$B$1)&lt;D31,"",ROUND(INDIRECT(D31&amp;"!N26"),-1))</f>
        <v>194765040</v>
      </c>
      <c r="G31" s="233">
        <f t="shared" ca="1" si="2"/>
        <v>8656330</v>
      </c>
      <c r="H31" s="233">
        <f t="shared" ca="1" si="3"/>
        <v>8656330</v>
      </c>
      <c r="I31" s="233">
        <f t="shared" ca="1" si="4"/>
        <v>0</v>
      </c>
      <c r="J31" s="233">
        <f t="shared" ca="1" si="5"/>
        <v>720000</v>
      </c>
      <c r="K31" s="233">
        <f t="shared" ca="1" si="6"/>
        <v>1200000</v>
      </c>
      <c r="L31" s="368">
        <f ca="1">L30+L30*gibon40!$AE$3</f>
        <v>7969604.6420056196</v>
      </c>
      <c r="M31" s="368">
        <f ca="1">M30*(1+gibon40!$AF$3)</f>
        <v>3647385.0727064242</v>
      </c>
      <c r="N31" s="368">
        <f t="shared" si="7"/>
        <v>6050</v>
      </c>
      <c r="O31" s="633">
        <f t="shared" ca="1" si="8"/>
        <v>170167877.74324086</v>
      </c>
      <c r="P31" s="235">
        <f t="shared" ca="1" si="9"/>
        <v>14180656.478603406</v>
      </c>
    </row>
    <row r="32" spans="1:20" ht="9.75" customHeight="1">
      <c r="A32" s="230">
        <v>30</v>
      </c>
      <c r="B32" s="357">
        <f t="shared" ca="1" si="0"/>
        <v>32</v>
      </c>
      <c r="C32" s="384">
        <f ca="1">IF(B32="","",D32-RIGHT(YEAR('2025'!$B$2),2)+100-2000)</f>
        <v>57</v>
      </c>
      <c r="D32" s="231">
        <f ca="1">'퇴직때까지의 총연봉액'!D32</f>
        <v>2054</v>
      </c>
      <c r="E32" s="232">
        <f t="shared" ca="1" si="1"/>
        <v>42</v>
      </c>
      <c r="F32" s="363">
        <f ca="1">IF(YEAR('2026'!$B$1)&lt;D32,"",ROUND(INDIRECT(D32&amp;"!N26"),-1))</f>
        <v>202140020</v>
      </c>
      <c r="G32" s="233">
        <f t="shared" ca="1" si="2"/>
        <v>8872780</v>
      </c>
      <c r="H32" s="233">
        <f t="shared" ca="1" si="3"/>
        <v>8872780</v>
      </c>
      <c r="I32" s="233">
        <f t="shared" ca="1" si="4"/>
        <v>0</v>
      </c>
      <c r="J32" s="233">
        <f t="shared" ca="1" si="5"/>
        <v>720000</v>
      </c>
      <c r="K32" s="233">
        <f t="shared" ca="1" si="6"/>
        <v>1200000</v>
      </c>
      <c r="L32" s="368">
        <f ca="1">L31+L31*gibon40!$AF$3</f>
        <v>8168844.7580557605</v>
      </c>
      <c r="M32" s="368">
        <f ca="1">M31*(1+gibon40!$AG$3)</f>
        <v>3738569.6995240846</v>
      </c>
      <c r="N32" s="368">
        <f t="shared" si="7"/>
        <v>6050</v>
      </c>
      <c r="O32" s="633">
        <f t="shared" ca="1" si="8"/>
        <v>176677132.01182184</v>
      </c>
      <c r="P32" s="235">
        <f t="shared" ca="1" si="9"/>
        <v>14723094.334318487</v>
      </c>
    </row>
    <row r="33" spans="1:16" ht="9.75" customHeight="1">
      <c r="A33" s="230">
        <v>31</v>
      </c>
      <c r="B33" s="357">
        <f t="shared" ca="1" si="0"/>
        <v>33</v>
      </c>
      <c r="C33" s="384">
        <f ca="1">IF(B33="","",D33-RIGHT(YEAR('2025'!$B$2),2)+100-2000)</f>
        <v>58</v>
      </c>
      <c r="D33" s="231">
        <f ca="1">'퇴직때까지의 총연봉액'!D33</f>
        <v>2055</v>
      </c>
      <c r="E33" s="232">
        <f t="shared" ca="1" si="1"/>
        <v>43</v>
      </c>
      <c r="F33" s="363">
        <f ca="1">IF(YEAR('2026'!$B$1)&lt;D33,"",ROUND(INDIRECT(D33&amp;"!N26"),-1))</f>
        <v>209443390</v>
      </c>
      <c r="G33" s="233">
        <f t="shared" ca="1" si="2"/>
        <v>9094570</v>
      </c>
      <c r="H33" s="233">
        <f t="shared" ca="1" si="3"/>
        <v>9094570</v>
      </c>
      <c r="I33" s="233">
        <f t="shared" ca="1" si="4"/>
        <v>0</v>
      </c>
      <c r="J33" s="233">
        <f t="shared" ca="1" si="5"/>
        <v>720000</v>
      </c>
      <c r="K33" s="233">
        <f t="shared" ca="1" si="6"/>
        <v>1200000</v>
      </c>
      <c r="L33" s="368">
        <f ca="1">L32+L32*gibon40!$AG$3</f>
        <v>8373065.8770071547</v>
      </c>
      <c r="M33" s="368">
        <f ca="1">M32*(1+gibon40!$AH$3)</f>
        <v>3832033.9420121862</v>
      </c>
      <c r="N33" s="368">
        <f t="shared" si="7"/>
        <v>6050</v>
      </c>
      <c r="O33" s="633">
        <f t="shared" ca="1" si="8"/>
        <v>183118859.8371174</v>
      </c>
      <c r="P33" s="235">
        <f t="shared" ca="1" si="9"/>
        <v>15259904.98642645</v>
      </c>
    </row>
    <row r="34" spans="1:16" ht="9.75" customHeight="1">
      <c r="A34" s="230">
        <v>32</v>
      </c>
      <c r="B34" s="357">
        <f t="shared" ca="1" si="0"/>
        <v>34</v>
      </c>
      <c r="C34" s="384">
        <f ca="1">IF(B34="","",D34-RIGHT(YEAR('2025'!$B$2),2)+100-2000)</f>
        <v>59</v>
      </c>
      <c r="D34" s="231">
        <f ca="1">'퇴직때까지의 총연봉액'!D34</f>
        <v>2056</v>
      </c>
      <c r="E34" s="232">
        <f t="shared" ca="1" si="1"/>
        <v>44</v>
      </c>
      <c r="F34" s="363">
        <f ca="1">IF(YEAR('2026'!$B$1)&lt;D34,"",ROUND(INDIRECT(D34&amp;"!N26"),-1))</f>
        <v>216834110</v>
      </c>
      <c r="G34" s="233">
        <f t="shared" ca="1" si="2"/>
        <v>9321920</v>
      </c>
      <c r="H34" s="233">
        <f t="shared" ca="1" si="3"/>
        <v>9321920</v>
      </c>
      <c r="I34" s="233">
        <f t="shared" ca="1" si="4"/>
        <v>0</v>
      </c>
      <c r="J34" s="233">
        <f t="shared" ca="1" si="5"/>
        <v>720000</v>
      </c>
      <c r="K34" s="233">
        <f t="shared" ca="1" si="6"/>
        <v>1200000</v>
      </c>
      <c r="L34" s="368">
        <f ca="1">L33+L33*gibon40!$AH$3</f>
        <v>8582392.523932334</v>
      </c>
      <c r="M34" s="368">
        <f ca="1">M33*(1+gibon40!$AI$3)</f>
        <v>3927834.7905624905</v>
      </c>
      <c r="N34" s="368">
        <f t="shared" si="7"/>
        <v>6050</v>
      </c>
      <c r="O34" s="633">
        <f t="shared" ca="1" si="8"/>
        <v>189635892.58304533</v>
      </c>
      <c r="P34" s="235">
        <f t="shared" ca="1" si="9"/>
        <v>15802991.048587112</v>
      </c>
    </row>
    <row r="35" spans="1:16" ht="9.75" customHeight="1">
      <c r="A35" s="230">
        <v>33</v>
      </c>
      <c r="B35" s="357">
        <f t="shared" ca="1" si="0"/>
        <v>35</v>
      </c>
      <c r="C35" s="384">
        <f ca="1">IF(B35="","",D35-RIGHT(YEAR('2025'!$B$2),2)+100-2000)</f>
        <v>60</v>
      </c>
      <c r="D35" s="231">
        <f ca="1">'퇴직때까지의 총연봉액'!D35</f>
        <v>2057</v>
      </c>
      <c r="E35" s="232">
        <f t="shared" ca="1" si="1"/>
        <v>45</v>
      </c>
      <c r="F35" s="363">
        <f ca="1">IF(YEAR('2026'!$B$1)&lt;D35,"",ROUND(INDIRECT(D35&amp;"!N26"),-1))</f>
        <v>224467840</v>
      </c>
      <c r="G35" s="233">
        <f t="shared" ca="1" si="2"/>
        <v>9554930</v>
      </c>
      <c r="H35" s="233">
        <f t="shared" ca="1" si="3"/>
        <v>9554930</v>
      </c>
      <c r="I35" s="233">
        <f t="shared" ca="1" si="4"/>
        <v>0</v>
      </c>
      <c r="J35" s="233">
        <f t="shared" ca="1" si="5"/>
        <v>720000</v>
      </c>
      <c r="K35" s="233">
        <f t="shared" ca="1" si="6"/>
        <v>1200000</v>
      </c>
      <c r="L35" s="368">
        <f ca="1">L34+L34*gibon40!$AI$3</f>
        <v>8796952.3370306417</v>
      </c>
      <c r="M35" s="368">
        <f ca="1">M34*(1+gibon40!$AJ$3)</f>
        <v>4026030.6603265526</v>
      </c>
      <c r="N35" s="368">
        <f t="shared" si="7"/>
        <v>6050</v>
      </c>
      <c r="O35" s="633">
        <f t="shared" ca="1" si="8"/>
        <v>196368311.69762146</v>
      </c>
      <c r="P35" s="235">
        <f t="shared" ca="1" si="9"/>
        <v>16364025.974801788</v>
      </c>
    </row>
    <row r="36" spans="1:16" ht="9.75" customHeight="1">
      <c r="A36" s="230">
        <v>34</v>
      </c>
      <c r="B36" s="357">
        <f t="shared" ca="1" si="0"/>
        <v>36</v>
      </c>
      <c r="C36" s="384">
        <f ca="1">IF(B36="","",D36-RIGHT(YEAR('2025'!$B$2),2)+100-2000)</f>
        <v>61</v>
      </c>
      <c r="D36" s="231">
        <f ca="1">'퇴직때까지의 총연봉액'!D36</f>
        <v>2058</v>
      </c>
      <c r="E36" s="232">
        <f t="shared" ca="1" si="1"/>
        <v>46</v>
      </c>
      <c r="F36" s="363">
        <f ca="1">IF(YEAR('2026'!$B$1)&lt;D36,"",ROUND(INDIRECT(D36&amp;"!N26"),-1))</f>
        <v>232361690</v>
      </c>
      <c r="G36" s="233">
        <f t="shared" ca="1" si="2"/>
        <v>9793820</v>
      </c>
      <c r="H36" s="233">
        <f t="shared" ca="1" si="3"/>
        <v>9793820</v>
      </c>
      <c r="I36" s="233">
        <f t="shared" ca="1" si="4"/>
        <v>0</v>
      </c>
      <c r="J36" s="233">
        <f t="shared" ca="1" si="5"/>
        <v>720000</v>
      </c>
      <c r="K36" s="233">
        <f t="shared" ca="1" si="6"/>
        <v>1200000</v>
      </c>
      <c r="L36" s="368">
        <f ca="1">L35+L35*gibon40!$AJ$3</f>
        <v>9016876.1454564072</v>
      </c>
      <c r="M36" s="368">
        <f ca="1">M35*(1+gibon40!$AK$3)</f>
        <v>4126681.426834716</v>
      </c>
      <c r="N36" s="368">
        <f t="shared" si="7"/>
        <v>6050</v>
      </c>
      <c r="O36" s="633">
        <f t="shared" ca="1" si="8"/>
        <v>203331291.81506199</v>
      </c>
      <c r="P36" s="235">
        <f t="shared" ca="1" si="9"/>
        <v>16944274.317921832</v>
      </c>
    </row>
    <row r="37" spans="1:16" ht="9.75" customHeight="1">
      <c r="A37" s="230">
        <v>35</v>
      </c>
      <c r="B37" s="357">
        <f t="shared" ca="1" si="0"/>
        <v>37</v>
      </c>
      <c r="C37" s="384">
        <f ca="1">IF(B37="","",D37-RIGHT(YEAR('2025'!$B$2),2)+100-2000)</f>
        <v>62</v>
      </c>
      <c r="D37" s="231">
        <f ca="1">'퇴직때까지의 총연봉액'!D37</f>
        <v>2059</v>
      </c>
      <c r="E37" s="232">
        <f t="shared" ca="1" si="1"/>
        <v>47</v>
      </c>
      <c r="F37" s="363">
        <f ca="1">IF(YEAR('2026'!$B$1)&lt;D37,"",ROUND(INDIRECT(D37&amp;"!N26"),-1))</f>
        <v>48568360</v>
      </c>
      <c r="G37" s="233">
        <f t="shared" ca="1" si="2"/>
        <v>0</v>
      </c>
      <c r="H37" s="233">
        <f t="shared" ca="1" si="3"/>
        <v>0</v>
      </c>
      <c r="I37" s="233">
        <f t="shared" ca="1" si="4"/>
        <v>0</v>
      </c>
      <c r="J37" s="233">
        <f t="shared" ca="1" si="5"/>
        <v>120000</v>
      </c>
      <c r="K37" s="233">
        <f t="shared" ca="1" si="6"/>
        <v>-200000</v>
      </c>
      <c r="L37" s="368">
        <f ca="1">L36+L36*gibon40!$AK$3</f>
        <v>9242298.0490928181</v>
      </c>
      <c r="M37" s="368">
        <f ca="1">M36*(1+gibon40!$AL$3)</f>
        <v>4229848.4625055837</v>
      </c>
      <c r="N37" s="368">
        <f t="shared" si="7"/>
        <v>6050</v>
      </c>
      <c r="O37" s="633">
        <f t="shared" ca="1" si="8"/>
        <v>55841900.860438563</v>
      </c>
      <c r="P37" s="235">
        <f t="shared" ca="1" si="9"/>
        <v>4653491.7383698802</v>
      </c>
    </row>
    <row r="38" spans="1:16" ht="9.75" customHeight="1">
      <c r="A38" s="230">
        <v>36</v>
      </c>
      <c r="B38" s="357" t="str">
        <f t="shared" ca="1" si="0"/>
        <v/>
      </c>
      <c r="C38" s="384" t="str">
        <f ca="1">IF(B38="","",D38-RIGHT(YEAR('2025'!$B$2),2)+100-2000)</f>
        <v/>
      </c>
      <c r="D38" s="231">
        <f ca="1">'퇴직때까지의 총연봉액'!D38</f>
        <v>2060</v>
      </c>
      <c r="E38" s="232" t="str">
        <f t="shared" ca="1" si="1"/>
        <v/>
      </c>
      <c r="F38" s="363" t="str">
        <f ca="1">IF(YEAR('2026'!$B$1)&lt;D38,"",ROUND(INDIRECT(D38&amp;"!N26"),-1))</f>
        <v/>
      </c>
      <c r="G38" s="233" t="str">
        <f t="shared" ca="1" si="2"/>
        <v/>
      </c>
      <c r="H38" s="233" t="str">
        <f t="shared" ca="1" si="3"/>
        <v/>
      </c>
      <c r="I38" s="233" t="str">
        <f t="shared" ca="1" si="4"/>
        <v/>
      </c>
      <c r="J38" s="233" t="str">
        <f t="shared" ca="1" si="5"/>
        <v/>
      </c>
      <c r="K38" s="233" t="e">
        <f t="shared" ca="1" si="6"/>
        <v>#VALUE!</v>
      </c>
      <c r="L38" s="368">
        <f ca="1">L37+L37*gibon40!$AL$3</f>
        <v>9473355.5003201384</v>
      </c>
      <c r="M38" s="368">
        <f ca="1">M37*(1+gibon40!$AM$3)</f>
        <v>4335594.6740682228</v>
      </c>
      <c r="N38" s="368">
        <f t="shared" si="7"/>
        <v>6050</v>
      </c>
      <c r="O38" s="633" t="e">
        <f t="shared" ca="1" si="8"/>
        <v>#VALUE!</v>
      </c>
      <c r="P38" s="235" t="str">
        <f t="shared" ca="1" si="9"/>
        <v/>
      </c>
    </row>
    <row r="39" spans="1:16" ht="9.75" customHeight="1">
      <c r="A39" s="230"/>
      <c r="B39" s="357"/>
      <c r="C39" s="384"/>
      <c r="D39" s="231">
        <f ca="1">'퇴직때까지의 총연봉액'!D39</f>
        <v>2061</v>
      </c>
      <c r="E39" s="232"/>
      <c r="F39" s="363"/>
      <c r="G39" s="233"/>
      <c r="H39" s="233"/>
      <c r="I39" s="233"/>
      <c r="J39" s="233"/>
      <c r="K39" s="233"/>
      <c r="L39" s="368"/>
      <c r="M39" s="368"/>
      <c r="N39" s="368"/>
      <c r="O39" s="234"/>
      <c r="P39" s="235"/>
    </row>
    <row r="40" spans="1:16" ht="9.75" customHeight="1">
      <c r="A40" s="230"/>
      <c r="B40" s="357"/>
      <c r="C40" s="384"/>
      <c r="D40" s="231">
        <f ca="1">'퇴직때까지의 총연봉액'!D40</f>
        <v>2062</v>
      </c>
      <c r="E40" s="232"/>
      <c r="F40" s="363"/>
      <c r="G40" s="233"/>
      <c r="H40" s="233"/>
      <c r="I40" s="233"/>
      <c r="J40" s="233"/>
      <c r="K40" s="233"/>
      <c r="L40" s="368"/>
      <c r="M40" s="368"/>
      <c r="N40" s="368"/>
      <c r="O40" s="234"/>
      <c r="P40" s="235"/>
    </row>
    <row r="41" spans="1:16" ht="9.75" customHeight="1">
      <c r="A41" s="230"/>
      <c r="B41" s="357"/>
      <c r="C41" s="384"/>
      <c r="D41" s="231">
        <f ca="1">'퇴직때까지의 총연봉액'!D41</f>
        <v>2063</v>
      </c>
      <c r="E41" s="232"/>
      <c r="F41" s="363"/>
      <c r="G41" s="233"/>
      <c r="H41" s="233"/>
      <c r="I41" s="233"/>
      <c r="J41" s="233"/>
      <c r="K41" s="233"/>
      <c r="L41" s="368"/>
      <c r="M41" s="368"/>
      <c r="N41" s="368"/>
      <c r="O41" s="234"/>
      <c r="P41" s="235"/>
    </row>
    <row r="42" spans="1:16" ht="9.75" customHeight="1">
      <c r="A42" s="230"/>
      <c r="B42" s="357"/>
      <c r="C42" s="384"/>
      <c r="D42" s="231">
        <f ca="1">'퇴직때까지의 총연봉액'!D42</f>
        <v>2064</v>
      </c>
      <c r="E42" s="232"/>
      <c r="F42" s="363"/>
      <c r="G42" s="233"/>
      <c r="H42" s="233"/>
      <c r="I42" s="233"/>
      <c r="J42" s="233"/>
      <c r="K42" s="233"/>
      <c r="L42" s="368"/>
      <c r="M42" s="368"/>
      <c r="N42" s="368"/>
      <c r="O42" s="234"/>
      <c r="P42" s="235"/>
    </row>
    <row r="43" spans="1:16" ht="9.75" customHeight="1">
      <c r="A43" s="230"/>
      <c r="B43" s="357"/>
      <c r="C43" s="384"/>
      <c r="D43" s="231">
        <f ca="1">'퇴직때까지의 총연봉액'!D43</f>
        <v>2065</v>
      </c>
      <c r="E43" s="232"/>
      <c r="F43" s="363"/>
      <c r="G43" s="233"/>
      <c r="H43" s="233"/>
      <c r="I43" s="233"/>
      <c r="J43" s="233"/>
      <c r="K43" s="233"/>
      <c r="L43" s="368"/>
      <c r="M43" s="368"/>
      <c r="N43" s="368"/>
      <c r="O43" s="234"/>
      <c r="P43" s="235"/>
    </row>
    <row r="44" spans="1:16" ht="9.75" customHeight="1">
      <c r="A44" s="1167" t="s">
        <v>479</v>
      </c>
      <c r="B44" s="1168"/>
      <c r="C44" s="1168"/>
      <c r="D44" s="1168"/>
      <c r="E44" s="1169"/>
      <c r="F44" s="366">
        <f ca="1">SUM(F3:F43)</f>
        <v>4325077900</v>
      </c>
      <c r="G44" s="236">
        <f ca="1">SUM(G3:G43)</f>
        <v>228012140</v>
      </c>
      <c r="H44" s="236">
        <f t="shared" ref="H44:P44" ca="1" si="10">SUM(H3:H43)</f>
        <v>224934010</v>
      </c>
      <c r="I44" s="236">
        <f t="shared" ca="1" si="10"/>
        <v>0</v>
      </c>
      <c r="J44" s="236">
        <f t="shared" ca="1" si="10"/>
        <v>24990000</v>
      </c>
      <c r="K44" s="236" t="e">
        <f t="shared" ca="1" si="10"/>
        <v>#VALUE!</v>
      </c>
      <c r="L44" s="370">
        <f t="shared" ca="1" si="10"/>
        <v>224704328.92952576</v>
      </c>
      <c r="M44" s="370">
        <f t="shared" ca="1" si="10"/>
        <v>104665964.43679753</v>
      </c>
      <c r="N44" s="370">
        <f t="shared" si="10"/>
        <v>217800</v>
      </c>
      <c r="O44" s="663" t="e">
        <f t="shared" ca="1" si="10"/>
        <v>#VALUE!</v>
      </c>
      <c r="P44" s="664">
        <f t="shared" ca="1" si="10"/>
        <v>314754476.5343951</v>
      </c>
    </row>
  </sheetData>
  <mergeCells count="4">
    <mergeCell ref="A1:D1"/>
    <mergeCell ref="E1:F1"/>
    <mergeCell ref="G1:N1"/>
    <mergeCell ref="A44:E44"/>
  </mergeCells>
  <phoneticPr fontId="167" type="noConversion"/>
  <printOptions horizontalCentered="1"/>
  <pageMargins left="0.19666667282581329" right="0.19666667282581329" top="0.74777776002883911" bottom="0.55097222328186035" header="0.31486111879348755" footer="0.31486111879348755"/>
  <pageSetup paperSize="9" orientation="landscape"/>
  <headerFooter>
    <oddFooter>&amp;R&amp;"맑은 고딕,Regular"&amp;8제작 : 교사카페 운영자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R46"/>
  <sheetViews>
    <sheetView zoomScale="140" zoomScaleNormal="140" zoomScaleSheetLayoutView="140" workbookViewId="0">
      <pane xSplit="5" ySplit="2" topLeftCell="F3" activePane="bottomRight" state="frozen"/>
      <selection pane="topRight"/>
      <selection pane="bottomLeft"/>
      <selection pane="bottomRight" activeCell="F50" sqref="F50"/>
    </sheetView>
  </sheetViews>
  <sheetFormatPr baseColWidth="10" defaultColWidth="9" defaultRowHeight="9.75" customHeight="1"/>
  <cols>
    <col min="1" max="1" width="3.83203125" style="219" bestFit="1" customWidth="1"/>
    <col min="2" max="2" width="3.83203125" style="219" customWidth="1"/>
    <col min="3" max="3" width="4.33203125" style="219" bestFit="1" customWidth="1"/>
    <col min="4" max="4" width="7" style="219" bestFit="1" customWidth="1"/>
    <col min="5" max="5" width="4.5" style="219" customWidth="1"/>
    <col min="6" max="6" width="8" style="224" customWidth="1"/>
    <col min="7" max="17" width="8" style="219" customWidth="1"/>
    <col min="18" max="18" width="10.83203125" style="219" customWidth="1"/>
    <col min="19" max="16384" width="9" style="219"/>
  </cols>
  <sheetData>
    <row r="1" spans="1:18" ht="9.75" customHeight="1">
      <c r="A1" s="1166" t="str">
        <f ca="1">'퇴직때까지의 총연봉액'!A1</f>
        <v>2025</v>
      </c>
      <c r="B1" s="1166"/>
      <c r="C1" s="1166"/>
      <c r="D1" s="1166"/>
      <c r="E1" s="1166"/>
      <c r="F1" s="1166"/>
      <c r="G1" s="1170" t="s">
        <v>416</v>
      </c>
      <c r="H1" s="1170"/>
      <c r="I1" s="1170"/>
      <c r="J1" s="1170" t="s">
        <v>427</v>
      </c>
      <c r="K1" s="1170"/>
      <c r="L1" s="1170"/>
      <c r="M1" s="1170"/>
      <c r="N1" s="1170"/>
      <c r="O1" s="218"/>
      <c r="Q1" s="1171">
        <f>'퇴직때까지의 총연봉액'!Q1</f>
        <v>58134</v>
      </c>
      <c r="R1" s="1171"/>
    </row>
    <row r="2" spans="1:18" s="220" customFormat="1" ht="9.75" customHeight="1">
      <c r="A2" s="374" t="s">
        <v>504</v>
      </c>
      <c r="B2" s="374" t="s">
        <v>464</v>
      </c>
      <c r="C2" s="579" t="s">
        <v>500</v>
      </c>
      <c r="D2" s="243" t="s">
        <v>228</v>
      </c>
      <c r="E2" s="580" t="s">
        <v>643</v>
      </c>
      <c r="F2" s="579" t="s">
        <v>520</v>
      </c>
      <c r="G2" s="579" t="s">
        <v>524</v>
      </c>
      <c r="H2" s="579" t="s">
        <v>519</v>
      </c>
      <c r="I2" s="579" t="s">
        <v>526</v>
      </c>
      <c r="J2" s="579" t="s">
        <v>521</v>
      </c>
      <c r="K2" s="579" t="s">
        <v>530</v>
      </c>
      <c r="L2" s="579" t="s">
        <v>528</v>
      </c>
      <c r="M2" s="579" t="s">
        <v>534</v>
      </c>
      <c r="N2" s="579" t="s">
        <v>522</v>
      </c>
      <c r="O2" s="579" t="s">
        <v>551</v>
      </c>
      <c r="P2" s="579" t="s">
        <v>517</v>
      </c>
      <c r="Q2" s="579" t="s">
        <v>525</v>
      </c>
      <c r="R2" s="226" t="s">
        <v>510</v>
      </c>
    </row>
    <row r="3" spans="1:18" ht="9.75" customHeight="1">
      <c r="A3" s="230">
        <v>1</v>
      </c>
      <c r="B3" s="357">
        <f ca="1">'퇴직때까지의 총연봉액'!B3</f>
        <v>2</v>
      </c>
      <c r="C3" s="221">
        <f ca="1">'퇴직때까지의 총연봉액'!D3</f>
        <v>2025</v>
      </c>
      <c r="D3" s="385">
        <f ca="1">'퇴직때까지의 총연봉액'!C3</f>
        <v>28</v>
      </c>
      <c r="E3" s="222">
        <f ca="1">'퇴직때까지의 총연봉액'!E3</f>
        <v>12</v>
      </c>
      <c r="F3" s="228">
        <f ca="1">IF(YEAR('2026'!$B$1)&lt;$C3,"",ROUND(INDIRECT($C3&amp;"!b41"),-1))</f>
        <v>4356130</v>
      </c>
      <c r="G3" s="228">
        <f ca="1">IF(YEAR('2026'!$B$1)&lt;$C3,"",ROUND(INDIRECT($C3&amp;"!c41"),-1))</f>
        <v>2589860</v>
      </c>
      <c r="H3" s="228">
        <f ca="1">IF(YEAR('2026'!$B$1)&lt;$C3,"",ROUND(INDIRECT($C3&amp;"!d41"),-1))</f>
        <v>6902560</v>
      </c>
      <c r="I3" s="228">
        <f ca="1">IF(YEAR('2026'!$B$1)&lt;$C3,"",ROUND(INDIRECT($C3&amp;"!e41"),-1))</f>
        <v>2645030</v>
      </c>
      <c r="J3" s="228">
        <f ca="1">IF(YEAR('2026'!$B$1)&lt;$C3,"",ROUND(INDIRECT($C3&amp;"!f41"),-1))</f>
        <v>2638120</v>
      </c>
      <c r="K3" s="228">
        <f ca="1">IF(YEAR('2026'!$B$1)&lt;$C3,"",ROUND(INDIRECT($C3&amp;"!g41"),-1))</f>
        <v>2636400</v>
      </c>
      <c r="L3" s="228">
        <f ca="1">IF(YEAR('2026'!$B$1)&lt;$C3,"",ROUND(INDIRECT($C3&amp;"!h41"),-1))</f>
        <v>3125820</v>
      </c>
      <c r="M3" s="228">
        <f ca="1">IF(YEAR('2026'!$B$1)&lt;$C3,"",ROUND(INDIRECT($C3&amp;"!i41"),-1))</f>
        <v>2591740</v>
      </c>
      <c r="N3" s="228">
        <f ca="1">IF(YEAR('2026'!$B$1)&lt;$C3,"",ROUND(INDIRECT($C3&amp;"!j41"),-1))</f>
        <v>2401290</v>
      </c>
      <c r="O3" s="228">
        <f ca="1">IF(YEAR('2026'!$B$1)&lt;$C3,"",ROUND(INDIRECT($C3&amp;"!k41"),-1))</f>
        <v>3981340</v>
      </c>
      <c r="P3" s="228">
        <f ca="1">IF(YEAR('2026'!$B$1)&lt;$C3,"",ROUND(INDIRECT($C3&amp;"!l41"),-1))</f>
        <v>2439060</v>
      </c>
      <c r="Q3" s="228">
        <f ca="1">IF(YEAR('2026'!$B$1)&lt;$C3,"",ROUND(INDIRECT($C3&amp;"!m41"),-1))</f>
        <v>2560970</v>
      </c>
      <c r="R3" s="227">
        <f ca="1">IF(YEAR('2026'!$B$1)&lt;$C3,"",SUM(F3:Q3))</f>
        <v>38868320</v>
      </c>
    </row>
    <row r="4" spans="1:18" ht="9.75" customHeight="1">
      <c r="A4" s="230">
        <v>2</v>
      </c>
      <c r="B4" s="357">
        <f ca="1">'퇴직때까지의 총연봉액'!B4</f>
        <v>4</v>
      </c>
      <c r="C4" s="221">
        <f ca="1">'퇴직때까지의 총연봉액'!D4</f>
        <v>2026</v>
      </c>
      <c r="D4" s="385">
        <f ca="1">'퇴직때까지의 총연봉액'!C4</f>
        <v>29</v>
      </c>
      <c r="E4" s="222">
        <f ca="1">'퇴직때까지의 총연봉액'!E4</f>
        <v>14</v>
      </c>
      <c r="F4" s="228">
        <f ca="1">IF(YEAR('2026'!$B$1)&lt;$C4,"",ROUND(INDIRECT($C4&amp;"!b41"),-1))</f>
        <v>2945000</v>
      </c>
      <c r="G4" s="228">
        <f ca="1">IF(YEAR('2026'!$B$1)&lt;$C4,"",ROUND(INDIRECT($C4&amp;"!c41"),-1))</f>
        <v>4005500</v>
      </c>
      <c r="H4" s="228">
        <f ca="1">IF(YEAR('2026'!$B$1)&lt;$C4,"",ROUND(INDIRECT($C4&amp;"!d41"),-1))</f>
        <v>6974790</v>
      </c>
      <c r="I4" s="228">
        <f ca="1">IF(YEAR('2026'!$B$1)&lt;$C4,"",ROUND(INDIRECT($C4&amp;"!e41"),-1))</f>
        <v>2573210</v>
      </c>
      <c r="J4" s="228">
        <f ca="1">IF(YEAR('2026'!$B$1)&lt;$C4,"",ROUND(INDIRECT($C4&amp;"!f41"),-1))</f>
        <v>2536290</v>
      </c>
      <c r="K4" s="228">
        <f ca="1">IF(YEAR('2026'!$B$1)&lt;$C4,"",ROUND(INDIRECT($C4&amp;"!g41"),-1))</f>
        <v>2533780</v>
      </c>
      <c r="L4" s="228">
        <f ca="1">IF(YEAR('2026'!$B$1)&lt;$C4,"",ROUND(INDIRECT($C4&amp;"!h41"),-1))</f>
        <v>3086020</v>
      </c>
      <c r="M4" s="228">
        <f ca="1">IF(YEAR('2026'!$B$1)&lt;$C4,"",ROUND(INDIRECT($C4&amp;"!i41"),-1))</f>
        <v>2528770</v>
      </c>
      <c r="N4" s="228">
        <f ca="1">IF(YEAR('2026'!$B$1)&lt;$C4,"",ROUND(INDIRECT($C4&amp;"!j41"),-1))</f>
        <v>4120530</v>
      </c>
      <c r="O4" s="228">
        <f ca="1">IF(YEAR('2026'!$B$1)&lt;$C4,"",ROUND(INDIRECT($C4&amp;"!k41"),-1))</f>
        <v>2523750</v>
      </c>
      <c r="P4" s="228">
        <f ca="1">IF(YEAR('2026'!$B$1)&lt;$C4,"",ROUND(INDIRECT($C4&amp;"!l41"),-1))</f>
        <v>2521240</v>
      </c>
      <c r="Q4" s="228">
        <f ca="1">IF(YEAR('2026'!$B$1)&lt;$C4,"",ROUND(INDIRECT($C4&amp;"!m41"),-1))</f>
        <v>2649890</v>
      </c>
      <c r="R4" s="227">
        <f ca="1">IF(YEAR('2026'!$B$1)&lt;$C4,"",SUM(F4:Q4))</f>
        <v>38998770</v>
      </c>
    </row>
    <row r="5" spans="1:18" ht="9.75" customHeight="1">
      <c r="A5" s="230">
        <v>3</v>
      </c>
      <c r="B5" s="357">
        <f ca="1">'퇴직때까지의 총연봉액'!B5</f>
        <v>5</v>
      </c>
      <c r="C5" s="221">
        <f ca="1">'퇴직때까지의 총연봉액'!D5</f>
        <v>2027</v>
      </c>
      <c r="D5" s="385">
        <f ca="1">'퇴직때까지의 총연봉액'!C5</f>
        <v>30</v>
      </c>
      <c r="E5" s="222">
        <f ca="1">'퇴직때까지의 총연봉액'!E5</f>
        <v>15</v>
      </c>
      <c r="F5" s="228">
        <f ca="1">IF(YEAR('2026'!$B$1)&lt;$C5,"",ROUND(INDIRECT($C5&amp;"!b41"),-1))</f>
        <v>3097430</v>
      </c>
      <c r="G5" s="228">
        <f ca="1">IF(YEAR('2026'!$B$1)&lt;$C5,"",ROUND(INDIRECT($C5&amp;"!c41"),-1))</f>
        <v>4231720</v>
      </c>
      <c r="H5" s="228">
        <f ca="1">IF(YEAR('2026'!$B$1)&lt;$C5,"",ROUND(INDIRECT($C5&amp;"!d41"),-1))</f>
        <v>7247120</v>
      </c>
      <c r="I5" s="228">
        <f ca="1">IF(YEAR('2026'!$B$1)&lt;$C5,"",ROUND(INDIRECT($C5&amp;"!e41"),-1))</f>
        <v>2676850</v>
      </c>
      <c r="J5" s="228">
        <f ca="1">IF(YEAR('2026'!$B$1)&lt;$C5,"",ROUND(INDIRECT($C5&amp;"!f41"),-1))</f>
        <v>2649770</v>
      </c>
      <c r="K5" s="228">
        <f ca="1">IF(YEAR('2026'!$B$1)&lt;$C5,"",ROUND(INDIRECT($C5&amp;"!g41"),-1))</f>
        <v>2646860</v>
      </c>
      <c r="L5" s="228">
        <f ca="1">IF(YEAR('2026'!$B$1)&lt;$C5,"",ROUND(INDIRECT($C5&amp;"!h41"),-1))</f>
        <v>3384420</v>
      </c>
      <c r="M5" s="228">
        <f ca="1">IF(YEAR('2026'!$B$1)&lt;$C5,"",ROUND(INDIRECT($C5&amp;"!i41"),-1))</f>
        <v>2641040</v>
      </c>
      <c r="N5" s="228">
        <f ca="1">IF(YEAR('2026'!$B$1)&lt;$C5,"",ROUND(INDIRECT($C5&amp;"!j41"),-1))</f>
        <v>4374940</v>
      </c>
      <c r="O5" s="228">
        <f ca="1">IF(YEAR('2026'!$B$1)&lt;$C5,"",ROUND(INDIRECT($C5&amp;"!k41"),-1))</f>
        <v>2635220</v>
      </c>
      <c r="P5" s="228">
        <f ca="1">IF(YEAR('2026'!$B$1)&lt;$C5,"",ROUND(INDIRECT($C5&amp;"!l41"),-1))</f>
        <v>2632310</v>
      </c>
      <c r="Q5" s="228">
        <f ca="1">IF(YEAR('2026'!$B$1)&lt;$C5,"",ROUND(INDIRECT($C5&amp;"!m41"),-1))</f>
        <v>2763830</v>
      </c>
      <c r="R5" s="227">
        <f ca="1">IF(YEAR('2026'!$B$1)&lt;$C5,"",SUM(F5:Q5))</f>
        <v>40981510</v>
      </c>
    </row>
    <row r="6" spans="1:18" ht="9.75" customHeight="1">
      <c r="A6" s="230">
        <v>4</v>
      </c>
      <c r="B6" s="357">
        <f ca="1">'퇴직때까지의 총연봉액'!B6</f>
        <v>6</v>
      </c>
      <c r="C6" s="221">
        <f ca="1">'퇴직때까지의 총연봉액'!D6</f>
        <v>2028</v>
      </c>
      <c r="D6" s="385">
        <f ca="1">'퇴직때까지의 총연봉액'!C6</f>
        <v>31</v>
      </c>
      <c r="E6" s="222">
        <f ca="1">'퇴직때까지의 총연봉액'!E6</f>
        <v>16</v>
      </c>
      <c r="F6" s="228">
        <f ca="1">IF(YEAR('2026'!$B$1)&lt;$C6,"",ROUND(INDIRECT($C6&amp;"!b41"),-1))</f>
        <v>5235750</v>
      </c>
      <c r="G6" s="228">
        <f ca="1">IF(YEAR('2026'!$B$1)&lt;$C6,"",ROUND(INDIRECT($C6&amp;"!c41"),-1))</f>
        <v>2651890</v>
      </c>
      <c r="H6" s="228">
        <f ca="1">IF(YEAR('2026'!$B$1)&lt;$C6,"",ROUND(INDIRECT($C6&amp;"!d41"),-1))</f>
        <v>7486220</v>
      </c>
      <c r="I6" s="228">
        <f ca="1">IF(YEAR('2026'!$B$1)&lt;$C6,"",ROUND(INDIRECT($C6&amp;"!e41"),-1))</f>
        <v>2794480</v>
      </c>
      <c r="J6" s="228">
        <f ca="1">IF(YEAR('2026'!$B$1)&lt;$C6,"",ROUND(INDIRECT($C6&amp;"!f41"),-1))</f>
        <v>2765860</v>
      </c>
      <c r="K6" s="228">
        <f ca="1">IF(YEAR('2026'!$B$1)&lt;$C6,"",ROUND(INDIRECT($C6&amp;"!g41"),-1))</f>
        <v>2762530</v>
      </c>
      <c r="L6" s="228">
        <f ca="1">IF(YEAR('2026'!$B$1)&lt;$C6,"",ROUND(INDIRECT($C6&amp;"!h41"),-1))</f>
        <v>3706710</v>
      </c>
      <c r="M6" s="228">
        <f ca="1">IF(YEAR('2026'!$B$1)&lt;$C6,"",ROUND(INDIRECT($C6&amp;"!i41"),-1))</f>
        <v>2755850</v>
      </c>
      <c r="N6" s="228">
        <f ca="1">IF(YEAR('2026'!$B$1)&lt;$C6,"",ROUND(INDIRECT($C6&amp;"!j41"),-1))</f>
        <v>2711180</v>
      </c>
      <c r="O6" s="228">
        <f ca="1">IF(YEAR('2026'!$B$1)&lt;$C6,"",ROUND(INDIRECT($C6&amp;"!k41"),-1))</f>
        <v>4644210</v>
      </c>
      <c r="P6" s="228">
        <f ca="1">IF(YEAR('2026'!$B$1)&lt;$C6,"",ROUND(INDIRECT($C6&amp;"!l41"),-1))</f>
        <v>2745840</v>
      </c>
      <c r="Q6" s="228">
        <f ca="1">IF(YEAR('2026'!$B$1)&lt;$C6,"",ROUND(INDIRECT($C6&amp;"!m41"),-1))</f>
        <v>2880290</v>
      </c>
      <c r="R6" s="227">
        <f ca="1">IF(YEAR('2026'!$B$1)&lt;$C6,"",SUM(F6:Q6))</f>
        <v>43140810</v>
      </c>
    </row>
    <row r="7" spans="1:18" ht="9.75" customHeight="1">
      <c r="A7" s="230">
        <v>5</v>
      </c>
      <c r="B7" s="357">
        <f ca="1">'퇴직때까지의 총연봉액'!B7</f>
        <v>7</v>
      </c>
      <c r="C7" s="221">
        <f ca="1">'퇴직때까지의 총연봉액'!D7</f>
        <v>2029</v>
      </c>
      <c r="D7" s="385">
        <f ca="1">'퇴직때까지의 총연봉액'!C7</f>
        <v>32</v>
      </c>
      <c r="E7" s="222">
        <f ca="1">'퇴직때까지의 총연봉액'!E7</f>
        <v>17</v>
      </c>
      <c r="F7" s="228">
        <f ca="1">IF(YEAR('2026'!$B$1)&lt;$C7,"",ROUND(INDIRECT($C7&amp;"!b41"),-1))</f>
        <v>3758510</v>
      </c>
      <c r="G7" s="228">
        <f ca="1">IF(YEAR('2026'!$B$1)&lt;$C7,"",ROUND(INDIRECT($C7&amp;"!c41"),-1))</f>
        <v>4725960</v>
      </c>
      <c r="H7" s="228">
        <f ca="1">IF(YEAR('2026'!$B$1)&lt;$C7,"",ROUND(INDIRECT($C7&amp;"!d41"),-1))</f>
        <v>7736380</v>
      </c>
      <c r="I7" s="228">
        <f ca="1">IF(YEAR('2026'!$B$1)&lt;$C7,"",ROUND(INDIRECT($C7&amp;"!e41"),-1))</f>
        <v>2912190</v>
      </c>
      <c r="J7" s="228">
        <f ca="1">IF(YEAR('2026'!$B$1)&lt;$C7,"",ROUND(INDIRECT($C7&amp;"!f41"),-1))</f>
        <v>2882840</v>
      </c>
      <c r="K7" s="228">
        <f ca="1">IF(YEAR('2026'!$B$1)&lt;$C7,"",ROUND(INDIRECT($C7&amp;"!g41"),-1))</f>
        <v>2879080</v>
      </c>
      <c r="L7" s="228">
        <f ca="1">IF(YEAR('2026'!$B$1)&lt;$C7,"",ROUND(INDIRECT($C7&amp;"!h41"),-1))</f>
        <v>4051660</v>
      </c>
      <c r="M7" s="228">
        <f ca="1">IF(YEAR('2026'!$B$1)&lt;$C7,"",ROUND(INDIRECT($C7&amp;"!i41"),-1))</f>
        <v>2871530</v>
      </c>
      <c r="N7" s="228">
        <f ca="1">IF(YEAR('2026'!$B$1)&lt;$C7,"",ROUND(INDIRECT($C7&amp;"!j41"),-1))</f>
        <v>4842000</v>
      </c>
      <c r="O7" s="228">
        <f ca="1">IF(YEAR('2026'!$B$1)&lt;$C7,"",ROUND(INDIRECT($C7&amp;"!k41"),-1))</f>
        <v>2864000</v>
      </c>
      <c r="P7" s="228">
        <f ca="1">IF(YEAR('2026'!$B$1)&lt;$C7,"",ROUND(INDIRECT($C7&amp;"!l41"),-1))</f>
        <v>2860220</v>
      </c>
      <c r="Q7" s="228">
        <f ca="1">IF(YEAR('2026'!$B$1)&lt;$C7,"",ROUND(INDIRECT($C7&amp;"!m41"),-1))</f>
        <v>2997690</v>
      </c>
      <c r="R7" s="227">
        <f ca="1">IF(YEAR('2026'!$B$1)&lt;$C7,"",SUM(F7:Q7))</f>
        <v>45382060</v>
      </c>
    </row>
    <row r="8" spans="1:18" ht="9.75" customHeight="1">
      <c r="A8" s="230">
        <v>6</v>
      </c>
      <c r="B8" s="357">
        <f ca="1">'퇴직때까지의 총연봉액'!B8</f>
        <v>8</v>
      </c>
      <c r="C8" s="221">
        <f ca="1">'퇴직때까지의 총연봉액'!D8</f>
        <v>2030</v>
      </c>
      <c r="D8" s="385">
        <f ca="1">'퇴직때까지의 총연봉액'!C8</f>
        <v>33</v>
      </c>
      <c r="E8" s="222">
        <f ca="1">'퇴직때까지의 총연봉액'!E8</f>
        <v>18</v>
      </c>
      <c r="F8" s="228">
        <f ca="1">IF(YEAR('2026'!$B$1)&lt;$C8,"",ROUND(INDIRECT($C8&amp;"!b41"),-1))</f>
        <v>4126260</v>
      </c>
      <c r="G8" s="228">
        <f ca="1">IF(YEAR('2026'!$B$1)&lt;$C8,"",ROUND(INDIRECT($C8&amp;"!c41"),-1))</f>
        <v>4983310</v>
      </c>
      <c r="H8" s="228">
        <f ca="1">IF(YEAR('2026'!$B$1)&lt;$C8,"",ROUND(INDIRECT($C8&amp;"!d41"),-1))</f>
        <v>7998920</v>
      </c>
      <c r="I8" s="228">
        <f ca="1">IF(YEAR('2026'!$B$1)&lt;$C8,"",ROUND(INDIRECT($C8&amp;"!e41"),-1))</f>
        <v>3047700</v>
      </c>
      <c r="J8" s="228">
        <f ca="1">IF(YEAR('2026'!$B$1)&lt;$C8,"",ROUND(INDIRECT($C8&amp;"!f41"),-1))</f>
        <v>3016510</v>
      </c>
      <c r="K8" s="228">
        <f ca="1">IF(YEAR('2026'!$B$1)&lt;$C8,"",ROUND(INDIRECT($C8&amp;"!g41"),-1))</f>
        <v>3012310</v>
      </c>
      <c r="L8" s="228">
        <f ca="1">IF(YEAR('2026'!$B$1)&lt;$C8,"",ROUND(INDIRECT($C8&amp;"!h41"),-1))</f>
        <v>4439320</v>
      </c>
      <c r="M8" s="228">
        <f ca="1">IF(YEAR('2026'!$B$1)&lt;$C8,"",ROUND(INDIRECT($C8&amp;"!i41"),-1))</f>
        <v>3003920</v>
      </c>
      <c r="N8" s="228">
        <f ca="1">IF(YEAR('2026'!$B$1)&lt;$C8,"",ROUND(INDIRECT($C8&amp;"!j41"),-1))</f>
        <v>5103080</v>
      </c>
      <c r="O8" s="228">
        <f ca="1">IF(YEAR('2026'!$B$1)&lt;$C8,"",ROUND(INDIRECT($C8&amp;"!k41"),-1))</f>
        <v>2995510</v>
      </c>
      <c r="P8" s="228">
        <f ca="1">IF(YEAR('2026'!$B$1)&lt;$C8,"",ROUND(INDIRECT($C8&amp;"!l41"),-1))</f>
        <v>2991310</v>
      </c>
      <c r="Q8" s="228">
        <f ca="1">IF(YEAR('2026'!$B$1)&lt;$C8,"",ROUND(INDIRECT($C8&amp;"!m41"),-1))</f>
        <v>3131880</v>
      </c>
      <c r="R8" s="227">
        <f ca="1">IF(YEAR('2026'!$B$1)&lt;$C8,"",SUM(F8:Q8))</f>
        <v>47850030</v>
      </c>
    </row>
    <row r="9" spans="1:18" ht="9.75" customHeight="1">
      <c r="A9" s="230">
        <v>7</v>
      </c>
      <c r="B9" s="357">
        <f ca="1">'퇴직때까지의 총연봉액'!B9</f>
        <v>9</v>
      </c>
      <c r="C9" s="221">
        <f ca="1">'퇴직때까지의 총연봉액'!D9</f>
        <v>2031</v>
      </c>
      <c r="D9" s="385">
        <f ca="1">'퇴직때까지의 총연봉액'!C9</f>
        <v>34</v>
      </c>
      <c r="E9" s="222">
        <f ca="1">'퇴직때까지의 총연봉액'!E9</f>
        <v>19</v>
      </c>
      <c r="F9" s="228">
        <f ca="1">IF(YEAR('2026'!$B$1)&lt;$C9,"",ROUND(INDIRECT($C9&amp;"!b41"),-1))</f>
        <v>6733580</v>
      </c>
      <c r="G9" s="228">
        <f ca="1">IF(YEAR('2026'!$B$1)&lt;$C9,"",ROUND(INDIRECT($C9&amp;"!c41"),-1))</f>
        <v>3061390</v>
      </c>
      <c r="H9" s="228">
        <f ca="1">IF(YEAR('2026'!$B$1)&lt;$C9,"",ROUND(INDIRECT($C9&amp;"!d41"),-1))</f>
        <v>8269720</v>
      </c>
      <c r="I9" s="228">
        <f ca="1">IF(YEAR('2026'!$B$1)&lt;$C9,"",ROUND(INDIRECT($C9&amp;"!e41"),-1))</f>
        <v>3177430</v>
      </c>
      <c r="J9" s="228">
        <f ca="1">IF(YEAR('2026'!$B$1)&lt;$C9,"",ROUND(INDIRECT($C9&amp;"!f41"),-1))</f>
        <v>3144960</v>
      </c>
      <c r="K9" s="228">
        <f ca="1">IF(YEAR('2026'!$B$1)&lt;$C9,"",ROUND(INDIRECT($C9&amp;"!g41"),-1))</f>
        <v>3140260</v>
      </c>
      <c r="L9" s="228">
        <f ca="1">IF(YEAR('2026'!$B$1)&lt;$C9,"",ROUND(INDIRECT($C9&amp;"!h41"),-1))</f>
        <v>4846870</v>
      </c>
      <c r="M9" s="228">
        <f ca="1">IF(YEAR('2026'!$B$1)&lt;$C9,"",ROUND(INDIRECT($C9&amp;"!i41"),-1))</f>
        <v>3130870</v>
      </c>
      <c r="N9" s="228">
        <f ca="1">IF(YEAR('2026'!$B$1)&lt;$C9,"",ROUND(INDIRECT($C9&amp;"!j41"),-1))</f>
        <v>3081650</v>
      </c>
      <c r="O9" s="228">
        <f ca="1">IF(YEAR('2026'!$B$1)&lt;$C9,"",ROUND(INDIRECT($C9&amp;"!k41"),-1))</f>
        <v>5403230</v>
      </c>
      <c r="P9" s="228">
        <f ca="1">IF(YEAR('2026'!$B$1)&lt;$C9,"",ROUND(INDIRECT($C9&amp;"!l41"),-1))</f>
        <v>3116790</v>
      </c>
      <c r="Q9" s="228">
        <f ca="1">IF(YEAR('2026'!$B$1)&lt;$C9,"",ROUND(INDIRECT($C9&amp;"!m41"),-1))</f>
        <v>3260480</v>
      </c>
      <c r="R9" s="227">
        <f ca="1">IF(YEAR('2026'!$B$1)&lt;$C9,"",SUM(F9:Q9))</f>
        <v>50367230</v>
      </c>
    </row>
    <row r="10" spans="1:18" ht="9.75" customHeight="1">
      <c r="A10" s="230">
        <v>8</v>
      </c>
      <c r="B10" s="357">
        <f ca="1">'퇴직때까지의 총연봉액'!B10</f>
        <v>10</v>
      </c>
      <c r="C10" s="221">
        <f ca="1">'퇴직때까지의 총연봉액'!D10</f>
        <v>2032</v>
      </c>
      <c r="D10" s="385">
        <f ca="1">'퇴직때까지의 총연봉액'!C10</f>
        <v>35</v>
      </c>
      <c r="E10" s="222">
        <f ca="1">'퇴직때까지의 총연봉액'!E10</f>
        <v>20</v>
      </c>
      <c r="F10" s="228">
        <f ca="1">IF(YEAR('2026'!$B$1)&lt;$C10,"",ROUND(INDIRECT($C10&amp;"!b41"),-1))</f>
        <v>4922550</v>
      </c>
      <c r="G10" s="228">
        <f ca="1">IF(YEAR('2026'!$B$1)&lt;$C10,"",ROUND(INDIRECT($C10&amp;"!c41"),-1))</f>
        <v>5501490</v>
      </c>
      <c r="H10" s="228">
        <f ca="1">IF(YEAR('2026'!$B$1)&lt;$C10,"",ROUND(INDIRECT($C10&amp;"!d41"),-1))</f>
        <v>8515990</v>
      </c>
      <c r="I10" s="228">
        <f ca="1">IF(YEAR('2026'!$B$1)&lt;$C10,"",ROUND(INDIRECT($C10&amp;"!e41"),-1))</f>
        <v>3276770</v>
      </c>
      <c r="J10" s="228">
        <f ca="1">IF(YEAR('2026'!$B$1)&lt;$C10,"",ROUND(INDIRECT($C10&amp;"!f41"),-1))</f>
        <v>3241440</v>
      </c>
      <c r="K10" s="228">
        <f ca="1">IF(YEAR('2026'!$B$1)&lt;$C10,"",ROUND(INDIRECT($C10&amp;"!g41"),-1))</f>
        <v>3235670</v>
      </c>
      <c r="L10" s="228">
        <f ca="1">IF(YEAR('2026'!$B$1)&lt;$C10,"",ROUND(INDIRECT($C10&amp;"!h41"),-1))</f>
        <v>5248340</v>
      </c>
      <c r="M10" s="228">
        <f ca="1">IF(YEAR('2026'!$B$1)&lt;$C10,"",ROUND(INDIRECT($C10&amp;"!i41"),-1))</f>
        <v>3224130</v>
      </c>
      <c r="N10" s="228">
        <f ca="1">IF(YEAR('2026'!$B$1)&lt;$C10,"",ROUND(INDIRECT($C10&amp;"!j41"),-1))</f>
        <v>5589810</v>
      </c>
      <c r="O10" s="228">
        <f ca="1">IF(YEAR('2026'!$B$1)&lt;$C10,"",ROUND(INDIRECT($C10&amp;"!k41"),-1))</f>
        <v>3212580</v>
      </c>
      <c r="P10" s="228">
        <f ca="1">IF(YEAR('2026'!$B$1)&lt;$C10,"",ROUND(INDIRECT($C10&amp;"!l41"),-1))</f>
        <v>3206810</v>
      </c>
      <c r="Q10" s="228">
        <f ca="1">IF(YEAR('2026'!$B$1)&lt;$C10,"",ROUND(INDIRECT($C10&amp;"!m41"),-1))</f>
        <v>3369990</v>
      </c>
      <c r="R10" s="227">
        <f ca="1">IF(YEAR('2026'!$B$1)&lt;$C10,"",SUM(F10:Q10))</f>
        <v>52545570</v>
      </c>
    </row>
    <row r="11" spans="1:18" ht="9.75" customHeight="1">
      <c r="A11" s="230">
        <v>9</v>
      </c>
      <c r="B11" s="357">
        <f ca="1">'퇴직때까지의 총연봉액'!B11</f>
        <v>11</v>
      </c>
      <c r="C11" s="221">
        <f ca="1">'퇴직때까지의 총연봉액'!D11</f>
        <v>2033</v>
      </c>
      <c r="D11" s="385">
        <f ca="1">'퇴직때까지의 총연봉액'!C11</f>
        <v>36</v>
      </c>
      <c r="E11" s="222">
        <f ca="1">'퇴직때까지의 총연봉액'!E11</f>
        <v>21</v>
      </c>
      <c r="F11" s="228">
        <f ca="1">IF(YEAR('2026'!$B$1)&lt;$C11,"",ROUND(INDIRECT($C11&amp;"!b41"),-1))</f>
        <v>7859720</v>
      </c>
      <c r="G11" s="228">
        <f ca="1">IF(YEAR('2026'!$B$1)&lt;$C11,"",ROUND(INDIRECT($C11&amp;"!c41"),-1))</f>
        <v>3301560</v>
      </c>
      <c r="H11" s="228">
        <f ca="1">IF(YEAR('2026'!$B$1)&lt;$C11,"",ROUND(INDIRECT($C11&amp;"!d41"),-1))</f>
        <v>8777690</v>
      </c>
      <c r="I11" s="228">
        <f ca="1">IF(YEAR('2026'!$B$1)&lt;$C11,"",ROUND(INDIRECT($C11&amp;"!e41"),-1))</f>
        <v>3393370</v>
      </c>
      <c r="J11" s="228">
        <f ca="1">IF(YEAR('2026'!$B$1)&lt;$C11,"",ROUND(INDIRECT($C11&amp;"!f41"),-1))</f>
        <v>3357810</v>
      </c>
      <c r="K11" s="228">
        <f ca="1">IF(YEAR('2026'!$B$1)&lt;$C11,"",ROUND(INDIRECT($C11&amp;"!g41"),-1))</f>
        <v>3351240</v>
      </c>
      <c r="L11" s="228">
        <f ca="1">IF(YEAR('2026'!$B$1)&lt;$C11,"",ROUND(INDIRECT($C11&amp;"!h41"),-1))</f>
        <v>5484720</v>
      </c>
      <c r="M11" s="228">
        <f ca="1">IF(YEAR('2026'!$B$1)&lt;$C11,"",ROUND(INDIRECT($C11&amp;"!i41"),-1))</f>
        <v>3338100</v>
      </c>
      <c r="N11" s="228">
        <f ca="1">IF(YEAR('2026'!$B$1)&lt;$C11,"",ROUND(INDIRECT($C11&amp;"!j41"),-1))</f>
        <v>5847630</v>
      </c>
      <c r="O11" s="228">
        <f ca="1">IF(YEAR('2026'!$B$1)&lt;$C11,"",ROUND(INDIRECT($C11&amp;"!k41"),-1))</f>
        <v>3324960</v>
      </c>
      <c r="P11" s="228">
        <f ca="1">IF(YEAR('2026'!$B$1)&lt;$C11,"",ROUND(INDIRECT($C11&amp;"!l41"),-1))</f>
        <v>3318390</v>
      </c>
      <c r="Q11" s="228">
        <f ca="1">IF(YEAR('2026'!$B$1)&lt;$C11,"",ROUND(INDIRECT($C11&amp;"!m41"),-1))</f>
        <v>3485000</v>
      </c>
      <c r="R11" s="227">
        <f ca="1">IF(YEAR('2026'!$B$1)&lt;$C11,"",SUM(F11:Q11))</f>
        <v>54840190</v>
      </c>
    </row>
    <row r="12" spans="1:18" ht="9.75" customHeight="1">
      <c r="A12" s="230">
        <v>10</v>
      </c>
      <c r="B12" s="357">
        <f ca="1">'퇴직때까지의 총연봉액'!B12</f>
        <v>12</v>
      </c>
      <c r="C12" s="221">
        <f ca="1">'퇴직때까지의 총연봉액'!D12</f>
        <v>2034</v>
      </c>
      <c r="D12" s="385">
        <f ca="1">'퇴직때까지의 총연봉액'!C12</f>
        <v>37</v>
      </c>
      <c r="E12" s="222">
        <f ca="1">'퇴직때까지의 총연봉액'!E12</f>
        <v>22</v>
      </c>
      <c r="F12" s="228">
        <f ca="1">IF(YEAR('2026'!$B$1)&lt;$C12,"",ROUND(INDIRECT($C12&amp;"!b41"),-1))</f>
        <v>5533620</v>
      </c>
      <c r="G12" s="228">
        <f ca="1">IF(YEAR('2026'!$B$1)&lt;$C12,"",ROUND(INDIRECT($C12&amp;"!c41"),-1))</f>
        <v>5963490</v>
      </c>
      <c r="H12" s="228">
        <f ca="1">IF(YEAR('2026'!$B$1)&lt;$C12,"",ROUND(INDIRECT($C12&amp;"!d41"),-1))</f>
        <v>8958220</v>
      </c>
      <c r="I12" s="228">
        <f ca="1">IF(YEAR('2026'!$B$1)&lt;$C12,"",ROUND(INDIRECT($C12&amp;"!e41"),-1))</f>
        <v>3367050</v>
      </c>
      <c r="J12" s="228">
        <f ca="1">IF(YEAR('2026'!$B$1)&lt;$C12,"",ROUND(INDIRECT($C12&amp;"!f41"),-1))</f>
        <v>3327790</v>
      </c>
      <c r="K12" s="228">
        <f ca="1">IF(YEAR('2026'!$B$1)&lt;$C12,"",ROUND(INDIRECT($C12&amp;"!g41"),-1))</f>
        <v>3318960</v>
      </c>
      <c r="L12" s="228">
        <f ca="1">IF(YEAR('2026'!$B$1)&lt;$C12,"",ROUND(INDIRECT($C12&amp;"!h41"),-1))</f>
        <v>5584610</v>
      </c>
      <c r="M12" s="228">
        <f ca="1">IF(YEAR('2026'!$B$1)&lt;$C12,"",ROUND(INDIRECT($C12&amp;"!i41"),-1))</f>
        <v>3301270</v>
      </c>
      <c r="N12" s="228">
        <f ca="1">IF(YEAR('2026'!$B$1)&lt;$C12,"",ROUND(INDIRECT($C12&amp;"!j41"),-1))</f>
        <v>5968570</v>
      </c>
      <c r="O12" s="228">
        <f ca="1">IF(YEAR('2026'!$B$1)&lt;$C12,"",ROUND(INDIRECT($C12&amp;"!k41"),-1))</f>
        <v>3283580</v>
      </c>
      <c r="P12" s="228">
        <f ca="1">IF(YEAR('2026'!$B$1)&lt;$C12,"",ROUND(INDIRECT($C12&amp;"!l41"),-1))</f>
        <v>3274750</v>
      </c>
      <c r="Q12" s="228">
        <f ca="1">IF(YEAR('2026'!$B$1)&lt;$C12,"",ROUND(INDIRECT($C12&amp;"!m41"),-1))</f>
        <v>3443400</v>
      </c>
      <c r="R12" s="227">
        <f ca="1">IF(YEAR('2026'!$B$1)&lt;$C12,"",SUM(F12:Q12))</f>
        <v>55325310</v>
      </c>
    </row>
    <row r="13" spans="1:18" ht="9.75" customHeight="1">
      <c r="A13" s="230">
        <v>11</v>
      </c>
      <c r="B13" s="357">
        <f ca="1">'퇴직때까지의 총연봉액'!B13</f>
        <v>13</v>
      </c>
      <c r="C13" s="221">
        <f ca="1">'퇴직때까지의 총연봉액'!D13</f>
        <v>2035</v>
      </c>
      <c r="D13" s="385">
        <f ca="1">'퇴직때까지의 총연봉액'!C13</f>
        <v>38</v>
      </c>
      <c r="E13" s="222">
        <f ca="1">'퇴직때까지의 총연봉액'!E13</f>
        <v>23</v>
      </c>
      <c r="F13" s="228">
        <f ca="1">IF(YEAR('2026'!$B$1)&lt;$C13,"",ROUND(INDIRECT($C13&amp;"!b41"),-1))</f>
        <v>5944100</v>
      </c>
      <c r="G13" s="228">
        <f ca="1">IF(YEAR('2026'!$B$1)&lt;$C13,"",ROUND(INDIRECT($C13&amp;"!c41"),-1))</f>
        <v>6402150</v>
      </c>
      <c r="H13" s="228">
        <f ca="1">IF(YEAR('2026'!$B$1)&lt;$C13,"",ROUND(INDIRECT($C13&amp;"!d41"),-1))</f>
        <v>9371550</v>
      </c>
      <c r="I13" s="228">
        <f ca="1">IF(YEAR('2026'!$B$1)&lt;$C13,"",ROUND(INDIRECT($C13&amp;"!e41"),-1))</f>
        <v>3673130</v>
      </c>
      <c r="J13" s="228">
        <f ca="1">IF(YEAR('2026'!$B$1)&lt;$C13,"",ROUND(INDIRECT($C13&amp;"!f41"),-1))</f>
        <v>3633530</v>
      </c>
      <c r="K13" s="228">
        <f ca="1">IF(YEAR('2026'!$B$1)&lt;$C13,"",ROUND(INDIRECT($C13&amp;"!g41"),-1))</f>
        <v>3625310</v>
      </c>
      <c r="L13" s="228">
        <f ca="1">IF(YEAR('2026'!$B$1)&lt;$C13,"",ROUND(INDIRECT($C13&amp;"!h41"),-1))</f>
        <v>6030700</v>
      </c>
      <c r="M13" s="228">
        <f ca="1">IF(YEAR('2026'!$B$1)&lt;$C13,"",ROUND(INDIRECT($C13&amp;"!i41"),-1))</f>
        <v>3608880</v>
      </c>
      <c r="N13" s="228">
        <f ca="1">IF(YEAR('2026'!$B$1)&lt;$C13,"",ROUND(INDIRECT($C13&amp;"!j41"),-1))</f>
        <v>6442400</v>
      </c>
      <c r="O13" s="228">
        <f ca="1">IF(YEAR('2026'!$B$1)&lt;$C13,"",ROUND(INDIRECT($C13&amp;"!k41"),-1))</f>
        <v>3592450</v>
      </c>
      <c r="P13" s="228">
        <f ca="1">IF(YEAR('2026'!$B$1)&lt;$C13,"",ROUND(INDIRECT($C13&amp;"!l41"),-1))</f>
        <v>3584230</v>
      </c>
      <c r="Q13" s="228">
        <f ca="1">IF(YEAR('2026'!$B$1)&lt;$C13,"",ROUND(INDIRECT($C13&amp;"!m41"),-1))</f>
        <v>3757950</v>
      </c>
      <c r="R13" s="227">
        <f ca="1">IF(YEAR('2026'!$B$1)&lt;$C13,"",SUM(F13:Q13))</f>
        <v>59666380</v>
      </c>
    </row>
    <row r="14" spans="1:18" ht="9.75" customHeight="1">
      <c r="A14" s="230">
        <v>12</v>
      </c>
      <c r="B14" s="357">
        <f ca="1">'퇴직때까지의 총연봉액'!B14</f>
        <v>14</v>
      </c>
      <c r="C14" s="221">
        <f ca="1">'퇴직때까지의 총연봉액'!D14</f>
        <v>2036</v>
      </c>
      <c r="D14" s="385">
        <f ca="1">'퇴직때까지의 총연봉액'!C14</f>
        <v>39</v>
      </c>
      <c r="E14" s="222">
        <f ca="1">'퇴직때까지의 총연봉액'!E14</f>
        <v>24</v>
      </c>
      <c r="F14" s="228">
        <f ca="1">IF(YEAR('2026'!$B$1)&lt;$C14,"",ROUND(INDIRECT($C14&amp;"!b41"),-1))</f>
        <v>9225170</v>
      </c>
      <c r="G14" s="228">
        <f ca="1">IF(YEAR('2026'!$B$1)&lt;$C14,"",ROUND(INDIRECT($C14&amp;"!c41"),-1))</f>
        <v>3773370</v>
      </c>
      <c r="H14" s="228">
        <f ca="1">IF(YEAR('2026'!$B$1)&lt;$C14,"",ROUND(INDIRECT($C14&amp;"!d41"),-1))</f>
        <v>9684440</v>
      </c>
      <c r="I14" s="228">
        <f ca="1">IF(YEAR('2026'!$B$1)&lt;$C14,"",ROUND(INDIRECT($C14&amp;"!e41"),-1))</f>
        <v>3821700</v>
      </c>
      <c r="J14" s="228">
        <f ca="1">IF(YEAR('2026'!$B$1)&lt;$C14,"",ROUND(INDIRECT($C14&amp;"!f41"),-1))</f>
        <v>3779580</v>
      </c>
      <c r="K14" s="228">
        <f ca="1">IF(YEAR('2026'!$B$1)&lt;$C14,"",ROUND(INDIRECT($C14&amp;"!g41"),-1))</f>
        <v>3770460</v>
      </c>
      <c r="L14" s="228">
        <f ca="1">IF(YEAR('2026'!$B$1)&lt;$C14,"",ROUND(INDIRECT($C14&amp;"!h41"),-1))</f>
        <v>6319900</v>
      </c>
      <c r="M14" s="228">
        <f ca="1">IF(YEAR('2026'!$B$1)&lt;$C14,"",ROUND(INDIRECT($C14&amp;"!i41"),-1))</f>
        <v>3752230</v>
      </c>
      <c r="N14" s="228">
        <f ca="1">IF(YEAR('2026'!$B$1)&lt;$C14,"",ROUND(INDIRECT($C14&amp;"!j41"),-1))</f>
        <v>3687160</v>
      </c>
      <c r="O14" s="228">
        <f ca="1">IF(YEAR('2026'!$B$1)&lt;$C14,"",ROUND(INDIRECT($C14&amp;"!k41"),-1))</f>
        <v>6804270</v>
      </c>
      <c r="P14" s="228">
        <f ca="1">IF(YEAR('2026'!$B$1)&lt;$C14,"",ROUND(INDIRECT($C14&amp;"!l41"),-1))</f>
        <v>3724890</v>
      </c>
      <c r="Q14" s="228">
        <f ca="1">IF(YEAR('2026'!$B$1)&lt;$C14,"",ROUND(INDIRECT($C14&amp;"!m41"),-1))</f>
        <v>3902270</v>
      </c>
      <c r="R14" s="227">
        <f ca="1">IF(YEAR('2026'!$B$1)&lt;$C14,"",SUM(F14:Q14))</f>
        <v>62245440</v>
      </c>
    </row>
    <row r="15" spans="1:18" ht="9.75" customHeight="1">
      <c r="A15" s="230">
        <v>13</v>
      </c>
      <c r="B15" s="357">
        <f ca="1">'퇴직때까지의 총연봉액'!B15</f>
        <v>15</v>
      </c>
      <c r="C15" s="221">
        <f ca="1">'퇴직때까지의 총연봉액'!D15</f>
        <v>2037</v>
      </c>
      <c r="D15" s="385">
        <f ca="1">'퇴직때까지의 총연봉액'!C15</f>
        <v>40</v>
      </c>
      <c r="E15" s="222">
        <f ca="1">'퇴직때까지의 총연봉액'!E15</f>
        <v>25</v>
      </c>
      <c r="F15" s="228">
        <f ca="1">IF(YEAR('2026'!$B$1)&lt;$C15,"",ROUND(INDIRECT($C15&amp;"!b41"),-1))</f>
        <v>6580360</v>
      </c>
      <c r="G15" s="228">
        <f ca="1">IF(YEAR('2026'!$B$1)&lt;$C15,"",ROUND(INDIRECT($C15&amp;"!c41"),-1))</f>
        <v>7094810</v>
      </c>
      <c r="H15" s="228">
        <f ca="1">IF(YEAR('2026'!$B$1)&lt;$C15,"",ROUND(INDIRECT($C15&amp;"!d41"),-1))</f>
        <v>10025760</v>
      </c>
      <c r="I15" s="228">
        <f ca="1">IF(YEAR('2026'!$B$1)&lt;$C15,"",ROUND(INDIRECT($C15&amp;"!e41"),-1))</f>
        <v>3992850</v>
      </c>
      <c r="J15" s="228">
        <f ca="1">IF(YEAR('2026'!$B$1)&lt;$C15,"",ROUND(INDIRECT($C15&amp;"!f41"),-1))</f>
        <v>3946400</v>
      </c>
      <c r="K15" s="228">
        <f ca="1">IF(YEAR('2026'!$B$1)&lt;$C15,"",ROUND(INDIRECT($C15&amp;"!g41"),-1))</f>
        <v>3936340</v>
      </c>
      <c r="L15" s="228">
        <f ca="1">IF(YEAR('2026'!$B$1)&lt;$C15,"",ROUND(INDIRECT($C15&amp;"!h41"),-1))</f>
        <v>6635370</v>
      </c>
      <c r="M15" s="228">
        <f ca="1">IF(YEAR('2026'!$B$1)&lt;$C15,"",ROUND(INDIRECT($C15&amp;"!i41"),-1))</f>
        <v>3916210</v>
      </c>
      <c r="N15" s="228">
        <f ca="1">IF(YEAR('2026'!$B$1)&lt;$C15,"",ROUND(INDIRECT($C15&amp;"!j41"),-1))</f>
        <v>7099730</v>
      </c>
      <c r="O15" s="228">
        <f ca="1">IF(YEAR('2026'!$B$1)&lt;$C15,"",ROUND(INDIRECT($C15&amp;"!k41"),-1))</f>
        <v>3896090</v>
      </c>
      <c r="P15" s="228">
        <f ca="1">IF(YEAR('2026'!$B$1)&lt;$C15,"",ROUND(INDIRECT($C15&amp;"!l41"),-1))</f>
        <v>3886020</v>
      </c>
      <c r="Q15" s="228">
        <f ca="1">IF(YEAR('2026'!$B$1)&lt;$C15,"",ROUND(INDIRECT($C15&amp;"!m41"),-1))</f>
        <v>4067110</v>
      </c>
      <c r="R15" s="227">
        <f ca="1">IF(YEAR('2026'!$B$1)&lt;$C15,"",SUM(F15:Q15))</f>
        <v>65077050</v>
      </c>
    </row>
    <row r="16" spans="1:18" ht="9.75" customHeight="1">
      <c r="A16" s="230">
        <v>14</v>
      </c>
      <c r="B16" s="357">
        <f ca="1">'퇴직때까지의 총연봉액'!B16</f>
        <v>16</v>
      </c>
      <c r="C16" s="221">
        <f ca="1">'퇴직때까지의 총연봉액'!D16</f>
        <v>2038</v>
      </c>
      <c r="D16" s="385">
        <f ca="1">'퇴직때까지의 총연봉액'!C16</f>
        <v>41</v>
      </c>
      <c r="E16" s="222">
        <f ca="1">'퇴직때까지의 총연봉액'!E16</f>
        <v>26</v>
      </c>
      <c r="F16" s="228">
        <f ca="1">IF(YEAR('2026'!$B$1)&lt;$C16,"",ROUND(INDIRECT($C16&amp;"!b41"),-1))</f>
        <v>6932880</v>
      </c>
      <c r="G16" s="228">
        <f ca="1">IF(YEAR('2026'!$B$1)&lt;$C16,"",ROUND(INDIRECT($C16&amp;"!c41"),-1))</f>
        <v>7477190</v>
      </c>
      <c r="H16" s="228">
        <f ca="1">IF(YEAR('2026'!$B$1)&lt;$C16,"",ROUND(INDIRECT($C16&amp;"!d41"),-1))</f>
        <v>10354010</v>
      </c>
      <c r="I16" s="228">
        <f ca="1">IF(YEAR('2026'!$B$1)&lt;$C16,"",ROUND(INDIRECT($C16&amp;"!e41"),-1))</f>
        <v>4147630</v>
      </c>
      <c r="J16" s="228">
        <f ca="1">IF(YEAR('2026'!$B$1)&lt;$C16,"",ROUND(INDIRECT($C16&amp;"!f41"),-1))</f>
        <v>4100330</v>
      </c>
      <c r="K16" s="228">
        <f ca="1">IF(YEAR('2026'!$B$1)&lt;$C16,"",ROUND(INDIRECT($C16&amp;"!g41"),-1))</f>
        <v>4089270</v>
      </c>
      <c r="L16" s="228">
        <f ca="1">IF(YEAR('2026'!$B$1)&lt;$C16,"",ROUND(INDIRECT($C16&amp;"!h41"),-1))</f>
        <v>6944010</v>
      </c>
      <c r="M16" s="228">
        <f ca="1">IF(YEAR('2026'!$B$1)&lt;$C16,"",ROUND(INDIRECT($C16&amp;"!i41"),-1))</f>
        <v>4067140</v>
      </c>
      <c r="N16" s="228">
        <f ca="1">IF(YEAR('2026'!$B$1)&lt;$C16,"",ROUND(INDIRECT($C16&amp;"!j41"),-1))</f>
        <v>7436270</v>
      </c>
      <c r="O16" s="228">
        <f ca="1">IF(YEAR('2026'!$B$1)&lt;$C16,"",ROUND(INDIRECT($C16&amp;"!k41"),-1))</f>
        <v>4045020</v>
      </c>
      <c r="P16" s="228">
        <f ca="1">IF(YEAR('2026'!$B$1)&lt;$C16,"",ROUND(INDIRECT($C16&amp;"!l41"),-1))</f>
        <v>4033970</v>
      </c>
      <c r="Q16" s="228">
        <f ca="1">IF(YEAR('2026'!$B$1)&lt;$C16,"",ROUND(INDIRECT($C16&amp;"!m41"),-1))</f>
        <v>4218830</v>
      </c>
      <c r="R16" s="227">
        <f ca="1">IF(YEAR('2026'!$B$1)&lt;$C16,"",SUM(F16:Q16))</f>
        <v>67846550</v>
      </c>
    </row>
    <row r="17" spans="1:18" ht="9.75" customHeight="1">
      <c r="A17" s="230">
        <v>15</v>
      </c>
      <c r="B17" s="357">
        <f ca="1">'퇴직때까지의 총연봉액'!B17</f>
        <v>17</v>
      </c>
      <c r="C17" s="221">
        <f ca="1">'퇴직때까지의 총연봉액'!D17</f>
        <v>2039</v>
      </c>
      <c r="D17" s="385">
        <f ca="1">'퇴직때까지의 총연봉액'!C17</f>
        <v>42</v>
      </c>
      <c r="E17" s="222">
        <f ca="1">'퇴직때까지의 총연봉액'!E17</f>
        <v>27</v>
      </c>
      <c r="F17" s="228">
        <f ca="1">IF(YEAR('2026'!$B$1)&lt;$C17,"",ROUND(INDIRECT($C17&amp;"!b41"),-1))</f>
        <v>10808960</v>
      </c>
      <c r="G17" s="228">
        <f ca="1">IF(YEAR('2026'!$B$1)&lt;$C17,"",ROUND(INDIRECT($C17&amp;"!c41"),-1))</f>
        <v>4334500</v>
      </c>
      <c r="H17" s="228">
        <f ca="1">IF(YEAR('2026'!$B$1)&lt;$C17,"",ROUND(INDIRECT($C17&amp;"!d41"),-1))</f>
        <v>10706510</v>
      </c>
      <c r="I17" s="228">
        <f ca="1">IF(YEAR('2026'!$B$1)&lt;$C17,"",ROUND(INDIRECT($C17&amp;"!e41"),-1))</f>
        <v>4322360</v>
      </c>
      <c r="J17" s="228">
        <f ca="1">IF(YEAR('2026'!$B$1)&lt;$C17,"",ROUND(INDIRECT($C17&amp;"!f41"),-1))</f>
        <v>4272920</v>
      </c>
      <c r="K17" s="228">
        <f ca="1">IF(YEAR('2026'!$B$1)&lt;$C17,"",ROUND(INDIRECT($C17&amp;"!g41"),-1))</f>
        <v>4260860</v>
      </c>
      <c r="L17" s="228">
        <f ca="1">IF(YEAR('2026'!$B$1)&lt;$C17,"",ROUND(INDIRECT($C17&amp;"!h41"),-1))</f>
        <v>7281640</v>
      </c>
      <c r="M17" s="228">
        <f ca="1">IF(YEAR('2026'!$B$1)&lt;$C17,"",ROUND(INDIRECT($C17&amp;"!i41"),-1))</f>
        <v>4236740</v>
      </c>
      <c r="N17" s="228">
        <f ca="1">IF(YEAR('2026'!$B$1)&lt;$C17,"",ROUND(INDIRECT($C17&amp;"!j41"),-1))</f>
        <v>4164420</v>
      </c>
      <c r="O17" s="228">
        <f ca="1">IF(YEAR('2026'!$B$1)&lt;$C17,"",ROUND(INDIRECT($C17&amp;"!k41"),-1))</f>
        <v>7852020</v>
      </c>
      <c r="P17" s="228">
        <f ca="1">IF(YEAR('2026'!$B$1)&lt;$C17,"",ROUND(INDIRECT($C17&amp;"!l41"),-1))</f>
        <v>4200550</v>
      </c>
      <c r="Q17" s="228">
        <f ca="1">IF(YEAR('2026'!$B$1)&lt;$C17,"",ROUND(INDIRECT($C17&amp;"!m41"),-1))</f>
        <v>4389310</v>
      </c>
      <c r="R17" s="227">
        <f ca="1">IF(YEAR('2026'!$B$1)&lt;$C17,"",SUM(F17:Q17))</f>
        <v>70830790</v>
      </c>
    </row>
    <row r="18" spans="1:18" ht="9.75" customHeight="1">
      <c r="A18" s="230">
        <v>16</v>
      </c>
      <c r="B18" s="357">
        <f ca="1">'퇴직때까지의 총연봉액'!B18</f>
        <v>18</v>
      </c>
      <c r="C18" s="221">
        <f ca="1">'퇴직때까지의 총연봉액'!D18</f>
        <v>2040</v>
      </c>
      <c r="D18" s="385">
        <f ca="1">'퇴직때까지의 총연봉액'!C18</f>
        <v>43</v>
      </c>
      <c r="E18" s="222">
        <f ca="1">'퇴직때까지의 총연봉액'!E18</f>
        <v>28</v>
      </c>
      <c r="F18" s="228">
        <f ca="1">IF(YEAR('2026'!$B$1)&lt;$C18,"",ROUND(INDIRECT($C18&amp;"!b41"),-1))</f>
        <v>7655260</v>
      </c>
      <c r="G18" s="228">
        <f ca="1">IF(YEAR('2026'!$B$1)&lt;$C18,"",ROUND(INDIRECT($C18&amp;"!c41"),-1))</f>
        <v>8263790</v>
      </c>
      <c r="H18" s="228">
        <f ca="1">IF(YEAR('2026'!$B$1)&lt;$C18,"",ROUND(INDIRECT($C18&amp;"!d41"),-1))</f>
        <v>11063330</v>
      </c>
      <c r="I18" s="228">
        <f ca="1">IF(YEAR('2026'!$B$1)&lt;$C18,"",ROUND(INDIRECT($C18&amp;"!e41"),-1))</f>
        <v>4493610</v>
      </c>
      <c r="J18" s="228">
        <f ca="1">IF(YEAR('2026'!$B$1)&lt;$C18,"",ROUND(INDIRECT($C18&amp;"!f41"),-1))</f>
        <v>4441700</v>
      </c>
      <c r="K18" s="228">
        <f ca="1">IF(YEAR('2026'!$B$1)&lt;$C18,"",ROUND(INDIRECT($C18&amp;"!g41"),-1))</f>
        <v>4428500</v>
      </c>
      <c r="L18" s="228">
        <f ca="1">IF(YEAR('2026'!$B$1)&lt;$C18,"",ROUND(INDIRECT($C18&amp;"!h41"),-1))</f>
        <v>7621460</v>
      </c>
      <c r="M18" s="228">
        <f ca="1">IF(YEAR('2026'!$B$1)&lt;$C18,"",ROUND(INDIRECT($C18&amp;"!i41"),-1))</f>
        <v>4402110</v>
      </c>
      <c r="N18" s="228">
        <f ca="1">IF(YEAR('2026'!$B$1)&lt;$C18,"",ROUND(INDIRECT($C18&amp;"!j41"),-1))</f>
        <v>8174550</v>
      </c>
      <c r="O18" s="228">
        <f ca="1">IF(YEAR('2026'!$B$1)&lt;$C18,"",ROUND(INDIRECT($C18&amp;"!k41"),-1))</f>
        <v>4375720</v>
      </c>
      <c r="P18" s="228">
        <f ca="1">IF(YEAR('2026'!$B$1)&lt;$C18,"",ROUND(INDIRECT($C18&amp;"!l41"),-1))</f>
        <v>4362520</v>
      </c>
      <c r="Q18" s="228">
        <f ca="1">IF(YEAR('2026'!$B$1)&lt;$C18,"",ROUND(INDIRECT($C18&amp;"!m41"),-1))</f>
        <v>4555180</v>
      </c>
      <c r="R18" s="227">
        <f ca="1">IF(YEAR('2026'!$B$1)&lt;$C18,"",SUM(F18:Q18))</f>
        <v>73837730</v>
      </c>
    </row>
    <row r="19" spans="1:18" ht="9.75" customHeight="1">
      <c r="A19" s="230">
        <v>17</v>
      </c>
      <c r="B19" s="357">
        <f ca="1">'퇴직때까지의 총연봉액'!B19</f>
        <v>19</v>
      </c>
      <c r="C19" s="221">
        <f ca="1">'퇴직때까지의 총연봉액'!D19</f>
        <v>2041</v>
      </c>
      <c r="D19" s="385">
        <f ca="1">'퇴직때까지의 총연봉액'!C19</f>
        <v>44</v>
      </c>
      <c r="E19" s="222">
        <f ca="1">'퇴직때까지의 총연봉액'!E19</f>
        <v>29</v>
      </c>
      <c r="F19" s="228">
        <f ca="1">IF(YEAR('2026'!$B$1)&lt;$C19,"",ROUND(INDIRECT($C19&amp;"!b41"),-1))</f>
        <v>8036420</v>
      </c>
      <c r="G19" s="228">
        <f ca="1">IF(YEAR('2026'!$B$1)&lt;$C19,"",ROUND(INDIRECT($C19&amp;"!c41"),-1))</f>
        <v>8679260</v>
      </c>
      <c r="H19" s="228">
        <f ca="1">IF(YEAR('2026'!$B$1)&lt;$C19,"",ROUND(INDIRECT($C19&amp;"!d41"),-1))</f>
        <v>11436620</v>
      </c>
      <c r="I19" s="228">
        <f ca="1">IF(YEAR('2026'!$B$1)&lt;$C19,"",ROUND(INDIRECT($C19&amp;"!e41"),-1))</f>
        <v>4673690</v>
      </c>
      <c r="J19" s="228">
        <f ca="1">IF(YEAR('2026'!$B$1)&lt;$C19,"",ROUND(INDIRECT($C19&amp;"!f41"),-1))</f>
        <v>4617400</v>
      </c>
      <c r="K19" s="228">
        <f ca="1">IF(YEAR('2026'!$B$1)&lt;$C19,"",ROUND(INDIRECT($C19&amp;"!g41"),-1))</f>
        <v>4602980</v>
      </c>
      <c r="L19" s="228">
        <f ca="1">IF(YEAR('2026'!$B$1)&lt;$C19,"",ROUND(INDIRECT($C19&amp;"!h41"),-1))</f>
        <v>7979110</v>
      </c>
      <c r="M19" s="228">
        <f ca="1">IF(YEAR('2026'!$B$1)&lt;$C19,"",ROUND(INDIRECT($C19&amp;"!i41"),-1))</f>
        <v>4574140</v>
      </c>
      <c r="N19" s="228">
        <f ca="1">IF(YEAR('2026'!$B$1)&lt;$C19,"",ROUND(INDIRECT($C19&amp;"!j41"),-1))</f>
        <v>8565070</v>
      </c>
      <c r="O19" s="228">
        <f ca="1">IF(YEAR('2026'!$B$1)&lt;$C19,"",ROUND(INDIRECT($C19&amp;"!k41"),-1))</f>
        <v>4545290</v>
      </c>
      <c r="P19" s="228">
        <f ca="1">IF(YEAR('2026'!$B$1)&lt;$C19,"",ROUND(INDIRECT($C19&amp;"!l41"),-1))</f>
        <v>4530870</v>
      </c>
      <c r="Q19" s="228">
        <f ca="1">IF(YEAR('2026'!$B$1)&lt;$C19,"",ROUND(INDIRECT($C19&amp;"!m41"),-1))</f>
        <v>4727430</v>
      </c>
      <c r="R19" s="227">
        <f ca="1">IF(YEAR('2026'!$B$1)&lt;$C19,"",SUM(F19:Q19))</f>
        <v>76968280</v>
      </c>
    </row>
    <row r="20" spans="1:18" ht="9.75" customHeight="1">
      <c r="A20" s="230">
        <v>18</v>
      </c>
      <c r="B20" s="357">
        <f ca="1">'퇴직때까지의 총연봉액'!B20</f>
        <v>20</v>
      </c>
      <c r="C20" s="221">
        <f ca="1">'퇴직때까지의 총연봉액'!D20</f>
        <v>2042</v>
      </c>
      <c r="D20" s="385">
        <f ca="1">'퇴직때까지의 총연봉액'!C20</f>
        <v>45</v>
      </c>
      <c r="E20" s="222">
        <f ca="1">'퇴직때까지의 총연봉액'!E20</f>
        <v>30</v>
      </c>
      <c r="F20" s="228">
        <f ca="1">IF(YEAR('2026'!$B$1)&lt;$C20,"",ROUND(INDIRECT($C20&amp;"!b41"),-1))</f>
        <v>12561700</v>
      </c>
      <c r="G20" s="228">
        <f ca="1">IF(YEAR('2026'!$B$1)&lt;$C20,"",ROUND(INDIRECT($C20&amp;"!c41"),-1))</f>
        <v>4899670</v>
      </c>
      <c r="H20" s="228">
        <f ca="1">IF(YEAR('2026'!$B$1)&lt;$C20,"",ROUND(INDIRECT($C20&amp;"!d41"),-1))</f>
        <v>11802850</v>
      </c>
      <c r="I20" s="228">
        <f ca="1">IF(YEAR('2026'!$B$1)&lt;$C20,"",ROUND(INDIRECT($C20&amp;"!e41"),-1))</f>
        <v>4830880</v>
      </c>
      <c r="J20" s="228">
        <f ca="1">IF(YEAR('2026'!$B$1)&lt;$C20,"",ROUND(INDIRECT($C20&amp;"!f41"),-1))</f>
        <v>4768890</v>
      </c>
      <c r="K20" s="228">
        <f ca="1">IF(YEAR('2026'!$B$1)&lt;$C20,"",ROUND(INDIRECT($C20&amp;"!g41"),-1))</f>
        <v>4752510</v>
      </c>
      <c r="L20" s="228">
        <f ca="1">IF(YEAR('2026'!$B$1)&lt;$C20,"",ROUND(INDIRECT($C20&amp;"!h41"),-1))</f>
        <v>8318830</v>
      </c>
      <c r="M20" s="228">
        <f ca="1">IF(YEAR('2026'!$B$1)&lt;$C20,"",ROUND(INDIRECT($C20&amp;"!i41"),-1))</f>
        <v>4719750</v>
      </c>
      <c r="N20" s="228">
        <f ca="1">IF(YEAR('2026'!$B$1)&lt;$C20,"",ROUND(INDIRECT($C20&amp;"!j41"),-1))</f>
        <v>8932960</v>
      </c>
      <c r="O20" s="228">
        <f ca="1">IF(YEAR('2026'!$B$1)&lt;$C20,"",ROUND(INDIRECT($C20&amp;"!k41"),-1))</f>
        <v>4687000</v>
      </c>
      <c r="P20" s="228">
        <f ca="1">IF(YEAR('2026'!$B$1)&lt;$C20,"",ROUND(INDIRECT($C20&amp;"!l41"),-1))</f>
        <v>4670620</v>
      </c>
      <c r="Q20" s="228">
        <f ca="1">IF(YEAR('2026'!$B$1)&lt;$C20,"",ROUND(INDIRECT($C20&amp;"!m41"),-1))</f>
        <v>4886410</v>
      </c>
      <c r="R20" s="227">
        <f ca="1">IF(YEAR('2026'!$B$1)&lt;$C20,"",SUM(F20:Q20))</f>
        <v>79832070</v>
      </c>
    </row>
    <row r="21" spans="1:18" ht="9.75" customHeight="1">
      <c r="A21" s="230">
        <v>19</v>
      </c>
      <c r="B21" s="357">
        <f ca="1">'퇴직때까지의 총연봉액'!B21</f>
        <v>21</v>
      </c>
      <c r="C21" s="221">
        <f ca="1">'퇴직때까지의 총연봉액'!D21</f>
        <v>2043</v>
      </c>
      <c r="D21" s="385">
        <f ca="1">'퇴직때까지의 총연봉액'!C21</f>
        <v>46</v>
      </c>
      <c r="E21" s="222">
        <f ca="1">'퇴직때까지의 총연봉액'!E21</f>
        <v>31</v>
      </c>
      <c r="F21" s="228">
        <f ca="1">IF(YEAR('2026'!$B$1)&lt;$C21,"",ROUND(INDIRECT($C21&amp;"!b41"),-1))</f>
        <v>8884160</v>
      </c>
      <c r="G21" s="228">
        <f ca="1">IF(YEAR('2026'!$B$1)&lt;$C21,"",ROUND(INDIRECT($C21&amp;"!c41"),-1))</f>
        <v>9601450</v>
      </c>
      <c r="H21" s="228">
        <f ca="1">IF(YEAR('2026'!$B$1)&lt;$C21,"",ROUND(INDIRECT($C21&amp;"!d41"),-1))</f>
        <v>12238790</v>
      </c>
      <c r="I21" s="228">
        <f ca="1">IF(YEAR('2026'!$B$1)&lt;$C21,"",ROUND(INDIRECT($C21&amp;"!e41"),-1))</f>
        <v>5080640</v>
      </c>
      <c r="J21" s="228">
        <f ca="1">IF(YEAR('2026'!$B$1)&lt;$C21,"",ROUND(INDIRECT($C21&amp;"!f41"),-1))</f>
        <v>5016370</v>
      </c>
      <c r="K21" s="228">
        <f ca="1">IF(YEAR('2026'!$B$1)&lt;$C21,"",ROUND(INDIRECT($C21&amp;"!g41"),-1))</f>
        <v>4999210</v>
      </c>
      <c r="L21" s="228">
        <f ca="1">IF(YEAR('2026'!$B$1)&lt;$C21,"",ROUND(INDIRECT($C21&amp;"!h41"),-1))</f>
        <v>8764090</v>
      </c>
      <c r="M21" s="228">
        <f ca="1">IF(YEAR('2026'!$B$1)&lt;$C21,"",ROUND(INDIRECT($C21&amp;"!i41"),-1))</f>
        <v>4964880</v>
      </c>
      <c r="N21" s="228">
        <f ca="1">IF(YEAR('2026'!$B$1)&lt;$C21,"",ROUND(INDIRECT($C21&amp;"!j41"),-1))</f>
        <v>9414780</v>
      </c>
      <c r="O21" s="228">
        <f ca="1">IF(YEAR('2026'!$B$1)&lt;$C21,"",ROUND(INDIRECT($C21&amp;"!k41"),-1))</f>
        <v>4930550</v>
      </c>
      <c r="P21" s="228">
        <f ca="1">IF(YEAR('2026'!$B$1)&lt;$C21,"",ROUND(INDIRECT($C21&amp;"!l41"),-1))</f>
        <v>4913390</v>
      </c>
      <c r="Q21" s="228">
        <f ca="1">IF(YEAR('2026'!$B$1)&lt;$C21,"",ROUND(INDIRECT($C21&amp;"!m41"),-1))</f>
        <v>5134190</v>
      </c>
      <c r="R21" s="227">
        <f ca="1">IF(YEAR('2026'!$B$1)&lt;$C21,"",SUM(F21:Q21))</f>
        <v>83942500</v>
      </c>
    </row>
    <row r="22" spans="1:18" ht="9.75" customHeight="1">
      <c r="A22" s="230">
        <v>20</v>
      </c>
      <c r="B22" s="357">
        <f ca="1">'퇴직때까지의 총연봉액'!B22</f>
        <v>22</v>
      </c>
      <c r="C22" s="221">
        <f ca="1">'퇴직때까지의 총연봉액'!D22</f>
        <v>2044</v>
      </c>
      <c r="D22" s="385">
        <f ca="1">'퇴직때까지의 총연봉액'!C22</f>
        <v>47</v>
      </c>
      <c r="E22" s="222">
        <f ca="1">'퇴직때까지의 총연봉액'!E22</f>
        <v>32</v>
      </c>
      <c r="F22" s="228">
        <f ca="1">IF(YEAR('2026'!$B$1)&lt;$C22,"",ROUND(INDIRECT($C22&amp;"!b41"),-1))</f>
        <v>14079630</v>
      </c>
      <c r="G22" s="228">
        <f ca="1">IF(YEAR('2026'!$B$1)&lt;$C22,"",ROUND(INDIRECT($C22&amp;"!c41"),-1))</f>
        <v>5533950</v>
      </c>
      <c r="H22" s="228">
        <f ca="1">IF(YEAR('2026'!$B$1)&lt;$C22,"",ROUND(INDIRECT($C22&amp;"!d41"),-1))</f>
        <v>12754370</v>
      </c>
      <c r="I22" s="228">
        <f ca="1">IF(YEAR('2026'!$B$1)&lt;$C22,"",ROUND(INDIRECT($C22&amp;"!e41"),-1))</f>
        <v>5431530</v>
      </c>
      <c r="J22" s="228">
        <f ca="1">IF(YEAR('2026'!$B$1)&lt;$C22,"",ROUND(INDIRECT($C22&amp;"!f41"),-1))</f>
        <v>5368180</v>
      </c>
      <c r="K22" s="228">
        <f ca="1">IF(YEAR('2026'!$B$1)&lt;$C22,"",ROUND(INDIRECT($C22&amp;"!g41"),-1))</f>
        <v>5351020</v>
      </c>
      <c r="L22" s="228">
        <f ca="1">IF(YEAR('2026'!$B$1)&lt;$C22,"",ROUND(INDIRECT($C22&amp;"!h41"),-1))</f>
        <v>9322900</v>
      </c>
      <c r="M22" s="228">
        <f ca="1">IF(YEAR('2026'!$B$1)&lt;$C22,"",ROUND(INDIRECT($C22&amp;"!i41"),-1))</f>
        <v>5316690</v>
      </c>
      <c r="N22" s="228">
        <f ca="1">IF(YEAR('2026'!$B$1)&lt;$C22,"",ROUND(INDIRECT($C22&amp;"!j41"),-1))</f>
        <v>5226340</v>
      </c>
      <c r="O22" s="228">
        <f ca="1">IF(YEAR('2026'!$B$1)&lt;$C22,"",ROUND(INDIRECT($C22&amp;"!k41"),-1))</f>
        <v>10069220</v>
      </c>
      <c r="P22" s="228">
        <f ca="1">IF(YEAR('2026'!$B$1)&lt;$C22,"",ROUND(INDIRECT($C22&amp;"!l41"),-1))</f>
        <v>5265200</v>
      </c>
      <c r="Q22" s="228">
        <f ca="1">IF(YEAR('2026'!$B$1)&lt;$C22,"",ROUND(INDIRECT($C22&amp;"!m41"),-1))</f>
        <v>5491950</v>
      </c>
      <c r="R22" s="227">
        <f ca="1">IF(YEAR('2026'!$B$1)&lt;$C22,"",SUM(F22:Q22))</f>
        <v>89210980</v>
      </c>
    </row>
    <row r="23" spans="1:18" ht="9.75" customHeight="1">
      <c r="A23" s="230">
        <v>21</v>
      </c>
      <c r="B23" s="357">
        <f ca="1">'퇴직때까지의 총연봉액'!B23</f>
        <v>23</v>
      </c>
      <c r="C23" s="221">
        <f ca="1">'퇴직때까지의 총연봉액'!D23</f>
        <v>2045</v>
      </c>
      <c r="D23" s="385">
        <f ca="1">'퇴직때까지의 총연봉액'!C23</f>
        <v>48</v>
      </c>
      <c r="E23" s="222">
        <f ca="1">'퇴직때까지의 총연봉액'!E23</f>
        <v>33</v>
      </c>
      <c r="F23" s="228">
        <f ca="1">IF(YEAR('2026'!$B$1)&lt;$C23,"",ROUND(INDIRECT($C23&amp;"!b41"),-1))</f>
        <v>9996170</v>
      </c>
      <c r="G23" s="228">
        <f ca="1">IF(YEAR('2026'!$B$1)&lt;$C23,"",ROUND(INDIRECT($C23&amp;"!c41"),-1))</f>
        <v>10796770</v>
      </c>
      <c r="H23" s="228">
        <f ca="1">IF(YEAR('2026'!$B$1)&lt;$C23,"",ROUND(INDIRECT($C23&amp;"!d41"),-1))</f>
        <v>13295020</v>
      </c>
      <c r="I23" s="228">
        <f ca="1">IF(YEAR('2026'!$B$1)&lt;$C23,"",ROUND(INDIRECT($C23&amp;"!e41"),-1))</f>
        <v>5801330</v>
      </c>
      <c r="J23" s="228">
        <f ca="1">IF(YEAR('2026'!$B$1)&lt;$C23,"",ROUND(INDIRECT($C23&amp;"!f41"),-1))</f>
        <v>5734500</v>
      </c>
      <c r="K23" s="228">
        <f ca="1">IF(YEAR('2026'!$B$1)&lt;$C23,"",ROUND(INDIRECT($C23&amp;"!g41"),-1))</f>
        <v>5717340</v>
      </c>
      <c r="L23" s="228">
        <f ca="1">IF(YEAR('2026'!$B$1)&lt;$C23,"",ROUND(INDIRECT($C23&amp;"!h41"),-1))</f>
        <v>9905970</v>
      </c>
      <c r="M23" s="228">
        <f ca="1">IF(YEAR('2026'!$B$1)&lt;$C23,"",ROUND(INDIRECT($C23&amp;"!i41"),-1))</f>
        <v>5683010</v>
      </c>
      <c r="N23" s="228">
        <f ca="1">IF(YEAR('2026'!$B$1)&lt;$C23,"",ROUND(INDIRECT($C23&amp;"!j41"),-1))</f>
        <v>10637790</v>
      </c>
      <c r="O23" s="228">
        <f ca="1">IF(YEAR('2026'!$B$1)&lt;$C23,"",ROUND(INDIRECT($C23&amp;"!k41"),-1))</f>
        <v>5648680</v>
      </c>
      <c r="P23" s="228">
        <f ca="1">IF(YEAR('2026'!$B$1)&lt;$C23,"",ROUND(INDIRECT($C23&amp;"!l41"),-1))</f>
        <v>5631520</v>
      </c>
      <c r="Q23" s="228">
        <f ca="1">IF(YEAR('2026'!$B$1)&lt;$C23,"",ROUND(INDIRECT($C23&amp;"!m41"),-1))</f>
        <v>5864370</v>
      </c>
      <c r="R23" s="227">
        <f ca="1">IF(YEAR('2026'!$B$1)&lt;$C23,"",SUM(F23:Q23))</f>
        <v>94712470</v>
      </c>
    </row>
    <row r="24" spans="1:18" ht="9.75" customHeight="1">
      <c r="A24" s="230">
        <v>22</v>
      </c>
      <c r="B24" s="357">
        <f ca="1">'퇴직때까지의 총연봉액'!B24</f>
        <v>24</v>
      </c>
      <c r="C24" s="221">
        <f ca="1">'퇴직때까지의 총연봉액'!D24</f>
        <v>2046</v>
      </c>
      <c r="D24" s="385">
        <f ca="1">'퇴직때까지의 총연봉액'!C24</f>
        <v>49</v>
      </c>
      <c r="E24" s="222">
        <f ca="1">'퇴직때까지의 총연봉액'!E24</f>
        <v>34</v>
      </c>
      <c r="F24" s="228">
        <f ca="1">IF(YEAR('2026'!$B$1)&lt;$C24,"",ROUND(INDIRECT($C24&amp;"!b41"),-1))</f>
        <v>10589340</v>
      </c>
      <c r="G24" s="228">
        <f ca="1">IF(YEAR('2026'!$B$1)&lt;$C24,"",ROUND(INDIRECT($C24&amp;"!c41"),-1))</f>
        <v>11434370</v>
      </c>
      <c r="H24" s="228">
        <f ca="1">IF(YEAR('2026'!$B$1)&lt;$C24,"",ROUND(INDIRECT($C24&amp;"!d41"),-1))</f>
        <v>13850870</v>
      </c>
      <c r="I24" s="228">
        <f ca="1">IF(YEAR('2026'!$B$1)&lt;$C24,"",ROUND(INDIRECT($C24&amp;"!e41"),-1))</f>
        <v>6183840</v>
      </c>
      <c r="J24" s="228">
        <f ca="1">IF(YEAR('2026'!$B$1)&lt;$C24,"",ROUND(INDIRECT($C24&amp;"!f41"),-1))</f>
        <v>6117300</v>
      </c>
      <c r="K24" s="228">
        <f ca="1">IF(YEAR('2026'!$B$1)&lt;$C24,"",ROUND(INDIRECT($C24&amp;"!g41"),-1))</f>
        <v>6100140</v>
      </c>
      <c r="L24" s="228">
        <f ca="1">IF(YEAR('2026'!$B$1)&lt;$C24,"",ROUND(INDIRECT($C24&amp;"!h41"),-1))</f>
        <v>10513470</v>
      </c>
      <c r="M24" s="228">
        <f ca="1">IF(YEAR('2026'!$B$1)&lt;$C24,"",ROUND(INDIRECT($C24&amp;"!i41"),-1))</f>
        <v>6065810</v>
      </c>
      <c r="N24" s="228">
        <f ca="1">IF(YEAR('2026'!$B$1)&lt;$C24,"",ROUND(INDIRECT($C24&amp;"!j41"),-1))</f>
        <v>11288360</v>
      </c>
      <c r="O24" s="228">
        <f ca="1">IF(YEAR('2026'!$B$1)&lt;$C24,"",ROUND(INDIRECT($C24&amp;"!k41"),-1))</f>
        <v>6031480</v>
      </c>
      <c r="P24" s="228">
        <f ca="1">IF(YEAR('2026'!$B$1)&lt;$C24,"",ROUND(INDIRECT($C24&amp;"!l41"),-1))</f>
        <v>6014320</v>
      </c>
      <c r="Q24" s="228">
        <f ca="1">IF(YEAR('2026'!$B$1)&lt;$C24,"",ROUND(INDIRECT($C24&amp;"!m41"),-1))</f>
        <v>6253410</v>
      </c>
      <c r="R24" s="227">
        <f ca="1">IF(YEAR('2026'!$B$1)&lt;$C24,"",SUM(F24:Q24))</f>
        <v>100442710</v>
      </c>
    </row>
    <row r="25" spans="1:18" ht="9.75" customHeight="1">
      <c r="A25" s="230">
        <v>23</v>
      </c>
      <c r="B25" s="357">
        <f ca="1">'퇴직때까지의 총연봉액'!B25</f>
        <v>25</v>
      </c>
      <c r="C25" s="221">
        <f ca="1">'퇴직때까지의 총연봉액'!D25</f>
        <v>2047</v>
      </c>
      <c r="D25" s="385">
        <f ca="1">'퇴직때까지의 총연봉액'!C25</f>
        <v>50</v>
      </c>
      <c r="E25" s="222">
        <f ca="1">'퇴직때까지의 총연봉액'!E25</f>
        <v>35</v>
      </c>
      <c r="F25" s="228">
        <f ca="1">IF(YEAR('2026'!$B$1)&lt;$C25,"",ROUND(INDIRECT($C25&amp;"!b41"),-1))</f>
        <v>16656890</v>
      </c>
      <c r="G25" s="228">
        <f ca="1">IF(YEAR('2026'!$B$1)&lt;$C25,"",ROUND(INDIRECT($C25&amp;"!c41"),-1))</f>
        <v>6648980</v>
      </c>
      <c r="H25" s="228">
        <f ca="1">IF(YEAR('2026'!$B$1)&lt;$C25,"",ROUND(INDIRECT($C25&amp;"!d41"),-1))</f>
        <v>14448990</v>
      </c>
      <c r="I25" s="228">
        <f ca="1">IF(YEAR('2026'!$B$1)&lt;$C25,"",ROUND(INDIRECT($C25&amp;"!e41"),-1))</f>
        <v>6603140</v>
      </c>
      <c r="J25" s="228">
        <f ca="1">IF(YEAR('2026'!$B$1)&lt;$C25,"",ROUND(INDIRECT($C25&amp;"!f41"),-1))</f>
        <v>6534400</v>
      </c>
      <c r="K25" s="228">
        <f ca="1">IF(YEAR('2026'!$B$1)&lt;$C25,"",ROUND(INDIRECT($C25&amp;"!g41"),-1))</f>
        <v>6517240</v>
      </c>
      <c r="L25" s="228">
        <f ca="1">IF(YEAR('2026'!$B$1)&lt;$C25,"",ROUND(INDIRECT($C25&amp;"!h41"),-1))</f>
        <v>11163970</v>
      </c>
      <c r="M25" s="228">
        <f ca="1">IF(YEAR('2026'!$B$1)&lt;$C25,"",ROUND(INDIRECT($C25&amp;"!i41"),-1))</f>
        <v>6482910</v>
      </c>
      <c r="N25" s="228">
        <f ca="1">IF(YEAR('2026'!$B$1)&lt;$C25,"",ROUND(INDIRECT($C25&amp;"!j41"),-1))</f>
        <v>6386940</v>
      </c>
      <c r="O25" s="228">
        <f ca="1">IF(YEAR('2026'!$B$1)&lt;$C25,"",ROUND(INDIRECT($C25&amp;"!k41"),-1))</f>
        <v>12045260</v>
      </c>
      <c r="P25" s="228">
        <f ca="1">IF(YEAR('2026'!$B$1)&lt;$C25,"",ROUND(INDIRECT($C25&amp;"!l41"),-1))</f>
        <v>6431420</v>
      </c>
      <c r="Q25" s="228">
        <f ca="1">IF(YEAR('2026'!$B$1)&lt;$C25,"",ROUND(INDIRECT($C25&amp;"!m41"),-1))</f>
        <v>6676930</v>
      </c>
      <c r="R25" s="227">
        <f ca="1">IF(YEAR('2026'!$B$1)&lt;$C25,"",SUM(F25:Q25))</f>
        <v>106597070</v>
      </c>
    </row>
    <row r="26" spans="1:18" ht="9.75" customHeight="1">
      <c r="A26" s="230">
        <v>24</v>
      </c>
      <c r="B26" s="357">
        <f ca="1">'퇴직때까지의 총연봉액'!B26</f>
        <v>26</v>
      </c>
      <c r="C26" s="221">
        <f ca="1">'퇴직때까지의 총연봉액'!D26</f>
        <v>2048</v>
      </c>
      <c r="D26" s="385">
        <f ca="1">'퇴직때까지의 총연봉액'!C26</f>
        <v>51</v>
      </c>
      <c r="E26" s="222">
        <f ca="1">'퇴직때까지의 총연봉액'!E26</f>
        <v>36</v>
      </c>
      <c r="F26" s="228">
        <f ca="1">IF(YEAR('2026'!$B$1)&lt;$C26,"",ROUND(INDIRECT($C26&amp;"!b41"),-1))</f>
        <v>11869040</v>
      </c>
      <c r="G26" s="228">
        <f ca="1">IF(YEAR('2026'!$B$1)&lt;$C26,"",ROUND(INDIRECT($C26&amp;"!c41"),-1))</f>
        <v>12807980</v>
      </c>
      <c r="H26" s="228">
        <f ca="1">IF(YEAR('2026'!$B$1)&lt;$C26,"",ROUND(INDIRECT($C26&amp;"!d41"),-1))</f>
        <v>15045200</v>
      </c>
      <c r="I26" s="228">
        <f ca="1">IF(YEAR('2026'!$B$1)&lt;$C26,"",ROUND(INDIRECT($C26&amp;"!e41"),-1))</f>
        <v>7016430</v>
      </c>
      <c r="J26" s="228">
        <f ca="1">IF(YEAR('2026'!$B$1)&lt;$C26,"",ROUND(INDIRECT($C26&amp;"!f41"),-1))</f>
        <v>6946250</v>
      </c>
      <c r="K26" s="228">
        <f ca="1">IF(YEAR('2026'!$B$1)&lt;$C26,"",ROUND(INDIRECT($C26&amp;"!g41"),-1))</f>
        <v>6929090</v>
      </c>
      <c r="L26" s="228">
        <f ca="1">IF(YEAR('2026'!$B$1)&lt;$C26,"",ROUND(INDIRECT($C26&amp;"!h41"),-1))</f>
        <v>11817570</v>
      </c>
      <c r="M26" s="228">
        <f ca="1">IF(YEAR('2026'!$B$1)&lt;$C26,"",ROUND(INDIRECT($C26&amp;"!i41"),-1))</f>
        <v>6894760</v>
      </c>
      <c r="N26" s="228">
        <f ca="1">IF(YEAR('2026'!$B$1)&lt;$C26,"",ROUND(INDIRECT($C26&amp;"!j41"),-1))</f>
        <v>12683600</v>
      </c>
      <c r="O26" s="228">
        <f ca="1">IF(YEAR('2026'!$B$1)&lt;$C26,"",ROUND(INDIRECT($C26&amp;"!k41"),-1))</f>
        <v>6860430</v>
      </c>
      <c r="P26" s="228">
        <f ca="1">IF(YEAR('2026'!$B$1)&lt;$C26,"",ROUND(INDIRECT($C26&amp;"!l41"),-1))</f>
        <v>6843270</v>
      </c>
      <c r="Q26" s="228">
        <f ca="1">IF(YEAR('2026'!$B$1)&lt;$C26,"",ROUND(INDIRECT($C26&amp;"!m41"),-1))</f>
        <v>7095340</v>
      </c>
      <c r="R26" s="227">
        <f ca="1">IF(YEAR('2026'!$B$1)&lt;$C26,"",SUM(F26:Q26))</f>
        <v>112808960</v>
      </c>
    </row>
    <row r="27" spans="1:18" ht="9.75" customHeight="1">
      <c r="A27" s="230">
        <v>25</v>
      </c>
      <c r="B27" s="357">
        <f ca="1">'퇴직때까지의 총연봉액'!B27</f>
        <v>27</v>
      </c>
      <c r="C27" s="221">
        <f ca="1">'퇴직때까지의 총연봉액'!D27</f>
        <v>2049</v>
      </c>
      <c r="D27" s="385">
        <f ca="1">'퇴직때까지의 총연봉액'!C27</f>
        <v>52</v>
      </c>
      <c r="E27" s="222">
        <f ca="1">'퇴직때까지의 총연봉액'!E27</f>
        <v>37</v>
      </c>
      <c r="F27" s="228">
        <f ca="1">IF(YEAR('2026'!$B$1)&lt;$C27,"",ROUND(INDIRECT($C27&amp;"!b41"),-1))</f>
        <v>12534220</v>
      </c>
      <c r="G27" s="228">
        <f ca="1">IF(YEAR('2026'!$B$1)&lt;$C27,"",ROUND(INDIRECT($C27&amp;"!c41"),-1))</f>
        <v>13522720</v>
      </c>
      <c r="H27" s="228">
        <f ca="1">IF(YEAR('2026'!$B$1)&lt;$C27,"",ROUND(INDIRECT($C27&amp;"!d41"),-1))</f>
        <v>15629350</v>
      </c>
      <c r="I27" s="228">
        <f ca="1">IF(YEAR('2026'!$B$1)&lt;$C27,"",ROUND(INDIRECT($C27&amp;"!e41"),-1))</f>
        <v>7415300</v>
      </c>
      <c r="J27" s="228">
        <f ca="1">IF(YEAR('2026'!$B$1)&lt;$C27,"",ROUND(INDIRECT($C27&amp;"!f41"),-1))</f>
        <v>7348400</v>
      </c>
      <c r="K27" s="228">
        <f ca="1">IF(YEAR('2026'!$B$1)&lt;$C27,"",ROUND(INDIRECT($C27&amp;"!g41"),-1))</f>
        <v>7331240</v>
      </c>
      <c r="L27" s="228">
        <f ca="1">IF(YEAR('2026'!$B$1)&lt;$C27,"",ROUND(INDIRECT($C27&amp;"!h41"),-1))</f>
        <v>12454120</v>
      </c>
      <c r="M27" s="228">
        <f ca="1">IF(YEAR('2026'!$B$1)&lt;$C27,"",ROUND(INDIRECT($C27&amp;"!i41"),-1))</f>
        <v>7296910</v>
      </c>
      <c r="N27" s="228">
        <f ca="1">IF(YEAR('2026'!$B$1)&lt;$C27,"",ROUND(INDIRECT($C27&amp;"!j41"),-1))</f>
        <v>13365010</v>
      </c>
      <c r="O27" s="228">
        <f ca="1">IF(YEAR('2026'!$B$1)&lt;$C27,"",ROUND(INDIRECT($C27&amp;"!k41"),-1))</f>
        <v>7262580</v>
      </c>
      <c r="P27" s="228">
        <f ca="1">IF(YEAR('2026'!$B$1)&lt;$C27,"",ROUND(INDIRECT($C27&amp;"!l41"),-1))</f>
        <v>7245420</v>
      </c>
      <c r="Q27" s="228">
        <f ca="1">IF(YEAR('2026'!$B$1)&lt;$C27,"",ROUND(INDIRECT($C27&amp;"!m41"),-1))</f>
        <v>7504220</v>
      </c>
      <c r="R27" s="227">
        <f ca="1">IF(YEAR('2026'!$B$1)&lt;$C27,"",SUM(F27:Q27))</f>
        <v>118909490</v>
      </c>
    </row>
    <row r="28" spans="1:18" ht="9.75" customHeight="1">
      <c r="A28" s="230">
        <v>26</v>
      </c>
      <c r="B28" s="357">
        <f ca="1">'퇴직때까지의 총연봉액'!B28</f>
        <v>28</v>
      </c>
      <c r="C28" s="221">
        <f ca="1">'퇴직때까지의 총연봉액'!D28</f>
        <v>2050</v>
      </c>
      <c r="D28" s="385">
        <f ca="1">'퇴직때까지의 총연봉액'!C28</f>
        <v>53</v>
      </c>
      <c r="E28" s="222">
        <f ca="1">'퇴직때까지의 총연봉액'!E28</f>
        <v>38</v>
      </c>
      <c r="F28" s="228">
        <f ca="1">IF(YEAR('2026'!$B$1)&lt;$C28,"",ROUND(INDIRECT($C28&amp;"!b41"),-1))</f>
        <v>19503850</v>
      </c>
      <c r="G28" s="228">
        <f ca="1">IF(YEAR('2026'!$B$1)&lt;$C28,"",ROUND(INDIRECT($C28&amp;"!c41"),-1))</f>
        <v>7895880</v>
      </c>
      <c r="H28" s="228">
        <f ca="1">IF(YEAR('2026'!$B$1)&lt;$C28,"",ROUND(INDIRECT($C28&amp;"!d41"),-1))</f>
        <v>16240500</v>
      </c>
      <c r="I28" s="228">
        <f ca="1">IF(YEAR('2026'!$B$1)&lt;$C28,"",ROUND(INDIRECT($C28&amp;"!e41"),-1))</f>
        <v>7833000</v>
      </c>
      <c r="J28" s="228">
        <f ca="1">IF(YEAR('2026'!$B$1)&lt;$C28,"",ROUND(INDIRECT($C28&amp;"!f41"),-1))</f>
        <v>7761860</v>
      </c>
      <c r="K28" s="228">
        <f ca="1">IF(YEAR('2026'!$B$1)&lt;$C28,"",ROUND(INDIRECT($C28&amp;"!g41"),-1))</f>
        <v>7744700</v>
      </c>
      <c r="L28" s="228">
        <f ca="1">IF(YEAR('2026'!$B$1)&lt;$C28,"",ROUND(INDIRECT($C28&amp;"!h41"),-1))</f>
        <v>13110680</v>
      </c>
      <c r="M28" s="228">
        <f ca="1">IF(YEAR('2026'!$B$1)&lt;$C28,"",ROUND(INDIRECT($C28&amp;"!i41"),-1))</f>
        <v>7710370</v>
      </c>
      <c r="N28" s="228">
        <f ca="1">IF(YEAR('2026'!$B$1)&lt;$C28,"",ROUND(INDIRECT($C28&amp;"!j41"),-1))</f>
        <v>14068120</v>
      </c>
      <c r="O28" s="228">
        <f ca="1">IF(YEAR('2026'!$B$1)&lt;$C28,"",ROUND(INDIRECT($C28&amp;"!k41"),-1))</f>
        <v>7676040</v>
      </c>
      <c r="P28" s="228">
        <f ca="1">IF(YEAR('2026'!$B$1)&lt;$C28,"",ROUND(INDIRECT($C28&amp;"!l41"),-1))</f>
        <v>7658880</v>
      </c>
      <c r="Q28" s="228">
        <f ca="1">IF(YEAR('2026'!$B$1)&lt;$C28,"",ROUND(INDIRECT($C28&amp;"!m41"),-1))</f>
        <v>7924580</v>
      </c>
      <c r="R28" s="227">
        <f ca="1">IF(YEAR('2026'!$B$1)&lt;$C28,"",SUM(F28:Q28))</f>
        <v>125128460</v>
      </c>
    </row>
    <row r="29" spans="1:18" ht="9.75" customHeight="1">
      <c r="A29" s="230">
        <v>27</v>
      </c>
      <c r="B29" s="357">
        <f ca="1">'퇴직때까지의 총연봉액'!B29</f>
        <v>29</v>
      </c>
      <c r="C29" s="221">
        <f ca="1">'퇴직때까지의 총연봉액'!D29</f>
        <v>2051</v>
      </c>
      <c r="D29" s="385">
        <f ca="1">'퇴직때까지의 총연봉액'!C29</f>
        <v>54</v>
      </c>
      <c r="E29" s="222">
        <f ca="1">'퇴직때까지의 총연봉액'!E29</f>
        <v>39</v>
      </c>
      <c r="F29" s="228">
        <f ca="1">IF(YEAR('2026'!$B$1)&lt;$C29,"",ROUND(INDIRECT($C29&amp;"!b41"),-1))</f>
        <v>13849550</v>
      </c>
      <c r="G29" s="228">
        <f ca="1">IF(YEAR('2026'!$B$1)&lt;$C29,"",ROUND(INDIRECT($C29&amp;"!c41"),-1))</f>
        <v>14935940</v>
      </c>
      <c r="H29" s="228">
        <f ca="1">IF(YEAR('2026'!$B$1)&lt;$C29,"",ROUND(INDIRECT($C29&amp;"!d41"),-1))</f>
        <v>16869370</v>
      </c>
      <c r="I29" s="228">
        <f ca="1">IF(YEAR('2026'!$B$1)&lt;$C29,"",ROUND(INDIRECT($C29&amp;"!e41"),-1))</f>
        <v>8265460</v>
      </c>
      <c r="J29" s="228">
        <f ca="1">IF(YEAR('2026'!$B$1)&lt;$C29,"",ROUND(INDIRECT($C29&amp;"!f41"),-1))</f>
        <v>8193930</v>
      </c>
      <c r="K29" s="228">
        <f ca="1">IF(YEAR('2026'!$B$1)&lt;$C29,"",ROUND(INDIRECT($C29&amp;"!g41"),-1))</f>
        <v>8176770</v>
      </c>
      <c r="L29" s="228">
        <f ca="1">IF(YEAR('2026'!$B$1)&lt;$C29,"",ROUND(INDIRECT($C29&amp;"!h41"),-1))</f>
        <v>13795350</v>
      </c>
      <c r="M29" s="228">
        <f ca="1">IF(YEAR('2026'!$B$1)&lt;$C29,"",ROUND(INDIRECT($C29&amp;"!i41"),-1))</f>
        <v>8142440</v>
      </c>
      <c r="N29" s="228">
        <f ca="1">IF(YEAR('2026'!$B$1)&lt;$C29,"",ROUND(INDIRECT($C29&amp;"!j41"),-1))</f>
        <v>14801180</v>
      </c>
      <c r="O29" s="228">
        <f ca="1">IF(YEAR('2026'!$B$1)&lt;$C29,"",ROUND(INDIRECT($C29&amp;"!k41"),-1))</f>
        <v>8108110</v>
      </c>
      <c r="P29" s="228">
        <f ca="1">IF(YEAR('2026'!$B$1)&lt;$C29,"",ROUND(INDIRECT($C29&amp;"!l41"),-1))</f>
        <v>8090950</v>
      </c>
      <c r="Q29" s="228">
        <f ca="1">IF(YEAR('2026'!$B$1)&lt;$C29,"",ROUND(INDIRECT($C29&amp;"!m41"),-1))</f>
        <v>8363720</v>
      </c>
      <c r="R29" s="227">
        <f ca="1">IF(YEAR('2026'!$B$1)&lt;$C29,"",SUM(F29:Q29))</f>
        <v>131592770</v>
      </c>
    </row>
    <row r="30" spans="1:18" ht="9.75" customHeight="1">
      <c r="A30" s="230">
        <v>28</v>
      </c>
      <c r="B30" s="357">
        <f ca="1">'퇴직때까지의 총연봉액'!B30</f>
        <v>30</v>
      </c>
      <c r="C30" s="221">
        <f ca="1">'퇴직때까지의 총연봉액'!D30</f>
        <v>2052</v>
      </c>
      <c r="D30" s="385">
        <f ca="1">'퇴직때까지의 총연봉액'!C30</f>
        <v>55</v>
      </c>
      <c r="E30" s="222">
        <f ca="1">'퇴직때까지의 총연봉액'!E30</f>
        <v>40</v>
      </c>
      <c r="F30" s="228">
        <f ca="1">IF(YEAR('2026'!$B$1)&lt;$C30,"",ROUND(INDIRECT($C30&amp;"!b41"),-1))</f>
        <v>14546040</v>
      </c>
      <c r="G30" s="228">
        <f ca="1">IF(YEAR('2026'!$B$1)&lt;$C30,"",ROUND(INDIRECT($C30&amp;"!c41"),-1))</f>
        <v>15684210</v>
      </c>
      <c r="H30" s="228">
        <f ca="1">IF(YEAR('2026'!$B$1)&lt;$C30,"",ROUND(INDIRECT($C30&amp;"!d41"),-1))</f>
        <v>17518540</v>
      </c>
      <c r="I30" s="228">
        <f ca="1">IF(YEAR('2026'!$B$1)&lt;$C30,"",ROUND(INDIRECT($C30&amp;"!e41"),-1))</f>
        <v>8713170</v>
      </c>
      <c r="J30" s="228">
        <f ca="1">IF(YEAR('2026'!$B$1)&lt;$C30,"",ROUND(INDIRECT($C30&amp;"!f41"),-1))</f>
        <v>8640980</v>
      </c>
      <c r="K30" s="228">
        <f ca="1">IF(YEAR('2026'!$B$1)&lt;$C30,"",ROUND(INDIRECT($C30&amp;"!g41"),-1))</f>
        <v>8623820</v>
      </c>
      <c r="L30" s="228">
        <f ca="1">IF(YEAR('2026'!$B$1)&lt;$C30,"",ROUND(INDIRECT($C30&amp;"!h41"),-1))</f>
        <v>14502900</v>
      </c>
      <c r="M30" s="228">
        <f ca="1">IF(YEAR('2026'!$B$1)&lt;$C30,"",ROUND(INDIRECT($C30&amp;"!i41"),-1))</f>
        <v>8589490</v>
      </c>
      <c r="N30" s="228">
        <f ca="1">IF(YEAR('2026'!$B$1)&lt;$C30,"",ROUND(INDIRECT($C30&amp;"!j41"),-1))</f>
        <v>15558670</v>
      </c>
      <c r="O30" s="228">
        <f ca="1">IF(YEAR('2026'!$B$1)&lt;$C30,"",ROUND(INDIRECT($C30&amp;"!k41"),-1))</f>
        <v>8555160</v>
      </c>
      <c r="P30" s="228">
        <f ca="1">IF(YEAR('2026'!$B$1)&lt;$C30,"",ROUND(INDIRECT($C30&amp;"!l41"),-1))</f>
        <v>8538000</v>
      </c>
      <c r="Q30" s="228">
        <f ca="1">IF(YEAR('2026'!$B$1)&lt;$C30,"",ROUND(INDIRECT($C30&amp;"!m41"),-1))</f>
        <v>8818030</v>
      </c>
      <c r="R30" s="227">
        <f ca="1">IF(YEAR('2026'!$B$1)&lt;$C30,"",SUM(F30:Q30))</f>
        <v>138289010</v>
      </c>
    </row>
    <row r="31" spans="1:18" ht="9.75" customHeight="1">
      <c r="A31" s="230">
        <v>29</v>
      </c>
      <c r="B31" s="357">
        <f ca="1">'퇴직때까지의 총연봉액'!B31</f>
        <v>31</v>
      </c>
      <c r="C31" s="221">
        <f ca="1">'퇴직때까지의 총연봉액'!D31</f>
        <v>2053</v>
      </c>
      <c r="D31" s="385">
        <f ca="1">'퇴직때까지의 총연봉액'!C31</f>
        <v>56</v>
      </c>
      <c r="E31" s="222">
        <f ca="1">'퇴직때까지의 총연봉액'!E31</f>
        <v>41</v>
      </c>
      <c r="F31" s="228">
        <f ca="1">IF(YEAR('2026'!$B$1)&lt;$C31,"",ROUND(INDIRECT($C31&amp;"!b41"),-1))</f>
        <v>15265850</v>
      </c>
      <c r="G31" s="228">
        <f ca="1">IF(YEAR('2026'!$B$1)&lt;$C31,"",ROUND(INDIRECT($C31&amp;"!c41"),-1))</f>
        <v>16457420</v>
      </c>
      <c r="H31" s="228">
        <f ca="1">IF(YEAR('2026'!$B$1)&lt;$C31,"",ROUND(INDIRECT($C31&amp;"!d41"),-1))</f>
        <v>18103630</v>
      </c>
      <c r="I31" s="228">
        <f ca="1">IF(YEAR('2026'!$B$1)&lt;$C31,"",ROUND(INDIRECT($C31&amp;"!e41"),-1))</f>
        <v>9092250</v>
      </c>
      <c r="J31" s="228">
        <f ca="1">IF(YEAR('2026'!$B$1)&lt;$C31,"",ROUND(INDIRECT($C31&amp;"!f41"),-1))</f>
        <v>9020350</v>
      </c>
      <c r="K31" s="228">
        <f ca="1">IF(YEAR('2026'!$B$1)&lt;$C31,"",ROUND(INDIRECT($C31&amp;"!g41"),-1))</f>
        <v>9003190</v>
      </c>
      <c r="L31" s="228">
        <f ca="1">IF(YEAR('2026'!$B$1)&lt;$C31,"",ROUND(INDIRECT($C31&amp;"!h41"),-1))</f>
        <v>15108620</v>
      </c>
      <c r="M31" s="228">
        <f ca="1">IF(YEAR('2026'!$B$1)&lt;$C31,"",ROUND(INDIRECT($C31&amp;"!i41"),-1))</f>
        <v>8968860</v>
      </c>
      <c r="N31" s="228">
        <f ca="1">IF(YEAR('2026'!$B$1)&lt;$C31,"",ROUND(INDIRECT($C31&amp;"!j41"),-1))</f>
        <v>16207430</v>
      </c>
      <c r="O31" s="228">
        <f ca="1">IF(YEAR('2026'!$B$1)&lt;$C31,"",ROUND(INDIRECT($C31&amp;"!k41"),-1))</f>
        <v>8934530</v>
      </c>
      <c r="P31" s="228">
        <f ca="1">IF(YEAR('2026'!$B$1)&lt;$C31,"",ROUND(INDIRECT($C31&amp;"!l41"),-1))</f>
        <v>8917370</v>
      </c>
      <c r="Q31" s="228">
        <f ca="1">IF(YEAR('2026'!$B$1)&lt;$C31,"",ROUND(INDIRECT($C31&amp;"!m41"),-1))</f>
        <v>9204820</v>
      </c>
      <c r="R31" s="227">
        <f ca="1">IF(YEAR('2026'!$B$1)&lt;$C31,"",SUM(F31:Q31))</f>
        <v>144284320</v>
      </c>
    </row>
    <row r="32" spans="1:18" ht="9.75" customHeight="1">
      <c r="A32" s="230">
        <v>30</v>
      </c>
      <c r="B32" s="357">
        <f ca="1">'퇴직때까지의 총연봉액'!B32</f>
        <v>32</v>
      </c>
      <c r="C32" s="221">
        <f ca="1">'퇴직때까지의 총연봉액'!D32</f>
        <v>2054</v>
      </c>
      <c r="D32" s="385">
        <f ca="1">'퇴직때까지의 총연봉액'!C32</f>
        <v>57</v>
      </c>
      <c r="E32" s="222">
        <f ca="1">'퇴직때까지의 총연봉액'!E32</f>
        <v>42</v>
      </c>
      <c r="F32" s="228">
        <f ca="1">IF(YEAR('2026'!$B$1)&lt;$C32,"",ROUND(INDIRECT($C32&amp;"!b41"),-1))</f>
        <v>15881090</v>
      </c>
      <c r="G32" s="228">
        <f ca="1">IF(YEAR('2026'!$B$1)&lt;$C32,"",ROUND(INDIRECT($C32&amp;"!c41"),-1))</f>
        <v>17119060</v>
      </c>
      <c r="H32" s="228">
        <f ca="1">IF(YEAR('2026'!$B$1)&lt;$C32,"",ROUND(INDIRECT($C32&amp;"!d41"),-1))</f>
        <v>18709760</v>
      </c>
      <c r="I32" s="228">
        <f ca="1">IF(YEAR('2026'!$B$1)&lt;$C32,"",ROUND(INDIRECT($C32&amp;"!e41"),-1))</f>
        <v>9537710</v>
      </c>
      <c r="J32" s="228">
        <f ca="1">IF(YEAR('2026'!$B$1)&lt;$C32,"",ROUND(INDIRECT($C32&amp;"!f41"),-1))</f>
        <v>9467290</v>
      </c>
      <c r="K32" s="228">
        <f ca="1">IF(YEAR('2026'!$B$1)&lt;$C32,"",ROUND(INDIRECT($C32&amp;"!g41"),-1))</f>
        <v>9450130</v>
      </c>
      <c r="L32" s="228">
        <f ca="1">IF(YEAR('2026'!$B$1)&lt;$C32,"",ROUND(INDIRECT($C32&amp;"!h41"),-1))</f>
        <v>15789510</v>
      </c>
      <c r="M32" s="228">
        <f ca="1">IF(YEAR('2026'!$B$1)&lt;$C32,"",ROUND(INDIRECT($C32&amp;"!i41"),-1))</f>
        <v>9415800</v>
      </c>
      <c r="N32" s="228">
        <f ca="1">IF(YEAR('2026'!$B$1)&lt;$C32,"",ROUND(INDIRECT($C32&amp;"!j41"),-1))</f>
        <v>16932820</v>
      </c>
      <c r="O32" s="228">
        <f ca="1">IF(YEAR('2026'!$B$1)&lt;$C32,"",ROUND(INDIRECT($C32&amp;"!k41"),-1))</f>
        <v>9381470</v>
      </c>
      <c r="P32" s="228">
        <f ca="1">IF(YEAR('2026'!$B$1)&lt;$C32,"",ROUND(INDIRECT($C32&amp;"!l41"),-1))</f>
        <v>9364310</v>
      </c>
      <c r="Q32" s="228">
        <f ca="1">IF(YEAR('2026'!$B$1)&lt;$C32,"",ROUND(INDIRECT($C32&amp;"!m41"),-1))</f>
        <v>9659370</v>
      </c>
      <c r="R32" s="227">
        <f ca="1">IF(YEAR('2026'!$B$1)&lt;$C32,"",SUM(F32:Q32))</f>
        <v>150708320</v>
      </c>
    </row>
    <row r="33" spans="1:18" ht="9.75" customHeight="1">
      <c r="A33" s="230">
        <v>31</v>
      </c>
      <c r="B33" s="357">
        <f ca="1">'퇴직때까지의 총연봉액'!B33</f>
        <v>33</v>
      </c>
      <c r="C33" s="221">
        <f ca="1">'퇴직때까지의 총연봉액'!D33</f>
        <v>2055</v>
      </c>
      <c r="D33" s="385">
        <f ca="1">'퇴직때까지의 총연봉액'!C33</f>
        <v>58</v>
      </c>
      <c r="E33" s="222">
        <f ca="1">'퇴직때까지의 총연봉액'!E33</f>
        <v>43</v>
      </c>
      <c r="F33" s="228">
        <f ca="1">IF(YEAR('2026'!$B$1)&lt;$C33,"",ROUND(INDIRECT($C33&amp;"!b41"),-1))</f>
        <v>24390240</v>
      </c>
      <c r="G33" s="228">
        <f ca="1">IF(YEAR('2026'!$B$1)&lt;$C33,"",ROUND(INDIRECT($C33&amp;"!c41"),-1))</f>
        <v>10039200</v>
      </c>
      <c r="H33" s="228">
        <f ca="1">IF(YEAR('2026'!$B$1)&lt;$C33,"",ROUND(INDIRECT($C33&amp;"!d41"),-1))</f>
        <v>19389070</v>
      </c>
      <c r="I33" s="228">
        <f ca="1">IF(YEAR('2026'!$B$1)&lt;$C33,"",ROUND(INDIRECT($C33&amp;"!e41"),-1))</f>
        <v>9948700</v>
      </c>
      <c r="J33" s="228">
        <f ca="1">IF(YEAR('2026'!$B$1)&lt;$C33,"",ROUND(INDIRECT($C33&amp;"!f41"),-1))</f>
        <v>9874610</v>
      </c>
      <c r="K33" s="228">
        <f ca="1">IF(YEAR('2026'!$B$1)&lt;$C33,"",ROUND(INDIRECT($C33&amp;"!g41"),-1))</f>
        <v>9857450</v>
      </c>
      <c r="L33" s="228">
        <f ca="1">IF(YEAR('2026'!$B$1)&lt;$C33,"",ROUND(INDIRECT($C33&amp;"!h41"),-1))</f>
        <v>16438580</v>
      </c>
      <c r="M33" s="228">
        <f ca="1">IF(YEAR('2026'!$B$1)&lt;$C33,"",ROUND(INDIRECT($C33&amp;"!i41"),-1))</f>
        <v>9823120</v>
      </c>
      <c r="N33" s="228">
        <f ca="1">IF(YEAR('2026'!$B$1)&lt;$C33,"",ROUND(INDIRECT($C33&amp;"!j41"),-1))</f>
        <v>9709940</v>
      </c>
      <c r="O33" s="228">
        <f ca="1">IF(YEAR('2026'!$B$1)&lt;$C33,"",ROUND(INDIRECT($C33&amp;"!k41"),-1))</f>
        <v>17706750</v>
      </c>
      <c r="P33" s="228">
        <f ca="1">IF(YEAR('2026'!$B$1)&lt;$C33,"",ROUND(INDIRECT($C33&amp;"!l41"),-1))</f>
        <v>9771630</v>
      </c>
      <c r="Q33" s="228">
        <f ca="1">IF(YEAR('2026'!$B$1)&lt;$C33,"",ROUND(INDIRECT($C33&amp;"!m41"),-1))</f>
        <v>10074510</v>
      </c>
      <c r="R33" s="227">
        <f ca="1">IF(YEAR('2026'!$B$1)&lt;$C33,"",SUM(F33:Q33))</f>
        <v>157023800</v>
      </c>
    </row>
    <row r="34" spans="1:18" ht="9.75" customHeight="1">
      <c r="A34" s="230">
        <v>32</v>
      </c>
      <c r="B34" s="357">
        <f ca="1">'퇴직때까지의 총연봉액'!B34</f>
        <v>34</v>
      </c>
      <c r="C34" s="221">
        <f ca="1">'퇴직때까지의 총연봉액'!D34</f>
        <v>2056</v>
      </c>
      <c r="D34" s="385">
        <f ca="1">'퇴직때까지의 총연봉액'!C34</f>
        <v>59</v>
      </c>
      <c r="E34" s="222">
        <f ca="1">'퇴직때까지의 총연봉액'!E34</f>
        <v>44</v>
      </c>
      <c r="F34" s="228">
        <f ca="1">IF(YEAR('2026'!$B$1)&lt;$C34,"",ROUND(INDIRECT($C34&amp;"!b41"),-1))</f>
        <v>17231180</v>
      </c>
      <c r="G34" s="228">
        <f ca="1">IF(YEAR('2026'!$B$1)&lt;$C34,"",ROUND(INDIRECT($C34&amp;"!c41"),-1))</f>
        <v>18566660</v>
      </c>
      <c r="H34" s="228">
        <f ca="1">IF(YEAR('2026'!$B$1)&lt;$C34,"",ROUND(INDIRECT($C34&amp;"!d41"),-1))</f>
        <v>20034810</v>
      </c>
      <c r="I34" s="228">
        <f ca="1">IF(YEAR('2026'!$B$1)&lt;$C34,"",ROUND(INDIRECT($C34&amp;"!e41"),-1))</f>
        <v>10374150</v>
      </c>
      <c r="J34" s="228">
        <f ca="1">IF(YEAR('2026'!$B$1)&lt;$C34,"",ROUND(INDIRECT($C34&amp;"!f41"),-1))</f>
        <v>10303730</v>
      </c>
      <c r="K34" s="228">
        <f ca="1">IF(YEAR('2026'!$B$1)&lt;$C34,"",ROUND(INDIRECT($C34&amp;"!g41"),-1))</f>
        <v>10286570</v>
      </c>
      <c r="L34" s="228">
        <f ca="1">IF(YEAR('2026'!$B$1)&lt;$C34,"",ROUND(INDIRECT($C34&amp;"!h41"),-1))</f>
        <v>17117550</v>
      </c>
      <c r="M34" s="228">
        <f ca="1">IF(YEAR('2026'!$B$1)&lt;$C34,"",ROUND(INDIRECT($C34&amp;"!i41"),-1))</f>
        <v>10252240</v>
      </c>
      <c r="N34" s="228">
        <f ca="1">IF(YEAR('2026'!$B$1)&lt;$C34,"",ROUND(INDIRECT($C34&amp;"!j41"),-1))</f>
        <v>18354430</v>
      </c>
      <c r="O34" s="228">
        <f ca="1">IF(YEAR('2026'!$B$1)&lt;$C34,"",ROUND(INDIRECT($C34&amp;"!k41"),-1))</f>
        <v>10217910</v>
      </c>
      <c r="P34" s="228">
        <f ca="1">IF(YEAR('2026'!$B$1)&lt;$C34,"",ROUND(INDIRECT($C34&amp;"!l41"),-1))</f>
        <v>10200750</v>
      </c>
      <c r="Q34" s="228">
        <f ca="1">IF(YEAR('2026'!$B$1)&lt;$C34,"",ROUND(INDIRECT($C34&amp;"!m41"),-1))</f>
        <v>10511620</v>
      </c>
      <c r="R34" s="227">
        <f ca="1">IF(YEAR('2026'!$B$1)&lt;$C34,"",SUM(F34:Q34))</f>
        <v>163451600</v>
      </c>
    </row>
    <row r="35" spans="1:18" ht="9.75" customHeight="1">
      <c r="A35" s="230">
        <v>33</v>
      </c>
      <c r="B35" s="357">
        <f ca="1">'퇴직때까지의 총연봉액'!B35</f>
        <v>35</v>
      </c>
      <c r="C35" s="221">
        <f ca="1">'퇴직때까지의 총연봉액'!D35</f>
        <v>2057</v>
      </c>
      <c r="D35" s="385">
        <f ca="1">'퇴직때까지의 총연봉액'!C35</f>
        <v>60</v>
      </c>
      <c r="E35" s="222">
        <f ca="1">'퇴직때까지의 총연봉액'!E35</f>
        <v>45</v>
      </c>
      <c r="F35" s="228">
        <f ca="1">IF(YEAR('2026'!$B$1)&lt;$C35,"",ROUND(INDIRECT($C35&amp;"!b41"),-1))</f>
        <v>17920740</v>
      </c>
      <c r="G35" s="228">
        <f ca="1">IF(YEAR('2026'!$B$1)&lt;$C35,"",ROUND(INDIRECT($C35&amp;"!c41"),-1))</f>
        <v>19307430</v>
      </c>
      <c r="H35" s="228">
        <f ca="1">IF(YEAR('2026'!$B$1)&lt;$C35,"",ROUND(INDIRECT($C35&amp;"!d41"),-1))</f>
        <v>20708260</v>
      </c>
      <c r="I35" s="228">
        <f ca="1">IF(YEAR('2026'!$B$1)&lt;$C35,"",ROUND(INDIRECT($C35&amp;"!e41"),-1))</f>
        <v>10818930</v>
      </c>
      <c r="J35" s="228">
        <f ca="1">IF(YEAR('2026'!$B$1)&lt;$C35,"",ROUND(INDIRECT($C35&amp;"!f41"),-1))</f>
        <v>10746080</v>
      </c>
      <c r="K35" s="228">
        <f ca="1">IF(YEAR('2026'!$B$1)&lt;$C35,"",ROUND(INDIRECT($C35&amp;"!g41"),-1))</f>
        <v>10728920</v>
      </c>
      <c r="L35" s="228">
        <f ca="1">IF(YEAR('2026'!$B$1)&lt;$C35,"",ROUND(INDIRECT($C35&amp;"!h41"),-1))</f>
        <v>17818050</v>
      </c>
      <c r="M35" s="228">
        <f ca="1">IF(YEAR('2026'!$B$1)&lt;$C35,"",ROUND(INDIRECT($C35&amp;"!i41"),-1))</f>
        <v>10694590</v>
      </c>
      <c r="N35" s="228">
        <f ca="1">IF(YEAR('2026'!$B$1)&lt;$C35,"",ROUND(INDIRECT($C35&amp;"!j41"),-1))</f>
        <v>19104100</v>
      </c>
      <c r="O35" s="228">
        <f ca="1">IF(YEAR('2026'!$B$1)&lt;$C35,"",ROUND(INDIRECT($C35&amp;"!k41"),-1))</f>
        <v>10660260</v>
      </c>
      <c r="P35" s="228">
        <f ca="1">IF(YEAR('2026'!$B$1)&lt;$C35,"",ROUND(INDIRECT($C35&amp;"!l41"),-1))</f>
        <v>10643100</v>
      </c>
      <c r="Q35" s="228">
        <f ca="1">IF(YEAR('2026'!$B$1)&lt;$C35,"",ROUND(INDIRECT($C35&amp;"!m41"),-1))</f>
        <v>10962180</v>
      </c>
      <c r="R35" s="227">
        <f ca="1">IF(YEAR('2026'!$B$1)&lt;$C35,"",SUM(F35:Q35))</f>
        <v>170112640</v>
      </c>
    </row>
    <row r="36" spans="1:18" ht="9.75" customHeight="1">
      <c r="A36" s="230">
        <v>34</v>
      </c>
      <c r="B36" s="357">
        <f ca="1">'퇴직때까지의 총연봉액'!B36</f>
        <v>36</v>
      </c>
      <c r="C36" s="221">
        <f ca="1">'퇴직때까지의 총연봉액'!D36</f>
        <v>2058</v>
      </c>
      <c r="D36" s="385">
        <f ca="1">'퇴직때까지의 총연봉액'!C36</f>
        <v>61</v>
      </c>
      <c r="E36" s="222">
        <f ca="1">'퇴직때까지의 총연봉액'!E36</f>
        <v>46</v>
      </c>
      <c r="F36" s="228">
        <f ca="1">IF(YEAR('2026'!$B$1)&lt;$C36,"",ROUND(INDIRECT($C36&amp;"!b41"),-1))</f>
        <v>27374060</v>
      </c>
      <c r="G36" s="228">
        <f ca="1">IF(YEAR('2026'!$B$1)&lt;$C36,"",ROUND(INDIRECT($C36&amp;"!c41"),-1))</f>
        <v>11331880</v>
      </c>
      <c r="H36" s="228">
        <f ca="1">IF(YEAR('2026'!$B$1)&lt;$C36,"",ROUND(INDIRECT($C36&amp;"!d41"),-1))</f>
        <v>21401910</v>
      </c>
      <c r="I36" s="228">
        <f ca="1">IF(YEAR('2026'!$B$1)&lt;$C36,"",ROUND(INDIRECT($C36&amp;"!e41"),-1))</f>
        <v>11277570</v>
      </c>
      <c r="J36" s="228">
        <f ca="1">IF(YEAR('2026'!$B$1)&lt;$C36,"",ROUND(INDIRECT($C36&amp;"!f41"),-1))</f>
        <v>11201140</v>
      </c>
      <c r="K36" s="228">
        <f ca="1">IF(YEAR('2026'!$B$1)&lt;$C36,"",ROUND(INDIRECT($C36&amp;"!g41"),-1))</f>
        <v>11183980</v>
      </c>
      <c r="L36" s="228">
        <f ca="1">IF(YEAR('2026'!$B$1)&lt;$C36,"",ROUND(INDIRECT($C36&amp;"!h41"),-1))</f>
        <v>18540160</v>
      </c>
      <c r="M36" s="228">
        <f ca="1">IF(YEAR('2026'!$B$1)&lt;$C36,"",ROUND(INDIRECT($C36&amp;"!i41"),-1))</f>
        <v>11149650</v>
      </c>
      <c r="N36" s="228">
        <f ca="1">IF(YEAR('2026'!$B$1)&lt;$C36,"",ROUND(INDIRECT($C36&amp;"!j41"),-1))</f>
        <v>11029080</v>
      </c>
      <c r="O36" s="228">
        <f ca="1">IF(YEAR('2026'!$B$1)&lt;$C36,"",ROUND(INDIRECT($C36&amp;"!k41"),-1))</f>
        <v>19963340</v>
      </c>
      <c r="P36" s="228">
        <f ca="1">IF(YEAR('2026'!$B$1)&lt;$C36,"",ROUND(INDIRECT($C36&amp;"!l41"),-1))</f>
        <v>11098160</v>
      </c>
      <c r="Q36" s="228">
        <f ca="1">IF(YEAR('2026'!$B$1)&lt;$C36,"",ROUND(INDIRECT($C36&amp;"!m41"),-1))</f>
        <v>11425640</v>
      </c>
      <c r="R36" s="227">
        <f ca="1">IF(YEAR('2026'!$B$1)&lt;$C36,"",SUM(F36:Q36))</f>
        <v>176976570</v>
      </c>
    </row>
    <row r="37" spans="1:18" ht="9.75" customHeight="1">
      <c r="A37" s="230">
        <v>35</v>
      </c>
      <c r="B37" s="357">
        <f ca="1">'퇴직때까지의 총연봉액'!B37</f>
        <v>37</v>
      </c>
      <c r="C37" s="221">
        <f ca="1">'퇴직때까지의 총연봉액'!D37</f>
        <v>2059</v>
      </c>
      <c r="D37" s="385">
        <f ca="1">'퇴직때까지의 총연봉액'!C37</f>
        <v>62</v>
      </c>
      <c r="E37" s="222">
        <f ca="1">'퇴직때까지의 총연봉액'!E37</f>
        <v>47</v>
      </c>
      <c r="F37" s="228">
        <f ca="1">IF(YEAR('2026'!$B$1)&lt;$C37,"",ROUND(INDIRECT($C37&amp;"!b41"),-1))</f>
        <v>20518840</v>
      </c>
      <c r="G37" s="228">
        <f ca="1">IF(YEAR('2026'!$B$1)&lt;$C37,"",ROUND(INDIRECT($C37&amp;"!c41"),-1))</f>
        <v>22028200</v>
      </c>
      <c r="H37" s="228">
        <f ca="1">IF(YEAR('2026'!$B$1)&lt;$C37,"",ROUND(INDIRECT($C37&amp;"!d41"),-1))</f>
        <v>0</v>
      </c>
      <c r="I37" s="228">
        <f ca="1">IF(YEAR('2026'!$B$1)&lt;$C37,"",ROUND(INDIRECT($C37&amp;"!e41"),-1))</f>
        <v>0</v>
      </c>
      <c r="J37" s="228">
        <f ca="1">IF(YEAR('2026'!$B$1)&lt;$C37,"",ROUND(INDIRECT($C37&amp;"!f41"),-1))</f>
        <v>0</v>
      </c>
      <c r="K37" s="228">
        <f ca="1">IF(YEAR('2026'!$B$1)&lt;$C37,"",ROUND(INDIRECT($C37&amp;"!g41"),-1))</f>
        <v>0</v>
      </c>
      <c r="L37" s="228">
        <f ca="1">IF(YEAR('2026'!$B$1)&lt;$C37,"",ROUND(INDIRECT($C37&amp;"!h41"),-1))</f>
        <v>0</v>
      </c>
      <c r="M37" s="228">
        <f ca="1">IF(YEAR('2026'!$B$1)&lt;$C37,"",ROUND(INDIRECT($C37&amp;"!i41"),-1))</f>
        <v>0</v>
      </c>
      <c r="N37" s="228">
        <f ca="1">IF(YEAR('2026'!$B$1)&lt;$C37,"",ROUND(INDIRECT($C37&amp;"!j41"),-1))</f>
        <v>0</v>
      </c>
      <c r="O37" s="228">
        <f ca="1">IF(YEAR('2026'!$B$1)&lt;$C37,"",ROUND(INDIRECT($C37&amp;"!k41"),-1))</f>
        <v>0</v>
      </c>
      <c r="P37" s="228">
        <f ca="1">IF(YEAR('2026'!$B$1)&lt;$C37,"",ROUND(INDIRECT($C37&amp;"!l41"),-1))</f>
        <v>0</v>
      </c>
      <c r="Q37" s="228">
        <f ca="1">IF(YEAR('2026'!$B$1)&lt;$C37,"",ROUND(INDIRECT($C37&amp;"!m41"),-1))</f>
        <v>0</v>
      </c>
      <c r="R37" s="227">
        <f ca="1">IF(YEAR('2026'!$B$1)&lt;$C37,"",SUM(F37:Q37))</f>
        <v>42547040</v>
      </c>
    </row>
    <row r="38" spans="1:18" ht="9.75" customHeight="1">
      <c r="A38" s="230">
        <v>36</v>
      </c>
      <c r="B38" s="357" t="str">
        <f ca="1">'퇴직때까지의 총연봉액'!B38</f>
        <v/>
      </c>
      <c r="C38" s="221">
        <f ca="1">'퇴직때까지의 총연봉액'!D38</f>
        <v>2060</v>
      </c>
      <c r="D38" s="385" t="str">
        <f ca="1">'퇴직때까지의 총연봉액'!C38</f>
        <v/>
      </c>
      <c r="E38" s="222" t="str">
        <f ca="1">'퇴직때까지의 총연봉액'!E38</f>
        <v/>
      </c>
      <c r="F38" s="228" t="str">
        <f ca="1">IF(YEAR('2026'!$B$1)&lt;$C38,"",ROUND(INDIRECT($C38&amp;"!b41"),-1))</f>
        <v/>
      </c>
      <c r="G38" s="228" t="str">
        <f ca="1">IF(YEAR('2026'!$B$1)&lt;$C38,"",ROUND(INDIRECT($C38&amp;"!c41"),-1))</f>
        <v/>
      </c>
      <c r="H38" s="228" t="str">
        <f ca="1">IF(YEAR('2026'!$B$1)&lt;$C38,"",ROUND(INDIRECT($C38&amp;"!d41"),-1))</f>
        <v/>
      </c>
      <c r="I38" s="228" t="str">
        <f ca="1">IF(YEAR('2026'!$B$1)&lt;$C38,"",ROUND(INDIRECT($C38&amp;"!e41"),-1))</f>
        <v/>
      </c>
      <c r="J38" s="228" t="str">
        <f ca="1">IF(YEAR('2026'!$B$1)&lt;$C38,"",ROUND(INDIRECT($C38&amp;"!f41"),-1))</f>
        <v/>
      </c>
      <c r="K38" s="228" t="str">
        <f ca="1">IF(YEAR('2026'!$B$1)&lt;$C38,"",ROUND(INDIRECT($C38&amp;"!g41"),-1))</f>
        <v/>
      </c>
      <c r="L38" s="228" t="str">
        <f ca="1">IF(YEAR('2026'!$B$1)&lt;$C38,"",ROUND(INDIRECT($C38&amp;"!h41"),-1))</f>
        <v/>
      </c>
      <c r="M38" s="228" t="str">
        <f ca="1">IF(YEAR('2026'!$B$1)&lt;$C38,"",ROUND(INDIRECT($C38&amp;"!i41"),-1))</f>
        <v/>
      </c>
      <c r="N38" s="228" t="str">
        <f ca="1">IF(YEAR('2026'!$B$1)&lt;$C38,"",ROUND(INDIRECT($C38&amp;"!j41"),-1))</f>
        <v/>
      </c>
      <c r="O38" s="228" t="str">
        <f ca="1">IF(YEAR('2026'!$B$1)&lt;$C38,"",ROUND(INDIRECT($C38&amp;"!k41"),-1))</f>
        <v/>
      </c>
      <c r="P38" s="228" t="str">
        <f ca="1">IF(YEAR('2026'!$B$1)&lt;$C38,"",ROUND(INDIRECT($C38&amp;"!l41"),-1))</f>
        <v/>
      </c>
      <c r="Q38" s="228" t="str">
        <f ca="1">IF(YEAR('2026'!$B$1)&lt;$C38,"",ROUND(INDIRECT($C38&amp;"!m41"),-1))</f>
        <v/>
      </c>
      <c r="R38" s="227" t="str">
        <f ca="1">IF(YEAR('2026'!$B$1)&lt;$C38,"",SUM(F38:Q38))</f>
        <v/>
      </c>
    </row>
    <row r="39" spans="1:18" ht="9.75" customHeight="1">
      <c r="A39" s="230">
        <v>37</v>
      </c>
      <c r="B39" s="357" t="str">
        <f ca="1">'퇴직때까지의 총연봉액'!B39</f>
        <v/>
      </c>
      <c r="C39" s="221">
        <f ca="1">'퇴직때까지의 총연봉액'!D39</f>
        <v>2061</v>
      </c>
      <c r="D39" s="385" t="str">
        <f ca="1">'퇴직때까지의 총연봉액'!C39</f>
        <v/>
      </c>
      <c r="E39" s="222" t="str">
        <f ca="1">'퇴직때까지의 총연봉액'!E39</f>
        <v/>
      </c>
      <c r="F39" s="228" t="str">
        <f ca="1">IF(YEAR('2026'!$B$1)&lt;$C39,"",ROUND(INDIRECT($C39&amp;"!b41"),-1))</f>
        <v/>
      </c>
      <c r="G39" s="228" t="str">
        <f ca="1">IF(YEAR('2026'!$B$1)&lt;$C39,"",ROUND(INDIRECT($C39&amp;"!c41"),-1))</f>
        <v/>
      </c>
      <c r="H39" s="228" t="str">
        <f ca="1">IF(YEAR('2026'!$B$1)&lt;$C39,"",ROUND(INDIRECT($C39&amp;"!d41"),-1))</f>
        <v/>
      </c>
      <c r="I39" s="228" t="str">
        <f ca="1">IF(YEAR('2026'!$B$1)&lt;$C39,"",ROUND(INDIRECT($C39&amp;"!e41"),-1))</f>
        <v/>
      </c>
      <c r="J39" s="228" t="str">
        <f ca="1">IF(YEAR('2026'!$B$1)&lt;$C39,"",ROUND(INDIRECT($C39&amp;"!f41"),-1))</f>
        <v/>
      </c>
      <c r="K39" s="228" t="str">
        <f ca="1">IF(YEAR('2026'!$B$1)&lt;$C39,"",ROUND(INDIRECT($C39&amp;"!g41"),-1))</f>
        <v/>
      </c>
      <c r="L39" s="228" t="str">
        <f ca="1">IF(YEAR('2026'!$B$1)&lt;$C39,"",ROUND(INDIRECT($C39&amp;"!h41"),-1))</f>
        <v/>
      </c>
      <c r="M39" s="228" t="str">
        <f ca="1">IF(YEAR('2026'!$B$1)&lt;$C39,"",ROUND(INDIRECT($C39&amp;"!i41"),-1))</f>
        <v/>
      </c>
      <c r="N39" s="228" t="str">
        <f ca="1">IF(YEAR('2026'!$B$1)&lt;$C39,"",ROUND(INDIRECT($C39&amp;"!j41"),-1))</f>
        <v/>
      </c>
      <c r="O39" s="228" t="str">
        <f ca="1">IF(YEAR('2026'!$B$1)&lt;$C39,"",ROUND(INDIRECT($C39&amp;"!k41"),-1))</f>
        <v/>
      </c>
      <c r="P39" s="228" t="str">
        <f ca="1">IF(YEAR('2026'!$B$1)&lt;$C39,"",ROUND(INDIRECT($C39&amp;"!l41"),-1))</f>
        <v/>
      </c>
      <c r="Q39" s="228" t="str">
        <f ca="1">IF(YEAR('2026'!$B$1)&lt;$C39,"",ROUND(INDIRECT($C39&amp;"!m41"),-1))</f>
        <v/>
      </c>
      <c r="R39" s="227" t="str">
        <f ca="1">IF(YEAR('2026'!$B$1)&lt;$C39,"",SUM(F39:Q39))</f>
        <v/>
      </c>
    </row>
    <row r="40" spans="1:18" ht="9.75" customHeight="1">
      <c r="A40" s="230">
        <v>38</v>
      </c>
      <c r="B40" s="357" t="str">
        <f ca="1">'퇴직때까지의 총연봉액'!B40</f>
        <v/>
      </c>
      <c r="C40" s="221">
        <f ca="1">'퇴직때까지의 총연봉액'!D40</f>
        <v>2062</v>
      </c>
      <c r="D40" s="385" t="str">
        <f ca="1">'퇴직때까지의 총연봉액'!C40</f>
        <v/>
      </c>
      <c r="E40" s="222" t="str">
        <f ca="1">'퇴직때까지의 총연봉액'!E40</f>
        <v/>
      </c>
      <c r="F40" s="228" t="str">
        <f ca="1">IF(YEAR('2026'!$B$1)&lt;$C40,"",ROUND(INDIRECT($C40&amp;"!b41"),-1))</f>
        <v/>
      </c>
      <c r="G40" s="228" t="str">
        <f ca="1">IF(YEAR('2026'!$B$1)&lt;$C40,"",ROUND(INDIRECT($C40&amp;"!c41"),-1))</f>
        <v/>
      </c>
      <c r="H40" s="228" t="str">
        <f ca="1">IF(YEAR('2026'!$B$1)&lt;$C40,"",ROUND(INDIRECT($C40&amp;"!d41"),-1))</f>
        <v/>
      </c>
      <c r="I40" s="228" t="str">
        <f ca="1">IF(YEAR('2026'!$B$1)&lt;$C40,"",ROUND(INDIRECT($C40&amp;"!e41"),-1))</f>
        <v/>
      </c>
      <c r="J40" s="228" t="str">
        <f ca="1">IF(YEAR('2026'!$B$1)&lt;$C40,"",ROUND(INDIRECT($C40&amp;"!f41"),-1))</f>
        <v/>
      </c>
      <c r="K40" s="228" t="str">
        <f ca="1">IF(YEAR('2026'!$B$1)&lt;$C40,"",ROUND(INDIRECT($C40&amp;"!g41"),-1))</f>
        <v/>
      </c>
      <c r="L40" s="228" t="str">
        <f ca="1">IF(YEAR('2026'!$B$1)&lt;$C40,"",ROUND(INDIRECT($C40&amp;"!h41"),-1))</f>
        <v/>
      </c>
      <c r="M40" s="228" t="str">
        <f ca="1">IF(YEAR('2026'!$B$1)&lt;$C40,"",ROUND(INDIRECT($C40&amp;"!i41"),-1))</f>
        <v/>
      </c>
      <c r="N40" s="228" t="str">
        <f ca="1">IF(YEAR('2026'!$B$1)&lt;$C40,"",ROUND(INDIRECT($C40&amp;"!j41"),-1))</f>
        <v/>
      </c>
      <c r="O40" s="228" t="str">
        <f ca="1">IF(YEAR('2026'!$B$1)&lt;$C40,"",ROUND(INDIRECT($C40&amp;"!k41"),-1))</f>
        <v/>
      </c>
      <c r="P40" s="228" t="str">
        <f ca="1">IF(YEAR('2026'!$B$1)&lt;$C40,"",ROUND(INDIRECT($C40&amp;"!l41"),-1))</f>
        <v/>
      </c>
      <c r="Q40" s="228" t="str">
        <f ca="1">IF(YEAR('2026'!$B$1)&lt;$C40,"",ROUND(INDIRECT($C40&amp;"!m41"),-1))</f>
        <v/>
      </c>
      <c r="R40" s="227" t="str">
        <f ca="1">IF(YEAR('2026'!$B$1)&lt;$C40,"",SUM(F40:Q40))</f>
        <v/>
      </c>
    </row>
    <row r="41" spans="1:18" ht="9.75" customHeight="1">
      <c r="A41" s="230">
        <v>39</v>
      </c>
      <c r="B41" s="357" t="str">
        <f ca="1">'퇴직때까지의 총연봉액'!B41</f>
        <v/>
      </c>
      <c r="C41" s="221">
        <f ca="1">'퇴직때까지의 총연봉액'!D41</f>
        <v>2063</v>
      </c>
      <c r="D41" s="385" t="str">
        <f ca="1">'퇴직때까지의 총연봉액'!C41</f>
        <v/>
      </c>
      <c r="E41" s="222" t="str">
        <f ca="1">'퇴직때까지의 총연봉액'!E41</f>
        <v/>
      </c>
      <c r="F41" s="228" t="str">
        <f ca="1">IF(YEAR('2026'!$B$1)&lt;$C41,"",ROUND(INDIRECT($C41&amp;"!b41"),-1))</f>
        <v/>
      </c>
      <c r="G41" s="228" t="str">
        <f ca="1">IF(YEAR('2026'!$B$1)&lt;$C41,"",ROUND(INDIRECT($C41&amp;"!c41"),-1))</f>
        <v/>
      </c>
      <c r="H41" s="228" t="str">
        <f ca="1">IF(YEAR('2026'!$B$1)&lt;$C41,"",ROUND(INDIRECT($C41&amp;"!d41"),-1))</f>
        <v/>
      </c>
      <c r="I41" s="228" t="str">
        <f ca="1">IF(YEAR('2026'!$B$1)&lt;$C41,"",ROUND(INDIRECT($C41&amp;"!e41"),-1))</f>
        <v/>
      </c>
      <c r="J41" s="228" t="str">
        <f ca="1">IF(YEAR('2026'!$B$1)&lt;$C41,"",ROUND(INDIRECT($C41&amp;"!f41"),-1))</f>
        <v/>
      </c>
      <c r="K41" s="228" t="str">
        <f ca="1">IF(YEAR('2026'!$B$1)&lt;$C41,"",ROUND(INDIRECT($C41&amp;"!g41"),-1))</f>
        <v/>
      </c>
      <c r="L41" s="228" t="str">
        <f ca="1">IF(YEAR('2026'!$B$1)&lt;$C41,"",ROUND(INDIRECT($C41&amp;"!h41"),-1))</f>
        <v/>
      </c>
      <c r="M41" s="228" t="str">
        <f ca="1">IF(YEAR('2026'!$B$1)&lt;$C41,"",ROUND(INDIRECT($C41&amp;"!i41"),-1))</f>
        <v/>
      </c>
      <c r="N41" s="228" t="str">
        <f ca="1">IF(YEAR('2026'!$B$1)&lt;$C41,"",ROUND(INDIRECT($C41&amp;"!j41"),-1))</f>
        <v/>
      </c>
      <c r="O41" s="228" t="str">
        <f ca="1">IF(YEAR('2026'!$B$1)&lt;$C41,"",ROUND(INDIRECT($C41&amp;"!k41"),-1))</f>
        <v/>
      </c>
      <c r="P41" s="228" t="str">
        <f ca="1">IF(YEAR('2026'!$B$1)&lt;$C41,"",ROUND(INDIRECT($C41&amp;"!l41"),-1))</f>
        <v/>
      </c>
      <c r="Q41" s="228" t="str">
        <f ca="1">IF(YEAR('2026'!$B$1)&lt;$C41,"",ROUND(INDIRECT($C41&amp;"!m41"),-1))</f>
        <v/>
      </c>
      <c r="R41" s="227" t="str">
        <f ca="1">IF(YEAR('2026'!$B$1)&lt;$C41,"",SUM(F41:Q41))</f>
        <v/>
      </c>
    </row>
    <row r="42" spans="1:18" ht="9.75" customHeight="1">
      <c r="A42" s="230">
        <v>40</v>
      </c>
      <c r="B42" s="357" t="str">
        <f ca="1">'퇴직때까지의 총연봉액'!B42</f>
        <v/>
      </c>
      <c r="C42" s="221">
        <f ca="1">'퇴직때까지의 총연봉액'!D42</f>
        <v>2064</v>
      </c>
      <c r="D42" s="385" t="str">
        <f ca="1">'퇴직때까지의 총연봉액'!C42</f>
        <v/>
      </c>
      <c r="E42" s="222" t="str">
        <f ca="1">'퇴직때까지의 총연봉액'!E42</f>
        <v/>
      </c>
      <c r="F42" s="228" t="str">
        <f ca="1">IF(YEAR('2026'!$B$1)&lt;$C42,"",ROUND(INDIRECT($C42&amp;"!b41"),-1))</f>
        <v/>
      </c>
      <c r="G42" s="228" t="str">
        <f ca="1">IF(YEAR('2026'!$B$1)&lt;$C42,"",ROUND(INDIRECT($C42&amp;"!c41"),-1))</f>
        <v/>
      </c>
      <c r="H42" s="228" t="str">
        <f ca="1">IF(YEAR('2026'!$B$1)&lt;$C42,"",ROUND(INDIRECT($C42&amp;"!d41"),-1))</f>
        <v/>
      </c>
      <c r="I42" s="228" t="str">
        <f ca="1">IF(YEAR('2026'!$B$1)&lt;$C42,"",ROUND(INDIRECT($C42&amp;"!e41"),-1))</f>
        <v/>
      </c>
      <c r="J42" s="228" t="str">
        <f ca="1">IF(YEAR('2026'!$B$1)&lt;$C42,"",ROUND(INDIRECT($C42&amp;"!f41"),-1))</f>
        <v/>
      </c>
      <c r="K42" s="228" t="str">
        <f ca="1">IF(YEAR('2026'!$B$1)&lt;$C42,"",ROUND(INDIRECT($C42&amp;"!g41"),-1))</f>
        <v/>
      </c>
      <c r="L42" s="228" t="str">
        <f ca="1">IF(YEAR('2026'!$B$1)&lt;$C42,"",ROUND(INDIRECT($C42&amp;"!h41"),-1))</f>
        <v/>
      </c>
      <c r="M42" s="228" t="str">
        <f ca="1">IF(YEAR('2026'!$B$1)&lt;$C42,"",ROUND(INDIRECT($C42&amp;"!i41"),-1))</f>
        <v/>
      </c>
      <c r="N42" s="228" t="str">
        <f ca="1">IF(YEAR('2026'!$B$1)&lt;$C42,"",ROUND(INDIRECT($C42&amp;"!j41"),-1))</f>
        <v/>
      </c>
      <c r="O42" s="228" t="str">
        <f ca="1">IF(YEAR('2026'!$B$1)&lt;$C42,"",ROUND(INDIRECT($C42&amp;"!k41"),-1))</f>
        <v/>
      </c>
      <c r="P42" s="228" t="str">
        <f ca="1">IF(YEAR('2026'!$B$1)&lt;$C42,"",ROUND(INDIRECT($C42&amp;"!l41"),-1))</f>
        <v/>
      </c>
      <c r="Q42" s="228" t="str">
        <f ca="1">IF(YEAR('2026'!$B$1)&lt;$C42,"",ROUND(INDIRECT($C42&amp;"!m41"),-1))</f>
        <v/>
      </c>
      <c r="R42" s="227" t="str">
        <f ca="1">IF(YEAR('2026'!$B$1)&lt;$C42,"",SUM(F42:Q42))</f>
        <v/>
      </c>
    </row>
    <row r="43" spans="1:18" ht="9.75" customHeight="1">
      <c r="A43" s="230">
        <v>41</v>
      </c>
      <c r="B43" s="357" t="str">
        <f ca="1">'퇴직때까지의 총연봉액'!B43</f>
        <v/>
      </c>
      <c r="C43" s="221">
        <f ca="1">'퇴직때까지의 총연봉액'!D43</f>
        <v>2065</v>
      </c>
      <c r="D43" s="385" t="str">
        <f ca="1">'퇴직때까지의 총연봉액'!C43</f>
        <v/>
      </c>
      <c r="E43" s="222" t="str">
        <f ca="1">'퇴직때까지의 총연봉액'!E43</f>
        <v/>
      </c>
      <c r="F43" s="228" t="str">
        <f ca="1">IF(YEAR('2026'!$B$1)&lt;$C43,"",ROUND(INDIRECT($C43&amp;"!b41"),-1))</f>
        <v/>
      </c>
      <c r="G43" s="228" t="str">
        <f ca="1">IF(YEAR('2026'!$B$1)&lt;$C43,"",ROUND(INDIRECT($C43&amp;"!c41"),-1))</f>
        <v/>
      </c>
      <c r="H43" s="228" t="str">
        <f ca="1">IF(YEAR('2026'!$B$1)&lt;$C43,"",ROUND(INDIRECT($C43&amp;"!d41"),-1))</f>
        <v/>
      </c>
      <c r="I43" s="228" t="str">
        <f ca="1">IF(YEAR('2026'!$B$1)&lt;$C43,"",ROUND(INDIRECT($C43&amp;"!e41"),-1))</f>
        <v/>
      </c>
      <c r="J43" s="228" t="str">
        <f ca="1">IF(YEAR('2026'!$B$1)&lt;$C43,"",ROUND(INDIRECT($C43&amp;"!f41"),-1))</f>
        <v/>
      </c>
      <c r="K43" s="228" t="str">
        <f ca="1">IF(YEAR('2026'!$B$1)&lt;$C43,"",ROUND(INDIRECT($C43&amp;"!g41"),-1))</f>
        <v/>
      </c>
      <c r="L43" s="228" t="str">
        <f ca="1">IF(YEAR('2026'!$B$1)&lt;$C43,"",ROUND(INDIRECT($C43&amp;"!h41"),-1))</f>
        <v/>
      </c>
      <c r="M43" s="228" t="str">
        <f ca="1">IF(YEAR('2026'!$B$1)&lt;$C43,"",ROUND(INDIRECT($C43&amp;"!i41"),-1))</f>
        <v/>
      </c>
      <c r="N43" s="228" t="str">
        <f ca="1">IF(YEAR('2026'!$B$1)&lt;$C43,"",ROUND(INDIRECT($C43&amp;"!j41"),-1))</f>
        <v/>
      </c>
      <c r="O43" s="228" t="str">
        <f ca="1">IF(YEAR('2026'!$B$1)&lt;$C43,"",ROUND(INDIRECT($C43&amp;"!k41"),-1))</f>
        <v/>
      </c>
      <c r="P43" s="228" t="str">
        <f ca="1">IF(YEAR('2026'!$B$1)&lt;$C43,"",ROUND(INDIRECT($C43&amp;"!l41"),-1))</f>
        <v/>
      </c>
      <c r="Q43" s="228" t="str">
        <f ca="1">IF(YEAR('2026'!$B$1)&lt;$C43,"",ROUND(INDIRECT($C43&amp;"!m41"),-1))</f>
        <v/>
      </c>
      <c r="R43" s="227" t="str">
        <f ca="1">IF(YEAR('2026'!$B$1)&lt;$C43,"",SUM(F43:Q43))</f>
        <v/>
      </c>
    </row>
    <row r="44" spans="1:18" ht="9.75" customHeight="1">
      <c r="A44" s="1172">
        <f ca="1">SUM(F3:Q43)</f>
        <v>3131342800</v>
      </c>
      <c r="B44" s="1173"/>
      <c r="C44" s="1173"/>
      <c r="D44" s="1173"/>
      <c r="E44" s="1174"/>
      <c r="F44" s="223">
        <f t="shared" ref="F44:Q44" ca="1" si="0">SUM(F3:F43)</f>
        <v>387404290</v>
      </c>
      <c r="G44" s="223">
        <f t="shared" ca="1" si="0"/>
        <v>315653010</v>
      </c>
      <c r="H44" s="223">
        <f t="shared" ca="1" si="0"/>
        <v>429551120</v>
      </c>
      <c r="I44" s="223">
        <f t="shared" ca="1" si="0"/>
        <v>193213080</v>
      </c>
      <c r="J44" s="223">
        <f t="shared" ca="1" si="0"/>
        <v>191397510</v>
      </c>
      <c r="K44" s="223">
        <f t="shared" ca="1" si="0"/>
        <v>190984130</v>
      </c>
      <c r="L44" s="223">
        <f t="shared" ca="1" si="0"/>
        <v>316253000</v>
      </c>
      <c r="M44" s="223">
        <f t="shared" ca="1" si="0"/>
        <v>190115950</v>
      </c>
      <c r="N44" s="223">
        <f t="shared" ca="1" si="0"/>
        <v>303311830</v>
      </c>
      <c r="O44" s="223">
        <f t="shared" ca="1" si="0"/>
        <v>228718010</v>
      </c>
      <c r="P44" s="223">
        <f t="shared" ca="1" si="0"/>
        <v>188728080</v>
      </c>
      <c r="Q44" s="223">
        <f t="shared" ca="1" si="0"/>
        <v>196012790</v>
      </c>
      <c r="R44" s="227">
        <f ca="1">IF(YEAR('2026'!$B$1)&lt;$C44,"",SUM(F44:Q44))</f>
        <v>3131342800</v>
      </c>
    </row>
    <row r="46" spans="1:18" ht="9.75" customHeight="1">
      <c r="E46" s="225"/>
    </row>
  </sheetData>
  <sheetProtection algorithmName="SHA-512" hashValue="6L0r0JfZDH+QWHrGv4GAxpdigA1U7XFpA2LZL8qh3G2loXqhQou0x1BLq9AtQ/VFkNVJOTQEXIUOWovEBLISaQ==" saltValue="zdKDgPImg6gpx7KR6dzo6A==" spinCount="100000" sheet="1" objects="1" scenarios="1"/>
  <mergeCells count="5">
    <mergeCell ref="A1:F1"/>
    <mergeCell ref="G1:I1"/>
    <mergeCell ref="J1:N1"/>
    <mergeCell ref="Q1:R1"/>
    <mergeCell ref="A44:E44"/>
  </mergeCells>
  <phoneticPr fontId="167" type="noConversion"/>
  <printOptions horizontalCentered="1"/>
  <pageMargins left="0.19666667282581329" right="0.19666667282581329" top="0.55097222328186035" bottom="0.35430556535720825" header="0.31486111879348755" footer="0.31486111879348755"/>
  <pageSetup paperSize="9" orientation="landscape"/>
  <headerFooter>
    <oddFooter>&amp;R&amp;"맑은 고딕,Regular"&amp;8작성 : 교사카페 운영자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S46"/>
  <sheetViews>
    <sheetView zoomScale="140" zoomScaleNormal="140" zoomScaleSheetLayoutView="140" workbookViewId="0">
      <pane xSplit="5" ySplit="2" topLeftCell="F3" activePane="bottomRight" state="frozen"/>
      <selection pane="topRight"/>
      <selection pane="bottomLeft"/>
      <selection pane="bottomRight" activeCell="D40" sqref="D40"/>
    </sheetView>
  </sheetViews>
  <sheetFormatPr baseColWidth="10" defaultColWidth="9" defaultRowHeight="11"/>
  <cols>
    <col min="1" max="1" width="3.1640625" style="242" bestFit="1" customWidth="1"/>
    <col min="2" max="2" width="3.6640625" style="242" bestFit="1" customWidth="1"/>
    <col min="3" max="3" width="4.1640625" style="242" bestFit="1" customWidth="1"/>
    <col min="4" max="4" width="7" style="242" bestFit="1" customWidth="1"/>
    <col min="5" max="5" width="4.1640625" style="242" bestFit="1" customWidth="1"/>
    <col min="6" max="6" width="7.5" style="247" customWidth="1"/>
    <col min="7" max="17" width="7.5" style="242" customWidth="1"/>
    <col min="18" max="19" width="9.6640625" style="242" bestFit="1" customWidth="1"/>
    <col min="20" max="16384" width="9" style="242"/>
  </cols>
  <sheetData>
    <row r="1" spans="1:19">
      <c r="A1" s="1175" t="str">
        <f ca="1">'퇴직때까지의 총연봉액'!A1</f>
        <v>2025</v>
      </c>
      <c r="B1" s="1175"/>
      <c r="C1" s="1175"/>
      <c r="D1" s="1175"/>
      <c r="E1" s="1175"/>
      <c r="F1" s="1170" t="s">
        <v>416</v>
      </c>
      <c r="G1" s="1170"/>
      <c r="H1" s="1170"/>
      <c r="I1" s="1176" t="s">
        <v>425</v>
      </c>
      <c r="J1" s="1176"/>
      <c r="K1" s="1176"/>
      <c r="L1" s="1176"/>
      <c r="M1" s="1176"/>
      <c r="N1" s="358"/>
      <c r="O1" s="240"/>
      <c r="P1" s="1177">
        <f>'2026'!B1</f>
        <v>58134</v>
      </c>
      <c r="Q1" s="1177"/>
      <c r="R1" s="241"/>
    </row>
    <row r="2" spans="1:19" s="245" customFormat="1" ht="12">
      <c r="A2" s="374" t="s">
        <v>504</v>
      </c>
      <c r="B2" s="374" t="s">
        <v>464</v>
      </c>
      <c r="C2" s="243" t="s">
        <v>500</v>
      </c>
      <c r="D2" s="243" t="s">
        <v>228</v>
      </c>
      <c r="E2" s="244" t="s">
        <v>439</v>
      </c>
      <c r="F2" s="243" t="s">
        <v>520</v>
      </c>
      <c r="G2" s="243" t="s">
        <v>524</v>
      </c>
      <c r="H2" s="243" t="s">
        <v>519</v>
      </c>
      <c r="I2" s="243" t="s">
        <v>526</v>
      </c>
      <c r="J2" s="243" t="s">
        <v>521</v>
      </c>
      <c r="K2" s="243" t="s">
        <v>530</v>
      </c>
      <c r="L2" s="243" t="s">
        <v>528</v>
      </c>
      <c r="M2" s="243" t="s">
        <v>534</v>
      </c>
      <c r="N2" s="243" t="s">
        <v>522</v>
      </c>
      <c r="O2" s="243" t="s">
        <v>551</v>
      </c>
      <c r="P2" s="243" t="s">
        <v>517</v>
      </c>
      <c r="Q2" s="243" t="s">
        <v>525</v>
      </c>
      <c r="R2" s="581" t="s">
        <v>510</v>
      </c>
    </row>
    <row r="3" spans="1:19" ht="9.75" customHeight="1">
      <c r="A3" s="582">
        <v>1</v>
      </c>
      <c r="B3" s="583">
        <f ca="1">'퇴직때까지의 총연봉액'!B3</f>
        <v>2</v>
      </c>
      <c r="C3" s="584">
        <f ca="1">'퇴직때까지의 총연봉액'!D3</f>
        <v>2025</v>
      </c>
      <c r="D3" s="585">
        <f ca="1">월별실수령액총괄표!D3</f>
        <v>28</v>
      </c>
      <c r="E3" s="586">
        <f ca="1">'퇴직때까지의 총연봉액'!E3</f>
        <v>12</v>
      </c>
      <c r="F3" s="587">
        <f ca="1">IF(YEAR('2026'!$B$1)&lt;$C3,"",ROUNDDOWN(INDIRECT($C3&amp;"!b52"),-1))</f>
        <v>100</v>
      </c>
      <c r="G3" s="587">
        <f ca="1">IF(YEAR('2026'!$B$1)&lt;$C3,"",ROUNDDOWN(INDIRECT($C3&amp;"!c52"),-1))</f>
        <v>100</v>
      </c>
      <c r="H3" s="587">
        <f ca="1">IF(YEAR('2026'!$B$1)&lt;$C3,"",ROUNDDOWN(INDIRECT($C3&amp;"!d52"),-1))</f>
        <v>100</v>
      </c>
      <c r="I3" s="587">
        <f ca="1">IF(YEAR('2026'!$B$1)&lt;$C3,"",ROUNDDOWN(INDIRECT($C3&amp;"!e52"),-1))</f>
        <v>100</v>
      </c>
      <c r="J3" s="587">
        <f ca="1">IF(YEAR('2026'!$B$1)&lt;$C3,"",ROUNDDOWN(INDIRECT($C3&amp;"!f52"),-1))</f>
        <v>100</v>
      </c>
      <c r="K3" s="587">
        <f ca="1">IF(YEAR('2026'!$B$1)&lt;$C3,"",ROUNDDOWN(INDIRECT($C3&amp;"!g52"),-1))</f>
        <v>100</v>
      </c>
      <c r="L3" s="587">
        <f ca="1">IF(YEAR('2026'!$B$1)&lt;$C3,"",ROUNDDOWN(INDIRECT($C3&amp;"!h52"),-1))</f>
        <v>100</v>
      </c>
      <c r="M3" s="587">
        <f ca="1">IF(YEAR('2026'!$B$1)&lt;$C3,"",ROUNDDOWN(INDIRECT($C3&amp;"!i52"),-1))</f>
        <v>100</v>
      </c>
      <c r="N3" s="587">
        <f ca="1">IF(YEAR('2026'!$B$1)&lt;$C3,"",ROUNDDOWN(INDIRECT($C3&amp;"!j52"),-1))</f>
        <v>100</v>
      </c>
      <c r="O3" s="587">
        <f ca="1">IF(YEAR('2026'!$B$1)&lt;$C3,"",ROUNDDOWN(INDIRECT($C3&amp;"!k52"),-1))</f>
        <v>100</v>
      </c>
      <c r="P3" s="587">
        <f ca="1">IF(YEAR('2026'!$B$1)&lt;$C3,"",ROUNDDOWN(INDIRECT($C3&amp;"!l52"),-1))</f>
        <v>100</v>
      </c>
      <c r="Q3" s="587">
        <f ca="1">IF(YEAR('2026'!$B$1)&lt;$C3,"",ROUNDDOWN(INDIRECT($C3&amp;"!m52"),-1))</f>
        <v>100</v>
      </c>
      <c r="R3" s="588">
        <f ca="1">IF(D3="","",SUM(F3:Q3))</f>
        <v>1200</v>
      </c>
      <c r="S3" s="246"/>
    </row>
    <row r="4" spans="1:19" ht="9.75" customHeight="1">
      <c r="A4" s="582">
        <v>2</v>
      </c>
      <c r="B4" s="583">
        <f ca="1">'퇴직때까지의 총연봉액'!B4</f>
        <v>4</v>
      </c>
      <c r="C4" s="584">
        <f ca="1">'퇴직때까지의 총연봉액'!D4</f>
        <v>2026</v>
      </c>
      <c r="D4" s="585">
        <f ca="1">월별실수령액총괄표!D4</f>
        <v>29</v>
      </c>
      <c r="E4" s="586">
        <f ca="1">'퇴직때까지의 총연봉액'!E4</f>
        <v>14</v>
      </c>
      <c r="F4" s="587">
        <f ca="1">IF(YEAR('2026'!$B$1)&lt;$C4,"",ROUNDDOWN(INDIRECT($C4&amp;"!b52"),-1))</f>
        <v>100</v>
      </c>
      <c r="G4" s="587">
        <f ca="1">IF(YEAR('2026'!$B$1)&lt;$C4,"",ROUNDDOWN(INDIRECT($C4&amp;"!c52"),-1))</f>
        <v>100</v>
      </c>
      <c r="H4" s="587">
        <f ca="1">IF(YEAR('2026'!$B$1)&lt;$C4,"",ROUNDDOWN(INDIRECT($C4&amp;"!d52"),-1))</f>
        <v>100</v>
      </c>
      <c r="I4" s="587">
        <f ca="1">IF(YEAR('2026'!$B$1)&lt;$C4,"",ROUNDDOWN(INDIRECT($C4&amp;"!e52"),-1))</f>
        <v>100</v>
      </c>
      <c r="J4" s="587">
        <f ca="1">IF(YEAR('2026'!$B$1)&lt;$C4,"",ROUNDDOWN(INDIRECT($C4&amp;"!f52"),-1))</f>
        <v>100</v>
      </c>
      <c r="K4" s="587">
        <f ca="1">IF(YEAR('2026'!$B$1)&lt;$C4,"",ROUNDDOWN(INDIRECT($C4&amp;"!g52"),-1))</f>
        <v>100</v>
      </c>
      <c r="L4" s="587">
        <f ca="1">IF(YEAR('2026'!$B$1)&lt;$C4,"",ROUNDDOWN(INDIRECT($C4&amp;"!h52"),-1))</f>
        <v>100</v>
      </c>
      <c r="M4" s="587">
        <f ca="1">IF(YEAR('2026'!$B$1)&lt;$C4,"",ROUNDDOWN(INDIRECT($C4&amp;"!i52"),-1))</f>
        <v>100</v>
      </c>
      <c r="N4" s="587">
        <f ca="1">IF(YEAR('2026'!$B$1)&lt;$C4,"",ROUNDDOWN(INDIRECT($C4&amp;"!j52"),-1))</f>
        <v>100</v>
      </c>
      <c r="O4" s="587">
        <f ca="1">IF(YEAR('2026'!$B$1)&lt;$C4,"",ROUNDDOWN(INDIRECT($C4&amp;"!k52"),-1))</f>
        <v>100</v>
      </c>
      <c r="P4" s="587">
        <f ca="1">IF(YEAR('2026'!$B$1)&lt;$C4,"",ROUNDDOWN(INDIRECT($C4&amp;"!l52"),-1))</f>
        <v>100</v>
      </c>
      <c r="Q4" s="587">
        <f ca="1">IF(YEAR('2026'!$B$1)&lt;$C4,"",ROUNDDOWN(INDIRECT($C4&amp;"!m52"),-1))</f>
        <v>100</v>
      </c>
      <c r="R4" s="588">
        <f t="shared" ref="R4:R43" ca="1" si="0">IF(D4="","",SUM(F4:Q4))</f>
        <v>1200</v>
      </c>
    </row>
    <row r="5" spans="1:19" ht="9.75" customHeight="1">
      <c r="A5" s="582">
        <v>3</v>
      </c>
      <c r="B5" s="583">
        <f ca="1">'퇴직때까지의 총연봉액'!B5</f>
        <v>5</v>
      </c>
      <c r="C5" s="584">
        <f ca="1">'퇴직때까지의 총연봉액'!D5</f>
        <v>2027</v>
      </c>
      <c r="D5" s="585">
        <f ca="1">월별실수령액총괄표!D5</f>
        <v>30</v>
      </c>
      <c r="E5" s="586">
        <f ca="1">'퇴직때까지의 총연봉액'!E5</f>
        <v>15</v>
      </c>
      <c r="F5" s="587">
        <f ca="1">IF(YEAR('2026'!$B$1)&lt;$C5,"",ROUNDDOWN(INDIRECT($C5&amp;"!b52"),-1))</f>
        <v>100</v>
      </c>
      <c r="G5" s="587">
        <f ca="1">IF(YEAR('2026'!$B$1)&lt;$C5,"",ROUNDDOWN(INDIRECT($C5&amp;"!c52"),-1))</f>
        <v>100</v>
      </c>
      <c r="H5" s="587">
        <f ca="1">IF(YEAR('2026'!$B$1)&lt;$C5,"",ROUNDDOWN(INDIRECT($C5&amp;"!d52"),-1))</f>
        <v>100</v>
      </c>
      <c r="I5" s="587">
        <f ca="1">IF(YEAR('2026'!$B$1)&lt;$C5,"",ROUNDDOWN(INDIRECT($C5&amp;"!e52"),-1))</f>
        <v>100</v>
      </c>
      <c r="J5" s="587">
        <f ca="1">IF(YEAR('2026'!$B$1)&lt;$C5,"",ROUNDDOWN(INDIRECT($C5&amp;"!f52"),-1))</f>
        <v>100</v>
      </c>
      <c r="K5" s="587">
        <f ca="1">IF(YEAR('2026'!$B$1)&lt;$C5,"",ROUNDDOWN(INDIRECT($C5&amp;"!g52"),-1))</f>
        <v>100</v>
      </c>
      <c r="L5" s="587">
        <f ca="1">IF(YEAR('2026'!$B$1)&lt;$C5,"",ROUNDDOWN(INDIRECT($C5&amp;"!h52"),-1))</f>
        <v>100</v>
      </c>
      <c r="M5" s="587">
        <f ca="1">IF(YEAR('2026'!$B$1)&lt;$C5,"",ROUNDDOWN(INDIRECT($C5&amp;"!i52"),-1))</f>
        <v>100</v>
      </c>
      <c r="N5" s="587">
        <f ca="1">IF(YEAR('2026'!$B$1)&lt;$C5,"",ROUNDDOWN(INDIRECT($C5&amp;"!j52"),-1))</f>
        <v>100</v>
      </c>
      <c r="O5" s="587">
        <f ca="1">IF(YEAR('2026'!$B$1)&lt;$C5,"",ROUNDDOWN(INDIRECT($C5&amp;"!k52"),-1))</f>
        <v>100</v>
      </c>
      <c r="P5" s="587">
        <f ca="1">IF(YEAR('2026'!$B$1)&lt;$C5,"",ROUNDDOWN(INDIRECT($C5&amp;"!l52"),-1))</f>
        <v>100</v>
      </c>
      <c r="Q5" s="587">
        <f ca="1">IF(YEAR('2026'!$B$1)&lt;$C5,"",ROUNDDOWN(INDIRECT($C5&amp;"!m52"),-1))</f>
        <v>100</v>
      </c>
      <c r="R5" s="588">
        <f t="shared" ca="1" si="0"/>
        <v>1200</v>
      </c>
    </row>
    <row r="6" spans="1:19" ht="9.75" customHeight="1">
      <c r="A6" s="582">
        <v>4</v>
      </c>
      <c r="B6" s="583">
        <f ca="1">'퇴직때까지의 총연봉액'!B6</f>
        <v>6</v>
      </c>
      <c r="C6" s="584">
        <f ca="1">'퇴직때까지의 총연봉액'!D6</f>
        <v>2028</v>
      </c>
      <c r="D6" s="585">
        <f ca="1">월별실수령액총괄표!D6</f>
        <v>31</v>
      </c>
      <c r="E6" s="586">
        <f ca="1">'퇴직때까지의 총연봉액'!E6</f>
        <v>16</v>
      </c>
      <c r="F6" s="587">
        <f ca="1">IF(YEAR('2026'!$B$1)&lt;$C6,"",ROUNDDOWN(INDIRECT($C6&amp;"!b52"),-1))</f>
        <v>100</v>
      </c>
      <c r="G6" s="587">
        <f ca="1">IF(YEAR('2026'!$B$1)&lt;$C6,"",ROUNDDOWN(INDIRECT($C6&amp;"!c52"),-1))</f>
        <v>100</v>
      </c>
      <c r="H6" s="587">
        <f ca="1">IF(YEAR('2026'!$B$1)&lt;$C6,"",ROUNDDOWN(INDIRECT($C6&amp;"!d52"),-1))</f>
        <v>100</v>
      </c>
      <c r="I6" s="587">
        <f ca="1">IF(YEAR('2026'!$B$1)&lt;$C6,"",ROUNDDOWN(INDIRECT($C6&amp;"!e52"),-1))</f>
        <v>100</v>
      </c>
      <c r="J6" s="587">
        <f ca="1">IF(YEAR('2026'!$B$1)&lt;$C6,"",ROUNDDOWN(INDIRECT($C6&amp;"!f52"),-1))</f>
        <v>100</v>
      </c>
      <c r="K6" s="587">
        <f ca="1">IF(YEAR('2026'!$B$1)&lt;$C6,"",ROUNDDOWN(INDIRECT($C6&amp;"!g52"),-1))</f>
        <v>100</v>
      </c>
      <c r="L6" s="587">
        <f ca="1">IF(YEAR('2026'!$B$1)&lt;$C6,"",ROUNDDOWN(INDIRECT($C6&amp;"!h52"),-1))</f>
        <v>100</v>
      </c>
      <c r="M6" s="587">
        <f ca="1">IF(YEAR('2026'!$B$1)&lt;$C6,"",ROUNDDOWN(INDIRECT($C6&amp;"!i52"),-1))</f>
        <v>100</v>
      </c>
      <c r="N6" s="587">
        <f ca="1">IF(YEAR('2026'!$B$1)&lt;$C6,"",ROUNDDOWN(INDIRECT($C6&amp;"!j52"),-1))</f>
        <v>100</v>
      </c>
      <c r="O6" s="587">
        <f ca="1">IF(YEAR('2026'!$B$1)&lt;$C6,"",ROUNDDOWN(INDIRECT($C6&amp;"!k52"),-1))</f>
        <v>100</v>
      </c>
      <c r="P6" s="587">
        <f ca="1">IF(YEAR('2026'!$B$1)&lt;$C6,"",ROUNDDOWN(INDIRECT($C6&amp;"!l52"),-1))</f>
        <v>100</v>
      </c>
      <c r="Q6" s="587">
        <f ca="1">IF(YEAR('2026'!$B$1)&lt;$C6,"",ROUNDDOWN(INDIRECT($C6&amp;"!m52"),-1))</f>
        <v>100</v>
      </c>
      <c r="R6" s="588">
        <f t="shared" ca="1" si="0"/>
        <v>1200</v>
      </c>
    </row>
    <row r="7" spans="1:19" ht="9.75" customHeight="1">
      <c r="A7" s="582">
        <v>5</v>
      </c>
      <c r="B7" s="583">
        <f ca="1">'퇴직때까지의 총연봉액'!B7</f>
        <v>7</v>
      </c>
      <c r="C7" s="584">
        <f ca="1">'퇴직때까지의 총연봉액'!D7</f>
        <v>2029</v>
      </c>
      <c r="D7" s="585">
        <f ca="1">월별실수령액총괄표!D7</f>
        <v>32</v>
      </c>
      <c r="E7" s="586">
        <f ca="1">'퇴직때까지의 총연봉액'!E7</f>
        <v>17</v>
      </c>
      <c r="F7" s="587">
        <f ca="1">IF(YEAR('2026'!$B$1)&lt;$C7,"",ROUNDDOWN(INDIRECT($C7&amp;"!b52"),-1))</f>
        <v>100</v>
      </c>
      <c r="G7" s="587">
        <f ca="1">IF(YEAR('2026'!$B$1)&lt;$C7,"",ROUNDDOWN(INDIRECT($C7&amp;"!c52"),-1))</f>
        <v>100</v>
      </c>
      <c r="H7" s="587">
        <f ca="1">IF(YEAR('2026'!$B$1)&lt;$C7,"",ROUNDDOWN(INDIRECT($C7&amp;"!d52"),-1))</f>
        <v>100</v>
      </c>
      <c r="I7" s="587">
        <f ca="1">IF(YEAR('2026'!$B$1)&lt;$C7,"",ROUNDDOWN(INDIRECT($C7&amp;"!e52"),-1))</f>
        <v>100</v>
      </c>
      <c r="J7" s="587">
        <f ca="1">IF(YEAR('2026'!$B$1)&lt;$C7,"",ROUNDDOWN(INDIRECT($C7&amp;"!f52"),-1))</f>
        <v>100</v>
      </c>
      <c r="K7" s="587">
        <f ca="1">IF(YEAR('2026'!$B$1)&lt;$C7,"",ROUNDDOWN(INDIRECT($C7&amp;"!g52"),-1))</f>
        <v>100</v>
      </c>
      <c r="L7" s="587">
        <f ca="1">IF(YEAR('2026'!$B$1)&lt;$C7,"",ROUNDDOWN(INDIRECT($C7&amp;"!h52"),-1))</f>
        <v>100</v>
      </c>
      <c r="M7" s="587">
        <f ca="1">IF(YEAR('2026'!$B$1)&lt;$C7,"",ROUNDDOWN(INDIRECT($C7&amp;"!i52"),-1))</f>
        <v>100</v>
      </c>
      <c r="N7" s="587">
        <f ca="1">IF(YEAR('2026'!$B$1)&lt;$C7,"",ROUNDDOWN(INDIRECT($C7&amp;"!j52"),-1))</f>
        <v>100</v>
      </c>
      <c r="O7" s="587">
        <f ca="1">IF(YEAR('2026'!$B$1)&lt;$C7,"",ROUNDDOWN(INDIRECT($C7&amp;"!k52"),-1))</f>
        <v>100</v>
      </c>
      <c r="P7" s="587">
        <f ca="1">IF(YEAR('2026'!$B$1)&lt;$C7,"",ROUNDDOWN(INDIRECT($C7&amp;"!l52"),-1))</f>
        <v>100</v>
      </c>
      <c r="Q7" s="587">
        <f ca="1">IF(YEAR('2026'!$B$1)&lt;$C7,"",ROUNDDOWN(INDIRECT($C7&amp;"!m52"),-1))</f>
        <v>100</v>
      </c>
      <c r="R7" s="588">
        <f t="shared" ca="1" si="0"/>
        <v>1200</v>
      </c>
    </row>
    <row r="8" spans="1:19" ht="9.75" customHeight="1">
      <c r="A8" s="582">
        <v>6</v>
      </c>
      <c r="B8" s="583">
        <f ca="1">'퇴직때까지의 총연봉액'!B8</f>
        <v>8</v>
      </c>
      <c r="C8" s="584">
        <f ca="1">'퇴직때까지의 총연봉액'!D8</f>
        <v>2030</v>
      </c>
      <c r="D8" s="585">
        <f ca="1">월별실수령액총괄표!D8</f>
        <v>33</v>
      </c>
      <c r="E8" s="586">
        <f ca="1">'퇴직때까지의 총연봉액'!E8</f>
        <v>18</v>
      </c>
      <c r="F8" s="587">
        <f ca="1">IF(YEAR('2026'!$B$1)&lt;$C8,"",ROUNDDOWN(INDIRECT($C8&amp;"!b52"),-1))</f>
        <v>100</v>
      </c>
      <c r="G8" s="587">
        <f ca="1">IF(YEAR('2026'!$B$1)&lt;$C8,"",ROUNDDOWN(INDIRECT($C8&amp;"!c52"),-1))</f>
        <v>100</v>
      </c>
      <c r="H8" s="587">
        <f ca="1">IF(YEAR('2026'!$B$1)&lt;$C8,"",ROUNDDOWN(INDIRECT($C8&amp;"!d52"),-1))</f>
        <v>100</v>
      </c>
      <c r="I8" s="587">
        <f ca="1">IF(YEAR('2026'!$B$1)&lt;$C8,"",ROUNDDOWN(INDIRECT($C8&amp;"!e52"),-1))</f>
        <v>100</v>
      </c>
      <c r="J8" s="587">
        <f ca="1">IF(YEAR('2026'!$B$1)&lt;$C8,"",ROUNDDOWN(INDIRECT($C8&amp;"!f52"),-1))</f>
        <v>100</v>
      </c>
      <c r="K8" s="587">
        <f ca="1">IF(YEAR('2026'!$B$1)&lt;$C8,"",ROUNDDOWN(INDIRECT($C8&amp;"!g52"),-1))</f>
        <v>100</v>
      </c>
      <c r="L8" s="587">
        <f ca="1">IF(YEAR('2026'!$B$1)&lt;$C8,"",ROUNDDOWN(INDIRECT($C8&amp;"!h52"),-1))</f>
        <v>100</v>
      </c>
      <c r="M8" s="587">
        <f ca="1">IF(YEAR('2026'!$B$1)&lt;$C8,"",ROUNDDOWN(INDIRECT($C8&amp;"!i52"),-1))</f>
        <v>100</v>
      </c>
      <c r="N8" s="587">
        <f ca="1">IF(YEAR('2026'!$B$1)&lt;$C8,"",ROUNDDOWN(INDIRECT($C8&amp;"!j52"),-1))</f>
        <v>100</v>
      </c>
      <c r="O8" s="587">
        <f ca="1">IF(YEAR('2026'!$B$1)&lt;$C8,"",ROUNDDOWN(INDIRECT($C8&amp;"!k52"),-1))</f>
        <v>100</v>
      </c>
      <c r="P8" s="587">
        <f ca="1">IF(YEAR('2026'!$B$1)&lt;$C8,"",ROUNDDOWN(INDIRECT($C8&amp;"!l52"),-1))</f>
        <v>100</v>
      </c>
      <c r="Q8" s="587">
        <f ca="1">IF(YEAR('2026'!$B$1)&lt;$C8,"",ROUNDDOWN(INDIRECT($C8&amp;"!m52"),-1))</f>
        <v>100</v>
      </c>
      <c r="R8" s="588">
        <f t="shared" ca="1" si="0"/>
        <v>1200</v>
      </c>
    </row>
    <row r="9" spans="1:19" ht="9.75" customHeight="1">
      <c r="A9" s="582">
        <v>7</v>
      </c>
      <c r="B9" s="583">
        <f ca="1">'퇴직때까지의 총연봉액'!B9</f>
        <v>9</v>
      </c>
      <c r="C9" s="584">
        <f ca="1">'퇴직때까지의 총연봉액'!D9</f>
        <v>2031</v>
      </c>
      <c r="D9" s="585">
        <f ca="1">월별실수령액총괄표!D9</f>
        <v>34</v>
      </c>
      <c r="E9" s="586">
        <f ca="1">'퇴직때까지의 총연봉액'!E9</f>
        <v>19</v>
      </c>
      <c r="F9" s="587">
        <f ca="1">IF(YEAR('2026'!$B$1)&lt;$C9,"",ROUNDDOWN(INDIRECT($C9&amp;"!b52"),-1))</f>
        <v>100</v>
      </c>
      <c r="G9" s="587">
        <f ca="1">IF(YEAR('2026'!$B$1)&lt;$C9,"",ROUNDDOWN(INDIRECT($C9&amp;"!c52"),-1))</f>
        <v>100</v>
      </c>
      <c r="H9" s="587">
        <f ca="1">IF(YEAR('2026'!$B$1)&lt;$C9,"",ROUNDDOWN(INDIRECT($C9&amp;"!d52"),-1))</f>
        <v>100</v>
      </c>
      <c r="I9" s="587">
        <f ca="1">IF(YEAR('2026'!$B$1)&lt;$C9,"",ROUNDDOWN(INDIRECT($C9&amp;"!e52"),-1))</f>
        <v>100</v>
      </c>
      <c r="J9" s="587">
        <f ca="1">IF(YEAR('2026'!$B$1)&lt;$C9,"",ROUNDDOWN(INDIRECT($C9&amp;"!f52"),-1))</f>
        <v>100</v>
      </c>
      <c r="K9" s="587">
        <f ca="1">IF(YEAR('2026'!$B$1)&lt;$C9,"",ROUNDDOWN(INDIRECT($C9&amp;"!g52"),-1))</f>
        <v>100</v>
      </c>
      <c r="L9" s="587">
        <f ca="1">IF(YEAR('2026'!$B$1)&lt;$C9,"",ROUNDDOWN(INDIRECT($C9&amp;"!h52"),-1))</f>
        <v>100</v>
      </c>
      <c r="M9" s="587">
        <f ca="1">IF(YEAR('2026'!$B$1)&lt;$C9,"",ROUNDDOWN(INDIRECT($C9&amp;"!i52"),-1))</f>
        <v>100</v>
      </c>
      <c r="N9" s="587">
        <f ca="1">IF(YEAR('2026'!$B$1)&lt;$C9,"",ROUNDDOWN(INDIRECT($C9&amp;"!j52"),-1))</f>
        <v>100</v>
      </c>
      <c r="O9" s="587">
        <f ca="1">IF(YEAR('2026'!$B$1)&lt;$C9,"",ROUNDDOWN(INDIRECT($C9&amp;"!k52"),-1))</f>
        <v>100</v>
      </c>
      <c r="P9" s="587">
        <f ca="1">IF(YEAR('2026'!$B$1)&lt;$C9,"",ROUNDDOWN(INDIRECT($C9&amp;"!l52"),-1))</f>
        <v>100</v>
      </c>
      <c r="Q9" s="587">
        <f ca="1">IF(YEAR('2026'!$B$1)&lt;$C9,"",ROUNDDOWN(INDIRECT($C9&amp;"!m52"),-1))</f>
        <v>100</v>
      </c>
      <c r="R9" s="588">
        <f t="shared" ca="1" si="0"/>
        <v>1200</v>
      </c>
    </row>
    <row r="10" spans="1:19" ht="9.75" customHeight="1">
      <c r="A10" s="582">
        <v>8</v>
      </c>
      <c r="B10" s="583">
        <f ca="1">'퇴직때까지의 총연봉액'!B10</f>
        <v>10</v>
      </c>
      <c r="C10" s="584">
        <f ca="1">'퇴직때까지의 총연봉액'!D10</f>
        <v>2032</v>
      </c>
      <c r="D10" s="585">
        <f ca="1">월별실수령액총괄표!D10</f>
        <v>35</v>
      </c>
      <c r="E10" s="586">
        <f ca="1">'퇴직때까지의 총연봉액'!E10</f>
        <v>20</v>
      </c>
      <c r="F10" s="587">
        <f ca="1">IF(YEAR('2026'!$B$1)&lt;$C10,"",ROUNDDOWN(INDIRECT($C10&amp;"!b52"),-1))</f>
        <v>100</v>
      </c>
      <c r="G10" s="587">
        <f ca="1">IF(YEAR('2026'!$B$1)&lt;$C10,"",ROUNDDOWN(INDIRECT($C10&amp;"!c52"),-1))</f>
        <v>100</v>
      </c>
      <c r="H10" s="587">
        <f ca="1">IF(YEAR('2026'!$B$1)&lt;$C10,"",ROUNDDOWN(INDIRECT($C10&amp;"!d52"),-1))</f>
        <v>100</v>
      </c>
      <c r="I10" s="587">
        <f ca="1">IF(YEAR('2026'!$B$1)&lt;$C10,"",ROUNDDOWN(INDIRECT($C10&amp;"!e52"),-1))</f>
        <v>100</v>
      </c>
      <c r="J10" s="587">
        <f ca="1">IF(YEAR('2026'!$B$1)&lt;$C10,"",ROUNDDOWN(INDIRECT($C10&amp;"!f52"),-1))</f>
        <v>100</v>
      </c>
      <c r="K10" s="587">
        <f ca="1">IF(YEAR('2026'!$B$1)&lt;$C10,"",ROUNDDOWN(INDIRECT($C10&amp;"!g52"),-1))</f>
        <v>100</v>
      </c>
      <c r="L10" s="587">
        <f ca="1">IF(YEAR('2026'!$B$1)&lt;$C10,"",ROUNDDOWN(INDIRECT($C10&amp;"!h52"),-1))</f>
        <v>100</v>
      </c>
      <c r="M10" s="587">
        <f ca="1">IF(YEAR('2026'!$B$1)&lt;$C10,"",ROUNDDOWN(INDIRECT($C10&amp;"!i52"),-1))</f>
        <v>100</v>
      </c>
      <c r="N10" s="587">
        <f ca="1">IF(YEAR('2026'!$B$1)&lt;$C10,"",ROUNDDOWN(INDIRECT($C10&amp;"!j52"),-1))</f>
        <v>100</v>
      </c>
      <c r="O10" s="587">
        <f ca="1">IF(YEAR('2026'!$B$1)&lt;$C10,"",ROUNDDOWN(INDIRECT($C10&amp;"!k52"),-1))</f>
        <v>100</v>
      </c>
      <c r="P10" s="587">
        <f ca="1">IF(YEAR('2026'!$B$1)&lt;$C10,"",ROUNDDOWN(INDIRECT($C10&amp;"!l52"),-1))</f>
        <v>100</v>
      </c>
      <c r="Q10" s="587">
        <f ca="1">IF(YEAR('2026'!$B$1)&lt;$C10,"",ROUNDDOWN(INDIRECT($C10&amp;"!m52"),-1))</f>
        <v>100</v>
      </c>
      <c r="R10" s="588">
        <f t="shared" ca="1" si="0"/>
        <v>1200</v>
      </c>
    </row>
    <row r="11" spans="1:19" ht="9.75" customHeight="1">
      <c r="A11" s="582">
        <v>9</v>
      </c>
      <c r="B11" s="583">
        <f ca="1">'퇴직때까지의 총연봉액'!B11</f>
        <v>11</v>
      </c>
      <c r="C11" s="584">
        <f ca="1">'퇴직때까지의 총연봉액'!D11</f>
        <v>2033</v>
      </c>
      <c r="D11" s="585">
        <f ca="1">월별실수령액총괄표!D11</f>
        <v>36</v>
      </c>
      <c r="E11" s="586">
        <f ca="1">'퇴직때까지의 총연봉액'!E11</f>
        <v>21</v>
      </c>
      <c r="F11" s="587">
        <f ca="1">IF(YEAR('2026'!$B$1)&lt;$C11,"",ROUNDDOWN(INDIRECT($C11&amp;"!b52"),-1))</f>
        <v>100</v>
      </c>
      <c r="G11" s="587">
        <f ca="1">IF(YEAR('2026'!$B$1)&lt;$C11,"",ROUNDDOWN(INDIRECT($C11&amp;"!c52"),-1))</f>
        <v>100</v>
      </c>
      <c r="H11" s="587">
        <f ca="1">IF(YEAR('2026'!$B$1)&lt;$C11,"",ROUNDDOWN(INDIRECT($C11&amp;"!d52"),-1))</f>
        <v>100</v>
      </c>
      <c r="I11" s="587">
        <f ca="1">IF(YEAR('2026'!$B$1)&lt;$C11,"",ROUNDDOWN(INDIRECT($C11&amp;"!e52"),-1))</f>
        <v>100</v>
      </c>
      <c r="J11" s="587">
        <f ca="1">IF(YEAR('2026'!$B$1)&lt;$C11,"",ROUNDDOWN(INDIRECT($C11&amp;"!f52"),-1))</f>
        <v>100</v>
      </c>
      <c r="K11" s="587">
        <f ca="1">IF(YEAR('2026'!$B$1)&lt;$C11,"",ROUNDDOWN(INDIRECT($C11&amp;"!g52"),-1))</f>
        <v>100</v>
      </c>
      <c r="L11" s="587">
        <f ca="1">IF(YEAR('2026'!$B$1)&lt;$C11,"",ROUNDDOWN(INDIRECT($C11&amp;"!h52"),-1))</f>
        <v>100</v>
      </c>
      <c r="M11" s="587">
        <f ca="1">IF(YEAR('2026'!$B$1)&lt;$C11,"",ROUNDDOWN(INDIRECT($C11&amp;"!i52"),-1))</f>
        <v>100</v>
      </c>
      <c r="N11" s="587">
        <f ca="1">IF(YEAR('2026'!$B$1)&lt;$C11,"",ROUNDDOWN(INDIRECT($C11&amp;"!j52"),-1))</f>
        <v>100</v>
      </c>
      <c r="O11" s="587">
        <f ca="1">IF(YEAR('2026'!$B$1)&lt;$C11,"",ROUNDDOWN(INDIRECT($C11&amp;"!k52"),-1))</f>
        <v>100</v>
      </c>
      <c r="P11" s="587">
        <f ca="1">IF(YEAR('2026'!$B$1)&lt;$C11,"",ROUNDDOWN(INDIRECT($C11&amp;"!l52"),-1))</f>
        <v>100</v>
      </c>
      <c r="Q11" s="587">
        <f ca="1">IF(YEAR('2026'!$B$1)&lt;$C11,"",ROUNDDOWN(INDIRECT($C11&amp;"!m52"),-1))</f>
        <v>100</v>
      </c>
      <c r="R11" s="588">
        <f t="shared" ca="1" si="0"/>
        <v>1200</v>
      </c>
    </row>
    <row r="12" spans="1:19" ht="9.75" customHeight="1">
      <c r="A12" s="582">
        <v>10</v>
      </c>
      <c r="B12" s="583">
        <f ca="1">'퇴직때까지의 총연봉액'!B12</f>
        <v>12</v>
      </c>
      <c r="C12" s="584">
        <f ca="1">'퇴직때까지의 총연봉액'!D12</f>
        <v>2034</v>
      </c>
      <c r="D12" s="585">
        <f ca="1">월별실수령액총괄표!D12</f>
        <v>37</v>
      </c>
      <c r="E12" s="586">
        <f ca="1">'퇴직때까지의 총연봉액'!E12</f>
        <v>22</v>
      </c>
      <c r="F12" s="587">
        <f ca="1">IF(YEAR('2026'!$B$1)&lt;$C12,"",ROUNDDOWN(INDIRECT($C12&amp;"!b52"),-1))</f>
        <v>100</v>
      </c>
      <c r="G12" s="587">
        <f ca="1">IF(YEAR('2026'!$B$1)&lt;$C12,"",ROUNDDOWN(INDIRECT($C12&amp;"!c52"),-1))</f>
        <v>100</v>
      </c>
      <c r="H12" s="587">
        <f ca="1">IF(YEAR('2026'!$B$1)&lt;$C12,"",ROUNDDOWN(INDIRECT($C12&amp;"!d52"),-1))</f>
        <v>100</v>
      </c>
      <c r="I12" s="587">
        <f ca="1">IF(YEAR('2026'!$B$1)&lt;$C12,"",ROUNDDOWN(INDIRECT($C12&amp;"!e52"),-1))</f>
        <v>100</v>
      </c>
      <c r="J12" s="587">
        <f ca="1">IF(YEAR('2026'!$B$1)&lt;$C12,"",ROUNDDOWN(INDIRECT($C12&amp;"!f52"),-1))</f>
        <v>100</v>
      </c>
      <c r="K12" s="587">
        <f ca="1">IF(YEAR('2026'!$B$1)&lt;$C12,"",ROUNDDOWN(INDIRECT($C12&amp;"!g52"),-1))</f>
        <v>100</v>
      </c>
      <c r="L12" s="587">
        <f ca="1">IF(YEAR('2026'!$B$1)&lt;$C12,"",ROUNDDOWN(INDIRECT($C12&amp;"!h52"),-1))</f>
        <v>100</v>
      </c>
      <c r="M12" s="587">
        <f ca="1">IF(YEAR('2026'!$B$1)&lt;$C12,"",ROUNDDOWN(INDIRECT($C12&amp;"!i52"),-1))</f>
        <v>100</v>
      </c>
      <c r="N12" s="587">
        <f ca="1">IF(YEAR('2026'!$B$1)&lt;$C12,"",ROUNDDOWN(INDIRECT($C12&amp;"!j52"),-1))</f>
        <v>100</v>
      </c>
      <c r="O12" s="587">
        <f ca="1">IF(YEAR('2026'!$B$1)&lt;$C12,"",ROUNDDOWN(INDIRECT($C12&amp;"!k52"),-1))</f>
        <v>100</v>
      </c>
      <c r="P12" s="587">
        <f ca="1">IF(YEAR('2026'!$B$1)&lt;$C12,"",ROUNDDOWN(INDIRECT($C12&amp;"!l52"),-1))</f>
        <v>100</v>
      </c>
      <c r="Q12" s="587">
        <f ca="1">IF(YEAR('2026'!$B$1)&lt;$C12,"",ROUNDDOWN(INDIRECT($C12&amp;"!m52"),-1))</f>
        <v>100</v>
      </c>
      <c r="R12" s="588">
        <f t="shared" ca="1" si="0"/>
        <v>1200</v>
      </c>
    </row>
    <row r="13" spans="1:19" ht="9.75" customHeight="1">
      <c r="A13" s="582">
        <v>11</v>
      </c>
      <c r="B13" s="583">
        <f ca="1">'퇴직때까지의 총연봉액'!B13</f>
        <v>13</v>
      </c>
      <c r="C13" s="584">
        <f ca="1">'퇴직때까지의 총연봉액'!D13</f>
        <v>2035</v>
      </c>
      <c r="D13" s="585">
        <f ca="1">월별실수령액총괄표!D13</f>
        <v>38</v>
      </c>
      <c r="E13" s="586">
        <f ca="1">'퇴직때까지의 총연봉액'!E13</f>
        <v>23</v>
      </c>
      <c r="F13" s="587">
        <f ca="1">IF(YEAR('2026'!$B$1)&lt;$C13,"",ROUNDDOWN(INDIRECT($C13&amp;"!b52"),-1))</f>
        <v>100</v>
      </c>
      <c r="G13" s="587">
        <f ca="1">IF(YEAR('2026'!$B$1)&lt;$C13,"",ROUNDDOWN(INDIRECT($C13&amp;"!c52"),-1))</f>
        <v>100</v>
      </c>
      <c r="H13" s="587">
        <f ca="1">IF(YEAR('2026'!$B$1)&lt;$C13,"",ROUNDDOWN(INDIRECT($C13&amp;"!d52"),-1))</f>
        <v>100</v>
      </c>
      <c r="I13" s="587">
        <f ca="1">IF(YEAR('2026'!$B$1)&lt;$C13,"",ROUNDDOWN(INDIRECT($C13&amp;"!e52"),-1))</f>
        <v>100</v>
      </c>
      <c r="J13" s="587">
        <f ca="1">IF(YEAR('2026'!$B$1)&lt;$C13,"",ROUNDDOWN(INDIRECT($C13&amp;"!f52"),-1))</f>
        <v>100</v>
      </c>
      <c r="K13" s="587">
        <f ca="1">IF(YEAR('2026'!$B$1)&lt;$C13,"",ROUNDDOWN(INDIRECT($C13&amp;"!g52"),-1))</f>
        <v>100</v>
      </c>
      <c r="L13" s="587">
        <f ca="1">IF(YEAR('2026'!$B$1)&lt;$C13,"",ROUNDDOWN(INDIRECT($C13&amp;"!h52"),-1))</f>
        <v>100</v>
      </c>
      <c r="M13" s="587">
        <f ca="1">IF(YEAR('2026'!$B$1)&lt;$C13,"",ROUNDDOWN(INDIRECT($C13&amp;"!i52"),-1))</f>
        <v>100</v>
      </c>
      <c r="N13" s="587">
        <f ca="1">IF(YEAR('2026'!$B$1)&lt;$C13,"",ROUNDDOWN(INDIRECT($C13&amp;"!j52"),-1))</f>
        <v>100</v>
      </c>
      <c r="O13" s="587">
        <f ca="1">IF(YEAR('2026'!$B$1)&lt;$C13,"",ROUNDDOWN(INDIRECT($C13&amp;"!k52"),-1))</f>
        <v>100</v>
      </c>
      <c r="P13" s="587">
        <f ca="1">IF(YEAR('2026'!$B$1)&lt;$C13,"",ROUNDDOWN(INDIRECT($C13&amp;"!l52"),-1))</f>
        <v>100</v>
      </c>
      <c r="Q13" s="587">
        <f ca="1">IF(YEAR('2026'!$B$1)&lt;$C13,"",ROUNDDOWN(INDIRECT($C13&amp;"!m52"),-1))</f>
        <v>100</v>
      </c>
      <c r="R13" s="588">
        <f t="shared" ca="1" si="0"/>
        <v>1200</v>
      </c>
    </row>
    <row r="14" spans="1:19" ht="9.75" customHeight="1">
      <c r="A14" s="582">
        <v>12</v>
      </c>
      <c r="B14" s="583">
        <f ca="1">'퇴직때까지의 총연봉액'!B14</f>
        <v>14</v>
      </c>
      <c r="C14" s="584">
        <f ca="1">'퇴직때까지의 총연봉액'!D14</f>
        <v>2036</v>
      </c>
      <c r="D14" s="585">
        <f ca="1">월별실수령액총괄표!D14</f>
        <v>39</v>
      </c>
      <c r="E14" s="586">
        <f ca="1">'퇴직때까지의 총연봉액'!E14</f>
        <v>24</v>
      </c>
      <c r="F14" s="587">
        <f ca="1">IF(YEAR('2026'!$B$1)&lt;$C14,"",ROUNDDOWN(INDIRECT($C14&amp;"!b52"),-1))</f>
        <v>100</v>
      </c>
      <c r="G14" s="587">
        <f ca="1">IF(YEAR('2026'!$B$1)&lt;$C14,"",ROUNDDOWN(INDIRECT($C14&amp;"!c52"),-1))</f>
        <v>100</v>
      </c>
      <c r="H14" s="587">
        <f ca="1">IF(YEAR('2026'!$B$1)&lt;$C14,"",ROUNDDOWN(INDIRECT($C14&amp;"!d52"),-1))</f>
        <v>100</v>
      </c>
      <c r="I14" s="587">
        <f ca="1">IF(YEAR('2026'!$B$1)&lt;$C14,"",ROUNDDOWN(INDIRECT($C14&amp;"!e52"),-1))</f>
        <v>100</v>
      </c>
      <c r="J14" s="587">
        <f ca="1">IF(YEAR('2026'!$B$1)&lt;$C14,"",ROUNDDOWN(INDIRECT($C14&amp;"!f52"),-1))</f>
        <v>100</v>
      </c>
      <c r="K14" s="587">
        <f ca="1">IF(YEAR('2026'!$B$1)&lt;$C14,"",ROUNDDOWN(INDIRECT($C14&amp;"!g52"),-1))</f>
        <v>100</v>
      </c>
      <c r="L14" s="587">
        <f ca="1">IF(YEAR('2026'!$B$1)&lt;$C14,"",ROUNDDOWN(INDIRECT($C14&amp;"!h52"),-1))</f>
        <v>100</v>
      </c>
      <c r="M14" s="587">
        <f ca="1">IF(YEAR('2026'!$B$1)&lt;$C14,"",ROUNDDOWN(INDIRECT($C14&amp;"!i52"),-1))</f>
        <v>100</v>
      </c>
      <c r="N14" s="587">
        <f ca="1">IF(YEAR('2026'!$B$1)&lt;$C14,"",ROUNDDOWN(INDIRECT($C14&amp;"!j52"),-1))</f>
        <v>100</v>
      </c>
      <c r="O14" s="587">
        <f ca="1">IF(YEAR('2026'!$B$1)&lt;$C14,"",ROUNDDOWN(INDIRECT($C14&amp;"!k52"),-1))</f>
        <v>100</v>
      </c>
      <c r="P14" s="587">
        <f ca="1">IF(YEAR('2026'!$B$1)&lt;$C14,"",ROUNDDOWN(INDIRECT($C14&amp;"!l52"),-1))</f>
        <v>100</v>
      </c>
      <c r="Q14" s="587">
        <f ca="1">IF(YEAR('2026'!$B$1)&lt;$C14,"",ROUNDDOWN(INDIRECT($C14&amp;"!m52"),-1))</f>
        <v>100</v>
      </c>
      <c r="R14" s="588">
        <f t="shared" ca="1" si="0"/>
        <v>1200</v>
      </c>
    </row>
    <row r="15" spans="1:19" ht="9.75" customHeight="1">
      <c r="A15" s="582">
        <v>13</v>
      </c>
      <c r="B15" s="583">
        <f ca="1">'퇴직때까지의 총연봉액'!B15</f>
        <v>15</v>
      </c>
      <c r="C15" s="584">
        <f ca="1">'퇴직때까지의 총연봉액'!D15</f>
        <v>2037</v>
      </c>
      <c r="D15" s="585">
        <f ca="1">월별실수령액총괄표!D15</f>
        <v>40</v>
      </c>
      <c r="E15" s="586">
        <f ca="1">'퇴직때까지의 총연봉액'!E15</f>
        <v>25</v>
      </c>
      <c r="F15" s="587">
        <f ca="1">IF(YEAR('2026'!$B$1)&lt;$C15,"",ROUNDDOWN(INDIRECT($C15&amp;"!b52"),-1))</f>
        <v>100</v>
      </c>
      <c r="G15" s="587">
        <f ca="1">IF(YEAR('2026'!$B$1)&lt;$C15,"",ROUNDDOWN(INDIRECT($C15&amp;"!c52"),-1))</f>
        <v>100</v>
      </c>
      <c r="H15" s="587">
        <f ca="1">IF(YEAR('2026'!$B$1)&lt;$C15,"",ROUNDDOWN(INDIRECT($C15&amp;"!d52"),-1))</f>
        <v>100</v>
      </c>
      <c r="I15" s="587">
        <f ca="1">IF(YEAR('2026'!$B$1)&lt;$C15,"",ROUNDDOWN(INDIRECT($C15&amp;"!e52"),-1))</f>
        <v>100</v>
      </c>
      <c r="J15" s="587">
        <f ca="1">IF(YEAR('2026'!$B$1)&lt;$C15,"",ROUNDDOWN(INDIRECT($C15&amp;"!f52"),-1))</f>
        <v>100</v>
      </c>
      <c r="K15" s="587">
        <f ca="1">IF(YEAR('2026'!$B$1)&lt;$C15,"",ROUNDDOWN(INDIRECT($C15&amp;"!g52"),-1))</f>
        <v>100</v>
      </c>
      <c r="L15" s="587">
        <f ca="1">IF(YEAR('2026'!$B$1)&lt;$C15,"",ROUNDDOWN(INDIRECT($C15&amp;"!h52"),-1))</f>
        <v>100</v>
      </c>
      <c r="M15" s="587">
        <f ca="1">IF(YEAR('2026'!$B$1)&lt;$C15,"",ROUNDDOWN(INDIRECT($C15&amp;"!i52"),-1))</f>
        <v>100</v>
      </c>
      <c r="N15" s="587">
        <f ca="1">IF(YEAR('2026'!$B$1)&lt;$C15,"",ROUNDDOWN(INDIRECT($C15&amp;"!j52"),-1))</f>
        <v>100</v>
      </c>
      <c r="O15" s="587">
        <f ca="1">IF(YEAR('2026'!$B$1)&lt;$C15,"",ROUNDDOWN(INDIRECT($C15&amp;"!k52"),-1))</f>
        <v>100</v>
      </c>
      <c r="P15" s="587">
        <f ca="1">IF(YEAR('2026'!$B$1)&lt;$C15,"",ROUNDDOWN(INDIRECT($C15&amp;"!l52"),-1))</f>
        <v>100</v>
      </c>
      <c r="Q15" s="587">
        <f ca="1">IF(YEAR('2026'!$B$1)&lt;$C15,"",ROUNDDOWN(INDIRECT($C15&amp;"!m52"),-1))</f>
        <v>100</v>
      </c>
      <c r="R15" s="588">
        <f t="shared" ca="1" si="0"/>
        <v>1200</v>
      </c>
    </row>
    <row r="16" spans="1:19" ht="9.75" customHeight="1">
      <c r="A16" s="582">
        <v>14</v>
      </c>
      <c r="B16" s="583">
        <f ca="1">'퇴직때까지의 총연봉액'!B16</f>
        <v>16</v>
      </c>
      <c r="C16" s="584">
        <f ca="1">'퇴직때까지의 총연봉액'!D16</f>
        <v>2038</v>
      </c>
      <c r="D16" s="585">
        <f ca="1">월별실수령액총괄표!D16</f>
        <v>41</v>
      </c>
      <c r="E16" s="586">
        <f ca="1">'퇴직때까지의 총연봉액'!E16</f>
        <v>26</v>
      </c>
      <c r="F16" s="587">
        <f ca="1">IF(YEAR('2026'!$B$1)&lt;$C16,"",ROUNDDOWN(INDIRECT($C16&amp;"!b52"),-1))</f>
        <v>100</v>
      </c>
      <c r="G16" s="587">
        <f ca="1">IF(YEAR('2026'!$B$1)&lt;$C16,"",ROUNDDOWN(INDIRECT($C16&amp;"!c52"),-1))</f>
        <v>100</v>
      </c>
      <c r="H16" s="587">
        <f ca="1">IF(YEAR('2026'!$B$1)&lt;$C16,"",ROUNDDOWN(INDIRECT($C16&amp;"!d52"),-1))</f>
        <v>100</v>
      </c>
      <c r="I16" s="587">
        <f ca="1">IF(YEAR('2026'!$B$1)&lt;$C16,"",ROUNDDOWN(INDIRECT($C16&amp;"!e52"),-1))</f>
        <v>100</v>
      </c>
      <c r="J16" s="587">
        <f ca="1">IF(YEAR('2026'!$B$1)&lt;$C16,"",ROUNDDOWN(INDIRECT($C16&amp;"!f52"),-1))</f>
        <v>100</v>
      </c>
      <c r="K16" s="587">
        <f ca="1">IF(YEAR('2026'!$B$1)&lt;$C16,"",ROUNDDOWN(INDIRECT($C16&amp;"!g52"),-1))</f>
        <v>100</v>
      </c>
      <c r="L16" s="587">
        <f ca="1">IF(YEAR('2026'!$B$1)&lt;$C16,"",ROUNDDOWN(INDIRECT($C16&amp;"!h52"),-1))</f>
        <v>100</v>
      </c>
      <c r="M16" s="587">
        <f ca="1">IF(YEAR('2026'!$B$1)&lt;$C16,"",ROUNDDOWN(INDIRECT($C16&amp;"!i52"),-1))</f>
        <v>100</v>
      </c>
      <c r="N16" s="587">
        <f ca="1">IF(YEAR('2026'!$B$1)&lt;$C16,"",ROUNDDOWN(INDIRECT($C16&amp;"!j52"),-1))</f>
        <v>100</v>
      </c>
      <c r="O16" s="587">
        <f ca="1">IF(YEAR('2026'!$B$1)&lt;$C16,"",ROUNDDOWN(INDIRECT($C16&amp;"!k52"),-1))</f>
        <v>100</v>
      </c>
      <c r="P16" s="587">
        <f ca="1">IF(YEAR('2026'!$B$1)&lt;$C16,"",ROUNDDOWN(INDIRECT($C16&amp;"!l52"),-1))</f>
        <v>100</v>
      </c>
      <c r="Q16" s="587">
        <f ca="1">IF(YEAR('2026'!$B$1)&lt;$C16,"",ROUNDDOWN(INDIRECT($C16&amp;"!m52"),-1))</f>
        <v>100</v>
      </c>
      <c r="R16" s="588">
        <f t="shared" ca="1" si="0"/>
        <v>1200</v>
      </c>
    </row>
    <row r="17" spans="1:18" ht="9.75" customHeight="1">
      <c r="A17" s="582">
        <v>15</v>
      </c>
      <c r="B17" s="583">
        <f ca="1">'퇴직때까지의 총연봉액'!B17</f>
        <v>17</v>
      </c>
      <c r="C17" s="584">
        <f ca="1">'퇴직때까지의 총연봉액'!D17</f>
        <v>2039</v>
      </c>
      <c r="D17" s="585">
        <f ca="1">월별실수령액총괄표!D17</f>
        <v>42</v>
      </c>
      <c r="E17" s="586">
        <f ca="1">'퇴직때까지의 총연봉액'!E17</f>
        <v>27</v>
      </c>
      <c r="F17" s="587">
        <f ca="1">IF(YEAR('2026'!$B$1)&lt;$C17,"",ROUNDDOWN(INDIRECT($C17&amp;"!b52"),-1))</f>
        <v>100</v>
      </c>
      <c r="G17" s="587">
        <f ca="1">IF(YEAR('2026'!$B$1)&lt;$C17,"",ROUNDDOWN(INDIRECT($C17&amp;"!c52"),-1))</f>
        <v>100</v>
      </c>
      <c r="H17" s="587">
        <f ca="1">IF(YEAR('2026'!$B$1)&lt;$C17,"",ROUNDDOWN(INDIRECT($C17&amp;"!d52"),-1))</f>
        <v>100</v>
      </c>
      <c r="I17" s="587">
        <f ca="1">IF(YEAR('2026'!$B$1)&lt;$C17,"",ROUNDDOWN(INDIRECT($C17&amp;"!e52"),-1))</f>
        <v>100</v>
      </c>
      <c r="J17" s="587">
        <f ca="1">IF(YEAR('2026'!$B$1)&lt;$C17,"",ROUNDDOWN(INDIRECT($C17&amp;"!f52"),-1))</f>
        <v>100</v>
      </c>
      <c r="K17" s="587">
        <f ca="1">IF(YEAR('2026'!$B$1)&lt;$C17,"",ROUNDDOWN(INDIRECT($C17&amp;"!g52"),-1))</f>
        <v>100</v>
      </c>
      <c r="L17" s="587">
        <f ca="1">IF(YEAR('2026'!$B$1)&lt;$C17,"",ROUNDDOWN(INDIRECT($C17&amp;"!h52"),-1))</f>
        <v>100</v>
      </c>
      <c r="M17" s="587">
        <f ca="1">IF(YEAR('2026'!$B$1)&lt;$C17,"",ROUNDDOWN(INDIRECT($C17&amp;"!i52"),-1))</f>
        <v>100</v>
      </c>
      <c r="N17" s="587">
        <f ca="1">IF(YEAR('2026'!$B$1)&lt;$C17,"",ROUNDDOWN(INDIRECT($C17&amp;"!j52"),-1))</f>
        <v>100</v>
      </c>
      <c r="O17" s="587">
        <f ca="1">IF(YEAR('2026'!$B$1)&lt;$C17,"",ROUNDDOWN(INDIRECT($C17&amp;"!k52"),-1))</f>
        <v>100</v>
      </c>
      <c r="P17" s="587">
        <f ca="1">IF(YEAR('2026'!$B$1)&lt;$C17,"",ROUNDDOWN(INDIRECT($C17&amp;"!l52"),-1))</f>
        <v>100</v>
      </c>
      <c r="Q17" s="587">
        <f ca="1">IF(YEAR('2026'!$B$1)&lt;$C17,"",ROUNDDOWN(INDIRECT($C17&amp;"!m52"),-1))</f>
        <v>100</v>
      </c>
      <c r="R17" s="588">
        <f t="shared" ca="1" si="0"/>
        <v>1200</v>
      </c>
    </row>
    <row r="18" spans="1:18" ht="9.75" customHeight="1">
      <c r="A18" s="582">
        <v>16</v>
      </c>
      <c r="B18" s="583">
        <f ca="1">'퇴직때까지의 총연봉액'!B18</f>
        <v>18</v>
      </c>
      <c r="C18" s="584">
        <f ca="1">'퇴직때까지의 총연봉액'!D18</f>
        <v>2040</v>
      </c>
      <c r="D18" s="585">
        <f ca="1">월별실수령액총괄표!D18</f>
        <v>43</v>
      </c>
      <c r="E18" s="586">
        <f ca="1">'퇴직때까지의 총연봉액'!E18</f>
        <v>28</v>
      </c>
      <c r="F18" s="587">
        <f ca="1">IF(YEAR('2026'!$B$1)&lt;$C18,"",ROUNDDOWN(INDIRECT($C18&amp;"!b52"),-1))</f>
        <v>100</v>
      </c>
      <c r="G18" s="587">
        <f ca="1">IF(YEAR('2026'!$B$1)&lt;$C18,"",ROUNDDOWN(INDIRECT($C18&amp;"!c52"),-1))</f>
        <v>100</v>
      </c>
      <c r="H18" s="587">
        <f ca="1">IF(YEAR('2026'!$B$1)&lt;$C18,"",ROUNDDOWN(INDIRECT($C18&amp;"!d52"),-1))</f>
        <v>100</v>
      </c>
      <c r="I18" s="587">
        <f ca="1">IF(YEAR('2026'!$B$1)&lt;$C18,"",ROUNDDOWN(INDIRECT($C18&amp;"!e52"),-1))</f>
        <v>100</v>
      </c>
      <c r="J18" s="587">
        <f ca="1">IF(YEAR('2026'!$B$1)&lt;$C18,"",ROUNDDOWN(INDIRECT($C18&amp;"!f52"),-1))</f>
        <v>100</v>
      </c>
      <c r="K18" s="587">
        <f ca="1">IF(YEAR('2026'!$B$1)&lt;$C18,"",ROUNDDOWN(INDIRECT($C18&amp;"!g52"),-1))</f>
        <v>100</v>
      </c>
      <c r="L18" s="587">
        <f ca="1">IF(YEAR('2026'!$B$1)&lt;$C18,"",ROUNDDOWN(INDIRECT($C18&amp;"!h52"),-1))</f>
        <v>100</v>
      </c>
      <c r="M18" s="587">
        <f ca="1">IF(YEAR('2026'!$B$1)&lt;$C18,"",ROUNDDOWN(INDIRECT($C18&amp;"!i52"),-1))</f>
        <v>100</v>
      </c>
      <c r="N18" s="587">
        <f ca="1">IF(YEAR('2026'!$B$1)&lt;$C18,"",ROUNDDOWN(INDIRECT($C18&amp;"!j52"),-1))</f>
        <v>100</v>
      </c>
      <c r="O18" s="587">
        <f ca="1">IF(YEAR('2026'!$B$1)&lt;$C18,"",ROUNDDOWN(INDIRECT($C18&amp;"!k52"),-1))</f>
        <v>100</v>
      </c>
      <c r="P18" s="587">
        <f ca="1">IF(YEAR('2026'!$B$1)&lt;$C18,"",ROUNDDOWN(INDIRECT($C18&amp;"!l52"),-1))</f>
        <v>100</v>
      </c>
      <c r="Q18" s="587">
        <f ca="1">IF(YEAR('2026'!$B$1)&lt;$C18,"",ROUNDDOWN(INDIRECT($C18&amp;"!m52"),-1))</f>
        <v>100</v>
      </c>
      <c r="R18" s="588">
        <f t="shared" ca="1" si="0"/>
        <v>1200</v>
      </c>
    </row>
    <row r="19" spans="1:18" ht="9.75" customHeight="1">
      <c r="A19" s="582">
        <v>17</v>
      </c>
      <c r="B19" s="583">
        <f ca="1">'퇴직때까지의 총연봉액'!B19</f>
        <v>19</v>
      </c>
      <c r="C19" s="584">
        <f ca="1">'퇴직때까지의 총연봉액'!D19</f>
        <v>2041</v>
      </c>
      <c r="D19" s="585">
        <f ca="1">월별실수령액총괄표!D19</f>
        <v>44</v>
      </c>
      <c r="E19" s="586">
        <f ca="1">'퇴직때까지의 총연봉액'!E19</f>
        <v>29</v>
      </c>
      <c r="F19" s="587">
        <f ca="1">IF(YEAR('2026'!$B$1)&lt;$C19,"",ROUNDDOWN(INDIRECT($C19&amp;"!b52"),-1))</f>
        <v>100</v>
      </c>
      <c r="G19" s="587">
        <f ca="1">IF(YEAR('2026'!$B$1)&lt;$C19,"",ROUNDDOWN(INDIRECT($C19&amp;"!c52"),-1))</f>
        <v>100</v>
      </c>
      <c r="H19" s="587">
        <f ca="1">IF(YEAR('2026'!$B$1)&lt;$C19,"",ROUNDDOWN(INDIRECT($C19&amp;"!d52"),-1))</f>
        <v>100</v>
      </c>
      <c r="I19" s="587">
        <f ca="1">IF(YEAR('2026'!$B$1)&lt;$C19,"",ROUNDDOWN(INDIRECT($C19&amp;"!e52"),-1))</f>
        <v>100</v>
      </c>
      <c r="J19" s="587">
        <f ca="1">IF(YEAR('2026'!$B$1)&lt;$C19,"",ROUNDDOWN(INDIRECT($C19&amp;"!f52"),-1))</f>
        <v>100</v>
      </c>
      <c r="K19" s="587">
        <f ca="1">IF(YEAR('2026'!$B$1)&lt;$C19,"",ROUNDDOWN(INDIRECT($C19&amp;"!g52"),-1))</f>
        <v>100</v>
      </c>
      <c r="L19" s="587">
        <f ca="1">IF(YEAR('2026'!$B$1)&lt;$C19,"",ROUNDDOWN(INDIRECT($C19&amp;"!h52"),-1))</f>
        <v>100</v>
      </c>
      <c r="M19" s="587">
        <f ca="1">IF(YEAR('2026'!$B$1)&lt;$C19,"",ROUNDDOWN(INDIRECT($C19&amp;"!i52"),-1))</f>
        <v>100</v>
      </c>
      <c r="N19" s="587">
        <f ca="1">IF(YEAR('2026'!$B$1)&lt;$C19,"",ROUNDDOWN(INDIRECT($C19&amp;"!j52"),-1))</f>
        <v>100</v>
      </c>
      <c r="O19" s="587">
        <f ca="1">IF(YEAR('2026'!$B$1)&lt;$C19,"",ROUNDDOWN(INDIRECT($C19&amp;"!k52"),-1))</f>
        <v>100</v>
      </c>
      <c r="P19" s="587">
        <f ca="1">IF(YEAR('2026'!$B$1)&lt;$C19,"",ROUNDDOWN(INDIRECT($C19&amp;"!l52"),-1))</f>
        <v>100</v>
      </c>
      <c r="Q19" s="587">
        <f ca="1">IF(YEAR('2026'!$B$1)&lt;$C19,"",ROUNDDOWN(INDIRECT($C19&amp;"!m52"),-1))</f>
        <v>100</v>
      </c>
      <c r="R19" s="588">
        <f t="shared" ca="1" si="0"/>
        <v>1200</v>
      </c>
    </row>
    <row r="20" spans="1:18" ht="9.75" customHeight="1">
      <c r="A20" s="582">
        <v>18</v>
      </c>
      <c r="B20" s="583">
        <f ca="1">'퇴직때까지의 총연봉액'!B20</f>
        <v>20</v>
      </c>
      <c r="C20" s="584">
        <f ca="1">'퇴직때까지의 총연봉액'!D20</f>
        <v>2042</v>
      </c>
      <c r="D20" s="585">
        <f ca="1">월별실수령액총괄표!D20</f>
        <v>45</v>
      </c>
      <c r="E20" s="586">
        <f ca="1">'퇴직때까지의 총연봉액'!E20</f>
        <v>30</v>
      </c>
      <c r="F20" s="587">
        <f ca="1">IF(YEAR('2026'!$B$1)&lt;$C20,"",ROUNDDOWN(INDIRECT($C20&amp;"!b52"),-1))</f>
        <v>100</v>
      </c>
      <c r="G20" s="587">
        <f ca="1">IF(YEAR('2026'!$B$1)&lt;$C20,"",ROUNDDOWN(INDIRECT($C20&amp;"!c52"),-1))</f>
        <v>100</v>
      </c>
      <c r="H20" s="587">
        <f ca="1">IF(YEAR('2026'!$B$1)&lt;$C20,"",ROUNDDOWN(INDIRECT($C20&amp;"!d52"),-1))</f>
        <v>100</v>
      </c>
      <c r="I20" s="587">
        <f ca="1">IF(YEAR('2026'!$B$1)&lt;$C20,"",ROUNDDOWN(INDIRECT($C20&amp;"!e52"),-1))</f>
        <v>100</v>
      </c>
      <c r="J20" s="587">
        <f ca="1">IF(YEAR('2026'!$B$1)&lt;$C20,"",ROUNDDOWN(INDIRECT($C20&amp;"!f52"),-1))</f>
        <v>100</v>
      </c>
      <c r="K20" s="587">
        <f ca="1">IF(YEAR('2026'!$B$1)&lt;$C20,"",ROUNDDOWN(INDIRECT($C20&amp;"!g52"),-1))</f>
        <v>100</v>
      </c>
      <c r="L20" s="587">
        <f ca="1">IF(YEAR('2026'!$B$1)&lt;$C20,"",ROUNDDOWN(INDIRECT($C20&amp;"!h52"),-1))</f>
        <v>100</v>
      </c>
      <c r="M20" s="587">
        <f ca="1">IF(YEAR('2026'!$B$1)&lt;$C20,"",ROUNDDOWN(INDIRECT($C20&amp;"!i52"),-1))</f>
        <v>100</v>
      </c>
      <c r="N20" s="587">
        <f ca="1">IF(YEAR('2026'!$B$1)&lt;$C20,"",ROUNDDOWN(INDIRECT($C20&amp;"!j52"),-1))</f>
        <v>100</v>
      </c>
      <c r="O20" s="587">
        <f ca="1">IF(YEAR('2026'!$B$1)&lt;$C20,"",ROUNDDOWN(INDIRECT($C20&amp;"!k52"),-1))</f>
        <v>100</v>
      </c>
      <c r="P20" s="587">
        <f ca="1">IF(YEAR('2026'!$B$1)&lt;$C20,"",ROUNDDOWN(INDIRECT($C20&amp;"!l52"),-1))</f>
        <v>100</v>
      </c>
      <c r="Q20" s="587">
        <f ca="1">IF(YEAR('2026'!$B$1)&lt;$C20,"",ROUNDDOWN(INDIRECT($C20&amp;"!m52"),-1))</f>
        <v>100</v>
      </c>
      <c r="R20" s="588">
        <f t="shared" ca="1" si="0"/>
        <v>1200</v>
      </c>
    </row>
    <row r="21" spans="1:18" ht="9.75" customHeight="1">
      <c r="A21" s="582">
        <v>19</v>
      </c>
      <c r="B21" s="583">
        <f ca="1">'퇴직때까지의 총연봉액'!B21</f>
        <v>21</v>
      </c>
      <c r="C21" s="584">
        <f ca="1">'퇴직때까지의 총연봉액'!D21</f>
        <v>2043</v>
      </c>
      <c r="D21" s="585">
        <f ca="1">월별실수령액총괄표!D21</f>
        <v>46</v>
      </c>
      <c r="E21" s="586">
        <f ca="1">'퇴직때까지의 총연봉액'!E21</f>
        <v>31</v>
      </c>
      <c r="F21" s="587">
        <f ca="1">IF(YEAR('2026'!$B$1)&lt;$C21,"",ROUNDDOWN(INDIRECT($C21&amp;"!b52"),-1))</f>
        <v>100</v>
      </c>
      <c r="G21" s="587">
        <f ca="1">IF(YEAR('2026'!$B$1)&lt;$C21,"",ROUNDDOWN(INDIRECT($C21&amp;"!c52"),-1))</f>
        <v>100</v>
      </c>
      <c r="H21" s="587">
        <f ca="1">IF(YEAR('2026'!$B$1)&lt;$C21,"",ROUNDDOWN(INDIRECT($C21&amp;"!d52"),-1))</f>
        <v>100</v>
      </c>
      <c r="I21" s="587">
        <f ca="1">IF(YEAR('2026'!$B$1)&lt;$C21,"",ROUNDDOWN(INDIRECT($C21&amp;"!e52"),-1))</f>
        <v>100</v>
      </c>
      <c r="J21" s="587">
        <f ca="1">IF(YEAR('2026'!$B$1)&lt;$C21,"",ROUNDDOWN(INDIRECT($C21&amp;"!f52"),-1))</f>
        <v>100</v>
      </c>
      <c r="K21" s="587">
        <f ca="1">IF(YEAR('2026'!$B$1)&lt;$C21,"",ROUNDDOWN(INDIRECT($C21&amp;"!g52"),-1))</f>
        <v>100</v>
      </c>
      <c r="L21" s="587">
        <f ca="1">IF(YEAR('2026'!$B$1)&lt;$C21,"",ROUNDDOWN(INDIRECT($C21&amp;"!h52"),-1))</f>
        <v>100</v>
      </c>
      <c r="M21" s="587">
        <f ca="1">IF(YEAR('2026'!$B$1)&lt;$C21,"",ROUNDDOWN(INDIRECT($C21&amp;"!i52"),-1))</f>
        <v>100</v>
      </c>
      <c r="N21" s="587">
        <f ca="1">IF(YEAR('2026'!$B$1)&lt;$C21,"",ROUNDDOWN(INDIRECT($C21&amp;"!j52"),-1))</f>
        <v>100</v>
      </c>
      <c r="O21" s="587">
        <f ca="1">IF(YEAR('2026'!$B$1)&lt;$C21,"",ROUNDDOWN(INDIRECT($C21&amp;"!k52"),-1))</f>
        <v>100</v>
      </c>
      <c r="P21" s="587">
        <f ca="1">IF(YEAR('2026'!$B$1)&lt;$C21,"",ROUNDDOWN(INDIRECT($C21&amp;"!l52"),-1))</f>
        <v>100</v>
      </c>
      <c r="Q21" s="587">
        <f ca="1">IF(YEAR('2026'!$B$1)&lt;$C21,"",ROUNDDOWN(INDIRECT($C21&amp;"!m52"),-1))</f>
        <v>100</v>
      </c>
      <c r="R21" s="588">
        <f t="shared" ca="1" si="0"/>
        <v>1200</v>
      </c>
    </row>
    <row r="22" spans="1:18" ht="9.75" customHeight="1">
      <c r="A22" s="582">
        <v>20</v>
      </c>
      <c r="B22" s="583">
        <f ca="1">'퇴직때까지의 총연봉액'!B22</f>
        <v>22</v>
      </c>
      <c r="C22" s="584">
        <f ca="1">'퇴직때까지의 총연봉액'!D22</f>
        <v>2044</v>
      </c>
      <c r="D22" s="585">
        <f ca="1">월별실수령액총괄표!D22</f>
        <v>47</v>
      </c>
      <c r="E22" s="586">
        <f ca="1">'퇴직때까지의 총연봉액'!E22</f>
        <v>32</v>
      </c>
      <c r="F22" s="587">
        <f ca="1">IF(YEAR('2026'!$B$1)&lt;$C22,"",ROUNDDOWN(INDIRECT($C22&amp;"!b52"),-1))</f>
        <v>100</v>
      </c>
      <c r="G22" s="587">
        <f ca="1">IF(YEAR('2026'!$B$1)&lt;$C22,"",ROUNDDOWN(INDIRECT($C22&amp;"!c52"),-1))</f>
        <v>100</v>
      </c>
      <c r="H22" s="587">
        <f ca="1">IF(YEAR('2026'!$B$1)&lt;$C22,"",ROUNDDOWN(INDIRECT($C22&amp;"!d52"),-1))</f>
        <v>100</v>
      </c>
      <c r="I22" s="587">
        <f ca="1">IF(YEAR('2026'!$B$1)&lt;$C22,"",ROUNDDOWN(INDIRECT($C22&amp;"!e52"),-1))</f>
        <v>100</v>
      </c>
      <c r="J22" s="587">
        <f ca="1">IF(YEAR('2026'!$B$1)&lt;$C22,"",ROUNDDOWN(INDIRECT($C22&amp;"!f52"),-1))</f>
        <v>100</v>
      </c>
      <c r="K22" s="587">
        <f ca="1">IF(YEAR('2026'!$B$1)&lt;$C22,"",ROUNDDOWN(INDIRECT($C22&amp;"!g52"),-1))</f>
        <v>100</v>
      </c>
      <c r="L22" s="587">
        <f ca="1">IF(YEAR('2026'!$B$1)&lt;$C22,"",ROUNDDOWN(INDIRECT($C22&amp;"!h52"),-1))</f>
        <v>100</v>
      </c>
      <c r="M22" s="587">
        <f ca="1">IF(YEAR('2026'!$B$1)&lt;$C22,"",ROUNDDOWN(INDIRECT($C22&amp;"!i52"),-1))</f>
        <v>100</v>
      </c>
      <c r="N22" s="587">
        <f ca="1">IF(YEAR('2026'!$B$1)&lt;$C22,"",ROUNDDOWN(INDIRECT($C22&amp;"!j52"),-1))</f>
        <v>100</v>
      </c>
      <c r="O22" s="587">
        <f ca="1">IF(YEAR('2026'!$B$1)&lt;$C22,"",ROUNDDOWN(INDIRECT($C22&amp;"!k52"),-1))</f>
        <v>100</v>
      </c>
      <c r="P22" s="587">
        <f ca="1">IF(YEAR('2026'!$B$1)&lt;$C22,"",ROUNDDOWN(INDIRECT($C22&amp;"!l52"),-1))</f>
        <v>100</v>
      </c>
      <c r="Q22" s="587">
        <f ca="1">IF(YEAR('2026'!$B$1)&lt;$C22,"",ROUNDDOWN(INDIRECT($C22&amp;"!m52"),-1))</f>
        <v>100</v>
      </c>
      <c r="R22" s="588">
        <f t="shared" ca="1" si="0"/>
        <v>1200</v>
      </c>
    </row>
    <row r="23" spans="1:18" ht="9.75" customHeight="1">
      <c r="A23" s="582">
        <v>21</v>
      </c>
      <c r="B23" s="583">
        <f ca="1">'퇴직때까지의 총연봉액'!B23</f>
        <v>23</v>
      </c>
      <c r="C23" s="584">
        <f ca="1">'퇴직때까지의 총연봉액'!D23</f>
        <v>2045</v>
      </c>
      <c r="D23" s="585">
        <f ca="1">월별실수령액총괄표!D23</f>
        <v>48</v>
      </c>
      <c r="E23" s="586">
        <f ca="1">'퇴직때까지의 총연봉액'!E23</f>
        <v>33</v>
      </c>
      <c r="F23" s="587">
        <f ca="1">IF(YEAR('2026'!$B$1)&lt;$C23,"",ROUNDDOWN(INDIRECT($C23&amp;"!b52"),-1))</f>
        <v>100</v>
      </c>
      <c r="G23" s="587">
        <f ca="1">IF(YEAR('2026'!$B$1)&lt;$C23,"",ROUNDDOWN(INDIRECT($C23&amp;"!c52"),-1))</f>
        <v>100</v>
      </c>
      <c r="H23" s="587">
        <f ca="1">IF(YEAR('2026'!$B$1)&lt;$C23,"",ROUNDDOWN(INDIRECT($C23&amp;"!d52"),-1))</f>
        <v>100</v>
      </c>
      <c r="I23" s="587">
        <f ca="1">IF(YEAR('2026'!$B$1)&lt;$C23,"",ROUNDDOWN(INDIRECT($C23&amp;"!e52"),-1))</f>
        <v>100</v>
      </c>
      <c r="J23" s="587">
        <f ca="1">IF(YEAR('2026'!$B$1)&lt;$C23,"",ROUNDDOWN(INDIRECT($C23&amp;"!f52"),-1))</f>
        <v>100</v>
      </c>
      <c r="K23" s="587">
        <f ca="1">IF(YEAR('2026'!$B$1)&lt;$C23,"",ROUNDDOWN(INDIRECT($C23&amp;"!g52"),-1))</f>
        <v>100</v>
      </c>
      <c r="L23" s="587">
        <f ca="1">IF(YEAR('2026'!$B$1)&lt;$C23,"",ROUNDDOWN(INDIRECT($C23&amp;"!h52"),-1))</f>
        <v>100</v>
      </c>
      <c r="M23" s="587">
        <f ca="1">IF(YEAR('2026'!$B$1)&lt;$C23,"",ROUNDDOWN(INDIRECT($C23&amp;"!i52"),-1))</f>
        <v>100</v>
      </c>
      <c r="N23" s="587">
        <f ca="1">IF(YEAR('2026'!$B$1)&lt;$C23,"",ROUNDDOWN(INDIRECT($C23&amp;"!j52"),-1))</f>
        <v>100</v>
      </c>
      <c r="O23" s="587">
        <f ca="1">IF(YEAR('2026'!$B$1)&lt;$C23,"",ROUNDDOWN(INDIRECT($C23&amp;"!k52"),-1))</f>
        <v>100</v>
      </c>
      <c r="P23" s="587">
        <f ca="1">IF(YEAR('2026'!$B$1)&lt;$C23,"",ROUNDDOWN(INDIRECT($C23&amp;"!l52"),-1))</f>
        <v>100</v>
      </c>
      <c r="Q23" s="587">
        <f ca="1">IF(YEAR('2026'!$B$1)&lt;$C23,"",ROUNDDOWN(INDIRECT($C23&amp;"!m52"),-1))</f>
        <v>100</v>
      </c>
      <c r="R23" s="588">
        <f t="shared" ca="1" si="0"/>
        <v>1200</v>
      </c>
    </row>
    <row r="24" spans="1:18" ht="9.75" customHeight="1">
      <c r="A24" s="582">
        <v>22</v>
      </c>
      <c r="B24" s="583">
        <f ca="1">'퇴직때까지의 총연봉액'!B24</f>
        <v>24</v>
      </c>
      <c r="C24" s="584">
        <f ca="1">'퇴직때까지의 총연봉액'!D24</f>
        <v>2046</v>
      </c>
      <c r="D24" s="585">
        <f ca="1">월별실수령액총괄표!D24</f>
        <v>49</v>
      </c>
      <c r="E24" s="586">
        <f ca="1">'퇴직때까지의 총연봉액'!E24</f>
        <v>34</v>
      </c>
      <c r="F24" s="587">
        <f ca="1">IF(YEAR('2026'!$B$1)&lt;$C24,"",ROUNDDOWN(INDIRECT($C24&amp;"!b52"),-1))</f>
        <v>100</v>
      </c>
      <c r="G24" s="587">
        <f ca="1">IF(YEAR('2026'!$B$1)&lt;$C24,"",ROUNDDOWN(INDIRECT($C24&amp;"!c52"),-1))</f>
        <v>100</v>
      </c>
      <c r="H24" s="587">
        <f ca="1">IF(YEAR('2026'!$B$1)&lt;$C24,"",ROUNDDOWN(INDIRECT($C24&amp;"!d52"),-1))</f>
        <v>100</v>
      </c>
      <c r="I24" s="587">
        <f ca="1">IF(YEAR('2026'!$B$1)&lt;$C24,"",ROUNDDOWN(INDIRECT($C24&amp;"!e52"),-1))</f>
        <v>100</v>
      </c>
      <c r="J24" s="587">
        <f ca="1">IF(YEAR('2026'!$B$1)&lt;$C24,"",ROUNDDOWN(INDIRECT($C24&amp;"!f52"),-1))</f>
        <v>100</v>
      </c>
      <c r="K24" s="587">
        <f ca="1">IF(YEAR('2026'!$B$1)&lt;$C24,"",ROUNDDOWN(INDIRECT($C24&amp;"!g52"),-1))</f>
        <v>100</v>
      </c>
      <c r="L24" s="587">
        <f ca="1">IF(YEAR('2026'!$B$1)&lt;$C24,"",ROUNDDOWN(INDIRECT($C24&amp;"!h52"),-1))</f>
        <v>100</v>
      </c>
      <c r="M24" s="587">
        <f ca="1">IF(YEAR('2026'!$B$1)&lt;$C24,"",ROUNDDOWN(INDIRECT($C24&amp;"!i52"),-1))</f>
        <v>100</v>
      </c>
      <c r="N24" s="587">
        <f ca="1">IF(YEAR('2026'!$B$1)&lt;$C24,"",ROUNDDOWN(INDIRECT($C24&amp;"!j52"),-1))</f>
        <v>100</v>
      </c>
      <c r="O24" s="587">
        <f ca="1">IF(YEAR('2026'!$B$1)&lt;$C24,"",ROUNDDOWN(INDIRECT($C24&amp;"!k52"),-1))</f>
        <v>100</v>
      </c>
      <c r="P24" s="587">
        <f ca="1">IF(YEAR('2026'!$B$1)&lt;$C24,"",ROUNDDOWN(INDIRECT($C24&amp;"!l52"),-1))</f>
        <v>100</v>
      </c>
      <c r="Q24" s="587">
        <f ca="1">IF(YEAR('2026'!$B$1)&lt;$C24,"",ROUNDDOWN(INDIRECT($C24&amp;"!m52"),-1))</f>
        <v>100</v>
      </c>
      <c r="R24" s="588">
        <f t="shared" ca="1" si="0"/>
        <v>1200</v>
      </c>
    </row>
    <row r="25" spans="1:18" ht="9.75" customHeight="1">
      <c r="A25" s="582">
        <v>23</v>
      </c>
      <c r="B25" s="583">
        <f ca="1">'퇴직때까지의 총연봉액'!B25</f>
        <v>25</v>
      </c>
      <c r="C25" s="584">
        <f ca="1">'퇴직때까지의 총연봉액'!D25</f>
        <v>2047</v>
      </c>
      <c r="D25" s="585">
        <f ca="1">월별실수령액총괄표!D25</f>
        <v>50</v>
      </c>
      <c r="E25" s="586">
        <f ca="1">'퇴직때까지의 총연봉액'!E25</f>
        <v>35</v>
      </c>
      <c r="F25" s="587">
        <f ca="1">IF(YEAR('2026'!$B$1)&lt;$C25,"",ROUNDDOWN(INDIRECT($C25&amp;"!b52"),-1))</f>
        <v>100</v>
      </c>
      <c r="G25" s="587">
        <f ca="1">IF(YEAR('2026'!$B$1)&lt;$C25,"",ROUNDDOWN(INDIRECT($C25&amp;"!c52"),-1))</f>
        <v>100</v>
      </c>
      <c r="H25" s="587">
        <f ca="1">IF(YEAR('2026'!$B$1)&lt;$C25,"",ROUNDDOWN(INDIRECT($C25&amp;"!d52"),-1))</f>
        <v>100</v>
      </c>
      <c r="I25" s="587">
        <f ca="1">IF(YEAR('2026'!$B$1)&lt;$C25,"",ROUNDDOWN(INDIRECT($C25&amp;"!e52"),-1))</f>
        <v>100</v>
      </c>
      <c r="J25" s="587">
        <f ca="1">IF(YEAR('2026'!$B$1)&lt;$C25,"",ROUNDDOWN(INDIRECT($C25&amp;"!f52"),-1))</f>
        <v>100</v>
      </c>
      <c r="K25" s="587">
        <f ca="1">IF(YEAR('2026'!$B$1)&lt;$C25,"",ROUNDDOWN(INDIRECT($C25&amp;"!g52"),-1))</f>
        <v>100</v>
      </c>
      <c r="L25" s="587">
        <f ca="1">IF(YEAR('2026'!$B$1)&lt;$C25,"",ROUNDDOWN(INDIRECT($C25&amp;"!h52"),-1))</f>
        <v>100</v>
      </c>
      <c r="M25" s="587">
        <f ca="1">IF(YEAR('2026'!$B$1)&lt;$C25,"",ROUNDDOWN(INDIRECT($C25&amp;"!i52"),-1))</f>
        <v>100</v>
      </c>
      <c r="N25" s="587">
        <f ca="1">IF(YEAR('2026'!$B$1)&lt;$C25,"",ROUNDDOWN(INDIRECT($C25&amp;"!j52"),-1))</f>
        <v>100</v>
      </c>
      <c r="O25" s="587">
        <f ca="1">IF(YEAR('2026'!$B$1)&lt;$C25,"",ROUNDDOWN(INDIRECT($C25&amp;"!k52"),-1))</f>
        <v>100</v>
      </c>
      <c r="P25" s="587">
        <f ca="1">IF(YEAR('2026'!$B$1)&lt;$C25,"",ROUNDDOWN(INDIRECT($C25&amp;"!l52"),-1))</f>
        <v>100</v>
      </c>
      <c r="Q25" s="587">
        <f ca="1">IF(YEAR('2026'!$B$1)&lt;$C25,"",ROUNDDOWN(INDIRECT($C25&amp;"!m52"),-1))</f>
        <v>100</v>
      </c>
      <c r="R25" s="588">
        <f t="shared" ca="1" si="0"/>
        <v>1200</v>
      </c>
    </row>
    <row r="26" spans="1:18" ht="9.75" customHeight="1">
      <c r="A26" s="582">
        <v>24</v>
      </c>
      <c r="B26" s="583">
        <f ca="1">'퇴직때까지의 총연봉액'!B26</f>
        <v>26</v>
      </c>
      <c r="C26" s="584">
        <f ca="1">'퇴직때까지의 총연봉액'!D26</f>
        <v>2048</v>
      </c>
      <c r="D26" s="585">
        <f ca="1">월별실수령액총괄표!D26</f>
        <v>51</v>
      </c>
      <c r="E26" s="586">
        <f ca="1">'퇴직때까지의 총연봉액'!E26</f>
        <v>36</v>
      </c>
      <c r="F26" s="587">
        <f ca="1">IF(YEAR('2026'!$B$1)&lt;$C26,"",ROUNDDOWN(INDIRECT($C26&amp;"!b52"),-1))</f>
        <v>100</v>
      </c>
      <c r="G26" s="587">
        <f ca="1">IF(YEAR('2026'!$B$1)&lt;$C26,"",ROUNDDOWN(INDIRECT($C26&amp;"!c52"),-1))</f>
        <v>100</v>
      </c>
      <c r="H26" s="587">
        <f ca="1">IF(YEAR('2026'!$B$1)&lt;$C26,"",ROUNDDOWN(INDIRECT($C26&amp;"!d52"),-1))</f>
        <v>100</v>
      </c>
      <c r="I26" s="587">
        <f ca="1">IF(YEAR('2026'!$B$1)&lt;$C26,"",ROUNDDOWN(INDIRECT($C26&amp;"!e52"),-1))</f>
        <v>100</v>
      </c>
      <c r="J26" s="587">
        <f ca="1">IF(YEAR('2026'!$B$1)&lt;$C26,"",ROUNDDOWN(INDIRECT($C26&amp;"!f52"),-1))</f>
        <v>100</v>
      </c>
      <c r="K26" s="587">
        <f ca="1">IF(YEAR('2026'!$B$1)&lt;$C26,"",ROUNDDOWN(INDIRECT($C26&amp;"!g52"),-1))</f>
        <v>100</v>
      </c>
      <c r="L26" s="587">
        <f ca="1">IF(YEAR('2026'!$B$1)&lt;$C26,"",ROUNDDOWN(INDIRECT($C26&amp;"!h52"),-1))</f>
        <v>100</v>
      </c>
      <c r="M26" s="587">
        <f ca="1">IF(YEAR('2026'!$B$1)&lt;$C26,"",ROUNDDOWN(INDIRECT($C26&amp;"!i52"),-1))</f>
        <v>100</v>
      </c>
      <c r="N26" s="587">
        <f ca="1">IF(YEAR('2026'!$B$1)&lt;$C26,"",ROUNDDOWN(INDIRECT($C26&amp;"!j52"),-1))</f>
        <v>100</v>
      </c>
      <c r="O26" s="587">
        <f ca="1">IF(YEAR('2026'!$B$1)&lt;$C26,"",ROUNDDOWN(INDIRECT($C26&amp;"!k52"),-1))</f>
        <v>100</v>
      </c>
      <c r="P26" s="587">
        <f ca="1">IF(YEAR('2026'!$B$1)&lt;$C26,"",ROUNDDOWN(INDIRECT($C26&amp;"!l52"),-1))</f>
        <v>100</v>
      </c>
      <c r="Q26" s="587">
        <f ca="1">IF(YEAR('2026'!$B$1)&lt;$C26,"",ROUNDDOWN(INDIRECT($C26&amp;"!m52"),-1))</f>
        <v>100</v>
      </c>
      <c r="R26" s="588">
        <f t="shared" ca="1" si="0"/>
        <v>1200</v>
      </c>
    </row>
    <row r="27" spans="1:18" ht="9.75" customHeight="1">
      <c r="A27" s="582">
        <v>25</v>
      </c>
      <c r="B27" s="583">
        <f ca="1">'퇴직때까지의 총연봉액'!B27</f>
        <v>27</v>
      </c>
      <c r="C27" s="584">
        <f ca="1">'퇴직때까지의 총연봉액'!D27</f>
        <v>2049</v>
      </c>
      <c r="D27" s="585">
        <f ca="1">월별실수령액총괄표!D27</f>
        <v>52</v>
      </c>
      <c r="E27" s="586">
        <f ca="1">'퇴직때까지의 총연봉액'!E27</f>
        <v>37</v>
      </c>
      <c r="F27" s="587">
        <f ca="1">IF(YEAR('2026'!$B$1)&lt;$C27,"",ROUNDDOWN(INDIRECT($C27&amp;"!b52"),-1))</f>
        <v>100</v>
      </c>
      <c r="G27" s="587">
        <f ca="1">IF(YEAR('2026'!$B$1)&lt;$C27,"",ROUNDDOWN(INDIRECT($C27&amp;"!c52"),-1))</f>
        <v>100</v>
      </c>
      <c r="H27" s="587">
        <f ca="1">IF(YEAR('2026'!$B$1)&lt;$C27,"",ROUNDDOWN(INDIRECT($C27&amp;"!d52"),-1))</f>
        <v>100</v>
      </c>
      <c r="I27" s="587">
        <f ca="1">IF(YEAR('2026'!$B$1)&lt;$C27,"",ROUNDDOWN(INDIRECT($C27&amp;"!e52"),-1))</f>
        <v>100</v>
      </c>
      <c r="J27" s="587">
        <f ca="1">IF(YEAR('2026'!$B$1)&lt;$C27,"",ROUNDDOWN(INDIRECT($C27&amp;"!f52"),-1))</f>
        <v>100</v>
      </c>
      <c r="K27" s="587">
        <f ca="1">IF(YEAR('2026'!$B$1)&lt;$C27,"",ROUNDDOWN(INDIRECT($C27&amp;"!g52"),-1))</f>
        <v>100</v>
      </c>
      <c r="L27" s="587">
        <f ca="1">IF(YEAR('2026'!$B$1)&lt;$C27,"",ROUNDDOWN(INDIRECT($C27&amp;"!h52"),-1))</f>
        <v>100</v>
      </c>
      <c r="M27" s="587">
        <f ca="1">IF(YEAR('2026'!$B$1)&lt;$C27,"",ROUNDDOWN(INDIRECT($C27&amp;"!i52"),-1))</f>
        <v>100</v>
      </c>
      <c r="N27" s="587">
        <f ca="1">IF(YEAR('2026'!$B$1)&lt;$C27,"",ROUNDDOWN(INDIRECT($C27&amp;"!j52"),-1))</f>
        <v>100</v>
      </c>
      <c r="O27" s="587">
        <f ca="1">IF(YEAR('2026'!$B$1)&lt;$C27,"",ROUNDDOWN(INDIRECT($C27&amp;"!k52"),-1))</f>
        <v>100</v>
      </c>
      <c r="P27" s="587">
        <f ca="1">IF(YEAR('2026'!$B$1)&lt;$C27,"",ROUNDDOWN(INDIRECT($C27&amp;"!l52"),-1))</f>
        <v>100</v>
      </c>
      <c r="Q27" s="587">
        <f ca="1">IF(YEAR('2026'!$B$1)&lt;$C27,"",ROUNDDOWN(INDIRECT($C27&amp;"!m52"),-1))</f>
        <v>100</v>
      </c>
      <c r="R27" s="588">
        <f t="shared" ca="1" si="0"/>
        <v>1200</v>
      </c>
    </row>
    <row r="28" spans="1:18" ht="9.75" customHeight="1">
      <c r="A28" s="582">
        <v>26</v>
      </c>
      <c r="B28" s="583">
        <f ca="1">'퇴직때까지의 총연봉액'!B28</f>
        <v>28</v>
      </c>
      <c r="C28" s="584">
        <f ca="1">'퇴직때까지의 총연봉액'!D28</f>
        <v>2050</v>
      </c>
      <c r="D28" s="585">
        <f ca="1">월별실수령액총괄표!D28</f>
        <v>53</v>
      </c>
      <c r="E28" s="586">
        <f ca="1">'퇴직때까지의 총연봉액'!E28</f>
        <v>38</v>
      </c>
      <c r="F28" s="587">
        <f ca="1">IF(YEAR('2026'!$B$1)&lt;$C28,"",ROUNDDOWN(INDIRECT($C28&amp;"!b52"),-1))</f>
        <v>100</v>
      </c>
      <c r="G28" s="587">
        <f ca="1">IF(YEAR('2026'!$B$1)&lt;$C28,"",ROUNDDOWN(INDIRECT($C28&amp;"!c52"),-1))</f>
        <v>100</v>
      </c>
      <c r="H28" s="587">
        <f ca="1">IF(YEAR('2026'!$B$1)&lt;$C28,"",ROUNDDOWN(INDIRECT($C28&amp;"!d52"),-1))</f>
        <v>100</v>
      </c>
      <c r="I28" s="587">
        <f ca="1">IF(YEAR('2026'!$B$1)&lt;$C28,"",ROUNDDOWN(INDIRECT($C28&amp;"!e52"),-1))</f>
        <v>100</v>
      </c>
      <c r="J28" s="587">
        <f ca="1">IF(YEAR('2026'!$B$1)&lt;$C28,"",ROUNDDOWN(INDIRECT($C28&amp;"!f52"),-1))</f>
        <v>100</v>
      </c>
      <c r="K28" s="587">
        <f ca="1">IF(YEAR('2026'!$B$1)&lt;$C28,"",ROUNDDOWN(INDIRECT($C28&amp;"!g52"),-1))</f>
        <v>100</v>
      </c>
      <c r="L28" s="587">
        <f ca="1">IF(YEAR('2026'!$B$1)&lt;$C28,"",ROUNDDOWN(INDIRECT($C28&amp;"!h52"),-1))</f>
        <v>100</v>
      </c>
      <c r="M28" s="587">
        <f ca="1">IF(YEAR('2026'!$B$1)&lt;$C28,"",ROUNDDOWN(INDIRECT($C28&amp;"!i52"),-1))</f>
        <v>100</v>
      </c>
      <c r="N28" s="587">
        <f ca="1">IF(YEAR('2026'!$B$1)&lt;$C28,"",ROUNDDOWN(INDIRECT($C28&amp;"!j52"),-1))</f>
        <v>100</v>
      </c>
      <c r="O28" s="587">
        <f ca="1">IF(YEAR('2026'!$B$1)&lt;$C28,"",ROUNDDOWN(INDIRECT($C28&amp;"!k52"),-1))</f>
        <v>100</v>
      </c>
      <c r="P28" s="587">
        <f ca="1">IF(YEAR('2026'!$B$1)&lt;$C28,"",ROUNDDOWN(INDIRECT($C28&amp;"!l52"),-1))</f>
        <v>100</v>
      </c>
      <c r="Q28" s="587">
        <f ca="1">IF(YEAR('2026'!$B$1)&lt;$C28,"",ROUNDDOWN(INDIRECT($C28&amp;"!m52"),-1))</f>
        <v>100</v>
      </c>
      <c r="R28" s="588">
        <f t="shared" ca="1" si="0"/>
        <v>1200</v>
      </c>
    </row>
    <row r="29" spans="1:18" ht="9.75" customHeight="1">
      <c r="A29" s="582">
        <v>27</v>
      </c>
      <c r="B29" s="583">
        <f ca="1">'퇴직때까지의 총연봉액'!B29</f>
        <v>29</v>
      </c>
      <c r="C29" s="584">
        <f ca="1">'퇴직때까지의 총연봉액'!D29</f>
        <v>2051</v>
      </c>
      <c r="D29" s="585">
        <f ca="1">월별실수령액총괄표!D29</f>
        <v>54</v>
      </c>
      <c r="E29" s="586">
        <f ca="1">'퇴직때까지의 총연봉액'!E29</f>
        <v>39</v>
      </c>
      <c r="F29" s="587">
        <f ca="1">IF(YEAR('2026'!$B$1)&lt;$C29,"",ROUNDDOWN(INDIRECT($C29&amp;"!b52"),-1))</f>
        <v>100</v>
      </c>
      <c r="G29" s="587">
        <f ca="1">IF(YEAR('2026'!$B$1)&lt;$C29,"",ROUNDDOWN(INDIRECT($C29&amp;"!c52"),-1))</f>
        <v>100</v>
      </c>
      <c r="H29" s="587">
        <f ca="1">IF(YEAR('2026'!$B$1)&lt;$C29,"",ROUNDDOWN(INDIRECT($C29&amp;"!d52"),-1))</f>
        <v>100</v>
      </c>
      <c r="I29" s="587">
        <f ca="1">IF(YEAR('2026'!$B$1)&lt;$C29,"",ROUNDDOWN(INDIRECT($C29&amp;"!e52"),-1))</f>
        <v>100</v>
      </c>
      <c r="J29" s="587">
        <f ca="1">IF(YEAR('2026'!$B$1)&lt;$C29,"",ROUNDDOWN(INDIRECT($C29&amp;"!f52"),-1))</f>
        <v>100</v>
      </c>
      <c r="K29" s="587">
        <f ca="1">IF(YEAR('2026'!$B$1)&lt;$C29,"",ROUNDDOWN(INDIRECT($C29&amp;"!g52"),-1))</f>
        <v>100</v>
      </c>
      <c r="L29" s="587">
        <f ca="1">IF(YEAR('2026'!$B$1)&lt;$C29,"",ROUNDDOWN(INDIRECT($C29&amp;"!h52"),-1))</f>
        <v>100</v>
      </c>
      <c r="M29" s="587">
        <f ca="1">IF(YEAR('2026'!$B$1)&lt;$C29,"",ROUNDDOWN(INDIRECT($C29&amp;"!i52"),-1))</f>
        <v>100</v>
      </c>
      <c r="N29" s="587">
        <f ca="1">IF(YEAR('2026'!$B$1)&lt;$C29,"",ROUNDDOWN(INDIRECT($C29&amp;"!j52"),-1))</f>
        <v>100</v>
      </c>
      <c r="O29" s="587">
        <f ca="1">IF(YEAR('2026'!$B$1)&lt;$C29,"",ROUNDDOWN(INDIRECT($C29&amp;"!k52"),-1))</f>
        <v>100</v>
      </c>
      <c r="P29" s="587">
        <f ca="1">IF(YEAR('2026'!$B$1)&lt;$C29,"",ROUNDDOWN(INDIRECT($C29&amp;"!l52"),-1))</f>
        <v>100</v>
      </c>
      <c r="Q29" s="587">
        <f ca="1">IF(YEAR('2026'!$B$1)&lt;$C29,"",ROUNDDOWN(INDIRECT($C29&amp;"!m52"),-1))</f>
        <v>100</v>
      </c>
      <c r="R29" s="588">
        <f t="shared" ca="1" si="0"/>
        <v>1200</v>
      </c>
    </row>
    <row r="30" spans="1:18" ht="9.75" customHeight="1">
      <c r="A30" s="582">
        <v>28</v>
      </c>
      <c r="B30" s="583">
        <f ca="1">'퇴직때까지의 총연봉액'!B30</f>
        <v>30</v>
      </c>
      <c r="C30" s="584">
        <f ca="1">'퇴직때까지의 총연봉액'!D30</f>
        <v>2052</v>
      </c>
      <c r="D30" s="585">
        <f ca="1">월별실수령액총괄표!D30</f>
        <v>55</v>
      </c>
      <c r="E30" s="586">
        <f ca="1">'퇴직때까지의 총연봉액'!E30</f>
        <v>40</v>
      </c>
      <c r="F30" s="587">
        <f ca="1">IF(YEAR('2026'!$B$1)&lt;$C30,"",ROUNDDOWN(INDIRECT($C30&amp;"!b52"),-1))</f>
        <v>100</v>
      </c>
      <c r="G30" s="587">
        <f ca="1">IF(YEAR('2026'!$B$1)&lt;$C30,"",ROUNDDOWN(INDIRECT($C30&amp;"!c52"),-1))</f>
        <v>100</v>
      </c>
      <c r="H30" s="587">
        <f ca="1">IF(YEAR('2026'!$B$1)&lt;$C30,"",ROUNDDOWN(INDIRECT($C30&amp;"!d52"),-1))</f>
        <v>100</v>
      </c>
      <c r="I30" s="587">
        <f ca="1">IF(YEAR('2026'!$B$1)&lt;$C30,"",ROUNDDOWN(INDIRECT($C30&amp;"!e52"),-1))</f>
        <v>100</v>
      </c>
      <c r="J30" s="587">
        <f ca="1">IF(YEAR('2026'!$B$1)&lt;$C30,"",ROUNDDOWN(INDIRECT($C30&amp;"!f52"),-1))</f>
        <v>100</v>
      </c>
      <c r="K30" s="587">
        <f ca="1">IF(YEAR('2026'!$B$1)&lt;$C30,"",ROUNDDOWN(INDIRECT($C30&amp;"!g52"),-1))</f>
        <v>100</v>
      </c>
      <c r="L30" s="587">
        <f ca="1">IF(YEAR('2026'!$B$1)&lt;$C30,"",ROUNDDOWN(INDIRECT($C30&amp;"!h52"),-1))</f>
        <v>100</v>
      </c>
      <c r="M30" s="587">
        <f ca="1">IF(YEAR('2026'!$B$1)&lt;$C30,"",ROUNDDOWN(INDIRECT($C30&amp;"!i52"),-1))</f>
        <v>100</v>
      </c>
      <c r="N30" s="587">
        <f ca="1">IF(YEAR('2026'!$B$1)&lt;$C30,"",ROUNDDOWN(INDIRECT($C30&amp;"!j52"),-1))</f>
        <v>100</v>
      </c>
      <c r="O30" s="587">
        <f ca="1">IF(YEAR('2026'!$B$1)&lt;$C30,"",ROUNDDOWN(INDIRECT($C30&amp;"!k52"),-1))</f>
        <v>100</v>
      </c>
      <c r="P30" s="587">
        <f ca="1">IF(YEAR('2026'!$B$1)&lt;$C30,"",ROUNDDOWN(INDIRECT($C30&amp;"!l52"),-1))</f>
        <v>100</v>
      </c>
      <c r="Q30" s="587">
        <f ca="1">IF(YEAR('2026'!$B$1)&lt;$C30,"",ROUNDDOWN(INDIRECT($C30&amp;"!m52"),-1))</f>
        <v>100</v>
      </c>
      <c r="R30" s="588">
        <f t="shared" ca="1" si="0"/>
        <v>1200</v>
      </c>
    </row>
    <row r="31" spans="1:18" ht="9.75" customHeight="1">
      <c r="A31" s="582">
        <v>29</v>
      </c>
      <c r="B31" s="583">
        <f ca="1">'퇴직때까지의 총연봉액'!B31</f>
        <v>31</v>
      </c>
      <c r="C31" s="584">
        <f ca="1">'퇴직때까지의 총연봉액'!D31</f>
        <v>2053</v>
      </c>
      <c r="D31" s="585">
        <f ca="1">월별실수령액총괄표!D31</f>
        <v>56</v>
      </c>
      <c r="E31" s="586">
        <f ca="1">'퇴직때까지의 총연봉액'!E31</f>
        <v>41</v>
      </c>
      <c r="F31" s="587">
        <f ca="1">IF(YEAR('2026'!$B$1)&lt;$C31,"",ROUNDDOWN(INDIRECT($C31&amp;"!b52"),-1))</f>
        <v>100</v>
      </c>
      <c r="G31" s="587">
        <f ca="1">IF(YEAR('2026'!$B$1)&lt;$C31,"",ROUNDDOWN(INDIRECT($C31&amp;"!c52"),-1))</f>
        <v>100</v>
      </c>
      <c r="H31" s="587">
        <f ca="1">IF(YEAR('2026'!$B$1)&lt;$C31,"",ROUNDDOWN(INDIRECT($C31&amp;"!d52"),-1))</f>
        <v>100</v>
      </c>
      <c r="I31" s="587">
        <f ca="1">IF(YEAR('2026'!$B$1)&lt;$C31,"",ROUNDDOWN(INDIRECT($C31&amp;"!e52"),-1))</f>
        <v>100</v>
      </c>
      <c r="J31" s="587">
        <f ca="1">IF(YEAR('2026'!$B$1)&lt;$C31,"",ROUNDDOWN(INDIRECT($C31&amp;"!f52"),-1))</f>
        <v>100</v>
      </c>
      <c r="K31" s="587">
        <f ca="1">IF(YEAR('2026'!$B$1)&lt;$C31,"",ROUNDDOWN(INDIRECT($C31&amp;"!g52"),-1))</f>
        <v>100</v>
      </c>
      <c r="L31" s="587">
        <f ca="1">IF(YEAR('2026'!$B$1)&lt;$C31,"",ROUNDDOWN(INDIRECT($C31&amp;"!h52"),-1))</f>
        <v>100</v>
      </c>
      <c r="M31" s="587">
        <f ca="1">IF(YEAR('2026'!$B$1)&lt;$C31,"",ROUNDDOWN(INDIRECT($C31&amp;"!i52"),-1))</f>
        <v>100</v>
      </c>
      <c r="N31" s="587">
        <f ca="1">IF(YEAR('2026'!$B$1)&lt;$C31,"",ROUNDDOWN(INDIRECT($C31&amp;"!j52"),-1))</f>
        <v>100</v>
      </c>
      <c r="O31" s="587">
        <f ca="1">IF(YEAR('2026'!$B$1)&lt;$C31,"",ROUNDDOWN(INDIRECT($C31&amp;"!k52"),-1))</f>
        <v>100</v>
      </c>
      <c r="P31" s="587">
        <f ca="1">IF(YEAR('2026'!$B$1)&lt;$C31,"",ROUNDDOWN(INDIRECT($C31&amp;"!l52"),-1))</f>
        <v>100</v>
      </c>
      <c r="Q31" s="587">
        <f ca="1">IF(YEAR('2026'!$B$1)&lt;$C31,"",ROUNDDOWN(INDIRECT($C31&amp;"!m52"),-1))</f>
        <v>100</v>
      </c>
      <c r="R31" s="588">
        <f t="shared" ca="1" si="0"/>
        <v>1200</v>
      </c>
    </row>
    <row r="32" spans="1:18" ht="9.75" customHeight="1">
      <c r="A32" s="582">
        <v>30</v>
      </c>
      <c r="B32" s="583">
        <f ca="1">'퇴직때까지의 총연봉액'!B32</f>
        <v>32</v>
      </c>
      <c r="C32" s="584">
        <f ca="1">'퇴직때까지의 총연봉액'!D32</f>
        <v>2054</v>
      </c>
      <c r="D32" s="585">
        <f ca="1">월별실수령액총괄표!D32</f>
        <v>57</v>
      </c>
      <c r="E32" s="586">
        <f ca="1">'퇴직때까지의 총연봉액'!E32</f>
        <v>42</v>
      </c>
      <c r="F32" s="587">
        <f ca="1">IF(YEAR('2026'!$B$1)&lt;$C32,"",ROUNDDOWN(INDIRECT($C32&amp;"!b52"),-1))</f>
        <v>100</v>
      </c>
      <c r="G32" s="587">
        <f ca="1">IF(YEAR('2026'!$B$1)&lt;$C32,"",ROUNDDOWN(INDIRECT($C32&amp;"!c52"),-1))</f>
        <v>100</v>
      </c>
      <c r="H32" s="587">
        <f ca="1">IF(YEAR('2026'!$B$1)&lt;$C32,"",ROUNDDOWN(INDIRECT($C32&amp;"!d52"),-1))</f>
        <v>100</v>
      </c>
      <c r="I32" s="587">
        <f ca="1">IF(YEAR('2026'!$B$1)&lt;$C32,"",ROUNDDOWN(INDIRECT($C32&amp;"!e52"),-1))</f>
        <v>100</v>
      </c>
      <c r="J32" s="587">
        <f ca="1">IF(YEAR('2026'!$B$1)&lt;$C32,"",ROUNDDOWN(INDIRECT($C32&amp;"!f52"),-1))</f>
        <v>100</v>
      </c>
      <c r="K32" s="587">
        <f ca="1">IF(YEAR('2026'!$B$1)&lt;$C32,"",ROUNDDOWN(INDIRECT($C32&amp;"!g52"),-1))</f>
        <v>100</v>
      </c>
      <c r="L32" s="587">
        <f ca="1">IF(YEAR('2026'!$B$1)&lt;$C32,"",ROUNDDOWN(INDIRECT($C32&amp;"!h52"),-1))</f>
        <v>100</v>
      </c>
      <c r="M32" s="587">
        <f ca="1">IF(YEAR('2026'!$B$1)&lt;$C32,"",ROUNDDOWN(INDIRECT($C32&amp;"!i52"),-1))</f>
        <v>100</v>
      </c>
      <c r="N32" s="587">
        <f ca="1">IF(YEAR('2026'!$B$1)&lt;$C32,"",ROUNDDOWN(INDIRECT($C32&amp;"!j52"),-1))</f>
        <v>100</v>
      </c>
      <c r="O32" s="587">
        <f ca="1">IF(YEAR('2026'!$B$1)&lt;$C32,"",ROUNDDOWN(INDIRECT($C32&amp;"!k52"),-1))</f>
        <v>100</v>
      </c>
      <c r="P32" s="587">
        <f ca="1">IF(YEAR('2026'!$B$1)&lt;$C32,"",ROUNDDOWN(INDIRECT($C32&amp;"!l52"),-1))</f>
        <v>100</v>
      </c>
      <c r="Q32" s="587">
        <f ca="1">IF(YEAR('2026'!$B$1)&lt;$C32,"",ROUNDDOWN(INDIRECT($C32&amp;"!m52"),-1))</f>
        <v>100</v>
      </c>
      <c r="R32" s="588">
        <f t="shared" ca="1" si="0"/>
        <v>1200</v>
      </c>
    </row>
    <row r="33" spans="1:18" ht="9.75" customHeight="1">
      <c r="A33" s="582">
        <v>31</v>
      </c>
      <c r="B33" s="583">
        <f ca="1">'퇴직때까지의 총연봉액'!B33</f>
        <v>33</v>
      </c>
      <c r="C33" s="584">
        <f ca="1">'퇴직때까지의 총연봉액'!D33</f>
        <v>2055</v>
      </c>
      <c r="D33" s="585">
        <f ca="1">월별실수령액총괄표!D33</f>
        <v>58</v>
      </c>
      <c r="E33" s="586">
        <f ca="1">'퇴직때까지의 총연봉액'!E33</f>
        <v>43</v>
      </c>
      <c r="F33" s="587">
        <f ca="1">IF(YEAR('2026'!$B$1)&lt;$C33,"",ROUNDDOWN(INDIRECT($C33&amp;"!b52"),-1))</f>
        <v>100</v>
      </c>
      <c r="G33" s="587">
        <f ca="1">IF(YEAR('2026'!$B$1)&lt;$C33,"",ROUNDDOWN(INDIRECT($C33&amp;"!c52"),-1))</f>
        <v>100</v>
      </c>
      <c r="H33" s="587">
        <f ca="1">IF(YEAR('2026'!$B$1)&lt;$C33,"",ROUNDDOWN(INDIRECT($C33&amp;"!d52"),-1))</f>
        <v>100</v>
      </c>
      <c r="I33" s="587">
        <f ca="1">IF(YEAR('2026'!$B$1)&lt;$C33,"",ROUNDDOWN(INDIRECT($C33&amp;"!e52"),-1))</f>
        <v>100</v>
      </c>
      <c r="J33" s="587">
        <f ca="1">IF(YEAR('2026'!$B$1)&lt;$C33,"",ROUNDDOWN(INDIRECT($C33&amp;"!f52"),-1))</f>
        <v>100</v>
      </c>
      <c r="K33" s="587">
        <f ca="1">IF(YEAR('2026'!$B$1)&lt;$C33,"",ROUNDDOWN(INDIRECT($C33&amp;"!g52"),-1))</f>
        <v>100</v>
      </c>
      <c r="L33" s="587">
        <f ca="1">IF(YEAR('2026'!$B$1)&lt;$C33,"",ROUNDDOWN(INDIRECT($C33&amp;"!h52"),-1))</f>
        <v>100</v>
      </c>
      <c r="M33" s="587">
        <f ca="1">IF(YEAR('2026'!$B$1)&lt;$C33,"",ROUNDDOWN(INDIRECT($C33&amp;"!i52"),-1))</f>
        <v>100</v>
      </c>
      <c r="N33" s="587">
        <f ca="1">IF(YEAR('2026'!$B$1)&lt;$C33,"",ROUNDDOWN(INDIRECT($C33&amp;"!j52"),-1))</f>
        <v>100</v>
      </c>
      <c r="O33" s="587">
        <f ca="1">IF(YEAR('2026'!$B$1)&lt;$C33,"",ROUNDDOWN(INDIRECT($C33&amp;"!k52"),-1))</f>
        <v>100</v>
      </c>
      <c r="P33" s="587">
        <f ca="1">IF(YEAR('2026'!$B$1)&lt;$C33,"",ROUNDDOWN(INDIRECT($C33&amp;"!l52"),-1))</f>
        <v>100</v>
      </c>
      <c r="Q33" s="587">
        <f ca="1">IF(YEAR('2026'!$B$1)&lt;$C33,"",ROUNDDOWN(INDIRECT($C33&amp;"!m52"),-1))</f>
        <v>100</v>
      </c>
      <c r="R33" s="588">
        <f t="shared" ca="1" si="0"/>
        <v>1200</v>
      </c>
    </row>
    <row r="34" spans="1:18" ht="9.75" customHeight="1">
      <c r="A34" s="582">
        <v>32</v>
      </c>
      <c r="B34" s="583">
        <f ca="1">'퇴직때까지의 총연봉액'!B34</f>
        <v>34</v>
      </c>
      <c r="C34" s="584">
        <f ca="1">'퇴직때까지의 총연봉액'!D34</f>
        <v>2056</v>
      </c>
      <c r="D34" s="585">
        <f ca="1">월별실수령액총괄표!D34</f>
        <v>59</v>
      </c>
      <c r="E34" s="586">
        <f ca="1">'퇴직때까지의 총연봉액'!E34</f>
        <v>44</v>
      </c>
      <c r="F34" s="587">
        <f ca="1">IF(YEAR('2026'!$B$1)&lt;$C34,"",ROUNDDOWN(INDIRECT($C34&amp;"!b52"),-1))</f>
        <v>100</v>
      </c>
      <c r="G34" s="587">
        <f ca="1">IF(YEAR('2026'!$B$1)&lt;$C34,"",ROUNDDOWN(INDIRECT($C34&amp;"!c52"),-1))</f>
        <v>100</v>
      </c>
      <c r="H34" s="587">
        <f ca="1">IF(YEAR('2026'!$B$1)&lt;$C34,"",ROUNDDOWN(INDIRECT($C34&amp;"!d52"),-1))</f>
        <v>100</v>
      </c>
      <c r="I34" s="587">
        <f ca="1">IF(YEAR('2026'!$B$1)&lt;$C34,"",ROUNDDOWN(INDIRECT($C34&amp;"!e52"),-1))</f>
        <v>100</v>
      </c>
      <c r="J34" s="587">
        <f ca="1">IF(YEAR('2026'!$B$1)&lt;$C34,"",ROUNDDOWN(INDIRECT($C34&amp;"!f52"),-1))</f>
        <v>100</v>
      </c>
      <c r="K34" s="587">
        <f ca="1">IF(YEAR('2026'!$B$1)&lt;$C34,"",ROUNDDOWN(INDIRECT($C34&amp;"!g52"),-1))</f>
        <v>100</v>
      </c>
      <c r="L34" s="587">
        <f ca="1">IF(YEAR('2026'!$B$1)&lt;$C34,"",ROUNDDOWN(INDIRECT($C34&amp;"!h52"),-1))</f>
        <v>100</v>
      </c>
      <c r="M34" s="587">
        <f ca="1">IF(YEAR('2026'!$B$1)&lt;$C34,"",ROUNDDOWN(INDIRECT($C34&amp;"!i52"),-1))</f>
        <v>100</v>
      </c>
      <c r="N34" s="587">
        <f ca="1">IF(YEAR('2026'!$B$1)&lt;$C34,"",ROUNDDOWN(INDIRECT($C34&amp;"!j52"),-1))</f>
        <v>100</v>
      </c>
      <c r="O34" s="587">
        <f ca="1">IF(YEAR('2026'!$B$1)&lt;$C34,"",ROUNDDOWN(INDIRECT($C34&amp;"!k52"),-1))</f>
        <v>100</v>
      </c>
      <c r="P34" s="587">
        <f ca="1">IF(YEAR('2026'!$B$1)&lt;$C34,"",ROUNDDOWN(INDIRECT($C34&amp;"!l52"),-1))</f>
        <v>100</v>
      </c>
      <c r="Q34" s="587">
        <f ca="1">IF(YEAR('2026'!$B$1)&lt;$C34,"",ROUNDDOWN(INDIRECT($C34&amp;"!m52"),-1))</f>
        <v>100</v>
      </c>
      <c r="R34" s="588">
        <f t="shared" ca="1" si="0"/>
        <v>1200</v>
      </c>
    </row>
    <row r="35" spans="1:18" ht="9.75" customHeight="1">
      <c r="A35" s="582">
        <v>33</v>
      </c>
      <c r="B35" s="583">
        <f ca="1">'퇴직때까지의 총연봉액'!B35</f>
        <v>35</v>
      </c>
      <c r="C35" s="584">
        <f ca="1">'퇴직때까지의 총연봉액'!D35</f>
        <v>2057</v>
      </c>
      <c r="D35" s="585">
        <f ca="1">월별실수령액총괄표!D35</f>
        <v>60</v>
      </c>
      <c r="E35" s="586">
        <f ca="1">'퇴직때까지의 총연봉액'!E35</f>
        <v>45</v>
      </c>
      <c r="F35" s="587">
        <f ca="1">IF(YEAR('2026'!$B$1)&lt;$C35,"",ROUNDDOWN(INDIRECT($C35&amp;"!b52"),-1))</f>
        <v>100</v>
      </c>
      <c r="G35" s="587">
        <f ca="1">IF(YEAR('2026'!$B$1)&lt;$C35,"",ROUNDDOWN(INDIRECT($C35&amp;"!c52"),-1))</f>
        <v>100</v>
      </c>
      <c r="H35" s="587">
        <f ca="1">IF(YEAR('2026'!$B$1)&lt;$C35,"",ROUNDDOWN(INDIRECT($C35&amp;"!d52"),-1))</f>
        <v>100</v>
      </c>
      <c r="I35" s="587">
        <f ca="1">IF(YEAR('2026'!$B$1)&lt;$C35,"",ROUNDDOWN(INDIRECT($C35&amp;"!e52"),-1))</f>
        <v>100</v>
      </c>
      <c r="J35" s="587">
        <f ca="1">IF(YEAR('2026'!$B$1)&lt;$C35,"",ROUNDDOWN(INDIRECT($C35&amp;"!f52"),-1))</f>
        <v>100</v>
      </c>
      <c r="K35" s="587">
        <f ca="1">IF(YEAR('2026'!$B$1)&lt;$C35,"",ROUNDDOWN(INDIRECT($C35&amp;"!g52"),-1))</f>
        <v>100</v>
      </c>
      <c r="L35" s="587">
        <f ca="1">IF(YEAR('2026'!$B$1)&lt;$C35,"",ROUNDDOWN(INDIRECT($C35&amp;"!h52"),-1))</f>
        <v>100</v>
      </c>
      <c r="M35" s="587">
        <f ca="1">IF(YEAR('2026'!$B$1)&lt;$C35,"",ROUNDDOWN(INDIRECT($C35&amp;"!i52"),-1))</f>
        <v>100</v>
      </c>
      <c r="N35" s="587">
        <f ca="1">IF(YEAR('2026'!$B$1)&lt;$C35,"",ROUNDDOWN(INDIRECT($C35&amp;"!j52"),-1))</f>
        <v>100</v>
      </c>
      <c r="O35" s="587">
        <f ca="1">IF(YEAR('2026'!$B$1)&lt;$C35,"",ROUNDDOWN(INDIRECT($C35&amp;"!k52"),-1))</f>
        <v>100</v>
      </c>
      <c r="P35" s="587">
        <f ca="1">IF(YEAR('2026'!$B$1)&lt;$C35,"",ROUNDDOWN(INDIRECT($C35&amp;"!l52"),-1))</f>
        <v>100</v>
      </c>
      <c r="Q35" s="587">
        <f ca="1">IF(YEAR('2026'!$B$1)&lt;$C35,"",ROUNDDOWN(INDIRECT($C35&amp;"!m52"),-1))</f>
        <v>100</v>
      </c>
      <c r="R35" s="588">
        <f t="shared" ca="1" si="0"/>
        <v>1200</v>
      </c>
    </row>
    <row r="36" spans="1:18" ht="9.75" customHeight="1">
      <c r="A36" s="582">
        <v>34</v>
      </c>
      <c r="B36" s="583">
        <f ca="1">'퇴직때까지의 총연봉액'!B36</f>
        <v>36</v>
      </c>
      <c r="C36" s="584">
        <f ca="1">'퇴직때까지의 총연봉액'!D36</f>
        <v>2058</v>
      </c>
      <c r="D36" s="585">
        <f ca="1">월별실수령액총괄표!D36</f>
        <v>61</v>
      </c>
      <c r="E36" s="586">
        <f ca="1">'퇴직때까지의 총연봉액'!E36</f>
        <v>46</v>
      </c>
      <c r="F36" s="587">
        <f ca="1">IF(YEAR('2026'!$B$1)&lt;$C36,"",ROUNDDOWN(INDIRECT($C36&amp;"!b52"),-1))</f>
        <v>100</v>
      </c>
      <c r="G36" s="587">
        <f ca="1">IF(YEAR('2026'!$B$1)&lt;$C36,"",ROUNDDOWN(INDIRECT($C36&amp;"!c52"),-1))</f>
        <v>100</v>
      </c>
      <c r="H36" s="587">
        <f ca="1">IF(YEAR('2026'!$B$1)&lt;$C36,"",ROUNDDOWN(INDIRECT($C36&amp;"!d52"),-1))</f>
        <v>100</v>
      </c>
      <c r="I36" s="587">
        <f ca="1">IF(YEAR('2026'!$B$1)&lt;$C36,"",ROUNDDOWN(INDIRECT($C36&amp;"!e52"),-1))</f>
        <v>100</v>
      </c>
      <c r="J36" s="587">
        <f ca="1">IF(YEAR('2026'!$B$1)&lt;$C36,"",ROUNDDOWN(INDIRECT($C36&amp;"!f52"),-1))</f>
        <v>100</v>
      </c>
      <c r="K36" s="587">
        <f ca="1">IF(YEAR('2026'!$B$1)&lt;$C36,"",ROUNDDOWN(INDIRECT($C36&amp;"!g52"),-1))</f>
        <v>100</v>
      </c>
      <c r="L36" s="587">
        <f ca="1">IF(YEAR('2026'!$B$1)&lt;$C36,"",ROUNDDOWN(INDIRECT($C36&amp;"!h52"),-1))</f>
        <v>100</v>
      </c>
      <c r="M36" s="587">
        <f ca="1">IF(YEAR('2026'!$B$1)&lt;$C36,"",ROUNDDOWN(INDIRECT($C36&amp;"!i52"),-1))</f>
        <v>100</v>
      </c>
      <c r="N36" s="587">
        <f ca="1">IF(YEAR('2026'!$B$1)&lt;$C36,"",ROUNDDOWN(INDIRECT($C36&amp;"!j52"),-1))</f>
        <v>100</v>
      </c>
      <c r="O36" s="587">
        <f ca="1">IF(YEAR('2026'!$B$1)&lt;$C36,"",ROUNDDOWN(INDIRECT($C36&amp;"!k52"),-1))</f>
        <v>100</v>
      </c>
      <c r="P36" s="587">
        <f ca="1">IF(YEAR('2026'!$B$1)&lt;$C36,"",ROUNDDOWN(INDIRECT($C36&amp;"!l52"),-1))</f>
        <v>100</v>
      </c>
      <c r="Q36" s="587">
        <f ca="1">IF(YEAR('2026'!$B$1)&lt;$C36,"",ROUNDDOWN(INDIRECT($C36&amp;"!m52"),-1))</f>
        <v>100</v>
      </c>
      <c r="R36" s="588">
        <f t="shared" ca="1" si="0"/>
        <v>1200</v>
      </c>
    </row>
    <row r="37" spans="1:18" ht="9.75" customHeight="1">
      <c r="A37" s="582">
        <v>35</v>
      </c>
      <c r="B37" s="583">
        <f ca="1">'퇴직때까지의 총연봉액'!B37</f>
        <v>37</v>
      </c>
      <c r="C37" s="584">
        <f ca="1">'퇴직때까지의 총연봉액'!D37</f>
        <v>2059</v>
      </c>
      <c r="D37" s="585">
        <f ca="1">월별실수령액총괄표!D37</f>
        <v>62</v>
      </c>
      <c r="E37" s="586">
        <f ca="1">'퇴직때까지의 총연봉액'!E37</f>
        <v>47</v>
      </c>
      <c r="F37" s="587">
        <f ca="1">IF(YEAR('2026'!$B$1)&lt;$C37,"",ROUNDDOWN(INDIRECT($C37&amp;"!b52"),-1))</f>
        <v>100</v>
      </c>
      <c r="G37" s="587">
        <f ca="1">IF(YEAR('2026'!$B$1)&lt;$C37,"",ROUNDDOWN(INDIRECT($C37&amp;"!c52"),-1))</f>
        <v>100</v>
      </c>
      <c r="H37" s="587">
        <f ca="1">IF(YEAR('2026'!$B$1)&lt;$C37,"",ROUNDDOWN(INDIRECT($C37&amp;"!d52"),-1))</f>
        <v>100</v>
      </c>
      <c r="I37" s="587">
        <f ca="1">IF(YEAR('2026'!$B$1)&lt;$C37,"",ROUNDDOWN(INDIRECT($C37&amp;"!e52"),-1))</f>
        <v>100</v>
      </c>
      <c r="J37" s="587">
        <f ca="1">IF(YEAR('2026'!$B$1)&lt;$C37,"",ROUNDDOWN(INDIRECT($C37&amp;"!f52"),-1))</f>
        <v>100</v>
      </c>
      <c r="K37" s="587">
        <f ca="1">IF(YEAR('2026'!$B$1)&lt;$C37,"",ROUNDDOWN(INDIRECT($C37&amp;"!g52"),-1))</f>
        <v>100</v>
      </c>
      <c r="L37" s="587">
        <f ca="1">IF(YEAR('2026'!$B$1)&lt;$C37,"",ROUNDDOWN(INDIRECT($C37&amp;"!h52"),-1))</f>
        <v>100</v>
      </c>
      <c r="M37" s="587">
        <f ca="1">IF(YEAR('2026'!$B$1)&lt;$C37,"",ROUNDDOWN(INDIRECT($C37&amp;"!i52"),-1))</f>
        <v>100</v>
      </c>
      <c r="N37" s="587">
        <f ca="1">IF(YEAR('2026'!$B$1)&lt;$C37,"",ROUNDDOWN(INDIRECT($C37&amp;"!j52"),-1))</f>
        <v>100</v>
      </c>
      <c r="O37" s="587">
        <f ca="1">IF(YEAR('2026'!$B$1)&lt;$C37,"",ROUNDDOWN(INDIRECT($C37&amp;"!k52"),-1))</f>
        <v>100</v>
      </c>
      <c r="P37" s="587">
        <f ca="1">IF(YEAR('2026'!$B$1)&lt;$C37,"",ROUNDDOWN(INDIRECT($C37&amp;"!l52"),-1))</f>
        <v>100</v>
      </c>
      <c r="Q37" s="587">
        <f ca="1">IF(YEAR('2026'!$B$1)&lt;$C37,"",ROUNDDOWN(INDIRECT($C37&amp;"!m52"),-1))</f>
        <v>100</v>
      </c>
      <c r="R37" s="588">
        <f t="shared" ca="1" si="0"/>
        <v>1200</v>
      </c>
    </row>
    <row r="38" spans="1:18" ht="9.75" customHeight="1">
      <c r="A38" s="582">
        <v>36</v>
      </c>
      <c r="B38" s="583" t="str">
        <f ca="1">'퇴직때까지의 총연봉액'!B38</f>
        <v/>
      </c>
      <c r="C38" s="584">
        <f ca="1">'퇴직때까지의 총연봉액'!D38</f>
        <v>2060</v>
      </c>
      <c r="D38" s="585" t="str">
        <f ca="1">월별실수령액총괄표!D38</f>
        <v/>
      </c>
      <c r="E38" s="586" t="str">
        <f ca="1">'퇴직때까지의 총연봉액'!E38</f>
        <v/>
      </c>
      <c r="F38" s="587" t="str">
        <f ca="1">IF(YEAR('2026'!$B$1)&lt;$C38,"",ROUNDDOWN(INDIRECT($C38&amp;"!b52"),-1))</f>
        <v/>
      </c>
      <c r="G38" s="587" t="str">
        <f ca="1">IF(YEAR('2026'!$B$1)&lt;$C38,"",ROUNDDOWN(INDIRECT($C38&amp;"!c52"),-1))</f>
        <v/>
      </c>
      <c r="H38" s="587" t="str">
        <f ca="1">IF(YEAR('2026'!$B$1)&lt;$C38,"",ROUNDDOWN(INDIRECT($C38&amp;"!d52"),-1))</f>
        <v/>
      </c>
      <c r="I38" s="587" t="str">
        <f ca="1">IF(YEAR('2026'!$B$1)&lt;$C38,"",ROUNDDOWN(INDIRECT($C38&amp;"!e52"),-1))</f>
        <v/>
      </c>
      <c r="J38" s="587" t="str">
        <f ca="1">IF(YEAR('2026'!$B$1)&lt;$C38,"",ROUNDDOWN(INDIRECT($C38&amp;"!f52"),-1))</f>
        <v/>
      </c>
      <c r="K38" s="587" t="str">
        <f ca="1">IF(YEAR('2026'!$B$1)&lt;$C38,"",ROUNDDOWN(INDIRECT($C38&amp;"!g52"),-1))</f>
        <v/>
      </c>
      <c r="L38" s="587" t="str">
        <f ca="1">IF(YEAR('2026'!$B$1)&lt;$C38,"",ROUNDDOWN(INDIRECT($C38&amp;"!h52"),-1))</f>
        <v/>
      </c>
      <c r="M38" s="587" t="str">
        <f ca="1">IF(YEAR('2026'!$B$1)&lt;$C38,"",ROUNDDOWN(INDIRECT($C38&amp;"!i52"),-1))</f>
        <v/>
      </c>
      <c r="N38" s="587" t="str">
        <f ca="1">IF(YEAR('2026'!$B$1)&lt;$C38,"",ROUNDDOWN(INDIRECT($C38&amp;"!j52"),-1))</f>
        <v/>
      </c>
      <c r="O38" s="587" t="str">
        <f ca="1">IF(YEAR('2026'!$B$1)&lt;$C38,"",ROUNDDOWN(INDIRECT($C38&amp;"!k52"),-1))</f>
        <v/>
      </c>
      <c r="P38" s="587" t="str">
        <f ca="1">IF(YEAR('2026'!$B$1)&lt;$C38,"",ROUNDDOWN(INDIRECT($C38&amp;"!l52"),-1))</f>
        <v/>
      </c>
      <c r="Q38" s="587" t="str">
        <f ca="1">IF(YEAR('2026'!$B$1)&lt;$C38,"",ROUNDDOWN(INDIRECT($C38&amp;"!m52"),-1))</f>
        <v/>
      </c>
      <c r="R38" s="588" t="str">
        <f t="shared" ca="1" si="0"/>
        <v/>
      </c>
    </row>
    <row r="39" spans="1:18" ht="9.75" customHeight="1">
      <c r="A39" s="582">
        <v>37</v>
      </c>
      <c r="B39" s="583" t="str">
        <f ca="1">'퇴직때까지의 총연봉액'!B39</f>
        <v/>
      </c>
      <c r="C39" s="584">
        <f ca="1">'퇴직때까지의 총연봉액'!D39</f>
        <v>2061</v>
      </c>
      <c r="D39" s="585" t="str">
        <f ca="1">월별실수령액총괄표!D39</f>
        <v/>
      </c>
      <c r="E39" s="586" t="str">
        <f ca="1">'퇴직때까지의 총연봉액'!E39</f>
        <v/>
      </c>
      <c r="F39" s="587" t="str">
        <f ca="1">IF(YEAR('2026'!$B$1)&lt;$C39,"",ROUNDDOWN(INDIRECT($C39&amp;"!b52"),-1))</f>
        <v/>
      </c>
      <c r="G39" s="587" t="str">
        <f ca="1">IF(YEAR('2026'!$B$1)&lt;$C39,"",ROUNDDOWN(INDIRECT($C39&amp;"!c52"),-1))</f>
        <v/>
      </c>
      <c r="H39" s="587" t="str">
        <f ca="1">IF(YEAR('2026'!$B$1)&lt;$C39,"",ROUNDDOWN(INDIRECT($C39&amp;"!d52"),-1))</f>
        <v/>
      </c>
      <c r="I39" s="587" t="str">
        <f ca="1">IF(YEAR('2026'!$B$1)&lt;$C39,"",ROUNDDOWN(INDIRECT($C39&amp;"!e52"),-1))</f>
        <v/>
      </c>
      <c r="J39" s="587" t="str">
        <f ca="1">IF(YEAR('2026'!$B$1)&lt;$C39,"",ROUNDDOWN(INDIRECT($C39&amp;"!f52"),-1))</f>
        <v/>
      </c>
      <c r="K39" s="587" t="str">
        <f ca="1">IF(YEAR('2026'!$B$1)&lt;$C39,"",ROUNDDOWN(INDIRECT($C39&amp;"!g52"),-1))</f>
        <v/>
      </c>
      <c r="L39" s="587" t="str">
        <f ca="1">IF(YEAR('2026'!$B$1)&lt;$C39,"",ROUNDDOWN(INDIRECT($C39&amp;"!h52"),-1))</f>
        <v/>
      </c>
      <c r="M39" s="587" t="str">
        <f ca="1">IF(YEAR('2026'!$B$1)&lt;$C39,"",ROUNDDOWN(INDIRECT($C39&amp;"!i52"),-1))</f>
        <v/>
      </c>
      <c r="N39" s="587" t="str">
        <f ca="1">IF(YEAR('2026'!$B$1)&lt;$C39,"",ROUNDDOWN(INDIRECT($C39&amp;"!j52"),-1))</f>
        <v/>
      </c>
      <c r="O39" s="587" t="str">
        <f ca="1">IF(YEAR('2026'!$B$1)&lt;$C39,"",ROUNDDOWN(INDIRECT($C39&amp;"!k52"),-1))</f>
        <v/>
      </c>
      <c r="P39" s="587" t="str">
        <f ca="1">IF(YEAR('2026'!$B$1)&lt;$C39,"",ROUNDDOWN(INDIRECT($C39&amp;"!l52"),-1))</f>
        <v/>
      </c>
      <c r="Q39" s="587" t="str">
        <f ca="1">IF(YEAR('2026'!$B$1)&lt;$C39,"",ROUNDDOWN(INDIRECT($C39&amp;"!m52"),-1))</f>
        <v/>
      </c>
      <c r="R39" s="588" t="str">
        <f t="shared" ca="1" si="0"/>
        <v/>
      </c>
    </row>
    <row r="40" spans="1:18" ht="9.75" customHeight="1">
      <c r="A40" s="582">
        <v>38</v>
      </c>
      <c r="B40" s="583" t="str">
        <f ca="1">'퇴직때까지의 총연봉액'!B40</f>
        <v/>
      </c>
      <c r="C40" s="584">
        <f ca="1">'퇴직때까지의 총연봉액'!D40</f>
        <v>2062</v>
      </c>
      <c r="D40" s="585" t="str">
        <f ca="1">월별실수령액총괄표!D40</f>
        <v/>
      </c>
      <c r="E40" s="586" t="str">
        <f ca="1">'퇴직때까지의 총연봉액'!E40</f>
        <v/>
      </c>
      <c r="F40" s="587" t="str">
        <f ca="1">IF(YEAR('2026'!$B$1)&lt;$C40,"",ROUNDDOWN(INDIRECT($C40&amp;"!b52"),-1))</f>
        <v/>
      </c>
      <c r="G40" s="587" t="str">
        <f ca="1">IF(YEAR('2026'!$B$1)&lt;$C40,"",ROUNDDOWN(INDIRECT($C40&amp;"!c52"),-1))</f>
        <v/>
      </c>
      <c r="H40" s="587" t="str">
        <f ca="1">IF(YEAR('2026'!$B$1)&lt;$C40,"",ROUNDDOWN(INDIRECT($C40&amp;"!d52"),-1))</f>
        <v/>
      </c>
      <c r="I40" s="587" t="str">
        <f ca="1">IF(YEAR('2026'!$B$1)&lt;$C40,"",ROUNDDOWN(INDIRECT($C40&amp;"!e52"),-1))</f>
        <v/>
      </c>
      <c r="J40" s="587" t="str">
        <f ca="1">IF(YEAR('2026'!$B$1)&lt;$C40,"",ROUNDDOWN(INDIRECT($C40&amp;"!f52"),-1))</f>
        <v/>
      </c>
      <c r="K40" s="587" t="str">
        <f ca="1">IF(YEAR('2026'!$B$1)&lt;$C40,"",ROUNDDOWN(INDIRECT($C40&amp;"!g52"),-1))</f>
        <v/>
      </c>
      <c r="L40" s="587" t="str">
        <f ca="1">IF(YEAR('2026'!$B$1)&lt;$C40,"",ROUNDDOWN(INDIRECT($C40&amp;"!h52"),-1))</f>
        <v/>
      </c>
      <c r="M40" s="587" t="str">
        <f ca="1">IF(YEAR('2026'!$B$1)&lt;$C40,"",ROUNDDOWN(INDIRECT($C40&amp;"!i52"),-1))</f>
        <v/>
      </c>
      <c r="N40" s="587" t="str">
        <f ca="1">IF(YEAR('2026'!$B$1)&lt;$C40,"",ROUNDDOWN(INDIRECT($C40&amp;"!j52"),-1))</f>
        <v/>
      </c>
      <c r="O40" s="587" t="str">
        <f ca="1">IF(YEAR('2026'!$B$1)&lt;$C40,"",ROUNDDOWN(INDIRECT($C40&amp;"!k52"),-1))</f>
        <v/>
      </c>
      <c r="P40" s="587" t="str">
        <f ca="1">IF(YEAR('2026'!$B$1)&lt;$C40,"",ROUNDDOWN(INDIRECT($C40&amp;"!l52"),-1))</f>
        <v/>
      </c>
      <c r="Q40" s="587" t="str">
        <f ca="1">IF(YEAR('2026'!$B$1)&lt;$C40,"",ROUNDDOWN(INDIRECT($C40&amp;"!m52"),-1))</f>
        <v/>
      </c>
      <c r="R40" s="588" t="str">
        <f t="shared" ca="1" si="0"/>
        <v/>
      </c>
    </row>
    <row r="41" spans="1:18" ht="9.75" customHeight="1">
      <c r="A41" s="582">
        <v>39</v>
      </c>
      <c r="B41" s="583" t="str">
        <f ca="1">'퇴직때까지의 총연봉액'!B41</f>
        <v/>
      </c>
      <c r="C41" s="584">
        <f ca="1">'퇴직때까지의 총연봉액'!D41</f>
        <v>2063</v>
      </c>
      <c r="D41" s="585" t="str">
        <f ca="1">월별실수령액총괄표!D41</f>
        <v/>
      </c>
      <c r="E41" s="586" t="str">
        <f ca="1">'퇴직때까지의 총연봉액'!E41</f>
        <v/>
      </c>
      <c r="F41" s="587" t="str">
        <f ca="1">IF(YEAR('2026'!$B$1)&lt;$C41,"",ROUNDDOWN(INDIRECT($C41&amp;"!b52"),-1))</f>
        <v/>
      </c>
      <c r="G41" s="587" t="str">
        <f ca="1">IF(YEAR('2026'!$B$1)&lt;$C41,"",ROUNDDOWN(INDIRECT($C41&amp;"!c52"),-1))</f>
        <v/>
      </c>
      <c r="H41" s="587" t="str">
        <f ca="1">IF(YEAR('2026'!$B$1)&lt;$C41,"",ROUNDDOWN(INDIRECT($C41&amp;"!d52"),-1))</f>
        <v/>
      </c>
      <c r="I41" s="587" t="str">
        <f ca="1">IF(YEAR('2026'!$B$1)&lt;$C41,"",ROUNDDOWN(INDIRECT($C41&amp;"!e52"),-1))</f>
        <v/>
      </c>
      <c r="J41" s="587" t="str">
        <f ca="1">IF(YEAR('2026'!$B$1)&lt;$C41,"",ROUNDDOWN(INDIRECT($C41&amp;"!f52"),-1))</f>
        <v/>
      </c>
      <c r="K41" s="587" t="str">
        <f ca="1">IF(YEAR('2026'!$B$1)&lt;$C41,"",ROUNDDOWN(INDIRECT($C41&amp;"!g52"),-1))</f>
        <v/>
      </c>
      <c r="L41" s="587" t="str">
        <f ca="1">IF(YEAR('2026'!$B$1)&lt;$C41,"",ROUNDDOWN(INDIRECT($C41&amp;"!h52"),-1))</f>
        <v/>
      </c>
      <c r="M41" s="587" t="str">
        <f ca="1">IF(YEAR('2026'!$B$1)&lt;$C41,"",ROUNDDOWN(INDIRECT($C41&amp;"!i52"),-1))</f>
        <v/>
      </c>
      <c r="N41" s="587" t="str">
        <f ca="1">IF(YEAR('2026'!$B$1)&lt;$C41,"",ROUNDDOWN(INDIRECT($C41&amp;"!j52"),-1))</f>
        <v/>
      </c>
      <c r="O41" s="587" t="str">
        <f ca="1">IF(YEAR('2026'!$B$1)&lt;$C41,"",ROUNDDOWN(INDIRECT($C41&amp;"!k52"),-1))</f>
        <v/>
      </c>
      <c r="P41" s="587" t="str">
        <f ca="1">IF(YEAR('2026'!$B$1)&lt;$C41,"",ROUNDDOWN(INDIRECT($C41&amp;"!l52"),-1))</f>
        <v/>
      </c>
      <c r="Q41" s="587" t="str">
        <f ca="1">IF(YEAR('2026'!$B$1)&lt;$C41,"",ROUNDDOWN(INDIRECT($C41&amp;"!m52"),-1))</f>
        <v/>
      </c>
      <c r="R41" s="588" t="str">
        <f t="shared" ca="1" si="0"/>
        <v/>
      </c>
    </row>
    <row r="42" spans="1:18" ht="9.75" customHeight="1">
      <c r="A42" s="582">
        <v>40</v>
      </c>
      <c r="B42" s="583" t="str">
        <f ca="1">'퇴직때까지의 총연봉액'!B42</f>
        <v/>
      </c>
      <c r="C42" s="584">
        <f ca="1">'퇴직때까지의 총연봉액'!D42</f>
        <v>2064</v>
      </c>
      <c r="D42" s="585" t="str">
        <f ca="1">월별실수령액총괄표!D42</f>
        <v/>
      </c>
      <c r="E42" s="586" t="str">
        <f ca="1">'퇴직때까지의 총연봉액'!E42</f>
        <v/>
      </c>
      <c r="F42" s="587" t="str">
        <f ca="1">IF(YEAR('2026'!$B$1)&lt;$C42,"",ROUNDDOWN(INDIRECT($C42&amp;"!b52"),-1))</f>
        <v/>
      </c>
      <c r="G42" s="587" t="str">
        <f ca="1">IF(YEAR('2026'!$B$1)&lt;$C42,"",ROUNDDOWN(INDIRECT($C42&amp;"!c52"),-1))</f>
        <v/>
      </c>
      <c r="H42" s="587" t="str">
        <f ca="1">IF(YEAR('2026'!$B$1)&lt;$C42,"",ROUNDDOWN(INDIRECT($C42&amp;"!d52"),-1))</f>
        <v/>
      </c>
      <c r="I42" s="587" t="str">
        <f ca="1">IF(YEAR('2026'!$B$1)&lt;$C42,"",ROUNDDOWN(INDIRECT($C42&amp;"!e52"),-1))</f>
        <v/>
      </c>
      <c r="J42" s="587" t="str">
        <f ca="1">IF(YEAR('2026'!$B$1)&lt;$C42,"",ROUNDDOWN(INDIRECT($C42&amp;"!f52"),-1))</f>
        <v/>
      </c>
      <c r="K42" s="587" t="str">
        <f ca="1">IF(YEAR('2026'!$B$1)&lt;$C42,"",ROUNDDOWN(INDIRECT($C42&amp;"!g52"),-1))</f>
        <v/>
      </c>
      <c r="L42" s="587" t="str">
        <f ca="1">IF(YEAR('2026'!$B$1)&lt;$C42,"",ROUNDDOWN(INDIRECT($C42&amp;"!h52"),-1))</f>
        <v/>
      </c>
      <c r="M42" s="587" t="str">
        <f ca="1">IF(YEAR('2026'!$B$1)&lt;$C42,"",ROUNDDOWN(INDIRECT($C42&amp;"!i52"),-1))</f>
        <v/>
      </c>
      <c r="N42" s="587" t="str">
        <f ca="1">IF(YEAR('2026'!$B$1)&lt;$C42,"",ROUNDDOWN(INDIRECT($C42&amp;"!j52"),-1))</f>
        <v/>
      </c>
      <c r="O42" s="587" t="str">
        <f ca="1">IF(YEAR('2026'!$B$1)&lt;$C42,"",ROUNDDOWN(INDIRECT($C42&amp;"!k52"),-1))</f>
        <v/>
      </c>
      <c r="P42" s="587" t="str">
        <f ca="1">IF(YEAR('2026'!$B$1)&lt;$C42,"",ROUNDDOWN(INDIRECT($C42&amp;"!l52"),-1))</f>
        <v/>
      </c>
      <c r="Q42" s="587" t="str">
        <f ca="1">IF(YEAR('2026'!$B$1)&lt;$C42,"",ROUNDDOWN(INDIRECT($C42&amp;"!m52"),-1))</f>
        <v/>
      </c>
      <c r="R42" s="588" t="str">
        <f t="shared" ca="1" si="0"/>
        <v/>
      </c>
    </row>
    <row r="43" spans="1:18" ht="9.75" customHeight="1">
      <c r="A43" s="582">
        <v>41</v>
      </c>
      <c r="B43" s="583" t="str">
        <f ca="1">'퇴직때까지의 총연봉액'!B43</f>
        <v/>
      </c>
      <c r="C43" s="584">
        <f ca="1">'퇴직때까지의 총연봉액'!D43</f>
        <v>2065</v>
      </c>
      <c r="D43" s="585" t="str">
        <f ca="1">월별실수령액총괄표!D43</f>
        <v/>
      </c>
      <c r="E43" s="586" t="str">
        <f ca="1">'퇴직때까지의 총연봉액'!E43</f>
        <v/>
      </c>
      <c r="F43" s="587" t="str">
        <f ca="1">IF(YEAR('2026'!$B$1)&lt;$C43,"",ROUNDDOWN(INDIRECT($C43&amp;"!b52"),-1))</f>
        <v/>
      </c>
      <c r="G43" s="587" t="str">
        <f ca="1">IF(YEAR('2026'!$B$1)&lt;$C43,"",ROUNDDOWN(INDIRECT($C43&amp;"!c52"),-1))</f>
        <v/>
      </c>
      <c r="H43" s="587" t="str">
        <f ca="1">IF(YEAR('2026'!$B$1)&lt;$C43,"",ROUNDDOWN(INDIRECT($C43&amp;"!d52"),-1))</f>
        <v/>
      </c>
      <c r="I43" s="587" t="str">
        <f ca="1">IF(YEAR('2026'!$B$1)&lt;$C43,"",ROUNDDOWN(INDIRECT($C43&amp;"!e52"),-1))</f>
        <v/>
      </c>
      <c r="J43" s="587" t="str">
        <f ca="1">IF(YEAR('2026'!$B$1)&lt;$C43,"",ROUNDDOWN(INDIRECT($C43&amp;"!f52"),-1))</f>
        <v/>
      </c>
      <c r="K43" s="587" t="str">
        <f ca="1">IF(YEAR('2026'!$B$1)&lt;$C43,"",ROUNDDOWN(INDIRECT($C43&amp;"!g52"),-1))</f>
        <v/>
      </c>
      <c r="L43" s="587" t="str">
        <f ca="1">IF(YEAR('2026'!$B$1)&lt;$C43,"",ROUNDDOWN(INDIRECT($C43&amp;"!h52"),-1))</f>
        <v/>
      </c>
      <c r="M43" s="587" t="str">
        <f ca="1">IF(YEAR('2026'!$B$1)&lt;$C43,"",ROUNDDOWN(INDIRECT($C43&amp;"!i52"),-1))</f>
        <v/>
      </c>
      <c r="N43" s="587" t="str">
        <f ca="1">IF(YEAR('2026'!$B$1)&lt;$C43,"",ROUNDDOWN(INDIRECT($C43&amp;"!j52"),-1))</f>
        <v/>
      </c>
      <c r="O43" s="587" t="str">
        <f ca="1">IF(YEAR('2026'!$B$1)&lt;$C43,"",ROUNDDOWN(INDIRECT($C43&amp;"!k52"),-1))</f>
        <v/>
      </c>
      <c r="P43" s="587" t="str">
        <f ca="1">IF(YEAR('2026'!$B$1)&lt;$C43,"",ROUNDDOWN(INDIRECT($C43&amp;"!l52"),-1))</f>
        <v/>
      </c>
      <c r="Q43" s="587" t="str">
        <f ca="1">IF(YEAR('2026'!$B$1)&lt;$C43,"",ROUNDDOWN(INDIRECT($C43&amp;"!m52"),-1))</f>
        <v/>
      </c>
      <c r="R43" s="588" t="str">
        <f t="shared" ca="1" si="0"/>
        <v/>
      </c>
    </row>
    <row r="44" spans="1:18" ht="9.75" customHeight="1">
      <c r="A44" s="1178" t="s">
        <v>479</v>
      </c>
      <c r="B44" s="1179"/>
      <c r="C44" s="1179"/>
      <c r="D44" s="1179"/>
      <c r="E44" s="1180"/>
      <c r="F44" s="589">
        <f ca="1">SUM(F3:F43)</f>
        <v>3500</v>
      </c>
      <c r="G44" s="589">
        <f t="shared" ref="G44:Q44" ca="1" si="1">SUM(G3:G43)</f>
        <v>3500</v>
      </c>
      <c r="H44" s="589">
        <f t="shared" ca="1" si="1"/>
        <v>3500</v>
      </c>
      <c r="I44" s="589">
        <f t="shared" ca="1" si="1"/>
        <v>3500</v>
      </c>
      <c r="J44" s="589">
        <f t="shared" ca="1" si="1"/>
        <v>3500</v>
      </c>
      <c r="K44" s="589">
        <f t="shared" ca="1" si="1"/>
        <v>3500</v>
      </c>
      <c r="L44" s="589">
        <f t="shared" ca="1" si="1"/>
        <v>3500</v>
      </c>
      <c r="M44" s="589">
        <f t="shared" ca="1" si="1"/>
        <v>3500</v>
      </c>
      <c r="N44" s="589">
        <f t="shared" ca="1" si="1"/>
        <v>3500</v>
      </c>
      <c r="O44" s="589">
        <f t="shared" ca="1" si="1"/>
        <v>3500</v>
      </c>
      <c r="P44" s="589">
        <f t="shared" ca="1" si="1"/>
        <v>3500</v>
      </c>
      <c r="Q44" s="589">
        <f t="shared" ca="1" si="1"/>
        <v>3500</v>
      </c>
      <c r="R44" s="590">
        <f ca="1">SUM(F44:Q44)</f>
        <v>42000</v>
      </c>
    </row>
    <row r="45" spans="1:18" ht="9.75" customHeight="1"/>
    <row r="46" spans="1:18" ht="9.75" customHeight="1"/>
  </sheetData>
  <sheetProtection algorithmName="SHA-512" hashValue="+P4sM+ZfCAizzShiOuKLHRkgYdsy+g5RaTRO6oxdWMp1x2wiw4NdWeEVVZyUhIaiyir7Gol+RtqwMDMez/3aig==" saltValue="Lg+NKaDu5OCn9JDImizK1w==" spinCount="100000" sheet="1" objects="1" scenarios="1"/>
  <mergeCells count="5">
    <mergeCell ref="A1:E1"/>
    <mergeCell ref="F1:H1"/>
    <mergeCell ref="I1:M1"/>
    <mergeCell ref="P1:Q1"/>
    <mergeCell ref="A44:E44"/>
  </mergeCells>
  <phoneticPr fontId="167" type="noConversion"/>
  <printOptions horizontalCentered="1"/>
  <pageMargins left="0.19666667282581329" right="0.19666667282581329" top="0.47236111760139465" bottom="0.35430556535720825" header="0.31486111879348755" footer="0.31486111879348755"/>
  <pageSetup paperSize="9" orientation="landscape"/>
  <headerFooter>
    <oddFooter>&amp;R&amp;"맑은 고딕,Regular"&amp;8작성 : 교사카페 운영자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R46"/>
  <sheetViews>
    <sheetView zoomScale="140" zoomScaleNormal="140" zoomScaleSheetLayoutView="140" workbookViewId="0">
      <pane xSplit="5" ySplit="2" topLeftCell="F3" activePane="bottomRight" state="frozen"/>
      <selection pane="topRight"/>
      <selection pane="bottomLeft"/>
      <selection pane="bottomRight" activeCell="D26" sqref="D26"/>
    </sheetView>
  </sheetViews>
  <sheetFormatPr baseColWidth="10" defaultColWidth="9" defaultRowHeight="9.75" customHeight="1"/>
  <cols>
    <col min="1" max="1" width="3.83203125" style="219" bestFit="1" customWidth="1"/>
    <col min="2" max="2" width="3.83203125" style="219" customWidth="1"/>
    <col min="3" max="3" width="4.33203125" style="219" bestFit="1" customWidth="1"/>
    <col min="4" max="4" width="7" style="219" bestFit="1" customWidth="1"/>
    <col min="5" max="5" width="4.5" style="219" customWidth="1"/>
    <col min="6" max="6" width="8" style="224" customWidth="1"/>
    <col min="7" max="17" width="8" style="219" customWidth="1"/>
    <col min="18" max="18" width="8.83203125" style="219" customWidth="1"/>
    <col min="19" max="16384" width="9" style="219"/>
  </cols>
  <sheetData>
    <row r="1" spans="1:18" ht="9.75" customHeight="1">
      <c r="A1" s="1166" t="str">
        <f ca="1">'퇴직때까지의 총연봉액'!A1</f>
        <v>2025</v>
      </c>
      <c r="B1" s="1166"/>
      <c r="C1" s="1166"/>
      <c r="D1" s="1166"/>
      <c r="E1" s="1166"/>
      <c r="F1" s="1166"/>
      <c r="G1" s="1170" t="s">
        <v>416</v>
      </c>
      <c r="H1" s="1170"/>
      <c r="I1" s="1170"/>
      <c r="J1" s="1170" t="s">
        <v>47</v>
      </c>
      <c r="K1" s="1170"/>
      <c r="L1" s="1170"/>
      <c r="M1" s="1170"/>
      <c r="N1" s="1170"/>
      <c r="O1" s="218"/>
      <c r="Q1" s="1171">
        <f>'퇴직때까지의 총연봉액'!Q1</f>
        <v>58134</v>
      </c>
      <c r="R1" s="1171"/>
    </row>
    <row r="2" spans="1:18" s="220" customFormat="1" ht="9.75" customHeight="1">
      <c r="A2" s="374" t="s">
        <v>504</v>
      </c>
      <c r="B2" s="374" t="s">
        <v>464</v>
      </c>
      <c r="C2" s="579" t="s">
        <v>500</v>
      </c>
      <c r="D2" s="243" t="s">
        <v>228</v>
      </c>
      <c r="E2" s="580" t="s">
        <v>643</v>
      </c>
      <c r="F2" s="579" t="s">
        <v>520</v>
      </c>
      <c r="G2" s="579" t="s">
        <v>524</v>
      </c>
      <c r="H2" s="579" t="s">
        <v>519</v>
      </c>
      <c r="I2" s="579" t="s">
        <v>526</v>
      </c>
      <c r="J2" s="579" t="s">
        <v>521</v>
      </c>
      <c r="K2" s="579" t="s">
        <v>530</v>
      </c>
      <c r="L2" s="579" t="s">
        <v>528</v>
      </c>
      <c r="M2" s="579" t="s">
        <v>534</v>
      </c>
      <c r="N2" s="579" t="s">
        <v>522</v>
      </c>
      <c r="O2" s="579" t="s">
        <v>551</v>
      </c>
      <c r="P2" s="579" t="s">
        <v>517</v>
      </c>
      <c r="Q2" s="579" t="s">
        <v>525</v>
      </c>
      <c r="R2" s="226" t="s">
        <v>510</v>
      </c>
    </row>
    <row r="3" spans="1:18" ht="9.75" customHeight="1">
      <c r="A3" s="230">
        <v>1</v>
      </c>
      <c r="B3" s="357">
        <f ca="1">'퇴직때까지의 총연봉액'!B3</f>
        <v>2</v>
      </c>
      <c r="C3" s="221">
        <f ca="1">'퇴직때까지의 총연봉액'!D3</f>
        <v>2025</v>
      </c>
      <c r="D3" s="385">
        <f ca="1">월별지출액총괄표!D3</f>
        <v>28</v>
      </c>
      <c r="E3" s="222">
        <f ca="1">'퇴직때까지의 총연봉액'!E3</f>
        <v>12</v>
      </c>
      <c r="F3" s="228">
        <f ca="1">IF(INDIRECT($C3&amp;"!b29")="","",IF(YEAR('2026'!$I$1)&lt;$C3,"",ROUND(INDIRECT($C3&amp;"!b29"),-1)))</f>
        <v>305250</v>
      </c>
      <c r="G3" s="228">
        <f ca="1">IF(INDIRECT($C3&amp;"!c29")="","",IF(YEAR('2026'!$I$1)&lt;$C3,"",ROUND(INDIRECT($C3&amp;"!c29"),-1)))</f>
        <v>305250</v>
      </c>
      <c r="H3" s="228">
        <f ca="1">IF(INDIRECT($C3&amp;"!d29")="","",IF(YEAR('2026'!$I$1)&lt;$C3,"",ROUND(INDIRECT($C3&amp;"!d29"),-1)))</f>
        <v>305250</v>
      </c>
      <c r="I3" s="228">
        <f ca="1">IF(INDIRECT($C3&amp;"!e29")="","",IF(YEAR('2026'!$I$1)&lt;$C3,"",ROUND(INDIRECT($C3&amp;"!e29"),-1)))</f>
        <v>305250</v>
      </c>
      <c r="J3" s="228">
        <f ca="1">IF(INDIRECT($C3&amp;"!f29")="","",IF(YEAR('2026'!$I$1)&lt;$C3,"",ROUND(INDIRECT($C3&amp;"!f29"),-1)))</f>
        <v>310440</v>
      </c>
      <c r="K3" s="228">
        <f ca="1">IF(INDIRECT($C3&amp;"!g29")="","",IF(YEAR('2026'!$I$1)&lt;$C3,"",ROUND(INDIRECT($C3&amp;"!g29"),-1)))</f>
        <v>310440</v>
      </c>
      <c r="L3" s="228">
        <f ca="1">IF(INDIRECT($C3&amp;"!h29")="","",IF(YEAR('2026'!$I$1)&lt;$C3,"",ROUND(INDIRECT($C3&amp;"!h29"),-1)))</f>
        <v>310440</v>
      </c>
      <c r="M3" s="228">
        <f ca="1">IF(INDIRECT($C3&amp;"!i29")="","",IF(YEAR('2026'!$I$1)&lt;$C3,"",ROUND(INDIRECT($C3&amp;"!i29"),-1)))</f>
        <v>310440</v>
      </c>
      <c r="N3" s="228">
        <f ca="1">IF(INDIRECT($C3&amp;"!j29")="","",IF(YEAR('2026'!$I$1)&lt;$C3,"",ROUND(INDIRECT($C3&amp;"!j29"),-1)))</f>
        <v>310440</v>
      </c>
      <c r="O3" s="228">
        <f ca="1">IF(INDIRECT($C3&amp;"!k29")="","",IF(YEAR('2026'!$I$1)&lt;$C3,"",ROUND(INDIRECT($C3&amp;"!k29"),-1)))</f>
        <v>310440</v>
      </c>
      <c r="P3" s="228">
        <f ca="1">IF(INDIRECT($C3&amp;"!l29")="","",IF(YEAR('2026'!$I$1)&lt;$C3,"",ROUND(INDIRECT($C3&amp;"!l29"),-1)))</f>
        <v>310440</v>
      </c>
      <c r="Q3" s="228">
        <f ca="1">IF(INDIRECT($C3&amp;"!m29")="","",IF(YEAR('2026'!$I$1)&lt;$C3,"",ROUND(INDIRECT($C3&amp;"!m29"),-1)))</f>
        <v>310440</v>
      </c>
      <c r="R3" s="227">
        <f ca="1">IF(YEAR('2026'!$B$1)&lt;$C3,"",SUM(F3:Q3))</f>
        <v>3704520</v>
      </c>
    </row>
    <row r="4" spans="1:18" ht="9.75" customHeight="1">
      <c r="A4" s="230">
        <v>2</v>
      </c>
      <c r="B4" s="357">
        <f ca="1">'퇴직때까지의 총연봉액'!B4</f>
        <v>4</v>
      </c>
      <c r="C4" s="221">
        <f ca="1">'퇴직때까지의 총연봉액'!D4</f>
        <v>2026</v>
      </c>
      <c r="D4" s="385">
        <f ca="1">월별지출액총괄표!D4</f>
        <v>29</v>
      </c>
      <c r="E4" s="222">
        <f ca="1">'퇴직때까지의 총연봉액'!E4</f>
        <v>14</v>
      </c>
      <c r="F4" s="228">
        <f ca="1">IF(INDIRECT($C4&amp;"!b29")="","",IF(YEAR('2026'!$I$1)&lt;$C4,"",ROUND(INDIRECT($C4&amp;"!b29"),-1)))</f>
        <v>310440</v>
      </c>
      <c r="G4" s="228">
        <f ca="1">IF(INDIRECT($C4&amp;"!c29")="","",IF(YEAR('2026'!$I$1)&lt;$C4,"",ROUND(INDIRECT($C4&amp;"!c29"),-1)))</f>
        <v>310440</v>
      </c>
      <c r="H4" s="228">
        <f ca="1">IF(INDIRECT($C4&amp;"!d29")="","",IF(YEAR('2026'!$I$1)&lt;$C4,"",ROUND(INDIRECT($C4&amp;"!d29"),-1)))</f>
        <v>310440</v>
      </c>
      <c r="I4" s="228">
        <f ca="1">IF(INDIRECT($C4&amp;"!e29")="","",IF(YEAR('2026'!$I$1)&lt;$C4,"",ROUND(INDIRECT($C4&amp;"!e29"),-1)))</f>
        <v>310440</v>
      </c>
      <c r="J4" s="228">
        <f ca="1">IF(INDIRECT($C4&amp;"!f29")="","",IF(YEAR('2026'!$I$1)&lt;$C4,"",ROUND(INDIRECT($C4&amp;"!f29"),-1)))</f>
        <v>344850</v>
      </c>
      <c r="K4" s="228">
        <f ca="1">IF(INDIRECT($C4&amp;"!g29")="","",IF(YEAR('2026'!$I$1)&lt;$C4,"",ROUND(INDIRECT($C4&amp;"!g29"),-1)))</f>
        <v>344850</v>
      </c>
      <c r="L4" s="228">
        <f ca="1">IF(INDIRECT($C4&amp;"!h29")="","",IF(YEAR('2026'!$I$1)&lt;$C4,"",ROUND(INDIRECT($C4&amp;"!h29"),-1)))</f>
        <v>344850</v>
      </c>
      <c r="M4" s="228">
        <f ca="1">IF(INDIRECT($C4&amp;"!i29")="","",IF(YEAR('2026'!$I$1)&lt;$C4,"",ROUND(INDIRECT($C4&amp;"!i29"),-1)))</f>
        <v>344850</v>
      </c>
      <c r="N4" s="228">
        <f ca="1">IF(INDIRECT($C4&amp;"!j29")="","",IF(YEAR('2026'!$I$1)&lt;$C4,"",ROUND(INDIRECT($C4&amp;"!j29"),-1)))</f>
        <v>344850</v>
      </c>
      <c r="O4" s="228">
        <f ca="1">IF(INDIRECT($C4&amp;"!k29")="","",IF(YEAR('2026'!$I$1)&lt;$C4,"",ROUND(INDIRECT($C4&amp;"!k29"),-1)))</f>
        <v>344850</v>
      </c>
      <c r="P4" s="228">
        <f ca="1">IF(INDIRECT($C4&amp;"!l29")="","",IF(YEAR('2026'!$I$1)&lt;$C4,"",ROUND(INDIRECT($C4&amp;"!l29"),-1)))</f>
        <v>344850</v>
      </c>
      <c r="Q4" s="228">
        <f ca="1">IF(INDIRECT($C4&amp;"!m29")="","",IF(YEAR('2026'!$I$1)&lt;$C4,"",ROUND(INDIRECT($C4&amp;"!m29"),-1)))</f>
        <v>344850</v>
      </c>
      <c r="R4" s="227">
        <f ca="1">IF(YEAR('2026'!$B$1)&lt;$C4,"",SUM(F4:Q4))</f>
        <v>4000560</v>
      </c>
    </row>
    <row r="5" spans="1:18" ht="9.75" customHeight="1">
      <c r="A5" s="230">
        <v>3</v>
      </c>
      <c r="B5" s="357">
        <f ca="1">'퇴직때까지의 총연봉액'!B5</f>
        <v>5</v>
      </c>
      <c r="C5" s="221">
        <f ca="1">'퇴직때까지의 총연봉액'!D5</f>
        <v>2027</v>
      </c>
      <c r="D5" s="385">
        <f ca="1">월별지출액총괄표!D5</f>
        <v>30</v>
      </c>
      <c r="E5" s="222">
        <f ca="1">'퇴직때까지의 총연봉액'!E5</f>
        <v>15</v>
      </c>
      <c r="F5" s="228">
        <f ca="1">IF(INDIRECT($C5&amp;"!b29")="","",IF(YEAR('2026'!$I$1)&lt;$C5,"",ROUND(INDIRECT($C5&amp;"!b29"),-1)))</f>
        <v>344850</v>
      </c>
      <c r="G5" s="228">
        <f ca="1">IF(INDIRECT($C5&amp;"!c29")="","",IF(YEAR('2026'!$I$1)&lt;$C5,"",ROUND(INDIRECT($C5&amp;"!c29"),-1)))</f>
        <v>344850</v>
      </c>
      <c r="H5" s="228">
        <f ca="1">IF(INDIRECT($C5&amp;"!d29")="","",IF(YEAR('2026'!$I$1)&lt;$C5,"",ROUND(INDIRECT($C5&amp;"!d29"),-1)))</f>
        <v>344850</v>
      </c>
      <c r="I5" s="228">
        <f ca="1">IF(INDIRECT($C5&amp;"!e29")="","",IF(YEAR('2026'!$I$1)&lt;$C5,"",ROUND(INDIRECT($C5&amp;"!e29"),-1)))</f>
        <v>344850</v>
      </c>
      <c r="J5" s="228">
        <f ca="1">IF(INDIRECT($C5&amp;"!f29")="","",IF(YEAR('2026'!$I$1)&lt;$C5,"",ROUND(INDIRECT($C5&amp;"!f29"),-1)))</f>
        <v>369030</v>
      </c>
      <c r="K5" s="228">
        <f ca="1">IF(INDIRECT($C5&amp;"!g29")="","",IF(YEAR('2026'!$I$1)&lt;$C5,"",ROUND(INDIRECT($C5&amp;"!g29"),-1)))</f>
        <v>369030</v>
      </c>
      <c r="L5" s="228">
        <f ca="1">IF(INDIRECT($C5&amp;"!h29")="","",IF(YEAR('2026'!$I$1)&lt;$C5,"",ROUND(INDIRECT($C5&amp;"!h29"),-1)))</f>
        <v>369030</v>
      </c>
      <c r="M5" s="228">
        <f ca="1">IF(INDIRECT($C5&amp;"!i29")="","",IF(YEAR('2026'!$I$1)&lt;$C5,"",ROUND(INDIRECT($C5&amp;"!i29"),-1)))</f>
        <v>369030</v>
      </c>
      <c r="N5" s="228">
        <f ca="1">IF(INDIRECT($C5&amp;"!j29")="","",IF(YEAR('2026'!$I$1)&lt;$C5,"",ROUND(INDIRECT($C5&amp;"!j29"),-1)))</f>
        <v>369030</v>
      </c>
      <c r="O5" s="228">
        <f ca="1">IF(INDIRECT($C5&amp;"!k29")="","",IF(YEAR('2026'!$I$1)&lt;$C5,"",ROUND(INDIRECT($C5&amp;"!k29"),-1)))</f>
        <v>369030</v>
      </c>
      <c r="P5" s="228">
        <f ca="1">IF(INDIRECT($C5&amp;"!l29")="","",IF(YEAR('2026'!$I$1)&lt;$C5,"",ROUND(INDIRECT($C5&amp;"!l29"),-1)))</f>
        <v>369030</v>
      </c>
      <c r="Q5" s="228">
        <f ca="1">IF(INDIRECT($C5&amp;"!m29")="","",IF(YEAR('2026'!$I$1)&lt;$C5,"",ROUND(INDIRECT($C5&amp;"!m29"),-1)))</f>
        <v>369030</v>
      </c>
      <c r="R5" s="227">
        <f ca="1">IF(YEAR('2026'!$B$1)&lt;$C5,"",SUM(F5:Q5))</f>
        <v>4331640</v>
      </c>
    </row>
    <row r="6" spans="1:18" ht="9.75" customHeight="1">
      <c r="A6" s="230">
        <v>4</v>
      </c>
      <c r="B6" s="357">
        <f ca="1">'퇴직때까지의 총연봉액'!B6</f>
        <v>6</v>
      </c>
      <c r="C6" s="221">
        <f ca="1">'퇴직때까지의 총연봉액'!D6</f>
        <v>2028</v>
      </c>
      <c r="D6" s="385">
        <f ca="1">월별지출액총괄표!D6</f>
        <v>31</v>
      </c>
      <c r="E6" s="222">
        <f ca="1">'퇴직때까지의 총연봉액'!E6</f>
        <v>16</v>
      </c>
      <c r="F6" s="228">
        <f ca="1">IF(INDIRECT($C6&amp;"!b29")="","",IF(YEAR('2026'!$I$1)&lt;$C6,"",ROUND(INDIRECT($C6&amp;"!b29"),-1)))</f>
        <v>369030</v>
      </c>
      <c r="G6" s="228">
        <f ca="1">IF(INDIRECT($C6&amp;"!c29")="","",IF(YEAR('2026'!$I$1)&lt;$C6,"",ROUND(INDIRECT($C6&amp;"!c29"),-1)))</f>
        <v>369030</v>
      </c>
      <c r="H6" s="228">
        <f ca="1">IF(INDIRECT($C6&amp;"!d29")="","",IF(YEAR('2026'!$I$1)&lt;$C6,"",ROUND(INDIRECT($C6&amp;"!d29"),-1)))</f>
        <v>369030</v>
      </c>
      <c r="I6" s="228">
        <f ca="1">IF(INDIRECT($C6&amp;"!e29")="","",IF(YEAR('2026'!$I$1)&lt;$C6,"",ROUND(INDIRECT($C6&amp;"!e29"),-1)))</f>
        <v>369030</v>
      </c>
      <c r="J6" s="228">
        <f ca="1">IF(INDIRECT($C6&amp;"!f29")="","",IF(YEAR('2026'!$I$1)&lt;$C6,"",ROUND(INDIRECT($C6&amp;"!f29"),-1)))</f>
        <v>394310</v>
      </c>
      <c r="K6" s="228">
        <f ca="1">IF(INDIRECT($C6&amp;"!g29")="","",IF(YEAR('2026'!$I$1)&lt;$C6,"",ROUND(INDIRECT($C6&amp;"!g29"),-1)))</f>
        <v>394310</v>
      </c>
      <c r="L6" s="228">
        <f ca="1">IF(INDIRECT($C6&amp;"!h29")="","",IF(YEAR('2026'!$I$1)&lt;$C6,"",ROUND(INDIRECT($C6&amp;"!h29"),-1)))</f>
        <v>394310</v>
      </c>
      <c r="M6" s="228">
        <f ca="1">IF(INDIRECT($C6&amp;"!i29")="","",IF(YEAR('2026'!$I$1)&lt;$C6,"",ROUND(INDIRECT($C6&amp;"!i29"),-1)))</f>
        <v>394310</v>
      </c>
      <c r="N6" s="228">
        <f ca="1">IF(INDIRECT($C6&amp;"!j29")="","",IF(YEAR('2026'!$I$1)&lt;$C6,"",ROUND(INDIRECT($C6&amp;"!j29"),-1)))</f>
        <v>394310</v>
      </c>
      <c r="O6" s="228">
        <f ca="1">IF(INDIRECT($C6&amp;"!k29")="","",IF(YEAR('2026'!$I$1)&lt;$C6,"",ROUND(INDIRECT($C6&amp;"!k29"),-1)))</f>
        <v>394310</v>
      </c>
      <c r="P6" s="228">
        <f ca="1">IF(INDIRECT($C6&amp;"!l29")="","",IF(YEAR('2026'!$I$1)&lt;$C6,"",ROUND(INDIRECT($C6&amp;"!l29"),-1)))</f>
        <v>394310</v>
      </c>
      <c r="Q6" s="228">
        <f ca="1">IF(INDIRECT($C6&amp;"!m29")="","",IF(YEAR('2026'!$I$1)&lt;$C6,"",ROUND(INDIRECT($C6&amp;"!m29"),-1)))</f>
        <v>394310</v>
      </c>
      <c r="R6" s="227">
        <f ca="1">IF(YEAR('2026'!$B$1)&lt;$C6,"",SUM(F6:Q6))</f>
        <v>4630600</v>
      </c>
    </row>
    <row r="7" spans="1:18" ht="9.75" customHeight="1">
      <c r="A7" s="230">
        <v>5</v>
      </c>
      <c r="B7" s="357">
        <f ca="1">'퇴직때까지의 총연봉액'!B7</f>
        <v>7</v>
      </c>
      <c r="C7" s="221">
        <f ca="1">'퇴직때까지의 총연봉액'!D7</f>
        <v>2029</v>
      </c>
      <c r="D7" s="385">
        <f ca="1">월별지출액총괄표!D7</f>
        <v>32</v>
      </c>
      <c r="E7" s="222">
        <f ca="1">'퇴직때까지의 총연봉액'!E7</f>
        <v>17</v>
      </c>
      <c r="F7" s="228">
        <f ca="1">IF(INDIRECT($C7&amp;"!b29")="","",IF(YEAR('2026'!$I$1)&lt;$C7,"",ROUND(INDIRECT($C7&amp;"!b29"),-1)))</f>
        <v>394310</v>
      </c>
      <c r="G7" s="228">
        <f ca="1">IF(INDIRECT($C7&amp;"!c29")="","",IF(YEAR('2026'!$I$1)&lt;$C7,"",ROUND(INDIRECT($C7&amp;"!c29"),-1)))</f>
        <v>394310</v>
      </c>
      <c r="H7" s="228">
        <f ca="1">IF(INDIRECT($C7&amp;"!d29")="","",IF(YEAR('2026'!$I$1)&lt;$C7,"",ROUND(INDIRECT($C7&amp;"!d29"),-1)))</f>
        <v>394310</v>
      </c>
      <c r="I7" s="228">
        <f ca="1">IF(INDIRECT($C7&amp;"!e29")="","",IF(YEAR('2026'!$I$1)&lt;$C7,"",ROUND(INDIRECT($C7&amp;"!e29"),-1)))</f>
        <v>394310</v>
      </c>
      <c r="J7" s="228">
        <f ca="1">IF(INDIRECT($C7&amp;"!f29")="","",IF(YEAR('2026'!$I$1)&lt;$C7,"",ROUND(INDIRECT($C7&amp;"!f29"),-1)))</f>
        <v>419890</v>
      </c>
      <c r="K7" s="228">
        <f ca="1">IF(INDIRECT($C7&amp;"!g29")="","",IF(YEAR('2026'!$I$1)&lt;$C7,"",ROUND(INDIRECT($C7&amp;"!g29"),-1)))</f>
        <v>419890</v>
      </c>
      <c r="L7" s="228">
        <f ca="1">IF(INDIRECT($C7&amp;"!h29")="","",IF(YEAR('2026'!$I$1)&lt;$C7,"",ROUND(INDIRECT($C7&amp;"!h29"),-1)))</f>
        <v>419890</v>
      </c>
      <c r="M7" s="228">
        <f ca="1">IF(INDIRECT($C7&amp;"!i29")="","",IF(YEAR('2026'!$I$1)&lt;$C7,"",ROUND(INDIRECT($C7&amp;"!i29"),-1)))</f>
        <v>419890</v>
      </c>
      <c r="N7" s="228">
        <f ca="1">IF(INDIRECT($C7&amp;"!j29")="","",IF(YEAR('2026'!$I$1)&lt;$C7,"",ROUND(INDIRECT($C7&amp;"!j29"),-1)))</f>
        <v>419890</v>
      </c>
      <c r="O7" s="228">
        <f ca="1">IF(INDIRECT($C7&amp;"!k29")="","",IF(YEAR('2026'!$I$1)&lt;$C7,"",ROUND(INDIRECT($C7&amp;"!k29"),-1)))</f>
        <v>419890</v>
      </c>
      <c r="P7" s="228">
        <f ca="1">IF(INDIRECT($C7&amp;"!l29")="","",IF(YEAR('2026'!$I$1)&lt;$C7,"",ROUND(INDIRECT($C7&amp;"!l29"),-1)))</f>
        <v>419890</v>
      </c>
      <c r="Q7" s="228">
        <f ca="1">IF(INDIRECT($C7&amp;"!m29")="","",IF(YEAR('2026'!$I$1)&lt;$C7,"",ROUND(INDIRECT($C7&amp;"!m29"),-1)))</f>
        <v>419890</v>
      </c>
      <c r="R7" s="227">
        <f ca="1">IF(YEAR('2026'!$B$1)&lt;$C7,"",SUM(F7:Q7))</f>
        <v>4936360</v>
      </c>
    </row>
    <row r="8" spans="1:18" ht="9.75" customHeight="1">
      <c r="A8" s="230">
        <v>6</v>
      </c>
      <c r="B8" s="357">
        <f ca="1">'퇴직때까지의 총연봉액'!B8</f>
        <v>8</v>
      </c>
      <c r="C8" s="221">
        <f ca="1">'퇴직때까지의 총연봉액'!D8</f>
        <v>2030</v>
      </c>
      <c r="D8" s="385">
        <f ca="1">월별지출액총괄표!D8</f>
        <v>33</v>
      </c>
      <c r="E8" s="222">
        <f ca="1">'퇴직때까지의 총연봉액'!E8</f>
        <v>18</v>
      </c>
      <c r="F8" s="228">
        <f ca="1">IF(INDIRECT($C8&amp;"!b29")="","",IF(YEAR('2026'!$I$1)&lt;$C8,"",ROUND(INDIRECT($C8&amp;"!b29"),-1)))</f>
        <v>419890</v>
      </c>
      <c r="G8" s="228">
        <f ca="1">IF(INDIRECT($C8&amp;"!c29")="","",IF(YEAR('2026'!$I$1)&lt;$C8,"",ROUND(INDIRECT($C8&amp;"!c29"),-1)))</f>
        <v>419890</v>
      </c>
      <c r="H8" s="228">
        <f ca="1">IF(INDIRECT($C8&amp;"!d29")="","",IF(YEAR('2026'!$I$1)&lt;$C8,"",ROUND(INDIRECT($C8&amp;"!d29"),-1)))</f>
        <v>419890</v>
      </c>
      <c r="I8" s="228">
        <f ca="1">IF(INDIRECT($C8&amp;"!e29")="","",IF(YEAR('2026'!$I$1)&lt;$C8,"",ROUND(INDIRECT($C8&amp;"!e29"),-1)))</f>
        <v>419890</v>
      </c>
      <c r="J8" s="228">
        <f ca="1">IF(INDIRECT($C8&amp;"!f29")="","",IF(YEAR('2026'!$I$1)&lt;$C8,"",ROUND(INDIRECT($C8&amp;"!f29"),-1)))</f>
        <v>446880</v>
      </c>
      <c r="K8" s="228">
        <f ca="1">IF(INDIRECT($C8&amp;"!g29")="","",IF(YEAR('2026'!$I$1)&lt;$C8,"",ROUND(INDIRECT($C8&amp;"!g29"),-1)))</f>
        <v>446880</v>
      </c>
      <c r="L8" s="228">
        <f ca="1">IF(INDIRECT($C8&amp;"!h29")="","",IF(YEAR('2026'!$I$1)&lt;$C8,"",ROUND(INDIRECT($C8&amp;"!h29"),-1)))</f>
        <v>446880</v>
      </c>
      <c r="M8" s="228">
        <f ca="1">IF(INDIRECT($C8&amp;"!i29")="","",IF(YEAR('2026'!$I$1)&lt;$C8,"",ROUND(INDIRECT($C8&amp;"!i29"),-1)))</f>
        <v>446880</v>
      </c>
      <c r="N8" s="228">
        <f ca="1">IF(INDIRECT($C8&amp;"!j29")="","",IF(YEAR('2026'!$I$1)&lt;$C8,"",ROUND(INDIRECT($C8&amp;"!j29"),-1)))</f>
        <v>446880</v>
      </c>
      <c r="O8" s="228">
        <f ca="1">IF(INDIRECT($C8&amp;"!k29")="","",IF(YEAR('2026'!$I$1)&lt;$C8,"",ROUND(INDIRECT($C8&amp;"!k29"),-1)))</f>
        <v>446880</v>
      </c>
      <c r="P8" s="228">
        <f ca="1">IF(INDIRECT($C8&amp;"!l29")="","",IF(YEAR('2026'!$I$1)&lt;$C8,"",ROUND(INDIRECT($C8&amp;"!l29"),-1)))</f>
        <v>446880</v>
      </c>
      <c r="Q8" s="228">
        <f ca="1">IF(INDIRECT($C8&amp;"!m29")="","",IF(YEAR('2026'!$I$1)&lt;$C8,"",ROUND(INDIRECT($C8&amp;"!m29"),-1)))</f>
        <v>446880</v>
      </c>
      <c r="R8" s="227">
        <f ca="1">IF(YEAR('2026'!$B$1)&lt;$C8,"",SUM(F8:Q8))</f>
        <v>5254600</v>
      </c>
    </row>
    <row r="9" spans="1:18" ht="9.75" customHeight="1">
      <c r="A9" s="230">
        <v>7</v>
      </c>
      <c r="B9" s="357">
        <f ca="1">'퇴직때까지의 총연봉액'!B9</f>
        <v>9</v>
      </c>
      <c r="C9" s="221">
        <f ca="1">'퇴직때까지의 총연봉액'!D9</f>
        <v>2031</v>
      </c>
      <c r="D9" s="385">
        <f ca="1">월별지출액총괄표!D9</f>
        <v>34</v>
      </c>
      <c r="E9" s="222">
        <f ca="1">'퇴직때까지의 총연봉액'!E9</f>
        <v>19</v>
      </c>
      <c r="F9" s="228">
        <f ca="1">IF(INDIRECT($C9&amp;"!b29")="","",IF(YEAR('2026'!$I$1)&lt;$C9,"",ROUND(INDIRECT($C9&amp;"!b29"),-1)))</f>
        <v>446880</v>
      </c>
      <c r="G9" s="228">
        <f ca="1">IF(INDIRECT($C9&amp;"!c29")="","",IF(YEAR('2026'!$I$1)&lt;$C9,"",ROUND(INDIRECT($C9&amp;"!c29"),-1)))</f>
        <v>446880</v>
      </c>
      <c r="H9" s="228">
        <f ca="1">IF(INDIRECT($C9&amp;"!d29")="","",IF(YEAR('2026'!$I$1)&lt;$C9,"",ROUND(INDIRECT($C9&amp;"!d29"),-1)))</f>
        <v>446880</v>
      </c>
      <c r="I9" s="228">
        <f ca="1">IF(INDIRECT($C9&amp;"!e29")="","",IF(YEAR('2026'!$I$1)&lt;$C9,"",ROUND(INDIRECT($C9&amp;"!e29"),-1)))</f>
        <v>446880</v>
      </c>
      <c r="J9" s="228">
        <f ca="1">IF(INDIRECT($C9&amp;"!f29")="","",IF(YEAR('2026'!$I$1)&lt;$C9,"",ROUND(INDIRECT($C9&amp;"!f29"),-1)))</f>
        <v>474650</v>
      </c>
      <c r="K9" s="228">
        <f ca="1">IF(INDIRECT($C9&amp;"!g29")="","",IF(YEAR('2026'!$I$1)&lt;$C9,"",ROUND(INDIRECT($C9&amp;"!g29"),-1)))</f>
        <v>474650</v>
      </c>
      <c r="L9" s="228">
        <f ca="1">IF(INDIRECT($C9&amp;"!h29")="","",IF(YEAR('2026'!$I$1)&lt;$C9,"",ROUND(INDIRECT($C9&amp;"!h29"),-1)))</f>
        <v>474650</v>
      </c>
      <c r="M9" s="228">
        <f ca="1">IF(INDIRECT($C9&amp;"!i29")="","",IF(YEAR('2026'!$I$1)&lt;$C9,"",ROUND(INDIRECT($C9&amp;"!i29"),-1)))</f>
        <v>474650</v>
      </c>
      <c r="N9" s="228">
        <f ca="1">IF(INDIRECT($C9&amp;"!j29")="","",IF(YEAR('2026'!$I$1)&lt;$C9,"",ROUND(INDIRECT($C9&amp;"!j29"),-1)))</f>
        <v>474650</v>
      </c>
      <c r="O9" s="228">
        <f ca="1">IF(INDIRECT($C9&amp;"!k29")="","",IF(YEAR('2026'!$I$1)&lt;$C9,"",ROUND(INDIRECT($C9&amp;"!k29"),-1)))</f>
        <v>474650</v>
      </c>
      <c r="P9" s="228">
        <f ca="1">IF(INDIRECT($C9&amp;"!l29")="","",IF(YEAR('2026'!$I$1)&lt;$C9,"",ROUND(INDIRECT($C9&amp;"!l29"),-1)))</f>
        <v>474650</v>
      </c>
      <c r="Q9" s="228">
        <f ca="1">IF(INDIRECT($C9&amp;"!m29")="","",IF(YEAR('2026'!$I$1)&lt;$C9,"",ROUND(INDIRECT($C9&amp;"!m29"),-1)))</f>
        <v>474650</v>
      </c>
      <c r="R9" s="227">
        <f ca="1">IF(YEAR('2026'!$B$1)&lt;$C9,"",SUM(F9:Q9))</f>
        <v>5584720</v>
      </c>
    </row>
    <row r="10" spans="1:18" ht="9.75" customHeight="1">
      <c r="A10" s="230">
        <v>8</v>
      </c>
      <c r="B10" s="357">
        <f ca="1">'퇴직때까지의 총연봉액'!B10</f>
        <v>10</v>
      </c>
      <c r="C10" s="221">
        <f ca="1">'퇴직때까지의 총연봉액'!D10</f>
        <v>2032</v>
      </c>
      <c r="D10" s="385">
        <f ca="1">월별지출액총괄표!D10</f>
        <v>35</v>
      </c>
      <c r="E10" s="222">
        <f ca="1">'퇴직때까지의 총연봉액'!E10</f>
        <v>20</v>
      </c>
      <c r="F10" s="228">
        <f ca="1">IF(INDIRECT($C10&amp;"!b29")="","",IF(YEAR('2026'!$I$1)&lt;$C10,"",ROUND(INDIRECT($C10&amp;"!b29"),-1)))</f>
        <v>474650</v>
      </c>
      <c r="G10" s="228">
        <f ca="1">IF(INDIRECT($C10&amp;"!c29")="","",IF(YEAR('2026'!$I$1)&lt;$C10,"",ROUND(INDIRECT($C10&amp;"!c29"),-1)))</f>
        <v>474650</v>
      </c>
      <c r="H10" s="228">
        <f ca="1">IF(INDIRECT($C10&amp;"!d29")="","",IF(YEAR('2026'!$I$1)&lt;$C10,"",ROUND(INDIRECT($C10&amp;"!d29"),-1)))</f>
        <v>474650</v>
      </c>
      <c r="I10" s="228">
        <f ca="1">IF(INDIRECT($C10&amp;"!e29")="","",IF(YEAR('2026'!$I$1)&lt;$C10,"",ROUND(INDIRECT($C10&amp;"!e29"),-1)))</f>
        <v>474650</v>
      </c>
      <c r="J10" s="228">
        <f ca="1">IF(INDIRECT($C10&amp;"!f29")="","",IF(YEAR('2026'!$I$1)&lt;$C10,"",ROUND(INDIRECT($C10&amp;"!f29"),-1)))</f>
        <v>504210</v>
      </c>
      <c r="K10" s="228">
        <f ca="1">IF(INDIRECT($C10&amp;"!g29")="","",IF(YEAR('2026'!$I$1)&lt;$C10,"",ROUND(INDIRECT($C10&amp;"!g29"),-1)))</f>
        <v>504210</v>
      </c>
      <c r="L10" s="228">
        <f ca="1">IF(INDIRECT($C10&amp;"!h29")="","",IF(YEAR('2026'!$I$1)&lt;$C10,"",ROUND(INDIRECT($C10&amp;"!h29"),-1)))</f>
        <v>504210</v>
      </c>
      <c r="M10" s="228">
        <f ca="1">IF(INDIRECT($C10&amp;"!i29")="","",IF(YEAR('2026'!$I$1)&lt;$C10,"",ROUND(INDIRECT($C10&amp;"!i29"),-1)))</f>
        <v>504210</v>
      </c>
      <c r="N10" s="228">
        <f ca="1">IF(INDIRECT($C10&amp;"!j29")="","",IF(YEAR('2026'!$I$1)&lt;$C10,"",ROUND(INDIRECT($C10&amp;"!j29"),-1)))</f>
        <v>504210</v>
      </c>
      <c r="O10" s="228">
        <f ca="1">IF(INDIRECT($C10&amp;"!k29")="","",IF(YEAR('2026'!$I$1)&lt;$C10,"",ROUND(INDIRECT($C10&amp;"!k29"),-1)))</f>
        <v>504210</v>
      </c>
      <c r="P10" s="228">
        <f ca="1">IF(INDIRECT($C10&amp;"!l29")="","",IF(YEAR('2026'!$I$1)&lt;$C10,"",ROUND(INDIRECT($C10&amp;"!l29"),-1)))</f>
        <v>504210</v>
      </c>
      <c r="Q10" s="228">
        <f ca="1">IF(INDIRECT($C10&amp;"!m29")="","",IF(YEAR('2026'!$I$1)&lt;$C10,"",ROUND(INDIRECT($C10&amp;"!m29"),-1)))</f>
        <v>504210</v>
      </c>
      <c r="R10" s="227">
        <f ca="1">IF(YEAR('2026'!$B$1)&lt;$C10,"",SUM(F10:Q10))</f>
        <v>5932280</v>
      </c>
    </row>
    <row r="11" spans="1:18" ht="9.75" customHeight="1">
      <c r="A11" s="230">
        <v>9</v>
      </c>
      <c r="B11" s="357">
        <f ca="1">'퇴직때까지의 총연봉액'!B11</f>
        <v>11</v>
      </c>
      <c r="C11" s="221">
        <f ca="1">'퇴직때까지의 총연봉액'!D11</f>
        <v>2033</v>
      </c>
      <c r="D11" s="385">
        <f ca="1">월별지출액총괄표!D11</f>
        <v>36</v>
      </c>
      <c r="E11" s="222">
        <f ca="1">'퇴직때까지의 총연봉액'!E11</f>
        <v>21</v>
      </c>
      <c r="F11" s="228">
        <f ca="1">IF(INDIRECT($C11&amp;"!b29")="","",IF(YEAR('2026'!$I$1)&lt;$C11,"",ROUND(INDIRECT($C11&amp;"!b29"),-1)))</f>
        <v>504210</v>
      </c>
      <c r="G11" s="228">
        <f ca="1">IF(INDIRECT($C11&amp;"!c29")="","",IF(YEAR('2026'!$I$1)&lt;$C11,"",ROUND(INDIRECT($C11&amp;"!c29"),-1)))</f>
        <v>504210</v>
      </c>
      <c r="H11" s="228">
        <f ca="1">IF(INDIRECT($C11&amp;"!d29")="","",IF(YEAR('2026'!$I$1)&lt;$C11,"",ROUND(INDIRECT($C11&amp;"!d29"),-1)))</f>
        <v>504210</v>
      </c>
      <c r="I11" s="228">
        <f ca="1">IF(INDIRECT($C11&amp;"!e29")="","",IF(YEAR('2026'!$I$1)&lt;$C11,"",ROUND(INDIRECT($C11&amp;"!e29"),-1)))</f>
        <v>504210</v>
      </c>
      <c r="J11" s="228">
        <f ca="1">IF(INDIRECT($C11&amp;"!f29")="","",IF(YEAR('2026'!$I$1)&lt;$C11,"",ROUND(INDIRECT($C11&amp;"!f29"),-1)))</f>
        <v>533200</v>
      </c>
      <c r="K11" s="228">
        <f ca="1">IF(INDIRECT($C11&amp;"!g29")="","",IF(YEAR('2026'!$I$1)&lt;$C11,"",ROUND(INDIRECT($C11&amp;"!g29"),-1)))</f>
        <v>533200</v>
      </c>
      <c r="L11" s="228">
        <f ca="1">IF(INDIRECT($C11&amp;"!h29")="","",IF(YEAR('2026'!$I$1)&lt;$C11,"",ROUND(INDIRECT($C11&amp;"!h29"),-1)))</f>
        <v>533200</v>
      </c>
      <c r="M11" s="228">
        <f ca="1">IF(INDIRECT($C11&amp;"!i29")="","",IF(YEAR('2026'!$I$1)&lt;$C11,"",ROUND(INDIRECT($C11&amp;"!i29"),-1)))</f>
        <v>533200</v>
      </c>
      <c r="N11" s="228">
        <f ca="1">IF(INDIRECT($C11&amp;"!j29")="","",IF(YEAR('2026'!$I$1)&lt;$C11,"",ROUND(INDIRECT($C11&amp;"!j29"),-1)))</f>
        <v>533200</v>
      </c>
      <c r="O11" s="228">
        <f ca="1">IF(INDIRECT($C11&amp;"!k29")="","",IF(YEAR('2026'!$I$1)&lt;$C11,"",ROUND(INDIRECT($C11&amp;"!k29"),-1)))</f>
        <v>533200</v>
      </c>
      <c r="P11" s="228">
        <f ca="1">IF(INDIRECT($C11&amp;"!l29")="","",IF(YEAR('2026'!$I$1)&lt;$C11,"",ROUND(INDIRECT($C11&amp;"!l29"),-1)))</f>
        <v>533200</v>
      </c>
      <c r="Q11" s="228">
        <f ca="1">IF(INDIRECT($C11&amp;"!m29")="","",IF(YEAR('2026'!$I$1)&lt;$C11,"",ROUND(INDIRECT($C11&amp;"!m29"),-1)))</f>
        <v>533200</v>
      </c>
      <c r="R11" s="227">
        <f ca="1">IF(YEAR('2026'!$B$1)&lt;$C11,"",SUM(F11:Q11))</f>
        <v>6282440</v>
      </c>
    </row>
    <row r="12" spans="1:18" ht="9.75" customHeight="1">
      <c r="A12" s="230">
        <v>10</v>
      </c>
      <c r="B12" s="357">
        <f ca="1">'퇴직때까지의 총연봉액'!B12</f>
        <v>12</v>
      </c>
      <c r="C12" s="221">
        <f ca="1">'퇴직때까지의 총연봉액'!D12</f>
        <v>2034</v>
      </c>
      <c r="D12" s="385">
        <f ca="1">월별지출액총괄표!D12</f>
        <v>37</v>
      </c>
      <c r="E12" s="222">
        <f ca="1">'퇴직때까지의 총연봉액'!E12</f>
        <v>22</v>
      </c>
      <c r="F12" s="228">
        <f ca="1">IF(INDIRECT($C12&amp;"!b29")="","",IF(YEAR('2026'!$I$1)&lt;$C12,"",ROUND(INDIRECT($C12&amp;"!b29"),-1)))</f>
        <v>533200</v>
      </c>
      <c r="G12" s="228">
        <f ca="1">IF(INDIRECT($C12&amp;"!c29")="","",IF(YEAR('2026'!$I$1)&lt;$C12,"",ROUND(INDIRECT($C12&amp;"!c29"),-1)))</f>
        <v>533200</v>
      </c>
      <c r="H12" s="228">
        <f ca="1">IF(INDIRECT($C12&amp;"!d29")="","",IF(YEAR('2026'!$I$1)&lt;$C12,"",ROUND(INDIRECT($C12&amp;"!d29"),-1)))</f>
        <v>533200</v>
      </c>
      <c r="I12" s="228">
        <f ca="1">IF(INDIRECT($C12&amp;"!e29")="","",IF(YEAR('2026'!$I$1)&lt;$C12,"",ROUND(INDIRECT($C12&amp;"!e29"),-1)))</f>
        <v>533200</v>
      </c>
      <c r="J12" s="228">
        <f ca="1">IF(INDIRECT($C12&amp;"!f29")="","",IF(YEAR('2026'!$I$1)&lt;$C12,"",ROUND(INDIRECT($C12&amp;"!f29"),-1)))</f>
        <v>563620</v>
      </c>
      <c r="K12" s="228">
        <f ca="1">IF(INDIRECT($C12&amp;"!g29")="","",IF(YEAR('2026'!$I$1)&lt;$C12,"",ROUND(INDIRECT($C12&amp;"!g29"),-1)))</f>
        <v>563620</v>
      </c>
      <c r="L12" s="228">
        <f ca="1">IF(INDIRECT($C12&amp;"!h29")="","",IF(YEAR('2026'!$I$1)&lt;$C12,"",ROUND(INDIRECT($C12&amp;"!h29"),-1)))</f>
        <v>563620</v>
      </c>
      <c r="M12" s="228">
        <f ca="1">IF(INDIRECT($C12&amp;"!i29")="","",IF(YEAR('2026'!$I$1)&lt;$C12,"",ROUND(INDIRECT($C12&amp;"!i29"),-1)))</f>
        <v>563620</v>
      </c>
      <c r="N12" s="228">
        <f ca="1">IF(INDIRECT($C12&amp;"!j29")="","",IF(YEAR('2026'!$I$1)&lt;$C12,"",ROUND(INDIRECT($C12&amp;"!j29"),-1)))</f>
        <v>563620</v>
      </c>
      <c r="O12" s="228">
        <f ca="1">IF(INDIRECT($C12&amp;"!k29")="","",IF(YEAR('2026'!$I$1)&lt;$C12,"",ROUND(INDIRECT($C12&amp;"!k29"),-1)))</f>
        <v>563620</v>
      </c>
      <c r="P12" s="228">
        <f ca="1">IF(INDIRECT($C12&amp;"!l29")="","",IF(YEAR('2026'!$I$1)&lt;$C12,"",ROUND(INDIRECT($C12&amp;"!l29"),-1)))</f>
        <v>563620</v>
      </c>
      <c r="Q12" s="228">
        <f ca="1">IF(INDIRECT($C12&amp;"!m29")="","",IF(YEAR('2026'!$I$1)&lt;$C12,"",ROUND(INDIRECT($C12&amp;"!m29"),-1)))</f>
        <v>563620</v>
      </c>
      <c r="R12" s="227">
        <f ca="1">IF(YEAR('2026'!$B$1)&lt;$C12,"",SUM(F12:Q12))</f>
        <v>6641760</v>
      </c>
    </row>
    <row r="13" spans="1:18" ht="9.75" customHeight="1">
      <c r="A13" s="230">
        <v>11</v>
      </c>
      <c r="B13" s="357">
        <f ca="1">'퇴직때까지의 총연봉액'!B13</f>
        <v>13</v>
      </c>
      <c r="C13" s="221">
        <f ca="1">'퇴직때까지의 총연봉액'!D13</f>
        <v>2035</v>
      </c>
      <c r="D13" s="385">
        <f ca="1">월별지출액총괄표!D13</f>
        <v>38</v>
      </c>
      <c r="E13" s="222">
        <f ca="1">'퇴직때까지의 총연봉액'!E13</f>
        <v>23</v>
      </c>
      <c r="F13" s="228">
        <f ca="1">IF(INDIRECT($C13&amp;"!b29")="","",IF(YEAR('2026'!$I$1)&lt;$C13,"",ROUND(INDIRECT($C13&amp;"!b29"),-1)))</f>
        <v>563620</v>
      </c>
      <c r="G13" s="228">
        <f ca="1">IF(INDIRECT($C13&amp;"!c29")="","",IF(YEAR('2026'!$I$1)&lt;$C13,"",ROUND(INDIRECT($C13&amp;"!c29"),-1)))</f>
        <v>563620</v>
      </c>
      <c r="H13" s="228">
        <f ca="1">IF(INDIRECT($C13&amp;"!d29")="","",IF(YEAR('2026'!$I$1)&lt;$C13,"",ROUND(INDIRECT($C13&amp;"!d29"),-1)))</f>
        <v>563620</v>
      </c>
      <c r="I13" s="228">
        <f ca="1">IF(INDIRECT($C13&amp;"!e29")="","",IF(YEAR('2026'!$I$1)&lt;$C13,"",ROUND(INDIRECT($C13&amp;"!e29"),-1)))</f>
        <v>563620</v>
      </c>
      <c r="J13" s="228">
        <f ca="1">IF(INDIRECT($C13&amp;"!f29")="","",IF(YEAR('2026'!$I$1)&lt;$C13,"",ROUND(INDIRECT($C13&amp;"!f29"),-1)))</f>
        <v>595000</v>
      </c>
      <c r="K13" s="228">
        <f ca="1">IF(INDIRECT($C13&amp;"!g29")="","",IF(YEAR('2026'!$I$1)&lt;$C13,"",ROUND(INDIRECT($C13&amp;"!g29"),-1)))</f>
        <v>595000</v>
      </c>
      <c r="L13" s="228">
        <f ca="1">IF(INDIRECT($C13&amp;"!h29")="","",IF(YEAR('2026'!$I$1)&lt;$C13,"",ROUND(INDIRECT($C13&amp;"!h29"),-1)))</f>
        <v>595000</v>
      </c>
      <c r="M13" s="228">
        <f ca="1">IF(INDIRECT($C13&amp;"!i29")="","",IF(YEAR('2026'!$I$1)&lt;$C13,"",ROUND(INDIRECT($C13&amp;"!i29"),-1)))</f>
        <v>595000</v>
      </c>
      <c r="N13" s="228">
        <f ca="1">IF(INDIRECT($C13&amp;"!j29")="","",IF(YEAR('2026'!$I$1)&lt;$C13,"",ROUND(INDIRECT($C13&amp;"!j29"),-1)))</f>
        <v>595000</v>
      </c>
      <c r="O13" s="228">
        <f ca="1">IF(INDIRECT($C13&amp;"!k29")="","",IF(YEAR('2026'!$I$1)&lt;$C13,"",ROUND(INDIRECT($C13&amp;"!k29"),-1)))</f>
        <v>595000</v>
      </c>
      <c r="P13" s="228">
        <f ca="1">IF(INDIRECT($C13&amp;"!l29")="","",IF(YEAR('2026'!$I$1)&lt;$C13,"",ROUND(INDIRECT($C13&amp;"!l29"),-1)))</f>
        <v>595000</v>
      </c>
      <c r="Q13" s="228">
        <f ca="1">IF(INDIRECT($C13&amp;"!m29")="","",IF(YEAR('2026'!$I$1)&lt;$C13,"",ROUND(INDIRECT($C13&amp;"!m29"),-1)))</f>
        <v>595000</v>
      </c>
      <c r="R13" s="227">
        <f ca="1">IF(YEAR('2026'!$B$1)&lt;$C13,"",SUM(F13:Q13))</f>
        <v>7014480</v>
      </c>
    </row>
    <row r="14" spans="1:18" ht="9.75" customHeight="1">
      <c r="A14" s="230">
        <v>12</v>
      </c>
      <c r="B14" s="357">
        <f ca="1">'퇴직때까지의 총연봉액'!B14</f>
        <v>14</v>
      </c>
      <c r="C14" s="221">
        <f ca="1">'퇴직때까지의 총연봉액'!D14</f>
        <v>2036</v>
      </c>
      <c r="D14" s="385">
        <f ca="1">월별지출액총괄표!D14</f>
        <v>39</v>
      </c>
      <c r="E14" s="222">
        <f ca="1">'퇴직때까지의 총연봉액'!E14</f>
        <v>24</v>
      </c>
      <c r="F14" s="228">
        <f ca="1">IF(INDIRECT($C14&amp;"!b29")="","",IF(YEAR('2026'!$I$1)&lt;$C14,"",ROUND(INDIRECT($C14&amp;"!b29"),-1)))</f>
        <v>595000</v>
      </c>
      <c r="G14" s="228">
        <f ca="1">IF(INDIRECT($C14&amp;"!c29")="","",IF(YEAR('2026'!$I$1)&lt;$C14,"",ROUND(INDIRECT($C14&amp;"!c29"),-1)))</f>
        <v>595000</v>
      </c>
      <c r="H14" s="228">
        <f ca="1">IF(INDIRECT($C14&amp;"!d29")="","",IF(YEAR('2026'!$I$1)&lt;$C14,"",ROUND(INDIRECT($C14&amp;"!d29"),-1)))</f>
        <v>595000</v>
      </c>
      <c r="I14" s="228">
        <f ca="1">IF(INDIRECT($C14&amp;"!e29")="","",IF(YEAR('2026'!$I$1)&lt;$C14,"",ROUND(INDIRECT($C14&amp;"!e29"),-1)))</f>
        <v>595000</v>
      </c>
      <c r="J14" s="228">
        <f ca="1">IF(INDIRECT($C14&amp;"!f29")="","",IF(YEAR('2026'!$I$1)&lt;$C14,"",ROUND(INDIRECT($C14&amp;"!f29"),-1)))</f>
        <v>628010</v>
      </c>
      <c r="K14" s="228">
        <f ca="1">IF(INDIRECT($C14&amp;"!g29")="","",IF(YEAR('2026'!$I$1)&lt;$C14,"",ROUND(INDIRECT($C14&amp;"!g29"),-1)))</f>
        <v>628010</v>
      </c>
      <c r="L14" s="228">
        <f ca="1">IF(INDIRECT($C14&amp;"!h29")="","",IF(YEAR('2026'!$I$1)&lt;$C14,"",ROUND(INDIRECT($C14&amp;"!h29"),-1)))</f>
        <v>628010</v>
      </c>
      <c r="M14" s="228">
        <f ca="1">IF(INDIRECT($C14&amp;"!i29")="","",IF(YEAR('2026'!$I$1)&lt;$C14,"",ROUND(INDIRECT($C14&amp;"!i29"),-1)))</f>
        <v>628010</v>
      </c>
      <c r="N14" s="228">
        <f ca="1">IF(INDIRECT($C14&amp;"!j29")="","",IF(YEAR('2026'!$I$1)&lt;$C14,"",ROUND(INDIRECT($C14&amp;"!j29"),-1)))</f>
        <v>628010</v>
      </c>
      <c r="O14" s="228">
        <f ca="1">IF(INDIRECT($C14&amp;"!k29")="","",IF(YEAR('2026'!$I$1)&lt;$C14,"",ROUND(INDIRECT($C14&amp;"!k29"),-1)))</f>
        <v>628010</v>
      </c>
      <c r="P14" s="228">
        <f ca="1">IF(INDIRECT($C14&amp;"!l29")="","",IF(YEAR('2026'!$I$1)&lt;$C14,"",ROUND(INDIRECT($C14&amp;"!l29"),-1)))</f>
        <v>628010</v>
      </c>
      <c r="Q14" s="228">
        <f ca="1">IF(INDIRECT($C14&amp;"!m29")="","",IF(YEAR('2026'!$I$1)&lt;$C14,"",ROUND(INDIRECT($C14&amp;"!m29"),-1)))</f>
        <v>628010</v>
      </c>
      <c r="R14" s="227">
        <f ca="1">IF(YEAR('2026'!$B$1)&lt;$C14,"",SUM(F14:Q14))</f>
        <v>7404080</v>
      </c>
    </row>
    <row r="15" spans="1:18" ht="9.75" customHeight="1">
      <c r="A15" s="230">
        <v>13</v>
      </c>
      <c r="B15" s="357">
        <f ca="1">'퇴직때까지의 총연봉액'!B15</f>
        <v>15</v>
      </c>
      <c r="C15" s="221">
        <f ca="1">'퇴직때까지의 총연봉액'!D15</f>
        <v>2037</v>
      </c>
      <c r="D15" s="385">
        <f ca="1">월별지출액총괄표!D15</f>
        <v>40</v>
      </c>
      <c r="E15" s="222">
        <f ca="1">'퇴직때까지의 총연봉액'!E15</f>
        <v>25</v>
      </c>
      <c r="F15" s="228">
        <f ca="1">IF(INDIRECT($C15&amp;"!b29")="","",IF(YEAR('2026'!$I$1)&lt;$C15,"",ROUND(INDIRECT($C15&amp;"!b29"),-1)))</f>
        <v>628010</v>
      </c>
      <c r="G15" s="228">
        <f ca="1">IF(INDIRECT($C15&amp;"!c29")="","",IF(YEAR('2026'!$I$1)&lt;$C15,"",ROUND(INDIRECT($C15&amp;"!c29"),-1)))</f>
        <v>628010</v>
      </c>
      <c r="H15" s="228">
        <f ca="1">IF(INDIRECT($C15&amp;"!d29")="","",IF(YEAR('2026'!$I$1)&lt;$C15,"",ROUND(INDIRECT($C15&amp;"!d29"),-1)))</f>
        <v>628010</v>
      </c>
      <c r="I15" s="228">
        <f ca="1">IF(INDIRECT($C15&amp;"!e29")="","",IF(YEAR('2026'!$I$1)&lt;$C15,"",ROUND(INDIRECT($C15&amp;"!e29"),-1)))</f>
        <v>628010</v>
      </c>
      <c r="J15" s="228">
        <f ca="1">IF(INDIRECT($C15&amp;"!f29")="","",IF(YEAR('2026'!$I$1)&lt;$C15,"",ROUND(INDIRECT($C15&amp;"!f29"),-1)))</f>
        <v>664400</v>
      </c>
      <c r="K15" s="228">
        <f ca="1">IF(INDIRECT($C15&amp;"!g29")="","",IF(YEAR('2026'!$I$1)&lt;$C15,"",ROUND(INDIRECT($C15&amp;"!g29"),-1)))</f>
        <v>664400</v>
      </c>
      <c r="L15" s="228">
        <f ca="1">IF(INDIRECT($C15&amp;"!h29")="","",IF(YEAR('2026'!$I$1)&lt;$C15,"",ROUND(INDIRECT($C15&amp;"!h29"),-1)))</f>
        <v>664400</v>
      </c>
      <c r="M15" s="228">
        <f ca="1">IF(INDIRECT($C15&amp;"!i29")="","",IF(YEAR('2026'!$I$1)&lt;$C15,"",ROUND(INDIRECT($C15&amp;"!i29"),-1)))</f>
        <v>664400</v>
      </c>
      <c r="N15" s="228">
        <f ca="1">IF(INDIRECT($C15&amp;"!j29")="","",IF(YEAR('2026'!$I$1)&lt;$C15,"",ROUND(INDIRECT($C15&amp;"!j29"),-1)))</f>
        <v>664400</v>
      </c>
      <c r="O15" s="228">
        <f ca="1">IF(INDIRECT($C15&amp;"!k29")="","",IF(YEAR('2026'!$I$1)&lt;$C15,"",ROUND(INDIRECT($C15&amp;"!k29"),-1)))</f>
        <v>664400</v>
      </c>
      <c r="P15" s="228">
        <f ca="1">IF(INDIRECT($C15&amp;"!l29")="","",IF(YEAR('2026'!$I$1)&lt;$C15,"",ROUND(INDIRECT($C15&amp;"!l29"),-1)))</f>
        <v>664400</v>
      </c>
      <c r="Q15" s="228">
        <f ca="1">IF(INDIRECT($C15&amp;"!m29")="","",IF(YEAR('2026'!$I$1)&lt;$C15,"",ROUND(INDIRECT($C15&amp;"!m29"),-1)))</f>
        <v>664400</v>
      </c>
      <c r="R15" s="227">
        <f ca="1">IF(YEAR('2026'!$B$1)&lt;$C15,"",SUM(F15:Q15))</f>
        <v>7827240</v>
      </c>
    </row>
    <row r="16" spans="1:18" ht="9.75" customHeight="1">
      <c r="A16" s="230">
        <v>14</v>
      </c>
      <c r="B16" s="357">
        <f ca="1">'퇴직때까지의 총연봉액'!B16</f>
        <v>16</v>
      </c>
      <c r="C16" s="221">
        <f ca="1">'퇴직때까지의 총연봉액'!D16</f>
        <v>2038</v>
      </c>
      <c r="D16" s="385">
        <f ca="1">월별지출액총괄표!D16</f>
        <v>41</v>
      </c>
      <c r="E16" s="222">
        <f ca="1">'퇴직때까지의 총연봉액'!E16</f>
        <v>26</v>
      </c>
      <c r="F16" s="228">
        <f ca="1">IF(INDIRECT($C16&amp;"!b29")="","",IF(YEAR('2026'!$I$1)&lt;$C16,"",ROUND(INDIRECT($C16&amp;"!b29"),-1)))</f>
        <v>664400</v>
      </c>
      <c r="G16" s="228">
        <f ca="1">IF(INDIRECT($C16&amp;"!c29")="","",IF(YEAR('2026'!$I$1)&lt;$C16,"",ROUND(INDIRECT($C16&amp;"!c29"),-1)))</f>
        <v>664400</v>
      </c>
      <c r="H16" s="228">
        <f ca="1">IF(INDIRECT($C16&amp;"!d29")="","",IF(YEAR('2026'!$I$1)&lt;$C16,"",ROUND(INDIRECT($C16&amp;"!d29"),-1)))</f>
        <v>664400</v>
      </c>
      <c r="I16" s="228">
        <f ca="1">IF(INDIRECT($C16&amp;"!e29")="","",IF(YEAR('2026'!$I$1)&lt;$C16,"",ROUND(INDIRECT($C16&amp;"!e29"),-1)))</f>
        <v>664400</v>
      </c>
      <c r="J16" s="228">
        <f ca="1">IF(INDIRECT($C16&amp;"!f29")="","",IF(YEAR('2026'!$I$1)&lt;$C16,"",ROUND(INDIRECT($C16&amp;"!f29"),-1)))</f>
        <v>700640</v>
      </c>
      <c r="K16" s="228">
        <f ca="1">IF(INDIRECT($C16&amp;"!g29")="","",IF(YEAR('2026'!$I$1)&lt;$C16,"",ROUND(INDIRECT($C16&amp;"!g29"),-1)))</f>
        <v>700640</v>
      </c>
      <c r="L16" s="228">
        <f ca="1">IF(INDIRECT($C16&amp;"!h29")="","",IF(YEAR('2026'!$I$1)&lt;$C16,"",ROUND(INDIRECT($C16&amp;"!h29"),-1)))</f>
        <v>700640</v>
      </c>
      <c r="M16" s="228">
        <f ca="1">IF(INDIRECT($C16&amp;"!i29")="","",IF(YEAR('2026'!$I$1)&lt;$C16,"",ROUND(INDIRECT($C16&amp;"!i29"),-1)))</f>
        <v>700640</v>
      </c>
      <c r="N16" s="228">
        <f ca="1">IF(INDIRECT($C16&amp;"!j29")="","",IF(YEAR('2026'!$I$1)&lt;$C16,"",ROUND(INDIRECT($C16&amp;"!j29"),-1)))</f>
        <v>700640</v>
      </c>
      <c r="O16" s="228">
        <f ca="1">IF(INDIRECT($C16&amp;"!k29")="","",IF(YEAR('2026'!$I$1)&lt;$C16,"",ROUND(INDIRECT($C16&amp;"!k29"),-1)))</f>
        <v>700640</v>
      </c>
      <c r="P16" s="228">
        <f ca="1">IF(INDIRECT($C16&amp;"!l29")="","",IF(YEAR('2026'!$I$1)&lt;$C16,"",ROUND(INDIRECT($C16&amp;"!l29"),-1)))</f>
        <v>700640</v>
      </c>
      <c r="Q16" s="228">
        <f ca="1">IF(INDIRECT($C16&amp;"!m29")="","",IF(YEAR('2026'!$I$1)&lt;$C16,"",ROUND(INDIRECT($C16&amp;"!m29"),-1)))</f>
        <v>700640</v>
      </c>
      <c r="R16" s="227">
        <f ca="1">IF(YEAR('2026'!$B$1)&lt;$C16,"",SUM(F16:Q16))</f>
        <v>8262720</v>
      </c>
    </row>
    <row r="17" spans="1:18" ht="9.75" customHeight="1">
      <c r="A17" s="230">
        <v>15</v>
      </c>
      <c r="B17" s="357">
        <f ca="1">'퇴직때까지의 총연봉액'!B17</f>
        <v>17</v>
      </c>
      <c r="C17" s="221">
        <f ca="1">'퇴직때까지의 총연봉액'!D17</f>
        <v>2039</v>
      </c>
      <c r="D17" s="385">
        <f ca="1">월별지출액총괄표!D17</f>
        <v>42</v>
      </c>
      <c r="E17" s="222">
        <f ca="1">'퇴직때까지의 총연봉액'!E17</f>
        <v>27</v>
      </c>
      <c r="F17" s="228">
        <f ca="1">IF(INDIRECT($C17&amp;"!b29")="","",IF(YEAR('2026'!$I$1)&lt;$C17,"",ROUND(INDIRECT($C17&amp;"!b29"),-1)))</f>
        <v>700640</v>
      </c>
      <c r="G17" s="228">
        <f ca="1">IF(INDIRECT($C17&amp;"!c29")="","",IF(YEAR('2026'!$I$1)&lt;$C17,"",ROUND(INDIRECT($C17&amp;"!c29"),-1)))</f>
        <v>700640</v>
      </c>
      <c r="H17" s="228">
        <f ca="1">IF(INDIRECT($C17&amp;"!d29")="","",IF(YEAR('2026'!$I$1)&lt;$C17,"",ROUND(INDIRECT($C17&amp;"!d29"),-1)))</f>
        <v>700640</v>
      </c>
      <c r="I17" s="228">
        <f ca="1">IF(INDIRECT($C17&amp;"!e29")="","",IF(YEAR('2026'!$I$1)&lt;$C17,"",ROUND(INDIRECT($C17&amp;"!e29"),-1)))</f>
        <v>700640</v>
      </c>
      <c r="J17" s="228">
        <f ca="1">IF(INDIRECT($C17&amp;"!f29")="","",IF(YEAR('2026'!$I$1)&lt;$C17,"",ROUND(INDIRECT($C17&amp;"!f29"),-1)))</f>
        <v>738020</v>
      </c>
      <c r="K17" s="228">
        <f ca="1">IF(INDIRECT($C17&amp;"!g29")="","",IF(YEAR('2026'!$I$1)&lt;$C17,"",ROUND(INDIRECT($C17&amp;"!g29"),-1)))</f>
        <v>738020</v>
      </c>
      <c r="L17" s="228">
        <f ca="1">IF(INDIRECT($C17&amp;"!h29")="","",IF(YEAR('2026'!$I$1)&lt;$C17,"",ROUND(INDIRECT($C17&amp;"!h29"),-1)))</f>
        <v>738020</v>
      </c>
      <c r="M17" s="228">
        <f ca="1">IF(INDIRECT($C17&amp;"!i29")="","",IF(YEAR('2026'!$I$1)&lt;$C17,"",ROUND(INDIRECT($C17&amp;"!i29"),-1)))</f>
        <v>738020</v>
      </c>
      <c r="N17" s="228">
        <f ca="1">IF(INDIRECT($C17&amp;"!j29")="","",IF(YEAR('2026'!$I$1)&lt;$C17,"",ROUND(INDIRECT($C17&amp;"!j29"),-1)))</f>
        <v>738020</v>
      </c>
      <c r="O17" s="228">
        <f ca="1">IF(INDIRECT($C17&amp;"!k29")="","",IF(YEAR('2026'!$I$1)&lt;$C17,"",ROUND(INDIRECT($C17&amp;"!k29"),-1)))</f>
        <v>738020</v>
      </c>
      <c r="P17" s="228">
        <f ca="1">IF(INDIRECT($C17&amp;"!l29")="","",IF(YEAR('2026'!$I$1)&lt;$C17,"",ROUND(INDIRECT($C17&amp;"!l29"),-1)))</f>
        <v>738020</v>
      </c>
      <c r="Q17" s="228">
        <f ca="1">IF(INDIRECT($C17&amp;"!m29")="","",IF(YEAR('2026'!$I$1)&lt;$C17,"",ROUND(INDIRECT($C17&amp;"!m29"),-1)))</f>
        <v>738020</v>
      </c>
      <c r="R17" s="227">
        <f ca="1">IF(YEAR('2026'!$B$1)&lt;$C17,"",SUM(F17:Q17))</f>
        <v>8706720</v>
      </c>
    </row>
    <row r="18" spans="1:18" ht="9.75" customHeight="1">
      <c r="A18" s="230">
        <v>16</v>
      </c>
      <c r="B18" s="357">
        <f ca="1">'퇴직때까지의 총연봉액'!B18</f>
        <v>18</v>
      </c>
      <c r="C18" s="221">
        <f ca="1">'퇴직때까지의 총연봉액'!D18</f>
        <v>2040</v>
      </c>
      <c r="D18" s="385">
        <f ca="1">월별지출액총괄표!D18</f>
        <v>43</v>
      </c>
      <c r="E18" s="222">
        <f ca="1">'퇴직때까지의 총연봉액'!E18</f>
        <v>28</v>
      </c>
      <c r="F18" s="228">
        <f ca="1">IF(INDIRECT($C18&amp;"!b29")="","",IF(YEAR('2026'!$I$1)&lt;$C18,"",ROUND(INDIRECT($C18&amp;"!b29"),-1)))</f>
        <v>738020</v>
      </c>
      <c r="G18" s="228">
        <f ca="1">IF(INDIRECT($C18&amp;"!c29")="","",IF(YEAR('2026'!$I$1)&lt;$C18,"",ROUND(INDIRECT($C18&amp;"!c29"),-1)))</f>
        <v>738020</v>
      </c>
      <c r="H18" s="228">
        <f ca="1">IF(INDIRECT($C18&amp;"!d29")="","",IF(YEAR('2026'!$I$1)&lt;$C18,"",ROUND(INDIRECT($C18&amp;"!d29"),-1)))</f>
        <v>738020</v>
      </c>
      <c r="I18" s="228">
        <f ca="1">IF(INDIRECT($C18&amp;"!e29")="","",IF(YEAR('2026'!$I$1)&lt;$C18,"",ROUND(INDIRECT($C18&amp;"!e29"),-1)))</f>
        <v>738020</v>
      </c>
      <c r="J18" s="228">
        <f ca="1">IF(INDIRECT($C18&amp;"!f29")="","",IF(YEAR('2026'!$I$1)&lt;$C18,"",ROUND(INDIRECT($C18&amp;"!f29"),-1)))</f>
        <v>776740</v>
      </c>
      <c r="K18" s="228">
        <f ca="1">IF(INDIRECT($C18&amp;"!g29")="","",IF(YEAR('2026'!$I$1)&lt;$C18,"",ROUND(INDIRECT($C18&amp;"!g29"),-1)))</f>
        <v>776740</v>
      </c>
      <c r="L18" s="228">
        <f ca="1">IF(INDIRECT($C18&amp;"!h29")="","",IF(YEAR('2026'!$I$1)&lt;$C18,"",ROUND(INDIRECT($C18&amp;"!h29"),-1)))</f>
        <v>776740</v>
      </c>
      <c r="M18" s="228">
        <f ca="1">IF(INDIRECT($C18&amp;"!i29")="","",IF(YEAR('2026'!$I$1)&lt;$C18,"",ROUND(INDIRECT($C18&amp;"!i29"),-1)))</f>
        <v>776740</v>
      </c>
      <c r="N18" s="228">
        <f ca="1">IF(INDIRECT($C18&amp;"!j29")="","",IF(YEAR('2026'!$I$1)&lt;$C18,"",ROUND(INDIRECT($C18&amp;"!j29"),-1)))</f>
        <v>776740</v>
      </c>
      <c r="O18" s="228">
        <f ca="1">IF(INDIRECT($C18&amp;"!k29")="","",IF(YEAR('2026'!$I$1)&lt;$C18,"",ROUND(INDIRECT($C18&amp;"!k29"),-1)))</f>
        <v>776740</v>
      </c>
      <c r="P18" s="228">
        <f ca="1">IF(INDIRECT($C18&amp;"!l29")="","",IF(YEAR('2026'!$I$1)&lt;$C18,"",ROUND(INDIRECT($C18&amp;"!l29"),-1)))</f>
        <v>776740</v>
      </c>
      <c r="Q18" s="228">
        <f ca="1">IF(INDIRECT($C18&amp;"!m29")="","",IF(YEAR('2026'!$I$1)&lt;$C18,"",ROUND(INDIRECT($C18&amp;"!m29"),-1)))</f>
        <v>776740</v>
      </c>
      <c r="R18" s="227">
        <f ca="1">IF(YEAR('2026'!$B$1)&lt;$C18,"",SUM(F18:Q18))</f>
        <v>9166000</v>
      </c>
    </row>
    <row r="19" spans="1:18" ht="9.75" customHeight="1">
      <c r="A19" s="230">
        <v>17</v>
      </c>
      <c r="B19" s="357">
        <f ca="1">'퇴직때까지의 총연봉액'!B19</f>
        <v>19</v>
      </c>
      <c r="C19" s="221">
        <f ca="1">'퇴직때까지의 총연봉액'!D19</f>
        <v>2041</v>
      </c>
      <c r="D19" s="385">
        <f ca="1">월별지출액총괄표!D19</f>
        <v>44</v>
      </c>
      <c r="E19" s="222">
        <f ca="1">'퇴직때까지의 총연봉액'!E19</f>
        <v>29</v>
      </c>
      <c r="F19" s="228">
        <f ca="1">IF(INDIRECT($C19&amp;"!b29")="","",IF(YEAR('2026'!$I$1)&lt;$C19,"",ROUND(INDIRECT($C19&amp;"!b29"),-1)))</f>
        <v>776740</v>
      </c>
      <c r="G19" s="228">
        <f ca="1">IF(INDIRECT($C19&amp;"!c29")="","",IF(YEAR('2026'!$I$1)&lt;$C19,"",ROUND(INDIRECT($C19&amp;"!c29"),-1)))</f>
        <v>776740</v>
      </c>
      <c r="H19" s="228">
        <f ca="1">IF(INDIRECT($C19&amp;"!d29")="","",IF(YEAR('2026'!$I$1)&lt;$C19,"",ROUND(INDIRECT($C19&amp;"!d29"),-1)))</f>
        <v>776740</v>
      </c>
      <c r="I19" s="228">
        <f ca="1">IF(INDIRECT($C19&amp;"!e29")="","",IF(YEAR('2026'!$I$1)&lt;$C19,"",ROUND(INDIRECT($C19&amp;"!e29"),-1)))</f>
        <v>776740</v>
      </c>
      <c r="J19" s="228">
        <f ca="1">IF(INDIRECT($C19&amp;"!f29")="","",IF(YEAR('2026'!$I$1)&lt;$C19,"",ROUND(INDIRECT($C19&amp;"!f29"),-1)))</f>
        <v>818600</v>
      </c>
      <c r="K19" s="228">
        <f ca="1">IF(INDIRECT($C19&amp;"!g29")="","",IF(YEAR('2026'!$I$1)&lt;$C19,"",ROUND(INDIRECT($C19&amp;"!g29"),-1)))</f>
        <v>818600</v>
      </c>
      <c r="L19" s="228">
        <f ca="1">IF(INDIRECT($C19&amp;"!h29")="","",IF(YEAR('2026'!$I$1)&lt;$C19,"",ROUND(INDIRECT($C19&amp;"!h29"),-1)))</f>
        <v>818600</v>
      </c>
      <c r="M19" s="228">
        <f ca="1">IF(INDIRECT($C19&amp;"!i29")="","",IF(YEAR('2026'!$I$1)&lt;$C19,"",ROUND(INDIRECT($C19&amp;"!i29"),-1)))</f>
        <v>818600</v>
      </c>
      <c r="N19" s="228">
        <f ca="1">IF(INDIRECT($C19&amp;"!j29")="","",IF(YEAR('2026'!$I$1)&lt;$C19,"",ROUND(INDIRECT($C19&amp;"!j29"),-1)))</f>
        <v>818600</v>
      </c>
      <c r="O19" s="228">
        <f ca="1">IF(INDIRECT($C19&amp;"!k29")="","",IF(YEAR('2026'!$I$1)&lt;$C19,"",ROUND(INDIRECT($C19&amp;"!k29"),-1)))</f>
        <v>818600</v>
      </c>
      <c r="P19" s="228">
        <f ca="1">IF(INDIRECT($C19&amp;"!l29")="","",IF(YEAR('2026'!$I$1)&lt;$C19,"",ROUND(INDIRECT($C19&amp;"!l29"),-1)))</f>
        <v>818600</v>
      </c>
      <c r="Q19" s="228">
        <f ca="1">IF(INDIRECT($C19&amp;"!m29")="","",IF(YEAR('2026'!$I$1)&lt;$C19,"",ROUND(INDIRECT($C19&amp;"!m29"),-1)))</f>
        <v>818600</v>
      </c>
      <c r="R19" s="227">
        <f ca="1">IF(YEAR('2026'!$B$1)&lt;$C19,"",SUM(F19:Q19))</f>
        <v>9655760</v>
      </c>
    </row>
    <row r="20" spans="1:18" ht="9.75" customHeight="1">
      <c r="A20" s="230">
        <v>18</v>
      </c>
      <c r="B20" s="357">
        <f ca="1">'퇴직때까지의 총연봉액'!B20</f>
        <v>20</v>
      </c>
      <c r="C20" s="221">
        <f ca="1">'퇴직때까지의 총연봉액'!D20</f>
        <v>2042</v>
      </c>
      <c r="D20" s="385">
        <f ca="1">월별지출액총괄표!D20</f>
        <v>45</v>
      </c>
      <c r="E20" s="222">
        <f ca="1">'퇴직때까지의 총연봉액'!E20</f>
        <v>30</v>
      </c>
      <c r="F20" s="228">
        <f ca="1">IF(INDIRECT($C20&amp;"!b29")="","",IF(YEAR('2026'!$I$1)&lt;$C20,"",ROUND(INDIRECT($C20&amp;"!b29"),-1)))</f>
        <v>818600</v>
      </c>
      <c r="G20" s="228">
        <f ca="1">IF(INDIRECT($C20&amp;"!c29")="","",IF(YEAR('2026'!$I$1)&lt;$C20,"",ROUND(INDIRECT($C20&amp;"!c29"),-1)))</f>
        <v>818600</v>
      </c>
      <c r="H20" s="228">
        <f ca="1">IF(INDIRECT($C20&amp;"!d29")="","",IF(YEAR('2026'!$I$1)&lt;$C20,"",ROUND(INDIRECT($C20&amp;"!d29"),-1)))</f>
        <v>818600</v>
      </c>
      <c r="I20" s="228">
        <f ca="1">IF(INDIRECT($C20&amp;"!e29")="","",IF(YEAR('2026'!$I$1)&lt;$C20,"",ROUND(INDIRECT($C20&amp;"!e29"),-1)))</f>
        <v>818600</v>
      </c>
      <c r="J20" s="228">
        <f ca="1">IF(INDIRECT($C20&amp;"!f29")="","",IF(YEAR('2026'!$I$1)&lt;$C20,"",ROUND(INDIRECT($C20&amp;"!f29"),-1)))</f>
        <v>864230</v>
      </c>
      <c r="K20" s="228">
        <f ca="1">IF(INDIRECT($C20&amp;"!g29")="","",IF(YEAR('2026'!$I$1)&lt;$C20,"",ROUND(INDIRECT($C20&amp;"!g29"),-1)))</f>
        <v>864230</v>
      </c>
      <c r="L20" s="228">
        <f ca="1">IF(INDIRECT($C20&amp;"!h29")="","",IF(YEAR('2026'!$I$1)&lt;$C20,"",ROUND(INDIRECT($C20&amp;"!h29"),-1)))</f>
        <v>864230</v>
      </c>
      <c r="M20" s="228">
        <f ca="1">IF(INDIRECT($C20&amp;"!i29")="","",IF(YEAR('2026'!$I$1)&lt;$C20,"",ROUND(INDIRECT($C20&amp;"!i29"),-1)))</f>
        <v>864230</v>
      </c>
      <c r="N20" s="228">
        <f ca="1">IF(INDIRECT($C20&amp;"!j29")="","",IF(YEAR('2026'!$I$1)&lt;$C20,"",ROUND(INDIRECT($C20&amp;"!j29"),-1)))</f>
        <v>864230</v>
      </c>
      <c r="O20" s="228">
        <f ca="1">IF(INDIRECT($C20&amp;"!k29")="","",IF(YEAR('2026'!$I$1)&lt;$C20,"",ROUND(INDIRECT($C20&amp;"!k29"),-1)))</f>
        <v>864230</v>
      </c>
      <c r="P20" s="228">
        <f ca="1">IF(INDIRECT($C20&amp;"!l29")="","",IF(YEAR('2026'!$I$1)&lt;$C20,"",ROUND(INDIRECT($C20&amp;"!l29"),-1)))</f>
        <v>864230</v>
      </c>
      <c r="Q20" s="228">
        <f ca="1">IF(INDIRECT($C20&amp;"!m29")="","",IF(YEAR('2026'!$I$1)&lt;$C20,"",ROUND(INDIRECT($C20&amp;"!m29"),-1)))</f>
        <v>864230</v>
      </c>
      <c r="R20" s="227">
        <f ca="1">IF(YEAR('2026'!$B$1)&lt;$C20,"",SUM(F20:Q20))</f>
        <v>10188240</v>
      </c>
    </row>
    <row r="21" spans="1:18" ht="9.75" customHeight="1">
      <c r="A21" s="230">
        <v>19</v>
      </c>
      <c r="B21" s="357">
        <f ca="1">'퇴직때까지의 총연봉액'!B21</f>
        <v>21</v>
      </c>
      <c r="C21" s="221">
        <f ca="1">'퇴직때까지의 총연봉액'!D21</f>
        <v>2043</v>
      </c>
      <c r="D21" s="385">
        <f ca="1">월별지출액총괄표!D21</f>
        <v>46</v>
      </c>
      <c r="E21" s="222">
        <f ca="1">'퇴직때까지의 총연봉액'!E21</f>
        <v>31</v>
      </c>
      <c r="F21" s="228">
        <f ca="1">IF(INDIRECT($C21&amp;"!b29")="","",IF(YEAR('2026'!$I$1)&lt;$C21,"",ROUND(INDIRECT($C21&amp;"!b29"),-1)))</f>
        <v>864230</v>
      </c>
      <c r="G21" s="228">
        <f ca="1">IF(INDIRECT($C21&amp;"!c29")="","",IF(YEAR('2026'!$I$1)&lt;$C21,"",ROUND(INDIRECT($C21&amp;"!c29"),-1)))</f>
        <v>864230</v>
      </c>
      <c r="H21" s="228">
        <f ca="1">IF(INDIRECT($C21&amp;"!d29")="","",IF(YEAR('2026'!$I$1)&lt;$C21,"",ROUND(INDIRECT($C21&amp;"!d29"),-1)))</f>
        <v>864230</v>
      </c>
      <c r="I21" s="228">
        <f ca="1">IF(INDIRECT($C21&amp;"!e29")="","",IF(YEAR('2026'!$I$1)&lt;$C21,"",ROUND(INDIRECT($C21&amp;"!e29"),-1)))</f>
        <v>864230</v>
      </c>
      <c r="J21" s="228">
        <f ca="1">IF(INDIRECT($C21&amp;"!f29")="","",IF(YEAR('2026'!$I$1)&lt;$C21,"",ROUND(INDIRECT($C21&amp;"!f29"),-1)))</f>
        <v>911330</v>
      </c>
      <c r="K21" s="228">
        <f ca="1">IF(INDIRECT($C21&amp;"!g29")="","",IF(YEAR('2026'!$I$1)&lt;$C21,"",ROUND(INDIRECT($C21&amp;"!g29"),-1)))</f>
        <v>911330</v>
      </c>
      <c r="L21" s="228">
        <f ca="1">IF(INDIRECT($C21&amp;"!h29")="","",IF(YEAR('2026'!$I$1)&lt;$C21,"",ROUND(INDIRECT($C21&amp;"!h29"),-1)))</f>
        <v>911330</v>
      </c>
      <c r="M21" s="228">
        <f ca="1">IF(INDIRECT($C21&amp;"!i29")="","",IF(YEAR('2026'!$I$1)&lt;$C21,"",ROUND(INDIRECT($C21&amp;"!i29"),-1)))</f>
        <v>911330</v>
      </c>
      <c r="N21" s="228">
        <f ca="1">IF(INDIRECT($C21&amp;"!j29")="","",IF(YEAR('2026'!$I$1)&lt;$C21,"",ROUND(INDIRECT($C21&amp;"!j29"),-1)))</f>
        <v>911330</v>
      </c>
      <c r="O21" s="228">
        <f ca="1">IF(INDIRECT($C21&amp;"!k29")="","",IF(YEAR('2026'!$I$1)&lt;$C21,"",ROUND(INDIRECT($C21&amp;"!k29"),-1)))</f>
        <v>911330</v>
      </c>
      <c r="P21" s="228">
        <f ca="1">IF(INDIRECT($C21&amp;"!l29")="","",IF(YEAR('2026'!$I$1)&lt;$C21,"",ROUND(INDIRECT($C21&amp;"!l29"),-1)))</f>
        <v>911330</v>
      </c>
      <c r="Q21" s="228">
        <f ca="1">IF(INDIRECT($C21&amp;"!m29")="","",IF(YEAR('2026'!$I$1)&lt;$C21,"",ROUND(INDIRECT($C21&amp;"!m29"),-1)))</f>
        <v>911330</v>
      </c>
      <c r="R21" s="227">
        <f ca="1">IF(YEAR('2026'!$B$1)&lt;$C21,"",SUM(F21:Q21))</f>
        <v>10747560</v>
      </c>
    </row>
    <row r="22" spans="1:18" ht="9.75" customHeight="1">
      <c r="A22" s="230">
        <v>20</v>
      </c>
      <c r="B22" s="357">
        <f ca="1">'퇴직때까지의 총연봉액'!B22</f>
        <v>22</v>
      </c>
      <c r="C22" s="221">
        <f ca="1">'퇴직때까지의 총연봉액'!D22</f>
        <v>2044</v>
      </c>
      <c r="D22" s="385">
        <f ca="1">월별지출액총괄표!D22</f>
        <v>47</v>
      </c>
      <c r="E22" s="222">
        <f ca="1">'퇴직때까지의 총연봉액'!E22</f>
        <v>32</v>
      </c>
      <c r="F22" s="228">
        <f ca="1">IF(INDIRECT($C22&amp;"!b29")="","",IF(YEAR('2026'!$I$1)&lt;$C22,"",ROUND(INDIRECT($C22&amp;"!b29"),-1)))</f>
        <v>911330</v>
      </c>
      <c r="G22" s="228">
        <f ca="1">IF(INDIRECT($C22&amp;"!c29")="","",IF(YEAR('2026'!$I$1)&lt;$C22,"",ROUND(INDIRECT($C22&amp;"!c29"),-1)))</f>
        <v>911330</v>
      </c>
      <c r="H22" s="228">
        <f ca="1">IF(INDIRECT($C22&amp;"!d29")="","",IF(YEAR('2026'!$I$1)&lt;$C22,"",ROUND(INDIRECT($C22&amp;"!d29"),-1)))</f>
        <v>911330</v>
      </c>
      <c r="I22" s="228">
        <f ca="1">IF(INDIRECT($C22&amp;"!e29")="","",IF(YEAR('2026'!$I$1)&lt;$C22,"",ROUND(INDIRECT($C22&amp;"!e29"),-1)))</f>
        <v>911330</v>
      </c>
      <c r="J22" s="228">
        <f ca="1">IF(INDIRECT($C22&amp;"!f29")="","",IF(YEAR('2026'!$I$1)&lt;$C22,"",ROUND(INDIRECT($C22&amp;"!f29"),-1)))</f>
        <v>957510</v>
      </c>
      <c r="K22" s="228">
        <f ca="1">IF(INDIRECT($C22&amp;"!g29")="","",IF(YEAR('2026'!$I$1)&lt;$C22,"",ROUND(INDIRECT($C22&amp;"!g29"),-1)))</f>
        <v>957510</v>
      </c>
      <c r="L22" s="228">
        <f ca="1">IF(INDIRECT($C22&amp;"!h29")="","",IF(YEAR('2026'!$I$1)&lt;$C22,"",ROUND(INDIRECT($C22&amp;"!h29"),-1)))</f>
        <v>957510</v>
      </c>
      <c r="M22" s="228">
        <f ca="1">IF(INDIRECT($C22&amp;"!i29")="","",IF(YEAR('2026'!$I$1)&lt;$C22,"",ROUND(INDIRECT($C22&amp;"!i29"),-1)))</f>
        <v>957510</v>
      </c>
      <c r="N22" s="228">
        <f ca="1">IF(INDIRECT($C22&amp;"!j29")="","",IF(YEAR('2026'!$I$1)&lt;$C22,"",ROUND(INDIRECT($C22&amp;"!j29"),-1)))</f>
        <v>957510</v>
      </c>
      <c r="O22" s="228">
        <f ca="1">IF(INDIRECT($C22&amp;"!k29")="","",IF(YEAR('2026'!$I$1)&lt;$C22,"",ROUND(INDIRECT($C22&amp;"!k29"),-1)))</f>
        <v>957510</v>
      </c>
      <c r="P22" s="228">
        <f ca="1">IF(INDIRECT($C22&amp;"!l29")="","",IF(YEAR('2026'!$I$1)&lt;$C22,"",ROUND(INDIRECT($C22&amp;"!l29"),-1)))</f>
        <v>957510</v>
      </c>
      <c r="Q22" s="228">
        <f ca="1">IF(INDIRECT($C22&amp;"!m29")="","",IF(YEAR('2026'!$I$1)&lt;$C22,"",ROUND(INDIRECT($C22&amp;"!m29"),-1)))</f>
        <v>957510</v>
      </c>
      <c r="R22" s="227">
        <f ca="1">IF(YEAR('2026'!$B$1)&lt;$C22,"",SUM(F22:Q22))</f>
        <v>11305400</v>
      </c>
    </row>
    <row r="23" spans="1:18" ht="9.75" customHeight="1">
      <c r="A23" s="230">
        <v>21</v>
      </c>
      <c r="B23" s="357">
        <f ca="1">'퇴직때까지의 총연봉액'!B23</f>
        <v>23</v>
      </c>
      <c r="C23" s="221">
        <f ca="1">'퇴직때까지의 총연봉액'!D23</f>
        <v>2045</v>
      </c>
      <c r="D23" s="385">
        <f ca="1">월별지출액총괄표!D23</f>
        <v>48</v>
      </c>
      <c r="E23" s="222">
        <f ca="1">'퇴직때까지의 총연봉액'!E23</f>
        <v>33</v>
      </c>
      <c r="F23" s="228">
        <f ca="1">IF(INDIRECT($C23&amp;"!b29")="","",IF(YEAR('2026'!$I$1)&lt;$C23,"",ROUND(INDIRECT($C23&amp;"!b29"),-1)))</f>
        <v>957510</v>
      </c>
      <c r="G23" s="228">
        <f ca="1">IF(INDIRECT($C23&amp;"!c29")="","",IF(YEAR('2026'!$I$1)&lt;$C23,"",ROUND(INDIRECT($C23&amp;"!c29"),-1)))</f>
        <v>957510</v>
      </c>
      <c r="H23" s="228">
        <f ca="1">IF(INDIRECT($C23&amp;"!d29")="","",IF(YEAR('2026'!$I$1)&lt;$C23,"",ROUND(INDIRECT($C23&amp;"!d29"),-1)))</f>
        <v>957510</v>
      </c>
      <c r="I23" s="228">
        <f ca="1">IF(INDIRECT($C23&amp;"!e29")="","",IF(YEAR('2026'!$I$1)&lt;$C23,"",ROUND(INDIRECT($C23&amp;"!e29"),-1)))</f>
        <v>957510</v>
      </c>
      <c r="J23" s="228">
        <f ca="1">IF(INDIRECT($C23&amp;"!f29")="","",IF(YEAR('2026'!$I$1)&lt;$C23,"",ROUND(INDIRECT($C23&amp;"!f29"),-1)))</f>
        <v>1007170</v>
      </c>
      <c r="K23" s="228">
        <f ca="1">IF(INDIRECT($C23&amp;"!g29")="","",IF(YEAR('2026'!$I$1)&lt;$C23,"",ROUND(INDIRECT($C23&amp;"!g29"),-1)))</f>
        <v>1007170</v>
      </c>
      <c r="L23" s="228">
        <f ca="1">IF(INDIRECT($C23&amp;"!h29")="","",IF(YEAR('2026'!$I$1)&lt;$C23,"",ROUND(INDIRECT($C23&amp;"!h29"),-1)))</f>
        <v>1007170</v>
      </c>
      <c r="M23" s="228">
        <f ca="1">IF(INDIRECT($C23&amp;"!i29")="","",IF(YEAR('2026'!$I$1)&lt;$C23,"",ROUND(INDIRECT($C23&amp;"!i29"),-1)))</f>
        <v>1007170</v>
      </c>
      <c r="N23" s="228">
        <f ca="1">IF(INDIRECT($C23&amp;"!j29")="","",IF(YEAR('2026'!$I$1)&lt;$C23,"",ROUND(INDIRECT($C23&amp;"!j29"),-1)))</f>
        <v>1007170</v>
      </c>
      <c r="O23" s="228">
        <f ca="1">IF(INDIRECT($C23&amp;"!k29")="","",IF(YEAR('2026'!$I$1)&lt;$C23,"",ROUND(INDIRECT($C23&amp;"!k29"),-1)))</f>
        <v>1007170</v>
      </c>
      <c r="P23" s="228">
        <f ca="1">IF(INDIRECT($C23&amp;"!l29")="","",IF(YEAR('2026'!$I$1)&lt;$C23,"",ROUND(INDIRECT($C23&amp;"!l29"),-1)))</f>
        <v>1007170</v>
      </c>
      <c r="Q23" s="228">
        <f ca="1">IF(INDIRECT($C23&amp;"!m29")="","",IF(YEAR('2026'!$I$1)&lt;$C23,"",ROUND(INDIRECT($C23&amp;"!m29"),-1)))</f>
        <v>1007170</v>
      </c>
      <c r="R23" s="227">
        <f ca="1">IF(YEAR('2026'!$B$1)&lt;$C23,"",SUM(F23:Q23))</f>
        <v>11887400</v>
      </c>
    </row>
    <row r="24" spans="1:18" ht="9.75" customHeight="1">
      <c r="A24" s="230">
        <v>22</v>
      </c>
      <c r="B24" s="357">
        <f ca="1">'퇴직때까지의 총연봉액'!B24</f>
        <v>24</v>
      </c>
      <c r="C24" s="221">
        <f ca="1">'퇴직때까지의 총연봉액'!D24</f>
        <v>2046</v>
      </c>
      <c r="D24" s="385">
        <f ca="1">월별지출액총괄표!D24</f>
        <v>49</v>
      </c>
      <c r="E24" s="222">
        <f ca="1">'퇴직때까지의 총연봉액'!E24</f>
        <v>34</v>
      </c>
      <c r="F24" s="228">
        <f ca="1">IF(INDIRECT($C24&amp;"!b29")="","",IF(YEAR('2026'!$I$1)&lt;$C24,"",ROUND(INDIRECT($C24&amp;"!b29"),-1)))</f>
        <v>1007170</v>
      </c>
      <c r="G24" s="228">
        <f ca="1">IF(INDIRECT($C24&amp;"!c29")="","",IF(YEAR('2026'!$I$1)&lt;$C24,"",ROUND(INDIRECT($C24&amp;"!c29"),-1)))</f>
        <v>1007170</v>
      </c>
      <c r="H24" s="228">
        <f ca="1">IF(INDIRECT($C24&amp;"!d29")="","",IF(YEAR('2026'!$I$1)&lt;$C24,"",ROUND(INDIRECT($C24&amp;"!d29"),-1)))</f>
        <v>1007170</v>
      </c>
      <c r="I24" s="228">
        <f ca="1">IF(INDIRECT($C24&amp;"!e29")="","",IF(YEAR('2026'!$I$1)&lt;$C24,"",ROUND(INDIRECT($C24&amp;"!e29"),-1)))</f>
        <v>1007170</v>
      </c>
      <c r="J24" s="228">
        <f ca="1">IF(INDIRECT($C24&amp;"!f29")="","",IF(YEAR('2026'!$I$1)&lt;$C24,"",ROUND(INDIRECT($C24&amp;"!f29"),-1)))</f>
        <v>1056540</v>
      </c>
      <c r="K24" s="228">
        <f ca="1">IF(INDIRECT($C24&amp;"!g29")="","",IF(YEAR('2026'!$I$1)&lt;$C24,"",ROUND(INDIRECT($C24&amp;"!g29"),-1)))</f>
        <v>1056540</v>
      </c>
      <c r="L24" s="228">
        <f ca="1">IF(INDIRECT($C24&amp;"!h29")="","",IF(YEAR('2026'!$I$1)&lt;$C24,"",ROUND(INDIRECT($C24&amp;"!h29"),-1)))</f>
        <v>1056540</v>
      </c>
      <c r="M24" s="228">
        <f ca="1">IF(INDIRECT($C24&amp;"!i29")="","",IF(YEAR('2026'!$I$1)&lt;$C24,"",ROUND(INDIRECT($C24&amp;"!i29"),-1)))</f>
        <v>1056540</v>
      </c>
      <c r="N24" s="228">
        <f ca="1">IF(INDIRECT($C24&amp;"!j29")="","",IF(YEAR('2026'!$I$1)&lt;$C24,"",ROUND(INDIRECT($C24&amp;"!j29"),-1)))</f>
        <v>1056540</v>
      </c>
      <c r="O24" s="228">
        <f ca="1">IF(INDIRECT($C24&amp;"!k29")="","",IF(YEAR('2026'!$I$1)&lt;$C24,"",ROUND(INDIRECT($C24&amp;"!k29"),-1)))</f>
        <v>1056540</v>
      </c>
      <c r="P24" s="228">
        <f ca="1">IF(INDIRECT($C24&amp;"!l29")="","",IF(YEAR('2026'!$I$1)&lt;$C24,"",ROUND(INDIRECT($C24&amp;"!l29"),-1)))</f>
        <v>1056540</v>
      </c>
      <c r="Q24" s="228">
        <f ca="1">IF(INDIRECT($C24&amp;"!m29")="","",IF(YEAR('2026'!$I$1)&lt;$C24,"",ROUND(INDIRECT($C24&amp;"!m29"),-1)))</f>
        <v>1056540</v>
      </c>
      <c r="R24" s="227">
        <f ca="1">IF(YEAR('2026'!$B$1)&lt;$C24,"",SUM(F24:Q24))</f>
        <v>12481000</v>
      </c>
    </row>
    <row r="25" spans="1:18" ht="9.75" customHeight="1">
      <c r="A25" s="230">
        <v>23</v>
      </c>
      <c r="B25" s="357">
        <f ca="1">'퇴직때까지의 총연봉액'!B25</f>
        <v>25</v>
      </c>
      <c r="C25" s="221">
        <f ca="1">'퇴직때까지의 총연봉액'!D25</f>
        <v>2047</v>
      </c>
      <c r="D25" s="385">
        <f ca="1">월별지출액총괄표!D25</f>
        <v>50</v>
      </c>
      <c r="E25" s="222">
        <f ca="1">'퇴직때까지의 총연봉액'!E25</f>
        <v>35</v>
      </c>
      <c r="F25" s="228">
        <f ca="1">IF(INDIRECT($C25&amp;"!b29")="","",IF(YEAR('2026'!$I$1)&lt;$C25,"",ROUND(INDIRECT($C25&amp;"!b29"),-1)))</f>
        <v>1056540</v>
      </c>
      <c r="G25" s="228">
        <f ca="1">IF(INDIRECT($C25&amp;"!c29")="","",IF(YEAR('2026'!$I$1)&lt;$C25,"",ROUND(INDIRECT($C25&amp;"!c29"),-1)))</f>
        <v>1056540</v>
      </c>
      <c r="H25" s="228">
        <f ca="1">IF(INDIRECT($C25&amp;"!d29")="","",IF(YEAR('2026'!$I$1)&lt;$C25,"",ROUND(INDIRECT($C25&amp;"!d29"),-1)))</f>
        <v>1056540</v>
      </c>
      <c r="I25" s="228">
        <f ca="1">IF(INDIRECT($C25&amp;"!e29")="","",IF(YEAR('2026'!$I$1)&lt;$C25,"",ROUND(INDIRECT($C25&amp;"!e29"),-1)))</f>
        <v>1056540</v>
      </c>
      <c r="J25" s="228">
        <f ca="1">IF(INDIRECT($C25&amp;"!f29")="","",IF(YEAR('2026'!$I$1)&lt;$C25,"",ROUND(INDIRECT($C25&amp;"!f29"),-1)))</f>
        <v>1108110</v>
      </c>
      <c r="K25" s="228">
        <f ca="1">IF(INDIRECT($C25&amp;"!g29")="","",IF(YEAR('2026'!$I$1)&lt;$C25,"",ROUND(INDIRECT($C25&amp;"!g29"),-1)))</f>
        <v>1108110</v>
      </c>
      <c r="L25" s="228">
        <f ca="1">IF(INDIRECT($C25&amp;"!h29")="","",IF(YEAR('2026'!$I$1)&lt;$C25,"",ROUND(INDIRECT($C25&amp;"!h29"),-1)))</f>
        <v>1108110</v>
      </c>
      <c r="M25" s="228">
        <f ca="1">IF(INDIRECT($C25&amp;"!i29")="","",IF(YEAR('2026'!$I$1)&lt;$C25,"",ROUND(INDIRECT($C25&amp;"!i29"),-1)))</f>
        <v>1108110</v>
      </c>
      <c r="N25" s="228">
        <f ca="1">IF(INDIRECT($C25&amp;"!j29")="","",IF(YEAR('2026'!$I$1)&lt;$C25,"",ROUND(INDIRECT($C25&amp;"!j29"),-1)))</f>
        <v>1108110</v>
      </c>
      <c r="O25" s="228">
        <f ca="1">IF(INDIRECT($C25&amp;"!k29")="","",IF(YEAR('2026'!$I$1)&lt;$C25,"",ROUND(INDIRECT($C25&amp;"!k29"),-1)))</f>
        <v>1108110</v>
      </c>
      <c r="P25" s="228">
        <f ca="1">IF(INDIRECT($C25&amp;"!l29")="","",IF(YEAR('2026'!$I$1)&lt;$C25,"",ROUND(INDIRECT($C25&amp;"!l29"),-1)))</f>
        <v>1108110</v>
      </c>
      <c r="Q25" s="228">
        <f ca="1">IF(INDIRECT($C25&amp;"!m29")="","",IF(YEAR('2026'!$I$1)&lt;$C25,"",ROUND(INDIRECT($C25&amp;"!m29"),-1)))</f>
        <v>1108110</v>
      </c>
      <c r="R25" s="227">
        <f ca="1">IF(YEAR('2026'!$B$1)&lt;$C25,"",SUM(F25:Q25))</f>
        <v>13091040</v>
      </c>
    </row>
    <row r="26" spans="1:18" ht="9.75" customHeight="1">
      <c r="A26" s="230">
        <v>24</v>
      </c>
      <c r="B26" s="357">
        <f ca="1">'퇴직때까지의 총연봉액'!B26</f>
        <v>26</v>
      </c>
      <c r="C26" s="221">
        <f ca="1">'퇴직때까지의 총연봉액'!D26</f>
        <v>2048</v>
      </c>
      <c r="D26" s="385">
        <f ca="1">월별지출액총괄표!D26</f>
        <v>51</v>
      </c>
      <c r="E26" s="222">
        <f ca="1">'퇴직때까지의 총연봉액'!E26</f>
        <v>36</v>
      </c>
      <c r="F26" s="228">
        <f ca="1">IF(INDIRECT($C26&amp;"!b29")="","",IF(YEAR('2026'!$I$1)&lt;$C26,"",ROUND(INDIRECT($C26&amp;"!b29"),-1)))</f>
        <v>1108110</v>
      </c>
      <c r="G26" s="228">
        <f ca="1">IF(INDIRECT($C26&amp;"!c29")="","",IF(YEAR('2026'!$I$1)&lt;$C26,"",ROUND(INDIRECT($C26&amp;"!c29"),-1)))</f>
        <v>1108110</v>
      </c>
      <c r="H26" s="228">
        <f ca="1">IF(INDIRECT($C26&amp;"!d29")="","",IF(YEAR('2026'!$I$1)&lt;$C26,"",ROUND(INDIRECT($C26&amp;"!d29"),-1)))</f>
        <v>1108110</v>
      </c>
      <c r="I26" s="228">
        <f ca="1">IF(INDIRECT($C26&amp;"!e29")="","",IF(YEAR('2026'!$I$1)&lt;$C26,"",ROUND(INDIRECT($C26&amp;"!e29"),-1)))</f>
        <v>1108110</v>
      </c>
      <c r="J26" s="228">
        <f ca="1">IF(INDIRECT($C26&amp;"!f29")="","",IF(YEAR('2026'!$I$1)&lt;$C26,"",ROUND(INDIRECT($C26&amp;"!f29"),-1)))</f>
        <v>1161120</v>
      </c>
      <c r="K26" s="228">
        <f ca="1">IF(INDIRECT($C26&amp;"!g29")="","",IF(YEAR('2026'!$I$1)&lt;$C26,"",ROUND(INDIRECT($C26&amp;"!g29"),-1)))</f>
        <v>1161120</v>
      </c>
      <c r="L26" s="228">
        <f ca="1">IF(INDIRECT($C26&amp;"!h29")="","",IF(YEAR('2026'!$I$1)&lt;$C26,"",ROUND(INDIRECT($C26&amp;"!h29"),-1)))</f>
        <v>1161120</v>
      </c>
      <c r="M26" s="228">
        <f ca="1">IF(INDIRECT($C26&amp;"!i29")="","",IF(YEAR('2026'!$I$1)&lt;$C26,"",ROUND(INDIRECT($C26&amp;"!i29"),-1)))</f>
        <v>1161120</v>
      </c>
      <c r="N26" s="228">
        <f ca="1">IF(INDIRECT($C26&amp;"!j29")="","",IF(YEAR('2026'!$I$1)&lt;$C26,"",ROUND(INDIRECT($C26&amp;"!j29"),-1)))</f>
        <v>1161120</v>
      </c>
      <c r="O26" s="228">
        <f ca="1">IF(INDIRECT($C26&amp;"!k29")="","",IF(YEAR('2026'!$I$1)&lt;$C26,"",ROUND(INDIRECT($C26&amp;"!k29"),-1)))</f>
        <v>1161120</v>
      </c>
      <c r="P26" s="228">
        <f ca="1">IF(INDIRECT($C26&amp;"!l29")="","",IF(YEAR('2026'!$I$1)&lt;$C26,"",ROUND(INDIRECT($C26&amp;"!l29"),-1)))</f>
        <v>1161120</v>
      </c>
      <c r="Q26" s="228">
        <f ca="1">IF(INDIRECT($C26&amp;"!m29")="","",IF(YEAR('2026'!$I$1)&lt;$C26,"",ROUND(INDIRECT($C26&amp;"!m29"),-1)))</f>
        <v>1161120</v>
      </c>
      <c r="R26" s="227">
        <f ca="1">IF(YEAR('2026'!$B$1)&lt;$C26,"",SUM(F26:Q26))</f>
        <v>13721400</v>
      </c>
    </row>
    <row r="27" spans="1:18" ht="9.75" customHeight="1">
      <c r="A27" s="230">
        <v>25</v>
      </c>
      <c r="B27" s="357">
        <f ca="1">'퇴직때까지의 총연봉액'!B27</f>
        <v>27</v>
      </c>
      <c r="C27" s="221">
        <f ca="1">'퇴직때까지의 총연봉액'!D27</f>
        <v>2049</v>
      </c>
      <c r="D27" s="385">
        <f ca="1">월별지출액총괄표!D27</f>
        <v>52</v>
      </c>
      <c r="E27" s="222">
        <f ca="1">'퇴직때까지의 총연봉액'!E27</f>
        <v>37</v>
      </c>
      <c r="F27" s="228">
        <f ca="1">IF(INDIRECT($C27&amp;"!b29")="","",IF(YEAR('2026'!$I$1)&lt;$C27,"",ROUND(INDIRECT($C27&amp;"!b29"),-1)))</f>
        <v>1161120</v>
      </c>
      <c r="G27" s="228">
        <f ca="1">IF(INDIRECT($C27&amp;"!c29")="","",IF(YEAR('2026'!$I$1)&lt;$C27,"",ROUND(INDIRECT($C27&amp;"!c29"),-1)))</f>
        <v>1161120</v>
      </c>
      <c r="H27" s="228">
        <f ca="1">IF(INDIRECT($C27&amp;"!d29")="","",IF(YEAR('2026'!$I$1)&lt;$C27,"",ROUND(INDIRECT($C27&amp;"!d29"),-1)))</f>
        <v>1161120</v>
      </c>
      <c r="I27" s="228">
        <f ca="1">IF(INDIRECT($C27&amp;"!e29")="","",IF(YEAR('2026'!$I$1)&lt;$C27,"",ROUND(INDIRECT($C27&amp;"!e29"),-1)))</f>
        <v>1161120</v>
      </c>
      <c r="J27" s="228">
        <f ca="1">IF(INDIRECT($C27&amp;"!f29")="","",IF(YEAR('2026'!$I$1)&lt;$C27,"",ROUND(INDIRECT($C27&amp;"!f29"),-1)))</f>
        <v>1210850</v>
      </c>
      <c r="K27" s="228">
        <f ca="1">IF(INDIRECT($C27&amp;"!g29")="","",IF(YEAR('2026'!$I$1)&lt;$C27,"",ROUND(INDIRECT($C27&amp;"!g29"),-1)))</f>
        <v>1210850</v>
      </c>
      <c r="L27" s="228">
        <f ca="1">IF(INDIRECT($C27&amp;"!h29")="","",IF(YEAR('2026'!$I$1)&lt;$C27,"",ROUND(INDIRECT($C27&amp;"!h29"),-1)))</f>
        <v>1210850</v>
      </c>
      <c r="M27" s="228">
        <f ca="1">IF(INDIRECT($C27&amp;"!i29")="","",IF(YEAR('2026'!$I$1)&lt;$C27,"",ROUND(INDIRECT($C27&amp;"!i29"),-1)))</f>
        <v>1210850</v>
      </c>
      <c r="N27" s="228">
        <f ca="1">IF(INDIRECT($C27&amp;"!j29")="","",IF(YEAR('2026'!$I$1)&lt;$C27,"",ROUND(INDIRECT($C27&amp;"!j29"),-1)))</f>
        <v>1210850</v>
      </c>
      <c r="O27" s="228">
        <f ca="1">IF(INDIRECT($C27&amp;"!k29")="","",IF(YEAR('2026'!$I$1)&lt;$C27,"",ROUND(INDIRECT($C27&amp;"!k29"),-1)))</f>
        <v>1210850</v>
      </c>
      <c r="P27" s="228">
        <f ca="1">IF(INDIRECT($C27&amp;"!l29")="","",IF(YEAR('2026'!$I$1)&lt;$C27,"",ROUND(INDIRECT($C27&amp;"!l29"),-1)))</f>
        <v>1210850</v>
      </c>
      <c r="Q27" s="228">
        <f ca="1">IF(INDIRECT($C27&amp;"!m29")="","",IF(YEAR('2026'!$I$1)&lt;$C27,"",ROUND(INDIRECT($C27&amp;"!m29"),-1)))</f>
        <v>1210850</v>
      </c>
      <c r="R27" s="227">
        <f ca="1">IF(YEAR('2026'!$B$1)&lt;$C27,"",SUM(F27:Q27))</f>
        <v>14331280</v>
      </c>
    </row>
    <row r="28" spans="1:18" ht="9.75" customHeight="1">
      <c r="A28" s="230">
        <v>26</v>
      </c>
      <c r="B28" s="357">
        <f ca="1">'퇴직때까지의 총연봉액'!B28</f>
        <v>28</v>
      </c>
      <c r="C28" s="221">
        <f ca="1">'퇴직때까지의 총연봉액'!D28</f>
        <v>2050</v>
      </c>
      <c r="D28" s="385">
        <f ca="1">월별지출액총괄표!D28</f>
        <v>53</v>
      </c>
      <c r="E28" s="222">
        <f ca="1">'퇴직때까지의 총연봉액'!E28</f>
        <v>38</v>
      </c>
      <c r="F28" s="228">
        <f ca="1">IF(INDIRECT($C28&amp;"!b29")="","",IF(YEAR('2026'!$I$1)&lt;$C28,"",ROUND(INDIRECT($C28&amp;"!b29"),-1)))</f>
        <v>1210850</v>
      </c>
      <c r="G28" s="228">
        <f ca="1">IF(INDIRECT($C28&amp;"!c29")="","",IF(YEAR('2026'!$I$1)&lt;$C28,"",ROUND(INDIRECT($C28&amp;"!c29"),-1)))</f>
        <v>1210850</v>
      </c>
      <c r="H28" s="228">
        <f ca="1">IF(INDIRECT($C28&amp;"!d29")="","",IF(YEAR('2026'!$I$1)&lt;$C28,"",ROUND(INDIRECT($C28&amp;"!d29"),-1)))</f>
        <v>1210850</v>
      </c>
      <c r="I28" s="228">
        <f ca="1">IF(INDIRECT($C28&amp;"!e29")="","",IF(YEAR('2026'!$I$1)&lt;$C28,"",ROUND(INDIRECT($C28&amp;"!e29"),-1)))</f>
        <v>1210850</v>
      </c>
      <c r="J28" s="228">
        <f ca="1">IF(INDIRECT($C28&amp;"!f29")="","",IF(YEAR('2026'!$I$1)&lt;$C28,"",ROUND(INDIRECT($C28&amp;"!f29"),-1)))</f>
        <v>1264820</v>
      </c>
      <c r="K28" s="228">
        <f ca="1">IF(INDIRECT($C28&amp;"!g29")="","",IF(YEAR('2026'!$I$1)&lt;$C28,"",ROUND(INDIRECT($C28&amp;"!g29"),-1)))</f>
        <v>1264820</v>
      </c>
      <c r="L28" s="228">
        <f ca="1">IF(INDIRECT($C28&amp;"!h29")="","",IF(YEAR('2026'!$I$1)&lt;$C28,"",ROUND(INDIRECT($C28&amp;"!h29"),-1)))</f>
        <v>1264820</v>
      </c>
      <c r="M28" s="228">
        <f ca="1">IF(INDIRECT($C28&amp;"!i29")="","",IF(YEAR('2026'!$I$1)&lt;$C28,"",ROUND(INDIRECT($C28&amp;"!i29"),-1)))</f>
        <v>1264820</v>
      </c>
      <c r="N28" s="228">
        <f ca="1">IF(INDIRECT($C28&amp;"!j29")="","",IF(YEAR('2026'!$I$1)&lt;$C28,"",ROUND(INDIRECT($C28&amp;"!j29"),-1)))</f>
        <v>1264820</v>
      </c>
      <c r="O28" s="228">
        <f ca="1">IF(INDIRECT($C28&amp;"!k29")="","",IF(YEAR('2026'!$I$1)&lt;$C28,"",ROUND(INDIRECT($C28&amp;"!k29"),-1)))</f>
        <v>1264820</v>
      </c>
      <c r="P28" s="228">
        <f ca="1">IF(INDIRECT($C28&amp;"!l29")="","",IF(YEAR('2026'!$I$1)&lt;$C28,"",ROUND(INDIRECT($C28&amp;"!l29"),-1)))</f>
        <v>1264820</v>
      </c>
      <c r="Q28" s="228">
        <f ca="1">IF(INDIRECT($C28&amp;"!m29")="","",IF(YEAR('2026'!$I$1)&lt;$C28,"",ROUND(INDIRECT($C28&amp;"!m29"),-1)))</f>
        <v>1264820</v>
      </c>
      <c r="R28" s="227">
        <f ca="1">IF(YEAR('2026'!$B$1)&lt;$C28,"",SUM(F28:Q28))</f>
        <v>14961960</v>
      </c>
    </row>
    <row r="29" spans="1:18" ht="9.75" customHeight="1">
      <c r="A29" s="230">
        <v>27</v>
      </c>
      <c r="B29" s="357">
        <f ca="1">'퇴직때까지의 총연봉액'!B29</f>
        <v>29</v>
      </c>
      <c r="C29" s="221">
        <f ca="1">'퇴직때까지의 총연봉액'!D29</f>
        <v>2051</v>
      </c>
      <c r="D29" s="385">
        <f ca="1">월별지출액총괄표!D29</f>
        <v>54</v>
      </c>
      <c r="E29" s="222">
        <f ca="1">'퇴직때까지의 총연봉액'!E29</f>
        <v>39</v>
      </c>
      <c r="F29" s="228">
        <f ca="1">IF(INDIRECT($C29&amp;"!b29")="","",IF(YEAR('2026'!$I$1)&lt;$C29,"",ROUND(INDIRECT($C29&amp;"!b29"),-1)))</f>
        <v>1264820</v>
      </c>
      <c r="G29" s="228">
        <f ca="1">IF(INDIRECT($C29&amp;"!c29")="","",IF(YEAR('2026'!$I$1)&lt;$C29,"",ROUND(INDIRECT($C29&amp;"!c29"),-1)))</f>
        <v>1264820</v>
      </c>
      <c r="H29" s="228">
        <f ca="1">IF(INDIRECT($C29&amp;"!d29")="","",IF(YEAR('2026'!$I$1)&lt;$C29,"",ROUND(INDIRECT($C29&amp;"!d29"),-1)))</f>
        <v>1264820</v>
      </c>
      <c r="I29" s="228">
        <f ca="1">IF(INDIRECT($C29&amp;"!e29")="","",IF(YEAR('2026'!$I$1)&lt;$C29,"",ROUND(INDIRECT($C29&amp;"!e29"),-1)))</f>
        <v>1264820</v>
      </c>
      <c r="J29" s="228">
        <f ca="1">IF(INDIRECT($C29&amp;"!f29")="","",IF(YEAR('2026'!$I$1)&lt;$C29,"",ROUND(INDIRECT($C29&amp;"!f29"),-1)))</f>
        <v>1319180</v>
      </c>
      <c r="K29" s="228">
        <f ca="1">IF(INDIRECT($C29&amp;"!g29")="","",IF(YEAR('2026'!$I$1)&lt;$C29,"",ROUND(INDIRECT($C29&amp;"!g29"),-1)))</f>
        <v>1319180</v>
      </c>
      <c r="L29" s="228">
        <f ca="1">IF(INDIRECT($C29&amp;"!h29")="","",IF(YEAR('2026'!$I$1)&lt;$C29,"",ROUND(INDIRECT($C29&amp;"!h29"),-1)))</f>
        <v>1319180</v>
      </c>
      <c r="M29" s="228">
        <f ca="1">IF(INDIRECT($C29&amp;"!i29")="","",IF(YEAR('2026'!$I$1)&lt;$C29,"",ROUND(INDIRECT($C29&amp;"!i29"),-1)))</f>
        <v>1319180</v>
      </c>
      <c r="N29" s="228">
        <f ca="1">IF(INDIRECT($C29&amp;"!j29")="","",IF(YEAR('2026'!$I$1)&lt;$C29,"",ROUND(INDIRECT($C29&amp;"!j29"),-1)))</f>
        <v>1319180</v>
      </c>
      <c r="O29" s="228">
        <f ca="1">IF(INDIRECT($C29&amp;"!k29")="","",IF(YEAR('2026'!$I$1)&lt;$C29,"",ROUND(INDIRECT($C29&amp;"!k29"),-1)))</f>
        <v>1319180</v>
      </c>
      <c r="P29" s="228">
        <f ca="1">IF(INDIRECT($C29&amp;"!l29")="","",IF(YEAR('2026'!$I$1)&lt;$C29,"",ROUND(INDIRECT($C29&amp;"!l29"),-1)))</f>
        <v>1319180</v>
      </c>
      <c r="Q29" s="228">
        <f ca="1">IF(INDIRECT($C29&amp;"!m29")="","",IF(YEAR('2026'!$I$1)&lt;$C29,"",ROUND(INDIRECT($C29&amp;"!m29"),-1)))</f>
        <v>1319180</v>
      </c>
      <c r="R29" s="227">
        <f ca="1">IF(YEAR('2026'!$B$1)&lt;$C29,"",SUM(F29:Q29))</f>
        <v>15612720</v>
      </c>
    </row>
    <row r="30" spans="1:18" ht="9.75" customHeight="1">
      <c r="A30" s="230">
        <v>28</v>
      </c>
      <c r="B30" s="357">
        <f ca="1">'퇴직때까지의 총연봉액'!B30</f>
        <v>30</v>
      </c>
      <c r="C30" s="221">
        <f ca="1">'퇴직때까지의 총연봉액'!D30</f>
        <v>2052</v>
      </c>
      <c r="D30" s="385">
        <f ca="1">월별지출액총괄표!D30</f>
        <v>55</v>
      </c>
      <c r="E30" s="222">
        <f ca="1">'퇴직때까지의 총연봉액'!E30</f>
        <v>40</v>
      </c>
      <c r="F30" s="228">
        <f ca="1">IF(INDIRECT($C30&amp;"!b29")="","",IF(YEAR('2026'!$I$1)&lt;$C30,"",ROUND(INDIRECT($C30&amp;"!b29"),-1)))</f>
        <v>1319180</v>
      </c>
      <c r="G30" s="228">
        <f ca="1">IF(INDIRECT($C30&amp;"!c29")="","",IF(YEAR('2026'!$I$1)&lt;$C30,"",ROUND(INDIRECT($C30&amp;"!c29"),-1)))</f>
        <v>1319180</v>
      </c>
      <c r="H30" s="228">
        <f ca="1">IF(INDIRECT($C30&amp;"!d29")="","",IF(YEAR('2026'!$I$1)&lt;$C30,"",ROUND(INDIRECT($C30&amp;"!d29"),-1)))</f>
        <v>1319180</v>
      </c>
      <c r="I30" s="228">
        <f ca="1">IF(INDIRECT($C30&amp;"!e29")="","",IF(YEAR('2026'!$I$1)&lt;$C30,"",ROUND(INDIRECT($C30&amp;"!e29"),-1)))</f>
        <v>1319180</v>
      </c>
      <c r="J30" s="228">
        <f ca="1">IF(INDIRECT($C30&amp;"!f29")="","",IF(YEAR('2026'!$I$1)&lt;$C30,"",ROUND(INDIRECT($C30&amp;"!f29"),-1)))</f>
        <v>1374200</v>
      </c>
      <c r="K30" s="228">
        <f ca="1">IF(INDIRECT($C30&amp;"!g29")="","",IF(YEAR('2026'!$I$1)&lt;$C30,"",ROUND(INDIRECT($C30&amp;"!g29"),-1)))</f>
        <v>1374200</v>
      </c>
      <c r="L30" s="228">
        <f ca="1">IF(INDIRECT($C30&amp;"!h29")="","",IF(YEAR('2026'!$I$1)&lt;$C30,"",ROUND(INDIRECT($C30&amp;"!h29"),-1)))</f>
        <v>1374200</v>
      </c>
      <c r="M30" s="228">
        <f ca="1">IF(INDIRECT($C30&amp;"!i29")="","",IF(YEAR('2026'!$I$1)&lt;$C30,"",ROUND(INDIRECT($C30&amp;"!i29"),-1)))</f>
        <v>1374200</v>
      </c>
      <c r="N30" s="228">
        <f ca="1">IF(INDIRECT($C30&amp;"!j29")="","",IF(YEAR('2026'!$I$1)&lt;$C30,"",ROUND(INDIRECT($C30&amp;"!j29"),-1)))</f>
        <v>1374200</v>
      </c>
      <c r="O30" s="228">
        <f ca="1">IF(INDIRECT($C30&amp;"!k29")="","",IF(YEAR('2026'!$I$1)&lt;$C30,"",ROUND(INDIRECT($C30&amp;"!k29"),-1)))</f>
        <v>1374200</v>
      </c>
      <c r="P30" s="228">
        <f ca="1">IF(INDIRECT($C30&amp;"!l29")="","",IF(YEAR('2026'!$I$1)&lt;$C30,"",ROUND(INDIRECT($C30&amp;"!l29"),-1)))</f>
        <v>1374200</v>
      </c>
      <c r="Q30" s="228">
        <f ca="1">IF(INDIRECT($C30&amp;"!m29")="","",IF(YEAR('2026'!$I$1)&lt;$C30,"",ROUND(INDIRECT($C30&amp;"!m29"),-1)))</f>
        <v>1374200</v>
      </c>
      <c r="R30" s="227">
        <f ca="1">IF(YEAR('2026'!$B$1)&lt;$C30,"",SUM(F30:Q30))</f>
        <v>16270320</v>
      </c>
    </row>
    <row r="31" spans="1:18" ht="9.75" customHeight="1">
      <c r="A31" s="230">
        <v>29</v>
      </c>
      <c r="B31" s="357">
        <f ca="1">'퇴직때까지의 총연봉액'!B31</f>
        <v>31</v>
      </c>
      <c r="C31" s="221">
        <f ca="1">'퇴직때까지의 총연봉액'!D31</f>
        <v>2053</v>
      </c>
      <c r="D31" s="385">
        <f ca="1">월별지출액총괄표!D31</f>
        <v>56</v>
      </c>
      <c r="E31" s="222">
        <f ca="1">'퇴직때까지의 총연봉액'!E31</f>
        <v>41</v>
      </c>
      <c r="F31" s="228">
        <f ca="1">IF(INDIRECT($C31&amp;"!b29")="","",IF(YEAR('2026'!$I$1)&lt;$C31,"",ROUND(INDIRECT($C31&amp;"!b29"),-1)))</f>
        <v>1374200</v>
      </c>
      <c r="G31" s="228">
        <f ca="1">IF(INDIRECT($C31&amp;"!c29")="","",IF(YEAR('2026'!$I$1)&lt;$C31,"",ROUND(INDIRECT($C31&amp;"!c29"),-1)))</f>
        <v>1374200</v>
      </c>
      <c r="H31" s="228">
        <f ca="1">IF(INDIRECT($C31&amp;"!d29")="","",IF(YEAR('2026'!$I$1)&lt;$C31,"",ROUND(INDIRECT($C31&amp;"!d29"),-1)))</f>
        <v>1374200</v>
      </c>
      <c r="I31" s="228">
        <f ca="1">IF(INDIRECT($C31&amp;"!e29")="","",IF(YEAR('2026'!$I$1)&lt;$C31,"",ROUND(INDIRECT($C31&amp;"!e29"),-1)))</f>
        <v>1374200</v>
      </c>
      <c r="J31" s="228">
        <f ca="1">IF(INDIRECT($C31&amp;"!f29")="","",IF(YEAR('2026'!$I$1)&lt;$C31,"",ROUND(INDIRECT($C31&amp;"!f29"),-1)))</f>
        <v>1428930</v>
      </c>
      <c r="K31" s="228">
        <f ca="1">IF(INDIRECT($C31&amp;"!g29")="","",IF(YEAR('2026'!$I$1)&lt;$C31,"",ROUND(INDIRECT($C31&amp;"!g29"),-1)))</f>
        <v>1428930</v>
      </c>
      <c r="L31" s="228">
        <f ca="1">IF(INDIRECT($C31&amp;"!h29")="","",IF(YEAR('2026'!$I$1)&lt;$C31,"",ROUND(INDIRECT($C31&amp;"!h29"),-1)))</f>
        <v>1428930</v>
      </c>
      <c r="M31" s="228">
        <f ca="1">IF(INDIRECT($C31&amp;"!i29")="","",IF(YEAR('2026'!$I$1)&lt;$C31,"",ROUND(INDIRECT($C31&amp;"!i29"),-1)))</f>
        <v>1428930</v>
      </c>
      <c r="N31" s="228">
        <f ca="1">IF(INDIRECT($C31&amp;"!j29")="","",IF(YEAR('2026'!$I$1)&lt;$C31,"",ROUND(INDIRECT($C31&amp;"!j29"),-1)))</f>
        <v>1428930</v>
      </c>
      <c r="O31" s="228">
        <f ca="1">IF(INDIRECT($C31&amp;"!k29")="","",IF(YEAR('2026'!$I$1)&lt;$C31,"",ROUND(INDIRECT($C31&amp;"!k29"),-1)))</f>
        <v>1428930</v>
      </c>
      <c r="P31" s="228">
        <f ca="1">IF(INDIRECT($C31&amp;"!l29")="","",IF(YEAR('2026'!$I$1)&lt;$C31,"",ROUND(INDIRECT($C31&amp;"!l29"),-1)))</f>
        <v>1428930</v>
      </c>
      <c r="Q31" s="228">
        <f ca="1">IF(INDIRECT($C31&amp;"!m29")="","",IF(YEAR('2026'!$I$1)&lt;$C31,"",ROUND(INDIRECT($C31&amp;"!m29"),-1)))</f>
        <v>1428930</v>
      </c>
      <c r="R31" s="227">
        <f ca="1">IF(YEAR('2026'!$B$1)&lt;$C31,"",SUM(F31:Q31))</f>
        <v>16928240</v>
      </c>
    </row>
    <row r="32" spans="1:18" ht="9.75" customHeight="1">
      <c r="A32" s="230">
        <v>30</v>
      </c>
      <c r="B32" s="357">
        <f ca="1">'퇴직때까지의 총연봉액'!B32</f>
        <v>32</v>
      </c>
      <c r="C32" s="221">
        <f ca="1">'퇴직때까지의 총연봉액'!D32</f>
        <v>2054</v>
      </c>
      <c r="D32" s="385">
        <f ca="1">월별지출액총괄표!D32</f>
        <v>57</v>
      </c>
      <c r="E32" s="222">
        <f ca="1">'퇴직때까지의 총연봉액'!E32</f>
        <v>42</v>
      </c>
      <c r="F32" s="228">
        <f ca="1">IF(INDIRECT($C32&amp;"!b29")="","",IF(YEAR('2026'!$I$1)&lt;$C32,"",ROUND(INDIRECT($C32&amp;"!b29"),-1)))</f>
        <v>1428930</v>
      </c>
      <c r="G32" s="228">
        <f ca="1">IF(INDIRECT($C32&amp;"!c29")="","",IF(YEAR('2026'!$I$1)&lt;$C32,"",ROUND(INDIRECT($C32&amp;"!c29"),-1)))</f>
        <v>1428930</v>
      </c>
      <c r="H32" s="228">
        <f ca="1">IF(INDIRECT($C32&amp;"!d29")="","",IF(YEAR('2026'!$I$1)&lt;$C32,"",ROUND(INDIRECT($C32&amp;"!d29"),-1)))</f>
        <v>1428930</v>
      </c>
      <c r="I32" s="228">
        <f ca="1">IF(INDIRECT($C32&amp;"!e29")="","",IF(YEAR('2026'!$I$1)&lt;$C32,"",ROUND(INDIRECT($C32&amp;"!e29"),-1)))</f>
        <v>1428930</v>
      </c>
      <c r="J32" s="228">
        <f ca="1">IF(INDIRECT($C32&amp;"!f29")="","",IF(YEAR('2026'!$I$1)&lt;$C32,"",ROUND(INDIRECT($C32&amp;"!f29"),-1)))</f>
        <v>1482180</v>
      </c>
      <c r="K32" s="228">
        <f ca="1">IF(INDIRECT($C32&amp;"!g29")="","",IF(YEAR('2026'!$I$1)&lt;$C32,"",ROUND(INDIRECT($C32&amp;"!g29"),-1)))</f>
        <v>1482180</v>
      </c>
      <c r="L32" s="228">
        <f ca="1">IF(INDIRECT($C32&amp;"!h29")="","",IF(YEAR('2026'!$I$1)&lt;$C32,"",ROUND(INDIRECT($C32&amp;"!h29"),-1)))</f>
        <v>1482180</v>
      </c>
      <c r="M32" s="228">
        <f ca="1">IF(INDIRECT($C32&amp;"!i29")="","",IF(YEAR('2026'!$I$1)&lt;$C32,"",ROUND(INDIRECT($C32&amp;"!i29"),-1)))</f>
        <v>1482180</v>
      </c>
      <c r="N32" s="228">
        <f ca="1">IF(INDIRECT($C32&amp;"!j29")="","",IF(YEAR('2026'!$I$1)&lt;$C32,"",ROUND(INDIRECT($C32&amp;"!j29"),-1)))</f>
        <v>1482180</v>
      </c>
      <c r="O32" s="228">
        <f ca="1">IF(INDIRECT($C32&amp;"!k29")="","",IF(YEAR('2026'!$I$1)&lt;$C32,"",ROUND(INDIRECT($C32&amp;"!k29"),-1)))</f>
        <v>1482180</v>
      </c>
      <c r="P32" s="228">
        <f ca="1">IF(INDIRECT($C32&amp;"!l29")="","",IF(YEAR('2026'!$I$1)&lt;$C32,"",ROUND(INDIRECT($C32&amp;"!l29"),-1)))</f>
        <v>1482180</v>
      </c>
      <c r="Q32" s="228">
        <f ca="1">IF(INDIRECT($C32&amp;"!m29")="","",IF(YEAR('2026'!$I$1)&lt;$C32,"",ROUND(INDIRECT($C32&amp;"!m29"),-1)))</f>
        <v>1482180</v>
      </c>
      <c r="R32" s="227">
        <f ca="1">IF(YEAR('2026'!$B$1)&lt;$C32,"",SUM(F32:Q32))</f>
        <v>17573160</v>
      </c>
    </row>
    <row r="33" spans="1:18" ht="9.75" customHeight="1">
      <c r="A33" s="230">
        <v>31</v>
      </c>
      <c r="B33" s="357">
        <f ca="1">'퇴직때까지의 총연봉액'!B33</f>
        <v>33</v>
      </c>
      <c r="C33" s="221">
        <f ca="1">'퇴직때까지의 총연봉액'!D33</f>
        <v>2055</v>
      </c>
      <c r="D33" s="385">
        <f ca="1">월별지출액총괄표!D33</f>
        <v>58</v>
      </c>
      <c r="E33" s="222">
        <f ca="1">'퇴직때까지의 총연봉액'!E33</f>
        <v>43</v>
      </c>
      <c r="F33" s="228">
        <f ca="1">IF(INDIRECT($C33&amp;"!b29")="","",IF(YEAR('2026'!$I$1)&lt;$C33,"",ROUND(INDIRECT($C33&amp;"!b29"),-1)))</f>
        <v>1482180</v>
      </c>
      <c r="G33" s="228">
        <f ca="1">IF(INDIRECT($C33&amp;"!c29")="","",IF(YEAR('2026'!$I$1)&lt;$C33,"",ROUND(INDIRECT($C33&amp;"!c29"),-1)))</f>
        <v>1482180</v>
      </c>
      <c r="H33" s="228">
        <f ca="1">IF(INDIRECT($C33&amp;"!d29")="","",IF(YEAR('2026'!$I$1)&lt;$C33,"",ROUND(INDIRECT($C33&amp;"!d29"),-1)))</f>
        <v>1482180</v>
      </c>
      <c r="I33" s="228">
        <f ca="1">IF(INDIRECT($C33&amp;"!e29")="","",IF(YEAR('2026'!$I$1)&lt;$C33,"",ROUND(INDIRECT($C33&amp;"!e29"),-1)))</f>
        <v>1482180</v>
      </c>
      <c r="J33" s="228">
        <f ca="1">IF(INDIRECT($C33&amp;"!f29")="","",IF(YEAR('2026'!$I$1)&lt;$C33,"",ROUND(INDIRECT($C33&amp;"!f29"),-1)))</f>
        <v>1539100</v>
      </c>
      <c r="K33" s="228">
        <f ca="1">IF(INDIRECT($C33&amp;"!g29")="","",IF(YEAR('2026'!$I$1)&lt;$C33,"",ROUND(INDIRECT($C33&amp;"!g29"),-1)))</f>
        <v>1539100</v>
      </c>
      <c r="L33" s="228">
        <f ca="1">IF(INDIRECT($C33&amp;"!h29")="","",IF(YEAR('2026'!$I$1)&lt;$C33,"",ROUND(INDIRECT($C33&amp;"!h29"),-1)))</f>
        <v>1539100</v>
      </c>
      <c r="M33" s="228">
        <f ca="1">IF(INDIRECT($C33&amp;"!i29")="","",IF(YEAR('2026'!$I$1)&lt;$C33,"",ROUND(INDIRECT($C33&amp;"!i29"),-1)))</f>
        <v>1539100</v>
      </c>
      <c r="N33" s="228">
        <f ca="1">IF(INDIRECT($C33&amp;"!j29")="","",IF(YEAR('2026'!$I$1)&lt;$C33,"",ROUND(INDIRECT($C33&amp;"!j29"),-1)))</f>
        <v>1539100</v>
      </c>
      <c r="O33" s="228">
        <f ca="1">IF(INDIRECT($C33&amp;"!k29")="","",IF(YEAR('2026'!$I$1)&lt;$C33,"",ROUND(INDIRECT($C33&amp;"!k29"),-1)))</f>
        <v>1539100</v>
      </c>
      <c r="P33" s="228">
        <f ca="1">IF(INDIRECT($C33&amp;"!l29")="","",IF(YEAR('2026'!$I$1)&lt;$C33,"",ROUND(INDIRECT($C33&amp;"!l29"),-1)))</f>
        <v>1539100</v>
      </c>
      <c r="Q33" s="228">
        <f ca="1">IF(INDIRECT($C33&amp;"!m29")="","",IF(YEAR('2026'!$I$1)&lt;$C33,"",ROUND(INDIRECT($C33&amp;"!m29"),-1)))</f>
        <v>1539100</v>
      </c>
      <c r="R33" s="227">
        <f ca="1">IF(YEAR('2026'!$B$1)&lt;$C33,"",SUM(F33:Q33))</f>
        <v>18241520</v>
      </c>
    </row>
    <row r="34" spans="1:18" ht="9.75" customHeight="1">
      <c r="A34" s="230">
        <v>32</v>
      </c>
      <c r="B34" s="357">
        <f ca="1">'퇴직때까지의 총연봉액'!B34</f>
        <v>34</v>
      </c>
      <c r="C34" s="221">
        <f ca="1">'퇴직때까지의 총연봉액'!D34</f>
        <v>2056</v>
      </c>
      <c r="D34" s="385">
        <f ca="1">월별지출액총괄표!D34</f>
        <v>59</v>
      </c>
      <c r="E34" s="222">
        <f ca="1">'퇴직때까지의 총연봉액'!E34</f>
        <v>44</v>
      </c>
      <c r="F34" s="228">
        <f ca="1">IF(INDIRECT($C34&amp;"!b29")="","",IF(YEAR('2026'!$I$1)&lt;$C34,"",ROUND(INDIRECT($C34&amp;"!b29"),-1)))</f>
        <v>1539100</v>
      </c>
      <c r="G34" s="228">
        <f ca="1">IF(INDIRECT($C34&amp;"!c29")="","",IF(YEAR('2026'!$I$1)&lt;$C34,"",ROUND(INDIRECT($C34&amp;"!c29"),-1)))</f>
        <v>1539100</v>
      </c>
      <c r="H34" s="228">
        <f ca="1">IF(INDIRECT($C34&amp;"!d29")="","",IF(YEAR('2026'!$I$1)&lt;$C34,"",ROUND(INDIRECT($C34&amp;"!d29"),-1)))</f>
        <v>1539100</v>
      </c>
      <c r="I34" s="228">
        <f ca="1">IF(INDIRECT($C34&amp;"!e29")="","",IF(YEAR('2026'!$I$1)&lt;$C34,"",ROUND(INDIRECT($C34&amp;"!e29"),-1)))</f>
        <v>1539100</v>
      </c>
      <c r="J34" s="228">
        <f ca="1">IF(INDIRECT($C34&amp;"!f29")="","",IF(YEAR('2026'!$I$1)&lt;$C34,"",ROUND(INDIRECT($C34&amp;"!f29"),-1)))</f>
        <v>1592350</v>
      </c>
      <c r="K34" s="228">
        <f ca="1">IF(INDIRECT($C34&amp;"!g29")="","",IF(YEAR('2026'!$I$1)&lt;$C34,"",ROUND(INDIRECT($C34&amp;"!g29"),-1)))</f>
        <v>1592350</v>
      </c>
      <c r="L34" s="228">
        <f ca="1">IF(INDIRECT($C34&amp;"!h29")="","",IF(YEAR('2026'!$I$1)&lt;$C34,"",ROUND(INDIRECT($C34&amp;"!h29"),-1)))</f>
        <v>1592350</v>
      </c>
      <c r="M34" s="228">
        <f ca="1">IF(INDIRECT($C34&amp;"!i29")="","",IF(YEAR('2026'!$I$1)&lt;$C34,"",ROUND(INDIRECT($C34&amp;"!i29"),-1)))</f>
        <v>1592350</v>
      </c>
      <c r="N34" s="228">
        <f ca="1">IF(INDIRECT($C34&amp;"!j29")="","",IF(YEAR('2026'!$I$1)&lt;$C34,"",ROUND(INDIRECT($C34&amp;"!j29"),-1)))</f>
        <v>1592350</v>
      </c>
      <c r="O34" s="228">
        <f ca="1">IF(INDIRECT($C34&amp;"!k29")="","",IF(YEAR('2026'!$I$1)&lt;$C34,"",ROUND(INDIRECT($C34&amp;"!k29"),-1)))</f>
        <v>1592350</v>
      </c>
      <c r="P34" s="228">
        <f ca="1">IF(INDIRECT($C34&amp;"!l29")="","",IF(YEAR('2026'!$I$1)&lt;$C34,"",ROUND(INDIRECT($C34&amp;"!l29"),-1)))</f>
        <v>1592350</v>
      </c>
      <c r="Q34" s="228">
        <f ca="1">IF(INDIRECT($C34&amp;"!m29")="","",IF(YEAR('2026'!$I$1)&lt;$C34,"",ROUND(INDIRECT($C34&amp;"!m29"),-1)))</f>
        <v>1592350</v>
      </c>
      <c r="R34" s="227">
        <f ca="1">IF(YEAR('2026'!$B$1)&lt;$C34,"",SUM(F34:Q34))</f>
        <v>18895200</v>
      </c>
    </row>
    <row r="35" spans="1:18" ht="9.75" customHeight="1">
      <c r="A35" s="230">
        <v>33</v>
      </c>
      <c r="B35" s="357">
        <f ca="1">'퇴직때까지의 총연봉액'!B35</f>
        <v>35</v>
      </c>
      <c r="C35" s="221">
        <f ca="1">'퇴직때까지의 총연봉액'!D35</f>
        <v>2057</v>
      </c>
      <c r="D35" s="385">
        <f ca="1">월별지출액총괄표!D35</f>
        <v>60</v>
      </c>
      <c r="E35" s="222">
        <f ca="1">'퇴직때까지의 총연봉액'!E35</f>
        <v>45</v>
      </c>
      <c r="F35" s="228">
        <f ca="1">IF(INDIRECT($C35&amp;"!b29")="","",IF(YEAR('2026'!$I$1)&lt;$C35,"",ROUND(INDIRECT($C35&amp;"!b29"),-1)))</f>
        <v>1592350</v>
      </c>
      <c r="G35" s="228">
        <f ca="1">IF(INDIRECT($C35&amp;"!c29")="","",IF(YEAR('2026'!$I$1)&lt;$C35,"",ROUND(INDIRECT($C35&amp;"!c29"),-1)))</f>
        <v>1592350</v>
      </c>
      <c r="H35" s="228">
        <f ca="1">IF(INDIRECT($C35&amp;"!d29")="","",IF(YEAR('2026'!$I$1)&lt;$C35,"",ROUND(INDIRECT($C35&amp;"!d29"),-1)))</f>
        <v>1592350</v>
      </c>
      <c r="I35" s="228">
        <f ca="1">IF(INDIRECT($C35&amp;"!e29")="","",IF(YEAR('2026'!$I$1)&lt;$C35,"",ROUND(INDIRECT($C35&amp;"!e29"),-1)))</f>
        <v>1592350</v>
      </c>
      <c r="J35" s="228">
        <f ca="1">IF(INDIRECT($C35&amp;"!f29")="","",IF(YEAR('2026'!$I$1)&lt;$C35,"",ROUND(INDIRECT($C35&amp;"!f29"),-1)))</f>
        <v>1648030</v>
      </c>
      <c r="K35" s="228">
        <f ca="1">IF(INDIRECT($C35&amp;"!g29")="","",IF(YEAR('2026'!$I$1)&lt;$C35,"",ROUND(INDIRECT($C35&amp;"!g29"),-1)))</f>
        <v>1648030</v>
      </c>
      <c r="L35" s="228">
        <f ca="1">IF(INDIRECT($C35&amp;"!h29")="","",IF(YEAR('2026'!$I$1)&lt;$C35,"",ROUND(INDIRECT($C35&amp;"!h29"),-1)))</f>
        <v>1648030</v>
      </c>
      <c r="M35" s="228">
        <f ca="1">IF(INDIRECT($C35&amp;"!i29")="","",IF(YEAR('2026'!$I$1)&lt;$C35,"",ROUND(INDIRECT($C35&amp;"!i29"),-1)))</f>
        <v>1648030</v>
      </c>
      <c r="N35" s="228">
        <f ca="1">IF(INDIRECT($C35&amp;"!j29")="","",IF(YEAR('2026'!$I$1)&lt;$C35,"",ROUND(INDIRECT($C35&amp;"!j29"),-1)))</f>
        <v>1648030</v>
      </c>
      <c r="O35" s="228">
        <f ca="1">IF(INDIRECT($C35&amp;"!k29")="","",IF(YEAR('2026'!$I$1)&lt;$C35,"",ROUND(INDIRECT($C35&amp;"!k29"),-1)))</f>
        <v>1648030</v>
      </c>
      <c r="P35" s="228">
        <f ca="1">IF(INDIRECT($C35&amp;"!l29")="","",IF(YEAR('2026'!$I$1)&lt;$C35,"",ROUND(INDIRECT($C35&amp;"!l29"),-1)))</f>
        <v>1648030</v>
      </c>
      <c r="Q35" s="228">
        <f ca="1">IF(INDIRECT($C35&amp;"!m29")="","",IF(YEAR('2026'!$I$1)&lt;$C35,"",ROUND(INDIRECT($C35&amp;"!m29"),-1)))</f>
        <v>1648030</v>
      </c>
      <c r="R35" s="227">
        <f ca="1">IF(YEAR('2026'!$B$1)&lt;$C35,"",SUM(F35:Q35))</f>
        <v>19553640</v>
      </c>
    </row>
    <row r="36" spans="1:18" ht="9.75" customHeight="1">
      <c r="A36" s="230">
        <v>34</v>
      </c>
      <c r="B36" s="357">
        <f ca="1">'퇴직때까지의 총연봉액'!B36</f>
        <v>36</v>
      </c>
      <c r="C36" s="221">
        <f ca="1">'퇴직때까지의 총연봉액'!D36</f>
        <v>2058</v>
      </c>
      <c r="D36" s="385">
        <f ca="1">월별지출액총괄표!D36</f>
        <v>61</v>
      </c>
      <c r="E36" s="222">
        <f ca="1">'퇴직때까지의 총연봉액'!E36</f>
        <v>46</v>
      </c>
      <c r="F36" s="228">
        <f ca="1">IF(INDIRECT($C36&amp;"!b29")="","",IF(YEAR('2026'!$I$1)&lt;$C36,"",ROUND(INDIRECT($C36&amp;"!b29"),-1)))</f>
        <v>1648030</v>
      </c>
      <c r="G36" s="228">
        <f ca="1">IF(INDIRECT($C36&amp;"!c29")="","",IF(YEAR('2026'!$I$1)&lt;$C36,"",ROUND(INDIRECT($C36&amp;"!c29"),-1)))</f>
        <v>1648030</v>
      </c>
      <c r="H36" s="228">
        <f ca="1">IF(INDIRECT($C36&amp;"!d29")="","",IF(YEAR('2026'!$I$1)&lt;$C36,"",ROUND(INDIRECT($C36&amp;"!d29"),-1)))</f>
        <v>1648030</v>
      </c>
      <c r="I36" s="228">
        <f ca="1">IF(INDIRECT($C36&amp;"!e29")="","",IF(YEAR('2026'!$I$1)&lt;$C36,"",ROUND(INDIRECT($C36&amp;"!e29"),-1)))</f>
        <v>1648030</v>
      </c>
      <c r="J36" s="228">
        <f ca="1">IF(INDIRECT($C36&amp;"!f29")="","",IF(YEAR('2026'!$I$1)&lt;$C36,"",ROUND(INDIRECT($C36&amp;"!f29"),-1)))</f>
        <v>1707290</v>
      </c>
      <c r="K36" s="228">
        <f ca="1">IF(INDIRECT($C36&amp;"!g29")="","",IF(YEAR('2026'!$I$1)&lt;$C36,"",ROUND(INDIRECT($C36&amp;"!g29"),-1)))</f>
        <v>1707290</v>
      </c>
      <c r="L36" s="228">
        <f ca="1">IF(INDIRECT($C36&amp;"!h29")="","",IF(YEAR('2026'!$I$1)&lt;$C36,"",ROUND(INDIRECT($C36&amp;"!h29"),-1)))</f>
        <v>1707290</v>
      </c>
      <c r="M36" s="228">
        <f ca="1">IF(INDIRECT($C36&amp;"!i29")="","",IF(YEAR('2026'!$I$1)&lt;$C36,"",ROUND(INDIRECT($C36&amp;"!i29"),-1)))</f>
        <v>1707290</v>
      </c>
      <c r="N36" s="228">
        <f ca="1">IF(INDIRECT($C36&amp;"!j29")="","",IF(YEAR('2026'!$I$1)&lt;$C36,"",ROUND(INDIRECT($C36&amp;"!j29"),-1)))</f>
        <v>1707290</v>
      </c>
      <c r="O36" s="228">
        <f ca="1">IF(INDIRECT($C36&amp;"!k29")="","",IF(YEAR('2026'!$I$1)&lt;$C36,"",ROUND(INDIRECT($C36&amp;"!k29"),-1)))</f>
        <v>1707290</v>
      </c>
      <c r="P36" s="228">
        <f ca="1">IF(INDIRECT($C36&amp;"!l29")="","",IF(YEAR('2026'!$I$1)&lt;$C36,"",ROUND(INDIRECT($C36&amp;"!l29"),-1)))</f>
        <v>1707290</v>
      </c>
      <c r="Q36" s="228">
        <f ca="1">IF(INDIRECT($C36&amp;"!m29")="","",IF(YEAR('2026'!$I$1)&lt;$C36,"",ROUND(INDIRECT($C36&amp;"!m29"),-1)))</f>
        <v>1707290</v>
      </c>
      <c r="R36" s="227">
        <f ca="1">IF(YEAR('2026'!$B$1)&lt;$C36,"",SUM(F36:Q36))</f>
        <v>20250440</v>
      </c>
    </row>
    <row r="37" spans="1:18" ht="9.75" customHeight="1">
      <c r="A37" s="230">
        <v>35</v>
      </c>
      <c r="B37" s="357">
        <f ca="1">'퇴직때까지의 총연봉액'!B37</f>
        <v>37</v>
      </c>
      <c r="C37" s="221">
        <f ca="1">'퇴직때까지의 총연봉액'!D37</f>
        <v>2059</v>
      </c>
      <c r="D37" s="385">
        <f ca="1">월별지출액총괄표!D37</f>
        <v>62</v>
      </c>
      <c r="E37" s="222">
        <f ca="1">'퇴직때까지의 총연봉액'!E37</f>
        <v>47</v>
      </c>
      <c r="F37" s="228">
        <f ca="1">IF(INDIRECT($C37&amp;"!b29")="","",IF(YEAR('2026'!$I$1)&lt;$C37,"",ROUND(INDIRECT($C37&amp;"!b29"),-1)))</f>
        <v>1707290</v>
      </c>
      <c r="G37" s="228">
        <f ca="1">IF(INDIRECT($C37&amp;"!c29")="","",IF(YEAR('2026'!$I$1)&lt;$C37,"",ROUND(INDIRECT($C37&amp;"!c29"),-1)))</f>
        <v>1707290</v>
      </c>
      <c r="H37" s="228" t="str">
        <f ca="1">IF(INDIRECT($C37&amp;"!d29")="","",IF(YEAR('2026'!$I$1)&lt;$C37,"",ROUND(INDIRECT($C37&amp;"!d29"),-1)))</f>
        <v/>
      </c>
      <c r="I37" s="228" t="str">
        <f ca="1">IF(INDIRECT($C37&amp;"!e29")="","",IF(YEAR('2026'!$I$1)&lt;$C37,"",ROUND(INDIRECT($C37&amp;"!e29"),-1)))</f>
        <v/>
      </c>
      <c r="J37" s="228" t="str">
        <f ca="1">IF(INDIRECT($C37&amp;"!f29")="","",IF(YEAR('2026'!$I$1)&lt;$C37,"",ROUND(INDIRECT($C37&amp;"!f29"),-1)))</f>
        <v/>
      </c>
      <c r="K37" s="228">
        <f ca="1">IF(INDIRECT($C37&amp;"!g29")="","",IF(YEAR('2026'!$I$1)&lt;$C37,"",ROUND(INDIRECT($C37&amp;"!g29"),-1)))</f>
        <v>0</v>
      </c>
      <c r="L37" s="228">
        <f ca="1">IF(INDIRECT($C37&amp;"!h29")="","",IF(YEAR('2026'!$I$1)&lt;$C37,"",ROUND(INDIRECT($C37&amp;"!h29"),-1)))</f>
        <v>0</v>
      </c>
      <c r="M37" s="228">
        <f ca="1">IF(INDIRECT($C37&amp;"!i29")="","",IF(YEAR('2026'!$I$1)&lt;$C37,"",ROUND(INDIRECT($C37&amp;"!i29"),-1)))</f>
        <v>0</v>
      </c>
      <c r="N37" s="228">
        <f ca="1">IF(INDIRECT($C37&amp;"!j29")="","",IF(YEAR('2026'!$I$1)&lt;$C37,"",ROUND(INDIRECT($C37&amp;"!j29"),-1)))</f>
        <v>0</v>
      </c>
      <c r="O37" s="228">
        <f ca="1">IF(INDIRECT($C37&amp;"!k29")="","",IF(YEAR('2026'!$I$1)&lt;$C37,"",ROUND(INDIRECT($C37&amp;"!k29"),-1)))</f>
        <v>0</v>
      </c>
      <c r="P37" s="228">
        <f ca="1">IF(INDIRECT($C37&amp;"!l29")="","",IF(YEAR('2026'!$I$1)&lt;$C37,"",ROUND(INDIRECT($C37&amp;"!l29"),-1)))</f>
        <v>0</v>
      </c>
      <c r="Q37" s="228">
        <f ca="1">IF(INDIRECT($C37&amp;"!m29")="","",IF(YEAR('2026'!$I$1)&lt;$C37,"",ROUND(INDIRECT($C37&amp;"!m29"),-1)))</f>
        <v>0</v>
      </c>
      <c r="R37" s="227">
        <f ca="1">IF(YEAR('2026'!$B$1)&lt;$C37,"",SUM(F37:Q37))</f>
        <v>3414580</v>
      </c>
    </row>
    <row r="38" spans="1:18" ht="9.75" customHeight="1">
      <c r="A38" s="230">
        <v>36</v>
      </c>
      <c r="B38" s="357" t="str">
        <f ca="1">'퇴직때까지의 총연봉액'!B38</f>
        <v/>
      </c>
      <c r="C38" s="221">
        <f ca="1">'퇴직때까지의 총연봉액'!D38</f>
        <v>2060</v>
      </c>
      <c r="D38" s="385" t="str">
        <f ca="1">월별지출액총괄표!D38</f>
        <v/>
      </c>
      <c r="E38" s="222" t="str">
        <f ca="1">'퇴직때까지의 총연봉액'!E38</f>
        <v/>
      </c>
      <c r="F38" s="228" t="str">
        <f ca="1">IF(INDIRECT($C38&amp;"!b29")="","",IF(YEAR('2026'!$I$1)&lt;$C38,"",ROUND(INDIRECT($C38&amp;"!b29"),-1)))</f>
        <v/>
      </c>
      <c r="G38" s="228" t="str">
        <f ca="1">IF(INDIRECT($C38&amp;"!c29")="","",IF(YEAR('2026'!$I$1)&lt;$C38,"",ROUND(INDIRECT($C38&amp;"!c29"),-1)))</f>
        <v/>
      </c>
      <c r="H38" s="228" t="str">
        <f ca="1">IF(INDIRECT($C38&amp;"!d29")="","",IF(YEAR('2026'!$I$1)&lt;$C38,"",ROUND(INDIRECT($C38&amp;"!d29"),-1)))</f>
        <v/>
      </c>
      <c r="I38" s="228" t="str">
        <f ca="1">IF(INDIRECT($C38&amp;"!e29")="","",IF(YEAR('2026'!$I$1)&lt;$C38,"",ROUND(INDIRECT($C38&amp;"!e29"),-1)))</f>
        <v/>
      </c>
      <c r="J38" s="228" t="str">
        <f ca="1">IF(INDIRECT($C38&amp;"!f29")="","",IF(YEAR('2026'!$I$1)&lt;$C38,"",ROUND(INDIRECT($C38&amp;"!f29"),-1)))</f>
        <v/>
      </c>
      <c r="K38" s="228">
        <f ca="1">IF(INDIRECT($C38&amp;"!g29")="","",IF(YEAR('2026'!$I$1)&lt;$C38,"",ROUND(INDIRECT($C38&amp;"!g29"),-1)))</f>
        <v>0</v>
      </c>
      <c r="L38" s="228">
        <f ca="1">IF(INDIRECT($C38&amp;"!h29")="","",IF(YEAR('2026'!$I$1)&lt;$C38,"",ROUND(INDIRECT($C38&amp;"!h29"),-1)))</f>
        <v>0</v>
      </c>
      <c r="M38" s="228">
        <f ca="1">IF(INDIRECT($C38&amp;"!i29")="","",IF(YEAR('2026'!$I$1)&lt;$C38,"",ROUND(INDIRECT($C38&amp;"!i29"),-1)))</f>
        <v>0</v>
      </c>
      <c r="N38" s="228">
        <f ca="1">IF(INDIRECT($C38&amp;"!j29")="","",IF(YEAR('2026'!$I$1)&lt;$C38,"",ROUND(INDIRECT($C38&amp;"!j29"),-1)))</f>
        <v>0</v>
      </c>
      <c r="O38" s="228">
        <f ca="1">IF(INDIRECT($C38&amp;"!k29")="","",IF(YEAR('2026'!$I$1)&lt;$C38,"",ROUND(INDIRECT($C38&amp;"!k29"),-1)))</f>
        <v>0</v>
      </c>
      <c r="P38" s="228">
        <f ca="1">IF(INDIRECT($C38&amp;"!l29")="","",IF(YEAR('2026'!$I$1)&lt;$C38,"",ROUND(INDIRECT($C38&amp;"!l29"),-1)))</f>
        <v>0</v>
      </c>
      <c r="Q38" s="228">
        <f ca="1">IF(INDIRECT($C38&amp;"!m29")="","",IF(YEAR('2026'!$I$1)&lt;$C38,"",ROUND(INDIRECT($C38&amp;"!m29"),-1)))</f>
        <v>0</v>
      </c>
      <c r="R38" s="227" t="str">
        <f ca="1">IF(YEAR('2026'!$B$1)&lt;$C38,"",SUM(F38:Q38))</f>
        <v/>
      </c>
    </row>
    <row r="39" spans="1:18" ht="9.75" customHeight="1">
      <c r="A39" s="230">
        <v>37</v>
      </c>
      <c r="B39" s="357" t="str">
        <f ca="1">'퇴직때까지의 총연봉액'!B39</f>
        <v/>
      </c>
      <c r="C39" s="221">
        <f ca="1">'퇴직때까지의 총연봉액'!D39</f>
        <v>2061</v>
      </c>
      <c r="D39" s="385" t="str">
        <f ca="1">월별지출액총괄표!D39</f>
        <v/>
      </c>
      <c r="E39" s="222" t="str">
        <f ca="1">'퇴직때까지의 총연봉액'!E39</f>
        <v/>
      </c>
      <c r="F39" s="228" t="str">
        <f ca="1">IF(INDIRECT($C39&amp;"!b29")="","",IF(YEAR('2026'!$I$1)&lt;$C39,"",ROUND(INDIRECT($C39&amp;"!b29"),-1)))</f>
        <v/>
      </c>
      <c r="G39" s="228" t="str">
        <f ca="1">IF(INDIRECT($C39&amp;"!c29")="","",IF(YEAR('2026'!$I$1)&lt;$C39,"",ROUND(INDIRECT($C39&amp;"!c29"),-1)))</f>
        <v/>
      </c>
      <c r="H39" s="228" t="str">
        <f ca="1">IF(INDIRECT($C39&amp;"!d29")="","",IF(YEAR('2026'!$I$1)&lt;$C39,"",ROUND(INDIRECT($C39&amp;"!d29"),-1)))</f>
        <v/>
      </c>
      <c r="I39" s="228" t="str">
        <f ca="1">IF(INDIRECT($C39&amp;"!e29")="","",IF(YEAR('2026'!$I$1)&lt;$C39,"",ROUND(INDIRECT($C39&amp;"!e29"),-1)))</f>
        <v/>
      </c>
      <c r="J39" s="228" t="str">
        <f ca="1">IF(INDIRECT($C39&amp;"!f29")="","",IF(YEAR('2026'!$I$1)&lt;$C39,"",ROUND(INDIRECT($C39&amp;"!f29"),-1)))</f>
        <v/>
      </c>
      <c r="K39" s="228" t="str">
        <f ca="1">IF(INDIRECT($C39&amp;"!g29")="","",IF(YEAR('2026'!$I$1)&lt;$C39,"",ROUND(INDIRECT($C39&amp;"!g29"),-1)))</f>
        <v/>
      </c>
      <c r="L39" s="228" t="str">
        <f ca="1">IF(INDIRECT($C39&amp;"!h29")="","",IF(YEAR('2026'!$I$1)&lt;$C39,"",ROUND(INDIRECT($C39&amp;"!h29"),-1)))</f>
        <v/>
      </c>
      <c r="M39" s="228" t="str">
        <f ca="1">IF(INDIRECT($C39&amp;"!i29")="","",IF(YEAR('2026'!$I$1)&lt;$C39,"",ROUND(INDIRECT($C39&amp;"!i29"),-1)))</f>
        <v/>
      </c>
      <c r="N39" s="228" t="str">
        <f ca="1">IF(INDIRECT($C39&amp;"!j29")="","",IF(YEAR('2026'!$I$1)&lt;$C39,"",ROUND(INDIRECT($C39&amp;"!j29"),-1)))</f>
        <v/>
      </c>
      <c r="O39" s="228" t="str">
        <f ca="1">IF(INDIRECT($C39&amp;"!k29")="","",IF(YEAR('2026'!$I$1)&lt;$C39,"",ROUND(INDIRECT($C39&amp;"!k29"),-1)))</f>
        <v/>
      </c>
      <c r="P39" s="228" t="str">
        <f ca="1">IF(INDIRECT($C39&amp;"!l29")="","",IF(YEAR('2026'!$I$1)&lt;$C39,"",ROUND(INDIRECT($C39&amp;"!l29"),-1)))</f>
        <v/>
      </c>
      <c r="Q39" s="228" t="str">
        <f ca="1">IF(INDIRECT($C39&amp;"!m29")="","",IF(YEAR('2026'!$I$1)&lt;$C39,"",ROUND(INDIRECT($C39&amp;"!m29"),-1)))</f>
        <v/>
      </c>
      <c r="R39" s="227" t="str">
        <f ca="1">IF(YEAR('2026'!$B$1)&lt;$C39,"",SUM(F39:Q39))</f>
        <v/>
      </c>
    </row>
    <row r="40" spans="1:18" ht="9.75" customHeight="1">
      <c r="A40" s="230">
        <v>38</v>
      </c>
      <c r="B40" s="357" t="str">
        <f ca="1">'퇴직때까지의 총연봉액'!B40</f>
        <v/>
      </c>
      <c r="C40" s="221">
        <f ca="1">'퇴직때까지의 총연봉액'!D40</f>
        <v>2062</v>
      </c>
      <c r="D40" s="385" t="str">
        <f ca="1">월별지출액총괄표!D40</f>
        <v/>
      </c>
      <c r="E40" s="222" t="str">
        <f ca="1">'퇴직때까지의 총연봉액'!E40</f>
        <v/>
      </c>
      <c r="F40" s="228" t="str">
        <f ca="1">IF(INDIRECT($C40&amp;"!b29")="","",IF(YEAR('2026'!$I$1)&lt;$C40,"",ROUND(INDIRECT($C40&amp;"!b29"),-1)))</f>
        <v/>
      </c>
      <c r="G40" s="228" t="str">
        <f ca="1">IF(INDIRECT($C40&amp;"!c29")="","",IF(YEAR('2026'!$I$1)&lt;$C40,"",ROUND(INDIRECT($C40&amp;"!c29"),-1)))</f>
        <v/>
      </c>
      <c r="H40" s="228" t="str">
        <f ca="1">IF(INDIRECT($C40&amp;"!d29")="","",IF(YEAR('2026'!$I$1)&lt;$C40,"",ROUND(INDIRECT($C40&amp;"!d29"),-1)))</f>
        <v/>
      </c>
      <c r="I40" s="228" t="str">
        <f ca="1">IF(INDIRECT($C40&amp;"!e29")="","",IF(YEAR('2026'!$I$1)&lt;$C40,"",ROUND(INDIRECT($C40&amp;"!e29"),-1)))</f>
        <v/>
      </c>
      <c r="J40" s="228" t="str">
        <f ca="1">IF(INDIRECT($C40&amp;"!f29")="","",IF(YEAR('2026'!$I$1)&lt;$C40,"",ROUND(INDIRECT($C40&amp;"!f29"),-1)))</f>
        <v/>
      </c>
      <c r="K40" s="228" t="str">
        <f ca="1">IF(INDIRECT($C40&amp;"!g29")="","",IF(YEAR('2026'!$I$1)&lt;$C40,"",ROUND(INDIRECT($C40&amp;"!g29"),-1)))</f>
        <v/>
      </c>
      <c r="L40" s="228" t="str">
        <f ca="1">IF(INDIRECT($C40&amp;"!h29")="","",IF(YEAR('2026'!$I$1)&lt;$C40,"",ROUND(INDIRECT($C40&amp;"!h29"),-1)))</f>
        <v/>
      </c>
      <c r="M40" s="228" t="str">
        <f ca="1">IF(INDIRECT($C40&amp;"!i29")="","",IF(YEAR('2026'!$I$1)&lt;$C40,"",ROUND(INDIRECT($C40&amp;"!i29"),-1)))</f>
        <v/>
      </c>
      <c r="N40" s="228" t="str">
        <f ca="1">IF(INDIRECT($C40&amp;"!j29")="","",IF(YEAR('2026'!$I$1)&lt;$C40,"",ROUND(INDIRECT($C40&amp;"!j29"),-1)))</f>
        <v/>
      </c>
      <c r="O40" s="228" t="str">
        <f ca="1">IF(INDIRECT($C40&amp;"!k29")="","",IF(YEAR('2026'!$I$1)&lt;$C40,"",ROUND(INDIRECT($C40&amp;"!k29"),-1)))</f>
        <v/>
      </c>
      <c r="P40" s="228" t="str">
        <f ca="1">IF(INDIRECT($C40&amp;"!l29")="","",IF(YEAR('2026'!$I$1)&lt;$C40,"",ROUND(INDIRECT($C40&amp;"!l29"),-1)))</f>
        <v/>
      </c>
      <c r="Q40" s="228" t="str">
        <f ca="1">IF(INDIRECT($C40&amp;"!m29")="","",IF(YEAR('2026'!$I$1)&lt;$C40,"",ROUND(INDIRECT($C40&amp;"!m29"),-1)))</f>
        <v/>
      </c>
      <c r="R40" s="227" t="str">
        <f ca="1">IF(YEAR('2026'!$B$1)&lt;$C40,"",SUM(F40:Q40))</f>
        <v/>
      </c>
    </row>
    <row r="41" spans="1:18" ht="9.75" customHeight="1">
      <c r="A41" s="230">
        <v>39</v>
      </c>
      <c r="B41" s="357" t="str">
        <f ca="1">'퇴직때까지의 총연봉액'!B41</f>
        <v/>
      </c>
      <c r="C41" s="221">
        <f ca="1">'퇴직때까지의 총연봉액'!D41</f>
        <v>2063</v>
      </c>
      <c r="D41" s="385" t="str">
        <f ca="1">월별지출액총괄표!D41</f>
        <v/>
      </c>
      <c r="E41" s="222" t="str">
        <f ca="1">'퇴직때까지의 총연봉액'!E41</f>
        <v/>
      </c>
      <c r="F41" s="228" t="str">
        <f ca="1">IF(INDIRECT($C41&amp;"!b29")="","",IF(YEAR('2026'!$I$1)&lt;$C41,"",ROUND(INDIRECT($C41&amp;"!b29"),-1)))</f>
        <v/>
      </c>
      <c r="G41" s="228" t="str">
        <f ca="1">IF(INDIRECT($C41&amp;"!c29")="","",IF(YEAR('2026'!$I$1)&lt;$C41,"",ROUND(INDIRECT($C41&amp;"!c29"),-1)))</f>
        <v/>
      </c>
      <c r="H41" s="228" t="str">
        <f ca="1">IF(INDIRECT($C41&amp;"!d29")="","",IF(YEAR('2026'!$I$1)&lt;$C41,"",ROUND(INDIRECT($C41&amp;"!d29"),-1)))</f>
        <v/>
      </c>
      <c r="I41" s="228" t="str">
        <f ca="1">IF(INDIRECT($C41&amp;"!e29")="","",IF(YEAR('2026'!$I$1)&lt;$C41,"",ROUND(INDIRECT($C41&amp;"!e29"),-1)))</f>
        <v/>
      </c>
      <c r="J41" s="228" t="str">
        <f ca="1">IF(INDIRECT($C41&amp;"!f29")="","",IF(YEAR('2026'!$I$1)&lt;$C41,"",ROUND(INDIRECT($C41&amp;"!f29"),-1)))</f>
        <v/>
      </c>
      <c r="K41" s="228" t="str">
        <f ca="1">IF(INDIRECT($C41&amp;"!g29")="","",IF(YEAR('2026'!$I$1)&lt;$C41,"",ROUND(INDIRECT($C41&amp;"!g29"),-1)))</f>
        <v/>
      </c>
      <c r="L41" s="228" t="str">
        <f ca="1">IF(INDIRECT($C41&amp;"!h29")="","",IF(YEAR('2026'!$I$1)&lt;$C41,"",ROUND(INDIRECT($C41&amp;"!h29"),-1)))</f>
        <v/>
      </c>
      <c r="M41" s="228" t="str">
        <f ca="1">IF(INDIRECT($C41&amp;"!i29")="","",IF(YEAR('2026'!$I$1)&lt;$C41,"",ROUND(INDIRECT($C41&amp;"!i29"),-1)))</f>
        <v/>
      </c>
      <c r="N41" s="228" t="str">
        <f ca="1">IF(INDIRECT($C41&amp;"!j29")="","",IF(YEAR('2026'!$I$1)&lt;$C41,"",ROUND(INDIRECT($C41&amp;"!j29"),-1)))</f>
        <v/>
      </c>
      <c r="O41" s="228" t="str">
        <f ca="1">IF(INDIRECT($C41&amp;"!k29")="","",IF(YEAR('2026'!$I$1)&lt;$C41,"",ROUND(INDIRECT($C41&amp;"!k29"),-1)))</f>
        <v/>
      </c>
      <c r="P41" s="228" t="str">
        <f ca="1">IF(INDIRECT($C41&amp;"!l29")="","",IF(YEAR('2026'!$I$1)&lt;$C41,"",ROUND(INDIRECT($C41&amp;"!l29"),-1)))</f>
        <v/>
      </c>
      <c r="Q41" s="228" t="str">
        <f ca="1">IF(INDIRECT($C41&amp;"!m29")="","",IF(YEAR('2026'!$I$1)&lt;$C41,"",ROUND(INDIRECT($C41&amp;"!m29"),-1)))</f>
        <v/>
      </c>
      <c r="R41" s="227" t="str">
        <f ca="1">IF(YEAR('2026'!$B$1)&lt;$C41,"",SUM(F41:Q41))</f>
        <v/>
      </c>
    </row>
    <row r="42" spans="1:18" ht="9.75" customHeight="1">
      <c r="A42" s="230">
        <v>40</v>
      </c>
      <c r="B42" s="357" t="str">
        <f ca="1">'퇴직때까지의 총연봉액'!B42</f>
        <v/>
      </c>
      <c r="C42" s="221">
        <f ca="1">'퇴직때까지의 총연봉액'!D42</f>
        <v>2064</v>
      </c>
      <c r="D42" s="385" t="str">
        <f ca="1">월별지출액총괄표!D42</f>
        <v/>
      </c>
      <c r="E42" s="222" t="str">
        <f ca="1">'퇴직때까지의 총연봉액'!E42</f>
        <v/>
      </c>
      <c r="F42" s="228" t="str">
        <f ca="1">IF(INDIRECT($C42&amp;"!b29")="","",IF(YEAR('2026'!$I$1)&lt;$C42,"",ROUND(INDIRECT($C42&amp;"!b29"),-1)))</f>
        <v/>
      </c>
      <c r="G42" s="228" t="str">
        <f ca="1">IF(INDIRECT($C42&amp;"!c29")="","",IF(YEAR('2026'!$I$1)&lt;$C42,"",ROUND(INDIRECT($C42&amp;"!c29"),-1)))</f>
        <v/>
      </c>
      <c r="H42" s="228" t="str">
        <f ca="1">IF(INDIRECT($C42&amp;"!d29")="","",IF(YEAR('2026'!$I$1)&lt;$C42,"",ROUND(INDIRECT($C42&amp;"!d29"),-1)))</f>
        <v/>
      </c>
      <c r="I42" s="228" t="str">
        <f ca="1">IF(INDIRECT($C42&amp;"!e29")="","",IF(YEAR('2026'!$I$1)&lt;$C42,"",ROUND(INDIRECT($C42&amp;"!e29"),-1)))</f>
        <v/>
      </c>
      <c r="J42" s="228" t="str">
        <f ca="1">IF(INDIRECT($C42&amp;"!f29")="","",IF(YEAR('2026'!$I$1)&lt;$C42,"",ROUND(INDIRECT($C42&amp;"!f29"),-1)))</f>
        <v/>
      </c>
      <c r="K42" s="228" t="str">
        <f ca="1">IF(INDIRECT($C42&amp;"!g29")="","",IF(YEAR('2026'!$I$1)&lt;$C42,"",ROUND(INDIRECT($C42&amp;"!g29"),-1)))</f>
        <v/>
      </c>
      <c r="L42" s="228" t="str">
        <f ca="1">IF(INDIRECT($C42&amp;"!h29")="","",IF(YEAR('2026'!$I$1)&lt;$C42,"",ROUND(INDIRECT($C42&amp;"!h29"),-1)))</f>
        <v/>
      </c>
      <c r="M42" s="228" t="str">
        <f ca="1">IF(INDIRECT($C42&amp;"!i29")="","",IF(YEAR('2026'!$I$1)&lt;$C42,"",ROUND(INDIRECT($C42&amp;"!i29"),-1)))</f>
        <v/>
      </c>
      <c r="N42" s="228" t="str">
        <f ca="1">IF(INDIRECT($C42&amp;"!j29")="","",IF(YEAR('2026'!$I$1)&lt;$C42,"",ROUND(INDIRECT($C42&amp;"!j29"),-1)))</f>
        <v/>
      </c>
      <c r="O42" s="228" t="str">
        <f ca="1">IF(INDIRECT($C42&amp;"!k29")="","",IF(YEAR('2026'!$I$1)&lt;$C42,"",ROUND(INDIRECT($C42&amp;"!k29"),-1)))</f>
        <v/>
      </c>
      <c r="P42" s="228" t="str">
        <f ca="1">IF(INDIRECT($C42&amp;"!l29")="","",IF(YEAR('2026'!$I$1)&lt;$C42,"",ROUND(INDIRECT($C42&amp;"!l29"),-1)))</f>
        <v/>
      </c>
      <c r="Q42" s="228" t="str">
        <f ca="1">IF(INDIRECT($C42&amp;"!m29")="","",IF(YEAR('2026'!$I$1)&lt;$C42,"",ROUND(INDIRECT($C42&amp;"!m29"),-1)))</f>
        <v/>
      </c>
      <c r="R42" s="227" t="str">
        <f ca="1">IF(YEAR('2026'!$B$1)&lt;$C42,"",SUM(F42:Q42))</f>
        <v/>
      </c>
    </row>
    <row r="43" spans="1:18" ht="9.75" customHeight="1">
      <c r="A43" s="230">
        <v>41</v>
      </c>
      <c r="B43" s="357" t="str">
        <f ca="1">'퇴직때까지의 총연봉액'!B43</f>
        <v/>
      </c>
      <c r="C43" s="221">
        <f ca="1">'퇴직때까지의 총연봉액'!D43</f>
        <v>2065</v>
      </c>
      <c r="D43" s="385" t="str">
        <f ca="1">월별지출액총괄표!D43</f>
        <v/>
      </c>
      <c r="E43" s="222" t="str">
        <f ca="1">'퇴직때까지의 총연봉액'!E43</f>
        <v/>
      </c>
      <c r="F43" s="228" t="str">
        <f ca="1">IF(INDIRECT($C43&amp;"!b29")="","",IF(YEAR('2026'!$I$1)&lt;$C43,"",ROUND(INDIRECT($C43&amp;"!b29"),-1)))</f>
        <v/>
      </c>
      <c r="G43" s="228" t="str">
        <f ca="1">IF(INDIRECT($C43&amp;"!c29")="","",IF(YEAR('2026'!$I$1)&lt;$C43,"",ROUND(INDIRECT($C43&amp;"!c29"),-1)))</f>
        <v/>
      </c>
      <c r="H43" s="228" t="str">
        <f ca="1">IF(INDIRECT($C43&amp;"!d29")="","",IF(YEAR('2026'!$I$1)&lt;$C43,"",ROUND(INDIRECT($C43&amp;"!d29"),-1)))</f>
        <v/>
      </c>
      <c r="I43" s="228" t="str">
        <f ca="1">IF(INDIRECT($C43&amp;"!e29")="","",IF(YEAR('2026'!$I$1)&lt;$C43,"",ROUND(INDIRECT($C43&amp;"!e29"),-1)))</f>
        <v/>
      </c>
      <c r="J43" s="228" t="str">
        <f ca="1">IF(INDIRECT($C43&amp;"!f29")="","",IF(YEAR('2026'!$I$1)&lt;$C43,"",ROUND(INDIRECT($C43&amp;"!f29"),-1)))</f>
        <v/>
      </c>
      <c r="K43" s="228" t="str">
        <f ca="1">IF(INDIRECT($C43&amp;"!g29")="","",IF(YEAR('2026'!$I$1)&lt;$C43,"",ROUND(INDIRECT($C43&amp;"!g29"),-1)))</f>
        <v/>
      </c>
      <c r="L43" s="228" t="str">
        <f ca="1">IF(INDIRECT($C43&amp;"!h29")="","",IF(YEAR('2026'!$I$1)&lt;$C43,"",ROUND(INDIRECT($C43&amp;"!h29"),-1)))</f>
        <v/>
      </c>
      <c r="M43" s="228" t="str">
        <f ca="1">IF(INDIRECT($C43&amp;"!i29")="","",IF(YEAR('2026'!$I$1)&lt;$C43,"",ROUND(INDIRECT($C43&amp;"!i29"),-1)))</f>
        <v/>
      </c>
      <c r="N43" s="228" t="str">
        <f ca="1">IF(INDIRECT($C43&amp;"!j29")="","",IF(YEAR('2026'!$I$1)&lt;$C43,"",ROUND(INDIRECT($C43&amp;"!j29"),-1)))</f>
        <v/>
      </c>
      <c r="O43" s="228" t="str">
        <f ca="1">IF(INDIRECT($C43&amp;"!k29")="","",IF(YEAR('2026'!$I$1)&lt;$C43,"",ROUND(INDIRECT($C43&amp;"!k29"),-1)))</f>
        <v/>
      </c>
      <c r="P43" s="228" t="str">
        <f ca="1">IF(INDIRECT($C43&amp;"!l29")="","",IF(YEAR('2026'!$I$1)&lt;$C43,"",ROUND(INDIRECT($C43&amp;"!l29"),-1)))</f>
        <v/>
      </c>
      <c r="Q43" s="228" t="str">
        <f ca="1">IF(INDIRECT($C43&amp;"!m29")="","",IF(YEAR('2026'!$I$1)&lt;$C43,"",ROUND(INDIRECT($C43&amp;"!m29"),-1)))</f>
        <v/>
      </c>
      <c r="R43" s="227" t="str">
        <f ca="1">IF(YEAR('2026'!$B$1)&lt;$C43,"",SUM(F43:Q43))</f>
        <v/>
      </c>
    </row>
    <row r="44" spans="1:18" ht="9.75" customHeight="1">
      <c r="A44" s="1172">
        <f ca="1">SUM(F3:Q43)</f>
        <v>368791580</v>
      </c>
      <c r="B44" s="1173"/>
      <c r="C44" s="1173"/>
      <c r="D44" s="1173"/>
      <c r="E44" s="1174"/>
      <c r="F44" s="223">
        <f t="shared" ref="F44:Q44" ca="1" si="0">SUM(F3:F43)</f>
        <v>31220680</v>
      </c>
      <c r="G44" s="223">
        <f t="shared" ca="1" si="0"/>
        <v>31220680</v>
      </c>
      <c r="H44" s="223">
        <f t="shared" ca="1" si="0"/>
        <v>29513390</v>
      </c>
      <c r="I44" s="223">
        <f t="shared" ca="1" si="0"/>
        <v>29513390</v>
      </c>
      <c r="J44" s="223">
        <f t="shared" ca="1" si="0"/>
        <v>30915430</v>
      </c>
      <c r="K44" s="223">
        <f t="shared" ca="1" si="0"/>
        <v>30915430</v>
      </c>
      <c r="L44" s="223">
        <f t="shared" ca="1" si="0"/>
        <v>30915430</v>
      </c>
      <c r="M44" s="223">
        <f t="shared" ca="1" si="0"/>
        <v>30915430</v>
      </c>
      <c r="N44" s="223">
        <f t="shared" ca="1" si="0"/>
        <v>30915430</v>
      </c>
      <c r="O44" s="223">
        <f t="shared" ca="1" si="0"/>
        <v>30915430</v>
      </c>
      <c r="P44" s="223">
        <f t="shared" ca="1" si="0"/>
        <v>30915430</v>
      </c>
      <c r="Q44" s="223">
        <f t="shared" ca="1" si="0"/>
        <v>30915430</v>
      </c>
      <c r="R44" s="227">
        <f ca="1">IF(YEAR('2026'!$B$1)&lt;$C44,"",SUM(F44:Q44))</f>
        <v>368791580</v>
      </c>
    </row>
    <row r="46" spans="1:18" ht="9.75" customHeight="1">
      <c r="E46" s="225"/>
    </row>
  </sheetData>
  <sheetProtection algorithmName="SHA-512" hashValue="I7PeTUMOEuSxcaH1+zAlzhwcV32YJp1xzXR92spGDj1A5U/ysc6V9HB02BYGnPz0jZnVdLpdZOAEmDfMfpMjEA==" saltValue="eKW2RLu9/HkWx7M7dO3ohg==" spinCount="100000" sheet="1" objects="1" scenarios="1"/>
  <mergeCells count="5">
    <mergeCell ref="A1:F1"/>
    <mergeCell ref="G1:I1"/>
    <mergeCell ref="J1:N1"/>
    <mergeCell ref="Q1:R1"/>
    <mergeCell ref="A44:E44"/>
  </mergeCells>
  <phoneticPr fontId="167" type="noConversion"/>
  <printOptions horizontalCentered="1"/>
  <pageMargins left="0.19666667282581329" right="0.19666667282581329" top="0.55097222328186035" bottom="0.35430556535720825" header="0.31486111879348755" footer="0.31486111879348755"/>
  <pageSetup paperSize="9" orientation="landscape"/>
  <headerFooter>
    <oddFooter>&amp;R&amp;"맑은 고딕,Regular"&amp;8작성 : 교사카페 운영자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FF00"/>
  </sheetPr>
  <dimension ref="A1:X44"/>
  <sheetViews>
    <sheetView zoomScale="140" zoomScaleNormal="140" zoomScaleSheetLayoutView="140" workbookViewId="0">
      <pane xSplit="5" ySplit="2" topLeftCell="F3" activePane="bottomRight" state="frozen"/>
      <selection pane="topRight"/>
      <selection pane="bottomLeft"/>
      <selection pane="bottomRight" activeCell="D22" sqref="D22"/>
    </sheetView>
  </sheetViews>
  <sheetFormatPr baseColWidth="10" defaultColWidth="9" defaultRowHeight="9.75" customHeight="1"/>
  <cols>
    <col min="1" max="1" width="5" style="43" customWidth="1"/>
    <col min="2" max="2" width="5.6640625" style="43" customWidth="1"/>
    <col min="3" max="4" width="6.83203125" style="43" customWidth="1"/>
    <col min="5" max="5" width="7" style="43" customWidth="1"/>
    <col min="6" max="6" width="11.5" style="162" bestFit="1" customWidth="1"/>
    <col min="7" max="7" width="7.5" style="162" bestFit="1" customWidth="1"/>
    <col min="8" max="8" width="5" style="361" bestFit="1" customWidth="1"/>
    <col min="9" max="9" width="7" style="43" bestFit="1" customWidth="1"/>
    <col min="10" max="10" width="7.5" style="43" bestFit="1" customWidth="1"/>
    <col min="11" max="11" width="5.6640625" style="162" bestFit="1" customWidth="1"/>
    <col min="12" max="13" width="7" style="43" bestFit="1" customWidth="1"/>
    <col min="14" max="14" width="5.6640625" style="43" bestFit="1" customWidth="1"/>
    <col min="15" max="15" width="7" style="43" bestFit="1" customWidth="1"/>
    <col min="16" max="16" width="7.5" style="43" bestFit="1" customWidth="1"/>
    <col min="17" max="17" width="5.5" style="43" bestFit="1" customWidth="1"/>
    <col min="18" max="18" width="10.33203125" style="43" customWidth="1"/>
    <col min="19" max="19" width="10.5" style="43" bestFit="1" customWidth="1"/>
    <col min="20" max="20" width="12.6640625" style="43" bestFit="1" customWidth="1"/>
    <col min="21" max="21" width="9.6640625" style="43" bestFit="1" customWidth="1"/>
    <col min="22" max="22" width="10.1640625" style="43" bestFit="1" customWidth="1"/>
    <col min="23" max="23" width="9.6640625" style="43" bestFit="1" customWidth="1"/>
    <col min="24" max="16384" width="9" style="43"/>
  </cols>
  <sheetData>
    <row r="1" spans="1:24" ht="19.5" customHeight="1">
      <c r="A1" s="1166" t="str">
        <f ca="1">기여금납부액총괄표!A1</f>
        <v>2025</v>
      </c>
      <c r="B1" s="1166"/>
      <c r="C1" s="1166"/>
      <c r="D1" s="1166"/>
      <c r="E1" s="1161" t="s">
        <v>416</v>
      </c>
      <c r="F1" s="1161"/>
      <c r="G1" s="1161"/>
      <c r="H1" s="1161"/>
      <c r="I1" s="1162" t="s">
        <v>647</v>
      </c>
      <c r="J1" s="1162"/>
      <c r="K1" s="1162"/>
      <c r="L1" s="1162"/>
      <c r="M1" s="1162"/>
      <c r="N1" s="1162"/>
      <c r="O1" s="1162"/>
      <c r="P1" s="1162"/>
      <c r="Q1" s="1162"/>
      <c r="R1" s="383"/>
      <c r="S1" s="229">
        <f>'2026'!B1</f>
        <v>58134</v>
      </c>
      <c r="T1" s="161"/>
    </row>
    <row r="2" spans="1:24" ht="9.75" customHeight="1">
      <c r="A2" s="374" t="s">
        <v>504</v>
      </c>
      <c r="B2" s="374" t="s">
        <v>464</v>
      </c>
      <c r="C2" s="374" t="s">
        <v>500</v>
      </c>
      <c r="D2" s="374" t="s">
        <v>529</v>
      </c>
      <c r="E2" s="375" t="s">
        <v>643</v>
      </c>
      <c r="F2" s="362" t="s">
        <v>46</v>
      </c>
      <c r="G2" s="362" t="s">
        <v>549</v>
      </c>
      <c r="H2" s="362" t="s">
        <v>541</v>
      </c>
      <c r="I2" s="373" t="s">
        <v>276</v>
      </c>
      <c r="J2" s="373" t="s">
        <v>549</v>
      </c>
      <c r="K2" s="373" t="s">
        <v>541</v>
      </c>
      <c r="L2" s="367" t="s">
        <v>282</v>
      </c>
      <c r="M2" s="367" t="s">
        <v>549</v>
      </c>
      <c r="N2" s="367" t="s">
        <v>541</v>
      </c>
      <c r="O2" s="630" t="s">
        <v>286</v>
      </c>
      <c r="P2" s="630" t="s">
        <v>549</v>
      </c>
      <c r="Q2" s="630" t="s">
        <v>541</v>
      </c>
      <c r="R2" s="376" t="s">
        <v>510</v>
      </c>
      <c r="S2" s="374" t="s">
        <v>304</v>
      </c>
      <c r="V2" s="379"/>
    </row>
    <row r="3" spans="1:24" ht="9.75" customHeight="1">
      <c r="A3" s="230">
        <v>1</v>
      </c>
      <c r="B3" s="357">
        <f ca="1">IF(F3="","",IF(INDIRECT(C3&amp;"!d6")=0,"",INDIRECT(C3&amp;"!d5")))</f>
        <v>2</v>
      </c>
      <c r="C3" s="231">
        <f ca="1">'퇴직때까지의 총연봉액'!D3</f>
        <v>2025</v>
      </c>
      <c r="D3" s="384">
        <f ca="1">기여금납부액총괄표!D3</f>
        <v>28</v>
      </c>
      <c r="E3" s="232">
        <f ca="1">IF(F3="","",IF(INDIRECT(C3&amp;"!d4")=0,"",INDIRECT(C3&amp;"!d4")))</f>
        <v>12</v>
      </c>
      <c r="F3" s="363">
        <f ca="1">IF(YEAR('2026'!$B$1)&lt;C3,"",ROUND(INDIRECT(C3&amp;"!N14"),-1))</f>
        <v>2200000</v>
      </c>
      <c r="G3" s="363"/>
      <c r="H3" s="364"/>
      <c r="I3" s="634">
        <f ca="1">IF(YEAR('2026'!$B$1)&lt;C3,"",ROUND(INDIRECT(C3&amp;"!N15"),-1))</f>
        <v>0</v>
      </c>
      <c r="J3" s="634"/>
      <c r="K3" s="635"/>
      <c r="L3" s="634">
        <f ca="1">IF(YEAR('2026'!$B$1)&lt;C3,"",ROUND(INDIRECT(C3&amp;"!N15"),-1))</f>
        <v>0</v>
      </c>
      <c r="M3" s="368"/>
      <c r="N3" s="369"/>
      <c r="O3" s="631">
        <f ca="1">IF(YEAR('2026'!$B$1)&lt;C3,"",ROUND(INDIRECT(C3&amp;"!N18"),-1))</f>
        <v>0</v>
      </c>
      <c r="P3" s="631"/>
      <c r="Q3" s="632"/>
      <c r="R3" s="633">
        <f ca="1">IF(F3="","",F3+I3+L3+O3)</f>
        <v>2200000</v>
      </c>
      <c r="S3" s="235">
        <f ca="1">IF(F3="","",ROUND(SUM($R$3:R3),-1))</f>
        <v>2200000</v>
      </c>
      <c r="U3" s="164"/>
    </row>
    <row r="4" spans="1:24" ht="9.75" customHeight="1">
      <c r="A4" s="230">
        <v>2</v>
      </c>
      <c r="B4" s="357">
        <f t="shared" ref="B4:B43" ca="1" si="0">IF(F4="","",IF(INDIRECT(C4&amp;"!d6")=0,"",INDIRECT(C4&amp;"!d5")))</f>
        <v>4</v>
      </c>
      <c r="C4" s="231">
        <f ca="1">'퇴직때까지의 총연봉액'!D4</f>
        <v>2026</v>
      </c>
      <c r="D4" s="384">
        <f ca="1">기여금납부액총괄표!D4</f>
        <v>29</v>
      </c>
      <c r="E4" s="232">
        <f t="shared" ref="E4:E43" ca="1" si="1">IF(F4="","",IF(INDIRECT(C4&amp;"!d4")=0,"",INDIRECT(C4&amp;"!d4")))</f>
        <v>14</v>
      </c>
      <c r="F4" s="363">
        <f ca="1">IF(YEAR('2026'!$B$1)&lt;C4,"",ROUND(INDIRECT(C4&amp;"!N14"),-1))</f>
        <v>2400000</v>
      </c>
      <c r="G4" s="363">
        <f ca="1">IF(F4="","",F4-F3)</f>
        <v>200000</v>
      </c>
      <c r="H4" s="365">
        <f t="shared" ref="H4:H43" ca="1" si="2">IF(F4="","",(F4-F3)/F3)</f>
        <v>9.0909090909090912E-2</v>
      </c>
      <c r="I4" s="634">
        <f ca="1">IF(YEAR('2026'!$B$1)&lt;C4,"",ROUND(INDIRECT(C4&amp;"!N15"),-1))</f>
        <v>0</v>
      </c>
      <c r="J4" s="634">
        <f t="shared" ref="J4:J42" ca="1" si="3">IF(I4="","",I4-I3)</f>
        <v>0</v>
      </c>
      <c r="K4" s="635">
        <f ca="1">IF(I3=0,0,IF(I4="","",(I4-I3)/I3))</f>
        <v>0</v>
      </c>
      <c r="L4" s="634">
        <f ca="1">IF(YEAR('2026'!$B$1)&lt;C4,"",ROUND(INDIRECT(C4&amp;"!N15"),-1))</f>
        <v>0</v>
      </c>
      <c r="M4" s="368">
        <f t="shared" ref="M4:M42" ca="1" si="4">IF(L4="","",L4-L3)</f>
        <v>0</v>
      </c>
      <c r="N4" s="369">
        <f ca="1">IF(L3=0,0,IF(L4="","",(L4-L3)/L3))</f>
        <v>0</v>
      </c>
      <c r="O4" s="631">
        <f ca="1">IF(YEAR('2026'!$B$1)&lt;C4,"",ROUND(INDIRECT(C4&amp;"!N18"),-1))</f>
        <v>0</v>
      </c>
      <c r="P4" s="631">
        <f t="shared" ref="P4:P42" ca="1" si="5">IF(O4="","",O4-O3)</f>
        <v>0</v>
      </c>
      <c r="Q4" s="632">
        <f ca="1">IF(O3=0,0,IF(O4="","",(O4-O3)/O3))</f>
        <v>0</v>
      </c>
      <c r="R4" s="633">
        <f t="shared" ref="R4:R43" ca="1" si="6">IF(F4="","",F4+I4+L4+O4)</f>
        <v>2400000</v>
      </c>
      <c r="S4" s="235">
        <f ca="1">IF(F4="","",ROUND(SUM($R$3:R4),-1))</f>
        <v>4600000</v>
      </c>
      <c r="U4" s="382"/>
      <c r="V4" s="379"/>
    </row>
    <row r="5" spans="1:24" ht="9.75" customHeight="1">
      <c r="A5" s="230">
        <v>3</v>
      </c>
      <c r="B5" s="357">
        <f t="shared" ca="1" si="0"/>
        <v>5</v>
      </c>
      <c r="C5" s="231">
        <f ca="1">'퇴직때까지의 총연봉액'!D5</f>
        <v>2027</v>
      </c>
      <c r="D5" s="384">
        <f ca="1">기여금납부액총괄표!D5</f>
        <v>30</v>
      </c>
      <c r="E5" s="232">
        <f t="shared" ca="1" si="1"/>
        <v>15</v>
      </c>
      <c r="F5" s="363">
        <f ca="1">IF(YEAR('2026'!$B$1)&lt;C5,"",ROUND(INDIRECT(C5&amp;"!N14"),-1))</f>
        <v>2400000</v>
      </c>
      <c r="G5" s="363">
        <f t="shared" ref="G5:G43" ca="1" si="7">IF(F5="","",F5-F4)</f>
        <v>0</v>
      </c>
      <c r="H5" s="365">
        <f t="shared" ca="1" si="2"/>
        <v>0</v>
      </c>
      <c r="I5" s="634">
        <f ca="1">IF(YEAR('2026'!$B$1)&lt;C5,"",ROUND(INDIRECT(C5&amp;"!N15"),-1))</f>
        <v>0</v>
      </c>
      <c r="J5" s="634">
        <f t="shared" ca="1" si="3"/>
        <v>0</v>
      </c>
      <c r="K5" s="635">
        <f t="shared" ref="K5:K42" ca="1" si="8">IF(I4=0,0,IF(I5="","",(I5-I4)/I4))</f>
        <v>0</v>
      </c>
      <c r="L5" s="634">
        <f ca="1">IF(YEAR('2026'!$B$1)&lt;C5,"",ROUND(INDIRECT(C5&amp;"!N15"),-1))</f>
        <v>0</v>
      </c>
      <c r="M5" s="368">
        <f t="shared" ca="1" si="4"/>
        <v>0</v>
      </c>
      <c r="N5" s="369">
        <f t="shared" ref="N5:N43" ca="1" si="9">IF(L4=0,0,IF(L5="","",(L5-L4)/L4))</f>
        <v>0</v>
      </c>
      <c r="O5" s="631">
        <f ca="1">IF(YEAR('2026'!$B$1)&lt;C5,"",ROUND(INDIRECT(C5&amp;"!N18"),-1))</f>
        <v>0</v>
      </c>
      <c r="P5" s="631">
        <f t="shared" ca="1" si="5"/>
        <v>0</v>
      </c>
      <c r="Q5" s="632">
        <f t="shared" ref="Q5:Q43" ca="1" si="10">IF(O4=0,0,IF(O5="","",(O5-O4)/O4))</f>
        <v>0</v>
      </c>
      <c r="R5" s="633">
        <f t="shared" ca="1" si="6"/>
        <v>2400000</v>
      </c>
      <c r="S5" s="235">
        <f ca="1">IF(F5="","",ROUND(SUM($R$3:R5),-1))</f>
        <v>7000000</v>
      </c>
    </row>
    <row r="6" spans="1:24" ht="9.75" customHeight="1">
      <c r="A6" s="230">
        <v>4</v>
      </c>
      <c r="B6" s="357">
        <f t="shared" ca="1" si="0"/>
        <v>6</v>
      </c>
      <c r="C6" s="231">
        <f ca="1">'퇴직때까지의 총연봉액'!D6</f>
        <v>2028</v>
      </c>
      <c r="D6" s="384">
        <f ca="1">기여금납부액총괄표!D6</f>
        <v>31</v>
      </c>
      <c r="E6" s="232">
        <f t="shared" ca="1" si="1"/>
        <v>16</v>
      </c>
      <c r="F6" s="363">
        <f ca="1">IF(YEAR('2026'!$B$1)&lt;C6,"",ROUND(INDIRECT(C6&amp;"!N14"),-1))</f>
        <v>2400000</v>
      </c>
      <c r="G6" s="363">
        <f t="shared" ca="1" si="7"/>
        <v>0</v>
      </c>
      <c r="H6" s="365">
        <f t="shared" ca="1" si="2"/>
        <v>0</v>
      </c>
      <c r="I6" s="634">
        <f ca="1">IF(YEAR('2026'!$B$1)&lt;C6,"",ROUND(INDIRECT(C6&amp;"!N15"),-1))</f>
        <v>0</v>
      </c>
      <c r="J6" s="634">
        <f t="shared" ca="1" si="3"/>
        <v>0</v>
      </c>
      <c r="K6" s="635">
        <f t="shared" ca="1" si="8"/>
        <v>0</v>
      </c>
      <c r="L6" s="634">
        <f ca="1">IF(YEAR('2026'!$B$1)&lt;C6,"",ROUND(INDIRECT(C6&amp;"!N15"),-1))</f>
        <v>0</v>
      </c>
      <c r="M6" s="368">
        <f t="shared" ca="1" si="4"/>
        <v>0</v>
      </c>
      <c r="N6" s="369">
        <f t="shared" ca="1" si="9"/>
        <v>0</v>
      </c>
      <c r="O6" s="631">
        <f ca="1">IF(YEAR('2026'!$B$1)&lt;C6,"",ROUND(INDIRECT(C6&amp;"!N18"),-1))</f>
        <v>0</v>
      </c>
      <c r="P6" s="631">
        <f t="shared" ca="1" si="5"/>
        <v>0</v>
      </c>
      <c r="Q6" s="632">
        <f t="shared" ca="1" si="10"/>
        <v>0</v>
      </c>
      <c r="R6" s="633">
        <f t="shared" ca="1" si="6"/>
        <v>2400000</v>
      </c>
      <c r="S6" s="235">
        <f ca="1">IF(F6="","",ROUND(SUM($R$3:R6),-1))</f>
        <v>9400000</v>
      </c>
      <c r="W6" s="380"/>
    </row>
    <row r="7" spans="1:24" ht="9.75" customHeight="1">
      <c r="A7" s="230">
        <v>5</v>
      </c>
      <c r="B7" s="357">
        <f t="shared" ca="1" si="0"/>
        <v>7</v>
      </c>
      <c r="C7" s="231">
        <f ca="1">'퇴직때까지의 총연봉액'!D7</f>
        <v>2029</v>
      </c>
      <c r="D7" s="384">
        <f ca="1">기여금납부액총괄표!D7</f>
        <v>32</v>
      </c>
      <c r="E7" s="232">
        <f t="shared" ca="1" si="1"/>
        <v>17</v>
      </c>
      <c r="F7" s="363">
        <f ca="1">IF(YEAR('2026'!$B$1)&lt;C7,"",ROUND(INDIRECT(C7&amp;"!N14"),-1))</f>
        <v>2400000</v>
      </c>
      <c r="G7" s="363">
        <f t="shared" ca="1" si="7"/>
        <v>0</v>
      </c>
      <c r="H7" s="365">
        <f t="shared" ca="1" si="2"/>
        <v>0</v>
      </c>
      <c r="I7" s="634">
        <f ca="1">IF(YEAR('2026'!$B$1)&lt;C7,"",ROUND(INDIRECT(C7&amp;"!N15"),-1))</f>
        <v>0</v>
      </c>
      <c r="J7" s="634">
        <f t="shared" ca="1" si="3"/>
        <v>0</v>
      </c>
      <c r="K7" s="635">
        <f t="shared" ca="1" si="8"/>
        <v>0</v>
      </c>
      <c r="L7" s="634">
        <f ca="1">IF(YEAR('2026'!$B$1)&lt;C7,"",ROUND(INDIRECT(C7&amp;"!N15"),-1))</f>
        <v>0</v>
      </c>
      <c r="M7" s="368">
        <f t="shared" ca="1" si="4"/>
        <v>0</v>
      </c>
      <c r="N7" s="369">
        <f t="shared" ca="1" si="9"/>
        <v>0</v>
      </c>
      <c r="O7" s="631">
        <f ca="1">IF(YEAR('2026'!$B$1)&lt;C7,"",ROUND(INDIRECT(C7&amp;"!N18"),-1))</f>
        <v>0</v>
      </c>
      <c r="P7" s="631">
        <f t="shared" ca="1" si="5"/>
        <v>0</v>
      </c>
      <c r="Q7" s="632">
        <f t="shared" ca="1" si="10"/>
        <v>0</v>
      </c>
      <c r="R7" s="633">
        <f t="shared" ca="1" si="6"/>
        <v>2400000</v>
      </c>
      <c r="S7" s="235">
        <f ca="1">IF(F7="","",ROUND(SUM($R$3:R7),-1))</f>
        <v>11800000</v>
      </c>
    </row>
    <row r="8" spans="1:24" ht="9.75" customHeight="1">
      <c r="A8" s="230">
        <v>6</v>
      </c>
      <c r="B8" s="357">
        <f t="shared" ca="1" si="0"/>
        <v>8</v>
      </c>
      <c r="C8" s="231">
        <f ca="1">'퇴직때까지의 총연봉액'!D8</f>
        <v>2030</v>
      </c>
      <c r="D8" s="384">
        <f ca="1">기여금납부액총괄표!D8</f>
        <v>33</v>
      </c>
      <c r="E8" s="232">
        <f t="shared" ca="1" si="1"/>
        <v>18</v>
      </c>
      <c r="F8" s="363">
        <f ca="1">IF(YEAR('2026'!$B$1)&lt;C8,"",ROUND(INDIRECT(C8&amp;"!N14"),-1))</f>
        <v>2400000</v>
      </c>
      <c r="G8" s="363">
        <f t="shared" ca="1" si="7"/>
        <v>0</v>
      </c>
      <c r="H8" s="365">
        <f t="shared" ca="1" si="2"/>
        <v>0</v>
      </c>
      <c r="I8" s="634">
        <f ca="1">IF(YEAR('2026'!$B$1)&lt;C8,"",ROUND(INDIRECT(C8&amp;"!N15"),-1))</f>
        <v>0</v>
      </c>
      <c r="J8" s="634">
        <f t="shared" ca="1" si="3"/>
        <v>0</v>
      </c>
      <c r="K8" s="635">
        <f t="shared" ca="1" si="8"/>
        <v>0</v>
      </c>
      <c r="L8" s="634">
        <f ca="1">IF(YEAR('2026'!$B$1)&lt;C8,"",ROUND(INDIRECT(C8&amp;"!N15"),-1))</f>
        <v>0</v>
      </c>
      <c r="M8" s="368">
        <f t="shared" ca="1" si="4"/>
        <v>0</v>
      </c>
      <c r="N8" s="369">
        <f t="shared" ca="1" si="9"/>
        <v>0</v>
      </c>
      <c r="O8" s="631">
        <f ca="1">IF(YEAR('2026'!$B$1)&lt;C8,"",ROUND(INDIRECT(C8&amp;"!N18"),-1))</f>
        <v>0</v>
      </c>
      <c r="P8" s="631">
        <f t="shared" ca="1" si="5"/>
        <v>0</v>
      </c>
      <c r="Q8" s="632">
        <f t="shared" ca="1" si="10"/>
        <v>0</v>
      </c>
      <c r="R8" s="633">
        <f t="shared" ca="1" si="6"/>
        <v>2400000</v>
      </c>
      <c r="S8" s="235">
        <f ca="1">IF(F8="","",ROUND(SUM($R$3:R8),-1))</f>
        <v>14200000</v>
      </c>
    </row>
    <row r="9" spans="1:24" ht="9.75" customHeight="1">
      <c r="A9" s="230">
        <v>7</v>
      </c>
      <c r="B9" s="357">
        <f t="shared" ca="1" si="0"/>
        <v>9</v>
      </c>
      <c r="C9" s="231">
        <f ca="1">'퇴직때까지의 총연봉액'!D9</f>
        <v>2031</v>
      </c>
      <c r="D9" s="384">
        <f ca="1">기여금납부액총괄표!D9</f>
        <v>34</v>
      </c>
      <c r="E9" s="232">
        <f t="shared" ca="1" si="1"/>
        <v>19</v>
      </c>
      <c r="F9" s="363">
        <f ca="1">IF(YEAR('2026'!$B$1)&lt;C9,"",ROUND(INDIRECT(C9&amp;"!N14"),-1))</f>
        <v>2400000</v>
      </c>
      <c r="G9" s="363">
        <f t="shared" ca="1" si="7"/>
        <v>0</v>
      </c>
      <c r="H9" s="365">
        <f t="shared" ca="1" si="2"/>
        <v>0</v>
      </c>
      <c r="I9" s="634">
        <f ca="1">IF(YEAR('2026'!$B$1)&lt;C9,"",ROUND(INDIRECT(C9&amp;"!N15"),-1))</f>
        <v>0</v>
      </c>
      <c r="J9" s="634">
        <f t="shared" ca="1" si="3"/>
        <v>0</v>
      </c>
      <c r="K9" s="635">
        <f t="shared" ca="1" si="8"/>
        <v>0</v>
      </c>
      <c r="L9" s="634">
        <f ca="1">IF(YEAR('2026'!$B$1)&lt;C9,"",ROUND(INDIRECT(C9&amp;"!N15"),-1))</f>
        <v>0</v>
      </c>
      <c r="M9" s="368">
        <f t="shared" ca="1" si="4"/>
        <v>0</v>
      </c>
      <c r="N9" s="369">
        <f t="shared" ca="1" si="9"/>
        <v>0</v>
      </c>
      <c r="O9" s="631">
        <f ca="1">IF(YEAR('2026'!$B$1)&lt;C9,"",ROUND(INDIRECT(C9&amp;"!N18"),-1))</f>
        <v>0</v>
      </c>
      <c r="P9" s="631">
        <f t="shared" ca="1" si="5"/>
        <v>0</v>
      </c>
      <c r="Q9" s="632">
        <f t="shared" ca="1" si="10"/>
        <v>0</v>
      </c>
      <c r="R9" s="633">
        <f t="shared" ca="1" si="6"/>
        <v>2400000</v>
      </c>
      <c r="S9" s="235">
        <f ca="1">IF(F9="","",ROUND(SUM($R$3:R9),-1))</f>
        <v>16600000</v>
      </c>
    </row>
    <row r="10" spans="1:24" ht="9.75" customHeight="1">
      <c r="A10" s="230">
        <v>8</v>
      </c>
      <c r="B10" s="357">
        <f t="shared" ca="1" si="0"/>
        <v>10</v>
      </c>
      <c r="C10" s="231">
        <f ca="1">'퇴직때까지의 총연봉액'!D10</f>
        <v>2032</v>
      </c>
      <c r="D10" s="384">
        <f ca="1">기여금납부액총괄표!D10</f>
        <v>35</v>
      </c>
      <c r="E10" s="232">
        <f t="shared" ca="1" si="1"/>
        <v>20</v>
      </c>
      <c r="F10" s="363">
        <f ca="1">IF(YEAR('2026'!$B$1)&lt;C10,"",ROUND(INDIRECT(C10&amp;"!N14"),-1))</f>
        <v>2400000</v>
      </c>
      <c r="G10" s="363">
        <f t="shared" ca="1" si="7"/>
        <v>0</v>
      </c>
      <c r="H10" s="365">
        <f t="shared" ca="1" si="2"/>
        <v>0</v>
      </c>
      <c r="I10" s="634">
        <f ca="1">IF(YEAR('2026'!$B$1)&lt;C10,"",ROUND(INDIRECT(C10&amp;"!N15"),-1))</f>
        <v>0</v>
      </c>
      <c r="J10" s="634">
        <f t="shared" ca="1" si="3"/>
        <v>0</v>
      </c>
      <c r="K10" s="635">
        <f t="shared" ca="1" si="8"/>
        <v>0</v>
      </c>
      <c r="L10" s="634">
        <f ca="1">IF(YEAR('2026'!$B$1)&lt;C10,"",ROUND(INDIRECT(C10&amp;"!N15"),-1))</f>
        <v>0</v>
      </c>
      <c r="M10" s="368">
        <f t="shared" ca="1" si="4"/>
        <v>0</v>
      </c>
      <c r="N10" s="369">
        <f t="shared" ca="1" si="9"/>
        <v>0</v>
      </c>
      <c r="O10" s="631">
        <f ca="1">IF(YEAR('2026'!$B$1)&lt;C10,"",ROUND(INDIRECT(C10&amp;"!N18"),-1))</f>
        <v>0</v>
      </c>
      <c r="P10" s="631">
        <f t="shared" ca="1" si="5"/>
        <v>0</v>
      </c>
      <c r="Q10" s="632">
        <f t="shared" ca="1" si="10"/>
        <v>0</v>
      </c>
      <c r="R10" s="633">
        <f t="shared" ca="1" si="6"/>
        <v>2400000</v>
      </c>
      <c r="S10" s="235">
        <f ca="1">IF(F10="","",ROUND(SUM($R$3:R10),-1))</f>
        <v>19000000</v>
      </c>
      <c r="X10" s="380"/>
    </row>
    <row r="11" spans="1:24" ht="9.75" customHeight="1">
      <c r="A11" s="230">
        <v>9</v>
      </c>
      <c r="B11" s="357">
        <f t="shared" ca="1" si="0"/>
        <v>11</v>
      </c>
      <c r="C11" s="231">
        <f ca="1">'퇴직때까지의 총연봉액'!D11</f>
        <v>2033</v>
      </c>
      <c r="D11" s="384">
        <f ca="1">기여금납부액총괄표!D11</f>
        <v>36</v>
      </c>
      <c r="E11" s="232">
        <f t="shared" ca="1" si="1"/>
        <v>21</v>
      </c>
      <c r="F11" s="363">
        <f ca="1">IF(YEAR('2026'!$B$1)&lt;C11,"",ROUND(INDIRECT(C11&amp;"!N14"),-1))</f>
        <v>2400000</v>
      </c>
      <c r="G11" s="363">
        <f t="shared" ca="1" si="7"/>
        <v>0</v>
      </c>
      <c r="H11" s="365">
        <f t="shared" ca="1" si="2"/>
        <v>0</v>
      </c>
      <c r="I11" s="634">
        <f ca="1">IF(YEAR('2026'!$B$1)&lt;C11,"",ROUND(INDIRECT(C11&amp;"!N15"),-1))</f>
        <v>0</v>
      </c>
      <c r="J11" s="634">
        <f t="shared" ca="1" si="3"/>
        <v>0</v>
      </c>
      <c r="K11" s="635">
        <f t="shared" ca="1" si="8"/>
        <v>0</v>
      </c>
      <c r="L11" s="634">
        <f ca="1">IF(YEAR('2026'!$B$1)&lt;C11,"",ROUND(INDIRECT(C11&amp;"!N15"),-1))</f>
        <v>0</v>
      </c>
      <c r="M11" s="368">
        <f t="shared" ca="1" si="4"/>
        <v>0</v>
      </c>
      <c r="N11" s="369">
        <f t="shared" ca="1" si="9"/>
        <v>0</v>
      </c>
      <c r="O11" s="631">
        <f ca="1">IF(YEAR('2026'!$B$1)&lt;C11,"",ROUND(INDIRECT(C11&amp;"!N18"),-1))</f>
        <v>0</v>
      </c>
      <c r="P11" s="631">
        <f t="shared" ca="1" si="5"/>
        <v>0</v>
      </c>
      <c r="Q11" s="632">
        <f t="shared" ca="1" si="10"/>
        <v>0</v>
      </c>
      <c r="R11" s="633">
        <f t="shared" ca="1" si="6"/>
        <v>2400000</v>
      </c>
      <c r="S11" s="235">
        <f ca="1">IF(F11="","",ROUND(SUM($R$3:R11),-1))</f>
        <v>21400000</v>
      </c>
    </row>
    <row r="12" spans="1:24" ht="9.75" customHeight="1">
      <c r="A12" s="230">
        <v>10</v>
      </c>
      <c r="B12" s="357">
        <f t="shared" ca="1" si="0"/>
        <v>12</v>
      </c>
      <c r="C12" s="231">
        <f ca="1">'퇴직때까지의 총연봉액'!D12</f>
        <v>2034</v>
      </c>
      <c r="D12" s="384">
        <f ca="1">기여금납부액총괄표!D12</f>
        <v>37</v>
      </c>
      <c r="E12" s="232">
        <f t="shared" ca="1" si="1"/>
        <v>22</v>
      </c>
      <c r="F12" s="363">
        <f ca="1">IF(YEAR('2026'!$B$1)&lt;C12,"",ROUND(INDIRECT(C12&amp;"!N14"),-1))</f>
        <v>2400000</v>
      </c>
      <c r="G12" s="363">
        <f t="shared" ca="1" si="7"/>
        <v>0</v>
      </c>
      <c r="H12" s="365">
        <f t="shared" ca="1" si="2"/>
        <v>0</v>
      </c>
      <c r="I12" s="634">
        <f ca="1">IF(YEAR('2026'!$B$1)&lt;C12,"",ROUND(INDIRECT(C12&amp;"!N15"),-1))</f>
        <v>0</v>
      </c>
      <c r="J12" s="634">
        <f t="shared" ca="1" si="3"/>
        <v>0</v>
      </c>
      <c r="K12" s="635">
        <f t="shared" ca="1" si="8"/>
        <v>0</v>
      </c>
      <c r="L12" s="634">
        <f ca="1">IF(YEAR('2026'!$B$1)&lt;C12,"",ROUND(INDIRECT(C12&amp;"!N15"),-1))</f>
        <v>0</v>
      </c>
      <c r="M12" s="368">
        <f t="shared" ca="1" si="4"/>
        <v>0</v>
      </c>
      <c r="N12" s="369">
        <f t="shared" ca="1" si="9"/>
        <v>0</v>
      </c>
      <c r="O12" s="631">
        <f ca="1">IF(YEAR('2026'!$B$1)&lt;C12,"",ROUND(INDIRECT(C12&amp;"!N18"),-1))</f>
        <v>0</v>
      </c>
      <c r="P12" s="631">
        <f t="shared" ca="1" si="5"/>
        <v>0</v>
      </c>
      <c r="Q12" s="632">
        <f t="shared" ca="1" si="10"/>
        <v>0</v>
      </c>
      <c r="R12" s="633">
        <f t="shared" ca="1" si="6"/>
        <v>2400000</v>
      </c>
      <c r="S12" s="235">
        <f ca="1">IF(F12="","",ROUND(SUM($R$3:R12),-1))</f>
        <v>23800000</v>
      </c>
    </row>
    <row r="13" spans="1:24" ht="9.75" customHeight="1">
      <c r="A13" s="230">
        <v>11</v>
      </c>
      <c r="B13" s="357">
        <f t="shared" ca="1" si="0"/>
        <v>13</v>
      </c>
      <c r="C13" s="231">
        <f ca="1">'퇴직때까지의 총연봉액'!D13</f>
        <v>2035</v>
      </c>
      <c r="D13" s="384">
        <f ca="1">기여금납부액총괄표!D13</f>
        <v>38</v>
      </c>
      <c r="E13" s="232">
        <f t="shared" ca="1" si="1"/>
        <v>23</v>
      </c>
      <c r="F13" s="363">
        <f ca="1">IF(YEAR('2026'!$B$1)&lt;C13,"",ROUND(INDIRECT(C13&amp;"!N14"),-1))</f>
        <v>2400000</v>
      </c>
      <c r="G13" s="363">
        <f t="shared" ca="1" si="7"/>
        <v>0</v>
      </c>
      <c r="H13" s="365">
        <f t="shared" ca="1" si="2"/>
        <v>0</v>
      </c>
      <c r="I13" s="634">
        <f ca="1">IF(YEAR('2026'!$B$1)&lt;C13,"",ROUND(INDIRECT(C13&amp;"!N15"),-1))</f>
        <v>0</v>
      </c>
      <c r="J13" s="634">
        <f t="shared" ca="1" si="3"/>
        <v>0</v>
      </c>
      <c r="K13" s="635">
        <f t="shared" ca="1" si="8"/>
        <v>0</v>
      </c>
      <c r="L13" s="634">
        <f ca="1">IF(YEAR('2026'!$B$1)&lt;C13,"",ROUND(INDIRECT(C13&amp;"!N15"),-1))</f>
        <v>0</v>
      </c>
      <c r="M13" s="368">
        <f t="shared" ca="1" si="4"/>
        <v>0</v>
      </c>
      <c r="N13" s="369">
        <f t="shared" ca="1" si="9"/>
        <v>0</v>
      </c>
      <c r="O13" s="631">
        <f ca="1">IF(YEAR('2026'!$B$1)&lt;C13,"",ROUND(INDIRECT(C13&amp;"!N18"),-1))</f>
        <v>0</v>
      </c>
      <c r="P13" s="631">
        <f t="shared" ca="1" si="5"/>
        <v>0</v>
      </c>
      <c r="Q13" s="632">
        <f t="shared" ca="1" si="10"/>
        <v>0</v>
      </c>
      <c r="R13" s="633">
        <f t="shared" ca="1" si="6"/>
        <v>2400000</v>
      </c>
      <c r="S13" s="235">
        <f ca="1">IF(F13="","",ROUND(SUM($R$3:R13),-1))</f>
        <v>26200000</v>
      </c>
    </row>
    <row r="14" spans="1:24" ht="9.75" customHeight="1">
      <c r="A14" s="230">
        <v>12</v>
      </c>
      <c r="B14" s="357">
        <f t="shared" ca="1" si="0"/>
        <v>14</v>
      </c>
      <c r="C14" s="231">
        <f ca="1">'퇴직때까지의 총연봉액'!D14</f>
        <v>2036</v>
      </c>
      <c r="D14" s="384">
        <f ca="1">기여금납부액총괄표!D14</f>
        <v>39</v>
      </c>
      <c r="E14" s="232">
        <f t="shared" ca="1" si="1"/>
        <v>24</v>
      </c>
      <c r="F14" s="363">
        <f ca="1">IF(YEAR('2026'!$B$1)&lt;C14,"",ROUND(INDIRECT(C14&amp;"!N14"),-1))</f>
        <v>2400000</v>
      </c>
      <c r="G14" s="363">
        <f t="shared" ca="1" si="7"/>
        <v>0</v>
      </c>
      <c r="H14" s="365">
        <f t="shared" ca="1" si="2"/>
        <v>0</v>
      </c>
      <c r="I14" s="634">
        <f ca="1">IF(YEAR('2026'!$B$1)&lt;C14,"",ROUND(INDIRECT(C14&amp;"!N15"),-1))</f>
        <v>0</v>
      </c>
      <c r="J14" s="634">
        <f t="shared" ca="1" si="3"/>
        <v>0</v>
      </c>
      <c r="K14" s="635">
        <f t="shared" ca="1" si="8"/>
        <v>0</v>
      </c>
      <c r="L14" s="634">
        <f ca="1">IF(YEAR('2026'!$B$1)&lt;C14,"",ROUND(INDIRECT(C14&amp;"!N15"),-1))</f>
        <v>0</v>
      </c>
      <c r="M14" s="368">
        <f t="shared" ca="1" si="4"/>
        <v>0</v>
      </c>
      <c r="N14" s="369">
        <f t="shared" ca="1" si="9"/>
        <v>0</v>
      </c>
      <c r="O14" s="631">
        <f ca="1">IF(YEAR('2026'!$B$1)&lt;C14,"",ROUND(INDIRECT(C14&amp;"!N18"),-1))</f>
        <v>0</v>
      </c>
      <c r="P14" s="631">
        <f t="shared" ca="1" si="5"/>
        <v>0</v>
      </c>
      <c r="Q14" s="632">
        <f t="shared" ca="1" si="10"/>
        <v>0</v>
      </c>
      <c r="R14" s="633">
        <f t="shared" ca="1" si="6"/>
        <v>2400000</v>
      </c>
      <c r="S14" s="235">
        <f ca="1">IF(F14="","",ROUND(SUM($R$3:R14),-1))</f>
        <v>28600000</v>
      </c>
    </row>
    <row r="15" spans="1:24" ht="9.75" customHeight="1">
      <c r="A15" s="230">
        <v>13</v>
      </c>
      <c r="B15" s="357">
        <f t="shared" ca="1" si="0"/>
        <v>15</v>
      </c>
      <c r="C15" s="231">
        <f ca="1">'퇴직때까지의 총연봉액'!D15</f>
        <v>2037</v>
      </c>
      <c r="D15" s="384">
        <f ca="1">기여금납부액총괄표!D15</f>
        <v>40</v>
      </c>
      <c r="E15" s="232">
        <f t="shared" ca="1" si="1"/>
        <v>25</v>
      </c>
      <c r="F15" s="363">
        <f ca="1">IF(YEAR('2026'!$B$1)&lt;C15,"",ROUND(INDIRECT(C15&amp;"!N14"),-1))</f>
        <v>2400000</v>
      </c>
      <c r="G15" s="363">
        <f t="shared" ca="1" si="7"/>
        <v>0</v>
      </c>
      <c r="H15" s="365">
        <f t="shared" ca="1" si="2"/>
        <v>0</v>
      </c>
      <c r="I15" s="634">
        <f ca="1">IF(YEAR('2026'!$B$1)&lt;C15,"",ROUND(INDIRECT(C15&amp;"!N15"),-1))</f>
        <v>0</v>
      </c>
      <c r="J15" s="634">
        <f t="shared" ca="1" si="3"/>
        <v>0</v>
      </c>
      <c r="K15" s="635">
        <f t="shared" ca="1" si="8"/>
        <v>0</v>
      </c>
      <c r="L15" s="634">
        <f ca="1">IF(YEAR('2026'!$B$1)&lt;C15,"",ROUND(INDIRECT(C15&amp;"!N15"),-1))</f>
        <v>0</v>
      </c>
      <c r="M15" s="368">
        <f t="shared" ca="1" si="4"/>
        <v>0</v>
      </c>
      <c r="N15" s="369">
        <f t="shared" ca="1" si="9"/>
        <v>0</v>
      </c>
      <c r="O15" s="631">
        <f ca="1">IF(YEAR('2026'!$B$1)&lt;C15,"",ROUND(INDIRECT(C15&amp;"!N18"),-1))</f>
        <v>0</v>
      </c>
      <c r="P15" s="631">
        <f t="shared" ca="1" si="5"/>
        <v>0</v>
      </c>
      <c r="Q15" s="632">
        <f t="shared" ca="1" si="10"/>
        <v>0</v>
      </c>
      <c r="R15" s="633">
        <f t="shared" ca="1" si="6"/>
        <v>2400000</v>
      </c>
      <c r="S15" s="235">
        <f ca="1">IF(F15="","",ROUND(SUM($R$3:R15),-1))</f>
        <v>31000000</v>
      </c>
      <c r="U15" s="380"/>
      <c r="V15" s="381"/>
      <c r="W15" s="379"/>
    </row>
    <row r="16" spans="1:24" ht="9.75" customHeight="1">
      <c r="A16" s="230">
        <v>14</v>
      </c>
      <c r="B16" s="357">
        <f t="shared" ca="1" si="0"/>
        <v>16</v>
      </c>
      <c r="C16" s="231">
        <f ca="1">'퇴직때까지의 총연봉액'!D16</f>
        <v>2038</v>
      </c>
      <c r="D16" s="384">
        <f ca="1">기여금납부액총괄표!D16</f>
        <v>41</v>
      </c>
      <c r="E16" s="232">
        <f t="shared" ca="1" si="1"/>
        <v>26</v>
      </c>
      <c r="F16" s="363">
        <f ca="1">IF(YEAR('2026'!$B$1)&lt;C16,"",ROUND(INDIRECT(C16&amp;"!N14"),-1))</f>
        <v>2400000</v>
      </c>
      <c r="G16" s="363">
        <f t="shared" ca="1" si="7"/>
        <v>0</v>
      </c>
      <c r="H16" s="365">
        <f t="shared" ca="1" si="2"/>
        <v>0</v>
      </c>
      <c r="I16" s="634">
        <f ca="1">IF(YEAR('2026'!$B$1)&lt;C16,"",ROUND(INDIRECT(C16&amp;"!N15"),-1))</f>
        <v>0</v>
      </c>
      <c r="J16" s="634">
        <f t="shared" ca="1" si="3"/>
        <v>0</v>
      </c>
      <c r="K16" s="635">
        <f t="shared" ca="1" si="8"/>
        <v>0</v>
      </c>
      <c r="L16" s="634">
        <f ca="1">IF(YEAR('2026'!$B$1)&lt;C16,"",ROUND(INDIRECT(C16&amp;"!N15"),-1))</f>
        <v>0</v>
      </c>
      <c r="M16" s="368">
        <f t="shared" ca="1" si="4"/>
        <v>0</v>
      </c>
      <c r="N16" s="369">
        <f t="shared" ca="1" si="9"/>
        <v>0</v>
      </c>
      <c r="O16" s="631">
        <f ca="1">IF(YEAR('2026'!$B$1)&lt;C16,"",ROUND(INDIRECT(C16&amp;"!N18"),-1))</f>
        <v>0</v>
      </c>
      <c r="P16" s="631">
        <f t="shared" ca="1" si="5"/>
        <v>0</v>
      </c>
      <c r="Q16" s="632">
        <f t="shared" ca="1" si="10"/>
        <v>0</v>
      </c>
      <c r="R16" s="633">
        <f t="shared" ca="1" si="6"/>
        <v>2400000</v>
      </c>
      <c r="S16" s="235">
        <f ca="1">IF(F16="","",ROUND(SUM($R$3:R16),-1))</f>
        <v>33400000</v>
      </c>
    </row>
    <row r="17" spans="1:23" ht="9.75" customHeight="1">
      <c r="A17" s="230">
        <v>15</v>
      </c>
      <c r="B17" s="357">
        <f t="shared" ca="1" si="0"/>
        <v>17</v>
      </c>
      <c r="C17" s="231">
        <f ca="1">'퇴직때까지의 총연봉액'!D17</f>
        <v>2039</v>
      </c>
      <c r="D17" s="384">
        <f ca="1">기여금납부액총괄표!D17</f>
        <v>42</v>
      </c>
      <c r="E17" s="232">
        <f t="shared" ca="1" si="1"/>
        <v>27</v>
      </c>
      <c r="F17" s="363">
        <f ca="1">IF(YEAR('2026'!$B$1)&lt;C17,"",ROUND(INDIRECT(C17&amp;"!N14"),-1))</f>
        <v>2400000</v>
      </c>
      <c r="G17" s="363">
        <f t="shared" ca="1" si="7"/>
        <v>0</v>
      </c>
      <c r="H17" s="365">
        <f t="shared" ca="1" si="2"/>
        <v>0</v>
      </c>
      <c r="I17" s="634">
        <f ca="1">IF(YEAR('2026'!$B$1)&lt;C17,"",ROUND(INDIRECT(C17&amp;"!N15"),-1))</f>
        <v>0</v>
      </c>
      <c r="J17" s="634">
        <f t="shared" ca="1" si="3"/>
        <v>0</v>
      </c>
      <c r="K17" s="635">
        <f t="shared" ca="1" si="8"/>
        <v>0</v>
      </c>
      <c r="L17" s="634">
        <f ca="1">IF(YEAR('2026'!$B$1)&lt;C17,"",ROUND(INDIRECT(C17&amp;"!N15"),-1))</f>
        <v>0</v>
      </c>
      <c r="M17" s="368">
        <f t="shared" ca="1" si="4"/>
        <v>0</v>
      </c>
      <c r="N17" s="369">
        <f t="shared" ca="1" si="9"/>
        <v>0</v>
      </c>
      <c r="O17" s="631">
        <f ca="1">IF(YEAR('2026'!$B$1)&lt;C17,"",ROUND(INDIRECT(C17&amp;"!N18"),-1))</f>
        <v>0</v>
      </c>
      <c r="P17" s="631">
        <f t="shared" ca="1" si="5"/>
        <v>0</v>
      </c>
      <c r="Q17" s="632">
        <f t="shared" ca="1" si="10"/>
        <v>0</v>
      </c>
      <c r="R17" s="633">
        <f t="shared" ca="1" si="6"/>
        <v>2400000</v>
      </c>
      <c r="S17" s="235">
        <f ca="1">IF(F17="","",ROUND(SUM($R$3:R17),-1))</f>
        <v>35800000</v>
      </c>
    </row>
    <row r="18" spans="1:23" ht="9.75" customHeight="1">
      <c r="A18" s="230">
        <v>16</v>
      </c>
      <c r="B18" s="357">
        <f t="shared" ca="1" si="0"/>
        <v>18</v>
      </c>
      <c r="C18" s="231">
        <f ca="1">'퇴직때까지의 총연봉액'!D18</f>
        <v>2040</v>
      </c>
      <c r="D18" s="384">
        <f ca="1">기여금납부액총괄표!D18</f>
        <v>43</v>
      </c>
      <c r="E18" s="232">
        <f t="shared" ca="1" si="1"/>
        <v>28</v>
      </c>
      <c r="F18" s="363">
        <f ca="1">IF(YEAR('2026'!$B$1)&lt;C18,"",ROUND(INDIRECT(C18&amp;"!N14"),-1))</f>
        <v>2400000</v>
      </c>
      <c r="G18" s="363">
        <f t="shared" ca="1" si="7"/>
        <v>0</v>
      </c>
      <c r="H18" s="365">
        <f t="shared" ca="1" si="2"/>
        <v>0</v>
      </c>
      <c r="I18" s="634">
        <f ca="1">IF(YEAR('2026'!$B$1)&lt;C18,"",ROUND(INDIRECT(C18&amp;"!N15"),-1))</f>
        <v>0</v>
      </c>
      <c r="J18" s="634">
        <f t="shared" ca="1" si="3"/>
        <v>0</v>
      </c>
      <c r="K18" s="635">
        <f t="shared" ca="1" si="8"/>
        <v>0</v>
      </c>
      <c r="L18" s="634">
        <f ca="1">IF(YEAR('2026'!$B$1)&lt;C18,"",ROUND(INDIRECT(C18&amp;"!N15"),-1))</f>
        <v>0</v>
      </c>
      <c r="M18" s="368">
        <f t="shared" ca="1" si="4"/>
        <v>0</v>
      </c>
      <c r="N18" s="369">
        <f t="shared" ca="1" si="9"/>
        <v>0</v>
      </c>
      <c r="O18" s="631">
        <f ca="1">IF(YEAR('2026'!$B$1)&lt;C18,"",ROUND(INDIRECT(C18&amp;"!N18"),-1))</f>
        <v>0</v>
      </c>
      <c r="P18" s="631">
        <f t="shared" ca="1" si="5"/>
        <v>0</v>
      </c>
      <c r="Q18" s="632">
        <f t="shared" ca="1" si="10"/>
        <v>0</v>
      </c>
      <c r="R18" s="633">
        <f t="shared" ca="1" si="6"/>
        <v>2400000</v>
      </c>
      <c r="S18" s="235">
        <f ca="1">IF(F18="","",ROUND(SUM($R$3:R18),-1))</f>
        <v>38200000</v>
      </c>
    </row>
    <row r="19" spans="1:23" ht="9.75" customHeight="1">
      <c r="A19" s="230">
        <v>17</v>
      </c>
      <c r="B19" s="357">
        <f t="shared" ca="1" si="0"/>
        <v>19</v>
      </c>
      <c r="C19" s="231">
        <f ca="1">'퇴직때까지의 총연봉액'!D19</f>
        <v>2041</v>
      </c>
      <c r="D19" s="384">
        <f ca="1">기여금납부액총괄표!D19</f>
        <v>44</v>
      </c>
      <c r="E19" s="232">
        <f t="shared" ca="1" si="1"/>
        <v>29</v>
      </c>
      <c r="F19" s="363">
        <f ca="1">IF(YEAR('2026'!$B$1)&lt;C19,"",ROUND(INDIRECT(C19&amp;"!N14"),-1))</f>
        <v>2400000</v>
      </c>
      <c r="G19" s="363">
        <f t="shared" ca="1" si="7"/>
        <v>0</v>
      </c>
      <c r="H19" s="365">
        <f t="shared" ca="1" si="2"/>
        <v>0</v>
      </c>
      <c r="I19" s="634">
        <f ca="1">IF(YEAR('2026'!$B$1)&lt;C19,"",ROUND(INDIRECT(C19&amp;"!N15"),-1))</f>
        <v>0</v>
      </c>
      <c r="J19" s="634">
        <f t="shared" ca="1" si="3"/>
        <v>0</v>
      </c>
      <c r="K19" s="635">
        <f t="shared" ca="1" si="8"/>
        <v>0</v>
      </c>
      <c r="L19" s="634">
        <f ca="1">IF(YEAR('2026'!$B$1)&lt;C19,"",ROUND(INDIRECT(C19&amp;"!N15"),-1))</f>
        <v>0</v>
      </c>
      <c r="M19" s="368">
        <f t="shared" ca="1" si="4"/>
        <v>0</v>
      </c>
      <c r="N19" s="369">
        <f t="shared" ca="1" si="9"/>
        <v>0</v>
      </c>
      <c r="O19" s="631">
        <f ca="1">IF(YEAR('2026'!$B$1)&lt;C19,"",ROUND(INDIRECT(C19&amp;"!N18"),-1))</f>
        <v>0</v>
      </c>
      <c r="P19" s="631">
        <f t="shared" ca="1" si="5"/>
        <v>0</v>
      </c>
      <c r="Q19" s="632">
        <f t="shared" ca="1" si="10"/>
        <v>0</v>
      </c>
      <c r="R19" s="633">
        <f t="shared" ca="1" si="6"/>
        <v>2400000</v>
      </c>
      <c r="S19" s="235">
        <f ca="1">IF(F19="","",ROUND(SUM($R$3:R19),-1))</f>
        <v>40600000</v>
      </c>
    </row>
    <row r="20" spans="1:23" ht="9.75" customHeight="1">
      <c r="A20" s="230">
        <v>18</v>
      </c>
      <c r="B20" s="357">
        <f t="shared" ca="1" si="0"/>
        <v>20</v>
      </c>
      <c r="C20" s="231">
        <f ca="1">'퇴직때까지의 총연봉액'!D20</f>
        <v>2042</v>
      </c>
      <c r="D20" s="384">
        <f ca="1">기여금납부액총괄표!D20</f>
        <v>45</v>
      </c>
      <c r="E20" s="232">
        <f t="shared" ca="1" si="1"/>
        <v>30</v>
      </c>
      <c r="F20" s="363">
        <f ca="1">IF(YEAR('2026'!$B$1)&lt;C20,"",ROUND(INDIRECT(C20&amp;"!N14"),-1))</f>
        <v>2400000</v>
      </c>
      <c r="G20" s="363">
        <f t="shared" ca="1" si="7"/>
        <v>0</v>
      </c>
      <c r="H20" s="365">
        <f t="shared" ca="1" si="2"/>
        <v>0</v>
      </c>
      <c r="I20" s="634">
        <f ca="1">IF(YEAR('2026'!$B$1)&lt;C20,"",ROUND(INDIRECT(C20&amp;"!N15"),-1))</f>
        <v>0</v>
      </c>
      <c r="J20" s="634">
        <f t="shared" ca="1" si="3"/>
        <v>0</v>
      </c>
      <c r="K20" s="635">
        <f t="shared" ca="1" si="8"/>
        <v>0</v>
      </c>
      <c r="L20" s="634">
        <f ca="1">IF(YEAR('2026'!$B$1)&lt;C20,"",ROUND(INDIRECT(C20&amp;"!N15"),-1))</f>
        <v>0</v>
      </c>
      <c r="M20" s="368">
        <f t="shared" ca="1" si="4"/>
        <v>0</v>
      </c>
      <c r="N20" s="369">
        <f t="shared" ca="1" si="9"/>
        <v>0</v>
      </c>
      <c r="O20" s="631">
        <f ca="1">IF(YEAR('2026'!$B$1)&lt;C20,"",ROUND(INDIRECT(C20&amp;"!N18"),-1))</f>
        <v>0</v>
      </c>
      <c r="P20" s="631">
        <f t="shared" ca="1" si="5"/>
        <v>0</v>
      </c>
      <c r="Q20" s="632">
        <f t="shared" ca="1" si="10"/>
        <v>0</v>
      </c>
      <c r="R20" s="633">
        <f t="shared" ca="1" si="6"/>
        <v>2400000</v>
      </c>
      <c r="S20" s="235">
        <f ca="1">IF(F20="","",ROUND(SUM($R$3:R20),-1))</f>
        <v>43000000</v>
      </c>
      <c r="V20" s="161"/>
    </row>
    <row r="21" spans="1:23" ht="9.75" customHeight="1">
      <c r="A21" s="230">
        <v>19</v>
      </c>
      <c r="B21" s="357">
        <f t="shared" ca="1" si="0"/>
        <v>21</v>
      </c>
      <c r="C21" s="231">
        <f ca="1">'퇴직때까지의 총연봉액'!D21</f>
        <v>2043</v>
      </c>
      <c r="D21" s="384">
        <f ca="1">기여금납부액총괄표!D21</f>
        <v>46</v>
      </c>
      <c r="E21" s="232">
        <f t="shared" ca="1" si="1"/>
        <v>31</v>
      </c>
      <c r="F21" s="363">
        <f ca="1">IF(YEAR('2026'!$B$1)&lt;C21,"",ROUND(INDIRECT(C21&amp;"!N14"),-1))</f>
        <v>2400000</v>
      </c>
      <c r="G21" s="363">
        <f t="shared" ca="1" si="7"/>
        <v>0</v>
      </c>
      <c r="H21" s="365">
        <f t="shared" ca="1" si="2"/>
        <v>0</v>
      </c>
      <c r="I21" s="634">
        <f ca="1">IF(YEAR('2026'!$B$1)&lt;C21,"",ROUND(INDIRECT(C21&amp;"!N15"),-1))</f>
        <v>0</v>
      </c>
      <c r="J21" s="634">
        <f t="shared" ca="1" si="3"/>
        <v>0</v>
      </c>
      <c r="K21" s="635">
        <f t="shared" ca="1" si="8"/>
        <v>0</v>
      </c>
      <c r="L21" s="634">
        <f ca="1">IF(YEAR('2026'!$B$1)&lt;C21,"",ROUND(INDIRECT(C21&amp;"!N15"),-1))</f>
        <v>0</v>
      </c>
      <c r="M21" s="368">
        <f t="shared" ca="1" si="4"/>
        <v>0</v>
      </c>
      <c r="N21" s="369">
        <f t="shared" ca="1" si="9"/>
        <v>0</v>
      </c>
      <c r="O21" s="631">
        <f ca="1">IF(YEAR('2026'!$B$1)&lt;C21,"",ROUND(INDIRECT(C21&amp;"!N18"),-1))</f>
        <v>0</v>
      </c>
      <c r="P21" s="631">
        <f t="shared" ca="1" si="5"/>
        <v>0</v>
      </c>
      <c r="Q21" s="632">
        <f t="shared" ca="1" si="10"/>
        <v>0</v>
      </c>
      <c r="R21" s="633">
        <f t="shared" ca="1" si="6"/>
        <v>2400000</v>
      </c>
      <c r="S21" s="235">
        <f ca="1">IF(F21="","",ROUND(SUM($R$3:R21),-1))</f>
        <v>45400000</v>
      </c>
    </row>
    <row r="22" spans="1:23" ht="9.75" customHeight="1">
      <c r="A22" s="230">
        <v>20</v>
      </c>
      <c r="B22" s="357">
        <f t="shared" ca="1" si="0"/>
        <v>22</v>
      </c>
      <c r="C22" s="231">
        <f ca="1">'퇴직때까지의 총연봉액'!D22</f>
        <v>2044</v>
      </c>
      <c r="D22" s="384">
        <f ca="1">기여금납부액총괄표!D22</f>
        <v>47</v>
      </c>
      <c r="E22" s="232">
        <f t="shared" ca="1" si="1"/>
        <v>32</v>
      </c>
      <c r="F22" s="363">
        <f ca="1">IF(YEAR('2026'!$B$1)&lt;C22,"",ROUND(INDIRECT(C22&amp;"!N14"),-1))</f>
        <v>2400000</v>
      </c>
      <c r="G22" s="363">
        <f t="shared" ca="1" si="7"/>
        <v>0</v>
      </c>
      <c r="H22" s="365">
        <f t="shared" ca="1" si="2"/>
        <v>0</v>
      </c>
      <c r="I22" s="634">
        <f ca="1">IF(YEAR('2026'!$B$1)&lt;C22,"",ROUND(INDIRECT(C22&amp;"!N15"),-1))</f>
        <v>0</v>
      </c>
      <c r="J22" s="634">
        <f t="shared" ca="1" si="3"/>
        <v>0</v>
      </c>
      <c r="K22" s="635">
        <f t="shared" ca="1" si="8"/>
        <v>0</v>
      </c>
      <c r="L22" s="634">
        <f ca="1">IF(YEAR('2026'!$B$1)&lt;C22,"",ROUND(INDIRECT(C22&amp;"!N15"),-1))</f>
        <v>0</v>
      </c>
      <c r="M22" s="368">
        <f t="shared" ca="1" si="4"/>
        <v>0</v>
      </c>
      <c r="N22" s="369">
        <f t="shared" ca="1" si="9"/>
        <v>0</v>
      </c>
      <c r="O22" s="631">
        <f ca="1">IF(YEAR('2026'!$B$1)&lt;C22,"",ROUND(INDIRECT(C22&amp;"!N18"),-1))</f>
        <v>0</v>
      </c>
      <c r="P22" s="631">
        <f t="shared" ca="1" si="5"/>
        <v>0</v>
      </c>
      <c r="Q22" s="632">
        <f t="shared" ca="1" si="10"/>
        <v>0</v>
      </c>
      <c r="R22" s="633">
        <f t="shared" ca="1" si="6"/>
        <v>2400000</v>
      </c>
      <c r="S22" s="235">
        <f ca="1">IF(F22="","",ROUND(SUM($R$3:R22),-1))</f>
        <v>47800000</v>
      </c>
    </row>
    <row r="23" spans="1:23" ht="9.75" customHeight="1">
      <c r="A23" s="230">
        <v>21</v>
      </c>
      <c r="B23" s="357">
        <f t="shared" ca="1" si="0"/>
        <v>23</v>
      </c>
      <c r="C23" s="231">
        <f ca="1">'퇴직때까지의 총연봉액'!D23</f>
        <v>2045</v>
      </c>
      <c r="D23" s="384">
        <f ca="1">기여금납부액총괄표!D23</f>
        <v>48</v>
      </c>
      <c r="E23" s="232">
        <f t="shared" ca="1" si="1"/>
        <v>33</v>
      </c>
      <c r="F23" s="363">
        <f ca="1">IF(YEAR('2026'!$B$1)&lt;C23,"",ROUND(INDIRECT(C23&amp;"!N14"),-1))</f>
        <v>2400000</v>
      </c>
      <c r="G23" s="363">
        <f t="shared" ca="1" si="7"/>
        <v>0</v>
      </c>
      <c r="H23" s="365">
        <f t="shared" ca="1" si="2"/>
        <v>0</v>
      </c>
      <c r="I23" s="634">
        <f ca="1">IF(YEAR('2026'!$B$1)&lt;C23,"",ROUND(INDIRECT(C23&amp;"!N15"),-1))</f>
        <v>0</v>
      </c>
      <c r="J23" s="634">
        <f t="shared" ca="1" si="3"/>
        <v>0</v>
      </c>
      <c r="K23" s="635">
        <f t="shared" ca="1" si="8"/>
        <v>0</v>
      </c>
      <c r="L23" s="634">
        <f ca="1">IF(YEAR('2026'!$B$1)&lt;C23,"",ROUND(INDIRECT(C23&amp;"!N15"),-1))</f>
        <v>0</v>
      </c>
      <c r="M23" s="368">
        <f t="shared" ca="1" si="4"/>
        <v>0</v>
      </c>
      <c r="N23" s="369">
        <f t="shared" ca="1" si="9"/>
        <v>0</v>
      </c>
      <c r="O23" s="631">
        <f ca="1">IF(YEAR('2026'!$B$1)&lt;C23,"",ROUND(INDIRECT(C23&amp;"!N18"),-1))</f>
        <v>0</v>
      </c>
      <c r="P23" s="631">
        <f t="shared" ca="1" si="5"/>
        <v>0</v>
      </c>
      <c r="Q23" s="632">
        <f t="shared" ca="1" si="10"/>
        <v>0</v>
      </c>
      <c r="R23" s="633">
        <f t="shared" ca="1" si="6"/>
        <v>2400000</v>
      </c>
      <c r="S23" s="235">
        <f ca="1">IF(F23="","",ROUND(SUM($R$3:R23),-1))</f>
        <v>50200000</v>
      </c>
    </row>
    <row r="24" spans="1:23" ht="9.75" customHeight="1">
      <c r="A24" s="230">
        <v>22</v>
      </c>
      <c r="B24" s="357">
        <f t="shared" ca="1" si="0"/>
        <v>24</v>
      </c>
      <c r="C24" s="231">
        <f ca="1">'퇴직때까지의 총연봉액'!D24</f>
        <v>2046</v>
      </c>
      <c r="D24" s="384">
        <f ca="1">기여금납부액총괄표!D24</f>
        <v>49</v>
      </c>
      <c r="E24" s="232">
        <f t="shared" ca="1" si="1"/>
        <v>34</v>
      </c>
      <c r="F24" s="363">
        <f ca="1">IF(YEAR('2026'!$B$1)&lt;C24,"",ROUND(INDIRECT(C24&amp;"!N14"),-1))</f>
        <v>2400000</v>
      </c>
      <c r="G24" s="363">
        <f t="shared" ca="1" si="7"/>
        <v>0</v>
      </c>
      <c r="H24" s="365">
        <f t="shared" ca="1" si="2"/>
        <v>0</v>
      </c>
      <c r="I24" s="634">
        <f ca="1">IF(YEAR('2026'!$B$1)&lt;C24,"",ROUND(INDIRECT(C24&amp;"!N15"),-1))</f>
        <v>0</v>
      </c>
      <c r="J24" s="634">
        <f t="shared" ca="1" si="3"/>
        <v>0</v>
      </c>
      <c r="K24" s="635">
        <f t="shared" ca="1" si="8"/>
        <v>0</v>
      </c>
      <c r="L24" s="634">
        <f ca="1">IF(YEAR('2026'!$B$1)&lt;C24,"",ROUND(INDIRECT(C24&amp;"!N15"),-1))</f>
        <v>0</v>
      </c>
      <c r="M24" s="368">
        <f t="shared" ca="1" si="4"/>
        <v>0</v>
      </c>
      <c r="N24" s="369">
        <f t="shared" ca="1" si="9"/>
        <v>0</v>
      </c>
      <c r="O24" s="631">
        <f ca="1">IF(YEAR('2026'!$B$1)&lt;C24,"",ROUND(INDIRECT(C24&amp;"!N18"),-1))</f>
        <v>0</v>
      </c>
      <c r="P24" s="631">
        <f t="shared" ca="1" si="5"/>
        <v>0</v>
      </c>
      <c r="Q24" s="632">
        <f t="shared" ca="1" si="10"/>
        <v>0</v>
      </c>
      <c r="R24" s="633">
        <f t="shared" ca="1" si="6"/>
        <v>2400000</v>
      </c>
      <c r="S24" s="235">
        <f ca="1">IF(F24="","",ROUND(SUM($R$3:R24),-1))</f>
        <v>52600000</v>
      </c>
    </row>
    <row r="25" spans="1:23" ht="9.75" customHeight="1">
      <c r="A25" s="230">
        <v>23</v>
      </c>
      <c r="B25" s="357">
        <f t="shared" ca="1" si="0"/>
        <v>25</v>
      </c>
      <c r="C25" s="231">
        <f ca="1">'퇴직때까지의 총연봉액'!D25</f>
        <v>2047</v>
      </c>
      <c r="D25" s="384">
        <f ca="1">기여금납부액총괄표!D25</f>
        <v>50</v>
      </c>
      <c r="E25" s="232">
        <f t="shared" ca="1" si="1"/>
        <v>35</v>
      </c>
      <c r="F25" s="363">
        <f ca="1">IF(YEAR('2026'!$B$1)&lt;C25,"",ROUND(INDIRECT(C25&amp;"!N14"),-1))</f>
        <v>2400000</v>
      </c>
      <c r="G25" s="363">
        <f t="shared" ca="1" si="7"/>
        <v>0</v>
      </c>
      <c r="H25" s="365">
        <f t="shared" ca="1" si="2"/>
        <v>0</v>
      </c>
      <c r="I25" s="634">
        <f ca="1">IF(YEAR('2026'!$B$1)&lt;C25,"",ROUND(INDIRECT(C25&amp;"!N15"),-1))</f>
        <v>0</v>
      </c>
      <c r="J25" s="634">
        <f t="shared" ca="1" si="3"/>
        <v>0</v>
      </c>
      <c r="K25" s="635">
        <f t="shared" ca="1" si="8"/>
        <v>0</v>
      </c>
      <c r="L25" s="634">
        <f ca="1">IF(YEAR('2026'!$B$1)&lt;C25,"",ROUND(INDIRECT(C25&amp;"!N15"),-1))</f>
        <v>0</v>
      </c>
      <c r="M25" s="368">
        <f t="shared" ca="1" si="4"/>
        <v>0</v>
      </c>
      <c r="N25" s="369">
        <f t="shared" ca="1" si="9"/>
        <v>0</v>
      </c>
      <c r="O25" s="631">
        <f ca="1">IF(YEAR('2026'!$B$1)&lt;C25,"",ROUND(INDIRECT(C25&amp;"!N18"),-1))</f>
        <v>0</v>
      </c>
      <c r="P25" s="631">
        <f t="shared" ca="1" si="5"/>
        <v>0</v>
      </c>
      <c r="Q25" s="632">
        <f t="shared" ca="1" si="10"/>
        <v>0</v>
      </c>
      <c r="R25" s="633">
        <f t="shared" ca="1" si="6"/>
        <v>2400000</v>
      </c>
      <c r="S25" s="235">
        <f ca="1">IF(F25="","",ROUND(SUM($R$3:R25),-1))</f>
        <v>55000000</v>
      </c>
      <c r="V25" s="380"/>
    </row>
    <row r="26" spans="1:23" ht="9.75" customHeight="1">
      <c r="A26" s="230">
        <v>24</v>
      </c>
      <c r="B26" s="357">
        <f t="shared" ca="1" si="0"/>
        <v>26</v>
      </c>
      <c r="C26" s="231">
        <f ca="1">'퇴직때까지의 총연봉액'!D26</f>
        <v>2048</v>
      </c>
      <c r="D26" s="384">
        <f ca="1">기여금납부액총괄표!D26</f>
        <v>51</v>
      </c>
      <c r="E26" s="232">
        <f t="shared" ca="1" si="1"/>
        <v>36</v>
      </c>
      <c r="F26" s="363">
        <f ca="1">IF(YEAR('2026'!$B$1)&lt;C26,"",ROUND(INDIRECT(C26&amp;"!N14"),-1))</f>
        <v>2400000</v>
      </c>
      <c r="G26" s="363">
        <f t="shared" ca="1" si="7"/>
        <v>0</v>
      </c>
      <c r="H26" s="365">
        <f t="shared" ca="1" si="2"/>
        <v>0</v>
      </c>
      <c r="I26" s="634">
        <f ca="1">IF(YEAR('2026'!$B$1)&lt;C26,"",ROUND(INDIRECT(C26&amp;"!N15"),-1))</f>
        <v>0</v>
      </c>
      <c r="J26" s="634">
        <f t="shared" ca="1" si="3"/>
        <v>0</v>
      </c>
      <c r="K26" s="635">
        <f t="shared" ca="1" si="8"/>
        <v>0</v>
      </c>
      <c r="L26" s="634">
        <f ca="1">IF(YEAR('2026'!$B$1)&lt;C26,"",ROUND(INDIRECT(C26&amp;"!N15"),-1))</f>
        <v>0</v>
      </c>
      <c r="M26" s="368">
        <f t="shared" ca="1" si="4"/>
        <v>0</v>
      </c>
      <c r="N26" s="369">
        <f t="shared" ca="1" si="9"/>
        <v>0</v>
      </c>
      <c r="O26" s="631">
        <f ca="1">IF(YEAR('2026'!$B$1)&lt;C26,"",ROUND(INDIRECT(C26&amp;"!N18"),-1))</f>
        <v>0</v>
      </c>
      <c r="P26" s="631">
        <f t="shared" ca="1" si="5"/>
        <v>0</v>
      </c>
      <c r="Q26" s="632">
        <f t="shared" ca="1" si="10"/>
        <v>0</v>
      </c>
      <c r="R26" s="633">
        <f t="shared" ca="1" si="6"/>
        <v>2400000</v>
      </c>
      <c r="S26" s="235">
        <f ca="1">IF(F26="","",ROUND(SUM($R$3:R26),-1))</f>
        <v>57400000</v>
      </c>
      <c r="W26" s="380"/>
    </row>
    <row r="27" spans="1:23" ht="9.75" customHeight="1">
      <c r="A27" s="230">
        <v>25</v>
      </c>
      <c r="B27" s="357">
        <f t="shared" ca="1" si="0"/>
        <v>27</v>
      </c>
      <c r="C27" s="231">
        <f ca="1">'퇴직때까지의 총연봉액'!D27</f>
        <v>2049</v>
      </c>
      <c r="D27" s="384">
        <f ca="1">기여금납부액총괄표!D27</f>
        <v>52</v>
      </c>
      <c r="E27" s="232">
        <f t="shared" ca="1" si="1"/>
        <v>37</v>
      </c>
      <c r="F27" s="363">
        <f ca="1">IF(YEAR('2026'!$B$1)&lt;C27,"",ROUND(INDIRECT(C27&amp;"!N14"),-1))</f>
        <v>2400000</v>
      </c>
      <c r="G27" s="363">
        <f t="shared" ca="1" si="7"/>
        <v>0</v>
      </c>
      <c r="H27" s="365">
        <f t="shared" ca="1" si="2"/>
        <v>0</v>
      </c>
      <c r="I27" s="634">
        <f ca="1">IF(YEAR('2026'!$B$1)&lt;C27,"",ROUND(INDIRECT(C27&amp;"!N15"),-1))</f>
        <v>0</v>
      </c>
      <c r="J27" s="634">
        <f t="shared" ca="1" si="3"/>
        <v>0</v>
      </c>
      <c r="K27" s="635">
        <f t="shared" ca="1" si="8"/>
        <v>0</v>
      </c>
      <c r="L27" s="634">
        <f ca="1">IF(YEAR('2026'!$B$1)&lt;C27,"",ROUND(INDIRECT(C27&amp;"!N15"),-1))</f>
        <v>0</v>
      </c>
      <c r="M27" s="368">
        <f t="shared" ca="1" si="4"/>
        <v>0</v>
      </c>
      <c r="N27" s="369">
        <f t="shared" ca="1" si="9"/>
        <v>0</v>
      </c>
      <c r="O27" s="631">
        <f ca="1">IF(YEAR('2026'!$B$1)&lt;C27,"",ROUND(INDIRECT(C27&amp;"!N18"),-1))</f>
        <v>0</v>
      </c>
      <c r="P27" s="631">
        <f t="shared" ca="1" si="5"/>
        <v>0</v>
      </c>
      <c r="Q27" s="632">
        <f t="shared" ca="1" si="10"/>
        <v>0</v>
      </c>
      <c r="R27" s="633">
        <f t="shared" ca="1" si="6"/>
        <v>2400000</v>
      </c>
      <c r="S27" s="235">
        <f ca="1">IF(F27="","",ROUND(SUM($R$3:R27),-1))</f>
        <v>59800000</v>
      </c>
    </row>
    <row r="28" spans="1:23" ht="9.75" customHeight="1">
      <c r="A28" s="230">
        <v>26</v>
      </c>
      <c r="B28" s="357">
        <f t="shared" ca="1" si="0"/>
        <v>28</v>
      </c>
      <c r="C28" s="231">
        <f ca="1">'퇴직때까지의 총연봉액'!D28</f>
        <v>2050</v>
      </c>
      <c r="D28" s="384">
        <f ca="1">기여금납부액총괄표!D28</f>
        <v>53</v>
      </c>
      <c r="E28" s="232">
        <f t="shared" ca="1" si="1"/>
        <v>38</v>
      </c>
      <c r="F28" s="363">
        <f ca="1">IF(YEAR('2026'!$B$1)&lt;C28,"",ROUND(INDIRECT(C28&amp;"!N14"),-1))</f>
        <v>2400000</v>
      </c>
      <c r="G28" s="363">
        <f t="shared" ca="1" si="7"/>
        <v>0</v>
      </c>
      <c r="H28" s="365">
        <f t="shared" ca="1" si="2"/>
        <v>0</v>
      </c>
      <c r="I28" s="634">
        <f ca="1">IF(YEAR('2026'!$B$1)&lt;C28,"",ROUND(INDIRECT(C28&amp;"!N15"),-1))</f>
        <v>0</v>
      </c>
      <c r="J28" s="634">
        <f t="shared" ca="1" si="3"/>
        <v>0</v>
      </c>
      <c r="K28" s="635">
        <f t="shared" ca="1" si="8"/>
        <v>0</v>
      </c>
      <c r="L28" s="634">
        <f ca="1">IF(YEAR('2026'!$B$1)&lt;C28,"",ROUND(INDIRECT(C28&amp;"!N15"),-1))</f>
        <v>0</v>
      </c>
      <c r="M28" s="368">
        <f t="shared" ca="1" si="4"/>
        <v>0</v>
      </c>
      <c r="N28" s="369">
        <f t="shared" ca="1" si="9"/>
        <v>0</v>
      </c>
      <c r="O28" s="631">
        <f ca="1">IF(YEAR('2026'!$B$1)&lt;C28,"",ROUND(INDIRECT(C28&amp;"!N18"),-1))</f>
        <v>0</v>
      </c>
      <c r="P28" s="631">
        <f t="shared" ca="1" si="5"/>
        <v>0</v>
      </c>
      <c r="Q28" s="632">
        <f t="shared" ca="1" si="10"/>
        <v>0</v>
      </c>
      <c r="R28" s="633">
        <f t="shared" ca="1" si="6"/>
        <v>2400000</v>
      </c>
      <c r="S28" s="235">
        <f ca="1">IF(F28="","",ROUND(SUM($R$3:R28),-1))</f>
        <v>62200000</v>
      </c>
    </row>
    <row r="29" spans="1:23" ht="9.75" customHeight="1">
      <c r="A29" s="230">
        <v>27</v>
      </c>
      <c r="B29" s="357">
        <f t="shared" ca="1" si="0"/>
        <v>29</v>
      </c>
      <c r="C29" s="231">
        <f ca="1">'퇴직때까지의 총연봉액'!D29</f>
        <v>2051</v>
      </c>
      <c r="D29" s="384">
        <f ca="1">기여금납부액총괄표!D29</f>
        <v>54</v>
      </c>
      <c r="E29" s="232">
        <f t="shared" ca="1" si="1"/>
        <v>39</v>
      </c>
      <c r="F29" s="363">
        <f ca="1">IF(YEAR('2026'!$B$1)&lt;C29,"",ROUND(INDIRECT(C29&amp;"!N14"),-1))</f>
        <v>2400000</v>
      </c>
      <c r="G29" s="363">
        <f t="shared" ca="1" si="7"/>
        <v>0</v>
      </c>
      <c r="H29" s="365">
        <f t="shared" ca="1" si="2"/>
        <v>0</v>
      </c>
      <c r="I29" s="634">
        <f ca="1">IF(YEAR('2026'!$B$1)&lt;C29,"",ROUND(INDIRECT(C29&amp;"!N15"),-1))</f>
        <v>0</v>
      </c>
      <c r="J29" s="634">
        <f t="shared" ca="1" si="3"/>
        <v>0</v>
      </c>
      <c r="K29" s="635">
        <f t="shared" ca="1" si="8"/>
        <v>0</v>
      </c>
      <c r="L29" s="634">
        <f ca="1">IF(YEAR('2026'!$B$1)&lt;C29,"",ROUND(INDIRECT(C29&amp;"!N15"),-1))</f>
        <v>0</v>
      </c>
      <c r="M29" s="368">
        <f t="shared" ca="1" si="4"/>
        <v>0</v>
      </c>
      <c r="N29" s="369">
        <f t="shared" ca="1" si="9"/>
        <v>0</v>
      </c>
      <c r="O29" s="631">
        <f ca="1">IF(YEAR('2026'!$B$1)&lt;C29,"",ROUND(INDIRECT(C29&amp;"!N18"),-1))</f>
        <v>0</v>
      </c>
      <c r="P29" s="631">
        <f t="shared" ca="1" si="5"/>
        <v>0</v>
      </c>
      <c r="Q29" s="632">
        <f t="shared" ca="1" si="10"/>
        <v>0</v>
      </c>
      <c r="R29" s="633">
        <f t="shared" ca="1" si="6"/>
        <v>2400000</v>
      </c>
      <c r="S29" s="235">
        <f ca="1">IF(F29="","",ROUND(SUM($R$3:R29),-1))</f>
        <v>64600000</v>
      </c>
    </row>
    <row r="30" spans="1:23" ht="9.75" customHeight="1">
      <c r="A30" s="230">
        <v>28</v>
      </c>
      <c r="B30" s="357">
        <f t="shared" ca="1" si="0"/>
        <v>30</v>
      </c>
      <c r="C30" s="231">
        <f ca="1">'퇴직때까지의 총연봉액'!D30</f>
        <v>2052</v>
      </c>
      <c r="D30" s="384">
        <f ca="1">기여금납부액총괄표!D30</f>
        <v>55</v>
      </c>
      <c r="E30" s="232">
        <f t="shared" ca="1" si="1"/>
        <v>40</v>
      </c>
      <c r="F30" s="363">
        <f ca="1">IF(YEAR('2026'!$B$1)&lt;C30,"",ROUND(INDIRECT(C30&amp;"!N14"),-1))</f>
        <v>2400000</v>
      </c>
      <c r="G30" s="363">
        <f t="shared" ca="1" si="7"/>
        <v>0</v>
      </c>
      <c r="H30" s="365">
        <f t="shared" ca="1" si="2"/>
        <v>0</v>
      </c>
      <c r="I30" s="634">
        <f ca="1">IF(YEAR('2026'!$B$1)&lt;C30,"",ROUND(INDIRECT(C30&amp;"!N15"),-1))</f>
        <v>0</v>
      </c>
      <c r="J30" s="634">
        <f t="shared" ca="1" si="3"/>
        <v>0</v>
      </c>
      <c r="K30" s="635">
        <f t="shared" ca="1" si="8"/>
        <v>0</v>
      </c>
      <c r="L30" s="634">
        <f ca="1">IF(YEAR('2026'!$B$1)&lt;C30,"",ROUND(INDIRECT(C30&amp;"!N15"),-1))</f>
        <v>0</v>
      </c>
      <c r="M30" s="368">
        <f t="shared" ca="1" si="4"/>
        <v>0</v>
      </c>
      <c r="N30" s="369">
        <f t="shared" ca="1" si="9"/>
        <v>0</v>
      </c>
      <c r="O30" s="631">
        <f ca="1">IF(YEAR('2026'!$B$1)&lt;C30,"",ROUND(INDIRECT(C30&amp;"!N18"),-1))</f>
        <v>0</v>
      </c>
      <c r="P30" s="631">
        <f t="shared" ca="1" si="5"/>
        <v>0</v>
      </c>
      <c r="Q30" s="632">
        <f t="shared" ca="1" si="10"/>
        <v>0</v>
      </c>
      <c r="R30" s="633">
        <f t="shared" ca="1" si="6"/>
        <v>2400000</v>
      </c>
      <c r="S30" s="235">
        <f ca="1">IF(F30="","",ROUND(SUM($R$3:R30),-1))</f>
        <v>67000000</v>
      </c>
      <c r="V30" s="380"/>
    </row>
    <row r="31" spans="1:23" ht="9.75" customHeight="1">
      <c r="A31" s="230">
        <v>29</v>
      </c>
      <c r="B31" s="357">
        <f t="shared" ca="1" si="0"/>
        <v>31</v>
      </c>
      <c r="C31" s="231">
        <f ca="1">'퇴직때까지의 총연봉액'!D31</f>
        <v>2053</v>
      </c>
      <c r="D31" s="384">
        <f ca="1">기여금납부액총괄표!D31</f>
        <v>56</v>
      </c>
      <c r="E31" s="232">
        <f t="shared" ca="1" si="1"/>
        <v>41</v>
      </c>
      <c r="F31" s="363">
        <f ca="1">IF(YEAR('2026'!$B$1)&lt;C31,"",ROUND(INDIRECT(C31&amp;"!N14"),-1))</f>
        <v>2400000</v>
      </c>
      <c r="G31" s="363">
        <f t="shared" ca="1" si="7"/>
        <v>0</v>
      </c>
      <c r="H31" s="365">
        <f t="shared" ca="1" si="2"/>
        <v>0</v>
      </c>
      <c r="I31" s="634">
        <f ca="1">IF(YEAR('2026'!$B$1)&lt;C31,"",ROUND(INDIRECT(C31&amp;"!N15"),-1))</f>
        <v>0</v>
      </c>
      <c r="J31" s="634">
        <f t="shared" ca="1" si="3"/>
        <v>0</v>
      </c>
      <c r="K31" s="635">
        <f t="shared" ca="1" si="8"/>
        <v>0</v>
      </c>
      <c r="L31" s="634">
        <f ca="1">IF(YEAR('2026'!$B$1)&lt;C31,"",ROUND(INDIRECT(C31&amp;"!N15"),-1))</f>
        <v>0</v>
      </c>
      <c r="M31" s="368">
        <f t="shared" ca="1" si="4"/>
        <v>0</v>
      </c>
      <c r="N31" s="369">
        <f t="shared" ca="1" si="9"/>
        <v>0</v>
      </c>
      <c r="O31" s="631">
        <f ca="1">IF(YEAR('2026'!$B$1)&lt;C31,"",ROUND(INDIRECT(C31&amp;"!N18"),-1))</f>
        <v>0</v>
      </c>
      <c r="P31" s="631">
        <f t="shared" ca="1" si="5"/>
        <v>0</v>
      </c>
      <c r="Q31" s="632">
        <f t="shared" ca="1" si="10"/>
        <v>0</v>
      </c>
      <c r="R31" s="633">
        <f t="shared" ca="1" si="6"/>
        <v>2400000</v>
      </c>
      <c r="S31" s="235">
        <f ca="1">IF(F31="","",ROUND(SUM($R$3:R31),-1))</f>
        <v>69400000</v>
      </c>
    </row>
    <row r="32" spans="1:23" ht="9.75" customHeight="1">
      <c r="A32" s="230">
        <v>30</v>
      </c>
      <c r="B32" s="357">
        <f t="shared" ca="1" si="0"/>
        <v>32</v>
      </c>
      <c r="C32" s="231">
        <f ca="1">'퇴직때까지의 총연봉액'!D32</f>
        <v>2054</v>
      </c>
      <c r="D32" s="384">
        <f ca="1">기여금납부액총괄표!D32</f>
        <v>57</v>
      </c>
      <c r="E32" s="232">
        <f t="shared" ca="1" si="1"/>
        <v>42</v>
      </c>
      <c r="F32" s="363">
        <f ca="1">IF(YEAR('2026'!$B$1)&lt;C32,"",ROUND(INDIRECT(C32&amp;"!N14"),-1))</f>
        <v>2400000</v>
      </c>
      <c r="G32" s="363">
        <f t="shared" ca="1" si="7"/>
        <v>0</v>
      </c>
      <c r="H32" s="365">
        <f t="shared" ca="1" si="2"/>
        <v>0</v>
      </c>
      <c r="I32" s="634">
        <f ca="1">IF(YEAR('2026'!$B$1)&lt;C32,"",ROUND(INDIRECT(C32&amp;"!N15"),-1))</f>
        <v>0</v>
      </c>
      <c r="J32" s="634">
        <f t="shared" ca="1" si="3"/>
        <v>0</v>
      </c>
      <c r="K32" s="635">
        <f t="shared" ca="1" si="8"/>
        <v>0</v>
      </c>
      <c r="L32" s="634">
        <f ca="1">IF(YEAR('2026'!$B$1)&lt;C32,"",ROUND(INDIRECT(C32&amp;"!N15"),-1))</f>
        <v>0</v>
      </c>
      <c r="M32" s="368">
        <f t="shared" ca="1" si="4"/>
        <v>0</v>
      </c>
      <c r="N32" s="369">
        <f t="shared" ca="1" si="9"/>
        <v>0</v>
      </c>
      <c r="O32" s="631">
        <f ca="1">IF(YEAR('2026'!$B$1)&lt;C32,"",ROUND(INDIRECT(C32&amp;"!N18"),-1))</f>
        <v>0</v>
      </c>
      <c r="P32" s="631">
        <f t="shared" ca="1" si="5"/>
        <v>0</v>
      </c>
      <c r="Q32" s="632">
        <f t="shared" ca="1" si="10"/>
        <v>0</v>
      </c>
      <c r="R32" s="633">
        <f t="shared" ca="1" si="6"/>
        <v>2400000</v>
      </c>
      <c r="S32" s="235">
        <f ca="1">IF(F32="","",ROUND(SUM($R$3:R32),-1))</f>
        <v>71800000</v>
      </c>
    </row>
    <row r="33" spans="1:19" ht="9.75" customHeight="1">
      <c r="A33" s="230">
        <v>31</v>
      </c>
      <c r="B33" s="357">
        <f t="shared" ca="1" si="0"/>
        <v>33</v>
      </c>
      <c r="C33" s="231">
        <f ca="1">'퇴직때까지의 총연봉액'!D33</f>
        <v>2055</v>
      </c>
      <c r="D33" s="384">
        <f ca="1">기여금납부액총괄표!D33</f>
        <v>58</v>
      </c>
      <c r="E33" s="232">
        <f t="shared" ca="1" si="1"/>
        <v>43</v>
      </c>
      <c r="F33" s="363">
        <f ca="1">IF(YEAR('2026'!$B$1)&lt;C33,"",ROUND(INDIRECT(C33&amp;"!N14"),-1))</f>
        <v>2400000</v>
      </c>
      <c r="G33" s="363">
        <f t="shared" ca="1" si="7"/>
        <v>0</v>
      </c>
      <c r="H33" s="365">
        <f t="shared" ca="1" si="2"/>
        <v>0</v>
      </c>
      <c r="I33" s="634">
        <f ca="1">IF(YEAR('2026'!$B$1)&lt;C33,"",ROUND(INDIRECT(C33&amp;"!N15"),-1))</f>
        <v>0</v>
      </c>
      <c r="J33" s="634">
        <f t="shared" ca="1" si="3"/>
        <v>0</v>
      </c>
      <c r="K33" s="635">
        <f t="shared" ca="1" si="8"/>
        <v>0</v>
      </c>
      <c r="L33" s="634">
        <f ca="1">IF(YEAR('2026'!$B$1)&lt;C33,"",ROUND(INDIRECT(C33&amp;"!N15"),-1))</f>
        <v>0</v>
      </c>
      <c r="M33" s="368">
        <f t="shared" ca="1" si="4"/>
        <v>0</v>
      </c>
      <c r="N33" s="369">
        <f t="shared" ca="1" si="9"/>
        <v>0</v>
      </c>
      <c r="O33" s="631">
        <f ca="1">IF(YEAR('2026'!$B$1)&lt;C33,"",ROUND(INDIRECT(C33&amp;"!N18"),-1))</f>
        <v>0</v>
      </c>
      <c r="P33" s="631">
        <f t="shared" ca="1" si="5"/>
        <v>0</v>
      </c>
      <c r="Q33" s="632">
        <f t="shared" ca="1" si="10"/>
        <v>0</v>
      </c>
      <c r="R33" s="633">
        <f t="shared" ca="1" si="6"/>
        <v>2400000</v>
      </c>
      <c r="S33" s="235">
        <f ca="1">IF(F33="","",ROUND(SUM($R$3:R33),-1))</f>
        <v>74200000</v>
      </c>
    </row>
    <row r="34" spans="1:19" ht="9.75" customHeight="1">
      <c r="A34" s="230">
        <v>32</v>
      </c>
      <c r="B34" s="357">
        <f t="shared" ca="1" si="0"/>
        <v>34</v>
      </c>
      <c r="C34" s="231">
        <f ca="1">'퇴직때까지의 총연봉액'!D34</f>
        <v>2056</v>
      </c>
      <c r="D34" s="384">
        <f ca="1">기여금납부액총괄표!D34</f>
        <v>59</v>
      </c>
      <c r="E34" s="232">
        <f t="shared" ca="1" si="1"/>
        <v>44</v>
      </c>
      <c r="F34" s="363">
        <f ca="1">IF(YEAR('2026'!$B$1)&lt;C34,"",ROUND(INDIRECT(C34&amp;"!N14"),-1))</f>
        <v>2400000</v>
      </c>
      <c r="G34" s="363">
        <f t="shared" ca="1" si="7"/>
        <v>0</v>
      </c>
      <c r="H34" s="365">
        <f t="shared" ca="1" si="2"/>
        <v>0</v>
      </c>
      <c r="I34" s="634">
        <f ca="1">IF(YEAR('2026'!$B$1)&lt;C34,"",ROUND(INDIRECT(C34&amp;"!N15"),-1))</f>
        <v>0</v>
      </c>
      <c r="J34" s="634">
        <f t="shared" ca="1" si="3"/>
        <v>0</v>
      </c>
      <c r="K34" s="635">
        <f t="shared" ca="1" si="8"/>
        <v>0</v>
      </c>
      <c r="L34" s="634">
        <f ca="1">IF(YEAR('2026'!$B$1)&lt;C34,"",ROUND(INDIRECT(C34&amp;"!N15"),-1))</f>
        <v>0</v>
      </c>
      <c r="M34" s="368">
        <f t="shared" ca="1" si="4"/>
        <v>0</v>
      </c>
      <c r="N34" s="369">
        <f t="shared" ca="1" si="9"/>
        <v>0</v>
      </c>
      <c r="O34" s="631">
        <f ca="1">IF(YEAR('2026'!$B$1)&lt;C34,"",ROUND(INDIRECT(C34&amp;"!N18"),-1))</f>
        <v>0</v>
      </c>
      <c r="P34" s="631">
        <f t="shared" ca="1" si="5"/>
        <v>0</v>
      </c>
      <c r="Q34" s="632">
        <f t="shared" ca="1" si="10"/>
        <v>0</v>
      </c>
      <c r="R34" s="633">
        <f t="shared" ca="1" si="6"/>
        <v>2400000</v>
      </c>
      <c r="S34" s="235">
        <f ca="1">IF(F34="","",ROUND(SUM($R$3:R34),-1))</f>
        <v>76600000</v>
      </c>
    </row>
    <row r="35" spans="1:19" ht="9.75" customHeight="1">
      <c r="A35" s="230">
        <v>33</v>
      </c>
      <c r="B35" s="357">
        <f t="shared" ca="1" si="0"/>
        <v>35</v>
      </c>
      <c r="C35" s="231">
        <f ca="1">'퇴직때까지의 총연봉액'!D35</f>
        <v>2057</v>
      </c>
      <c r="D35" s="384">
        <f ca="1">기여금납부액총괄표!D35</f>
        <v>60</v>
      </c>
      <c r="E35" s="232">
        <f t="shared" ca="1" si="1"/>
        <v>45</v>
      </c>
      <c r="F35" s="363">
        <f ca="1">IF(YEAR('2026'!$B$1)&lt;C35,"",ROUND(INDIRECT(C35&amp;"!N14"),-1))</f>
        <v>2400000</v>
      </c>
      <c r="G35" s="363">
        <f t="shared" ca="1" si="7"/>
        <v>0</v>
      </c>
      <c r="H35" s="365">
        <f t="shared" ca="1" si="2"/>
        <v>0</v>
      </c>
      <c r="I35" s="634">
        <f ca="1">IF(YEAR('2026'!$B$1)&lt;C35,"",ROUND(INDIRECT(C35&amp;"!N15"),-1))</f>
        <v>0</v>
      </c>
      <c r="J35" s="634">
        <f t="shared" ca="1" si="3"/>
        <v>0</v>
      </c>
      <c r="K35" s="635">
        <f t="shared" ca="1" si="8"/>
        <v>0</v>
      </c>
      <c r="L35" s="634">
        <f ca="1">IF(YEAR('2026'!$B$1)&lt;C35,"",ROUND(INDIRECT(C35&amp;"!N15"),-1))</f>
        <v>0</v>
      </c>
      <c r="M35" s="368">
        <f t="shared" ca="1" si="4"/>
        <v>0</v>
      </c>
      <c r="N35" s="369">
        <f t="shared" ca="1" si="9"/>
        <v>0</v>
      </c>
      <c r="O35" s="631">
        <f ca="1">IF(YEAR('2026'!$B$1)&lt;C35,"",ROUND(INDIRECT(C35&amp;"!N18"),-1))</f>
        <v>0</v>
      </c>
      <c r="P35" s="631">
        <f t="shared" ca="1" si="5"/>
        <v>0</v>
      </c>
      <c r="Q35" s="632">
        <f t="shared" ca="1" si="10"/>
        <v>0</v>
      </c>
      <c r="R35" s="633">
        <f t="shared" ca="1" si="6"/>
        <v>2400000</v>
      </c>
      <c r="S35" s="235">
        <f ca="1">IF(F35="","",ROUND(SUM($R$3:R35),-1))</f>
        <v>79000000</v>
      </c>
    </row>
    <row r="36" spans="1:19" ht="9.75" customHeight="1">
      <c r="A36" s="230">
        <v>34</v>
      </c>
      <c r="B36" s="357">
        <f t="shared" ca="1" si="0"/>
        <v>36</v>
      </c>
      <c r="C36" s="231">
        <f ca="1">'퇴직때까지의 총연봉액'!D36</f>
        <v>2058</v>
      </c>
      <c r="D36" s="384">
        <f ca="1">기여금납부액총괄표!D36</f>
        <v>61</v>
      </c>
      <c r="E36" s="232">
        <f t="shared" ca="1" si="1"/>
        <v>46</v>
      </c>
      <c r="F36" s="363">
        <f ca="1">IF(YEAR('2026'!$B$1)&lt;C36,"",ROUND(INDIRECT(C36&amp;"!N14"),-1))</f>
        <v>2400000</v>
      </c>
      <c r="G36" s="363">
        <f t="shared" ca="1" si="7"/>
        <v>0</v>
      </c>
      <c r="H36" s="365">
        <f t="shared" ca="1" si="2"/>
        <v>0</v>
      </c>
      <c r="I36" s="634">
        <f ca="1">IF(YEAR('2026'!$B$1)&lt;C36,"",ROUND(INDIRECT(C36&amp;"!N15"),-1))</f>
        <v>0</v>
      </c>
      <c r="J36" s="634">
        <f t="shared" ca="1" si="3"/>
        <v>0</v>
      </c>
      <c r="K36" s="635">
        <f t="shared" ca="1" si="8"/>
        <v>0</v>
      </c>
      <c r="L36" s="634">
        <f ca="1">IF(YEAR('2026'!$B$1)&lt;C36,"",ROUND(INDIRECT(C36&amp;"!N15"),-1))</f>
        <v>0</v>
      </c>
      <c r="M36" s="368">
        <f t="shared" ca="1" si="4"/>
        <v>0</v>
      </c>
      <c r="N36" s="369">
        <f t="shared" ca="1" si="9"/>
        <v>0</v>
      </c>
      <c r="O36" s="631">
        <f ca="1">IF(YEAR('2026'!$B$1)&lt;C36,"",ROUND(INDIRECT(C36&amp;"!N18"),-1))</f>
        <v>0</v>
      </c>
      <c r="P36" s="631">
        <f t="shared" ca="1" si="5"/>
        <v>0</v>
      </c>
      <c r="Q36" s="632">
        <f t="shared" ca="1" si="10"/>
        <v>0</v>
      </c>
      <c r="R36" s="633">
        <f t="shared" ca="1" si="6"/>
        <v>2400000</v>
      </c>
      <c r="S36" s="235">
        <f ca="1">IF(F36="","",ROUND(SUM($R$3:R36),-1))</f>
        <v>81400000</v>
      </c>
    </row>
    <row r="37" spans="1:19" ht="9.75" customHeight="1">
      <c r="A37" s="230">
        <v>35</v>
      </c>
      <c r="B37" s="357">
        <f t="shared" ca="1" si="0"/>
        <v>37</v>
      </c>
      <c r="C37" s="231">
        <f ca="1">'퇴직때까지의 총연봉액'!D37</f>
        <v>2059</v>
      </c>
      <c r="D37" s="384">
        <f ca="1">기여금납부액총괄표!D37</f>
        <v>62</v>
      </c>
      <c r="E37" s="232">
        <f t="shared" ca="1" si="1"/>
        <v>47</v>
      </c>
      <c r="F37" s="363">
        <f ca="1">IF(YEAR('2026'!$B$1)&lt;C37,"",ROUND(INDIRECT(C37&amp;"!N14"),-1))</f>
        <v>400000</v>
      </c>
      <c r="G37" s="363">
        <f t="shared" ca="1" si="7"/>
        <v>-2000000</v>
      </c>
      <c r="H37" s="365">
        <f t="shared" ca="1" si="2"/>
        <v>-0.83333333333333337</v>
      </c>
      <c r="I37" s="634">
        <f ca="1">IF(YEAR('2026'!$B$1)&lt;C37,"",ROUND(INDIRECT(C37&amp;"!N15"),-1))</f>
        <v>0</v>
      </c>
      <c r="J37" s="634">
        <f t="shared" ca="1" si="3"/>
        <v>0</v>
      </c>
      <c r="K37" s="635">
        <f t="shared" ca="1" si="8"/>
        <v>0</v>
      </c>
      <c r="L37" s="634">
        <f ca="1">IF(YEAR('2026'!$B$1)&lt;C37,"",ROUND(INDIRECT(C37&amp;"!N15"),-1))</f>
        <v>0</v>
      </c>
      <c r="M37" s="368">
        <f t="shared" ca="1" si="4"/>
        <v>0</v>
      </c>
      <c r="N37" s="369">
        <f t="shared" ca="1" si="9"/>
        <v>0</v>
      </c>
      <c r="O37" s="631">
        <f ca="1">IF(YEAR('2026'!$B$1)&lt;C37,"",ROUND(INDIRECT(C37&amp;"!N18"),-1))</f>
        <v>0</v>
      </c>
      <c r="P37" s="631">
        <f t="shared" ca="1" si="5"/>
        <v>0</v>
      </c>
      <c r="Q37" s="632">
        <f t="shared" ca="1" si="10"/>
        <v>0</v>
      </c>
      <c r="R37" s="633">
        <f t="shared" ca="1" si="6"/>
        <v>400000</v>
      </c>
      <c r="S37" s="235">
        <f ca="1">IF(F37="","",ROUND(SUM($R$3:R37),-1))</f>
        <v>81800000</v>
      </c>
    </row>
    <row r="38" spans="1:19" ht="9.75" customHeight="1">
      <c r="A38" s="230">
        <v>36</v>
      </c>
      <c r="B38" s="357" t="str">
        <f t="shared" ca="1" si="0"/>
        <v/>
      </c>
      <c r="C38" s="231">
        <f ca="1">'퇴직때까지의 총연봉액'!D38</f>
        <v>2060</v>
      </c>
      <c r="D38" s="384" t="str">
        <f ca="1">기여금납부액총괄표!D38</f>
        <v/>
      </c>
      <c r="E38" s="232" t="str">
        <f t="shared" ca="1" si="1"/>
        <v/>
      </c>
      <c r="F38" s="363" t="str">
        <f ca="1">IF(YEAR('2026'!$B$1)&lt;C38,"",ROUND(INDIRECT(C38&amp;"!N14"),-1))</f>
        <v/>
      </c>
      <c r="G38" s="363" t="str">
        <f t="shared" ca="1" si="7"/>
        <v/>
      </c>
      <c r="H38" s="365" t="str">
        <f t="shared" ca="1" si="2"/>
        <v/>
      </c>
      <c r="I38" s="634" t="str">
        <f ca="1">IF(YEAR('2026'!$B$1)&lt;C38,"",ROUND(INDIRECT(C38&amp;"!N15"),-1))</f>
        <v/>
      </c>
      <c r="J38" s="634" t="str">
        <f t="shared" ca="1" si="3"/>
        <v/>
      </c>
      <c r="K38" s="635">
        <f t="shared" ca="1" si="8"/>
        <v>0</v>
      </c>
      <c r="L38" s="634" t="str">
        <f ca="1">IF(YEAR('2026'!$B$1)&lt;C38,"",ROUND(INDIRECT(C38&amp;"!N15"),-1))</f>
        <v/>
      </c>
      <c r="M38" s="368" t="str">
        <f t="shared" ca="1" si="4"/>
        <v/>
      </c>
      <c r="N38" s="369">
        <f t="shared" ca="1" si="9"/>
        <v>0</v>
      </c>
      <c r="O38" s="631" t="str">
        <f ca="1">IF(YEAR('2026'!$B$1)&lt;C38,"",ROUND(INDIRECT(C38&amp;"!N18"),-1))</f>
        <v/>
      </c>
      <c r="P38" s="631" t="str">
        <f t="shared" ca="1" si="5"/>
        <v/>
      </c>
      <c r="Q38" s="632">
        <f t="shared" ca="1" si="10"/>
        <v>0</v>
      </c>
      <c r="R38" s="633" t="str">
        <f t="shared" ca="1" si="6"/>
        <v/>
      </c>
      <c r="S38" s="235" t="str">
        <f ca="1">IF(F38="","",ROUND(SUM($R$3:R38),-1))</f>
        <v/>
      </c>
    </row>
    <row r="39" spans="1:19" ht="9.75" customHeight="1">
      <c r="A39" s="230">
        <v>37</v>
      </c>
      <c r="B39" s="357" t="str">
        <f t="shared" ca="1" si="0"/>
        <v/>
      </c>
      <c r="C39" s="231">
        <f ca="1">'퇴직때까지의 총연봉액'!D39</f>
        <v>2061</v>
      </c>
      <c r="D39" s="384" t="str">
        <f ca="1">기여금납부액총괄표!D39</f>
        <v/>
      </c>
      <c r="E39" s="232" t="str">
        <f t="shared" ca="1" si="1"/>
        <v/>
      </c>
      <c r="F39" s="363" t="str">
        <f ca="1">IF(YEAR('2026'!$B$1)&lt;C39,"",ROUND(INDIRECT(C39&amp;"!N14"),-1))</f>
        <v/>
      </c>
      <c r="G39" s="363" t="str">
        <f t="shared" ca="1" si="7"/>
        <v/>
      </c>
      <c r="H39" s="365" t="str">
        <f t="shared" ca="1" si="2"/>
        <v/>
      </c>
      <c r="I39" s="634" t="str">
        <f ca="1">IF(YEAR('2026'!$B$1)&lt;C39,"",ROUND(INDIRECT(C39&amp;"!N15"),-1))</f>
        <v/>
      </c>
      <c r="J39" s="634" t="str">
        <f t="shared" ca="1" si="3"/>
        <v/>
      </c>
      <c r="K39" s="635" t="str">
        <f t="shared" ca="1" si="8"/>
        <v/>
      </c>
      <c r="L39" s="634" t="str">
        <f ca="1">IF(YEAR('2026'!$B$1)&lt;C39,"",ROUND(INDIRECT(C39&amp;"!N15"),-1))</f>
        <v/>
      </c>
      <c r="M39" s="368" t="str">
        <f t="shared" ca="1" si="4"/>
        <v/>
      </c>
      <c r="N39" s="369" t="str">
        <f t="shared" ca="1" si="9"/>
        <v/>
      </c>
      <c r="O39" s="631" t="str">
        <f ca="1">IF(YEAR('2026'!$B$1)&lt;C39,"",ROUND(INDIRECT(C39&amp;"!N18"),-1))</f>
        <v/>
      </c>
      <c r="P39" s="631" t="str">
        <f t="shared" ca="1" si="5"/>
        <v/>
      </c>
      <c r="Q39" s="632" t="str">
        <f t="shared" ca="1" si="10"/>
        <v/>
      </c>
      <c r="R39" s="633" t="str">
        <f t="shared" ca="1" si="6"/>
        <v/>
      </c>
      <c r="S39" s="235" t="str">
        <f ca="1">IF(F39="","",ROUND(SUM($R$3:R39),-1))</f>
        <v/>
      </c>
    </row>
    <row r="40" spans="1:19" ht="9.75" customHeight="1">
      <c r="A40" s="230">
        <v>38</v>
      </c>
      <c r="B40" s="357" t="str">
        <f t="shared" ca="1" si="0"/>
        <v/>
      </c>
      <c r="C40" s="231">
        <f ca="1">'퇴직때까지의 총연봉액'!D40</f>
        <v>2062</v>
      </c>
      <c r="D40" s="384" t="str">
        <f ca="1">기여금납부액총괄표!D40</f>
        <v/>
      </c>
      <c r="E40" s="232" t="str">
        <f t="shared" ca="1" si="1"/>
        <v/>
      </c>
      <c r="F40" s="363" t="str">
        <f ca="1">IF(YEAR('2026'!$B$1)&lt;C40,"",ROUND(INDIRECT(C40&amp;"!N14"),-1))</f>
        <v/>
      </c>
      <c r="G40" s="363" t="str">
        <f t="shared" ca="1" si="7"/>
        <v/>
      </c>
      <c r="H40" s="365" t="str">
        <f t="shared" ca="1" si="2"/>
        <v/>
      </c>
      <c r="I40" s="634" t="str">
        <f ca="1">IF(YEAR('2026'!$B$1)&lt;C40,"",ROUND(INDIRECT(C40&amp;"!N15"),-1))</f>
        <v/>
      </c>
      <c r="J40" s="634" t="str">
        <f t="shared" ca="1" si="3"/>
        <v/>
      </c>
      <c r="K40" s="635" t="str">
        <f t="shared" ca="1" si="8"/>
        <v/>
      </c>
      <c r="L40" s="634" t="str">
        <f ca="1">IF(YEAR('2026'!$B$1)&lt;C40,"",ROUND(INDIRECT(C40&amp;"!N15"),-1))</f>
        <v/>
      </c>
      <c r="M40" s="368" t="str">
        <f t="shared" ca="1" si="4"/>
        <v/>
      </c>
      <c r="N40" s="369" t="str">
        <f t="shared" ca="1" si="9"/>
        <v/>
      </c>
      <c r="O40" s="631" t="str">
        <f ca="1">IF(YEAR('2026'!$B$1)&lt;C40,"",ROUND(INDIRECT(C40&amp;"!N18"),-1))</f>
        <v/>
      </c>
      <c r="P40" s="631" t="str">
        <f t="shared" ca="1" si="5"/>
        <v/>
      </c>
      <c r="Q40" s="632" t="str">
        <f t="shared" ca="1" si="10"/>
        <v/>
      </c>
      <c r="R40" s="633" t="str">
        <f t="shared" ca="1" si="6"/>
        <v/>
      </c>
      <c r="S40" s="235" t="str">
        <f ca="1">IF(F40="","",ROUND(SUM($R$3:R40),-1))</f>
        <v/>
      </c>
    </row>
    <row r="41" spans="1:19" ht="9.75" customHeight="1">
      <c r="A41" s="230">
        <v>39</v>
      </c>
      <c r="B41" s="357" t="str">
        <f t="shared" ca="1" si="0"/>
        <v/>
      </c>
      <c r="C41" s="231">
        <f ca="1">'퇴직때까지의 총연봉액'!D41</f>
        <v>2063</v>
      </c>
      <c r="D41" s="384" t="str">
        <f ca="1">기여금납부액총괄표!D41</f>
        <v/>
      </c>
      <c r="E41" s="232" t="str">
        <f t="shared" ca="1" si="1"/>
        <v/>
      </c>
      <c r="F41" s="363" t="str">
        <f ca="1">IF(YEAR('2026'!$B$1)&lt;C41,"",ROUND(INDIRECT(C41&amp;"!N14"),-1))</f>
        <v/>
      </c>
      <c r="G41" s="363" t="str">
        <f t="shared" ca="1" si="7"/>
        <v/>
      </c>
      <c r="H41" s="365" t="str">
        <f t="shared" ca="1" si="2"/>
        <v/>
      </c>
      <c r="I41" s="634" t="str">
        <f ca="1">IF(YEAR('2026'!$B$1)&lt;C41,"",ROUND(INDIRECT(C41&amp;"!N15"),-1))</f>
        <v/>
      </c>
      <c r="J41" s="634" t="str">
        <f t="shared" ca="1" si="3"/>
        <v/>
      </c>
      <c r="K41" s="635" t="str">
        <f t="shared" ca="1" si="8"/>
        <v/>
      </c>
      <c r="L41" s="634" t="str">
        <f ca="1">IF(YEAR('2026'!$B$1)&lt;C41,"",ROUND(INDIRECT(C41&amp;"!N15"),-1))</f>
        <v/>
      </c>
      <c r="M41" s="368" t="str">
        <f t="shared" ca="1" si="4"/>
        <v/>
      </c>
      <c r="N41" s="369" t="str">
        <f t="shared" ca="1" si="9"/>
        <v/>
      </c>
      <c r="O41" s="631" t="str">
        <f ca="1">IF(YEAR('2026'!$B$1)&lt;C41,"",ROUND(INDIRECT(C41&amp;"!N18"),-1))</f>
        <v/>
      </c>
      <c r="P41" s="631" t="str">
        <f t="shared" ca="1" si="5"/>
        <v/>
      </c>
      <c r="Q41" s="632" t="str">
        <f t="shared" ca="1" si="10"/>
        <v/>
      </c>
      <c r="R41" s="633" t="str">
        <f t="shared" ca="1" si="6"/>
        <v/>
      </c>
      <c r="S41" s="235" t="str">
        <f ca="1">IF(F41="","",ROUND(SUM($R$3:R41),-1))</f>
        <v/>
      </c>
    </row>
    <row r="42" spans="1:19" ht="9.75" customHeight="1">
      <c r="A42" s="230">
        <v>40</v>
      </c>
      <c r="B42" s="357" t="str">
        <f t="shared" ca="1" si="0"/>
        <v/>
      </c>
      <c r="C42" s="231">
        <f ca="1">'퇴직때까지의 총연봉액'!D42</f>
        <v>2064</v>
      </c>
      <c r="D42" s="384" t="str">
        <f ca="1">기여금납부액총괄표!D42</f>
        <v/>
      </c>
      <c r="E42" s="232" t="str">
        <f t="shared" ca="1" si="1"/>
        <v/>
      </c>
      <c r="F42" s="363" t="str">
        <f ca="1">IF(YEAR('2026'!$B$1)&lt;C42,"",ROUND(INDIRECT(C42&amp;"!N14"),-1))</f>
        <v/>
      </c>
      <c r="G42" s="363" t="str">
        <f t="shared" ca="1" si="7"/>
        <v/>
      </c>
      <c r="H42" s="365" t="str">
        <f t="shared" ca="1" si="2"/>
        <v/>
      </c>
      <c r="I42" s="634" t="str">
        <f ca="1">IF(YEAR('2026'!$B$1)&lt;C42,"",ROUND(INDIRECT(C42&amp;"!N15"),-1))</f>
        <v/>
      </c>
      <c r="J42" s="634" t="str">
        <f t="shared" ca="1" si="3"/>
        <v/>
      </c>
      <c r="K42" s="635" t="str">
        <f t="shared" ca="1" si="8"/>
        <v/>
      </c>
      <c r="L42" s="634" t="str">
        <f ca="1">IF(YEAR('2026'!$B$1)&lt;C42,"",ROUND(INDIRECT(C42&amp;"!N15"),-1))</f>
        <v/>
      </c>
      <c r="M42" s="368" t="str">
        <f t="shared" ca="1" si="4"/>
        <v/>
      </c>
      <c r="N42" s="369" t="str">
        <f t="shared" ca="1" si="9"/>
        <v/>
      </c>
      <c r="O42" s="631" t="str">
        <f ca="1">IF(YEAR('2026'!$B$1)&lt;C42,"",ROUND(INDIRECT(C42&amp;"!N18"),-1))</f>
        <v/>
      </c>
      <c r="P42" s="631" t="str">
        <f t="shared" ca="1" si="5"/>
        <v/>
      </c>
      <c r="Q42" s="632" t="str">
        <f t="shared" ca="1" si="10"/>
        <v/>
      </c>
      <c r="R42" s="633" t="str">
        <f t="shared" ca="1" si="6"/>
        <v/>
      </c>
      <c r="S42" s="235" t="str">
        <f ca="1">IF(F42="","",ROUND(SUM($R$3:R42),-1))</f>
        <v/>
      </c>
    </row>
    <row r="43" spans="1:19" ht="9.75" customHeight="1">
      <c r="A43" s="230">
        <v>41</v>
      </c>
      <c r="B43" s="357" t="str">
        <f t="shared" ca="1" si="0"/>
        <v/>
      </c>
      <c r="C43" s="231">
        <f ca="1">'퇴직때까지의 총연봉액'!D43</f>
        <v>2065</v>
      </c>
      <c r="D43" s="384" t="str">
        <f ca="1">기여금납부액총괄표!D43</f>
        <v/>
      </c>
      <c r="E43" s="232" t="str">
        <f t="shared" ca="1" si="1"/>
        <v/>
      </c>
      <c r="F43" s="363" t="str">
        <f ca="1">IF(YEAR('2026'!$B$1)&lt;C43,"",ROUND(INDIRECT(C43&amp;"!N26"),-1))</f>
        <v/>
      </c>
      <c r="G43" s="363" t="str">
        <f t="shared" ca="1" si="7"/>
        <v/>
      </c>
      <c r="H43" s="365" t="str">
        <f t="shared" ca="1" si="2"/>
        <v/>
      </c>
      <c r="I43" s="634" t="str">
        <f ca="1">IF(YEAR('2026'!$B$1)&lt;C43,"",ROUND(INDIRECT(C43&amp;"!N15"),-1))</f>
        <v/>
      </c>
      <c r="J43" s="634" t="str">
        <f ca="1">IF(I43="","",I43-I42)</f>
        <v/>
      </c>
      <c r="K43" s="635" t="str">
        <f ca="1">IF(I42=0,0,IF(I43="","",(I43-I42)/I42))</f>
        <v/>
      </c>
      <c r="L43" s="634" t="str">
        <f ca="1">IF(YEAR('2026'!$B$1)&lt;C43,"",ROUND(INDIRECT(C43&amp;"!N15"),-1))</f>
        <v/>
      </c>
      <c r="M43" s="368"/>
      <c r="N43" s="369" t="str">
        <f t="shared" ca="1" si="9"/>
        <v/>
      </c>
      <c r="O43" s="631" t="str">
        <f ca="1">IF(YEAR('2026'!$B$1)&lt;C43,"",ROUND(INDIRECT(C43&amp;"!N18"),-1))</f>
        <v/>
      </c>
      <c r="P43" s="631"/>
      <c r="Q43" s="632" t="str">
        <f t="shared" ca="1" si="10"/>
        <v/>
      </c>
      <c r="R43" s="633" t="str">
        <f t="shared" ca="1" si="6"/>
        <v/>
      </c>
      <c r="S43" s="235" t="str">
        <f ca="1">IF(F43="","",ROUND(SUM($R$3:R43),-1))</f>
        <v/>
      </c>
    </row>
    <row r="44" spans="1:19" ht="9.75" customHeight="1">
      <c r="A44" s="1163" t="s">
        <v>479</v>
      </c>
      <c r="B44" s="1164"/>
      <c r="C44" s="1164"/>
      <c r="D44" s="1164"/>
      <c r="E44" s="1165"/>
      <c r="F44" s="366">
        <f ca="1">SUM(F3:F43)</f>
        <v>81800000</v>
      </c>
      <c r="G44" s="366"/>
      <c r="H44" s="371">
        <f ca="1">AVERAGE(H4:H42)</f>
        <v>-2.1836007130124777E-2</v>
      </c>
      <c r="I44" s="636">
        <f t="shared" ref="I44:R44" ca="1" si="11">SUM(I3:I43)</f>
        <v>0</v>
      </c>
      <c r="J44" s="636"/>
      <c r="K44" s="637">
        <f ca="1">AVERAGE(K4:K42)</f>
        <v>0</v>
      </c>
      <c r="L44" s="370">
        <f t="shared" ca="1" si="11"/>
        <v>0</v>
      </c>
      <c r="M44" s="370"/>
      <c r="N44" s="372">
        <f ca="1">AVERAGE(N4:N42)</f>
        <v>0</v>
      </c>
      <c r="O44" s="370">
        <f ca="1">SUM(O3:O43)</f>
        <v>0</v>
      </c>
      <c r="P44" s="370"/>
      <c r="Q44" s="372">
        <f ca="1">AVERAGE(Q4:Q42)</f>
        <v>0</v>
      </c>
      <c r="R44" s="638">
        <f t="shared" ca="1" si="11"/>
        <v>81800000</v>
      </c>
      <c r="S44" s="239"/>
    </row>
  </sheetData>
  <sheetProtection algorithmName="SHA-512" hashValue="XpkChAIRiy7It5YvsCKKzbGbDjHFosgWtu/XephmG9WSrf4hR2c26MIY8ZlCYGT+lVgwUqLseX8JAf3zI75qBw==" saltValue="vKmkdPbwbDAuwDSIr5f0PA==" spinCount="100000" sheet="1" objects="1" scenarios="1"/>
  <mergeCells count="4">
    <mergeCell ref="A1:D1"/>
    <mergeCell ref="E1:H1"/>
    <mergeCell ref="I1:Q1"/>
    <mergeCell ref="A44:E44"/>
  </mergeCells>
  <phoneticPr fontId="167" type="noConversion"/>
  <printOptions horizontalCentered="1"/>
  <pageMargins left="0.19666667282581329" right="0.19666667282581329" top="0.74777776002883911" bottom="0.55097222328186035" header="0.31486111879348755" footer="0.31486111879348755"/>
  <pageSetup paperSize="9" orientation="landscape"/>
  <headerFooter>
    <oddFooter>&amp;R&amp;"맑은 고딕,Regular"&amp;8제작 : 교사카페 운영자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8">
    <tabColor rgb="FFFFFF00"/>
  </sheetPr>
  <dimension ref="A1:U44"/>
  <sheetViews>
    <sheetView zoomScale="140" zoomScaleNormal="140" zoomScaleSheetLayoutView="140" workbookViewId="0">
      <pane xSplit="5" ySplit="2" topLeftCell="F3" activePane="bottomRight" state="frozen"/>
      <selection pane="topRight"/>
      <selection pane="bottomLeft"/>
      <selection pane="bottomRight" activeCell="I52" sqref="I52"/>
    </sheetView>
  </sheetViews>
  <sheetFormatPr baseColWidth="10" defaultColWidth="9" defaultRowHeight="9.75" customHeight="1"/>
  <cols>
    <col min="1" max="1" width="5" style="43" customWidth="1"/>
    <col min="2" max="2" width="5.6640625" style="43" customWidth="1"/>
    <col min="3" max="4" width="6.83203125" style="43" customWidth="1"/>
    <col min="5" max="5" width="7" style="43" customWidth="1"/>
    <col min="6" max="6" width="8.5" style="43" bestFit="1" customWidth="1"/>
    <col min="7" max="7" width="8.5" style="162" bestFit="1" customWidth="1"/>
    <col min="8" max="8" width="8.5" style="43" bestFit="1" customWidth="1"/>
    <col min="9" max="9" width="8.5" style="43" customWidth="1"/>
    <col min="10" max="12" width="7.6640625" style="43" bestFit="1" customWidth="1"/>
    <col min="13" max="13" width="8.1640625" style="43" bestFit="1" customWidth="1"/>
    <col min="14" max="14" width="7.6640625" style="43" bestFit="1" customWidth="1"/>
    <col min="15" max="15" width="9.5" style="43" bestFit="1" customWidth="1"/>
    <col min="16" max="16" width="10.5" style="43" bestFit="1" customWidth="1"/>
    <col min="17" max="17" width="12.6640625" style="43" bestFit="1" customWidth="1"/>
    <col min="18" max="18" width="9.6640625" style="43" bestFit="1" customWidth="1"/>
    <col min="19" max="19" width="10.1640625" style="43" bestFit="1" customWidth="1"/>
    <col min="20" max="20" width="9.6640625" style="43" bestFit="1" customWidth="1"/>
    <col min="21" max="16384" width="9" style="43"/>
  </cols>
  <sheetData>
    <row r="1" spans="1:21" ht="19.5" customHeight="1">
      <c r="A1" s="1166" t="str">
        <f ca="1">기여금납부액총괄표!A1</f>
        <v>2025</v>
      </c>
      <c r="B1" s="1166"/>
      <c r="C1" s="1166"/>
      <c r="D1" s="1166"/>
      <c r="E1" s="868" t="s">
        <v>416</v>
      </c>
      <c r="F1" s="859"/>
      <c r="G1" s="868"/>
      <c r="H1" s="875"/>
      <c r="I1" s="1162" t="s">
        <v>386</v>
      </c>
      <c r="J1" s="1162"/>
      <c r="K1" s="1162"/>
      <c r="L1" s="875"/>
      <c r="M1" s="875"/>
      <c r="N1" s="859"/>
      <c r="O1" s="383"/>
      <c r="P1" s="229">
        <f>'2026'!B1</f>
        <v>58134</v>
      </c>
      <c r="Q1" s="161"/>
    </row>
    <row r="2" spans="1:21" ht="9.75" customHeight="1">
      <c r="A2" s="374" t="s">
        <v>504</v>
      </c>
      <c r="B2" s="374" t="s">
        <v>464</v>
      </c>
      <c r="C2" s="374" t="s">
        <v>500</v>
      </c>
      <c r="D2" s="374" t="s">
        <v>529</v>
      </c>
      <c r="E2" s="375" t="s">
        <v>643</v>
      </c>
      <c r="F2" s="865" t="s">
        <v>74</v>
      </c>
      <c r="G2" s="362" t="s">
        <v>442</v>
      </c>
      <c r="H2" s="860" t="s">
        <v>315</v>
      </c>
      <c r="I2" s="876" t="s">
        <v>67</v>
      </c>
      <c r="J2" s="373" t="s">
        <v>324</v>
      </c>
      <c r="K2" s="630" t="s">
        <v>54</v>
      </c>
      <c r="L2" s="862" t="s">
        <v>61</v>
      </c>
      <c r="M2" s="374" t="s">
        <v>82</v>
      </c>
      <c r="N2" s="872" t="s">
        <v>319</v>
      </c>
      <c r="O2" s="869" t="s">
        <v>510</v>
      </c>
      <c r="P2" s="367" t="s">
        <v>304</v>
      </c>
      <c r="S2" s="379"/>
    </row>
    <row r="3" spans="1:21" ht="9.75" customHeight="1">
      <c r="A3" s="230">
        <v>1</v>
      </c>
      <c r="B3" s="357">
        <f t="shared" ref="B3:B43" ca="1" si="0">IF(G3="","",IF(INDIRECT(C3&amp;"!d6")=0,"",INDIRECT(C3&amp;"!d5")))</f>
        <v>2</v>
      </c>
      <c r="C3" s="231">
        <f ca="1">'퇴직때까지의 총연봉액'!D3</f>
        <v>2025</v>
      </c>
      <c r="D3" s="384">
        <f ca="1">직책수당총괄표!D3</f>
        <v>28</v>
      </c>
      <c r="E3" s="232">
        <f t="shared" ref="E3:E43" ca="1" si="1">IF(G3="","",IF(INDIRECT(C3&amp;"!d4")=0,"",INDIRECT(C3&amp;"!d4")))</f>
        <v>12</v>
      </c>
      <c r="F3" s="866">
        <f ca="1">IF(YEAR('2026'!$B$1)&lt;C3,"",ROUND(INDIRECT(C3&amp;"!N7"),-1)+ROUND(INDIRECT(C3&amp;"!N8"),-1)+ROUND(INDIRECT(C3&amp;"!N9"),-1))</f>
        <v>1342280</v>
      </c>
      <c r="G3" s="363">
        <f ca="1">IF(YEAR('2026'!$B$1)&lt;C3,"",ROUND(INDIRECT(C3&amp;"!N10"),-1))</f>
        <v>4273220</v>
      </c>
      <c r="H3" s="861">
        <f ca="1">IF(YEAR('2026'!$B$1)&lt;C3,"",ROUND(INDIRECT(C3&amp;"!N12"),-1))</f>
        <v>3013980</v>
      </c>
      <c r="I3" s="877">
        <f ca="1">IF(YEAR('2026'!$B$1)&lt;C3,"",ROUND(INDIRECT(C3&amp;"!N12"),-1))</f>
        <v>3013980</v>
      </c>
      <c r="J3" s="634">
        <f ca="1">IF(YEAR('2026'!$B$1)&lt;C3,"",ROUND(INDIRECT(C3&amp;"!N11"),-1))</f>
        <v>1680000</v>
      </c>
      <c r="K3" s="631">
        <f ca="1">IF(YEAR('2026'!$B$1)&lt;C3,"",ROUND(INDIRECT(C3&amp;"!N17"),-1))</f>
        <v>900000</v>
      </c>
      <c r="L3" s="863">
        <f ca="1">IF(YEAR('2026'!$B$1)&lt;C3,"",ROUND(INDIRECT(C3&amp;"!N19"),-1))</f>
        <v>240000</v>
      </c>
      <c r="M3" s="794">
        <f ca="1">IF(YEAR('2026'!$B$1)&lt;C3,"",ROUND(INDIRECT(C3&amp;"!N21"),-1))</f>
        <v>1195090</v>
      </c>
      <c r="N3" s="873">
        <f ca="1">IF(YEAR('2026'!$B$1)&lt;C3,"",ROUND(INDIRECT(C3&amp;"!N14"),-1))</f>
        <v>2200000</v>
      </c>
      <c r="O3" s="870">
        <f t="shared" ref="O3:O43" ca="1" si="2">IF(G3="","",SUM(F3:N3))</f>
        <v>17858550</v>
      </c>
      <c r="P3" s="368">
        <f ca="1">IF(G3="","",ROUND(SUM($O$3:O3),-1))</f>
        <v>17858550</v>
      </c>
      <c r="R3" s="164"/>
    </row>
    <row r="4" spans="1:21" ht="9.75" customHeight="1">
      <c r="A4" s="230">
        <v>2</v>
      </c>
      <c r="B4" s="357">
        <f t="shared" ca="1" si="0"/>
        <v>4</v>
      </c>
      <c r="C4" s="231">
        <f ca="1">'퇴직때까지의 총연봉액'!D4</f>
        <v>2026</v>
      </c>
      <c r="D4" s="384">
        <f ca="1">직책수당총괄표!D4</f>
        <v>29</v>
      </c>
      <c r="E4" s="232">
        <f t="shared" ca="1" si="1"/>
        <v>14</v>
      </c>
      <c r="F4" s="866">
        <f ca="1">IF(YEAR('2026'!$B$1)&lt;C4,"",ROUND(INDIRECT(C4&amp;"!N7"),-1)+ROUND(INDIRECT(C4&amp;"!N8"),-1)+ROUND(INDIRECT(C4&amp;"!N9"),-1))</f>
        <v>1446240</v>
      </c>
      <c r="G4" s="363">
        <f ca="1">IF(YEAR('2026'!$B$1)&lt;C4,"",ROUND(INDIRECT(C4&amp;"!N10"),-1))</f>
        <v>4401380</v>
      </c>
      <c r="H4" s="861">
        <f ca="1">IF(YEAR('2026'!$B$1)&lt;C4,"",ROUND(INDIRECT(C4&amp;"!N12"),-1))</f>
        <v>3258720</v>
      </c>
      <c r="I4" s="877">
        <f ca="1">IF(YEAR('2026'!$B$1)&lt;C4,"",ROUND(INDIRECT(C4&amp;"!N12"),-1))</f>
        <v>3258720</v>
      </c>
      <c r="J4" s="634">
        <f ca="1">IF(YEAR('2026'!$B$1)&lt;C4,"",ROUND(INDIRECT(C4&amp;"!N11"),-1))</f>
        <v>1680000</v>
      </c>
      <c r="K4" s="631">
        <f ca="1">IF(YEAR('2026'!$B$1)&lt;C4,"",ROUND(INDIRECT(C4&amp;"!N17"),-1))</f>
        <v>900000</v>
      </c>
      <c r="L4" s="863">
        <f ca="1">IF(YEAR('2026'!$B$1)&lt;C4,"",ROUND(INDIRECT(C4&amp;"!N19"),-1))</f>
        <v>240000</v>
      </c>
      <c r="M4" s="794">
        <f ca="1">IF(YEAR('2026'!$B$1)&lt;C4,"",ROUND(INDIRECT(C4&amp;"!N21"),-1))</f>
        <v>1285270</v>
      </c>
      <c r="N4" s="873">
        <f ca="1">IF(YEAR('2026'!$B$1)&lt;C4,"",ROUND(INDIRECT(C4&amp;"!N14"),-1))</f>
        <v>2400000</v>
      </c>
      <c r="O4" s="870">
        <f t="shared" ca="1" si="2"/>
        <v>18870330</v>
      </c>
      <c r="P4" s="368">
        <f ca="1">IF(G4="","",ROUND(SUM($O$3:O4),-1))</f>
        <v>36728880</v>
      </c>
      <c r="R4" s="382"/>
      <c r="S4" s="379"/>
    </row>
    <row r="5" spans="1:21" ht="9.75" customHeight="1">
      <c r="A5" s="230">
        <v>3</v>
      </c>
      <c r="B5" s="357">
        <f t="shared" ca="1" si="0"/>
        <v>5</v>
      </c>
      <c r="C5" s="231">
        <f ca="1">'퇴직때까지의 총연봉액'!D5</f>
        <v>2027</v>
      </c>
      <c r="D5" s="384">
        <f ca="1">직책수당총괄표!D5</f>
        <v>30</v>
      </c>
      <c r="E5" s="232">
        <f t="shared" ca="1" si="1"/>
        <v>15</v>
      </c>
      <c r="F5" s="866">
        <f ca="1">IF(YEAR('2026'!$B$1)&lt;C5,"",ROUND(INDIRECT(C5&amp;"!N7"),-1)+ROUND(INDIRECT(C5&amp;"!N8"),-1)+ROUND(INDIRECT(C5&amp;"!N9"),-1))</f>
        <v>1869080</v>
      </c>
      <c r="G5" s="363">
        <f ca="1">IF(YEAR('2026'!$B$1)&lt;C5,"",ROUND(INDIRECT(C5&amp;"!N10"),-1))</f>
        <v>4555400</v>
      </c>
      <c r="H5" s="861">
        <f ca="1">IF(YEAR('2026'!$B$1)&lt;C5,"",ROUND(INDIRECT(C5&amp;"!N12"),-1))</f>
        <v>3482940</v>
      </c>
      <c r="I5" s="877">
        <f ca="1">IF(YEAR('2026'!$B$1)&lt;C5,"",ROUND(INDIRECT(C5&amp;"!N12"),-1))</f>
        <v>3482940</v>
      </c>
      <c r="J5" s="634">
        <f ca="1">IF(YEAR('2026'!$B$1)&lt;C5,"",ROUND(INDIRECT(C5&amp;"!N11"),-1))</f>
        <v>1680000</v>
      </c>
      <c r="K5" s="631">
        <f ca="1">IF(YEAR('2026'!$B$1)&lt;C5,"",ROUND(INDIRECT(C5&amp;"!N17"),-1))</f>
        <v>750000</v>
      </c>
      <c r="L5" s="863">
        <f ca="1">IF(YEAR('2026'!$B$1)&lt;C5,"",ROUND(INDIRECT(C5&amp;"!N19"),-1))</f>
        <v>240000</v>
      </c>
      <c r="M5" s="794">
        <f ca="1">IF(YEAR('2026'!$B$1)&lt;C5,"",ROUND(INDIRECT(C5&amp;"!N21"),-1))</f>
        <v>1348780</v>
      </c>
      <c r="N5" s="873">
        <f ca="1">IF(YEAR('2026'!$B$1)&lt;C5,"",ROUND(INDIRECT(C5&amp;"!N14"),-1))</f>
        <v>2400000</v>
      </c>
      <c r="O5" s="870">
        <f t="shared" ca="1" si="2"/>
        <v>19809140</v>
      </c>
      <c r="P5" s="368">
        <f ca="1">IF(G5="","",ROUND(SUM($O$3:O5),-1))</f>
        <v>56538020</v>
      </c>
    </row>
    <row r="6" spans="1:21" ht="9.75" customHeight="1">
      <c r="A6" s="230">
        <v>4</v>
      </c>
      <c r="B6" s="357">
        <f t="shared" ca="1" si="0"/>
        <v>6</v>
      </c>
      <c r="C6" s="231">
        <f ca="1">'퇴직때까지의 총연봉액'!D6</f>
        <v>2028</v>
      </c>
      <c r="D6" s="384">
        <f ca="1">직책수당총괄표!D6</f>
        <v>31</v>
      </c>
      <c r="E6" s="232">
        <f t="shared" ca="1" si="1"/>
        <v>16</v>
      </c>
      <c r="F6" s="866">
        <f ca="1">IF(YEAR('2026'!$B$1)&lt;C6,"",ROUND(INDIRECT(C6&amp;"!N7"),-1)+ROUND(INDIRECT(C6&amp;"!N8"),-1)+ROUND(INDIRECT(C6&amp;"!N9"),-1))</f>
        <v>2306490</v>
      </c>
      <c r="G6" s="363">
        <f ca="1">IF(YEAR('2026'!$B$1)&lt;C6,"",ROUND(INDIRECT(C6&amp;"!N10"),-1))</f>
        <v>4669230</v>
      </c>
      <c r="H6" s="861">
        <f ca="1">IF(YEAR('2026'!$B$1)&lt;C6,"",ROUND(INDIRECT(C6&amp;"!N12"),-1))</f>
        <v>3716580</v>
      </c>
      <c r="I6" s="877">
        <f ca="1">IF(YEAR('2026'!$B$1)&lt;C6,"",ROUND(INDIRECT(C6&amp;"!N12"),-1))</f>
        <v>3716580</v>
      </c>
      <c r="J6" s="634">
        <f ca="1">IF(YEAR('2026'!$B$1)&lt;C6,"",ROUND(INDIRECT(C6&amp;"!N11"),-1))</f>
        <v>1680000</v>
      </c>
      <c r="K6" s="631">
        <f ca="1">IF(YEAR('2026'!$B$1)&lt;C6,"",ROUND(INDIRECT(C6&amp;"!N17"),-1))</f>
        <v>720000</v>
      </c>
      <c r="L6" s="863">
        <f ca="1">IF(YEAR('2026'!$B$1)&lt;C6,"",ROUND(INDIRECT(C6&amp;"!N19"),-1))</f>
        <v>240000</v>
      </c>
      <c r="M6" s="794">
        <f ca="1">IF(YEAR('2026'!$B$1)&lt;C6,"",ROUND(INDIRECT(C6&amp;"!N21"),-1))</f>
        <v>1382490</v>
      </c>
      <c r="N6" s="873">
        <f ca="1">IF(YEAR('2026'!$B$1)&lt;C6,"",ROUND(INDIRECT(C6&amp;"!N14"),-1))</f>
        <v>2400000</v>
      </c>
      <c r="O6" s="870">
        <f t="shared" ca="1" si="2"/>
        <v>20831370</v>
      </c>
      <c r="P6" s="368">
        <f ca="1">IF(G6="","",ROUND(SUM($O$3:O6),-1))</f>
        <v>77369390</v>
      </c>
      <c r="T6" s="380"/>
    </row>
    <row r="7" spans="1:21" ht="9.75" customHeight="1">
      <c r="A7" s="230">
        <v>5</v>
      </c>
      <c r="B7" s="357">
        <f t="shared" ca="1" si="0"/>
        <v>7</v>
      </c>
      <c r="C7" s="231">
        <f ca="1">'퇴직때까지의 총연봉액'!D7</f>
        <v>2029</v>
      </c>
      <c r="D7" s="384">
        <f ca="1">직책수당총괄표!D7</f>
        <v>32</v>
      </c>
      <c r="E7" s="232">
        <f t="shared" ca="1" si="1"/>
        <v>17</v>
      </c>
      <c r="F7" s="866">
        <f ca="1">IF(YEAR('2026'!$B$1)&lt;C7,"",ROUND(INDIRECT(C7&amp;"!N7"),-1)+ROUND(INDIRECT(C7&amp;"!N8"),-1)+ROUND(INDIRECT(C7&amp;"!N9"),-1))</f>
        <v>2747570</v>
      </c>
      <c r="G7" s="363">
        <f ca="1">IF(YEAR('2026'!$B$1)&lt;C7,"",ROUND(INDIRECT(C7&amp;"!N10"),-1))</f>
        <v>4785950</v>
      </c>
      <c r="H7" s="861">
        <f ca="1">IF(YEAR('2026'!$B$1)&lt;C7,"",ROUND(INDIRECT(C7&amp;"!N12"),-1))</f>
        <v>3959040</v>
      </c>
      <c r="I7" s="877">
        <f ca="1">IF(YEAR('2026'!$B$1)&lt;C7,"",ROUND(INDIRECT(C7&amp;"!N12"),-1))</f>
        <v>3959040</v>
      </c>
      <c r="J7" s="634">
        <f ca="1">IF(YEAR('2026'!$B$1)&lt;C7,"",ROUND(INDIRECT(C7&amp;"!N11"),-1))</f>
        <v>1680000</v>
      </c>
      <c r="K7" s="631">
        <f ca="1">IF(YEAR('2026'!$B$1)&lt;C7,"",ROUND(INDIRECT(C7&amp;"!N17"),-1))</f>
        <v>720000</v>
      </c>
      <c r="L7" s="863">
        <f ca="1">IF(YEAR('2026'!$B$1)&lt;C7,"",ROUND(INDIRECT(C7&amp;"!N19"),-1))</f>
        <v>240000</v>
      </c>
      <c r="M7" s="794">
        <f ca="1">IF(YEAR('2026'!$B$1)&lt;C7,"",ROUND(INDIRECT(C7&amp;"!N21"),-1))</f>
        <v>1417100</v>
      </c>
      <c r="N7" s="873">
        <f ca="1">IF(YEAR('2026'!$B$1)&lt;C7,"",ROUND(INDIRECT(C7&amp;"!N14"),-1))</f>
        <v>2400000</v>
      </c>
      <c r="O7" s="870">
        <f t="shared" ca="1" si="2"/>
        <v>21908700</v>
      </c>
      <c r="P7" s="368">
        <f ca="1">IF(G7="","",ROUND(SUM($O$3:O7),-1))</f>
        <v>99278090</v>
      </c>
    </row>
    <row r="8" spans="1:21" ht="9.75" customHeight="1">
      <c r="A8" s="230">
        <v>6</v>
      </c>
      <c r="B8" s="357">
        <f t="shared" ca="1" si="0"/>
        <v>8</v>
      </c>
      <c r="C8" s="231">
        <f ca="1">'퇴직때까지의 총연봉액'!D8</f>
        <v>2030</v>
      </c>
      <c r="D8" s="384">
        <f ca="1">직책수당총괄표!D8</f>
        <v>33</v>
      </c>
      <c r="E8" s="232">
        <f t="shared" ca="1" si="1"/>
        <v>18</v>
      </c>
      <c r="F8" s="866">
        <f ca="1">IF(YEAR('2026'!$B$1)&lt;C8,"",ROUND(INDIRECT(C8&amp;"!N7"),-1)+ROUND(INDIRECT(C8&amp;"!N8"),-1)+ROUND(INDIRECT(C8&amp;"!N9"),-1))</f>
        <v>3236950</v>
      </c>
      <c r="G8" s="363">
        <f ca="1">IF(YEAR('2026'!$B$1)&lt;C8,"",ROUND(INDIRECT(C8&amp;"!N10"),-1))</f>
        <v>4905560</v>
      </c>
      <c r="H8" s="861">
        <f ca="1">IF(YEAR('2026'!$B$1)&lt;C8,"",ROUND(INDIRECT(C8&amp;"!N12"),-1))</f>
        <v>4213800</v>
      </c>
      <c r="I8" s="877">
        <f ca="1">IF(YEAR('2026'!$B$1)&lt;C8,"",ROUND(INDIRECT(C8&amp;"!N12"),-1))</f>
        <v>4213800</v>
      </c>
      <c r="J8" s="634">
        <f ca="1">IF(YEAR('2026'!$B$1)&lt;C8,"",ROUND(INDIRECT(C8&amp;"!N11"),-1))</f>
        <v>1680000</v>
      </c>
      <c r="K8" s="631">
        <f ca="1">IF(YEAR('2026'!$B$1)&lt;C8,"",ROUND(INDIRECT(C8&amp;"!N17"),-1))</f>
        <v>720000</v>
      </c>
      <c r="L8" s="863">
        <f ca="1">IF(YEAR('2026'!$B$1)&lt;C8,"",ROUND(INDIRECT(C8&amp;"!N19"),-1))</f>
        <v>240000</v>
      </c>
      <c r="M8" s="794">
        <f ca="1">IF(YEAR('2026'!$B$1)&lt;C8,"",ROUND(INDIRECT(C8&amp;"!N21"),-1))</f>
        <v>1452530</v>
      </c>
      <c r="N8" s="873">
        <f ca="1">IF(YEAR('2026'!$B$1)&lt;C8,"",ROUND(INDIRECT(C8&amp;"!N14"),-1))</f>
        <v>2400000</v>
      </c>
      <c r="O8" s="870">
        <f t="shared" ca="1" si="2"/>
        <v>23062640</v>
      </c>
      <c r="P8" s="368">
        <f ca="1">IF(G8="","",ROUND(SUM($O$3:O8),-1))</f>
        <v>122340730</v>
      </c>
    </row>
    <row r="9" spans="1:21" ht="9.75" customHeight="1">
      <c r="A9" s="230">
        <v>7</v>
      </c>
      <c r="B9" s="357">
        <f t="shared" ca="1" si="0"/>
        <v>9</v>
      </c>
      <c r="C9" s="231">
        <f ca="1">'퇴직때까지의 총연봉액'!D9</f>
        <v>2031</v>
      </c>
      <c r="D9" s="384">
        <f ca="1">직책수당총괄표!D9</f>
        <v>34</v>
      </c>
      <c r="E9" s="232">
        <f t="shared" ca="1" si="1"/>
        <v>19</v>
      </c>
      <c r="F9" s="866">
        <f ca="1">IF(YEAR('2026'!$B$1)&lt;C9,"",ROUND(INDIRECT(C9&amp;"!N7"),-1)+ROUND(INDIRECT(C9&amp;"!N8"),-1)+ROUND(INDIRECT(C9&amp;"!N9"),-1))</f>
        <v>3778310</v>
      </c>
      <c r="G9" s="363">
        <f ca="1">IF(YEAR('2026'!$B$1)&lt;C9,"",ROUND(INDIRECT(C9&amp;"!N10"),-1))</f>
        <v>5028160</v>
      </c>
      <c r="H9" s="861">
        <f ca="1">IF(YEAR('2026'!$B$1)&lt;C9,"",ROUND(INDIRECT(C9&amp;"!N12"),-1))</f>
        <v>4482240</v>
      </c>
      <c r="I9" s="877">
        <f ca="1">IF(YEAR('2026'!$B$1)&lt;C9,"",ROUND(INDIRECT(C9&amp;"!N12"),-1))</f>
        <v>4482240</v>
      </c>
      <c r="J9" s="634">
        <f ca="1">IF(YEAR('2026'!$B$1)&lt;C9,"",ROUND(INDIRECT(C9&amp;"!N11"),-1))</f>
        <v>1680000</v>
      </c>
      <c r="K9" s="631">
        <f ca="1">IF(YEAR('2026'!$B$1)&lt;C9,"",ROUND(INDIRECT(C9&amp;"!N17"),-1))</f>
        <v>720000</v>
      </c>
      <c r="L9" s="863">
        <f ca="1">IF(YEAR('2026'!$B$1)&lt;C9,"",ROUND(INDIRECT(C9&amp;"!N19"),-1))</f>
        <v>240000</v>
      </c>
      <c r="M9" s="794">
        <f ca="1">IF(YEAR('2026'!$B$1)&lt;C9,"",ROUND(INDIRECT(C9&amp;"!N21"),-1))</f>
        <v>1488840</v>
      </c>
      <c r="N9" s="873">
        <f ca="1">IF(YEAR('2026'!$B$1)&lt;C9,"",ROUND(INDIRECT(C9&amp;"!N14"),-1))</f>
        <v>2400000</v>
      </c>
      <c r="O9" s="870">
        <f t="shared" ca="1" si="2"/>
        <v>24299790</v>
      </c>
      <c r="P9" s="368">
        <f ca="1">IF(G9="","",ROUND(SUM($O$3:O9),-1))</f>
        <v>146640520</v>
      </c>
    </row>
    <row r="10" spans="1:21" ht="9.75" customHeight="1">
      <c r="A10" s="230">
        <v>8</v>
      </c>
      <c r="B10" s="357">
        <f t="shared" ca="1" si="0"/>
        <v>10</v>
      </c>
      <c r="C10" s="231">
        <f ca="1">'퇴직때까지의 총연봉액'!D10</f>
        <v>2032</v>
      </c>
      <c r="D10" s="384">
        <f ca="1">직책수당총괄표!D10</f>
        <v>35</v>
      </c>
      <c r="E10" s="232">
        <f t="shared" ca="1" si="1"/>
        <v>20</v>
      </c>
      <c r="F10" s="866">
        <f ca="1">IF(YEAR('2026'!$B$1)&lt;C10,"",ROUND(INDIRECT(C10&amp;"!N7"),-1)+ROUND(INDIRECT(C10&amp;"!N8"),-1)+ROUND(INDIRECT(C10&amp;"!N9"),-1))</f>
        <v>4472550</v>
      </c>
      <c r="G10" s="363">
        <f ca="1">IF(YEAR('2026'!$B$1)&lt;C10,"",ROUND(INDIRECT(C10&amp;"!N10"),-1))</f>
        <v>5153860</v>
      </c>
      <c r="H10" s="861">
        <f ca="1">IF(YEAR('2026'!$B$1)&lt;C10,"",ROUND(INDIRECT(C10&amp;"!N12"),-1))</f>
        <v>4760940</v>
      </c>
      <c r="I10" s="877">
        <f ca="1">IF(YEAR('2026'!$B$1)&lt;C10,"",ROUND(INDIRECT(C10&amp;"!N12"),-1))</f>
        <v>4760940</v>
      </c>
      <c r="J10" s="634">
        <f ca="1">IF(YEAR('2026'!$B$1)&lt;C10,"",ROUND(INDIRECT(C10&amp;"!N11"),-1))</f>
        <v>1680000</v>
      </c>
      <c r="K10" s="631">
        <f ca="1">IF(YEAR('2026'!$B$1)&lt;C10,"",ROUND(INDIRECT(C10&amp;"!N17"),-1))</f>
        <v>720000</v>
      </c>
      <c r="L10" s="863">
        <f ca="1">IF(YEAR('2026'!$B$1)&lt;C10,"",ROUND(INDIRECT(C10&amp;"!N19"),-1))</f>
        <v>240000</v>
      </c>
      <c r="M10" s="794">
        <f ca="1">IF(YEAR('2026'!$B$1)&lt;C10,"",ROUND(INDIRECT(C10&amp;"!N21"),-1))</f>
        <v>1695140</v>
      </c>
      <c r="N10" s="873">
        <f ca="1">IF(YEAR('2026'!$B$1)&lt;C10,"",ROUND(INDIRECT(C10&amp;"!N14"),-1))</f>
        <v>2400000</v>
      </c>
      <c r="O10" s="870">
        <f t="shared" ca="1" si="2"/>
        <v>25883430</v>
      </c>
      <c r="P10" s="368">
        <f ca="1">IF(G10="","",ROUND(SUM($O$3:O10),-1))</f>
        <v>172523950</v>
      </c>
      <c r="U10" s="380"/>
    </row>
    <row r="11" spans="1:21" ht="9.75" customHeight="1">
      <c r="A11" s="230">
        <v>9</v>
      </c>
      <c r="B11" s="357">
        <f t="shared" ca="1" si="0"/>
        <v>11</v>
      </c>
      <c r="C11" s="231">
        <f ca="1">'퇴직때까지의 총연봉액'!D11</f>
        <v>2033</v>
      </c>
      <c r="D11" s="384">
        <f ca="1">직책수당총괄표!D11</f>
        <v>36</v>
      </c>
      <c r="E11" s="232">
        <f t="shared" ca="1" si="1"/>
        <v>21</v>
      </c>
      <c r="F11" s="866">
        <f ca="1">IF(YEAR('2026'!$B$1)&lt;C11,"",ROUND(INDIRECT(C11&amp;"!N7"),-1)+ROUND(INDIRECT(C11&amp;"!N8"),-1)+ROUND(INDIRECT(C11&amp;"!N9"),-1))</f>
        <v>4928950</v>
      </c>
      <c r="G11" s="363">
        <f ca="1">IF(YEAR('2026'!$B$1)&lt;C11,"",ROUND(INDIRECT(C11&amp;"!N10"),-1))</f>
        <v>5282660</v>
      </c>
      <c r="H11" s="861">
        <f ca="1">IF(YEAR('2026'!$B$1)&lt;C11,"",ROUND(INDIRECT(C11&amp;"!N12"),-1))</f>
        <v>5050740</v>
      </c>
      <c r="I11" s="877">
        <f ca="1">IF(YEAR('2026'!$B$1)&lt;C11,"",ROUND(INDIRECT(C11&amp;"!N12"),-1))</f>
        <v>5050740</v>
      </c>
      <c r="J11" s="634">
        <f ca="1">IF(YEAR('2026'!$B$1)&lt;C11,"",ROUND(INDIRECT(C11&amp;"!N11"),-1))</f>
        <v>1680000</v>
      </c>
      <c r="K11" s="631">
        <f ca="1">IF(YEAR('2026'!$B$1)&lt;C11,"",ROUND(INDIRECT(C11&amp;"!N17"),-1))</f>
        <v>720000</v>
      </c>
      <c r="L11" s="863">
        <f ca="1">IF(YEAR('2026'!$B$1)&lt;C11,"",ROUND(INDIRECT(C11&amp;"!N19"),-1))</f>
        <v>240000</v>
      </c>
      <c r="M11" s="794">
        <f ca="1">IF(YEAR('2026'!$B$1)&lt;C11,"",ROUND(INDIRECT(C11&amp;"!N21"),-1))</f>
        <v>1737560</v>
      </c>
      <c r="N11" s="873">
        <f ca="1">IF(YEAR('2026'!$B$1)&lt;C11,"",ROUND(INDIRECT(C11&amp;"!N14"),-1))</f>
        <v>2400000</v>
      </c>
      <c r="O11" s="870">
        <f t="shared" ca="1" si="2"/>
        <v>27090650</v>
      </c>
      <c r="P11" s="368">
        <f ca="1">IF(G11="","",ROUND(SUM($O$3:O11),-1))</f>
        <v>199614600</v>
      </c>
    </row>
    <row r="12" spans="1:21" ht="9.75" customHeight="1">
      <c r="A12" s="230">
        <v>10</v>
      </c>
      <c r="B12" s="357">
        <f t="shared" ca="1" si="0"/>
        <v>12</v>
      </c>
      <c r="C12" s="231">
        <f ca="1">'퇴직때까지의 총연봉액'!D12</f>
        <v>2034</v>
      </c>
      <c r="D12" s="384">
        <f ca="1">직책수당총괄표!D12</f>
        <v>37</v>
      </c>
      <c r="E12" s="232">
        <f t="shared" ca="1" si="1"/>
        <v>22</v>
      </c>
      <c r="F12" s="866">
        <f ca="1">IF(YEAR('2026'!$B$1)&lt;C12,"",ROUND(INDIRECT(C12&amp;"!N7"),-1)+ROUND(INDIRECT(C12&amp;"!N8"),-1)+ROUND(INDIRECT(C12&amp;"!N9"),-1))</f>
        <v>5188050</v>
      </c>
      <c r="G12" s="363">
        <f ca="1">IF(YEAR('2026'!$B$1)&lt;C12,"",ROUND(INDIRECT(C12&amp;"!N10"),-1))</f>
        <v>5414770</v>
      </c>
      <c r="H12" s="861">
        <f ca="1">IF(YEAR('2026'!$B$1)&lt;C12,"",ROUND(INDIRECT(C12&amp;"!N12"),-1))</f>
        <v>5361660</v>
      </c>
      <c r="I12" s="877">
        <f ca="1">IF(YEAR('2026'!$B$1)&lt;C12,"",ROUND(INDIRECT(C12&amp;"!N12"),-1))</f>
        <v>5361660</v>
      </c>
      <c r="J12" s="634">
        <f ca="1">IF(YEAR('2026'!$B$1)&lt;C12,"",ROUND(INDIRECT(C12&amp;"!N11"),-1))</f>
        <v>1680000</v>
      </c>
      <c r="K12" s="631">
        <f ca="1">IF(YEAR('2026'!$B$1)&lt;C12,"",ROUND(INDIRECT(C12&amp;"!N17"),-1))</f>
        <v>720000</v>
      </c>
      <c r="L12" s="863">
        <f ca="1">IF(YEAR('2026'!$B$1)&lt;C12,"",ROUND(INDIRECT(C12&amp;"!N19"),-1))</f>
        <v>240000</v>
      </c>
      <c r="M12" s="794">
        <f ca="1">IF(YEAR('2026'!$B$1)&lt;C12,"",ROUND(INDIRECT(C12&amp;"!N21"),-1))</f>
        <v>1781000</v>
      </c>
      <c r="N12" s="873">
        <f ca="1">IF(YEAR('2026'!$B$1)&lt;C12,"",ROUND(INDIRECT(C12&amp;"!N14"),-1))</f>
        <v>2400000</v>
      </c>
      <c r="O12" s="870">
        <f t="shared" ca="1" si="2"/>
        <v>28147140</v>
      </c>
      <c r="P12" s="368">
        <f ca="1">IF(G12="","",ROUND(SUM($O$3:O12),-1))</f>
        <v>227761740</v>
      </c>
    </row>
    <row r="13" spans="1:21" ht="9.75" customHeight="1">
      <c r="A13" s="230">
        <v>11</v>
      </c>
      <c r="B13" s="357">
        <f t="shared" ca="1" si="0"/>
        <v>13</v>
      </c>
      <c r="C13" s="231">
        <f ca="1">'퇴직때까지의 총연봉액'!D13</f>
        <v>2035</v>
      </c>
      <c r="D13" s="384">
        <f ca="1">직책수당총괄표!D13</f>
        <v>38</v>
      </c>
      <c r="E13" s="232">
        <f t="shared" ca="1" si="1"/>
        <v>23</v>
      </c>
      <c r="F13" s="866">
        <f ca="1">IF(YEAR('2026'!$B$1)&lt;C13,"",ROUND(INDIRECT(C13&amp;"!N7"),-1)+ROUND(INDIRECT(C13&amp;"!N8"),-1)+ROUND(INDIRECT(C13&amp;"!N9"),-1))</f>
        <v>5464950</v>
      </c>
      <c r="G13" s="363">
        <f ca="1">IF(YEAR('2026'!$B$1)&lt;C13,"",ROUND(INDIRECT(C13&amp;"!N10"),-1))</f>
        <v>5550090</v>
      </c>
      <c r="H13" s="861">
        <f ca="1">IF(YEAR('2026'!$B$1)&lt;C13,"",ROUND(INDIRECT(C13&amp;"!N12"),-1))</f>
        <v>5693940</v>
      </c>
      <c r="I13" s="877">
        <f ca="1">IF(YEAR('2026'!$B$1)&lt;C13,"",ROUND(INDIRECT(C13&amp;"!N12"),-1))</f>
        <v>5693940</v>
      </c>
      <c r="J13" s="634">
        <f ca="1">IF(YEAR('2026'!$B$1)&lt;C13,"",ROUND(INDIRECT(C13&amp;"!N11"),-1))</f>
        <v>1680000</v>
      </c>
      <c r="K13" s="631">
        <f ca="1">IF(YEAR('2026'!$B$1)&lt;C13,"",ROUND(INDIRECT(C13&amp;"!N17"),-1))</f>
        <v>720000</v>
      </c>
      <c r="L13" s="863">
        <f ca="1">IF(YEAR('2026'!$B$1)&lt;C13,"",ROUND(INDIRECT(C13&amp;"!N19"),-1))</f>
        <v>240000</v>
      </c>
      <c r="M13" s="794">
        <f ca="1">IF(YEAR('2026'!$B$1)&lt;C13,"",ROUND(INDIRECT(C13&amp;"!N21"),-1))</f>
        <v>1825470</v>
      </c>
      <c r="N13" s="873">
        <f ca="1">IF(YEAR('2026'!$B$1)&lt;C13,"",ROUND(INDIRECT(C13&amp;"!N14"),-1))</f>
        <v>2400000</v>
      </c>
      <c r="O13" s="870">
        <f t="shared" ca="1" si="2"/>
        <v>29268390</v>
      </c>
      <c r="P13" s="368">
        <f ca="1">IF(G13="","",ROUND(SUM($O$3:O13),-1))</f>
        <v>257030130</v>
      </c>
    </row>
    <row r="14" spans="1:21" ht="9.75" customHeight="1">
      <c r="A14" s="230">
        <v>12</v>
      </c>
      <c r="B14" s="357">
        <f t="shared" ca="1" si="0"/>
        <v>14</v>
      </c>
      <c r="C14" s="231">
        <f ca="1">'퇴직때까지의 총연봉액'!D14</f>
        <v>2036</v>
      </c>
      <c r="D14" s="384">
        <f ca="1">직책수당총괄표!D14</f>
        <v>39</v>
      </c>
      <c r="E14" s="232">
        <f t="shared" ca="1" si="1"/>
        <v>24</v>
      </c>
      <c r="F14" s="866">
        <f ca="1">IF(YEAR('2026'!$B$1)&lt;C14,"",ROUND(INDIRECT(C14&amp;"!N7"),-1)+ROUND(INDIRECT(C14&amp;"!N8"),-1)+ROUND(INDIRECT(C14&amp;"!N9"),-1))</f>
        <v>5752500</v>
      </c>
      <c r="G14" s="363">
        <f ca="1">IF(YEAR('2026'!$B$1)&lt;C14,"",ROUND(INDIRECT(C14&amp;"!N10"),-1))</f>
        <v>5688830</v>
      </c>
      <c r="H14" s="861">
        <f ca="1">IF(YEAR('2026'!$B$1)&lt;C14,"",ROUND(INDIRECT(C14&amp;"!N12"),-1))</f>
        <v>6039000</v>
      </c>
      <c r="I14" s="877">
        <f ca="1">IF(YEAR('2026'!$B$1)&lt;C14,"",ROUND(INDIRECT(C14&amp;"!N12"),-1))</f>
        <v>6039000</v>
      </c>
      <c r="J14" s="634">
        <f ca="1">IF(YEAR('2026'!$B$1)&lt;C14,"",ROUND(INDIRECT(C14&amp;"!N11"),-1))</f>
        <v>1680000</v>
      </c>
      <c r="K14" s="631">
        <f ca="1">IF(YEAR('2026'!$B$1)&lt;C14,"",ROUND(INDIRECT(C14&amp;"!N17"),-1))</f>
        <v>720000</v>
      </c>
      <c r="L14" s="863">
        <f ca="1">IF(YEAR('2026'!$B$1)&lt;C14,"",ROUND(INDIRECT(C14&amp;"!N19"),-1))</f>
        <v>240000</v>
      </c>
      <c r="M14" s="794">
        <f ca="1">IF(YEAR('2026'!$B$1)&lt;C14,"",ROUND(INDIRECT(C14&amp;"!N21"),-1))</f>
        <v>1871110</v>
      </c>
      <c r="N14" s="873">
        <f ca="1">IF(YEAR('2026'!$B$1)&lt;C14,"",ROUND(INDIRECT(C14&amp;"!N14"),-1))</f>
        <v>2400000</v>
      </c>
      <c r="O14" s="870">
        <f t="shared" ca="1" si="2"/>
        <v>30430440</v>
      </c>
      <c r="P14" s="368">
        <f ca="1">IF(G14="","",ROUND(SUM($O$3:O14),-1))</f>
        <v>287460570</v>
      </c>
    </row>
    <row r="15" spans="1:21" ht="9.75" customHeight="1">
      <c r="A15" s="230">
        <v>13</v>
      </c>
      <c r="B15" s="357">
        <f t="shared" ca="1" si="0"/>
        <v>15</v>
      </c>
      <c r="C15" s="231">
        <f ca="1">'퇴직때까지의 총연봉액'!D15</f>
        <v>2037</v>
      </c>
      <c r="D15" s="384">
        <f ca="1">직책수당총괄표!D15</f>
        <v>40</v>
      </c>
      <c r="E15" s="232">
        <f t="shared" ca="1" si="1"/>
        <v>25</v>
      </c>
      <c r="F15" s="866">
        <f ca="1">IF(YEAR('2026'!$B$1)&lt;C15,"",ROUND(INDIRECT(C15&amp;"!N7"),-1)+ROUND(INDIRECT(C15&amp;"!N8"),-1)+ROUND(INDIRECT(C15&amp;"!N9"),-1))</f>
        <v>6251600</v>
      </c>
      <c r="G15" s="363">
        <f ca="1">IF(YEAR('2026'!$B$1)&lt;C15,"",ROUND(INDIRECT(C15&amp;"!N10"),-1))</f>
        <v>5831100</v>
      </c>
      <c r="H15" s="861">
        <f ca="1">IF(YEAR('2026'!$B$1)&lt;C15,"",ROUND(INDIRECT(C15&amp;"!N12"),-1))</f>
        <v>6397920</v>
      </c>
      <c r="I15" s="877">
        <f ca="1">IF(YEAR('2026'!$B$1)&lt;C15,"",ROUND(INDIRECT(C15&amp;"!N12"),-1))</f>
        <v>6397920</v>
      </c>
      <c r="J15" s="634">
        <f ca="1">IF(YEAR('2026'!$B$1)&lt;C15,"",ROUND(INDIRECT(C15&amp;"!N11"),-1))</f>
        <v>1680000</v>
      </c>
      <c r="K15" s="631">
        <f ca="1">IF(YEAR('2026'!$B$1)&lt;C15,"",ROUND(INDIRECT(C15&amp;"!N17"),-1))</f>
        <v>720000</v>
      </c>
      <c r="L15" s="863">
        <f ca="1">IF(YEAR('2026'!$B$1)&lt;C15,"",ROUND(INDIRECT(C15&amp;"!N19"),-1))</f>
        <v>240000</v>
      </c>
      <c r="M15" s="794">
        <f ca="1">IF(YEAR('2026'!$B$1)&lt;C15,"",ROUND(INDIRECT(C15&amp;"!N21"),-1))</f>
        <v>1917880</v>
      </c>
      <c r="N15" s="873">
        <f ca="1">IF(YEAR('2026'!$B$1)&lt;C15,"",ROUND(INDIRECT(C15&amp;"!N14"),-1))</f>
        <v>2400000</v>
      </c>
      <c r="O15" s="870">
        <f t="shared" ca="1" si="2"/>
        <v>31836420</v>
      </c>
      <c r="P15" s="368">
        <f ca="1">IF(G15="","",ROUND(SUM($O$3:O15),-1))</f>
        <v>319296990</v>
      </c>
      <c r="R15" s="380"/>
      <c r="S15" s="381"/>
      <c r="T15" s="379"/>
    </row>
    <row r="16" spans="1:21" ht="9.75" customHeight="1">
      <c r="A16" s="230">
        <v>14</v>
      </c>
      <c r="B16" s="357">
        <f t="shared" ca="1" si="0"/>
        <v>16</v>
      </c>
      <c r="C16" s="231">
        <f ca="1">'퇴직때까지의 총연봉액'!D16</f>
        <v>2038</v>
      </c>
      <c r="D16" s="384">
        <f ca="1">직책수당총괄표!D16</f>
        <v>41</v>
      </c>
      <c r="E16" s="232">
        <f t="shared" ca="1" si="1"/>
        <v>26</v>
      </c>
      <c r="F16" s="866">
        <f ca="1">IF(YEAR('2026'!$B$1)&lt;C16,"",ROUND(INDIRECT(C16&amp;"!N7"),-1)+ROUND(INDIRECT(C16&amp;"!N8"),-1)+ROUND(INDIRECT(C16&amp;"!N9"),-1))</f>
        <v>6602650</v>
      </c>
      <c r="G16" s="363">
        <f ca="1">IF(YEAR('2026'!$B$1)&lt;C16,"",ROUND(INDIRECT(C16&amp;"!N10"),-1))</f>
        <v>5976890</v>
      </c>
      <c r="H16" s="861">
        <f ca="1">IF(YEAR('2026'!$B$1)&lt;C16,"",ROUND(INDIRECT(C16&amp;"!N12"),-1))</f>
        <v>6771180</v>
      </c>
      <c r="I16" s="877">
        <f ca="1">IF(YEAR('2026'!$B$1)&lt;C16,"",ROUND(INDIRECT(C16&amp;"!N12"),-1))</f>
        <v>6771180</v>
      </c>
      <c r="J16" s="634">
        <f ca="1">IF(YEAR('2026'!$B$1)&lt;C16,"",ROUND(INDIRECT(C16&amp;"!N11"),-1))</f>
        <v>1680000</v>
      </c>
      <c r="K16" s="631">
        <f ca="1">IF(YEAR('2026'!$B$1)&lt;C16,"",ROUND(INDIRECT(C16&amp;"!N17"),-1))</f>
        <v>720000</v>
      </c>
      <c r="L16" s="863">
        <f ca="1">IF(YEAR('2026'!$B$1)&lt;C16,"",ROUND(INDIRECT(C16&amp;"!N19"),-1))</f>
        <v>240000</v>
      </c>
      <c r="M16" s="794">
        <f ca="1">IF(YEAR('2026'!$B$1)&lt;C16,"",ROUND(INDIRECT(C16&amp;"!N21"),-1))</f>
        <v>1965830</v>
      </c>
      <c r="N16" s="873">
        <f ca="1">IF(YEAR('2026'!$B$1)&lt;C16,"",ROUND(INDIRECT(C16&amp;"!N14"),-1))</f>
        <v>2400000</v>
      </c>
      <c r="O16" s="870">
        <f t="shared" ca="1" si="2"/>
        <v>33127730</v>
      </c>
      <c r="P16" s="368">
        <f ca="1">IF(G16="","",ROUND(SUM($O$3:O16),-1))</f>
        <v>352424720</v>
      </c>
    </row>
    <row r="17" spans="1:20" ht="9.75" customHeight="1">
      <c r="A17" s="230">
        <v>15</v>
      </c>
      <c r="B17" s="357">
        <f t="shared" ca="1" si="0"/>
        <v>17</v>
      </c>
      <c r="C17" s="231">
        <f ca="1">'퇴직때까지의 총연봉액'!D17</f>
        <v>2039</v>
      </c>
      <c r="D17" s="384">
        <f ca="1">직책수당총괄표!D17</f>
        <v>42</v>
      </c>
      <c r="E17" s="232">
        <f t="shared" ca="1" si="1"/>
        <v>27</v>
      </c>
      <c r="F17" s="866">
        <f ca="1">IF(YEAR('2026'!$B$1)&lt;C17,"",ROUND(INDIRECT(C17&amp;"!N7"),-1)+ROUND(INDIRECT(C17&amp;"!N8"),-1)+ROUND(INDIRECT(C17&amp;"!N9"),-1))</f>
        <v>6930300</v>
      </c>
      <c r="G17" s="363">
        <f ca="1">IF(YEAR('2026'!$B$1)&lt;C17,"",ROUND(INDIRECT(C17&amp;"!N10"),-1))</f>
        <v>6126320</v>
      </c>
      <c r="H17" s="861">
        <f ca="1">IF(YEAR('2026'!$B$1)&lt;C17,"",ROUND(INDIRECT(C17&amp;"!N12"),-1))</f>
        <v>7164360</v>
      </c>
      <c r="I17" s="877">
        <f ca="1">IF(YEAR('2026'!$B$1)&lt;C17,"",ROUND(INDIRECT(C17&amp;"!N12"),-1))</f>
        <v>7164360</v>
      </c>
      <c r="J17" s="634">
        <f ca="1">IF(YEAR('2026'!$B$1)&lt;C17,"",ROUND(INDIRECT(C17&amp;"!N11"),-1))</f>
        <v>1680000</v>
      </c>
      <c r="K17" s="631">
        <f ca="1">IF(YEAR('2026'!$B$1)&lt;C17,"",ROUND(INDIRECT(C17&amp;"!N17"),-1))</f>
        <v>720000</v>
      </c>
      <c r="L17" s="863">
        <f ca="1">IF(YEAR('2026'!$B$1)&lt;C17,"",ROUND(INDIRECT(C17&amp;"!N19"),-1))</f>
        <v>240000</v>
      </c>
      <c r="M17" s="794">
        <f ca="1">IF(YEAR('2026'!$B$1)&lt;C17,"",ROUND(INDIRECT(C17&amp;"!N21"),-1))</f>
        <v>2014990</v>
      </c>
      <c r="N17" s="873">
        <f ca="1">IF(YEAR('2026'!$B$1)&lt;C17,"",ROUND(INDIRECT(C17&amp;"!N14"),-1))</f>
        <v>2400000</v>
      </c>
      <c r="O17" s="870">
        <f t="shared" ca="1" si="2"/>
        <v>34440330</v>
      </c>
      <c r="P17" s="368">
        <f ca="1">IF(G17="","",ROUND(SUM($O$3:O17),-1))</f>
        <v>386865050</v>
      </c>
    </row>
    <row r="18" spans="1:20" ht="9.75" customHeight="1">
      <c r="A18" s="230">
        <v>16</v>
      </c>
      <c r="B18" s="357">
        <f t="shared" ca="1" si="0"/>
        <v>18</v>
      </c>
      <c r="C18" s="231">
        <f ca="1">'퇴직때까지의 총연봉액'!D18</f>
        <v>2040</v>
      </c>
      <c r="D18" s="384">
        <f ca="1">직책수당총괄표!D18</f>
        <v>43</v>
      </c>
      <c r="E18" s="232">
        <f t="shared" ca="1" si="1"/>
        <v>28</v>
      </c>
      <c r="F18" s="866">
        <f ca="1">IF(YEAR('2026'!$B$1)&lt;C18,"",ROUND(INDIRECT(C18&amp;"!N7"),-1)+ROUND(INDIRECT(C18&amp;"!N8"),-1)+ROUND(INDIRECT(C18&amp;"!N9"),-1))</f>
        <v>7274800</v>
      </c>
      <c r="G18" s="363">
        <f ca="1">IF(YEAR('2026'!$B$1)&lt;C18,"",ROUND(INDIRECT(C18&amp;"!N10"),-1))</f>
        <v>6279490</v>
      </c>
      <c r="H18" s="861">
        <f ca="1">IF(YEAR('2026'!$B$1)&lt;C18,"",ROUND(INDIRECT(C18&amp;"!N12"),-1))</f>
        <v>7577760</v>
      </c>
      <c r="I18" s="877">
        <f ca="1">IF(YEAR('2026'!$B$1)&lt;C18,"",ROUND(INDIRECT(C18&amp;"!N12"),-1))</f>
        <v>7577760</v>
      </c>
      <c r="J18" s="634">
        <f ca="1">IF(YEAR('2026'!$B$1)&lt;C18,"",ROUND(INDIRECT(C18&amp;"!N11"),-1))</f>
        <v>1680000</v>
      </c>
      <c r="K18" s="631">
        <f ca="1">IF(YEAR('2026'!$B$1)&lt;C18,"",ROUND(INDIRECT(C18&amp;"!N17"),-1))</f>
        <v>720000</v>
      </c>
      <c r="L18" s="863">
        <f ca="1">IF(YEAR('2026'!$B$1)&lt;C18,"",ROUND(INDIRECT(C18&amp;"!N19"),-1))</f>
        <v>240000</v>
      </c>
      <c r="M18" s="794">
        <f ca="1">IF(YEAR('2026'!$B$1)&lt;C18,"",ROUND(INDIRECT(C18&amp;"!N21"),-1))</f>
        <v>2065370</v>
      </c>
      <c r="N18" s="873">
        <f ca="1">IF(YEAR('2026'!$B$1)&lt;C18,"",ROUND(INDIRECT(C18&amp;"!N14"),-1))</f>
        <v>2400000</v>
      </c>
      <c r="O18" s="870">
        <f t="shared" ca="1" si="2"/>
        <v>35815180</v>
      </c>
      <c r="P18" s="368">
        <f ca="1">IF(G18="","",ROUND(SUM($O$3:O18),-1))</f>
        <v>422680230</v>
      </c>
    </row>
    <row r="19" spans="1:20" ht="9.75" customHeight="1">
      <c r="A19" s="230">
        <v>17</v>
      </c>
      <c r="B19" s="357">
        <f t="shared" ca="1" si="0"/>
        <v>19</v>
      </c>
      <c r="C19" s="231">
        <f ca="1">'퇴직때까지의 총연봉액'!D19</f>
        <v>2041</v>
      </c>
      <c r="D19" s="384">
        <f ca="1">직책수당총괄표!D19</f>
        <v>44</v>
      </c>
      <c r="E19" s="232">
        <f t="shared" ca="1" si="1"/>
        <v>29</v>
      </c>
      <c r="F19" s="866">
        <f ca="1">IF(YEAR('2026'!$B$1)&lt;C19,"",ROUND(INDIRECT(C19&amp;"!N7"),-1)+ROUND(INDIRECT(C19&amp;"!N8"),-1)+ROUND(INDIRECT(C19&amp;"!N9"),-1))</f>
        <v>7636850</v>
      </c>
      <c r="G19" s="363">
        <f ca="1">IF(YEAR('2026'!$B$1)&lt;C19,"",ROUND(INDIRECT(C19&amp;"!N10"),-1))</f>
        <v>6436510</v>
      </c>
      <c r="H19" s="861">
        <f ca="1">IF(YEAR('2026'!$B$1)&lt;C19,"",ROUND(INDIRECT(C19&amp;"!N12"),-1))</f>
        <v>8012220</v>
      </c>
      <c r="I19" s="877">
        <f ca="1">IF(YEAR('2026'!$B$1)&lt;C19,"",ROUND(INDIRECT(C19&amp;"!N12"),-1))</f>
        <v>8012220</v>
      </c>
      <c r="J19" s="634">
        <f ca="1">IF(YEAR('2026'!$B$1)&lt;C19,"",ROUND(INDIRECT(C19&amp;"!N11"),-1))</f>
        <v>1680000</v>
      </c>
      <c r="K19" s="631">
        <f ca="1">IF(YEAR('2026'!$B$1)&lt;C19,"",ROUND(INDIRECT(C19&amp;"!N17"),-1))</f>
        <v>720000</v>
      </c>
      <c r="L19" s="863">
        <f ca="1">IF(YEAR('2026'!$B$1)&lt;C19,"",ROUND(INDIRECT(C19&amp;"!N19"),-1))</f>
        <v>240000</v>
      </c>
      <c r="M19" s="794">
        <f ca="1">IF(YEAR('2026'!$B$1)&lt;C19,"",ROUND(INDIRECT(C19&amp;"!N21"),-1))</f>
        <v>2117030</v>
      </c>
      <c r="N19" s="873">
        <f ca="1">IF(YEAR('2026'!$B$1)&lt;C19,"",ROUND(INDIRECT(C19&amp;"!N14"),-1))</f>
        <v>2400000</v>
      </c>
      <c r="O19" s="870">
        <f t="shared" ca="1" si="2"/>
        <v>37254830</v>
      </c>
      <c r="P19" s="368">
        <f ca="1">IF(G19="","",ROUND(SUM($O$3:O19),-1))</f>
        <v>459935060</v>
      </c>
    </row>
    <row r="20" spans="1:20" ht="9.75" customHeight="1">
      <c r="A20" s="230">
        <v>18</v>
      </c>
      <c r="B20" s="357">
        <f t="shared" ca="1" si="0"/>
        <v>20</v>
      </c>
      <c r="C20" s="231">
        <f ca="1">'퇴직때까지의 총연봉액'!D20</f>
        <v>2042</v>
      </c>
      <c r="D20" s="384">
        <f ca="1">직책수당총괄표!D20</f>
        <v>45</v>
      </c>
      <c r="E20" s="232">
        <f t="shared" ca="1" si="1"/>
        <v>30</v>
      </c>
      <c r="F20" s="866">
        <f ca="1">IF(YEAR('2026'!$B$1)&lt;C20,"",ROUND(INDIRECT(C20&amp;"!N7"),-1)+ROUND(INDIRECT(C20&amp;"!N8"),-1)+ROUND(INDIRECT(C20&amp;"!N9"),-1))</f>
        <v>8318000</v>
      </c>
      <c r="G20" s="363">
        <f ca="1">IF(YEAR('2026'!$B$1)&lt;C20,"",ROUND(INDIRECT(C20&amp;"!N10"),-1))</f>
        <v>6597370</v>
      </c>
      <c r="H20" s="861">
        <f ca="1">IF(YEAR('2026'!$B$1)&lt;C20,"",ROUND(INDIRECT(C20&amp;"!N12"),-1))</f>
        <v>8469600</v>
      </c>
      <c r="I20" s="877">
        <f ca="1">IF(YEAR('2026'!$B$1)&lt;C20,"",ROUND(INDIRECT(C20&amp;"!N12"),-1))</f>
        <v>8469600</v>
      </c>
      <c r="J20" s="634">
        <f ca="1">IF(YEAR('2026'!$B$1)&lt;C20,"",ROUND(INDIRECT(C20&amp;"!N11"),-1))</f>
        <v>1680000</v>
      </c>
      <c r="K20" s="631">
        <f ca="1">IF(YEAR('2026'!$B$1)&lt;C20,"",ROUND(INDIRECT(C20&amp;"!N17"),-1))</f>
        <v>720000</v>
      </c>
      <c r="L20" s="863">
        <f ca="1">IF(YEAR('2026'!$B$1)&lt;C20,"",ROUND(INDIRECT(C20&amp;"!N19"),-1))</f>
        <v>240000</v>
      </c>
      <c r="M20" s="794">
        <f ca="1">IF(YEAR('2026'!$B$1)&lt;C20,"",ROUND(INDIRECT(C20&amp;"!N21"),-1))</f>
        <v>2329440</v>
      </c>
      <c r="N20" s="873">
        <f ca="1">IF(YEAR('2026'!$B$1)&lt;C20,"",ROUND(INDIRECT(C20&amp;"!N14"),-1))</f>
        <v>2400000</v>
      </c>
      <c r="O20" s="870">
        <f t="shared" ca="1" si="2"/>
        <v>39224010</v>
      </c>
      <c r="P20" s="368">
        <f ca="1">IF(G20="","",ROUND(SUM($O$3:O20),-1))</f>
        <v>499159070</v>
      </c>
      <c r="S20" s="161"/>
    </row>
    <row r="21" spans="1:20" ht="9.75" customHeight="1">
      <c r="A21" s="230">
        <v>19</v>
      </c>
      <c r="B21" s="357">
        <f t="shared" ca="1" si="0"/>
        <v>21</v>
      </c>
      <c r="C21" s="231">
        <f ca="1">'퇴직때까지의 총연봉액'!D21</f>
        <v>2043</v>
      </c>
      <c r="D21" s="384">
        <f ca="1">직책수당총괄표!D21</f>
        <v>46</v>
      </c>
      <c r="E21" s="232">
        <f t="shared" ca="1" si="1"/>
        <v>31</v>
      </c>
      <c r="F21" s="866">
        <f ca="1">IF(YEAR('2026'!$B$1)&lt;C21,"",ROUND(INDIRECT(C21&amp;"!N7"),-1)+ROUND(INDIRECT(C21&amp;"!N8"),-1)+ROUND(INDIRECT(C21&amp;"!N9"),-1))</f>
        <v>8774300</v>
      </c>
      <c r="G21" s="363">
        <f ca="1">IF(YEAR('2026'!$B$1)&lt;C21,"",ROUND(INDIRECT(C21&amp;"!N10"),-1))</f>
        <v>6762300</v>
      </c>
      <c r="H21" s="861">
        <f ca="1">IF(YEAR('2026'!$B$1)&lt;C21,"",ROUND(INDIRECT(C21&amp;"!N12"),-1))</f>
        <v>8945160</v>
      </c>
      <c r="I21" s="877">
        <f ca="1">IF(YEAR('2026'!$B$1)&lt;C21,"",ROUND(INDIRECT(C21&amp;"!N12"),-1))</f>
        <v>8945160</v>
      </c>
      <c r="J21" s="634">
        <f ca="1">IF(YEAR('2026'!$B$1)&lt;C21,"",ROUND(INDIRECT(C21&amp;"!N11"),-1))</f>
        <v>1680000</v>
      </c>
      <c r="K21" s="631">
        <f ca="1">IF(YEAR('2026'!$B$1)&lt;C21,"",ROUND(INDIRECT(C21&amp;"!N17"),-1))</f>
        <v>720000</v>
      </c>
      <c r="L21" s="863">
        <f ca="1">IF(YEAR('2026'!$B$1)&lt;C21,"",ROUND(INDIRECT(C21&amp;"!N19"),-1))</f>
        <v>240000</v>
      </c>
      <c r="M21" s="794">
        <f ca="1">IF(YEAR('2026'!$B$1)&lt;C21,"",ROUND(INDIRECT(C21&amp;"!N21"),-1))</f>
        <v>2387630</v>
      </c>
      <c r="N21" s="873">
        <f ca="1">IF(YEAR('2026'!$B$1)&lt;C21,"",ROUND(INDIRECT(C21&amp;"!N14"),-1))</f>
        <v>2400000</v>
      </c>
      <c r="O21" s="870">
        <f t="shared" ca="1" si="2"/>
        <v>40854550</v>
      </c>
      <c r="P21" s="368">
        <f ca="1">IF(G21="","",ROUND(SUM($O$3:O21),-1))</f>
        <v>540013620</v>
      </c>
    </row>
    <row r="22" spans="1:20" ht="9.75" customHeight="1">
      <c r="A22" s="230">
        <v>20</v>
      </c>
      <c r="B22" s="357">
        <f t="shared" ca="1" si="0"/>
        <v>22</v>
      </c>
      <c r="C22" s="231">
        <f ca="1">'퇴직때까지의 총연봉액'!D22</f>
        <v>2044</v>
      </c>
      <c r="D22" s="384">
        <f ca="1">직책수당총괄표!D22</f>
        <v>47</v>
      </c>
      <c r="E22" s="232">
        <f t="shared" ca="1" si="1"/>
        <v>32</v>
      </c>
      <c r="F22" s="866">
        <f ca="1">IF(YEAR('2026'!$B$1)&lt;C22,"",ROUND(INDIRECT(C22&amp;"!N7"),-1)+ROUND(INDIRECT(C22&amp;"!N8"),-1)+ROUND(INDIRECT(C22&amp;"!N9"),-1))</f>
        <v>9185650</v>
      </c>
      <c r="G22" s="363">
        <f ca="1">IF(YEAR('2026'!$B$1)&lt;C22,"",ROUND(INDIRECT(C22&amp;"!N10"),-1))</f>
        <v>6931390</v>
      </c>
      <c r="H22" s="861">
        <f ca="1">IF(YEAR('2026'!$B$1)&lt;C22,"",ROUND(INDIRECT(C22&amp;"!N12"),-1))</f>
        <v>9438780</v>
      </c>
      <c r="I22" s="877">
        <f ca="1">IF(YEAR('2026'!$B$1)&lt;C22,"",ROUND(INDIRECT(C22&amp;"!N12"),-1))</f>
        <v>9438780</v>
      </c>
      <c r="J22" s="634">
        <f ca="1">IF(YEAR('2026'!$B$1)&lt;C22,"",ROUND(INDIRECT(C22&amp;"!N11"),-1))</f>
        <v>1680000</v>
      </c>
      <c r="K22" s="631">
        <f ca="1">IF(YEAR('2026'!$B$1)&lt;C22,"",ROUND(INDIRECT(C22&amp;"!N17"),-1))</f>
        <v>720000</v>
      </c>
      <c r="L22" s="863">
        <f ca="1">IF(YEAR('2026'!$B$1)&lt;C22,"",ROUND(INDIRECT(C22&amp;"!N19"),-1))</f>
        <v>240000</v>
      </c>
      <c r="M22" s="794">
        <f ca="1">IF(YEAR('2026'!$B$1)&lt;C22,"",ROUND(INDIRECT(C22&amp;"!N21"),-1))</f>
        <v>2447330</v>
      </c>
      <c r="N22" s="873">
        <f ca="1">IF(YEAR('2026'!$B$1)&lt;C22,"",ROUND(INDIRECT(C22&amp;"!N14"),-1))</f>
        <v>2400000</v>
      </c>
      <c r="O22" s="870">
        <f t="shared" ca="1" si="2"/>
        <v>42481930</v>
      </c>
      <c r="P22" s="368">
        <f ca="1">IF(G22="","",ROUND(SUM($O$3:O22),-1))</f>
        <v>582495550</v>
      </c>
    </row>
    <row r="23" spans="1:20" ht="9.75" customHeight="1">
      <c r="A23" s="230">
        <v>21</v>
      </c>
      <c r="B23" s="357">
        <f t="shared" ca="1" si="0"/>
        <v>23</v>
      </c>
      <c r="C23" s="231">
        <f ca="1">'퇴직때까지의 총연봉액'!D23</f>
        <v>2045</v>
      </c>
      <c r="D23" s="384">
        <f ca="1">직책수당총괄표!D23</f>
        <v>48</v>
      </c>
      <c r="E23" s="232">
        <f t="shared" ca="1" si="1"/>
        <v>33</v>
      </c>
      <c r="F23" s="866">
        <f ca="1">IF(YEAR('2026'!$B$1)&lt;C23,"",ROUND(INDIRECT(C23&amp;"!N7"),-1)+ROUND(INDIRECT(C23&amp;"!N8"),-1)+ROUND(INDIRECT(C23&amp;"!N9"),-1))</f>
        <v>9614600</v>
      </c>
      <c r="G23" s="363">
        <f ca="1">IF(YEAR('2026'!$B$1)&lt;C23,"",ROUND(INDIRECT(C23&amp;"!N10"),-1))</f>
        <v>7104650</v>
      </c>
      <c r="H23" s="861">
        <f ca="1">IF(YEAR('2026'!$B$1)&lt;C23,"",ROUND(INDIRECT(C23&amp;"!N12"),-1))</f>
        <v>9953520</v>
      </c>
      <c r="I23" s="877">
        <f ca="1">IF(YEAR('2026'!$B$1)&lt;C23,"",ROUND(INDIRECT(C23&amp;"!N12"),-1))</f>
        <v>9953520</v>
      </c>
      <c r="J23" s="634">
        <f ca="1">IF(YEAR('2026'!$B$1)&lt;C23,"",ROUND(INDIRECT(C23&amp;"!N11"),-1))</f>
        <v>1680000</v>
      </c>
      <c r="K23" s="631">
        <f ca="1">IF(YEAR('2026'!$B$1)&lt;C23,"",ROUND(INDIRECT(C23&amp;"!N17"),-1))</f>
        <v>720000</v>
      </c>
      <c r="L23" s="863">
        <f ca="1">IF(YEAR('2026'!$B$1)&lt;C23,"",ROUND(INDIRECT(C23&amp;"!N19"),-1))</f>
        <v>240000</v>
      </c>
      <c r="M23" s="794">
        <f ca="1">IF(YEAR('2026'!$B$1)&lt;C23,"",ROUND(INDIRECT(C23&amp;"!N21"),-1))</f>
        <v>2508530</v>
      </c>
      <c r="N23" s="873">
        <f ca="1">IF(YEAR('2026'!$B$1)&lt;C23,"",ROUND(INDIRECT(C23&amp;"!N14"),-1))</f>
        <v>2400000</v>
      </c>
      <c r="O23" s="870">
        <f t="shared" ca="1" si="2"/>
        <v>44174820</v>
      </c>
      <c r="P23" s="368">
        <f ca="1">IF(G23="","",ROUND(SUM($O$3:O23),-1))</f>
        <v>626670370</v>
      </c>
    </row>
    <row r="24" spans="1:20" ht="9.75" customHeight="1">
      <c r="A24" s="230">
        <v>22</v>
      </c>
      <c r="B24" s="357">
        <f t="shared" ca="1" si="0"/>
        <v>24</v>
      </c>
      <c r="C24" s="231">
        <f ca="1">'퇴직때까지의 총연봉액'!D24</f>
        <v>2046</v>
      </c>
      <c r="D24" s="384">
        <f ca="1">직책수당총괄표!D24</f>
        <v>49</v>
      </c>
      <c r="E24" s="232">
        <f t="shared" ca="1" si="1"/>
        <v>34</v>
      </c>
      <c r="F24" s="866">
        <f ca="1">IF(YEAR('2026'!$B$1)&lt;C24,"",ROUND(INDIRECT(C24&amp;"!N7"),-1)+ROUND(INDIRECT(C24&amp;"!N8"),-1)+ROUND(INDIRECT(C24&amp;"!N9"),-1))</f>
        <v>10061450</v>
      </c>
      <c r="G24" s="363">
        <f ca="1">IF(YEAR('2026'!$B$1)&lt;C24,"",ROUND(INDIRECT(C24&amp;"!N10"),-1))</f>
        <v>7282300</v>
      </c>
      <c r="H24" s="861">
        <f ca="1">IF(YEAR('2026'!$B$1)&lt;C24,"",ROUND(INDIRECT(C24&amp;"!N12"),-1))</f>
        <v>10489740</v>
      </c>
      <c r="I24" s="877">
        <f ca="1">IF(YEAR('2026'!$B$1)&lt;C24,"",ROUND(INDIRECT(C24&amp;"!N12"),-1))</f>
        <v>10489740</v>
      </c>
      <c r="J24" s="634">
        <f ca="1">IF(YEAR('2026'!$B$1)&lt;C24,"",ROUND(INDIRECT(C24&amp;"!N11"),-1))</f>
        <v>1680000</v>
      </c>
      <c r="K24" s="631">
        <f ca="1">IF(YEAR('2026'!$B$1)&lt;C24,"",ROUND(INDIRECT(C24&amp;"!N17"),-1))</f>
        <v>720000</v>
      </c>
      <c r="L24" s="863">
        <f ca="1">IF(YEAR('2026'!$B$1)&lt;C24,"",ROUND(INDIRECT(C24&amp;"!N19"),-1))</f>
        <v>240000</v>
      </c>
      <c r="M24" s="794">
        <f ca="1">IF(YEAR('2026'!$B$1)&lt;C24,"",ROUND(INDIRECT(C24&amp;"!N21"),-1))</f>
        <v>2571230</v>
      </c>
      <c r="N24" s="873">
        <f ca="1">IF(YEAR('2026'!$B$1)&lt;C24,"",ROUND(INDIRECT(C24&amp;"!N14"),-1))</f>
        <v>2400000</v>
      </c>
      <c r="O24" s="870">
        <f t="shared" ca="1" si="2"/>
        <v>45934460</v>
      </c>
      <c r="P24" s="368">
        <f ca="1">IF(G24="","",ROUND(SUM($O$3:O24),-1))</f>
        <v>672604830</v>
      </c>
    </row>
    <row r="25" spans="1:20" ht="9.75" customHeight="1">
      <c r="A25" s="230">
        <v>23</v>
      </c>
      <c r="B25" s="357">
        <f t="shared" ca="1" si="0"/>
        <v>25</v>
      </c>
      <c r="C25" s="231">
        <f ca="1">'퇴직때까지의 총연봉액'!D25</f>
        <v>2047</v>
      </c>
      <c r="D25" s="384">
        <f ca="1">직책수당총괄표!D25</f>
        <v>50</v>
      </c>
      <c r="E25" s="232">
        <f t="shared" ca="1" si="1"/>
        <v>35</v>
      </c>
      <c r="F25" s="866">
        <f ca="1">IF(YEAR('2026'!$B$1)&lt;C25,"",ROUND(INDIRECT(C25&amp;"!N7"),-1)+ROUND(INDIRECT(C25&amp;"!N8"),-1)+ROUND(INDIRECT(C25&amp;"!N9"),-1))</f>
        <v>10725150</v>
      </c>
      <c r="G25" s="363">
        <f ca="1">IF(YEAR('2026'!$B$1)&lt;C25,"",ROUND(INDIRECT(C25&amp;"!N10"),-1))</f>
        <v>7464330</v>
      </c>
      <c r="H25" s="861">
        <f ca="1">IF(YEAR('2026'!$B$1)&lt;C25,"",ROUND(INDIRECT(C25&amp;"!N12"),-1))</f>
        <v>11046180</v>
      </c>
      <c r="I25" s="877">
        <f ca="1">IF(YEAR('2026'!$B$1)&lt;C25,"",ROUND(INDIRECT(C25&amp;"!N12"),-1))</f>
        <v>11046180</v>
      </c>
      <c r="J25" s="634">
        <f ca="1">IF(YEAR('2026'!$B$1)&lt;C25,"",ROUND(INDIRECT(C25&amp;"!N11"),-1))</f>
        <v>1680000</v>
      </c>
      <c r="K25" s="631">
        <f ca="1">IF(YEAR('2026'!$B$1)&lt;C25,"",ROUND(INDIRECT(C25&amp;"!N17"),-1))</f>
        <v>720000</v>
      </c>
      <c r="L25" s="863">
        <f ca="1">IF(YEAR('2026'!$B$1)&lt;C25,"",ROUND(INDIRECT(C25&amp;"!N19"),-1))</f>
        <v>240000</v>
      </c>
      <c r="M25" s="794">
        <f ca="1">IF(YEAR('2026'!$B$1)&lt;C25,"",ROUND(INDIRECT(C25&amp;"!N21"),-1))</f>
        <v>2635470</v>
      </c>
      <c r="N25" s="873">
        <f ca="1">IF(YEAR('2026'!$B$1)&lt;C25,"",ROUND(INDIRECT(C25&amp;"!N14"),-1))</f>
        <v>2400000</v>
      </c>
      <c r="O25" s="870">
        <f t="shared" ca="1" si="2"/>
        <v>47957310</v>
      </c>
      <c r="P25" s="368">
        <f ca="1">IF(G25="","",ROUND(SUM($O$3:O25),-1))</f>
        <v>720562140</v>
      </c>
      <c r="S25" s="380"/>
    </row>
    <row r="26" spans="1:20" ht="9.75" customHeight="1">
      <c r="A26" s="230">
        <v>24</v>
      </c>
      <c r="B26" s="357">
        <f t="shared" ca="1" si="0"/>
        <v>26</v>
      </c>
      <c r="C26" s="231">
        <f ca="1">'퇴직때까지의 총연봉액'!D26</f>
        <v>2048</v>
      </c>
      <c r="D26" s="384">
        <f ca="1">직책수당총괄표!D26</f>
        <v>51</v>
      </c>
      <c r="E26" s="232">
        <f t="shared" ca="1" si="1"/>
        <v>36</v>
      </c>
      <c r="F26" s="866">
        <f ca="1">IF(YEAR('2026'!$B$1)&lt;C26,"",ROUND(INDIRECT(C26&amp;"!N7"),-1)+ROUND(INDIRECT(C26&amp;"!N8"),-1)+ROUND(INDIRECT(C26&amp;"!N9"),-1))</f>
        <v>11246150</v>
      </c>
      <c r="G26" s="363">
        <f ca="1">IF(YEAR('2026'!$B$1)&lt;C26,"",ROUND(INDIRECT(C26&amp;"!N10"),-1))</f>
        <v>7650950</v>
      </c>
      <c r="H26" s="861">
        <f ca="1">IF(YEAR('2026'!$B$1)&lt;C26,"",ROUND(INDIRECT(C26&amp;"!N12"),-1))</f>
        <v>11623380</v>
      </c>
      <c r="I26" s="877">
        <f ca="1">IF(YEAR('2026'!$B$1)&lt;C26,"",ROUND(INDIRECT(C26&amp;"!N12"),-1))</f>
        <v>11623380</v>
      </c>
      <c r="J26" s="634">
        <f ca="1">IF(YEAR('2026'!$B$1)&lt;C26,"",ROUND(INDIRECT(C26&amp;"!N11"),-1))</f>
        <v>1680000</v>
      </c>
      <c r="K26" s="631">
        <f ca="1">IF(YEAR('2026'!$B$1)&lt;C26,"",ROUND(INDIRECT(C26&amp;"!N17"),-1))</f>
        <v>720000</v>
      </c>
      <c r="L26" s="863">
        <f ca="1">IF(YEAR('2026'!$B$1)&lt;C26,"",ROUND(INDIRECT(C26&amp;"!N19"),-1))</f>
        <v>240000</v>
      </c>
      <c r="M26" s="794">
        <f ca="1">IF(YEAR('2026'!$B$1)&lt;C26,"",ROUND(INDIRECT(C26&amp;"!N21"),-1))</f>
        <v>2701380</v>
      </c>
      <c r="N26" s="873">
        <f ca="1">IF(YEAR('2026'!$B$1)&lt;C26,"",ROUND(INDIRECT(C26&amp;"!N14"),-1))</f>
        <v>2400000</v>
      </c>
      <c r="O26" s="870">
        <f t="shared" ca="1" si="2"/>
        <v>49885240</v>
      </c>
      <c r="P26" s="368">
        <f ca="1">IF(G26="","",ROUND(SUM($O$3:O26),-1))</f>
        <v>770447380</v>
      </c>
      <c r="T26" s="380"/>
    </row>
    <row r="27" spans="1:20" ht="9.75" customHeight="1">
      <c r="A27" s="230">
        <v>25</v>
      </c>
      <c r="B27" s="357">
        <f t="shared" ca="1" si="0"/>
        <v>27</v>
      </c>
      <c r="C27" s="231">
        <f ca="1">'퇴직때까지의 총연봉액'!D27</f>
        <v>2049</v>
      </c>
      <c r="D27" s="384">
        <f ca="1">직책수당총괄표!D27</f>
        <v>52</v>
      </c>
      <c r="E27" s="232">
        <f t="shared" ca="1" si="1"/>
        <v>37</v>
      </c>
      <c r="F27" s="866">
        <f ca="1">IF(YEAR('2026'!$B$1)&lt;C27,"",ROUND(INDIRECT(C27&amp;"!N7"),-1)+ROUND(INDIRECT(C27&amp;"!N8"),-1)+ROUND(INDIRECT(C27&amp;"!N9"),-1))</f>
        <v>11728350</v>
      </c>
      <c r="G27" s="363">
        <f ca="1">IF(YEAR('2026'!$B$1)&lt;C27,"",ROUND(INDIRECT(C27&amp;"!N10"),-1))</f>
        <v>7842280</v>
      </c>
      <c r="H27" s="861">
        <f ca="1">IF(YEAR('2026'!$B$1)&lt;C27,"",ROUND(INDIRECT(C27&amp;"!N12"),-1))</f>
        <v>12202020</v>
      </c>
      <c r="I27" s="877">
        <f ca="1">IF(YEAR('2026'!$B$1)&lt;C27,"",ROUND(INDIRECT(C27&amp;"!N12"),-1))</f>
        <v>12202020</v>
      </c>
      <c r="J27" s="634">
        <f ca="1">IF(YEAR('2026'!$B$1)&lt;C27,"",ROUND(INDIRECT(C27&amp;"!N11"),-1))</f>
        <v>1680000</v>
      </c>
      <c r="K27" s="631">
        <f ca="1">IF(YEAR('2026'!$B$1)&lt;C27,"",ROUND(INDIRECT(C27&amp;"!N17"),-1))</f>
        <v>720000</v>
      </c>
      <c r="L27" s="863">
        <f ca="1">IF(YEAR('2026'!$B$1)&lt;C27,"",ROUND(INDIRECT(C27&amp;"!N19"),-1))</f>
        <v>240000</v>
      </c>
      <c r="M27" s="794">
        <f ca="1">IF(YEAR('2026'!$B$1)&lt;C27,"",ROUND(INDIRECT(C27&amp;"!N21"),-1))</f>
        <v>2768900</v>
      </c>
      <c r="N27" s="873">
        <f ca="1">IF(YEAR('2026'!$B$1)&lt;C27,"",ROUND(INDIRECT(C27&amp;"!N14"),-1))</f>
        <v>2400000</v>
      </c>
      <c r="O27" s="870">
        <f t="shared" ca="1" si="2"/>
        <v>51783570</v>
      </c>
      <c r="P27" s="368">
        <f ca="1">IF(G27="","",ROUND(SUM($O$3:O27),-1))</f>
        <v>822230950</v>
      </c>
    </row>
    <row r="28" spans="1:20" ht="9.75" customHeight="1">
      <c r="A28" s="230">
        <v>26</v>
      </c>
      <c r="B28" s="357">
        <f t="shared" ca="1" si="0"/>
        <v>28</v>
      </c>
      <c r="C28" s="231">
        <f ca="1">'퇴직때까지의 총연봉액'!D28</f>
        <v>2050</v>
      </c>
      <c r="D28" s="384">
        <f ca="1">직책수당총괄표!D28</f>
        <v>53</v>
      </c>
      <c r="E28" s="232">
        <f t="shared" ca="1" si="1"/>
        <v>38</v>
      </c>
      <c r="F28" s="866">
        <f ca="1">IF(YEAR('2026'!$B$1)&lt;C28,"",ROUND(INDIRECT(C28&amp;"!N7"),-1)+ROUND(INDIRECT(C28&amp;"!N8"),-1)+ROUND(INDIRECT(C28&amp;"!N9"),-1))</f>
        <v>12211700</v>
      </c>
      <c r="G28" s="363">
        <f ca="1">IF(YEAR('2026'!$B$1)&lt;C28,"",ROUND(INDIRECT(C28&amp;"!N10"),-1))</f>
        <v>8038310</v>
      </c>
      <c r="H28" s="861">
        <f ca="1">IF(YEAR('2026'!$B$1)&lt;C28,"",ROUND(INDIRECT(C28&amp;"!N12"),-1))</f>
        <v>12782040</v>
      </c>
      <c r="I28" s="877">
        <f ca="1">IF(YEAR('2026'!$B$1)&lt;C28,"",ROUND(INDIRECT(C28&amp;"!N12"),-1))</f>
        <v>12782040</v>
      </c>
      <c r="J28" s="634">
        <f ca="1">IF(YEAR('2026'!$B$1)&lt;C28,"",ROUND(INDIRECT(C28&amp;"!N11"),-1))</f>
        <v>1680000</v>
      </c>
      <c r="K28" s="631">
        <f ca="1">IF(YEAR('2026'!$B$1)&lt;C28,"",ROUND(INDIRECT(C28&amp;"!N17"),-1))</f>
        <v>720000</v>
      </c>
      <c r="L28" s="863">
        <f ca="1">IF(YEAR('2026'!$B$1)&lt;C28,"",ROUND(INDIRECT(C28&amp;"!N19"),-1))</f>
        <v>240000</v>
      </c>
      <c r="M28" s="794">
        <f ca="1">IF(YEAR('2026'!$B$1)&lt;C28,"",ROUND(INDIRECT(C28&amp;"!N21"),-1))</f>
        <v>2838130</v>
      </c>
      <c r="N28" s="873">
        <f ca="1">IF(YEAR('2026'!$B$1)&lt;C28,"",ROUND(INDIRECT(C28&amp;"!N14"),-1))</f>
        <v>2400000</v>
      </c>
      <c r="O28" s="870">
        <f t="shared" ca="1" si="2"/>
        <v>53692220</v>
      </c>
      <c r="P28" s="368">
        <f ca="1">IF(G28="","",ROUND(SUM($O$3:O28),-1))</f>
        <v>875923170</v>
      </c>
    </row>
    <row r="29" spans="1:20" ht="9.75" customHeight="1">
      <c r="A29" s="230">
        <v>27</v>
      </c>
      <c r="B29" s="357">
        <f t="shared" ca="1" si="0"/>
        <v>29</v>
      </c>
      <c r="C29" s="231">
        <f ca="1">'퇴직때까지의 총연봉액'!D29</f>
        <v>2051</v>
      </c>
      <c r="D29" s="384">
        <f ca="1">직책수당총괄표!D29</f>
        <v>54</v>
      </c>
      <c r="E29" s="232">
        <f t="shared" ca="1" si="1"/>
        <v>39</v>
      </c>
      <c r="F29" s="866">
        <f ca="1">IF(YEAR('2026'!$B$1)&lt;C29,"",ROUND(INDIRECT(C29&amp;"!N7"),-1)+ROUND(INDIRECT(C29&amp;"!N8"),-1)+ROUND(INDIRECT(C29&amp;"!N9"),-1))</f>
        <v>12713500</v>
      </c>
      <c r="G29" s="363">
        <f ca="1">IF(YEAR('2026'!$B$1)&lt;C29,"",ROUND(INDIRECT(C29&amp;"!N10"),-1))</f>
        <v>8239260</v>
      </c>
      <c r="H29" s="861">
        <f ca="1">IF(YEAR('2026'!$B$1)&lt;C29,"",ROUND(INDIRECT(C29&amp;"!N12"),-1))</f>
        <v>13384200</v>
      </c>
      <c r="I29" s="877">
        <f ca="1">IF(YEAR('2026'!$B$1)&lt;C29,"",ROUND(INDIRECT(C29&amp;"!N12"),-1))</f>
        <v>13384200</v>
      </c>
      <c r="J29" s="634">
        <f ca="1">IF(YEAR('2026'!$B$1)&lt;C29,"",ROUND(INDIRECT(C29&amp;"!N11"),-1))</f>
        <v>1680000</v>
      </c>
      <c r="K29" s="631">
        <f ca="1">IF(YEAR('2026'!$B$1)&lt;C29,"",ROUND(INDIRECT(C29&amp;"!N17"),-1))</f>
        <v>720000</v>
      </c>
      <c r="L29" s="863">
        <f ca="1">IF(YEAR('2026'!$B$1)&lt;C29,"",ROUND(INDIRECT(C29&amp;"!N19"),-1))</f>
        <v>240000</v>
      </c>
      <c r="M29" s="794">
        <f ca="1">IF(YEAR('2026'!$B$1)&lt;C29,"",ROUND(INDIRECT(C29&amp;"!N21"),-1))</f>
        <v>2909150</v>
      </c>
      <c r="N29" s="873">
        <f ca="1">IF(YEAR('2026'!$B$1)&lt;C29,"",ROUND(INDIRECT(C29&amp;"!N14"),-1))</f>
        <v>2400000</v>
      </c>
      <c r="O29" s="870">
        <f t="shared" ca="1" si="2"/>
        <v>55670310</v>
      </c>
      <c r="P29" s="368">
        <f ca="1">IF(G29="","",ROUND(SUM($O$3:O29),-1))</f>
        <v>931593480</v>
      </c>
    </row>
    <row r="30" spans="1:20" ht="9.75" customHeight="1">
      <c r="A30" s="230">
        <v>28</v>
      </c>
      <c r="B30" s="357">
        <f t="shared" ca="1" si="0"/>
        <v>30</v>
      </c>
      <c r="C30" s="231">
        <f ca="1">'퇴직때까지의 총연봉액'!D30</f>
        <v>2052</v>
      </c>
      <c r="D30" s="384">
        <f ca="1">직책수당총괄표!D30</f>
        <v>55</v>
      </c>
      <c r="E30" s="232">
        <f t="shared" ca="1" si="1"/>
        <v>40</v>
      </c>
      <c r="F30" s="866">
        <f ca="1">IF(YEAR('2026'!$B$1)&lt;C30,"",ROUND(INDIRECT(C30&amp;"!N7"),-1)+ROUND(INDIRECT(C30&amp;"!N8"),-1)+ROUND(INDIRECT(C30&amp;"!N9"),-1))</f>
        <v>13232900</v>
      </c>
      <c r="G30" s="363">
        <f ca="1">IF(YEAR('2026'!$B$1)&lt;C30,"",ROUND(INDIRECT(C30&amp;"!N10"),-1))</f>
        <v>8445230</v>
      </c>
      <c r="H30" s="861">
        <f ca="1">IF(YEAR('2026'!$B$1)&lt;C30,"",ROUND(INDIRECT(C30&amp;"!N12"),-1))</f>
        <v>14007480</v>
      </c>
      <c r="I30" s="877">
        <f ca="1">IF(YEAR('2026'!$B$1)&lt;C30,"",ROUND(INDIRECT(C30&amp;"!N12"),-1))</f>
        <v>14007480</v>
      </c>
      <c r="J30" s="634">
        <f ca="1">IF(YEAR('2026'!$B$1)&lt;C30,"",ROUND(INDIRECT(C30&amp;"!N11"),-1))</f>
        <v>1680000</v>
      </c>
      <c r="K30" s="631">
        <f ca="1">IF(YEAR('2026'!$B$1)&lt;C30,"",ROUND(INDIRECT(C30&amp;"!N17"),-1))</f>
        <v>720000</v>
      </c>
      <c r="L30" s="863">
        <f ca="1">IF(YEAR('2026'!$B$1)&lt;C30,"",ROUND(INDIRECT(C30&amp;"!N19"),-1))</f>
        <v>240000</v>
      </c>
      <c r="M30" s="794">
        <f ca="1">IF(YEAR('2026'!$B$1)&lt;C30,"",ROUND(INDIRECT(C30&amp;"!N21"),-1))</f>
        <v>2981820</v>
      </c>
      <c r="N30" s="873">
        <f ca="1">IF(YEAR('2026'!$B$1)&lt;C30,"",ROUND(INDIRECT(C30&amp;"!N14"),-1))</f>
        <v>2400000</v>
      </c>
      <c r="O30" s="870">
        <f t="shared" ca="1" si="2"/>
        <v>57714910</v>
      </c>
      <c r="P30" s="368">
        <f ca="1">IF(G30="","",ROUND(SUM($O$3:O30),-1))</f>
        <v>989308390</v>
      </c>
      <c r="S30" s="380"/>
    </row>
    <row r="31" spans="1:20" ht="9.75" customHeight="1">
      <c r="A31" s="230">
        <v>29</v>
      </c>
      <c r="B31" s="357">
        <f t="shared" ca="1" si="0"/>
        <v>31</v>
      </c>
      <c r="C31" s="231">
        <f ca="1">'퇴직때까지의 총연봉액'!D31</f>
        <v>2053</v>
      </c>
      <c r="D31" s="384">
        <f ca="1">직책수당총괄표!D31</f>
        <v>56</v>
      </c>
      <c r="E31" s="232">
        <f t="shared" ca="1" si="1"/>
        <v>41</v>
      </c>
      <c r="F31" s="866">
        <f ca="1">IF(YEAR('2026'!$B$1)&lt;C31,"",ROUND(INDIRECT(C31&amp;"!N7"),-1)+ROUND(INDIRECT(C31&amp;"!N8"),-1)+ROUND(INDIRECT(C31&amp;"!N9"),-1))</f>
        <v>13726250</v>
      </c>
      <c r="G31" s="363">
        <f ca="1">IF(YEAR('2026'!$B$1)&lt;C31,"",ROUND(INDIRECT(C31&amp;"!N10"),-1))</f>
        <v>8656330</v>
      </c>
      <c r="H31" s="861">
        <f ca="1">IF(YEAR('2026'!$B$1)&lt;C31,"",ROUND(INDIRECT(C31&amp;"!N12"),-1))</f>
        <v>14599500</v>
      </c>
      <c r="I31" s="877">
        <f ca="1">IF(YEAR('2026'!$B$1)&lt;C31,"",ROUND(INDIRECT(C31&amp;"!N12"),-1))</f>
        <v>14599500</v>
      </c>
      <c r="J31" s="634">
        <f ca="1">IF(YEAR('2026'!$B$1)&lt;C31,"",ROUND(INDIRECT(C31&amp;"!N11"),-1))</f>
        <v>1680000</v>
      </c>
      <c r="K31" s="631">
        <f ca="1">IF(YEAR('2026'!$B$1)&lt;C31,"",ROUND(INDIRECT(C31&amp;"!N17"),-1))</f>
        <v>720000</v>
      </c>
      <c r="L31" s="863">
        <f ca="1">IF(YEAR('2026'!$B$1)&lt;C31,"",ROUND(INDIRECT(C31&amp;"!N19"),-1))</f>
        <v>240000</v>
      </c>
      <c r="M31" s="794">
        <f ca="1">IF(YEAR('2026'!$B$1)&lt;C31,"",ROUND(INDIRECT(C31&amp;"!N21"),-1))</f>
        <v>3056360</v>
      </c>
      <c r="N31" s="873">
        <f ca="1">IF(YEAR('2026'!$B$1)&lt;C31,"",ROUND(INDIRECT(C31&amp;"!N14"),-1))</f>
        <v>2400000</v>
      </c>
      <c r="O31" s="870">
        <f t="shared" ca="1" si="2"/>
        <v>59677940</v>
      </c>
      <c r="P31" s="368">
        <f ca="1">IF(G31="","",ROUND(SUM($O$3:O31),-1))</f>
        <v>1048986330</v>
      </c>
    </row>
    <row r="32" spans="1:20" ht="9.75" customHeight="1">
      <c r="A32" s="230">
        <v>30</v>
      </c>
      <c r="B32" s="357">
        <f t="shared" ca="1" si="0"/>
        <v>32</v>
      </c>
      <c r="C32" s="231">
        <f ca="1">'퇴직때까지의 총연봉액'!D32</f>
        <v>2054</v>
      </c>
      <c r="D32" s="384">
        <f ca="1">직책수당총괄표!D32</f>
        <v>57</v>
      </c>
      <c r="E32" s="232">
        <f t="shared" ca="1" si="1"/>
        <v>42</v>
      </c>
      <c r="F32" s="866">
        <f ca="1">IF(YEAR('2026'!$B$1)&lt;C32,"",ROUND(INDIRECT(C32&amp;"!N7"),-1)+ROUND(INDIRECT(C32&amp;"!N8"),-1)+ROUND(INDIRECT(C32&amp;"!N9"),-1))</f>
        <v>14192200</v>
      </c>
      <c r="G32" s="363">
        <f ca="1">IF(YEAR('2026'!$B$1)&lt;C32,"",ROUND(INDIRECT(C32&amp;"!N10"),-1))</f>
        <v>8872780</v>
      </c>
      <c r="H32" s="861">
        <f ca="1">IF(YEAR('2026'!$B$1)&lt;C32,"",ROUND(INDIRECT(C32&amp;"!N12"),-1))</f>
        <v>15158640</v>
      </c>
      <c r="I32" s="877">
        <f ca="1">IF(YEAR('2026'!$B$1)&lt;C32,"",ROUND(INDIRECT(C32&amp;"!N12"),-1))</f>
        <v>15158640</v>
      </c>
      <c r="J32" s="634">
        <f ca="1">IF(YEAR('2026'!$B$1)&lt;C32,"",ROUND(INDIRECT(C32&amp;"!N11"),-1))</f>
        <v>1680000</v>
      </c>
      <c r="K32" s="631">
        <f ca="1">IF(YEAR('2026'!$B$1)&lt;C32,"",ROUND(INDIRECT(C32&amp;"!N17"),-1))</f>
        <v>720000</v>
      </c>
      <c r="L32" s="863">
        <f ca="1">IF(YEAR('2026'!$B$1)&lt;C32,"",ROUND(INDIRECT(C32&amp;"!N19"),-1))</f>
        <v>240000</v>
      </c>
      <c r="M32" s="794">
        <f ca="1">IF(YEAR('2026'!$B$1)&lt;C32,"",ROUND(INDIRECT(C32&amp;"!N21"),-1))</f>
        <v>3132800</v>
      </c>
      <c r="N32" s="873">
        <f ca="1">IF(YEAR('2026'!$B$1)&lt;C32,"",ROUND(INDIRECT(C32&amp;"!N14"),-1))</f>
        <v>2400000</v>
      </c>
      <c r="O32" s="870">
        <f t="shared" ca="1" si="2"/>
        <v>61555060</v>
      </c>
      <c r="P32" s="368">
        <f ca="1">IF(G32="","",ROUND(SUM($O$3:O32),-1))</f>
        <v>1110541390</v>
      </c>
    </row>
    <row r="33" spans="1:16" ht="9.75" customHeight="1">
      <c r="A33" s="230">
        <v>31</v>
      </c>
      <c r="B33" s="357">
        <f t="shared" ca="1" si="0"/>
        <v>33</v>
      </c>
      <c r="C33" s="231">
        <f ca="1">'퇴직때까지의 총연봉액'!D33</f>
        <v>2055</v>
      </c>
      <c r="D33" s="384">
        <f ca="1">직책수당총괄표!D33</f>
        <v>58</v>
      </c>
      <c r="E33" s="232">
        <f t="shared" ca="1" si="1"/>
        <v>43</v>
      </c>
      <c r="F33" s="866">
        <f ca="1">IF(YEAR('2026'!$B$1)&lt;C33,"",ROUND(INDIRECT(C33&amp;"!N7"),-1)+ROUND(INDIRECT(C33&amp;"!N8"),-1)+ROUND(INDIRECT(C33&amp;"!N9"),-1))</f>
        <v>14673700</v>
      </c>
      <c r="G33" s="363">
        <f ca="1">IF(YEAR('2026'!$B$1)&lt;C33,"",ROUND(INDIRECT(C33&amp;"!N10"),-1))</f>
        <v>9094570</v>
      </c>
      <c r="H33" s="861">
        <f ca="1">IF(YEAR('2026'!$B$1)&lt;C33,"",ROUND(INDIRECT(C33&amp;"!N12"),-1))</f>
        <v>15736440</v>
      </c>
      <c r="I33" s="877">
        <f ca="1">IF(YEAR('2026'!$B$1)&lt;C33,"",ROUND(INDIRECT(C33&amp;"!N12"),-1))</f>
        <v>15736440</v>
      </c>
      <c r="J33" s="634">
        <f ca="1">IF(YEAR('2026'!$B$1)&lt;C33,"",ROUND(INDIRECT(C33&amp;"!N11"),-1))</f>
        <v>1680000</v>
      </c>
      <c r="K33" s="631">
        <f ca="1">IF(YEAR('2026'!$B$1)&lt;C33,"",ROUND(INDIRECT(C33&amp;"!N17"),-1))</f>
        <v>720000</v>
      </c>
      <c r="L33" s="863">
        <f ca="1">IF(YEAR('2026'!$B$1)&lt;C33,"",ROUND(INDIRECT(C33&amp;"!N19"),-1))</f>
        <v>240000</v>
      </c>
      <c r="M33" s="794">
        <f ca="1">IF(YEAR('2026'!$B$1)&lt;C33,"",ROUND(INDIRECT(C33&amp;"!N21"),-1))</f>
        <v>3211080</v>
      </c>
      <c r="N33" s="873">
        <f ca="1">IF(YEAR('2026'!$B$1)&lt;C33,"",ROUND(INDIRECT(C33&amp;"!N14"),-1))</f>
        <v>2400000</v>
      </c>
      <c r="O33" s="870">
        <f t="shared" ca="1" si="2"/>
        <v>63492230</v>
      </c>
      <c r="P33" s="368">
        <f ca="1">IF(G33="","",ROUND(SUM($O$3:O33),-1))</f>
        <v>1174033620</v>
      </c>
    </row>
    <row r="34" spans="1:16" ht="9.75" customHeight="1">
      <c r="A34" s="230">
        <v>32</v>
      </c>
      <c r="B34" s="357">
        <f t="shared" ca="1" si="0"/>
        <v>34</v>
      </c>
      <c r="C34" s="231">
        <f ca="1">'퇴직때까지의 총연봉액'!D34</f>
        <v>2056</v>
      </c>
      <c r="D34" s="384">
        <f ca="1">직책수당총괄표!D34</f>
        <v>59</v>
      </c>
      <c r="E34" s="232">
        <f t="shared" ca="1" si="1"/>
        <v>44</v>
      </c>
      <c r="F34" s="866">
        <f ca="1">IF(YEAR('2026'!$B$1)&lt;C34,"",ROUND(INDIRECT(C34&amp;"!N7"),-1)+ROUND(INDIRECT(C34&amp;"!N8"),-1)+ROUND(INDIRECT(C34&amp;"!N9"),-1))</f>
        <v>15171350</v>
      </c>
      <c r="G34" s="363">
        <f ca="1">IF(YEAR('2026'!$B$1)&lt;C34,"",ROUND(INDIRECT(C34&amp;"!N10"),-1))</f>
        <v>9321920</v>
      </c>
      <c r="H34" s="861">
        <f ca="1">IF(YEAR('2026'!$B$1)&lt;C34,"",ROUND(INDIRECT(C34&amp;"!N12"),-1))</f>
        <v>16333620</v>
      </c>
      <c r="I34" s="877">
        <f ca="1">IF(YEAR('2026'!$B$1)&lt;C34,"",ROUND(INDIRECT(C34&amp;"!N12"),-1))</f>
        <v>16333620</v>
      </c>
      <c r="J34" s="634">
        <f ca="1">IF(YEAR('2026'!$B$1)&lt;C34,"",ROUND(INDIRECT(C34&amp;"!N11"),-1))</f>
        <v>1680000</v>
      </c>
      <c r="K34" s="631">
        <f ca="1">IF(YEAR('2026'!$B$1)&lt;C34,"",ROUND(INDIRECT(C34&amp;"!N17"),-1))</f>
        <v>720000</v>
      </c>
      <c r="L34" s="863">
        <f ca="1">IF(YEAR('2026'!$B$1)&lt;C34,"",ROUND(INDIRECT(C34&amp;"!N19"),-1))</f>
        <v>240000</v>
      </c>
      <c r="M34" s="794">
        <f ca="1">IF(YEAR('2026'!$B$1)&lt;C34,"",ROUND(INDIRECT(C34&amp;"!N21"),-1))</f>
        <v>3291420</v>
      </c>
      <c r="N34" s="873">
        <f ca="1">IF(YEAR('2026'!$B$1)&lt;C34,"",ROUND(INDIRECT(C34&amp;"!N14"),-1))</f>
        <v>2400000</v>
      </c>
      <c r="O34" s="870">
        <f t="shared" ca="1" si="2"/>
        <v>65491930</v>
      </c>
      <c r="P34" s="368">
        <f ca="1">IF(G34="","",ROUND(SUM($O$3:O34),-1))</f>
        <v>1239525550</v>
      </c>
    </row>
    <row r="35" spans="1:16" ht="9.75" customHeight="1">
      <c r="A35" s="230">
        <v>33</v>
      </c>
      <c r="B35" s="357">
        <f t="shared" ca="1" si="0"/>
        <v>35</v>
      </c>
      <c r="C35" s="231">
        <f ca="1">'퇴직때까지의 총연봉액'!D35</f>
        <v>2057</v>
      </c>
      <c r="D35" s="384">
        <f ca="1">직책수당총괄표!D35</f>
        <v>60</v>
      </c>
      <c r="E35" s="232">
        <f t="shared" ca="1" si="1"/>
        <v>45</v>
      </c>
      <c r="F35" s="866">
        <f ca="1">IF(YEAR('2026'!$B$1)&lt;C35,"",ROUND(INDIRECT(C35&amp;"!N7"),-1)+ROUND(INDIRECT(C35&amp;"!N8"),-1)+ROUND(INDIRECT(C35&amp;"!N9"),-1))</f>
        <v>15685550</v>
      </c>
      <c r="G35" s="363">
        <f ca="1">IF(YEAR('2026'!$B$1)&lt;C35,"",ROUND(INDIRECT(C35&amp;"!N10"),-1))</f>
        <v>9554930</v>
      </c>
      <c r="H35" s="861">
        <f ca="1">IF(YEAR('2026'!$B$1)&lt;C35,"",ROUND(INDIRECT(C35&amp;"!N12"),-1))</f>
        <v>16950660</v>
      </c>
      <c r="I35" s="877">
        <f ca="1">IF(YEAR('2026'!$B$1)&lt;C35,"",ROUND(INDIRECT(C35&amp;"!N12"),-1))</f>
        <v>16950660</v>
      </c>
      <c r="J35" s="634">
        <f ca="1">IF(YEAR('2026'!$B$1)&lt;C35,"",ROUND(INDIRECT(C35&amp;"!N11"),-1))</f>
        <v>1680000</v>
      </c>
      <c r="K35" s="631">
        <f ca="1">IF(YEAR('2026'!$B$1)&lt;C35,"",ROUND(INDIRECT(C35&amp;"!N17"),-1))</f>
        <v>720000</v>
      </c>
      <c r="L35" s="863">
        <f ca="1">IF(YEAR('2026'!$B$1)&lt;C35,"",ROUND(INDIRECT(C35&amp;"!N19"),-1))</f>
        <v>240000</v>
      </c>
      <c r="M35" s="794">
        <f ca="1">IF(YEAR('2026'!$B$1)&lt;C35,"",ROUND(INDIRECT(C35&amp;"!N21"),-1))</f>
        <v>3373700</v>
      </c>
      <c r="N35" s="873">
        <f ca="1">IF(YEAR('2026'!$B$1)&lt;C35,"",ROUND(INDIRECT(C35&amp;"!N14"),-1))</f>
        <v>2400000</v>
      </c>
      <c r="O35" s="870">
        <f t="shared" ca="1" si="2"/>
        <v>67555500</v>
      </c>
      <c r="P35" s="368">
        <f ca="1">IF(G35="","",ROUND(SUM($O$3:O35),-1))</f>
        <v>1307081050</v>
      </c>
    </row>
    <row r="36" spans="1:16" ht="9.75" customHeight="1">
      <c r="A36" s="230">
        <v>34</v>
      </c>
      <c r="B36" s="357">
        <f t="shared" ca="1" si="0"/>
        <v>36</v>
      </c>
      <c r="C36" s="231">
        <f ca="1">'퇴직때까지의 총연봉액'!D36</f>
        <v>2058</v>
      </c>
      <c r="D36" s="384">
        <f ca="1">직책수당총괄표!D36</f>
        <v>61</v>
      </c>
      <c r="E36" s="232">
        <f t="shared" ca="1" si="1"/>
        <v>46</v>
      </c>
      <c r="F36" s="866">
        <f ca="1">IF(YEAR('2026'!$B$1)&lt;C36,"",ROUND(INDIRECT(C36&amp;"!N7"),-1)+ROUND(INDIRECT(C36&amp;"!N8"),-1)+ROUND(INDIRECT(C36&amp;"!N9"),-1))</f>
        <v>16217450</v>
      </c>
      <c r="G36" s="363">
        <f ca="1">IF(YEAR('2026'!$B$1)&lt;C36,"",ROUND(INDIRECT(C36&amp;"!N10"),-1))</f>
        <v>9793820</v>
      </c>
      <c r="H36" s="861">
        <f ca="1">IF(YEAR('2026'!$B$1)&lt;C36,"",ROUND(INDIRECT(C36&amp;"!N12"),-1))</f>
        <v>17588940</v>
      </c>
      <c r="I36" s="877">
        <f ca="1">IF(YEAR('2026'!$B$1)&lt;C36,"",ROUND(INDIRECT(C36&amp;"!N12"),-1))</f>
        <v>17588940</v>
      </c>
      <c r="J36" s="634">
        <f ca="1">IF(YEAR('2026'!$B$1)&lt;C36,"",ROUND(INDIRECT(C36&amp;"!N11"),-1))</f>
        <v>1680000</v>
      </c>
      <c r="K36" s="631">
        <f ca="1">IF(YEAR('2026'!$B$1)&lt;C36,"",ROUND(INDIRECT(C36&amp;"!N17"),-1))</f>
        <v>720000</v>
      </c>
      <c r="L36" s="863">
        <f ca="1">IF(YEAR('2026'!$B$1)&lt;C36,"",ROUND(INDIRECT(C36&amp;"!N19"),-1))</f>
        <v>240000</v>
      </c>
      <c r="M36" s="794">
        <f ca="1">IF(YEAR('2026'!$B$1)&lt;C36,"",ROUND(INDIRECT(C36&amp;"!N21"),-1))</f>
        <v>3458080</v>
      </c>
      <c r="N36" s="873">
        <f ca="1">IF(YEAR('2026'!$B$1)&lt;C36,"",ROUND(INDIRECT(C36&amp;"!N14"),-1))</f>
        <v>2400000</v>
      </c>
      <c r="O36" s="870">
        <f t="shared" ca="1" si="2"/>
        <v>69687230</v>
      </c>
      <c r="P36" s="368">
        <f ca="1">IF(G36="","",ROUND(SUM($O$3:O36),-1))</f>
        <v>1376768280</v>
      </c>
    </row>
    <row r="37" spans="1:16" ht="9.75" customHeight="1">
      <c r="A37" s="230">
        <v>35</v>
      </c>
      <c r="B37" s="357">
        <f t="shared" ca="1" si="0"/>
        <v>37</v>
      </c>
      <c r="C37" s="231">
        <f ca="1">'퇴직때까지의 총연봉액'!D37</f>
        <v>2059</v>
      </c>
      <c r="D37" s="384">
        <f ca="1">직책수당총괄표!D37</f>
        <v>62</v>
      </c>
      <c r="E37" s="232">
        <f t="shared" ca="1" si="1"/>
        <v>47</v>
      </c>
      <c r="F37" s="866">
        <f ca="1">IF(YEAR('2026'!$B$1)&lt;C37,"",ROUND(INDIRECT(C37&amp;"!N7"),-1)+ROUND(INDIRECT(C37&amp;"!N8"),-1)+ROUND(INDIRECT(C37&amp;"!N9"),-1))</f>
        <v>7817800</v>
      </c>
      <c r="G37" s="363">
        <f ca="1">IF(YEAR('2026'!$B$1)&lt;C37,"",ROUND(INDIRECT(C37&amp;"!N10"),-1))</f>
        <v>0</v>
      </c>
      <c r="H37" s="861">
        <f ca="1">IF(YEAR('2026'!$B$1)&lt;C37,"",ROUND(INDIRECT(C37&amp;"!N12"),-1))</f>
        <v>9069360</v>
      </c>
      <c r="I37" s="877">
        <f ca="1">IF(YEAR('2026'!$B$1)&lt;C37,"",ROUND(INDIRECT(C37&amp;"!N12"),-1))</f>
        <v>9069360</v>
      </c>
      <c r="J37" s="634">
        <f ca="1">IF(YEAR('2026'!$B$1)&lt;C37,"",ROUND(INDIRECT(C37&amp;"!N11"),-1))</f>
        <v>280000</v>
      </c>
      <c r="K37" s="631">
        <f ca="1">IF(YEAR('2026'!$B$1)&lt;C37,"",ROUND(INDIRECT(C37&amp;"!N17"),-1))</f>
        <v>120000</v>
      </c>
      <c r="L37" s="863">
        <f ca="1">IF(YEAR('2026'!$B$1)&lt;C37,"",ROUND(INDIRECT(C37&amp;"!N19"),-1))</f>
        <v>40000</v>
      </c>
      <c r="M37" s="794">
        <f ca="1">IF(YEAR('2026'!$B$1)&lt;C37,"",ROUND(INDIRECT(C37&amp;"!N21"),-1))</f>
        <v>0</v>
      </c>
      <c r="N37" s="873">
        <f ca="1">IF(YEAR('2026'!$B$1)&lt;C37,"",ROUND(INDIRECT(C37&amp;"!N14"),-1))</f>
        <v>400000</v>
      </c>
      <c r="O37" s="870">
        <f t="shared" ca="1" si="2"/>
        <v>26796520</v>
      </c>
      <c r="P37" s="368">
        <f ca="1">IF(G37="","",ROUND(SUM($O$3:O37),-1))</f>
        <v>1403564800</v>
      </c>
    </row>
    <row r="38" spans="1:16" ht="9.75" customHeight="1">
      <c r="A38" s="230">
        <v>36</v>
      </c>
      <c r="B38" s="357" t="str">
        <f t="shared" ca="1" si="0"/>
        <v/>
      </c>
      <c r="C38" s="231">
        <f ca="1">'퇴직때까지의 총연봉액'!D38</f>
        <v>2060</v>
      </c>
      <c r="D38" s="384" t="str">
        <f ca="1">직책수당총괄표!D38</f>
        <v/>
      </c>
      <c r="E38" s="232" t="str">
        <f t="shared" ca="1" si="1"/>
        <v/>
      </c>
      <c r="F38" s="866" t="str">
        <f ca="1">IF(YEAR('2026'!$B$1)&lt;C38,"",ROUND(INDIRECT(C38&amp;"!N7"),-1)+ROUND(INDIRECT(C38&amp;"!N8"),-1)+ROUND(INDIRECT(C38&amp;"!N9"),-1))</f>
        <v/>
      </c>
      <c r="G38" s="363" t="str">
        <f ca="1">IF(YEAR('2026'!$B$1)&lt;C38,"",ROUND(INDIRECT(C38&amp;"!N10"),-1))</f>
        <v/>
      </c>
      <c r="H38" s="861" t="str">
        <f ca="1">IF(YEAR('2026'!$B$1)&lt;C38,"",ROUND(INDIRECT(C38&amp;"!N12"),-1))</f>
        <v/>
      </c>
      <c r="I38" s="877" t="str">
        <f ca="1">IF(YEAR('2026'!$B$1)&lt;C38,"",ROUND(INDIRECT(C38&amp;"!N12"),-1))</f>
        <v/>
      </c>
      <c r="J38" s="634" t="str">
        <f ca="1">IF(YEAR('2026'!$B$1)&lt;C38,"",ROUND(INDIRECT(C38&amp;"!N11"),-1))</f>
        <v/>
      </c>
      <c r="K38" s="631" t="str">
        <f ca="1">IF(YEAR('2026'!$B$1)&lt;C38,"",ROUND(INDIRECT(C38&amp;"!N17"),-1))</f>
        <v/>
      </c>
      <c r="L38" s="863" t="str">
        <f ca="1">IF(YEAR('2026'!$B$1)&lt;C38,"",ROUND(INDIRECT(C38&amp;"!N19"),-1))</f>
        <v/>
      </c>
      <c r="M38" s="794" t="str">
        <f ca="1">IF(YEAR('2026'!$B$1)&lt;C38,"",ROUND(INDIRECT(C38&amp;"!N21"),-1))</f>
        <v/>
      </c>
      <c r="N38" s="873" t="str">
        <f ca="1">IF(YEAR('2026'!$B$1)&lt;C38,"",ROUND(INDIRECT(C38&amp;"!N14"),-1))</f>
        <v/>
      </c>
      <c r="O38" s="870" t="str">
        <f t="shared" ca="1" si="2"/>
        <v/>
      </c>
      <c r="P38" s="368" t="str">
        <f ca="1">IF(G38="","",ROUND(SUM($O$3:O38),-1))</f>
        <v/>
      </c>
    </row>
    <row r="39" spans="1:16" ht="9.75" customHeight="1">
      <c r="A39" s="230">
        <v>37</v>
      </c>
      <c r="B39" s="357" t="str">
        <f t="shared" ca="1" si="0"/>
        <v/>
      </c>
      <c r="C39" s="231">
        <f ca="1">'퇴직때까지의 총연봉액'!D39</f>
        <v>2061</v>
      </c>
      <c r="D39" s="384" t="str">
        <f ca="1">직책수당총괄표!D39</f>
        <v/>
      </c>
      <c r="E39" s="232" t="str">
        <f t="shared" ca="1" si="1"/>
        <v/>
      </c>
      <c r="F39" s="866" t="str">
        <f ca="1">IF(YEAR('2026'!$B$1)&lt;C39,"",ROUND(INDIRECT(C39&amp;"!N7"),-1)+ROUND(INDIRECT(C39&amp;"!N8"),-1)+ROUND(INDIRECT(C39&amp;"!N9"),-1))</f>
        <v/>
      </c>
      <c r="G39" s="363" t="str">
        <f ca="1">IF(YEAR('2026'!$B$1)&lt;C39,"",ROUND(INDIRECT(C39&amp;"!N10"),-1))</f>
        <v/>
      </c>
      <c r="H39" s="861" t="str">
        <f ca="1">IF(YEAR('2026'!$B$1)&lt;C39,"",ROUND(INDIRECT(C39&amp;"!N12"),-1))</f>
        <v/>
      </c>
      <c r="I39" s="877" t="str">
        <f ca="1">IF(YEAR('2026'!$B$1)&lt;C39,"",ROUND(INDIRECT(C39&amp;"!N12"),-1))</f>
        <v/>
      </c>
      <c r="J39" s="634" t="str">
        <f ca="1">IF(YEAR('2026'!$B$1)&lt;C39,"",ROUND(INDIRECT(C39&amp;"!N11"),-1))</f>
        <v/>
      </c>
      <c r="K39" s="631" t="str">
        <f ca="1">IF(YEAR('2026'!$B$1)&lt;C39,"",ROUND(INDIRECT(C39&amp;"!N17"),-1))</f>
        <v/>
      </c>
      <c r="L39" s="863" t="str">
        <f ca="1">IF(YEAR('2026'!$B$1)&lt;C39,"",ROUND(INDIRECT(C39&amp;"!N19"),-1))</f>
        <v/>
      </c>
      <c r="M39" s="794" t="str">
        <f ca="1">IF(YEAR('2026'!$B$1)&lt;C39,"",ROUND(INDIRECT(C39&amp;"!N21"),-1))</f>
        <v/>
      </c>
      <c r="N39" s="873" t="str">
        <f ca="1">IF(YEAR('2026'!$B$1)&lt;C39,"",ROUND(INDIRECT(C39&amp;"!N14"),-1))</f>
        <v/>
      </c>
      <c r="O39" s="870" t="str">
        <f t="shared" ca="1" si="2"/>
        <v/>
      </c>
      <c r="P39" s="368" t="str">
        <f ca="1">IF(G39="","",ROUND(SUM($O$3:O39),-1))</f>
        <v/>
      </c>
    </row>
    <row r="40" spans="1:16" ht="9.75" customHeight="1">
      <c r="A40" s="230">
        <v>38</v>
      </c>
      <c r="B40" s="357" t="str">
        <f t="shared" ca="1" si="0"/>
        <v/>
      </c>
      <c r="C40" s="231">
        <f ca="1">'퇴직때까지의 총연봉액'!D40</f>
        <v>2062</v>
      </c>
      <c r="D40" s="384" t="str">
        <f ca="1">직책수당총괄표!D40</f>
        <v/>
      </c>
      <c r="E40" s="232" t="str">
        <f t="shared" ca="1" si="1"/>
        <v/>
      </c>
      <c r="F40" s="866" t="str">
        <f ca="1">IF(YEAR('2026'!$B$1)&lt;C40,"",ROUND(INDIRECT(C40&amp;"!N7"),-1)+ROUND(INDIRECT(C40&amp;"!N8"),-1)+ROUND(INDIRECT(C40&amp;"!N9"),-1))</f>
        <v/>
      </c>
      <c r="G40" s="363" t="str">
        <f ca="1">IF(YEAR('2026'!$B$1)&lt;C40,"",ROUND(INDIRECT(C40&amp;"!N10"),-1))</f>
        <v/>
      </c>
      <c r="H40" s="861" t="str">
        <f ca="1">IF(YEAR('2026'!$B$1)&lt;C40,"",ROUND(INDIRECT(C40&amp;"!N12"),-1))</f>
        <v/>
      </c>
      <c r="I40" s="877" t="str">
        <f ca="1">IF(YEAR('2026'!$B$1)&lt;C40,"",ROUND(INDIRECT(C40&amp;"!N12"),-1))</f>
        <v/>
      </c>
      <c r="J40" s="634" t="str">
        <f ca="1">IF(YEAR('2026'!$B$1)&lt;C40,"",ROUND(INDIRECT(C40&amp;"!N11"),-1))</f>
        <v/>
      </c>
      <c r="K40" s="631" t="str">
        <f ca="1">IF(YEAR('2026'!$B$1)&lt;C40,"",ROUND(INDIRECT(C40&amp;"!N17"),-1))</f>
        <v/>
      </c>
      <c r="L40" s="863" t="str">
        <f ca="1">IF(YEAR('2026'!$B$1)&lt;C40,"",ROUND(INDIRECT(C40&amp;"!N19"),-1))</f>
        <v/>
      </c>
      <c r="M40" s="794" t="str">
        <f ca="1">IF(YEAR('2026'!$B$1)&lt;C40,"",ROUND(INDIRECT(C40&amp;"!N21"),-1))</f>
        <v/>
      </c>
      <c r="N40" s="873" t="str">
        <f ca="1">IF(YEAR('2026'!$B$1)&lt;C40,"",ROUND(INDIRECT(C40&amp;"!N14"),-1))</f>
        <v/>
      </c>
      <c r="O40" s="870" t="str">
        <f t="shared" ca="1" si="2"/>
        <v/>
      </c>
      <c r="P40" s="368" t="str">
        <f ca="1">IF(G40="","",ROUND(SUM($O$3:O40),-1))</f>
        <v/>
      </c>
    </row>
    <row r="41" spans="1:16" ht="9.75" customHeight="1">
      <c r="A41" s="230">
        <v>39</v>
      </c>
      <c r="B41" s="357" t="str">
        <f t="shared" ca="1" si="0"/>
        <v/>
      </c>
      <c r="C41" s="231">
        <f ca="1">'퇴직때까지의 총연봉액'!D41</f>
        <v>2063</v>
      </c>
      <c r="D41" s="384" t="str">
        <f ca="1">직책수당총괄표!D41</f>
        <v/>
      </c>
      <c r="E41" s="232" t="str">
        <f t="shared" ca="1" si="1"/>
        <v/>
      </c>
      <c r="F41" s="866" t="str">
        <f ca="1">IF(YEAR('2026'!$B$1)&lt;C41,"",ROUND(INDIRECT(C41&amp;"!N7"),-1)+ROUND(INDIRECT(C41&amp;"!N8"),-1)+ROUND(INDIRECT(C41&amp;"!N9"),-1))</f>
        <v/>
      </c>
      <c r="G41" s="363" t="str">
        <f ca="1">IF(YEAR('2026'!$B$1)&lt;C41,"",ROUND(INDIRECT(C41&amp;"!N10"),-1))</f>
        <v/>
      </c>
      <c r="H41" s="861" t="str">
        <f ca="1">IF(YEAR('2026'!$B$1)&lt;C41,"",ROUND(INDIRECT(C41&amp;"!N12"),-1))</f>
        <v/>
      </c>
      <c r="I41" s="877" t="str">
        <f ca="1">IF(YEAR('2026'!$B$1)&lt;C41,"",ROUND(INDIRECT(C41&amp;"!N12"),-1))</f>
        <v/>
      </c>
      <c r="J41" s="634" t="str">
        <f ca="1">IF(YEAR('2026'!$B$1)&lt;C41,"",ROUND(INDIRECT(C41&amp;"!N11"),-1))</f>
        <v/>
      </c>
      <c r="K41" s="631" t="str">
        <f ca="1">IF(YEAR('2026'!$B$1)&lt;C41,"",ROUND(INDIRECT(C41&amp;"!N17"),-1))</f>
        <v/>
      </c>
      <c r="L41" s="863" t="str">
        <f ca="1">IF(YEAR('2026'!$B$1)&lt;C41,"",ROUND(INDIRECT(C41&amp;"!N19"),-1))</f>
        <v/>
      </c>
      <c r="M41" s="794" t="str">
        <f ca="1">IF(YEAR('2026'!$B$1)&lt;C41,"",ROUND(INDIRECT(C41&amp;"!N21"),-1))</f>
        <v/>
      </c>
      <c r="N41" s="873" t="str">
        <f ca="1">IF(YEAR('2026'!$B$1)&lt;C41,"",ROUND(INDIRECT(C41&amp;"!N14"),-1))</f>
        <v/>
      </c>
      <c r="O41" s="870" t="str">
        <f t="shared" ca="1" si="2"/>
        <v/>
      </c>
      <c r="P41" s="368" t="str">
        <f ca="1">IF(G41="","",ROUND(SUM($O$3:O41),-1))</f>
        <v/>
      </c>
    </row>
    <row r="42" spans="1:16" ht="9.75" customHeight="1">
      <c r="A42" s="230">
        <v>40</v>
      </c>
      <c r="B42" s="357" t="str">
        <f t="shared" ca="1" si="0"/>
        <v/>
      </c>
      <c r="C42" s="231">
        <f ca="1">'퇴직때까지의 총연봉액'!D42</f>
        <v>2064</v>
      </c>
      <c r="D42" s="384" t="str">
        <f ca="1">직책수당총괄표!D42</f>
        <v/>
      </c>
      <c r="E42" s="232" t="str">
        <f t="shared" ca="1" si="1"/>
        <v/>
      </c>
      <c r="F42" s="866" t="str">
        <f ca="1">IF(YEAR('2026'!$B$1)&lt;C42,"",ROUND(INDIRECT(C42&amp;"!N7"),-1)+ROUND(INDIRECT(C42&amp;"!N8"),-1)+ROUND(INDIRECT(C42&amp;"!N9"),-1))</f>
        <v/>
      </c>
      <c r="G42" s="363" t="str">
        <f ca="1">IF(YEAR('2026'!$B$1)&lt;C42,"",ROUND(INDIRECT(C42&amp;"!N10"),-1))</f>
        <v/>
      </c>
      <c r="H42" s="861" t="str">
        <f ca="1">IF(YEAR('2026'!$B$1)&lt;C42,"",ROUND(INDIRECT(C42&amp;"!N12"),-1))</f>
        <v/>
      </c>
      <c r="I42" s="877" t="str">
        <f ca="1">IF(YEAR('2026'!$B$1)&lt;C42,"",ROUND(INDIRECT(C42&amp;"!N12"),-1))</f>
        <v/>
      </c>
      <c r="J42" s="634" t="str">
        <f ca="1">IF(YEAR('2026'!$B$1)&lt;C42,"",ROUND(INDIRECT(C42&amp;"!N11"),-1))</f>
        <v/>
      </c>
      <c r="K42" s="631" t="str">
        <f ca="1">IF(YEAR('2026'!$B$1)&lt;C42,"",ROUND(INDIRECT(C42&amp;"!N17"),-1))</f>
        <v/>
      </c>
      <c r="L42" s="863" t="str">
        <f ca="1">IF(YEAR('2026'!$B$1)&lt;C42,"",ROUND(INDIRECT(C42&amp;"!N19"),-1))</f>
        <v/>
      </c>
      <c r="M42" s="794" t="str">
        <f ca="1">IF(YEAR('2026'!$B$1)&lt;C42,"",ROUND(INDIRECT(C42&amp;"!N21"),-1))</f>
        <v/>
      </c>
      <c r="N42" s="873" t="str">
        <f ca="1">IF(YEAR('2026'!$B$1)&lt;C42,"",ROUND(INDIRECT(C42&amp;"!N14"),-1))</f>
        <v/>
      </c>
      <c r="O42" s="870" t="str">
        <f t="shared" ca="1" si="2"/>
        <v/>
      </c>
      <c r="P42" s="368" t="str">
        <f ca="1">IF(G42="","",ROUND(SUM($O$3:O42),-1))</f>
        <v/>
      </c>
    </row>
    <row r="43" spans="1:16" ht="9.75" customHeight="1">
      <c r="A43" s="230">
        <v>41</v>
      </c>
      <c r="B43" s="357" t="str">
        <f t="shared" ca="1" si="0"/>
        <v/>
      </c>
      <c r="C43" s="231">
        <f ca="1">'퇴직때까지의 총연봉액'!D43</f>
        <v>2065</v>
      </c>
      <c r="D43" s="384" t="str">
        <f ca="1">직책수당총괄표!D43</f>
        <v/>
      </c>
      <c r="E43" s="232" t="str">
        <f t="shared" ca="1" si="1"/>
        <v/>
      </c>
      <c r="F43" s="866" t="str">
        <f ca="1">IF(YEAR('2026'!$B$1)&lt;C43,"",ROUND(INDIRECT(C43&amp;"!N7"),-1)+ROUND(INDIRECT(C43&amp;"!N8"),-1)+ROUND(INDIRECT(C43&amp;"!N9"),-1))</f>
        <v/>
      </c>
      <c r="G43" s="363" t="str">
        <f ca="1">IF(YEAR('2026'!$B$1)&lt;C43,"",ROUND(INDIRECT(C43&amp;"!N10"),-1))</f>
        <v/>
      </c>
      <c r="H43" s="861" t="str">
        <f ca="1">IF(YEAR('2026'!$B$1)&lt;C43,"",ROUND(INDIRECT(C43&amp;"!N12"),-1))</f>
        <v/>
      </c>
      <c r="I43" s="877" t="str">
        <f ca="1">IF(YEAR('2026'!$B$1)&lt;C43,"",ROUND(INDIRECT(C43&amp;"!N12"),-1))</f>
        <v/>
      </c>
      <c r="J43" s="634" t="str">
        <f ca="1">IF(YEAR('2026'!$B$1)&lt;C43,"",ROUND(INDIRECT(C43&amp;"!N11"),-1))</f>
        <v/>
      </c>
      <c r="K43" s="631" t="str">
        <f ca="1">IF(YEAR('2026'!$B$1)&lt;C43,"",ROUND(INDIRECT(C43&amp;"!N17"),-1))</f>
        <v/>
      </c>
      <c r="L43" s="863" t="str">
        <f ca="1">IF(YEAR('2026'!$B$1)&lt;C43,"",ROUND(INDIRECT(C43&amp;"!N19"),-1))</f>
        <v/>
      </c>
      <c r="M43" s="794" t="str">
        <f ca="1">IF(YEAR('2026'!$B$1)&lt;C43,"",ROUND(INDIRECT(C43&amp;"!N21"),-1))</f>
        <v/>
      </c>
      <c r="N43" s="873" t="str">
        <f ca="1">IF(YEAR('2026'!$B$1)&lt;C43,"",ROUND(INDIRECT(C43&amp;"!N14"),-1))</f>
        <v/>
      </c>
      <c r="O43" s="870" t="str">
        <f t="shared" ca="1" si="2"/>
        <v/>
      </c>
      <c r="P43" s="368" t="str">
        <f ca="1">IF(G43="","",ROUND(SUM($O$3:O43),-1))</f>
        <v/>
      </c>
    </row>
    <row r="44" spans="1:16" ht="9.75" customHeight="1">
      <c r="A44" s="1163" t="s">
        <v>479</v>
      </c>
      <c r="B44" s="1164"/>
      <c r="C44" s="1164"/>
      <c r="D44" s="1164"/>
      <c r="E44" s="1165"/>
      <c r="F44" s="867">
        <f ca="1">SUM(F3:F43)</f>
        <v>292526170</v>
      </c>
      <c r="G44" s="366">
        <f ca="1">SUM(G3:G43)</f>
        <v>228012140</v>
      </c>
      <c r="H44" s="663">
        <f ca="1">SUM(H3:H43)</f>
        <v>316736280</v>
      </c>
      <c r="I44" s="878">
        <f ca="1">SUM(I3:I43)</f>
        <v>316736280</v>
      </c>
      <c r="J44" s="636">
        <f t="shared" ref="J44:O44" ca="1" si="3">SUM(J3:J43)</f>
        <v>57400000</v>
      </c>
      <c r="K44" s="370">
        <f t="shared" ref="K44:N44" ca="1" si="4">SUM(K3:K43)</f>
        <v>24990000</v>
      </c>
      <c r="L44" s="864">
        <f t="shared" ca="1" si="4"/>
        <v>8200000</v>
      </c>
      <c r="M44" s="664">
        <f t="shared" ca="1" si="4"/>
        <v>77163930</v>
      </c>
      <c r="N44" s="874">
        <f t="shared" ca="1" si="4"/>
        <v>81800000</v>
      </c>
      <c r="O44" s="871">
        <f t="shared" ca="1" si="3"/>
        <v>1403564800</v>
      </c>
      <c r="P44" s="370"/>
    </row>
  </sheetData>
  <sheetProtection algorithmName="SHA-512" hashValue="KZtpbVqVS+RN08XStJvyQv3YLQ8jz2viELpIgvfKn3QA8qFpGpwa58tAu1klQilnWZLkDZG0HhPowC5eoACINw==" saltValue="Ay8qM//elBCYXa7T5hzamg==" spinCount="100000" sheet="1" objects="1" scenarios="1"/>
  <mergeCells count="3">
    <mergeCell ref="A1:D1"/>
    <mergeCell ref="I1:K1"/>
    <mergeCell ref="A44:E44"/>
  </mergeCells>
  <phoneticPr fontId="167" type="noConversion"/>
  <printOptions horizontalCentered="1"/>
  <pageMargins left="0.19666667282581329" right="0.19666667282581329" top="0.74777776002883911" bottom="0.55097222328186035" header="0.31486111879348755" footer="0.31486111879348755"/>
  <pageSetup paperSize="9" orientation="landscape"/>
  <headerFooter>
    <oddFooter>&amp;R&amp;"맑은 고딕,Regular"&amp;8제작 : 교사카페 운영자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9">
    <tabColor rgb="FFFFFF00"/>
  </sheetPr>
  <dimension ref="B1:L44"/>
  <sheetViews>
    <sheetView zoomScale="140" zoomScaleNormal="140" zoomScaleSheetLayoutView="140" workbookViewId="0">
      <selection activeCell="K25" sqref="K25"/>
    </sheetView>
  </sheetViews>
  <sheetFormatPr baseColWidth="10" defaultColWidth="9" defaultRowHeight="14"/>
  <cols>
    <col min="1" max="1" width="1.5" style="43" customWidth="1"/>
    <col min="2" max="6" width="5.83203125" style="43" customWidth="1"/>
    <col min="7" max="7" width="14" style="162" bestFit="1" customWidth="1"/>
    <col min="8" max="8" width="12.6640625" style="162" bestFit="1" customWidth="1"/>
    <col min="9" max="9" width="10" style="361" bestFit="1" customWidth="1"/>
    <col min="10" max="10" width="12.6640625" style="162" bestFit="1" customWidth="1"/>
    <col min="11" max="11" width="10" style="361" bestFit="1" customWidth="1"/>
    <col min="12" max="16384" width="9" style="43"/>
  </cols>
  <sheetData>
    <row r="1" spans="2:12" ht="24" customHeight="1">
      <c r="B1" s="1181" t="s">
        <v>423</v>
      </c>
      <c r="C1" s="1181"/>
      <c r="D1" s="1181"/>
      <c r="E1" s="1181"/>
      <c r="F1" s="1181"/>
      <c r="G1" s="1181"/>
      <c r="H1" s="1181"/>
      <c r="I1" s="1181"/>
      <c r="J1" s="1181"/>
      <c r="K1" s="1181"/>
    </row>
    <row r="2" spans="2:12" ht="17.25" customHeight="1">
      <c r="B2" s="931" t="s">
        <v>504</v>
      </c>
      <c r="C2" s="932" t="s">
        <v>464</v>
      </c>
      <c r="D2" s="932" t="s">
        <v>529</v>
      </c>
      <c r="E2" s="932" t="s">
        <v>500</v>
      </c>
      <c r="F2" s="933" t="s">
        <v>439</v>
      </c>
      <c r="G2" s="925" t="s">
        <v>129</v>
      </c>
      <c r="H2" s="922" t="s">
        <v>335</v>
      </c>
      <c r="I2" s="923" t="s">
        <v>629</v>
      </c>
      <c r="J2" s="924" t="s">
        <v>285</v>
      </c>
      <c r="K2" s="925" t="s">
        <v>629</v>
      </c>
    </row>
    <row r="3" spans="2:12">
      <c r="B3" s="917">
        <v>1</v>
      </c>
      <c r="C3" s="918">
        <f t="shared" ref="C3:C42" ca="1" si="0">IF(G3="","",IF(INDIRECT(E3&amp;"!d6")=0,"",INDIRECT(E3&amp;"!d5")))</f>
        <v>2</v>
      </c>
      <c r="D3" s="919">
        <f ca="1">기타수당모음편!D3</f>
        <v>28</v>
      </c>
      <c r="E3" s="920">
        <f ca="1">VALUE('2025'!$D$1)</f>
        <v>2025</v>
      </c>
      <c r="F3" s="921">
        <f t="shared" ref="F3:F42" ca="1" si="1">IF(G3="","",IF(INDIRECT(E3&amp;"!d4")=0,"",INDIRECT(E3&amp;"!d4")))</f>
        <v>12</v>
      </c>
      <c r="G3" s="934">
        <f ca="1">IF(YEAR('2026'!$B$1)&lt;E3,"",ROUND(INDIRECT(E3&amp;"!N26"),-1))</f>
        <v>47760570</v>
      </c>
      <c r="H3" s="940">
        <f ca="1">IF(C3="","",IF(YEAR('2026'!$B$1)&lt;E3,"",ROUND(INDIRECT(E3&amp;"!d6"),-1))*12)</f>
        <v>29468400</v>
      </c>
      <c r="I3" s="946">
        <f t="shared" ref="I3:I34" ca="1" si="2">IF(C3="","",H3/G3)</f>
        <v>0.6170026865257261</v>
      </c>
      <c r="J3" s="940">
        <f t="shared" ref="J3:J34" ca="1" si="3">IF(C3="","",G3-H3)</f>
        <v>18292170</v>
      </c>
      <c r="K3" s="950">
        <f t="shared" ref="K3:K34" ca="1" si="4">IF(C3="","",J3/G3)</f>
        <v>0.38299731347427385</v>
      </c>
    </row>
    <row r="4" spans="2:12">
      <c r="B4" s="911">
        <v>2</v>
      </c>
      <c r="C4" s="904">
        <f t="shared" ca="1" si="0"/>
        <v>4</v>
      </c>
      <c r="D4" s="919">
        <f ca="1">기타수당모음편!D4</f>
        <v>29</v>
      </c>
      <c r="E4" s="905">
        <f ca="1">VALUE('2026'!$D$1)</f>
        <v>2026</v>
      </c>
      <c r="F4" s="906">
        <f t="shared" ca="1" si="1"/>
        <v>14</v>
      </c>
      <c r="G4" s="935">
        <f ca="1">IF(YEAR('2026'!$B$1)&lt;E4,"",ROUND(INDIRECT(E4&amp;"!N26"),-1))</f>
        <v>51713610</v>
      </c>
      <c r="H4" s="941">
        <f ca="1">IF(C4="","",IF(YEAR('2026'!$B$1)&lt;E4,"",ROUND(INDIRECT(E4&amp;"!d6"),-1))*12)</f>
        <v>33284400</v>
      </c>
      <c r="I4" s="947">
        <f t="shared" ca="1" si="2"/>
        <v>0.6436294043289571</v>
      </c>
      <c r="J4" s="941">
        <f t="shared" ca="1" si="3"/>
        <v>18429210</v>
      </c>
      <c r="K4" s="951">
        <f t="shared" ca="1" si="4"/>
        <v>0.3563705956710429</v>
      </c>
    </row>
    <row r="5" spans="2:12">
      <c r="B5" s="911">
        <v>3</v>
      </c>
      <c r="C5" s="904">
        <f t="shared" ca="1" si="0"/>
        <v>5</v>
      </c>
      <c r="D5" s="919">
        <f ca="1">기타수당모음편!D5</f>
        <v>30</v>
      </c>
      <c r="E5" s="905">
        <f ca="1">VALUE('2027'!$D$1)</f>
        <v>2027</v>
      </c>
      <c r="F5" s="906">
        <f t="shared" ca="1" si="1"/>
        <v>15</v>
      </c>
      <c r="G5" s="935">
        <f ca="1">IF(YEAR('2026'!$B$1)&lt;E5,"",ROUND(INDIRECT(E5&amp;"!N26"),-1))</f>
        <v>54691190</v>
      </c>
      <c r="H5" s="941">
        <f ca="1">IF(C5="","",IF(YEAR('2026'!$B$1)&lt;E5,"",ROUND(INDIRECT(E5&amp;"!d6"),-1))*12)</f>
        <v>35542800</v>
      </c>
      <c r="I5" s="947">
        <f t="shared" ca="1" si="2"/>
        <v>0.64988163541513722</v>
      </c>
      <c r="J5" s="941">
        <f t="shared" ca="1" si="3"/>
        <v>19148390</v>
      </c>
      <c r="K5" s="951">
        <f t="shared" ca="1" si="4"/>
        <v>0.35011836458486273</v>
      </c>
    </row>
    <row r="6" spans="2:12">
      <c r="B6" s="911">
        <v>4</v>
      </c>
      <c r="C6" s="904">
        <f t="shared" ca="1" si="0"/>
        <v>6</v>
      </c>
      <c r="D6" s="919">
        <f ca="1">기타수당모음편!D6</f>
        <v>31</v>
      </c>
      <c r="E6" s="905">
        <f ca="1">VALUE('2028'!$D$1)</f>
        <v>2028</v>
      </c>
      <c r="F6" s="906">
        <f t="shared" ca="1" si="1"/>
        <v>16</v>
      </c>
      <c r="G6" s="935">
        <f ca="1">IF(YEAR('2026'!$B$1)&lt;E6,"",ROUND(INDIRECT(E6&amp;"!N26"),-1))</f>
        <v>57830590</v>
      </c>
      <c r="H6" s="941">
        <f ca="1">IF(C6="","",IF(YEAR('2026'!$B$1)&lt;E6,"",ROUND(INDIRECT(E6&amp;"!d6"),-1))*12)</f>
        <v>37900800</v>
      </c>
      <c r="I6" s="947">
        <f t="shared" ca="1" si="2"/>
        <v>0.65537633283699859</v>
      </c>
      <c r="J6" s="941">
        <f t="shared" ca="1" si="3"/>
        <v>19929790</v>
      </c>
      <c r="K6" s="951">
        <f t="shared" ca="1" si="4"/>
        <v>0.34462366716300147</v>
      </c>
    </row>
    <row r="7" spans="2:12">
      <c r="B7" s="911">
        <v>5</v>
      </c>
      <c r="C7" s="904">
        <f t="shared" ca="1" si="0"/>
        <v>7</v>
      </c>
      <c r="D7" s="919">
        <f ca="1">기타수당모음편!D7</f>
        <v>32</v>
      </c>
      <c r="E7" s="905">
        <f ca="1">VALUE('2029'!$D$1)</f>
        <v>2029</v>
      </c>
      <c r="F7" s="906">
        <f t="shared" ca="1" si="1"/>
        <v>17</v>
      </c>
      <c r="G7" s="935">
        <f ca="1">IF(YEAR('2026'!$B$1)&lt;E7,"",ROUND(INDIRECT(E7&amp;"!N26"),-1))</f>
        <v>61094460</v>
      </c>
      <c r="H7" s="941">
        <f ca="1">IF(C7="","",IF(YEAR('2026'!$B$1)&lt;E7,"",ROUND(INDIRECT(E7&amp;"!d6"),-1))*12)</f>
        <v>40332000</v>
      </c>
      <c r="I7" s="947">
        <f t="shared" ca="1" si="2"/>
        <v>0.66015805688437212</v>
      </c>
      <c r="J7" s="941">
        <f t="shared" ca="1" si="3"/>
        <v>20762460</v>
      </c>
      <c r="K7" s="951">
        <f t="shared" ca="1" si="4"/>
        <v>0.33984194311562782</v>
      </c>
    </row>
    <row r="8" spans="2:12">
      <c r="B8" s="911">
        <v>6</v>
      </c>
      <c r="C8" s="904">
        <f t="shared" ca="1" si="0"/>
        <v>8</v>
      </c>
      <c r="D8" s="919">
        <f ca="1">기타수당모음편!D8</f>
        <v>33</v>
      </c>
      <c r="E8" s="905">
        <f ca="1">VALUE('2030'!$D$1)</f>
        <v>2030</v>
      </c>
      <c r="F8" s="906">
        <f t="shared" ca="1" si="1"/>
        <v>18</v>
      </c>
      <c r="G8" s="935">
        <f ca="1">IF(YEAR('2026'!$B$1)&lt;E8,"",ROUND(INDIRECT(E8&amp;"!N26"),-1))</f>
        <v>64578840</v>
      </c>
      <c r="H8" s="941">
        <f ca="1">IF(C8="","",IF(YEAR('2026'!$B$1)&lt;E8,"",ROUND(INDIRECT(E8&amp;"!d6"),-1))*12)</f>
        <v>42936000</v>
      </c>
      <c r="I8" s="947">
        <f t="shared" ca="1" si="2"/>
        <v>0.66486174109042528</v>
      </c>
      <c r="J8" s="941">
        <f t="shared" ca="1" si="3"/>
        <v>21642840</v>
      </c>
      <c r="K8" s="951">
        <f t="shared" ca="1" si="4"/>
        <v>0.33513825890957472</v>
      </c>
    </row>
    <row r="9" spans="2:12">
      <c r="B9" s="911">
        <v>7</v>
      </c>
      <c r="C9" s="904">
        <f t="shared" ca="1" si="0"/>
        <v>9</v>
      </c>
      <c r="D9" s="919">
        <f ca="1">기타수당모음편!D9</f>
        <v>34</v>
      </c>
      <c r="E9" s="905">
        <f ca="1">VALUE('2031'!$D$1)</f>
        <v>2031</v>
      </c>
      <c r="F9" s="906">
        <f t="shared" ca="1" si="1"/>
        <v>19</v>
      </c>
      <c r="G9" s="935">
        <f ca="1">IF(YEAR('2026'!$B$1)&lt;E9,"",ROUND(INDIRECT(E9&amp;"!N26"),-1))</f>
        <v>68241540</v>
      </c>
      <c r="H9" s="941">
        <f ca="1">IF(C9="","",IF(YEAR('2026'!$B$1)&lt;E9,"",ROUND(INDIRECT(E9&amp;"!d6"),-1))*12)</f>
        <v>45634800</v>
      </c>
      <c r="I9" s="947">
        <f t="shared" ca="1" si="2"/>
        <v>0.66872465070395537</v>
      </c>
      <c r="J9" s="941">
        <f t="shared" ca="1" si="3"/>
        <v>22606740</v>
      </c>
      <c r="K9" s="951">
        <f t="shared" ca="1" si="4"/>
        <v>0.33127534929604463</v>
      </c>
    </row>
    <row r="10" spans="2:12">
      <c r="B10" s="911">
        <v>8</v>
      </c>
      <c r="C10" s="904">
        <f t="shared" ca="1" si="0"/>
        <v>10</v>
      </c>
      <c r="D10" s="919">
        <f ca="1">기타수당모음편!D10</f>
        <v>35</v>
      </c>
      <c r="E10" s="905">
        <f ca="1">VALUE('2032'!$D$1)</f>
        <v>2032</v>
      </c>
      <c r="F10" s="906">
        <f t="shared" ca="1" si="1"/>
        <v>20</v>
      </c>
      <c r="G10" s="935">
        <f ca="1">IF(YEAR('2026'!$B$1)&lt;E10,"",ROUND(INDIRECT(E10&amp;"!N26"),-1))</f>
        <v>72347490</v>
      </c>
      <c r="H10" s="941">
        <f ca="1">IF(C10="","",IF(YEAR('2026'!$B$1)&lt;E10,"",ROUND(INDIRECT(E10&amp;"!d6"),-1))*12)</f>
        <v>48442800</v>
      </c>
      <c r="I10" s="947">
        <f t="shared" ca="1" si="2"/>
        <v>0.66958508166627484</v>
      </c>
      <c r="J10" s="941">
        <f t="shared" ca="1" si="3"/>
        <v>23904690</v>
      </c>
      <c r="K10" s="951">
        <f t="shared" ca="1" si="4"/>
        <v>0.33041491833372522</v>
      </c>
      <c r="L10" s="380"/>
    </row>
    <row r="11" spans="2:12">
      <c r="B11" s="911">
        <v>9</v>
      </c>
      <c r="C11" s="904">
        <f t="shared" ca="1" si="0"/>
        <v>11</v>
      </c>
      <c r="D11" s="919">
        <f ca="1">기타수당모음편!D11</f>
        <v>36</v>
      </c>
      <c r="E11" s="905">
        <f ca="1">VALUE('2033'!$D$1)</f>
        <v>2033</v>
      </c>
      <c r="F11" s="906">
        <f t="shared" ca="1" si="1"/>
        <v>21</v>
      </c>
      <c r="G11" s="935">
        <f ca="1">IF(YEAR('2026'!$B$1)&lt;E11,"",ROUND(INDIRECT(E11&amp;"!N26"),-1))</f>
        <v>76176510</v>
      </c>
      <c r="H11" s="941">
        <f ca="1">IF(C11="","",IF(YEAR('2026'!$B$1)&lt;E11,"",ROUND(INDIRECT(E11&amp;"!d6"),-1))*12)</f>
        <v>51361200</v>
      </c>
      <c r="I11" s="947">
        <f t="shared" ca="1" si="2"/>
        <v>0.6742393422854368</v>
      </c>
      <c r="J11" s="941">
        <f t="shared" ca="1" si="3"/>
        <v>24815310</v>
      </c>
      <c r="K11" s="951">
        <f t="shared" ca="1" si="4"/>
        <v>0.3257606577145632</v>
      </c>
    </row>
    <row r="12" spans="2:12">
      <c r="B12" s="911">
        <v>10</v>
      </c>
      <c r="C12" s="904">
        <f t="shared" ca="1" si="0"/>
        <v>12</v>
      </c>
      <c r="D12" s="919">
        <f ca="1">기타수당모음편!D12</f>
        <v>37</v>
      </c>
      <c r="E12" s="905">
        <f ca="1">VALUE('2034'!$D$1)</f>
        <v>2034</v>
      </c>
      <c r="F12" s="906">
        <f t="shared" ca="1" si="1"/>
        <v>22</v>
      </c>
      <c r="G12" s="935">
        <f ca="1">IF(YEAR('2026'!$B$1)&lt;E12,"",ROUND(INDIRECT(E12&amp;"!N26"),-1))</f>
        <v>80109680</v>
      </c>
      <c r="H12" s="941">
        <f ca="1">IF(C12="","",IF(YEAR('2026'!$B$1)&lt;E12,"",ROUND(INDIRECT(E12&amp;"!d6"),-1))*12)</f>
        <v>54588000</v>
      </c>
      <c r="I12" s="947">
        <f t="shared" ca="1" si="2"/>
        <v>0.6814157789670362</v>
      </c>
      <c r="J12" s="941">
        <f t="shared" ca="1" si="3"/>
        <v>25521680</v>
      </c>
      <c r="K12" s="951">
        <f t="shared" ca="1" si="4"/>
        <v>0.3185842210329638</v>
      </c>
    </row>
    <row r="13" spans="2:12">
      <c r="B13" s="912">
        <v>11</v>
      </c>
      <c r="C13" s="913">
        <f t="shared" ca="1" si="0"/>
        <v>13</v>
      </c>
      <c r="D13" s="919">
        <f ca="1">기타수당모음편!D13</f>
        <v>38</v>
      </c>
      <c r="E13" s="914">
        <f ca="1">VALUE('2035'!$D$1)</f>
        <v>2035</v>
      </c>
      <c r="F13" s="915">
        <f t="shared" ca="1" si="1"/>
        <v>23</v>
      </c>
      <c r="G13" s="936">
        <f ca="1">IF(YEAR('2026'!$B$1)&lt;E13,"",ROUND(INDIRECT(E13&amp;"!N26"),-1))</f>
        <v>84231850</v>
      </c>
      <c r="H13" s="942">
        <f ca="1">IF(C13="","",IF(YEAR('2026'!$B$1)&lt;E13,"",ROUND(INDIRECT(E13&amp;"!d6"),-1))*12)</f>
        <v>57926400</v>
      </c>
      <c r="I13" s="948">
        <f t="shared" ca="1" si="2"/>
        <v>0.68770186099438635</v>
      </c>
      <c r="J13" s="942">
        <f t="shared" ca="1" si="3"/>
        <v>26305450</v>
      </c>
      <c r="K13" s="952">
        <f t="shared" ca="1" si="4"/>
        <v>0.31229813900561365</v>
      </c>
    </row>
    <row r="14" spans="2:12">
      <c r="B14" s="917">
        <v>12</v>
      </c>
      <c r="C14" s="918">
        <f t="shared" ca="1" si="0"/>
        <v>14</v>
      </c>
      <c r="D14" s="919">
        <f ca="1">기타수당모음편!D14</f>
        <v>39</v>
      </c>
      <c r="E14" s="920">
        <f ca="1">VALUE('2036'!$D$1)</f>
        <v>2036</v>
      </c>
      <c r="F14" s="921">
        <f t="shared" ca="1" si="1"/>
        <v>24</v>
      </c>
      <c r="G14" s="934">
        <f ca="1">IF(YEAR('2026'!$B$1)&lt;E14,"",ROUND(INDIRECT(E14&amp;"!N26"),-1))</f>
        <v>88518240</v>
      </c>
      <c r="H14" s="940">
        <f ca="1">IF(C14="","",IF(YEAR('2026'!$B$1)&lt;E14,"",ROUND(INDIRECT(E14&amp;"!d6"),-1))*12)</f>
        <v>61405200</v>
      </c>
      <c r="I14" s="946">
        <f t="shared" ca="1" si="2"/>
        <v>0.69370109482520215</v>
      </c>
      <c r="J14" s="940">
        <f t="shared" ca="1" si="3"/>
        <v>27113040</v>
      </c>
      <c r="K14" s="950">
        <f t="shared" ca="1" si="4"/>
        <v>0.30629890517479785</v>
      </c>
    </row>
    <row r="15" spans="2:12">
      <c r="B15" s="911">
        <v>13</v>
      </c>
      <c r="C15" s="904">
        <f t="shared" ca="1" si="0"/>
        <v>15</v>
      </c>
      <c r="D15" s="919">
        <f ca="1">기타수당모음편!D15</f>
        <v>40</v>
      </c>
      <c r="E15" s="905">
        <f ca="1">VALUE('2037'!$D$1)</f>
        <v>2037</v>
      </c>
      <c r="F15" s="906">
        <f t="shared" ca="1" si="1"/>
        <v>25</v>
      </c>
      <c r="G15" s="935">
        <f ca="1">IF(YEAR('2026'!$B$1)&lt;E15,"",ROUND(INDIRECT(E15&amp;"!N26"),-1))</f>
        <v>93170500</v>
      </c>
      <c r="H15" s="941">
        <f ca="1">IF(C15="","",IF(YEAR('2026'!$B$1)&lt;E15,"",ROUND(INDIRECT(E15&amp;"!d6"),-1))*12)</f>
        <v>65018400</v>
      </c>
      <c r="I15" s="947">
        <f t="shared" ca="1" si="2"/>
        <v>0.69784320144251666</v>
      </c>
      <c r="J15" s="941">
        <f t="shared" ca="1" si="3"/>
        <v>28152100</v>
      </c>
      <c r="K15" s="951">
        <f t="shared" ca="1" si="4"/>
        <v>0.30215679855748334</v>
      </c>
    </row>
    <row r="16" spans="2:12">
      <c r="B16" s="911">
        <v>14</v>
      </c>
      <c r="C16" s="904">
        <f t="shared" ca="1" si="0"/>
        <v>16</v>
      </c>
      <c r="D16" s="919">
        <f ca="1">기타수당모음편!D16</f>
        <v>41</v>
      </c>
      <c r="E16" s="905">
        <f ca="1">VALUE('2038'!$D$1)</f>
        <v>2038</v>
      </c>
      <c r="F16" s="906">
        <f t="shared" ca="1" si="1"/>
        <v>26</v>
      </c>
      <c r="G16" s="935">
        <f ca="1">IF(YEAR('2026'!$B$1)&lt;E16,"",ROUND(INDIRECT(E16&amp;"!N26"),-1))</f>
        <v>97839950</v>
      </c>
      <c r="H16" s="941">
        <f ca="1">IF(C16="","",IF(YEAR('2026'!$B$1)&lt;E16,"",ROUND(INDIRECT(E16&amp;"!d6"),-1))*12)</f>
        <v>68779200</v>
      </c>
      <c r="I16" s="947">
        <f t="shared" ca="1" si="2"/>
        <v>0.70297664706492591</v>
      </c>
      <c r="J16" s="941">
        <f t="shared" ca="1" si="3"/>
        <v>29060750</v>
      </c>
      <c r="K16" s="951">
        <f t="shared" ca="1" si="4"/>
        <v>0.29702335293507409</v>
      </c>
    </row>
    <row r="17" spans="2:11">
      <c r="B17" s="911">
        <v>15</v>
      </c>
      <c r="C17" s="904">
        <f t="shared" ca="1" si="0"/>
        <v>17</v>
      </c>
      <c r="D17" s="919">
        <f ca="1">기타수당모음편!D17</f>
        <v>42</v>
      </c>
      <c r="E17" s="905">
        <f ca="1">VALUE('2039'!$D$1)</f>
        <v>2039</v>
      </c>
      <c r="F17" s="906">
        <f t="shared" ca="1" si="1"/>
        <v>27</v>
      </c>
      <c r="G17" s="935">
        <f ca="1">IF(YEAR('2026'!$B$1)&lt;E17,"",ROUND(INDIRECT(E17&amp;"!N26"),-1))</f>
        <v>102742770</v>
      </c>
      <c r="H17" s="941">
        <f ca="1">IF(C17="","",IF(YEAR('2026'!$B$1)&lt;E17,"",ROUND(INDIRECT(E17&amp;"!d6"),-1))*12)</f>
        <v>72788400</v>
      </c>
      <c r="I17" s="947">
        <f t="shared" ca="1" si="2"/>
        <v>0.70845276996133155</v>
      </c>
      <c r="J17" s="941">
        <f t="shared" ca="1" si="3"/>
        <v>29954370</v>
      </c>
      <c r="K17" s="951">
        <f t="shared" ca="1" si="4"/>
        <v>0.29154723003866839</v>
      </c>
    </row>
    <row r="18" spans="2:11">
      <c r="B18" s="911">
        <v>16</v>
      </c>
      <c r="C18" s="904">
        <f t="shared" ca="1" si="0"/>
        <v>18</v>
      </c>
      <c r="D18" s="919">
        <f ca="1">기타수당모음편!D18</f>
        <v>43</v>
      </c>
      <c r="E18" s="905">
        <f ca="1">VALUE('2040'!$D$1)</f>
        <v>2040</v>
      </c>
      <c r="F18" s="906">
        <f t="shared" ca="1" si="1"/>
        <v>28</v>
      </c>
      <c r="G18" s="935">
        <f ca="1">IF(YEAR('2026'!$B$1)&lt;E18,"",ROUND(INDIRECT(E18&amp;"!N26"),-1))</f>
        <v>107855020</v>
      </c>
      <c r="H18" s="941">
        <f ca="1">IF(C18="","",IF(YEAR('2026'!$B$1)&lt;E18,"",ROUND(INDIRECT(E18&amp;"!d6"),-1))*12)</f>
        <v>76947600</v>
      </c>
      <c r="I18" s="947">
        <f t="shared" ca="1" si="2"/>
        <v>0.71343549887617652</v>
      </c>
      <c r="J18" s="941">
        <f t="shared" ca="1" si="3"/>
        <v>30907420</v>
      </c>
      <c r="K18" s="951">
        <f t="shared" ca="1" si="4"/>
        <v>0.28656450112382342</v>
      </c>
    </row>
    <row r="19" spans="2:11">
      <c r="B19" s="911">
        <v>17</v>
      </c>
      <c r="C19" s="904">
        <f t="shared" ca="1" si="0"/>
        <v>19</v>
      </c>
      <c r="D19" s="919">
        <f ca="1">기타수당모음편!D19</f>
        <v>44</v>
      </c>
      <c r="E19" s="905">
        <f ca="1">VALUE('2041'!$D$1)</f>
        <v>2041</v>
      </c>
      <c r="F19" s="906">
        <f t="shared" ca="1" si="1"/>
        <v>29</v>
      </c>
      <c r="G19" s="935">
        <f ca="1">IF(YEAR('2026'!$B$1)&lt;E19,"",ROUND(INDIRECT(E19&amp;"!N26"),-1))</f>
        <v>113258810</v>
      </c>
      <c r="H19" s="941">
        <f ca="1">IF(C19="","",IF(YEAR('2026'!$B$1)&lt;E19,"",ROUND(INDIRECT(E19&amp;"!d6"),-1))*12)</f>
        <v>81373200</v>
      </c>
      <c r="I19" s="947">
        <f t="shared" ca="1" si="2"/>
        <v>0.71847126064630207</v>
      </c>
      <c r="J19" s="941">
        <f t="shared" ca="1" si="3"/>
        <v>31885610</v>
      </c>
      <c r="K19" s="951">
        <f t="shared" ca="1" si="4"/>
        <v>0.28152873935369793</v>
      </c>
    </row>
    <row r="20" spans="2:11">
      <c r="B20" s="911">
        <v>18</v>
      </c>
      <c r="C20" s="904">
        <f t="shared" ca="1" si="0"/>
        <v>20</v>
      </c>
      <c r="D20" s="919">
        <f ca="1">기타수당모음편!D20</f>
        <v>45</v>
      </c>
      <c r="E20" s="905">
        <f ca="1">VALUE('2042'!$D$1)</f>
        <v>2042</v>
      </c>
      <c r="F20" s="906">
        <f t="shared" ca="1" si="1"/>
        <v>30</v>
      </c>
      <c r="G20" s="935">
        <f ca="1">IF(YEAR('2026'!$B$1)&lt;E20,"",ROUND(INDIRECT(E20&amp;"!N26"),-1))</f>
        <v>119369610</v>
      </c>
      <c r="H20" s="941">
        <f ca="1">IF(C20="","",IF(YEAR('2026'!$B$1)&lt;E20,"",ROUND(INDIRECT(E20&amp;"!d6"),-1))*12)</f>
        <v>85984800</v>
      </c>
      <c r="I20" s="947">
        <f t="shared" ca="1" si="2"/>
        <v>0.72032404227508162</v>
      </c>
      <c r="J20" s="941">
        <f t="shared" ca="1" si="3"/>
        <v>33384810</v>
      </c>
      <c r="K20" s="951">
        <f t="shared" ca="1" si="4"/>
        <v>0.27967595772491843</v>
      </c>
    </row>
    <row r="21" spans="2:11">
      <c r="B21" s="911">
        <v>19</v>
      </c>
      <c r="C21" s="904">
        <f t="shared" ca="1" si="0"/>
        <v>21</v>
      </c>
      <c r="D21" s="919">
        <f ca="1">기타수당모음편!D21</f>
        <v>46</v>
      </c>
      <c r="E21" s="905">
        <f ca="1">VALUE('2043'!$D$1)</f>
        <v>2043</v>
      </c>
      <c r="F21" s="906">
        <f t="shared" ca="1" si="1"/>
        <v>31</v>
      </c>
      <c r="G21" s="935">
        <f ca="1">IF(YEAR('2026'!$B$1)&lt;E21,"",ROUND(INDIRECT(E21&amp;"!N26"),-1))</f>
        <v>125299390</v>
      </c>
      <c r="H21" s="941">
        <f ca="1">IF(C21="","",IF(YEAR('2026'!$B$1)&lt;E21,"",ROUND(INDIRECT(E21&amp;"!d6"),-1))*12)</f>
        <v>90769200</v>
      </c>
      <c r="I21" s="947">
        <f t="shared" ca="1" si="2"/>
        <v>0.72441853068877671</v>
      </c>
      <c r="J21" s="941">
        <f t="shared" ca="1" si="3"/>
        <v>34530190</v>
      </c>
      <c r="K21" s="951">
        <f t="shared" ca="1" si="4"/>
        <v>0.27558146931122329</v>
      </c>
    </row>
    <row r="22" spans="2:11">
      <c r="B22" s="911">
        <v>20</v>
      </c>
      <c r="C22" s="904">
        <f t="shared" ca="1" si="0"/>
        <v>22</v>
      </c>
      <c r="D22" s="919">
        <f ca="1">기타수당모음편!D22</f>
        <v>47</v>
      </c>
      <c r="E22" s="905">
        <f ca="1">VALUE('2044'!$D$1)</f>
        <v>2044</v>
      </c>
      <c r="F22" s="906">
        <f t="shared" ca="1" si="1"/>
        <v>32</v>
      </c>
      <c r="G22" s="935">
        <f ca="1">IF(YEAR('2026'!$B$1)&lt;E22,"",ROUND(INDIRECT(E22&amp;"!N26"),-1))</f>
        <v>131390550</v>
      </c>
      <c r="H22" s="941">
        <f ca="1">IF(C22="","",IF(YEAR('2026'!$B$1)&lt;E22,"",ROUND(INDIRECT(E22&amp;"!d6"),-1))*12)</f>
        <v>95737200</v>
      </c>
      <c r="I22" s="947">
        <f t="shared" ca="1" si="2"/>
        <v>0.72864600992993789</v>
      </c>
      <c r="J22" s="941">
        <f t="shared" ca="1" si="3"/>
        <v>35653350</v>
      </c>
      <c r="K22" s="951">
        <f t="shared" ca="1" si="4"/>
        <v>0.27135399007006211</v>
      </c>
    </row>
    <row r="23" spans="2:11">
      <c r="B23" s="912">
        <v>21</v>
      </c>
      <c r="C23" s="913">
        <f t="shared" ca="1" si="0"/>
        <v>23</v>
      </c>
      <c r="D23" s="919">
        <f ca="1">기타수당모음편!D23</f>
        <v>48</v>
      </c>
      <c r="E23" s="914">
        <f ca="1">VALUE('2045'!$D$1)</f>
        <v>2045</v>
      </c>
      <c r="F23" s="915">
        <f t="shared" ca="1" si="1"/>
        <v>33</v>
      </c>
      <c r="G23" s="936">
        <f ca="1">IF(YEAR('2026'!$B$1)&lt;E23,"",ROUND(INDIRECT(E23&amp;"!N26"),-1))</f>
        <v>137752500</v>
      </c>
      <c r="H23" s="942">
        <f ca="1">IF(C23="","",IF(YEAR('2026'!$B$1)&lt;E23,"",ROUND(INDIRECT(E23&amp;"!d6"),-1))*12)</f>
        <v>100939200</v>
      </c>
      <c r="I23" s="948">
        <f t="shared" ca="1" si="2"/>
        <v>0.73275766320030489</v>
      </c>
      <c r="J23" s="942">
        <f t="shared" ca="1" si="3"/>
        <v>36813300</v>
      </c>
      <c r="K23" s="952">
        <f t="shared" ca="1" si="4"/>
        <v>0.26724233679969511</v>
      </c>
    </row>
    <row r="24" spans="2:11">
      <c r="B24" s="917">
        <v>22</v>
      </c>
      <c r="C24" s="918">
        <f t="shared" ca="1" si="0"/>
        <v>24</v>
      </c>
      <c r="D24" s="919">
        <f ca="1">기타수당모음편!D24</f>
        <v>49</v>
      </c>
      <c r="E24" s="920">
        <f ca="1">VALUE('2046'!$D$1)</f>
        <v>2046</v>
      </c>
      <c r="F24" s="921">
        <f t="shared" ca="1" si="1"/>
        <v>34</v>
      </c>
      <c r="G24" s="934">
        <f ca="1">IF(YEAR('2026'!$B$1)&lt;E24,"",ROUND(INDIRECT(E24&amp;"!N26"),-1))</f>
        <v>144358520</v>
      </c>
      <c r="H24" s="940">
        <f ca="1">IF(C24="","",IF(YEAR('2026'!$B$1)&lt;E24,"",ROUND(INDIRECT(E24&amp;"!d6"),-1))*12)</f>
        <v>106332000</v>
      </c>
      <c r="I24" s="946">
        <f t="shared" ca="1" si="2"/>
        <v>0.73658278015041989</v>
      </c>
      <c r="J24" s="940">
        <f t="shared" ca="1" si="3"/>
        <v>38026520</v>
      </c>
      <c r="K24" s="950">
        <f t="shared" ca="1" si="4"/>
        <v>0.26341721984958005</v>
      </c>
    </row>
    <row r="25" spans="2:11">
      <c r="B25" s="911">
        <v>23</v>
      </c>
      <c r="C25" s="904">
        <f t="shared" ca="1" si="0"/>
        <v>25</v>
      </c>
      <c r="D25" s="919">
        <f ca="1">기타수당모음편!D25</f>
        <v>50</v>
      </c>
      <c r="E25" s="905">
        <f ca="1">VALUE('2047'!$D$1)</f>
        <v>2047</v>
      </c>
      <c r="F25" s="906">
        <f t="shared" ca="1" si="1"/>
        <v>35</v>
      </c>
      <c r="G25" s="935">
        <f ca="1">IF(YEAR('2026'!$B$1)&lt;E25,"",ROUND(INDIRECT(E25&amp;"!N26"),-1))</f>
        <v>151414130</v>
      </c>
      <c r="H25" s="941">
        <f ca="1">IF(C25="","",IF(YEAR('2026'!$B$1)&lt;E25,"",ROUND(INDIRECT(E25&amp;"!d6"),-1))*12)</f>
        <v>111933600</v>
      </c>
      <c r="I25" s="947">
        <f t="shared" ca="1" si="2"/>
        <v>0.73925465212526731</v>
      </c>
      <c r="J25" s="941">
        <f t="shared" ca="1" si="3"/>
        <v>39480530</v>
      </c>
      <c r="K25" s="951">
        <f t="shared" ca="1" si="4"/>
        <v>0.26074534787473269</v>
      </c>
    </row>
    <row r="26" spans="2:11">
      <c r="B26" s="911">
        <v>24</v>
      </c>
      <c r="C26" s="904">
        <f t="shared" ca="1" si="0"/>
        <v>26</v>
      </c>
      <c r="D26" s="919">
        <f ca="1">기타수당모음편!D26</f>
        <v>51</v>
      </c>
      <c r="E26" s="905">
        <f ca="1">VALUE('2048'!$D$1)</f>
        <v>2048</v>
      </c>
      <c r="F26" s="906">
        <f t="shared" ca="1" si="1"/>
        <v>36</v>
      </c>
      <c r="G26" s="935">
        <f ca="1">IF(YEAR('2026'!$B$1)&lt;E26,"",ROUND(INDIRECT(E26&amp;"!N26"),-1))</f>
        <v>158556860</v>
      </c>
      <c r="H26" s="941">
        <f ca="1">IF(C26="","",IF(YEAR('2026'!$B$1)&lt;E26,"",ROUND(INDIRECT(E26&amp;"!d6"),-1))*12)</f>
        <v>117735600</v>
      </c>
      <c r="I26" s="947">
        <f t="shared" ca="1" si="2"/>
        <v>0.74254497724034141</v>
      </c>
      <c r="J26" s="941">
        <f t="shared" ca="1" si="3"/>
        <v>40821260</v>
      </c>
      <c r="K26" s="951">
        <f t="shared" ca="1" si="4"/>
        <v>0.25745502275965859</v>
      </c>
    </row>
    <row r="27" spans="2:11">
      <c r="B27" s="911">
        <v>25</v>
      </c>
      <c r="C27" s="904">
        <f t="shared" ca="1" si="0"/>
        <v>27</v>
      </c>
      <c r="D27" s="919">
        <f ca="1">기타수당모음편!D27</f>
        <v>52</v>
      </c>
      <c r="E27" s="905">
        <f ca="1">VALUE('2049'!$D$1)</f>
        <v>2049</v>
      </c>
      <c r="F27" s="906">
        <f t="shared" ca="1" si="1"/>
        <v>37</v>
      </c>
      <c r="G27" s="935">
        <f ca="1">IF(YEAR('2026'!$B$1)&lt;E27,"",ROUND(INDIRECT(E27&amp;"!N26"),-1))</f>
        <v>165555750</v>
      </c>
      <c r="H27" s="941">
        <f ca="1">IF(C27="","",IF(YEAR('2026'!$B$1)&lt;E27,"",ROUND(INDIRECT(E27&amp;"!d6"),-1))*12)</f>
        <v>123361200</v>
      </c>
      <c r="I27" s="947">
        <f t="shared" ca="1" si="2"/>
        <v>0.74513388994341789</v>
      </c>
      <c r="J27" s="941">
        <f t="shared" ca="1" si="3"/>
        <v>42194550</v>
      </c>
      <c r="K27" s="951">
        <f t="shared" ca="1" si="4"/>
        <v>0.25486611005658216</v>
      </c>
    </row>
    <row r="28" spans="2:11">
      <c r="B28" s="911">
        <v>26</v>
      </c>
      <c r="C28" s="904">
        <f t="shared" ca="1" si="0"/>
        <v>28</v>
      </c>
      <c r="D28" s="919">
        <f ca="1">기타수당모음편!D28</f>
        <v>53</v>
      </c>
      <c r="E28" s="905">
        <f ca="1">VALUE('2050'!$D$1)</f>
        <v>2050</v>
      </c>
      <c r="F28" s="906">
        <f t="shared" ca="1" si="1"/>
        <v>38</v>
      </c>
      <c r="G28" s="935">
        <f ca="1">IF(YEAR('2026'!$B$1)&lt;E28,"",ROUND(INDIRECT(E28&amp;"!N26"),-1))</f>
        <v>172707380</v>
      </c>
      <c r="H28" s="941">
        <f ca="1">IF(C28="","",IF(YEAR('2026'!$B$1)&lt;E28,"",ROUND(INDIRECT(E28&amp;"!d6"),-1))*12)</f>
        <v>129195600</v>
      </c>
      <c r="I28" s="947">
        <f t="shared" ca="1" si="2"/>
        <v>0.74806067928307407</v>
      </c>
      <c r="J28" s="941">
        <f t="shared" ca="1" si="3"/>
        <v>43511780</v>
      </c>
      <c r="K28" s="951">
        <f t="shared" ca="1" si="4"/>
        <v>0.25193932071692593</v>
      </c>
    </row>
    <row r="29" spans="2:11">
      <c r="B29" s="911">
        <v>27</v>
      </c>
      <c r="C29" s="904">
        <f t="shared" ca="1" si="0"/>
        <v>29</v>
      </c>
      <c r="D29" s="919">
        <f ca="1">기타수당모음편!D29</f>
        <v>54</v>
      </c>
      <c r="E29" s="905">
        <f ca="1">VALUE('2051'!$D$1)</f>
        <v>2051</v>
      </c>
      <c r="F29" s="906">
        <f t="shared" ca="1" si="1"/>
        <v>39</v>
      </c>
      <c r="G29" s="935">
        <f ca="1">IF(YEAR('2026'!$B$1)&lt;E29,"",ROUND(INDIRECT(E29&amp;"!N26"),-1))</f>
        <v>180132110</v>
      </c>
      <c r="H29" s="941">
        <f ca="1">IF(C29="","",IF(YEAR('2026'!$B$1)&lt;E29,"",ROUND(INDIRECT(E29&amp;"!d6"),-1))*12)</f>
        <v>135258000</v>
      </c>
      <c r="I29" s="947">
        <f t="shared" ca="1" si="2"/>
        <v>0.750882227494032</v>
      </c>
      <c r="J29" s="941">
        <f t="shared" ca="1" si="3"/>
        <v>44874110</v>
      </c>
      <c r="K29" s="951">
        <f t="shared" ca="1" si="4"/>
        <v>0.24911777250596798</v>
      </c>
    </row>
    <row r="30" spans="2:11">
      <c r="B30" s="911">
        <v>28</v>
      </c>
      <c r="C30" s="904">
        <f t="shared" ca="1" si="0"/>
        <v>30</v>
      </c>
      <c r="D30" s="919">
        <f ca="1">기타수당모음편!D30</f>
        <v>55</v>
      </c>
      <c r="E30" s="905">
        <f ca="1">VALUE('2052'!$D$1)</f>
        <v>2052</v>
      </c>
      <c r="F30" s="906">
        <f t="shared" ca="1" si="1"/>
        <v>40</v>
      </c>
      <c r="G30" s="935">
        <f ca="1">IF(YEAR('2026'!$B$1)&lt;E30,"",ROUND(INDIRECT(E30&amp;"!N26"),-1))</f>
        <v>187799030</v>
      </c>
      <c r="H30" s="941">
        <f ca="1">IF(C30="","",IF(YEAR('2026'!$B$1)&lt;E30,"",ROUND(INDIRECT(E30&amp;"!d6"),-1))*12)</f>
        <v>141510000</v>
      </c>
      <c r="I30" s="947">
        <f t="shared" ca="1" si="2"/>
        <v>0.75351826897082486</v>
      </c>
      <c r="J30" s="941">
        <f t="shared" ca="1" si="3"/>
        <v>46289030</v>
      </c>
      <c r="K30" s="951">
        <f t="shared" ca="1" si="4"/>
        <v>0.24648173102917517</v>
      </c>
    </row>
    <row r="31" spans="2:11">
      <c r="B31" s="911">
        <v>29</v>
      </c>
      <c r="C31" s="904">
        <f t="shared" ca="1" si="0"/>
        <v>31</v>
      </c>
      <c r="D31" s="919">
        <f ca="1">기타수당모음편!D31</f>
        <v>56</v>
      </c>
      <c r="E31" s="905">
        <f ca="1">VALUE('2053'!$D$1)</f>
        <v>2053</v>
      </c>
      <c r="F31" s="906">
        <f t="shared" ca="1" si="1"/>
        <v>41</v>
      </c>
      <c r="G31" s="935">
        <f ca="1">IF(YEAR('2026'!$B$1)&lt;E31,"",ROUND(INDIRECT(E31&amp;"!N26"),-1))</f>
        <v>194765040</v>
      </c>
      <c r="H31" s="941">
        <f ca="1">IF(C31="","",IF(YEAR('2026'!$B$1)&lt;E31,"",ROUND(INDIRECT(E31&amp;"!d6"),-1))*12)</f>
        <v>146942400</v>
      </c>
      <c r="I31" s="947">
        <f t="shared" ca="1" si="2"/>
        <v>0.75445983529693006</v>
      </c>
      <c r="J31" s="941">
        <f t="shared" ca="1" si="3"/>
        <v>47822640</v>
      </c>
      <c r="K31" s="951">
        <f t="shared" ca="1" si="4"/>
        <v>0.24554016470306991</v>
      </c>
    </row>
    <row r="32" spans="2:11">
      <c r="B32" s="911">
        <v>30</v>
      </c>
      <c r="C32" s="904">
        <f t="shared" ca="1" si="0"/>
        <v>32</v>
      </c>
      <c r="D32" s="919">
        <f ca="1">기타수당모음편!D32</f>
        <v>57</v>
      </c>
      <c r="E32" s="905">
        <f ca="1">VALUE('2054'!$D$1)</f>
        <v>2054</v>
      </c>
      <c r="F32" s="906">
        <f t="shared" ca="1" si="1"/>
        <v>42</v>
      </c>
      <c r="G32" s="935">
        <f ca="1">IF(YEAR('2026'!$B$1)&lt;E32,"",ROUND(INDIRECT(E32&amp;"!N26"),-1))</f>
        <v>202140020</v>
      </c>
      <c r="H32" s="941">
        <f ca="1">IF(C32="","",IF(YEAR('2026'!$B$1)&lt;E32,"",ROUND(INDIRECT(E32&amp;"!d6"),-1))*12)</f>
        <v>152557200</v>
      </c>
      <c r="I32" s="947">
        <f t="shared" ca="1" si="2"/>
        <v>0.75471052194414545</v>
      </c>
      <c r="J32" s="941">
        <f t="shared" ca="1" si="3"/>
        <v>49582820</v>
      </c>
      <c r="K32" s="951">
        <f t="shared" ca="1" si="4"/>
        <v>0.24528947805585455</v>
      </c>
    </row>
    <row r="33" spans="2:11">
      <c r="B33" s="912">
        <v>31</v>
      </c>
      <c r="C33" s="913">
        <f t="shared" ca="1" si="0"/>
        <v>33</v>
      </c>
      <c r="D33" s="919">
        <f ca="1">기타수당모음편!D33</f>
        <v>58</v>
      </c>
      <c r="E33" s="914">
        <f ca="1">VALUE('2055'!$D$1)</f>
        <v>2055</v>
      </c>
      <c r="F33" s="915">
        <f t="shared" ca="1" si="1"/>
        <v>43</v>
      </c>
      <c r="G33" s="936">
        <f ca="1">IF(YEAR('2026'!$B$1)&lt;E33,"",ROUND(INDIRECT(E33&amp;"!N26"),-1))</f>
        <v>209443390</v>
      </c>
      <c r="H33" s="942">
        <f ca="1">IF(C33="","",IF(YEAR('2026'!$B$1)&lt;E33,"",ROUND(INDIRECT(E33&amp;"!d6"),-1))*12)</f>
        <v>158359200</v>
      </c>
      <c r="I33" s="948">
        <f t="shared" ca="1" si="2"/>
        <v>0.75609547763717921</v>
      </c>
      <c r="J33" s="942">
        <f t="shared" ca="1" si="3"/>
        <v>51084190</v>
      </c>
      <c r="K33" s="952">
        <f t="shared" ca="1" si="4"/>
        <v>0.24390452236282081</v>
      </c>
    </row>
    <row r="34" spans="2:11">
      <c r="B34" s="927">
        <v>32</v>
      </c>
      <c r="C34" s="928">
        <f t="shared" ca="1" si="0"/>
        <v>34</v>
      </c>
      <c r="D34" s="919">
        <f ca="1">기타수당모음편!D34</f>
        <v>59</v>
      </c>
      <c r="E34" s="929">
        <f ca="1">VALUE('2056'!$D$1)</f>
        <v>2056</v>
      </c>
      <c r="F34" s="930">
        <f t="shared" ca="1" si="1"/>
        <v>44</v>
      </c>
      <c r="G34" s="937">
        <f ca="1">IF(YEAR('2026'!$B$1)&lt;E34,"",ROUND(INDIRECT(E34&amp;"!N26"),-1))</f>
        <v>216834110</v>
      </c>
      <c r="H34" s="943">
        <f ca="1">IF(C34="","",IF(YEAR('2026'!$B$1)&lt;E34,"",ROUND(INDIRECT(E34&amp;"!d6"),-1))*12)</f>
        <v>164355600</v>
      </c>
      <c r="I34" s="949">
        <f t="shared" ca="1" si="2"/>
        <v>0.75797853022294326</v>
      </c>
      <c r="J34" s="943">
        <f t="shared" ca="1" si="3"/>
        <v>52478510</v>
      </c>
      <c r="K34" s="953">
        <f t="shared" ca="1" si="4"/>
        <v>0.24202146977705677</v>
      </c>
    </row>
    <row r="35" spans="2:11">
      <c r="B35" s="911">
        <v>33</v>
      </c>
      <c r="C35" s="904">
        <f t="shared" ca="1" si="0"/>
        <v>35</v>
      </c>
      <c r="D35" s="919">
        <f ca="1">기타수당모음편!D35</f>
        <v>60</v>
      </c>
      <c r="E35" s="905">
        <f ca="1">VALUE('2057'!$D$1)</f>
        <v>2057</v>
      </c>
      <c r="F35" s="906">
        <f t="shared" ca="1" si="1"/>
        <v>45</v>
      </c>
      <c r="G35" s="935">
        <f ca="1">IF(YEAR('2026'!$B$1)&lt;E35,"",ROUND(INDIRECT(E35&amp;"!N26"),-1))</f>
        <v>224467840</v>
      </c>
      <c r="H35" s="941">
        <f ca="1">IF(C35="","",IF(YEAR('2026'!$B$1)&lt;E35,"",ROUND(INDIRECT(E35&amp;"!d6"),-1))*12)</f>
        <v>170551200</v>
      </c>
      <c r="I35" s="947">
        <f ca="1">IF(C35="","",H35/G35)</f>
        <v>0.75980238416336165</v>
      </c>
      <c r="J35" s="941">
        <f ca="1">IF(C35="","",G35-H35)</f>
        <v>53916640</v>
      </c>
      <c r="K35" s="951">
        <f ca="1">IF(C35="","",J35/G35)</f>
        <v>0.24019761583663835</v>
      </c>
    </row>
    <row r="36" spans="2:11">
      <c r="B36" s="911">
        <v>34</v>
      </c>
      <c r="C36" s="904">
        <f t="shared" ca="1" si="0"/>
        <v>36</v>
      </c>
      <c r="D36" s="919">
        <f ca="1">기타수당모음편!D36</f>
        <v>61</v>
      </c>
      <c r="E36" s="905">
        <f ca="1">VALUE('2058'!$D$1)</f>
        <v>2058</v>
      </c>
      <c r="F36" s="906">
        <f t="shared" ca="1" si="1"/>
        <v>46</v>
      </c>
      <c r="G36" s="935">
        <f ca="1">IF(YEAR('2026'!$B$1)&lt;E36,"",ROUND(INDIRECT(E36&amp;"!N26"),-1))</f>
        <v>232361690</v>
      </c>
      <c r="H36" s="941">
        <f ca="1">IF(C36="","",IF(YEAR('2026'!$B$1)&lt;E36,"",ROUND(INDIRECT(E36&amp;"!d6"),-1))*12)</f>
        <v>176960400</v>
      </c>
      <c r="I36" s="947">
        <f t="shared" ref="I36:I42" ca="1" si="5">IF(C36="","",H36/G36)</f>
        <v>0.76157304588376851</v>
      </c>
      <c r="J36" s="941">
        <f t="shared" ref="J36:J42" ca="1" si="6">IF(C36="","",G36-H36)</f>
        <v>55401290</v>
      </c>
      <c r="K36" s="951">
        <f t="shared" ref="K36:K42" ca="1" si="7">IF(C36="","",J36/G36)</f>
        <v>0.23842695411623147</v>
      </c>
    </row>
    <row r="37" spans="2:11">
      <c r="B37" s="911">
        <v>35</v>
      </c>
      <c r="C37" s="904">
        <f t="shared" ca="1" si="0"/>
        <v>37</v>
      </c>
      <c r="D37" s="919">
        <f ca="1">기타수당모음편!D37</f>
        <v>62</v>
      </c>
      <c r="E37" s="905">
        <f ca="1">VALUE('2059'!$D$1)</f>
        <v>2059</v>
      </c>
      <c r="F37" s="906">
        <f t="shared" ca="1" si="1"/>
        <v>47</v>
      </c>
      <c r="G37" s="935">
        <f ca="1">IF(YEAR('2026'!$B$1)&lt;E37,"",ROUND(INDIRECT(E37&amp;"!N26"),-1))</f>
        <v>48568360</v>
      </c>
      <c r="H37" s="941" t="e">
        <f ca="1">IF(C37="","",IF(YEAR('2026'!$B$1)&lt;E37,"",ROUND(INDIRECT(E37&amp;"!d6"),-1))*12)</f>
        <v>#VALUE!</v>
      </c>
      <c r="I37" s="947" t="e">
        <f t="shared" ca="1" si="5"/>
        <v>#VALUE!</v>
      </c>
      <c r="J37" s="941" t="e">
        <f t="shared" ca="1" si="6"/>
        <v>#VALUE!</v>
      </c>
      <c r="K37" s="951" t="e">
        <f t="shared" ca="1" si="7"/>
        <v>#VALUE!</v>
      </c>
    </row>
    <row r="38" spans="2:11">
      <c r="B38" s="911">
        <v>36</v>
      </c>
      <c r="C38" s="904" t="str">
        <f t="shared" ca="1" si="0"/>
        <v/>
      </c>
      <c r="D38" s="919" t="str">
        <f ca="1">기타수당모음편!D38</f>
        <v/>
      </c>
      <c r="E38" s="905">
        <f ca="1">VALUE('2060'!$D$1)</f>
        <v>2060</v>
      </c>
      <c r="F38" s="906" t="str">
        <f t="shared" ca="1" si="1"/>
        <v/>
      </c>
      <c r="G38" s="935" t="str">
        <f ca="1">IF(YEAR('2026'!$B$1)&lt;E38,"",ROUND(INDIRECT(E38&amp;"!N26"),-1))</f>
        <v/>
      </c>
      <c r="H38" s="941" t="str">
        <f ca="1">IF(C38="","",IF(YEAR('2026'!$B$1)&lt;E38,"",ROUND(INDIRECT(E38&amp;"!d6"),-1))*12)</f>
        <v/>
      </c>
      <c r="I38" s="947" t="str">
        <f t="shared" ca="1" si="5"/>
        <v/>
      </c>
      <c r="J38" s="941" t="str">
        <f t="shared" ca="1" si="6"/>
        <v/>
      </c>
      <c r="K38" s="951" t="str">
        <f t="shared" ca="1" si="7"/>
        <v/>
      </c>
    </row>
    <row r="39" spans="2:11">
      <c r="B39" s="911">
        <v>37</v>
      </c>
      <c r="C39" s="904" t="str">
        <f t="shared" ca="1" si="0"/>
        <v/>
      </c>
      <c r="D39" s="919" t="str">
        <f ca="1">기타수당모음편!D39</f>
        <v/>
      </c>
      <c r="E39" s="905">
        <f ca="1">VALUE('2061'!$D$1)</f>
        <v>2061</v>
      </c>
      <c r="F39" s="906" t="str">
        <f t="shared" ca="1" si="1"/>
        <v/>
      </c>
      <c r="G39" s="935" t="str">
        <f ca="1">IF(YEAR('2026'!$B$1)&lt;E39,"",ROUND(INDIRECT(E39&amp;"!N26"),-1))</f>
        <v/>
      </c>
      <c r="H39" s="941" t="str">
        <f ca="1">IF(C39="","",IF(YEAR('2026'!$B$1)&lt;E39,"",ROUND(INDIRECT(E39&amp;"!d6"),-1))*12)</f>
        <v/>
      </c>
      <c r="I39" s="947" t="str">
        <f t="shared" ca="1" si="5"/>
        <v/>
      </c>
      <c r="J39" s="941" t="str">
        <f t="shared" ca="1" si="6"/>
        <v/>
      </c>
      <c r="K39" s="951" t="str">
        <f t="shared" ca="1" si="7"/>
        <v/>
      </c>
    </row>
    <row r="40" spans="2:11">
      <c r="B40" s="911">
        <v>38</v>
      </c>
      <c r="C40" s="904" t="str">
        <f t="shared" ca="1" si="0"/>
        <v/>
      </c>
      <c r="D40" s="919" t="str">
        <f ca="1">기타수당모음편!D40</f>
        <v/>
      </c>
      <c r="E40" s="905">
        <f ca="1">VALUE('2062'!$D$1)</f>
        <v>2062</v>
      </c>
      <c r="F40" s="906" t="str">
        <f t="shared" ca="1" si="1"/>
        <v/>
      </c>
      <c r="G40" s="935" t="str">
        <f ca="1">IF(YEAR('2026'!$B$1)&lt;E40,"",ROUND(INDIRECT(E40&amp;"!N26"),-1))</f>
        <v/>
      </c>
      <c r="H40" s="941" t="str">
        <f ca="1">IF(C40="","",IF(YEAR('2026'!$B$1)&lt;E40,"",ROUND(INDIRECT(E40&amp;"!d6"),-1))*12)</f>
        <v/>
      </c>
      <c r="I40" s="947" t="str">
        <f t="shared" ca="1" si="5"/>
        <v/>
      </c>
      <c r="J40" s="941" t="str">
        <f t="shared" ca="1" si="6"/>
        <v/>
      </c>
      <c r="K40" s="951" t="str">
        <f t="shared" ca="1" si="7"/>
        <v/>
      </c>
    </row>
    <row r="41" spans="2:11">
      <c r="B41" s="911">
        <v>39</v>
      </c>
      <c r="C41" s="904" t="str">
        <f t="shared" ca="1" si="0"/>
        <v/>
      </c>
      <c r="D41" s="919" t="str">
        <f ca="1">기타수당모음편!D41</f>
        <v/>
      </c>
      <c r="E41" s="905">
        <f ca="1">VALUE('2063'!$D$1)</f>
        <v>2063</v>
      </c>
      <c r="F41" s="906" t="str">
        <f t="shared" ca="1" si="1"/>
        <v/>
      </c>
      <c r="G41" s="935" t="str">
        <f ca="1">IF(YEAR('2026'!$B$1)&lt;E41,"",ROUND(INDIRECT(E41&amp;"!N26"),-1))</f>
        <v/>
      </c>
      <c r="H41" s="941" t="str">
        <f ca="1">IF(C41="","",IF(YEAR('2026'!$B$1)&lt;E41,"",ROUND(INDIRECT(E41&amp;"!d6"),-1))*12)</f>
        <v/>
      </c>
      <c r="I41" s="947" t="str">
        <f t="shared" ca="1" si="5"/>
        <v/>
      </c>
      <c r="J41" s="941" t="str">
        <f t="shared" ca="1" si="6"/>
        <v/>
      </c>
      <c r="K41" s="951" t="str">
        <f t="shared" ca="1" si="7"/>
        <v/>
      </c>
    </row>
    <row r="42" spans="2:11">
      <c r="B42" s="916">
        <v>40</v>
      </c>
      <c r="C42" s="907" t="str">
        <f t="shared" ca="1" si="0"/>
        <v/>
      </c>
      <c r="D42" s="919" t="str">
        <f ca="1">기타수당모음편!D42</f>
        <v/>
      </c>
      <c r="E42" s="908">
        <f ca="1">VALUE('2064'!$D$1)</f>
        <v>2064</v>
      </c>
      <c r="F42" s="909" t="str">
        <f t="shared" ca="1" si="1"/>
        <v/>
      </c>
      <c r="G42" s="938" t="str">
        <f ca="1">IF(YEAR('2026'!$B$1)&lt;E42,"",ROUND(INDIRECT(E42&amp;"!N26"),-1))</f>
        <v/>
      </c>
      <c r="H42" s="941" t="str">
        <f ca="1">IF(C42="","",IF(YEAR('2026'!$B$1)&lt;E42,"",ROUND(INDIRECT(E42&amp;"!d6"),-1))*12)</f>
        <v/>
      </c>
      <c r="I42" s="947" t="str">
        <f t="shared" ca="1" si="5"/>
        <v/>
      </c>
      <c r="J42" s="944" t="str">
        <f t="shared" ca="1" si="6"/>
        <v/>
      </c>
      <c r="K42" s="954" t="str">
        <f t="shared" ca="1" si="7"/>
        <v/>
      </c>
    </row>
    <row r="43" spans="2:11" ht="18">
      <c r="B43" s="1182" t="s">
        <v>307</v>
      </c>
      <c r="C43" s="1183"/>
      <c r="D43" s="1183"/>
      <c r="E43" s="1183"/>
      <c r="F43" s="1183"/>
      <c r="G43" s="939">
        <f ca="1">AVERAGE(G4:G41)</f>
        <v>125803450.88235295</v>
      </c>
      <c r="H43" s="926" t="e">
        <f ca="1">AVERAGE(H3:H42)</f>
        <v>#VALUE!</v>
      </c>
      <c r="I43" s="955" t="e">
        <f t="shared" ref="I43:K43" ca="1" si="8">AVERAGE(I3:I42)</f>
        <v>#VALUE!</v>
      </c>
      <c r="J43" s="926" t="e">
        <f t="shared" ca="1" si="8"/>
        <v>#VALUE!</v>
      </c>
      <c r="K43" s="956" t="e">
        <f t="shared" ca="1" si="8"/>
        <v>#VALUE!</v>
      </c>
    </row>
    <row r="44" spans="2:11">
      <c r="B44" s="1184"/>
      <c r="C44" s="1184"/>
      <c r="D44" s="1184"/>
      <c r="E44" s="1184"/>
      <c r="F44" s="1184"/>
      <c r="G44" s="910"/>
      <c r="H44" s="945"/>
      <c r="J44" s="945"/>
    </row>
  </sheetData>
  <sheetProtection algorithmName="SHA-512" hashValue="xYiMe2Yl1OjgRzOBOmyT94hST/II81NRzsmT8/gSVaKPrHmn67UfZke+gF9G1qurqBxidApK2Jq7yrphgPWTtw==" saltValue="cFuGNDWjgZxgYABx6gAt3Q==" spinCount="100000" sheet="1" objects="1" scenarios="1"/>
  <mergeCells count="3">
    <mergeCell ref="B1:K1"/>
    <mergeCell ref="B43:F43"/>
    <mergeCell ref="B44:F44"/>
  </mergeCells>
  <phoneticPr fontId="167" type="noConversion"/>
  <printOptions horizontalCentered="1"/>
  <pageMargins left="0.19666667282581329" right="0.19666667282581329" top="0.74777776002883911" bottom="0.55097222328186035" header="0.31486111879348755" footer="0.31486111879348755"/>
  <pageSetup paperSize="9" orientation="landscape"/>
  <headerFooter>
    <oddFooter>&amp;R&amp;"맑은 고딕,Regular"&amp;8제작 : 교사카페 운영자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tabColor rgb="FFFF00FF"/>
  </sheetPr>
  <dimension ref="A1:AT40"/>
  <sheetViews>
    <sheetView zoomScaleNormal="100" zoomScaleSheetLayoutView="100" workbookViewId="0">
      <pane xSplit="2" ySplit="2" topLeftCell="C3" activePane="bottomRight" state="frozen"/>
      <selection pane="topRight"/>
      <selection pane="bottomLeft"/>
      <selection pane="bottomRight" activeCell="O82" sqref="O82"/>
    </sheetView>
  </sheetViews>
  <sheetFormatPr baseColWidth="10" defaultColWidth="9" defaultRowHeight="12"/>
  <cols>
    <col min="1" max="1" width="3.83203125" style="653" bestFit="1" customWidth="1"/>
    <col min="2" max="2" width="5.83203125" style="666" bestFit="1" customWidth="1"/>
    <col min="3" max="3" width="9.1640625" style="666" bestFit="1" customWidth="1"/>
    <col min="4" max="4" width="8" style="653" bestFit="1" customWidth="1"/>
    <col min="5" max="5" width="9.1640625" style="653" bestFit="1" customWidth="1"/>
    <col min="6" max="6" width="9.1640625" style="653" customWidth="1"/>
    <col min="7" max="7" width="8.6640625" style="653" bestFit="1" customWidth="1"/>
    <col min="8" max="8" width="7" style="653" bestFit="1" customWidth="1"/>
    <col min="9" max="9" width="5.5" style="653" bestFit="1" customWidth="1"/>
    <col min="10" max="10" width="9.1640625" style="653" bestFit="1" customWidth="1"/>
    <col min="11" max="22" width="8" style="653" bestFit="1" customWidth="1"/>
    <col min="23" max="25" width="8.6640625" style="653" bestFit="1" customWidth="1"/>
    <col min="26" max="30" width="8" style="653" bestFit="1" customWidth="1"/>
    <col min="31" max="45" width="8.6640625" style="653" bestFit="1" customWidth="1"/>
    <col min="46" max="46" width="4.1640625" style="653" bestFit="1" customWidth="1"/>
    <col min="47" max="16384" width="9" style="653"/>
  </cols>
  <sheetData>
    <row r="1" spans="1:46" ht="26">
      <c r="B1" s="899"/>
      <c r="C1" s="899"/>
      <c r="D1" s="1185" t="s">
        <v>342</v>
      </c>
      <c r="E1" s="1185"/>
      <c r="F1" s="1185"/>
      <c r="G1" s="1185"/>
      <c r="H1" s="900">
        <v>1</v>
      </c>
      <c r="I1" s="899" t="s">
        <v>8</v>
      </c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  <c r="AA1" s="899"/>
      <c r="AB1" s="899"/>
      <c r="AC1" s="899"/>
      <c r="AD1" s="899"/>
      <c r="AE1" s="899"/>
      <c r="AF1" s="899"/>
      <c r="AG1" s="899"/>
      <c r="AH1" s="899"/>
      <c r="AI1" s="899"/>
      <c r="AJ1" s="899"/>
      <c r="AK1" s="899"/>
      <c r="AL1" s="899"/>
      <c r="AM1" s="899"/>
      <c r="AN1" s="899"/>
      <c r="AO1" s="899"/>
      <c r="AP1" s="899"/>
      <c r="AQ1" s="899"/>
      <c r="AR1" s="899"/>
      <c r="AS1" s="899"/>
      <c r="AT1" s="899"/>
    </row>
    <row r="2" spans="1:46" s="666" customFormat="1" ht="26">
      <c r="A2" s="654" t="s">
        <v>544</v>
      </c>
      <c r="B2" s="658" t="s">
        <v>500</v>
      </c>
      <c r="C2" s="655" t="s">
        <v>570</v>
      </c>
      <c r="D2" s="658" t="s">
        <v>301</v>
      </c>
      <c r="E2" s="670" t="s">
        <v>389</v>
      </c>
      <c r="F2" s="670" t="s">
        <v>588</v>
      </c>
      <c r="G2" s="897" t="s">
        <v>404</v>
      </c>
      <c r="H2" s="897" t="s">
        <v>406</v>
      </c>
      <c r="I2" s="898" t="s">
        <v>284</v>
      </c>
      <c r="J2" s="654" t="str">
        <f ca="1">B3</f>
        <v>2025</v>
      </c>
      <c r="K2" s="654" t="str">
        <f ca="1">'2026'!$D$1</f>
        <v>2026</v>
      </c>
      <c r="L2" s="654" t="str">
        <f ca="1">B5</f>
        <v>2027</v>
      </c>
      <c r="M2" s="654" t="str">
        <f ca="1">B6</f>
        <v>2028</v>
      </c>
      <c r="N2" s="654" t="str">
        <f ca="1">B7</f>
        <v>2029</v>
      </c>
      <c r="O2" s="654" t="str">
        <f ca="1">B8</f>
        <v>2030</v>
      </c>
      <c r="P2" s="654" t="str">
        <f ca="1">B9</f>
        <v>2031</v>
      </c>
      <c r="Q2" s="654" t="str">
        <f ca="1">B10</f>
        <v>2032</v>
      </c>
      <c r="R2" s="654" t="str">
        <f ca="1">B11</f>
        <v>2033</v>
      </c>
      <c r="S2" s="654" t="str">
        <f ca="1">B12</f>
        <v>2034</v>
      </c>
      <c r="T2" s="654" t="str">
        <f ca="1">B13</f>
        <v>2035</v>
      </c>
      <c r="U2" s="654" t="str">
        <f ca="1">B14</f>
        <v>2036</v>
      </c>
      <c r="V2" s="654" t="str">
        <f ca="1">B15</f>
        <v>2037</v>
      </c>
      <c r="W2" s="654" t="str">
        <f ca="1">B16</f>
        <v>2038</v>
      </c>
      <c r="X2" s="654" t="str">
        <f ca="1">B17</f>
        <v>2039</v>
      </c>
      <c r="Y2" s="654" t="str">
        <f ca="1">B18</f>
        <v>2040</v>
      </c>
      <c r="Z2" s="654" t="str">
        <f ca="1">B19</f>
        <v>2041</v>
      </c>
      <c r="AA2" s="654" t="str">
        <f ca="1">B20</f>
        <v>2042</v>
      </c>
      <c r="AB2" s="654" t="str">
        <f ca="1">B21</f>
        <v>2043</v>
      </c>
      <c r="AC2" s="654" t="str">
        <f ca="1">B22</f>
        <v>2044</v>
      </c>
      <c r="AD2" s="654" t="str">
        <f ca="1">B23</f>
        <v>2045</v>
      </c>
      <c r="AE2" s="654" t="str">
        <f ca="1">B24</f>
        <v>2046</v>
      </c>
      <c r="AF2" s="654" t="str">
        <f ca="1">B25</f>
        <v>2047</v>
      </c>
      <c r="AG2" s="654" t="str">
        <f ca="1">B26</f>
        <v>2048</v>
      </c>
      <c r="AH2" s="654" t="str">
        <f ca="1">B27</f>
        <v>2049</v>
      </c>
      <c r="AI2" s="654" t="str">
        <f ca="1">B28</f>
        <v>2050</v>
      </c>
      <c r="AJ2" s="654" t="str">
        <f ca="1">B29</f>
        <v>2051</v>
      </c>
      <c r="AK2" s="654" t="str">
        <f ca="1">B30</f>
        <v>2052</v>
      </c>
      <c r="AL2" s="654" t="str">
        <f ca="1">B31</f>
        <v>2053</v>
      </c>
      <c r="AM2" s="654" t="str">
        <f ca="1">B32</f>
        <v>2054</v>
      </c>
      <c r="AN2" s="654" t="str">
        <f ca="1">B33</f>
        <v>2055</v>
      </c>
      <c r="AO2" s="654" t="str">
        <f ca="1">B34</f>
        <v>2056</v>
      </c>
      <c r="AP2" s="654" t="str">
        <f ca="1">B35</f>
        <v>2057</v>
      </c>
      <c r="AQ2" s="654" t="str">
        <f ca="1">B36</f>
        <v>2058</v>
      </c>
      <c r="AR2" s="654" t="str">
        <f ca="1">B37</f>
        <v>2059</v>
      </c>
      <c r="AS2" s="654" t="str">
        <f ca="1">B38</f>
        <v>2060</v>
      </c>
      <c r="AT2" s="654" t="s">
        <v>544</v>
      </c>
    </row>
    <row r="3" spans="1:46" ht="13">
      <c r="A3" s="654">
        <v>1</v>
      </c>
      <c r="B3" s="658" t="str">
        <f ca="1">'2025'!$D$1</f>
        <v>2025</v>
      </c>
      <c r="C3" s="667">
        <f ca="1">IF('퇴직때까지의 총연봉액'!C3="","",G3*I3%*F3*AT3)</f>
        <v>0</v>
      </c>
      <c r="D3" s="895">
        <v>0.02</v>
      </c>
      <c r="E3" s="671">
        <f ca="1">IF('퇴직때까지의 총연봉액'!C3="","",ROUND(PV(D3,A3-1,,-C3),-1))</f>
        <v>0</v>
      </c>
      <c r="F3" s="901">
        <v>1.77E-2</v>
      </c>
      <c r="G3" s="654">
        <f ca="1">IF('퇴직때까지의 총연봉액'!C3="","",AVERAGE(J3:AS3))</f>
        <v>0</v>
      </c>
      <c r="H3" s="896" t="e">
        <f ca="1">G3/J3</f>
        <v>#DIV/0!</v>
      </c>
      <c r="I3" s="658">
        <v>77.25</v>
      </c>
      <c r="J3" s="656">
        <f>IF('2025'!$E$2=0,0,기준소득월액추정표!P3)*$H$1</f>
        <v>0</v>
      </c>
      <c r="K3" s="657"/>
      <c r="L3" s="657"/>
      <c r="M3" s="657"/>
      <c r="N3" s="657"/>
      <c r="O3" s="657"/>
      <c r="P3" s="657"/>
      <c r="Q3" s="657"/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4">
        <v>1</v>
      </c>
    </row>
    <row r="4" spans="1:46" ht="13">
      <c r="A4" s="654">
        <v>2</v>
      </c>
      <c r="B4" s="658" t="str">
        <f ca="1">'2026'!$D$1</f>
        <v>2026</v>
      </c>
      <c r="C4" s="667">
        <f ca="1">IF('퇴직때까지의 총연봉액'!C4="","",G4*I4%*F4*AT4)</f>
        <v>0</v>
      </c>
      <c r="D4" s="668">
        <f ca="1">IF('퇴직때까지의 총연봉액'!C4="","",D3)</f>
        <v>0.02</v>
      </c>
      <c r="E4" s="671">
        <f ca="1">IF('퇴직때까지의 총연봉액'!C4="","",ROUND(PV(D4,A4-1,,-C4),-1))</f>
        <v>0</v>
      </c>
      <c r="F4" s="901">
        <v>1.7600000000000001E-2</v>
      </c>
      <c r="G4" s="654">
        <f ca="1">IF('퇴직때까지의 총연봉액'!C4="","",AVERAGE(J4:AS4))</f>
        <v>0</v>
      </c>
      <c r="H4" s="896" t="e">
        <f ca="1">G4/K4</f>
        <v>#DIV/0!</v>
      </c>
      <c r="I4" s="658">
        <v>78.03</v>
      </c>
      <c r="J4" s="654">
        <f ca="1">IF('퇴직때까지의 총연봉액'!C4="","",$J3*(1+$D4))</f>
        <v>0</v>
      </c>
      <c r="K4" s="659">
        <f>IF('2025'!$E$2=0,0,기준소득월액추정표!P4)*$H$1</f>
        <v>0</v>
      </c>
      <c r="L4" s="657"/>
      <c r="M4" s="657"/>
      <c r="N4" s="657"/>
      <c r="O4" s="657"/>
      <c r="P4" s="657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4">
        <v>2</v>
      </c>
    </row>
    <row r="5" spans="1:46" ht="13">
      <c r="A5" s="654">
        <v>3</v>
      </c>
      <c r="B5" s="658" t="str">
        <f ca="1">'2027'!$D$1</f>
        <v>2027</v>
      </c>
      <c r="C5" s="667">
        <f ca="1">IF('퇴직때까지의 총연봉액'!C5="","",G5*I5%*F5*AT5)</f>
        <v>0</v>
      </c>
      <c r="D5" s="668">
        <f ca="1">IF('퇴직때까지의 총연봉액'!C5="","",D4)</f>
        <v>0.02</v>
      </c>
      <c r="E5" s="671">
        <f ca="1">IF('퇴직때까지의 총연봉액'!C5="","",ROUND(PV(D5,A5-1,,-C5),-1))</f>
        <v>0</v>
      </c>
      <c r="F5" s="901">
        <v>1.7500000000000002E-2</v>
      </c>
      <c r="G5" s="654">
        <f ca="1">IF('퇴직때까지의 총연봉액'!C5="","",AVERAGE(J5:AS5))</f>
        <v>0</v>
      </c>
      <c r="H5" s="896" t="e">
        <f ca="1">G5/L5</f>
        <v>#DIV/0!</v>
      </c>
      <c r="I5" s="658">
        <v>78.349999999999994</v>
      </c>
      <c r="J5" s="654">
        <f ca="1">IF('퇴직때까지의 총연봉액'!C5="","",$J4*(1+$D5))</f>
        <v>0</v>
      </c>
      <c r="K5" s="654">
        <f ca="1">IF('퇴직때까지의 총연봉액'!C5="","",K4*(1+$D5))</f>
        <v>0</v>
      </c>
      <c r="L5" s="659">
        <f>IF('2025'!$E$2=0,0,기준소득월액추정표!P5)*$H$1</f>
        <v>0</v>
      </c>
      <c r="M5" s="657"/>
      <c r="N5" s="657"/>
      <c r="O5" s="657"/>
      <c r="P5" s="657"/>
      <c r="Q5" s="657"/>
      <c r="R5" s="657"/>
      <c r="S5" s="657"/>
      <c r="T5" s="657"/>
      <c r="U5" s="657"/>
      <c r="V5" s="657"/>
      <c r="W5" s="657"/>
      <c r="X5" s="657"/>
      <c r="Y5" s="657"/>
      <c r="Z5" s="657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4">
        <v>3</v>
      </c>
    </row>
    <row r="6" spans="1:46" ht="13">
      <c r="A6" s="654">
        <v>4</v>
      </c>
      <c r="B6" s="658" t="str">
        <f ca="1">'2028'!$D$1</f>
        <v>2028</v>
      </c>
      <c r="C6" s="667">
        <f ca="1">IF('퇴직때까지의 총연봉액'!C6="","",G6*I6%*F6*AT6)</f>
        <v>0</v>
      </c>
      <c r="D6" s="668">
        <f ca="1">IF('퇴직때까지의 총연봉액'!C6="","",D5)</f>
        <v>0.02</v>
      </c>
      <c r="E6" s="671">
        <f ca="1">IF('퇴직때까지의 총연봉액'!C6="","",ROUND(PV(D6,A6-1,,-C6),-1))</f>
        <v>0</v>
      </c>
      <c r="F6" s="901">
        <v>1.7399999999999999E-2</v>
      </c>
      <c r="G6" s="654">
        <f ca="1">IF('퇴직때까지의 총연봉액'!C6="","",AVERAGE(J6:AS6))</f>
        <v>0</v>
      </c>
      <c r="H6" s="896" t="e">
        <f ca="1">G6/M6</f>
        <v>#DIV/0!</v>
      </c>
      <c r="I6" s="658">
        <v>78.91</v>
      </c>
      <c r="J6" s="654">
        <f ca="1">IF('퇴직때까지의 총연봉액'!C6="","",$J5*(1+$D6))</f>
        <v>0</v>
      </c>
      <c r="K6" s="654">
        <f ca="1">IF('퇴직때까지의 총연봉액'!C6="","",K5*(1+$D6))</f>
        <v>0</v>
      </c>
      <c r="L6" s="654">
        <f ca="1">IF('퇴직때까지의 총연봉액'!C6="","",L5*(1+$D6))</f>
        <v>0</v>
      </c>
      <c r="M6" s="659">
        <f>IF('2025'!$E$2=0,0,기준소득월액추정표!P6)*$H$1</f>
        <v>0</v>
      </c>
      <c r="N6" s="657"/>
      <c r="O6" s="657"/>
      <c r="P6" s="657"/>
      <c r="Q6" s="657"/>
      <c r="R6" s="657"/>
      <c r="S6" s="657"/>
      <c r="T6" s="657"/>
      <c r="U6" s="657"/>
      <c r="V6" s="657"/>
      <c r="W6" s="657"/>
      <c r="X6" s="657"/>
      <c r="Y6" s="657"/>
      <c r="Z6" s="657"/>
      <c r="AA6" s="657"/>
      <c r="AB6" s="657"/>
      <c r="AC6" s="657"/>
      <c r="AD6" s="657"/>
      <c r="AE6" s="657"/>
      <c r="AF6" s="657"/>
      <c r="AG6" s="657"/>
      <c r="AH6" s="657"/>
      <c r="AI6" s="657"/>
      <c r="AJ6" s="657"/>
      <c r="AK6" s="657"/>
      <c r="AL6" s="657"/>
      <c r="AM6" s="657"/>
      <c r="AN6" s="657"/>
      <c r="AO6" s="657"/>
      <c r="AP6" s="657"/>
      <c r="AQ6" s="657"/>
      <c r="AR6" s="657"/>
      <c r="AS6" s="657"/>
      <c r="AT6" s="654">
        <v>4</v>
      </c>
    </row>
    <row r="7" spans="1:46" ht="13">
      <c r="A7" s="654">
        <v>5</v>
      </c>
      <c r="B7" s="658" t="str">
        <f ca="1">'2029'!$D$1</f>
        <v>2029</v>
      </c>
      <c r="C7" s="667">
        <f ca="1">IF('퇴직때까지의 총연봉액'!C7="","",G7*I7%*F7*AT7)</f>
        <v>0</v>
      </c>
      <c r="D7" s="668">
        <f ca="1">IF('퇴직때까지의 총연봉액'!C7="","",D6)</f>
        <v>0.02</v>
      </c>
      <c r="E7" s="671">
        <f ca="1">IF('퇴직때까지의 총연봉액'!C7="","",ROUND(PV(D7,A7-1,,-C7),-1))</f>
        <v>0</v>
      </c>
      <c r="F7" s="901">
        <v>1.736E-2</v>
      </c>
      <c r="G7" s="654">
        <f ca="1">IF('퇴직때까지의 총연봉액'!C7="","",AVERAGE(J7:AS7))</f>
        <v>0</v>
      </c>
      <c r="H7" s="896" t="e">
        <f ca="1">G7/N7</f>
        <v>#DIV/0!</v>
      </c>
      <c r="I7" s="658">
        <v>79.56</v>
      </c>
      <c r="J7" s="654">
        <f ca="1">IF('퇴직때까지의 총연봉액'!C7="","",$J6*(1+$D7))</f>
        <v>0</v>
      </c>
      <c r="K7" s="654">
        <f ca="1">IF('퇴직때까지의 총연봉액'!C7="","",K6*(1+$D7))</f>
        <v>0</v>
      </c>
      <c r="L7" s="654">
        <f ca="1">IF('퇴직때까지의 총연봉액'!C7="","",L6*(1+$D7))</f>
        <v>0</v>
      </c>
      <c r="M7" s="654">
        <f ca="1">IF('퇴직때까지의 총연봉액'!C7="","",M6*(1+$D7))</f>
        <v>0</v>
      </c>
      <c r="N7" s="659">
        <f>IF('2025'!$E$2=0,0,기준소득월액추정표!P7)*$H$1</f>
        <v>0</v>
      </c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4">
        <v>5</v>
      </c>
    </row>
    <row r="8" spans="1:46" ht="13">
      <c r="A8" s="654">
        <v>6</v>
      </c>
      <c r="B8" s="658" t="str">
        <f ca="1">'2030'!$D$1</f>
        <v>2030</v>
      </c>
      <c r="C8" s="667">
        <f ca="1">IF('퇴직때까지의 총연봉액'!C8="","",G8*I8%*F8*AT8)</f>
        <v>0</v>
      </c>
      <c r="D8" s="668">
        <f ca="1">IF('퇴직때까지의 총연봉액'!C8="","",D7)</f>
        <v>0.02</v>
      </c>
      <c r="E8" s="671">
        <f ca="1">IF('퇴직때까지의 총연봉액'!C8="","",ROUND(PV(D8,A8-1,,-C8),-1))</f>
        <v>0</v>
      </c>
      <c r="F8" s="901">
        <v>1.7319999999999999E-2</v>
      </c>
      <c r="G8" s="654">
        <f ca="1">IF('퇴직때까지의 총연봉액'!C8="","",AVERAGE(J8:AS8))</f>
        <v>0</v>
      </c>
      <c r="H8" s="896" t="e">
        <f ca="1">G8/O8</f>
        <v>#DIV/0!</v>
      </c>
      <c r="I8" s="658">
        <v>80.06</v>
      </c>
      <c r="J8" s="654">
        <f ca="1">IF('퇴직때까지의 총연봉액'!C8="","",$J7*(1+$D8))</f>
        <v>0</v>
      </c>
      <c r="K8" s="654">
        <f ca="1">IF('퇴직때까지의 총연봉액'!C8="","",K7*(1+$D8))</f>
        <v>0</v>
      </c>
      <c r="L8" s="654">
        <f ca="1">IF('퇴직때까지의 총연봉액'!C8="","",L7*(1+$D8))</f>
        <v>0</v>
      </c>
      <c r="M8" s="654">
        <f ca="1">IF('퇴직때까지의 총연봉액'!C8="","",M7*(1+$D8))</f>
        <v>0</v>
      </c>
      <c r="N8" s="654">
        <f ca="1">IF('퇴직때까지의 총연봉액'!C8="","",N7*(1+$D8))</f>
        <v>0</v>
      </c>
      <c r="O8" s="659">
        <f>IF('2025'!$E$2=0,0,기준소득월액추정표!P8)*$H$1</f>
        <v>0</v>
      </c>
      <c r="P8" s="657"/>
      <c r="Q8" s="657"/>
      <c r="R8" s="657"/>
      <c r="S8" s="657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4">
        <v>6</v>
      </c>
    </row>
    <row r="9" spans="1:46" ht="13">
      <c r="A9" s="654">
        <v>7</v>
      </c>
      <c r="B9" s="658" t="str">
        <f ca="1">'2031'!$D$1</f>
        <v>2031</v>
      </c>
      <c r="C9" s="667">
        <f ca="1">IF('퇴직때까지의 총연봉액'!C9="","",G9*I9%*F9*AT9)</f>
        <v>0</v>
      </c>
      <c r="D9" s="668">
        <f ca="1">IF('퇴직때까지의 총연봉액'!C9="","",D8)</f>
        <v>0.02</v>
      </c>
      <c r="E9" s="671">
        <f ca="1">IF('퇴직때까지의 총연봉액'!C9="","",ROUND(PV(D9,A9-1,,-C9),-1))</f>
        <v>0</v>
      </c>
      <c r="F9" s="901">
        <v>1.728E-2</v>
      </c>
      <c r="G9" s="654">
        <f ca="1">IF('퇴직때까지의 총연봉액'!C9="","",AVERAGE(J9:AS9))</f>
        <v>0</v>
      </c>
      <c r="H9" s="896" t="e">
        <f ca="1">G9/P9</f>
        <v>#DIV/0!</v>
      </c>
      <c r="I9" s="658">
        <v>80.72</v>
      </c>
      <c r="J9" s="654">
        <f ca="1">IF('퇴직때까지의 총연봉액'!C9="","",$J8*(1+$D9))</f>
        <v>0</v>
      </c>
      <c r="K9" s="654">
        <f ca="1">IF('퇴직때까지의 총연봉액'!C9="","",K8*(1+$D9))</f>
        <v>0</v>
      </c>
      <c r="L9" s="654">
        <f ca="1">IF('퇴직때까지의 총연봉액'!C9="","",L8*(1+$D9))</f>
        <v>0</v>
      </c>
      <c r="M9" s="654">
        <f ca="1">IF('퇴직때까지의 총연봉액'!C9="","",M8*(1+$D9))</f>
        <v>0</v>
      </c>
      <c r="N9" s="654">
        <f ca="1">IF('퇴직때까지의 총연봉액'!C9="","",N8*(1+$D9))</f>
        <v>0</v>
      </c>
      <c r="O9" s="654">
        <f ca="1">IF('퇴직때까지의 총연봉액'!C9="","",O8*(1+$D9))</f>
        <v>0</v>
      </c>
      <c r="P9" s="659">
        <f>IF('2025'!$E$2=0,0,기준소득월액추정표!P9)*$H$1</f>
        <v>0</v>
      </c>
      <c r="Q9" s="657"/>
      <c r="R9" s="657"/>
      <c r="S9" s="657"/>
      <c r="T9" s="657"/>
      <c r="U9" s="657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4">
        <v>7</v>
      </c>
    </row>
    <row r="10" spans="1:46" ht="13">
      <c r="A10" s="654">
        <v>8</v>
      </c>
      <c r="B10" s="658" t="str">
        <f ca="1">'2032'!$D$1</f>
        <v>2032</v>
      </c>
      <c r="C10" s="667">
        <f ca="1">IF('퇴직때까지의 총연봉액'!C10="","",G10*I10%*F10*AT10)</f>
        <v>0</v>
      </c>
      <c r="D10" s="668">
        <f ca="1">IF('퇴직때까지의 총연봉액'!C10="","",D9)</f>
        <v>0.02</v>
      </c>
      <c r="E10" s="671">
        <f ca="1">IF('퇴직때까지의 총연봉액'!C10="","",ROUND(PV(D10,A10-1,,-C10),-1))</f>
        <v>0</v>
      </c>
      <c r="F10" s="901">
        <v>1.7239999999999998E-2</v>
      </c>
      <c r="G10" s="654">
        <f ca="1">IF('퇴직때까지의 총연봉액'!C10="","",AVERAGE(J10:AS10))</f>
        <v>0</v>
      </c>
      <c r="H10" s="896" t="e">
        <f ca="1">G10/Q10</f>
        <v>#DIV/0!</v>
      </c>
      <c r="I10" s="658">
        <v>81.319999999999993</v>
      </c>
      <c r="J10" s="654">
        <f ca="1">IF('퇴직때까지의 총연봉액'!C10="","",$J9*(1+$D10))</f>
        <v>0</v>
      </c>
      <c r="K10" s="654">
        <f ca="1">IF('퇴직때까지의 총연봉액'!C10="","",K9*(1+$D10))</f>
        <v>0</v>
      </c>
      <c r="L10" s="654">
        <f ca="1">IF('퇴직때까지의 총연봉액'!C10="","",L9*(1+$D10))</f>
        <v>0</v>
      </c>
      <c r="M10" s="654">
        <f ca="1">IF('퇴직때까지의 총연봉액'!C10="","",M9*(1+$D10))</f>
        <v>0</v>
      </c>
      <c r="N10" s="654">
        <f ca="1">IF('퇴직때까지의 총연봉액'!C10="","",N9*(1+$D10))</f>
        <v>0</v>
      </c>
      <c r="O10" s="654">
        <f ca="1">IF('퇴직때까지의 총연봉액'!C10="","",O9*(1+$D10))</f>
        <v>0</v>
      </c>
      <c r="P10" s="654">
        <f ca="1">IF('퇴직때까지의 총연봉액'!C10="","",P9*(1+$D10))</f>
        <v>0</v>
      </c>
      <c r="Q10" s="659">
        <f>IF('2025'!$E$2=0,0,기준소득월액추정표!P10)*$H$1</f>
        <v>0</v>
      </c>
      <c r="R10" s="657"/>
      <c r="S10" s="657"/>
      <c r="T10" s="657"/>
      <c r="U10" s="657"/>
      <c r="V10" s="657"/>
      <c r="W10" s="657"/>
      <c r="X10" s="657"/>
      <c r="Y10" s="657"/>
      <c r="Z10" s="657"/>
      <c r="AA10" s="657"/>
      <c r="AB10" s="657"/>
      <c r="AC10" s="657"/>
      <c r="AD10" s="657"/>
      <c r="AE10" s="657"/>
      <c r="AF10" s="657"/>
      <c r="AG10" s="657"/>
      <c r="AH10" s="657"/>
      <c r="AI10" s="657"/>
      <c r="AJ10" s="657"/>
      <c r="AK10" s="657"/>
      <c r="AL10" s="657"/>
      <c r="AM10" s="657"/>
      <c r="AN10" s="657"/>
      <c r="AO10" s="657"/>
      <c r="AP10" s="657"/>
      <c r="AQ10" s="657"/>
      <c r="AR10" s="657"/>
      <c r="AS10" s="657"/>
      <c r="AT10" s="654">
        <v>8</v>
      </c>
    </row>
    <row r="11" spans="1:46" ht="13">
      <c r="A11" s="654">
        <v>9</v>
      </c>
      <c r="B11" s="658" t="str">
        <f ca="1">'2033'!$D$1</f>
        <v>2033</v>
      </c>
      <c r="C11" s="667">
        <f ca="1">IF('퇴직때까지의 총연봉액'!C11="","",G11*I11%*F11*AT11)</f>
        <v>0</v>
      </c>
      <c r="D11" s="668">
        <f ca="1">IF('퇴직때까지의 총연봉액'!C11="","",D10)</f>
        <v>0.02</v>
      </c>
      <c r="E11" s="671">
        <f ca="1">IF('퇴직때까지의 총연봉액'!C11="","",ROUND(PV(D11,A11-1,,-C11),-1))</f>
        <v>0</v>
      </c>
      <c r="F11" s="901">
        <v>1.72E-2</v>
      </c>
      <c r="G11" s="654">
        <f ca="1">IF('퇴직때까지의 총연봉액'!C11="","",AVERAGE(J11:AS11))</f>
        <v>0</v>
      </c>
      <c r="H11" s="896" t="e">
        <f ca="1">G11/R11</f>
        <v>#DIV/0!</v>
      </c>
      <c r="I11" s="658">
        <v>81.75</v>
      </c>
      <c r="J11" s="654">
        <f ca="1">IF('퇴직때까지의 총연봉액'!C11="","",$J10*(1+$D11))</f>
        <v>0</v>
      </c>
      <c r="K11" s="654">
        <f ca="1">IF('퇴직때까지의 총연봉액'!C11="","",K10*(1+$D11))</f>
        <v>0</v>
      </c>
      <c r="L11" s="654">
        <f ca="1">IF('퇴직때까지의 총연봉액'!C11="","",L10*(1+$D11))</f>
        <v>0</v>
      </c>
      <c r="M11" s="654">
        <f ca="1">IF('퇴직때까지의 총연봉액'!C11="","",M10*(1+$D11))</f>
        <v>0</v>
      </c>
      <c r="N11" s="654">
        <f ca="1">IF('퇴직때까지의 총연봉액'!C11="","",N10*(1+$D11))</f>
        <v>0</v>
      </c>
      <c r="O11" s="654">
        <f ca="1">IF('퇴직때까지의 총연봉액'!C11="","",O10*(1+$D11))</f>
        <v>0</v>
      </c>
      <c r="P11" s="654">
        <f ca="1">IF('퇴직때까지의 총연봉액'!C11="","",P10*(1+$D11))</f>
        <v>0</v>
      </c>
      <c r="Q11" s="654">
        <f ca="1">IF('퇴직때까지의 총연봉액'!C11="","",Q10*(1+$D11))</f>
        <v>0</v>
      </c>
      <c r="R11" s="659">
        <f>IF('2025'!$E$2=0,0,기준소득월액추정표!P11)*$H$1</f>
        <v>0</v>
      </c>
      <c r="S11" s="657"/>
      <c r="T11" s="657"/>
      <c r="U11" s="657"/>
      <c r="V11" s="657"/>
      <c r="W11" s="657"/>
      <c r="X11" s="657"/>
      <c r="Y11" s="657"/>
      <c r="Z11" s="657"/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4">
        <v>9</v>
      </c>
    </row>
    <row r="12" spans="1:46" ht="13">
      <c r="A12" s="654">
        <v>10</v>
      </c>
      <c r="B12" s="658" t="str">
        <f ca="1">'2034'!$D$1</f>
        <v>2034</v>
      </c>
      <c r="C12" s="667">
        <f ca="1">IF('퇴직때까지의 총연봉액'!C12="","",G12*I12%*F12*AT12)</f>
        <v>0</v>
      </c>
      <c r="D12" s="668">
        <f ca="1">IF('퇴직때까지의 총연봉액'!C12="","",D11)</f>
        <v>0.02</v>
      </c>
      <c r="E12" s="671">
        <f ca="1">IF('퇴직때까지의 총연봉액'!C12="","",ROUND(PV(D12,A12-1,,-C12),-1))</f>
        <v>0</v>
      </c>
      <c r="F12" s="901">
        <v>1.7160000000000002E-2</v>
      </c>
      <c r="G12" s="654">
        <f ca="1">IF('퇴직때까지의 총연봉액'!C12="","",AVERAGE(J12:AS12))</f>
        <v>0</v>
      </c>
      <c r="H12" s="896" t="e">
        <f ca="1">G12/S12</f>
        <v>#DIV/0!</v>
      </c>
      <c r="I12" s="658">
        <v>82.45</v>
      </c>
      <c r="J12" s="654">
        <f ca="1">IF('퇴직때까지의 총연봉액'!C12="","",$J11*(1+$D12))</f>
        <v>0</v>
      </c>
      <c r="K12" s="654">
        <f ca="1">IF('퇴직때까지의 총연봉액'!C12="","",K11*(1+$D12))</f>
        <v>0</v>
      </c>
      <c r="L12" s="654">
        <f ca="1">IF('퇴직때까지의 총연봉액'!C12="","",L11*(1+$D12))</f>
        <v>0</v>
      </c>
      <c r="M12" s="654">
        <f ca="1">IF('퇴직때까지의 총연봉액'!C12="","",M11*(1+$D12))</f>
        <v>0</v>
      </c>
      <c r="N12" s="654">
        <f ca="1">IF('퇴직때까지의 총연봉액'!C12="","",N11*(1+$D12))</f>
        <v>0</v>
      </c>
      <c r="O12" s="654">
        <f ca="1">IF('퇴직때까지의 총연봉액'!C12="","",O11*(1+$D12))</f>
        <v>0</v>
      </c>
      <c r="P12" s="654">
        <f ca="1">IF('퇴직때까지의 총연봉액'!C12="","",P11*(1+$D12))</f>
        <v>0</v>
      </c>
      <c r="Q12" s="654">
        <f ca="1">IF('퇴직때까지의 총연봉액'!C12="","",Q11*(1+$D12))</f>
        <v>0</v>
      </c>
      <c r="R12" s="654">
        <f ca="1">IF('퇴직때까지의 총연봉액'!C12="","",R11*(1+$D12))</f>
        <v>0</v>
      </c>
      <c r="S12" s="659">
        <f>IF('2025'!$E$2=0,0,기준소득월액추정표!P12)*$H$1</f>
        <v>0</v>
      </c>
      <c r="T12" s="657"/>
      <c r="U12" s="657"/>
      <c r="V12" s="657"/>
      <c r="W12" s="657"/>
      <c r="X12" s="657"/>
      <c r="Y12" s="657"/>
      <c r="Z12" s="657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4">
        <v>10</v>
      </c>
    </row>
    <row r="13" spans="1:46" ht="13">
      <c r="A13" s="654">
        <v>11</v>
      </c>
      <c r="B13" s="658" t="str">
        <f ca="1">'2035'!$D$1</f>
        <v>2035</v>
      </c>
      <c r="C13" s="667">
        <f ca="1">IF('퇴직때까지의 총연봉액'!C13="","",G13*I13%*F13*AT13)</f>
        <v>0</v>
      </c>
      <c r="D13" s="668">
        <f ca="1">IF('퇴직때까지의 총연봉액'!C13="","",D12)</f>
        <v>0.02</v>
      </c>
      <c r="E13" s="671">
        <f ca="1">IF('퇴직때까지의 총연봉액'!C13="","",ROUND(PV(D13,A13-1,,-C13),-1))</f>
        <v>0</v>
      </c>
      <c r="F13" s="901">
        <v>1.712E-2</v>
      </c>
      <c r="G13" s="654">
        <f ca="1">IF('퇴직때까지의 총연봉액'!C13="","",AVERAGE(J13:AS13))</f>
        <v>0</v>
      </c>
      <c r="H13" s="896" t="e">
        <f ca="1">G13/T13</f>
        <v>#DIV/0!</v>
      </c>
      <c r="I13" s="658">
        <v>82.89</v>
      </c>
      <c r="J13" s="654">
        <f ca="1">IF('퇴직때까지의 총연봉액'!C13="","",$J12*(1+$D13))</f>
        <v>0</v>
      </c>
      <c r="K13" s="654">
        <f ca="1">IF('퇴직때까지의 총연봉액'!C13="","",K12*(1+$D13))</f>
        <v>0</v>
      </c>
      <c r="L13" s="654">
        <f ca="1">IF('퇴직때까지의 총연봉액'!C13="","",L12*(1+$D13))</f>
        <v>0</v>
      </c>
      <c r="M13" s="654">
        <f ca="1">IF('퇴직때까지의 총연봉액'!C13="","",M12*(1+$D13))</f>
        <v>0</v>
      </c>
      <c r="N13" s="654">
        <f ca="1">IF('퇴직때까지의 총연봉액'!C13="","",N12*(1+$D13))</f>
        <v>0</v>
      </c>
      <c r="O13" s="654">
        <f ca="1">IF('퇴직때까지의 총연봉액'!C13="","",O12*(1+$D13))</f>
        <v>0</v>
      </c>
      <c r="P13" s="654">
        <f ca="1">IF('퇴직때까지의 총연봉액'!C13="","",P12*(1+$D13))</f>
        <v>0</v>
      </c>
      <c r="Q13" s="654">
        <f ca="1">IF('퇴직때까지의 총연봉액'!C13="","",Q12*(1+$D13))</f>
        <v>0</v>
      </c>
      <c r="R13" s="654">
        <f ca="1">IF('퇴직때까지의 총연봉액'!C13="","",R12*(1+$D13))</f>
        <v>0</v>
      </c>
      <c r="S13" s="654">
        <f ca="1">IF('퇴직때까지의 총연봉액'!C13="","",S12*(1+$D13))</f>
        <v>0</v>
      </c>
      <c r="T13" s="659">
        <f>IF('2025'!$E$2=0,0,기준소득월액추정표!P13)*$H$1</f>
        <v>0</v>
      </c>
      <c r="U13" s="657"/>
      <c r="V13" s="657"/>
      <c r="W13" s="657"/>
      <c r="X13" s="657"/>
      <c r="Y13" s="657"/>
      <c r="Z13" s="657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4">
        <v>11</v>
      </c>
    </row>
    <row r="14" spans="1:46" ht="13">
      <c r="A14" s="654">
        <v>12</v>
      </c>
      <c r="B14" s="658" t="str">
        <f ca="1">'2036'!$D$1</f>
        <v>2036</v>
      </c>
      <c r="C14" s="667">
        <f ca="1">IF('퇴직때까지의 총연봉액'!C14="","",G14*I14%*F14*AT14)</f>
        <v>0</v>
      </c>
      <c r="D14" s="668">
        <f ca="1">IF('퇴직때까지의 총연봉액'!C14="","",D13)</f>
        <v>0.02</v>
      </c>
      <c r="E14" s="671">
        <f ca="1">IF('퇴직때까지의 총연봉액'!C14="","",ROUND(PV(D14,A14-1,,-C14),-1))</f>
        <v>0</v>
      </c>
      <c r="F14" s="901">
        <v>1.7080000000000001E-2</v>
      </c>
      <c r="G14" s="654">
        <f ca="1">IF('퇴직때까지의 총연봉액'!C14="","",AVERAGE(J14:AS14))</f>
        <v>0</v>
      </c>
      <c r="H14" s="896" t="e">
        <f ca="1">G14/U14</f>
        <v>#DIV/0!</v>
      </c>
      <c r="I14" s="658">
        <v>83.7</v>
      </c>
      <c r="J14" s="654">
        <f ca="1">IF('퇴직때까지의 총연봉액'!C14="","",$J13*(1+$D14))</f>
        <v>0</v>
      </c>
      <c r="K14" s="654">
        <f ca="1">IF('퇴직때까지의 총연봉액'!C14="","",K13*(1+$D14))</f>
        <v>0</v>
      </c>
      <c r="L14" s="654">
        <f ca="1">IF('퇴직때까지의 총연봉액'!C14="","",L13*(1+$D14))</f>
        <v>0</v>
      </c>
      <c r="M14" s="654">
        <f ca="1">IF('퇴직때까지의 총연봉액'!C14="","",M13*(1+$D14))</f>
        <v>0</v>
      </c>
      <c r="N14" s="654">
        <f ca="1">IF('퇴직때까지의 총연봉액'!C14="","",N13*(1+$D14))</f>
        <v>0</v>
      </c>
      <c r="O14" s="654">
        <f ca="1">IF('퇴직때까지의 총연봉액'!C14="","",O13*(1+$D14))</f>
        <v>0</v>
      </c>
      <c r="P14" s="654">
        <f ca="1">IF('퇴직때까지의 총연봉액'!C14="","",P13*(1+$D14))</f>
        <v>0</v>
      </c>
      <c r="Q14" s="654">
        <f ca="1">IF('퇴직때까지의 총연봉액'!C14="","",Q13*(1+$D14))</f>
        <v>0</v>
      </c>
      <c r="R14" s="654">
        <f ca="1">IF('퇴직때까지의 총연봉액'!C14="","",R13*(1+$D14))</f>
        <v>0</v>
      </c>
      <c r="S14" s="654">
        <f ca="1">IF('퇴직때까지의 총연봉액'!C14="","",S13*(1+$D14))</f>
        <v>0</v>
      </c>
      <c r="T14" s="654">
        <f ca="1">IF('퇴직때까지의 총연봉액'!C14="","",T13*(1+$D14))</f>
        <v>0</v>
      </c>
      <c r="U14" s="659">
        <f>IF('2025'!$E$2=0,0,기준소득월액추정표!P14)*$H$1</f>
        <v>0</v>
      </c>
      <c r="V14" s="657"/>
      <c r="W14" s="657"/>
      <c r="X14" s="657"/>
      <c r="Y14" s="657"/>
      <c r="Z14" s="657"/>
      <c r="AA14" s="657"/>
      <c r="AB14" s="657"/>
      <c r="AC14" s="657"/>
      <c r="AD14" s="657"/>
      <c r="AE14" s="657"/>
      <c r="AF14" s="657"/>
      <c r="AG14" s="657"/>
      <c r="AH14" s="657"/>
      <c r="AI14" s="657"/>
      <c r="AJ14" s="657"/>
      <c r="AK14" s="657"/>
      <c r="AL14" s="657"/>
      <c r="AM14" s="657"/>
      <c r="AN14" s="657"/>
      <c r="AO14" s="657"/>
      <c r="AP14" s="657"/>
      <c r="AQ14" s="657"/>
      <c r="AR14" s="657"/>
      <c r="AS14" s="657"/>
      <c r="AT14" s="654">
        <v>12</v>
      </c>
    </row>
    <row r="15" spans="1:46" ht="13">
      <c r="A15" s="654">
        <v>13</v>
      </c>
      <c r="B15" s="658" t="str">
        <f ca="1">'2037'!$D$1</f>
        <v>2037</v>
      </c>
      <c r="C15" s="667">
        <f ca="1">IF('퇴직때까지의 총연봉액'!C15="","",G15*I15%*F15*AT15)</f>
        <v>0</v>
      </c>
      <c r="D15" s="668">
        <f ca="1">IF('퇴직때까지의 총연봉액'!C15="","",D14)</f>
        <v>0.02</v>
      </c>
      <c r="E15" s="671">
        <f ca="1">IF('퇴직때까지의 총연봉액'!C15="","",ROUND(PV(D15,A15-1,,-C15),-1))</f>
        <v>0</v>
      </c>
      <c r="F15" s="901">
        <v>1.704E-2</v>
      </c>
      <c r="G15" s="654">
        <f ca="1">IF('퇴직때까지의 총연봉액'!C15="","",AVERAGE(J15:AS15))</f>
        <v>0</v>
      </c>
      <c r="H15" s="896" t="e">
        <f ca="1">G15/V15</f>
        <v>#DIV/0!</v>
      </c>
      <c r="I15" s="658">
        <v>84.62</v>
      </c>
      <c r="J15" s="654">
        <f ca="1">IF('퇴직때까지의 총연봉액'!C15="","",$J14*(1+$D15))</f>
        <v>0</v>
      </c>
      <c r="K15" s="654">
        <f ca="1">IF('퇴직때까지의 총연봉액'!C15="","",K14*(1+$D15))</f>
        <v>0</v>
      </c>
      <c r="L15" s="654">
        <f ca="1">IF('퇴직때까지의 총연봉액'!C15="","",L14*(1+$D15))</f>
        <v>0</v>
      </c>
      <c r="M15" s="654">
        <f ca="1">IF('퇴직때까지의 총연봉액'!C15="","",M14*(1+$D15))</f>
        <v>0</v>
      </c>
      <c r="N15" s="654">
        <f ca="1">IF('퇴직때까지의 총연봉액'!C15="","",N14*(1+$D15))</f>
        <v>0</v>
      </c>
      <c r="O15" s="654">
        <f ca="1">IF('퇴직때까지의 총연봉액'!C15="","",O14*(1+$D15))</f>
        <v>0</v>
      </c>
      <c r="P15" s="654">
        <f ca="1">IF('퇴직때까지의 총연봉액'!C15="","",P14*(1+$D15))</f>
        <v>0</v>
      </c>
      <c r="Q15" s="654">
        <f ca="1">IF('퇴직때까지의 총연봉액'!C15="","",Q14*(1+$D15))</f>
        <v>0</v>
      </c>
      <c r="R15" s="654">
        <f ca="1">IF('퇴직때까지의 총연봉액'!C15="","",R14*(1+$D15))</f>
        <v>0</v>
      </c>
      <c r="S15" s="654">
        <f ca="1">IF('퇴직때까지의 총연봉액'!C15="","",S14*(1+$D15))</f>
        <v>0</v>
      </c>
      <c r="T15" s="654">
        <f ca="1">IF('퇴직때까지의 총연봉액'!C15="","",T14*(1+$D15))</f>
        <v>0</v>
      </c>
      <c r="U15" s="654">
        <f ca="1">IF('퇴직때까지의 총연봉액'!C15="","",U14*(1+$D15))</f>
        <v>0</v>
      </c>
      <c r="V15" s="659">
        <f>IF('2025'!$E$2=0,0,기준소득월액추정표!P15)*$H$1</f>
        <v>0</v>
      </c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4">
        <v>13</v>
      </c>
    </row>
    <row r="16" spans="1:46" ht="13">
      <c r="A16" s="654">
        <v>14</v>
      </c>
      <c r="B16" s="658" t="str">
        <f ca="1">'2038'!$D$1</f>
        <v>2038</v>
      </c>
      <c r="C16" s="667">
        <f ca="1">IF('퇴직때까지의 총연봉액'!C16="","",G16*I16%*F16*AT16)</f>
        <v>0</v>
      </c>
      <c r="D16" s="668">
        <f ca="1">IF('퇴직때까지의 총연봉액'!C16="","",D15)</f>
        <v>0.02</v>
      </c>
      <c r="E16" s="671">
        <f ca="1">IF('퇴직때까지의 총연봉액'!C16="","",ROUND(PV(D16,A16-1,,-C16),-1))</f>
        <v>0</v>
      </c>
      <c r="F16" s="901">
        <v>1.7000000000000001E-2</v>
      </c>
      <c r="G16" s="654">
        <f ca="1">IF('퇴직때까지의 총연봉액'!C16="","",AVERAGE(J16:AS16))</f>
        <v>0</v>
      </c>
      <c r="H16" s="896" t="e">
        <f ca="1">G16/W16</f>
        <v>#DIV/0!</v>
      </c>
      <c r="I16" s="658">
        <v>85.65</v>
      </c>
      <c r="J16" s="654">
        <f ca="1">IF('퇴직때까지의 총연봉액'!C16="","",$J15*(1+$D16))</f>
        <v>0</v>
      </c>
      <c r="K16" s="654">
        <f ca="1">IF('퇴직때까지의 총연봉액'!C16="","",K15*(1+$D16))</f>
        <v>0</v>
      </c>
      <c r="L16" s="654">
        <f ca="1">IF('퇴직때까지의 총연봉액'!C16="","",L15*(1+$D16))</f>
        <v>0</v>
      </c>
      <c r="M16" s="654">
        <f ca="1">IF('퇴직때까지의 총연봉액'!C16="","",M15*(1+$D16))</f>
        <v>0</v>
      </c>
      <c r="N16" s="654">
        <f ca="1">IF('퇴직때까지의 총연봉액'!C16="","",N15*(1+$D16))</f>
        <v>0</v>
      </c>
      <c r="O16" s="654">
        <f ca="1">IF('퇴직때까지의 총연봉액'!C16="","",O15*(1+$D16))</f>
        <v>0</v>
      </c>
      <c r="P16" s="654">
        <f ca="1">IF('퇴직때까지의 총연봉액'!C16="","",P15*(1+$D16))</f>
        <v>0</v>
      </c>
      <c r="Q16" s="654">
        <f ca="1">IF('퇴직때까지의 총연봉액'!C16="","",Q15*(1+$D16))</f>
        <v>0</v>
      </c>
      <c r="R16" s="654">
        <f ca="1">IF('퇴직때까지의 총연봉액'!C16="","",R15*(1+$D16))</f>
        <v>0</v>
      </c>
      <c r="S16" s="654">
        <f ca="1">IF('퇴직때까지의 총연봉액'!C16="","",S15*(1+$D16))</f>
        <v>0</v>
      </c>
      <c r="T16" s="654">
        <f ca="1">IF('퇴직때까지의 총연봉액'!C16="","",T15*(1+$D16))</f>
        <v>0</v>
      </c>
      <c r="U16" s="654">
        <f ca="1">IF('퇴직때까지의 총연봉액'!C16="","",U15*(1+$D16))</f>
        <v>0</v>
      </c>
      <c r="V16" s="654">
        <f ca="1">IF('퇴직때까지의 총연봉액'!C16="","",V15*(1+$D16))</f>
        <v>0</v>
      </c>
      <c r="W16" s="659">
        <f>IF('2025'!$E$2=0,0,기준소득월액추정표!P16)*$H$1</f>
        <v>0</v>
      </c>
      <c r="X16" s="657"/>
      <c r="Y16" s="657"/>
      <c r="Z16" s="657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4">
        <v>14</v>
      </c>
    </row>
    <row r="17" spans="1:46" ht="13">
      <c r="A17" s="654">
        <v>15</v>
      </c>
      <c r="B17" s="658" t="str">
        <f ca="1">'2039'!$D$1</f>
        <v>2039</v>
      </c>
      <c r="C17" s="667">
        <f ca="1">IF('퇴직때까지의 총연봉액'!C17="","",G17*I17%*F17*AT17)</f>
        <v>0</v>
      </c>
      <c r="D17" s="668">
        <f ca="1">IF('퇴직때까지의 총연봉액'!C17="","",D16)</f>
        <v>0.02</v>
      </c>
      <c r="E17" s="671">
        <f ca="1">IF('퇴직때까지의 총연봉액'!C17="","",ROUND(PV(D17,A17-1,,-C17),-1))</f>
        <v>0</v>
      </c>
      <c r="F17" s="901">
        <v>1.7000000000000001E-2</v>
      </c>
      <c r="G17" s="654">
        <f ca="1">IF('퇴직때까지의 총연봉액'!C17="","",AVERAGE(J17:AS17))</f>
        <v>0</v>
      </c>
      <c r="H17" s="896" t="e">
        <f ca="1">G17/X17</f>
        <v>#DIV/0!</v>
      </c>
      <c r="I17" s="658">
        <v>86.7</v>
      </c>
      <c r="J17" s="654">
        <f ca="1">IF('퇴직때까지의 총연봉액'!C17="","",$J16*(1+$D17))</f>
        <v>0</v>
      </c>
      <c r="K17" s="654">
        <f ca="1">IF('퇴직때까지의 총연봉액'!C17="","",K16*(1+$D17))</f>
        <v>0</v>
      </c>
      <c r="L17" s="654">
        <f ca="1">IF('퇴직때까지의 총연봉액'!C17="","",L16*(1+$D17))</f>
        <v>0</v>
      </c>
      <c r="M17" s="654">
        <f ca="1">IF('퇴직때까지의 총연봉액'!C17="","",M16*(1+$D17))</f>
        <v>0</v>
      </c>
      <c r="N17" s="654">
        <f ca="1">IF('퇴직때까지의 총연봉액'!C17="","",N16*(1+$D17))</f>
        <v>0</v>
      </c>
      <c r="O17" s="654">
        <f ca="1">IF('퇴직때까지의 총연봉액'!C17="","",O16*(1+$D17))</f>
        <v>0</v>
      </c>
      <c r="P17" s="654">
        <f ca="1">IF('퇴직때까지의 총연봉액'!C17="","",P16*(1+$D17))</f>
        <v>0</v>
      </c>
      <c r="Q17" s="654">
        <f ca="1">IF('퇴직때까지의 총연봉액'!C17="","",Q16*(1+$D17))</f>
        <v>0</v>
      </c>
      <c r="R17" s="654">
        <f ca="1">IF('퇴직때까지의 총연봉액'!C17="","",R16*(1+$D17))</f>
        <v>0</v>
      </c>
      <c r="S17" s="654">
        <f ca="1">IF('퇴직때까지의 총연봉액'!C17="","",S16*(1+$D17))</f>
        <v>0</v>
      </c>
      <c r="T17" s="654">
        <f ca="1">IF('퇴직때까지의 총연봉액'!C17="","",T16*(1+$D17))</f>
        <v>0</v>
      </c>
      <c r="U17" s="654">
        <f ca="1">IF('퇴직때까지의 총연봉액'!C17="","",U16*(1+$D17))</f>
        <v>0</v>
      </c>
      <c r="V17" s="654">
        <f ca="1">IF('퇴직때까지의 총연봉액'!C17="","",V16*(1+$D17))</f>
        <v>0</v>
      </c>
      <c r="W17" s="654">
        <f ca="1">IF('퇴직때까지의 총연봉액'!C17="","",W16*(1+$D17))</f>
        <v>0</v>
      </c>
      <c r="X17" s="659">
        <f>IF('2025'!$E$2=0,0,기준소득월액추정표!P17)*$H$1</f>
        <v>0</v>
      </c>
      <c r="Y17" s="657"/>
      <c r="Z17" s="657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4">
        <v>15</v>
      </c>
    </row>
    <row r="18" spans="1:46" ht="13">
      <c r="A18" s="654">
        <v>16</v>
      </c>
      <c r="B18" s="658" t="str">
        <f ca="1">'2040'!$D$1</f>
        <v>2040</v>
      </c>
      <c r="C18" s="667">
        <f ca="1">IF('퇴직때까지의 총연봉액'!C18="","",G18*I18%*F18*AT18)</f>
        <v>0</v>
      </c>
      <c r="D18" s="668">
        <f ca="1">IF('퇴직때까지의 총연봉액'!C18="","",D17)</f>
        <v>0.02</v>
      </c>
      <c r="E18" s="671">
        <f ca="1">IF('퇴직때까지의 총연봉액'!C18="","",ROUND(PV(D18,A18-1,,-C18),-1))</f>
        <v>0</v>
      </c>
      <c r="F18" s="901">
        <v>1.7000000000000001E-2</v>
      </c>
      <c r="G18" s="654">
        <f ca="1">IF('퇴직때까지의 총연봉액'!C18="","",AVERAGE(J18:AS18))</f>
        <v>0</v>
      </c>
      <c r="H18" s="896" t="e">
        <f ca="1">G18/Y18</f>
        <v>#DIV/0!</v>
      </c>
      <c r="I18" s="658">
        <v>87.89</v>
      </c>
      <c r="J18" s="654">
        <f ca="1">IF('퇴직때까지의 총연봉액'!C18="","",$J17*(1+$D18))</f>
        <v>0</v>
      </c>
      <c r="K18" s="654">
        <f ca="1">IF('퇴직때까지의 총연봉액'!C18="","",K17*(1+$D18))</f>
        <v>0</v>
      </c>
      <c r="L18" s="654">
        <f ca="1">IF('퇴직때까지의 총연봉액'!C18="","",L17*(1+$D18))</f>
        <v>0</v>
      </c>
      <c r="M18" s="654">
        <f ca="1">IF('퇴직때까지의 총연봉액'!C18="","",M17*(1+$D18))</f>
        <v>0</v>
      </c>
      <c r="N18" s="654">
        <f ca="1">IF('퇴직때까지의 총연봉액'!C18="","",N17*(1+$D18))</f>
        <v>0</v>
      </c>
      <c r="O18" s="654">
        <f ca="1">IF('퇴직때까지의 총연봉액'!C18="","",O17*(1+$D18))</f>
        <v>0</v>
      </c>
      <c r="P18" s="654">
        <f ca="1">IF('퇴직때까지의 총연봉액'!C18="","",P17*(1+$D18))</f>
        <v>0</v>
      </c>
      <c r="Q18" s="654">
        <f ca="1">IF('퇴직때까지의 총연봉액'!C18="","",Q17*(1+$D18))</f>
        <v>0</v>
      </c>
      <c r="R18" s="654">
        <f ca="1">IF('퇴직때까지의 총연봉액'!C18="","",R17*(1+$D18))</f>
        <v>0</v>
      </c>
      <c r="S18" s="654">
        <f ca="1">IF('퇴직때까지의 총연봉액'!C18="","",S17*(1+$D18))</f>
        <v>0</v>
      </c>
      <c r="T18" s="654">
        <f ca="1">IF('퇴직때까지의 총연봉액'!C18="","",T17*(1+$D18))</f>
        <v>0</v>
      </c>
      <c r="U18" s="654">
        <f ca="1">IF('퇴직때까지의 총연봉액'!C18="","",U17*(1+$D18))</f>
        <v>0</v>
      </c>
      <c r="V18" s="654">
        <f ca="1">IF('퇴직때까지의 총연봉액'!C18="","",V17*(1+$D18))</f>
        <v>0</v>
      </c>
      <c r="W18" s="654">
        <f ca="1">IF('퇴직때까지의 총연봉액'!C18="","",W17*(1+$D18))</f>
        <v>0</v>
      </c>
      <c r="X18" s="654">
        <f ca="1">IF('퇴직때까지의 총연봉액'!C18="","",X17*(1+$D18))</f>
        <v>0</v>
      </c>
      <c r="Y18" s="659">
        <f>IF('2025'!$E$2=0,0,기준소득월액추정표!P18)*$H$1</f>
        <v>0</v>
      </c>
      <c r="Z18" s="657"/>
      <c r="AA18" s="657"/>
      <c r="AB18" s="657"/>
      <c r="AC18" s="657"/>
      <c r="AD18" s="657"/>
      <c r="AE18" s="657"/>
      <c r="AF18" s="657"/>
      <c r="AG18" s="657"/>
      <c r="AH18" s="657"/>
      <c r="AI18" s="657"/>
      <c r="AJ18" s="657"/>
      <c r="AK18" s="657"/>
      <c r="AL18" s="657"/>
      <c r="AM18" s="657"/>
      <c r="AN18" s="657"/>
      <c r="AO18" s="657"/>
      <c r="AP18" s="657"/>
      <c r="AQ18" s="657"/>
      <c r="AR18" s="657"/>
      <c r="AS18" s="657"/>
      <c r="AT18" s="654">
        <v>16</v>
      </c>
    </row>
    <row r="19" spans="1:46" ht="13">
      <c r="A19" s="654">
        <v>17</v>
      </c>
      <c r="B19" s="658" t="str">
        <f ca="1">'2041'!$D$1</f>
        <v>2041</v>
      </c>
      <c r="C19" s="667">
        <f ca="1">IF('퇴직때까지의 총연봉액'!C19="","",G19*I19%*F19*AT19)</f>
        <v>0</v>
      </c>
      <c r="D19" s="668">
        <f ca="1">IF('퇴직때까지의 총연봉액'!C19="","",D18)</f>
        <v>0.02</v>
      </c>
      <c r="E19" s="671">
        <f ca="1">IF('퇴직때까지의 총연봉액'!C19="","",ROUND(PV(D19,A19-1,,-C19),-1))</f>
        <v>0</v>
      </c>
      <c r="F19" s="901">
        <v>1.7000000000000001E-2</v>
      </c>
      <c r="G19" s="654">
        <f ca="1">IF('퇴직때까지의 총연봉액'!C19="","",AVERAGE(J19:AS19))</f>
        <v>0</v>
      </c>
      <c r="H19" s="896" t="e">
        <f ca="1">G19/Z19</f>
        <v>#DIV/0!</v>
      </c>
      <c r="I19" s="658">
        <v>89</v>
      </c>
      <c r="J19" s="654">
        <f ca="1">IF('퇴직때까지의 총연봉액'!C19="","",$J18*(1+$D19))</f>
        <v>0</v>
      </c>
      <c r="K19" s="654">
        <f ca="1">IF('퇴직때까지의 총연봉액'!C19="","",K18*(1+$D19))</f>
        <v>0</v>
      </c>
      <c r="L19" s="654">
        <f ca="1">IF('퇴직때까지의 총연봉액'!C19="","",L18*(1+$D19))</f>
        <v>0</v>
      </c>
      <c r="M19" s="654">
        <f ca="1">IF('퇴직때까지의 총연봉액'!C19="","",M18*(1+$D19))</f>
        <v>0</v>
      </c>
      <c r="N19" s="654">
        <f ca="1">IF('퇴직때까지의 총연봉액'!C19="","",N18*(1+$D19))</f>
        <v>0</v>
      </c>
      <c r="O19" s="654">
        <f ca="1">IF('퇴직때까지의 총연봉액'!C19="","",O18*(1+$D19))</f>
        <v>0</v>
      </c>
      <c r="P19" s="654">
        <f ca="1">IF('퇴직때까지의 총연봉액'!C19="","",P18*(1+$D19))</f>
        <v>0</v>
      </c>
      <c r="Q19" s="654">
        <f ca="1">IF('퇴직때까지의 총연봉액'!C19="","",Q18*(1+$D19))</f>
        <v>0</v>
      </c>
      <c r="R19" s="654">
        <f ca="1">IF('퇴직때까지의 총연봉액'!C19="","",R18*(1+$D19))</f>
        <v>0</v>
      </c>
      <c r="S19" s="654">
        <f ca="1">IF('퇴직때까지의 총연봉액'!C19="","",S18*(1+$D19))</f>
        <v>0</v>
      </c>
      <c r="T19" s="654">
        <f ca="1">IF('퇴직때까지의 총연봉액'!C19="","",T18*(1+$D19))</f>
        <v>0</v>
      </c>
      <c r="U19" s="654">
        <f ca="1">IF('퇴직때까지의 총연봉액'!C19="","",U18*(1+$D19))</f>
        <v>0</v>
      </c>
      <c r="V19" s="654">
        <f ca="1">IF('퇴직때까지의 총연봉액'!C19="","",V18*(1+$D19))</f>
        <v>0</v>
      </c>
      <c r="W19" s="654">
        <f ca="1">IF('퇴직때까지의 총연봉액'!C19="","",W18*(1+$D19))</f>
        <v>0</v>
      </c>
      <c r="X19" s="654">
        <f ca="1">IF('퇴직때까지의 총연봉액'!C19="","",X18*(1+$D19))</f>
        <v>0</v>
      </c>
      <c r="Y19" s="654">
        <f ca="1">IF('퇴직때까지의 총연봉액'!C19="","",Y18*(1+$D19))</f>
        <v>0</v>
      </c>
      <c r="Z19" s="659">
        <f>IF('2025'!$E$2=0,0,기준소득월액추정표!P19)*$H$1</f>
        <v>0</v>
      </c>
      <c r="AA19" s="660"/>
      <c r="AB19" s="660"/>
      <c r="AC19" s="660"/>
      <c r="AD19" s="660"/>
      <c r="AE19" s="660"/>
      <c r="AF19" s="660"/>
      <c r="AG19" s="660"/>
      <c r="AH19" s="660"/>
      <c r="AI19" s="660"/>
      <c r="AJ19" s="660"/>
      <c r="AK19" s="660"/>
      <c r="AL19" s="660"/>
      <c r="AM19" s="660"/>
      <c r="AN19" s="660"/>
      <c r="AO19" s="660"/>
      <c r="AP19" s="660"/>
      <c r="AQ19" s="660"/>
      <c r="AR19" s="660"/>
      <c r="AS19" s="660"/>
      <c r="AT19" s="654">
        <v>17</v>
      </c>
    </row>
    <row r="20" spans="1:46" ht="13">
      <c r="A20" s="654">
        <v>18</v>
      </c>
      <c r="B20" s="658" t="str">
        <f ca="1">'2042'!$D$1</f>
        <v>2042</v>
      </c>
      <c r="C20" s="667">
        <f ca="1">IF('퇴직때까지의 총연봉액'!C20="","",G20*I20%*F20*AT20)</f>
        <v>0</v>
      </c>
      <c r="D20" s="668">
        <f ca="1">IF('퇴직때까지의 총연봉액'!C20="","",D19)</f>
        <v>0.02</v>
      </c>
      <c r="E20" s="671">
        <f ca="1">IF('퇴직때까지의 총연봉액'!C20="","",ROUND(PV(D20,A20-1,,-C20),-1))</f>
        <v>0</v>
      </c>
      <c r="F20" s="901">
        <v>1.7000000000000001E-2</v>
      </c>
      <c r="G20" s="654">
        <f ca="1">IF('퇴직때까지의 총연봉액'!C20="","",AVERAGE(J20:AS20))</f>
        <v>0</v>
      </c>
      <c r="H20" s="896" t="e">
        <f ca="1">G20/AA20</f>
        <v>#DIV/0!</v>
      </c>
      <c r="I20" s="658">
        <v>90.25</v>
      </c>
      <c r="J20" s="654">
        <f ca="1">IF('퇴직때까지의 총연봉액'!C20="","",$J19*(1+$D20))</f>
        <v>0</v>
      </c>
      <c r="K20" s="654">
        <f ca="1">IF('퇴직때까지의 총연봉액'!C20="","",K19*(1+$D20))</f>
        <v>0</v>
      </c>
      <c r="L20" s="654">
        <f ca="1">IF('퇴직때까지의 총연봉액'!C20="","",L19*(1+$D20))</f>
        <v>0</v>
      </c>
      <c r="M20" s="654">
        <f ca="1">IF('퇴직때까지의 총연봉액'!C20="","",M19*(1+$D20))</f>
        <v>0</v>
      </c>
      <c r="N20" s="654">
        <f ca="1">IF('퇴직때까지의 총연봉액'!C20="","",N19*(1+$D20))</f>
        <v>0</v>
      </c>
      <c r="O20" s="654">
        <f ca="1">IF('퇴직때까지의 총연봉액'!C20="","",O19*(1+$D20))</f>
        <v>0</v>
      </c>
      <c r="P20" s="654">
        <f ca="1">IF('퇴직때까지의 총연봉액'!C20="","",P19*(1+$D20))</f>
        <v>0</v>
      </c>
      <c r="Q20" s="654">
        <f ca="1">IF('퇴직때까지의 총연봉액'!C20="","",Q19*(1+$D20))</f>
        <v>0</v>
      </c>
      <c r="R20" s="654">
        <f ca="1">IF('퇴직때까지의 총연봉액'!C20="","",R19*(1+$D20))</f>
        <v>0</v>
      </c>
      <c r="S20" s="654">
        <f ca="1">IF('퇴직때까지의 총연봉액'!C20="","",S19*(1+$D20))</f>
        <v>0</v>
      </c>
      <c r="T20" s="654">
        <f ca="1">IF('퇴직때까지의 총연봉액'!C20="","",T19*(1+$D20))</f>
        <v>0</v>
      </c>
      <c r="U20" s="654">
        <f ca="1">IF('퇴직때까지의 총연봉액'!C20="","",U19*(1+$D20))</f>
        <v>0</v>
      </c>
      <c r="V20" s="654">
        <f ca="1">IF('퇴직때까지의 총연봉액'!C20="","",V19*(1+$D20))</f>
        <v>0</v>
      </c>
      <c r="W20" s="654">
        <f ca="1">IF('퇴직때까지의 총연봉액'!C20="","",W19*(1+$D20))</f>
        <v>0</v>
      </c>
      <c r="X20" s="654">
        <f ca="1">IF('퇴직때까지의 총연봉액'!C20="","",X19*(1+$D20))</f>
        <v>0</v>
      </c>
      <c r="Y20" s="654">
        <f ca="1">IF('퇴직때까지의 총연봉액'!C20="","",Y19*(1+$D20))</f>
        <v>0</v>
      </c>
      <c r="Z20" s="654">
        <f ca="1">IF('퇴직때까지의 총연봉액'!C20="","",Z19*(1+$D20))</f>
        <v>0</v>
      </c>
      <c r="AA20" s="659">
        <f>IF('2025'!$E$2=0,0,기준소득월액추정표!P20)*$H$1</f>
        <v>0</v>
      </c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4">
        <v>18</v>
      </c>
    </row>
    <row r="21" spans="1:46" ht="13">
      <c r="A21" s="654">
        <v>19</v>
      </c>
      <c r="B21" s="658" t="str">
        <f ca="1">'2043'!$D$1</f>
        <v>2043</v>
      </c>
      <c r="C21" s="667">
        <f ca="1">IF('퇴직때까지의 총연봉액'!C21="","",G21*I21%*F21*AT21)</f>
        <v>0</v>
      </c>
      <c r="D21" s="668">
        <f ca="1">IF('퇴직때까지의 총연봉액'!C21="","",D20)</f>
        <v>0.02</v>
      </c>
      <c r="E21" s="671">
        <f ca="1">IF('퇴직때까지의 총연봉액'!C21="","",ROUND(PV(D21,A21-1,,-C21),-1))</f>
        <v>0</v>
      </c>
      <c r="F21" s="901">
        <v>1.7000000000000001E-2</v>
      </c>
      <c r="G21" s="654">
        <f ca="1">IF('퇴직때까지의 총연봉액'!C21="","",AVERAGE(J21:AS21))</f>
        <v>0</v>
      </c>
      <c r="H21" s="896" t="e">
        <f ca="1">G21/AB21</f>
        <v>#DIV/0!</v>
      </c>
      <c r="I21" s="658">
        <v>91.42</v>
      </c>
      <c r="J21" s="654">
        <f ca="1">IF('퇴직때까지의 총연봉액'!C21="","",$J20*(1+$D21))</f>
        <v>0</v>
      </c>
      <c r="K21" s="654">
        <f ca="1">IF('퇴직때까지의 총연봉액'!C21="","",K20*(1+$D21))</f>
        <v>0</v>
      </c>
      <c r="L21" s="654">
        <f ca="1">IF('퇴직때까지의 총연봉액'!C21="","",L20*(1+$D21))</f>
        <v>0</v>
      </c>
      <c r="M21" s="654">
        <f ca="1">IF('퇴직때까지의 총연봉액'!C21="","",M20*(1+$D21))</f>
        <v>0</v>
      </c>
      <c r="N21" s="654">
        <f ca="1">IF('퇴직때까지의 총연봉액'!C21="","",N20*(1+$D21))</f>
        <v>0</v>
      </c>
      <c r="O21" s="654">
        <f ca="1">IF('퇴직때까지의 총연봉액'!C21="","",O20*(1+$D21))</f>
        <v>0</v>
      </c>
      <c r="P21" s="654">
        <f ca="1">IF('퇴직때까지의 총연봉액'!C21="","",P20*(1+$D21))</f>
        <v>0</v>
      </c>
      <c r="Q21" s="654">
        <f ca="1">IF('퇴직때까지의 총연봉액'!C21="","",Q20*(1+$D21))</f>
        <v>0</v>
      </c>
      <c r="R21" s="654">
        <f ca="1">IF('퇴직때까지의 총연봉액'!C21="","",R20*(1+$D21))</f>
        <v>0</v>
      </c>
      <c r="S21" s="654">
        <f ca="1">IF('퇴직때까지의 총연봉액'!C21="","",S20*(1+$D21))</f>
        <v>0</v>
      </c>
      <c r="T21" s="654">
        <f ca="1">IF('퇴직때까지의 총연봉액'!C21="","",T20*(1+$D21))</f>
        <v>0</v>
      </c>
      <c r="U21" s="654">
        <f ca="1">IF('퇴직때까지의 총연봉액'!C21="","",U20*(1+$D21))</f>
        <v>0</v>
      </c>
      <c r="V21" s="654">
        <f ca="1">IF('퇴직때까지의 총연봉액'!C21="","",V20*(1+$D21))</f>
        <v>0</v>
      </c>
      <c r="W21" s="654">
        <f ca="1">IF('퇴직때까지의 총연봉액'!C21="","",W20*(1+$D21))</f>
        <v>0</v>
      </c>
      <c r="X21" s="654">
        <f ca="1">IF('퇴직때까지의 총연봉액'!C21="","",X20*(1+$D21))</f>
        <v>0</v>
      </c>
      <c r="Y21" s="654">
        <f ca="1">IF('퇴직때까지의 총연봉액'!C21="","",Y20*(1+$D21))</f>
        <v>0</v>
      </c>
      <c r="Z21" s="654">
        <f ca="1">IF('퇴직때까지의 총연봉액'!C21="","",Z20*(1+$D21))</f>
        <v>0</v>
      </c>
      <c r="AA21" s="654">
        <f ca="1">IF('퇴직때까지의 총연봉액'!C21="","",AA20*(1+$D21))</f>
        <v>0</v>
      </c>
      <c r="AB21" s="659">
        <f>IF('2025'!$E$2=0,0,기준소득월액추정표!P21)*$H$1</f>
        <v>0</v>
      </c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4">
        <v>19</v>
      </c>
    </row>
    <row r="22" spans="1:46" ht="13">
      <c r="A22" s="654">
        <v>20</v>
      </c>
      <c r="B22" s="658" t="str">
        <f ca="1">'2044'!$D$1</f>
        <v>2044</v>
      </c>
      <c r="C22" s="667">
        <f ca="1">IF('퇴직때까지의 총연봉액'!C22="","",G22*I22%*F22*AT22)</f>
        <v>0</v>
      </c>
      <c r="D22" s="668">
        <f ca="1">IF('퇴직때까지의 총연봉액'!C22="","",D21)</f>
        <v>0.02</v>
      </c>
      <c r="E22" s="671">
        <f ca="1">IF('퇴직때까지의 총연봉액'!C22="","",ROUND(PV(D22,A22-1,,-C22),-1))</f>
        <v>0</v>
      </c>
      <c r="F22" s="901">
        <v>1.7000000000000001E-2</v>
      </c>
      <c r="G22" s="654">
        <f ca="1">IF('퇴직때까지의 총연봉액'!C22="","",AVERAGE(J22:AS22))</f>
        <v>0</v>
      </c>
      <c r="H22" s="896" t="e">
        <f ca="1">G22/AC22</f>
        <v>#DIV/0!</v>
      </c>
      <c r="I22" s="658">
        <v>92.52</v>
      </c>
      <c r="J22" s="654">
        <f ca="1">IF('퇴직때까지의 총연봉액'!C22="","",$J21*(1+$D22))</f>
        <v>0</v>
      </c>
      <c r="K22" s="654">
        <f ca="1">IF('퇴직때까지의 총연봉액'!C22="","",K21*(1+$D22))</f>
        <v>0</v>
      </c>
      <c r="L22" s="654">
        <f ca="1">IF('퇴직때까지의 총연봉액'!C22="","",L21*(1+$D22))</f>
        <v>0</v>
      </c>
      <c r="M22" s="654">
        <f ca="1">IF('퇴직때까지의 총연봉액'!C22="","",M21*(1+$D22))</f>
        <v>0</v>
      </c>
      <c r="N22" s="654">
        <f ca="1">IF('퇴직때까지의 총연봉액'!C22="","",N21*(1+$D22))</f>
        <v>0</v>
      </c>
      <c r="O22" s="654">
        <f ca="1">IF('퇴직때까지의 총연봉액'!C22="","",O21*(1+$D22))</f>
        <v>0</v>
      </c>
      <c r="P22" s="654">
        <f ca="1">IF('퇴직때까지의 총연봉액'!C22="","",P21*(1+$D22))</f>
        <v>0</v>
      </c>
      <c r="Q22" s="654">
        <f ca="1">IF('퇴직때까지의 총연봉액'!C22="","",Q21*(1+$D22))</f>
        <v>0</v>
      </c>
      <c r="R22" s="654">
        <f ca="1">IF('퇴직때까지의 총연봉액'!C22="","",R21*(1+$D22))</f>
        <v>0</v>
      </c>
      <c r="S22" s="654">
        <f ca="1">IF('퇴직때까지의 총연봉액'!C22="","",S21*(1+$D22))</f>
        <v>0</v>
      </c>
      <c r="T22" s="654">
        <f ca="1">IF('퇴직때까지의 총연봉액'!C22="","",T21*(1+$D22))</f>
        <v>0</v>
      </c>
      <c r="U22" s="654">
        <f ca="1">IF('퇴직때까지의 총연봉액'!C22="","",U21*(1+$D22))</f>
        <v>0</v>
      </c>
      <c r="V22" s="654">
        <f ca="1">IF('퇴직때까지의 총연봉액'!C22="","",V21*(1+$D22))</f>
        <v>0</v>
      </c>
      <c r="W22" s="654">
        <f ca="1">IF('퇴직때까지의 총연봉액'!C22="","",W21*(1+$D22))</f>
        <v>0</v>
      </c>
      <c r="X22" s="654">
        <f ca="1">IF('퇴직때까지의 총연봉액'!C22="","",X21*(1+$D22))</f>
        <v>0</v>
      </c>
      <c r="Y22" s="654">
        <f ca="1">IF('퇴직때까지의 총연봉액'!C22="","",Y21*(1+$D22))</f>
        <v>0</v>
      </c>
      <c r="Z22" s="654">
        <f ca="1">IF('퇴직때까지의 총연봉액'!C22="","",Z21*(1+$D22))</f>
        <v>0</v>
      </c>
      <c r="AA22" s="654">
        <f ca="1">IF('퇴직때까지의 총연봉액'!C22="","",AA21*(1+$D22))</f>
        <v>0</v>
      </c>
      <c r="AB22" s="654">
        <f ca="1">IF('퇴직때까지의 총연봉액'!C22="","",AB21*(1+$D22))</f>
        <v>0</v>
      </c>
      <c r="AC22" s="659">
        <f>IF('2025'!$E$2=0,0,기준소득월액추정표!P22)*$H$1</f>
        <v>0</v>
      </c>
      <c r="AD22" s="657"/>
      <c r="AE22" s="657"/>
      <c r="AF22" s="657"/>
      <c r="AG22" s="657"/>
      <c r="AH22" s="657"/>
      <c r="AI22" s="657"/>
      <c r="AJ22" s="657"/>
      <c r="AK22" s="657"/>
      <c r="AL22" s="657"/>
      <c r="AM22" s="657"/>
      <c r="AN22" s="657"/>
      <c r="AO22" s="657"/>
      <c r="AP22" s="657"/>
      <c r="AQ22" s="657"/>
      <c r="AR22" s="657"/>
      <c r="AS22" s="657"/>
      <c r="AT22" s="654">
        <v>20</v>
      </c>
    </row>
    <row r="23" spans="1:46" ht="13">
      <c r="A23" s="654">
        <v>21</v>
      </c>
      <c r="B23" s="658" t="str">
        <f ca="1">'2045'!$D$1</f>
        <v>2045</v>
      </c>
      <c r="C23" s="667">
        <f ca="1">IF('퇴직때까지의 총연봉액'!C23="","",G23*I23%*F23*AT23)</f>
        <v>0</v>
      </c>
      <c r="D23" s="668">
        <f ca="1">IF('퇴직때까지의 총연봉액'!C23="","",D22)</f>
        <v>0.02</v>
      </c>
      <c r="E23" s="671">
        <f ca="1">IF('퇴직때까지의 총연봉액'!C23="","",ROUND(PV(D23,A23-1,,-C23),-1))</f>
        <v>0</v>
      </c>
      <c r="F23" s="901">
        <v>1.7000000000000001E-2</v>
      </c>
      <c r="G23" s="654">
        <f ca="1">IF('퇴직때까지의 총연봉액'!C23="","",AVERAGE(J23:AS23))</f>
        <v>0</v>
      </c>
      <c r="H23" s="896" t="e">
        <f ca="1">G23/AD23</f>
        <v>#DIV/0!</v>
      </c>
      <c r="I23" s="658">
        <v>92.86</v>
      </c>
      <c r="J23" s="654">
        <f ca="1">IF('퇴직때까지의 총연봉액'!C23="","",$J22*(1+$D23))</f>
        <v>0</v>
      </c>
      <c r="K23" s="654">
        <f ca="1">IF('퇴직때까지의 총연봉액'!C23="","",K22*(1+$D23))</f>
        <v>0</v>
      </c>
      <c r="L23" s="654">
        <f ca="1">IF('퇴직때까지의 총연봉액'!C23="","",L22*(1+$D23))</f>
        <v>0</v>
      </c>
      <c r="M23" s="654">
        <f ca="1">IF('퇴직때까지의 총연봉액'!C23="","",M22*(1+$D23))</f>
        <v>0</v>
      </c>
      <c r="N23" s="654">
        <f ca="1">IF('퇴직때까지의 총연봉액'!C23="","",N22*(1+$D23))</f>
        <v>0</v>
      </c>
      <c r="O23" s="654">
        <f ca="1">IF('퇴직때까지의 총연봉액'!C23="","",O22*(1+$D23))</f>
        <v>0</v>
      </c>
      <c r="P23" s="654">
        <f ca="1">IF('퇴직때까지의 총연봉액'!C23="","",P22*(1+$D23))</f>
        <v>0</v>
      </c>
      <c r="Q23" s="654">
        <f ca="1">IF('퇴직때까지의 총연봉액'!C23="","",Q22*(1+$D23))</f>
        <v>0</v>
      </c>
      <c r="R23" s="654">
        <f ca="1">IF('퇴직때까지의 총연봉액'!C23="","",R22*(1+$D23))</f>
        <v>0</v>
      </c>
      <c r="S23" s="654">
        <f ca="1">IF('퇴직때까지의 총연봉액'!C23="","",S22*(1+$D23))</f>
        <v>0</v>
      </c>
      <c r="T23" s="654">
        <f ca="1">IF('퇴직때까지의 총연봉액'!C23="","",T22*(1+$D23))</f>
        <v>0</v>
      </c>
      <c r="U23" s="654">
        <f ca="1">IF('퇴직때까지의 총연봉액'!C23="","",U22*(1+$D23))</f>
        <v>0</v>
      </c>
      <c r="V23" s="654">
        <f ca="1">IF('퇴직때까지의 총연봉액'!C23="","",V22*(1+$D23))</f>
        <v>0</v>
      </c>
      <c r="W23" s="654">
        <f ca="1">IF('퇴직때까지의 총연봉액'!C23="","",W22*(1+$D23))</f>
        <v>0</v>
      </c>
      <c r="X23" s="654">
        <f ca="1">IF('퇴직때까지의 총연봉액'!C23="","",X22*(1+$D23))</f>
        <v>0</v>
      </c>
      <c r="Y23" s="654">
        <f ca="1">IF('퇴직때까지의 총연봉액'!C23="","",Y22*(1+$D23))</f>
        <v>0</v>
      </c>
      <c r="Z23" s="654">
        <f ca="1">IF('퇴직때까지의 총연봉액'!C23="","",Z22*(1+$D23))</f>
        <v>0</v>
      </c>
      <c r="AA23" s="654">
        <f ca="1">IF('퇴직때까지의 총연봉액'!C23="","",AA22*(1+$D23))</f>
        <v>0</v>
      </c>
      <c r="AB23" s="654">
        <f ca="1">IF('퇴직때까지의 총연봉액'!C23="","",AB22*(1+$D23))</f>
        <v>0</v>
      </c>
      <c r="AC23" s="654">
        <f ca="1">IF('퇴직때까지의 총연봉액'!C23="","",AC22*(1+$D23))</f>
        <v>0</v>
      </c>
      <c r="AD23" s="659">
        <f>IF('2025'!$E$2=0,0,기준소득월액추정표!P23)*$H$1</f>
        <v>0</v>
      </c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4">
        <v>21</v>
      </c>
    </row>
    <row r="24" spans="1:46" ht="13">
      <c r="A24" s="654">
        <v>22</v>
      </c>
      <c r="B24" s="658" t="str">
        <f ca="1">'2046'!$D$1</f>
        <v>2046</v>
      </c>
      <c r="C24" s="667">
        <f ca="1">IF('퇴직때까지의 총연봉액'!C24="","",G24*I24%*F24*AT24)</f>
        <v>0</v>
      </c>
      <c r="D24" s="668">
        <f ca="1">IF('퇴직때까지의 총연봉액'!C24="","",D23)</f>
        <v>0.02</v>
      </c>
      <c r="E24" s="671">
        <f ca="1">IF('퇴직때까지의 총연봉액'!C24="","",ROUND(PV(D24,A24-1,,-C24),-1))</f>
        <v>0</v>
      </c>
      <c r="F24" s="901">
        <v>1.7000000000000001E-2</v>
      </c>
      <c r="G24" s="654">
        <f ca="1">IF('퇴직때까지의 총연봉액'!C24="","",AVERAGE(J24:AS24))</f>
        <v>0</v>
      </c>
      <c r="H24" s="896" t="e">
        <f ca="1">G24/AE24</f>
        <v>#DIV/0!</v>
      </c>
      <c r="I24" s="658">
        <v>93.3</v>
      </c>
      <c r="J24" s="654">
        <f ca="1">IF('퇴직때까지의 총연봉액'!C24="","",$J23*(1+$D24))</f>
        <v>0</v>
      </c>
      <c r="K24" s="654">
        <f ca="1">IF('퇴직때까지의 총연봉액'!C24="","",K23*(1+$D24))</f>
        <v>0</v>
      </c>
      <c r="L24" s="654">
        <f ca="1">IF('퇴직때까지의 총연봉액'!C24="","",L23*(1+$D24))</f>
        <v>0</v>
      </c>
      <c r="M24" s="654">
        <f ca="1">IF('퇴직때까지의 총연봉액'!C24="","",M23*(1+$D24))</f>
        <v>0</v>
      </c>
      <c r="N24" s="654">
        <f ca="1">IF('퇴직때까지의 총연봉액'!C24="","",N23*(1+$D24))</f>
        <v>0</v>
      </c>
      <c r="O24" s="654">
        <f ca="1">IF('퇴직때까지의 총연봉액'!C24="","",O23*(1+$D24))</f>
        <v>0</v>
      </c>
      <c r="P24" s="654">
        <f ca="1">IF('퇴직때까지의 총연봉액'!C24="","",P23*(1+$D24))</f>
        <v>0</v>
      </c>
      <c r="Q24" s="654">
        <f ca="1">IF('퇴직때까지의 총연봉액'!C24="","",Q23*(1+$D24))</f>
        <v>0</v>
      </c>
      <c r="R24" s="654">
        <f ca="1">IF('퇴직때까지의 총연봉액'!C24="","",R23*(1+$D24))</f>
        <v>0</v>
      </c>
      <c r="S24" s="654">
        <f ca="1">IF('퇴직때까지의 총연봉액'!C24="","",S23*(1+$D24))</f>
        <v>0</v>
      </c>
      <c r="T24" s="654">
        <f ca="1">IF('퇴직때까지의 총연봉액'!C24="","",T23*(1+$D24))</f>
        <v>0</v>
      </c>
      <c r="U24" s="654">
        <f ca="1">IF('퇴직때까지의 총연봉액'!C24="","",U23*(1+$D24))</f>
        <v>0</v>
      </c>
      <c r="V24" s="654">
        <f ca="1">IF('퇴직때까지의 총연봉액'!C24="","",V23*(1+$D24))</f>
        <v>0</v>
      </c>
      <c r="W24" s="654">
        <f ca="1">IF('퇴직때까지의 총연봉액'!C24="","",W23*(1+$D24))</f>
        <v>0</v>
      </c>
      <c r="X24" s="654">
        <f ca="1">IF('퇴직때까지의 총연봉액'!C24="","",X23*(1+$D24))</f>
        <v>0</v>
      </c>
      <c r="Y24" s="654">
        <f ca="1">IF('퇴직때까지의 총연봉액'!C24="","",Y23*(1+$D24))</f>
        <v>0</v>
      </c>
      <c r="Z24" s="654">
        <f ca="1">IF('퇴직때까지의 총연봉액'!C24="","",Z23*(1+$D24))</f>
        <v>0</v>
      </c>
      <c r="AA24" s="654">
        <f ca="1">IF('퇴직때까지의 총연봉액'!C24="","",AA23*(1+$D24))</f>
        <v>0</v>
      </c>
      <c r="AB24" s="654">
        <f ca="1">IF('퇴직때까지의 총연봉액'!C24="","",AB23*(1+$D24))</f>
        <v>0</v>
      </c>
      <c r="AC24" s="654">
        <f ca="1">IF('퇴직때까지의 총연봉액'!C24="","",AC23*(1+$D24))</f>
        <v>0</v>
      </c>
      <c r="AD24" s="654">
        <f ca="1">IF('퇴직때까지의 총연봉액'!C24="","",AD23*(1+$D24))</f>
        <v>0</v>
      </c>
      <c r="AE24" s="659">
        <f>IF('2025'!$E$2=0,0,기준소득월액추정표!P24)*$H$1</f>
        <v>0</v>
      </c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4">
        <v>22</v>
      </c>
    </row>
    <row r="25" spans="1:46" ht="13">
      <c r="A25" s="654">
        <v>23</v>
      </c>
      <c r="B25" s="658" t="str">
        <f ca="1">'2047'!$D$1</f>
        <v>2047</v>
      </c>
      <c r="C25" s="667">
        <f ca="1">IF('퇴직때까지의 총연봉액'!C25="","",G25*I25%*F25*AT25)</f>
        <v>0</v>
      </c>
      <c r="D25" s="668">
        <f ca="1">IF('퇴직때까지의 총연봉액'!C25="","",D24)</f>
        <v>0.02</v>
      </c>
      <c r="E25" s="671">
        <f ca="1">IF('퇴직때까지의 총연봉액'!C25="","",ROUND(PV(D25,A25-1,,-C25),-1))</f>
        <v>0</v>
      </c>
      <c r="F25" s="901">
        <v>1.7000000000000001E-2</v>
      </c>
      <c r="G25" s="654">
        <f ca="1">IF('퇴직때까지의 총연봉액'!C25="","",AVERAGE(J25:AS25))</f>
        <v>0</v>
      </c>
      <c r="H25" s="896" t="e">
        <f ca="1">G25/AF25</f>
        <v>#DIV/0!</v>
      </c>
      <c r="I25" s="658">
        <v>93.81</v>
      </c>
      <c r="J25" s="654">
        <f ca="1">IF('퇴직때까지의 총연봉액'!C25="","",$J24*(1+$D25))</f>
        <v>0</v>
      </c>
      <c r="K25" s="654">
        <f ca="1">IF('퇴직때까지의 총연봉액'!C25="","",K24*(1+$D25))</f>
        <v>0</v>
      </c>
      <c r="L25" s="654">
        <f ca="1">IF('퇴직때까지의 총연봉액'!C25="","",L24*(1+$D25))</f>
        <v>0</v>
      </c>
      <c r="M25" s="654">
        <f ca="1">IF('퇴직때까지의 총연봉액'!C25="","",M24*(1+$D25))</f>
        <v>0</v>
      </c>
      <c r="N25" s="654">
        <f ca="1">IF('퇴직때까지의 총연봉액'!C25="","",N24*(1+$D25))</f>
        <v>0</v>
      </c>
      <c r="O25" s="654">
        <f ca="1">IF('퇴직때까지의 총연봉액'!C25="","",O24*(1+$D25))</f>
        <v>0</v>
      </c>
      <c r="P25" s="654">
        <f ca="1">IF('퇴직때까지의 총연봉액'!C25="","",P24*(1+$D25))</f>
        <v>0</v>
      </c>
      <c r="Q25" s="654">
        <f ca="1">IF('퇴직때까지의 총연봉액'!C25="","",Q24*(1+$D25))</f>
        <v>0</v>
      </c>
      <c r="R25" s="654">
        <f ca="1">IF('퇴직때까지의 총연봉액'!C25="","",R24*(1+$D25))</f>
        <v>0</v>
      </c>
      <c r="S25" s="654">
        <f ca="1">IF('퇴직때까지의 총연봉액'!C25="","",S24*(1+$D25))</f>
        <v>0</v>
      </c>
      <c r="T25" s="654">
        <f ca="1">IF('퇴직때까지의 총연봉액'!C25="","",T24*(1+$D25))</f>
        <v>0</v>
      </c>
      <c r="U25" s="654">
        <f ca="1">IF('퇴직때까지의 총연봉액'!C25="","",U24*(1+$D25))</f>
        <v>0</v>
      </c>
      <c r="V25" s="654">
        <f ca="1">IF('퇴직때까지의 총연봉액'!C25="","",V24*(1+$D25))</f>
        <v>0</v>
      </c>
      <c r="W25" s="654">
        <f ca="1">IF('퇴직때까지의 총연봉액'!C25="","",W24*(1+$D25))</f>
        <v>0</v>
      </c>
      <c r="X25" s="654">
        <f ca="1">IF('퇴직때까지의 총연봉액'!C25="","",X24*(1+$D25))</f>
        <v>0</v>
      </c>
      <c r="Y25" s="654">
        <f ca="1">IF('퇴직때까지의 총연봉액'!C25="","",Y24*(1+$D25))</f>
        <v>0</v>
      </c>
      <c r="Z25" s="654">
        <f ca="1">IF('퇴직때까지의 총연봉액'!C25="","",Z24*(1+$D25))</f>
        <v>0</v>
      </c>
      <c r="AA25" s="654">
        <f ca="1">IF('퇴직때까지의 총연봉액'!C25="","",AA24*(1+$D25))</f>
        <v>0</v>
      </c>
      <c r="AB25" s="654">
        <f ca="1">IF('퇴직때까지의 총연봉액'!C25="","",AB24*(1+$D25))</f>
        <v>0</v>
      </c>
      <c r="AC25" s="654">
        <f ca="1">IF('퇴직때까지의 총연봉액'!C25="","",AC24*(1+$D25))</f>
        <v>0</v>
      </c>
      <c r="AD25" s="654">
        <f ca="1">IF('퇴직때까지의 총연봉액'!C25="","",AD24*(1+$D25))</f>
        <v>0</v>
      </c>
      <c r="AE25" s="654">
        <f ca="1">IF('퇴직때까지의 총연봉액'!C25="","",AE24*(1+$D25))</f>
        <v>0</v>
      </c>
      <c r="AF25" s="659">
        <f>IF('2025'!$E$2=0,0,기준소득월액추정표!P25)*$H$1</f>
        <v>0</v>
      </c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4">
        <v>23</v>
      </c>
    </row>
    <row r="26" spans="1:46" ht="13">
      <c r="A26" s="654">
        <v>24</v>
      </c>
      <c r="B26" s="658" t="str">
        <f ca="1">'2048'!$D$1</f>
        <v>2048</v>
      </c>
      <c r="C26" s="667">
        <f ca="1">IF('퇴직때까지의 총연봉액'!C26="","",G26*I26%*F26*AT26)</f>
        <v>0</v>
      </c>
      <c r="D26" s="668">
        <f ca="1">IF('퇴직때까지의 총연봉액'!C26="","",D25)</f>
        <v>0.02</v>
      </c>
      <c r="E26" s="671">
        <f ca="1">IF('퇴직때까지의 총연봉액'!C26="","",ROUND(PV(D26,A26-1,,-C26),-1))</f>
        <v>0</v>
      </c>
      <c r="F26" s="901">
        <v>1.7000000000000001E-2</v>
      </c>
      <c r="G26" s="654">
        <f ca="1">IF('퇴직때까지의 총연봉액'!C26="","",AVERAGE(J26:AS26))</f>
        <v>0</v>
      </c>
      <c r="H26" s="896" t="e">
        <f ca="1">G26/AG26</f>
        <v>#DIV/0!</v>
      </c>
      <c r="I26" s="658">
        <v>94.53</v>
      </c>
      <c r="J26" s="654">
        <f ca="1">IF('퇴직때까지의 총연봉액'!C26="","",$J25*(1+$D26))</f>
        <v>0</v>
      </c>
      <c r="K26" s="654">
        <f ca="1">IF('퇴직때까지의 총연봉액'!C26="","",K25*(1+$D26))</f>
        <v>0</v>
      </c>
      <c r="L26" s="654">
        <f ca="1">IF('퇴직때까지의 총연봉액'!C26="","",L25*(1+$D26))</f>
        <v>0</v>
      </c>
      <c r="M26" s="654">
        <f ca="1">IF('퇴직때까지의 총연봉액'!C26="","",M25*(1+$D26))</f>
        <v>0</v>
      </c>
      <c r="N26" s="654">
        <f ca="1">IF('퇴직때까지의 총연봉액'!C26="","",N25*(1+$D26))</f>
        <v>0</v>
      </c>
      <c r="O26" s="654">
        <f ca="1">IF('퇴직때까지의 총연봉액'!C26="","",O25*(1+$D26))</f>
        <v>0</v>
      </c>
      <c r="P26" s="654">
        <f ca="1">IF('퇴직때까지의 총연봉액'!C26="","",P25*(1+$D26))</f>
        <v>0</v>
      </c>
      <c r="Q26" s="654">
        <f ca="1">IF('퇴직때까지의 총연봉액'!C26="","",Q25*(1+$D26))</f>
        <v>0</v>
      </c>
      <c r="R26" s="654">
        <f ca="1">IF('퇴직때까지의 총연봉액'!C26="","",R25*(1+$D26))</f>
        <v>0</v>
      </c>
      <c r="S26" s="654">
        <f ca="1">IF('퇴직때까지의 총연봉액'!C26="","",S25*(1+$D26))</f>
        <v>0</v>
      </c>
      <c r="T26" s="654">
        <f ca="1">IF('퇴직때까지의 총연봉액'!C26="","",T25*(1+$D26))</f>
        <v>0</v>
      </c>
      <c r="U26" s="654">
        <f ca="1">IF('퇴직때까지의 총연봉액'!C26="","",U25*(1+$D26))</f>
        <v>0</v>
      </c>
      <c r="V26" s="654">
        <f ca="1">IF('퇴직때까지의 총연봉액'!C26="","",V25*(1+$D26))</f>
        <v>0</v>
      </c>
      <c r="W26" s="654">
        <f ca="1">IF('퇴직때까지의 총연봉액'!C26="","",W25*(1+$D26))</f>
        <v>0</v>
      </c>
      <c r="X26" s="654">
        <f ca="1">IF('퇴직때까지의 총연봉액'!C26="","",X25*(1+$D26))</f>
        <v>0</v>
      </c>
      <c r="Y26" s="654">
        <f ca="1">IF('퇴직때까지의 총연봉액'!C26="","",Y25*(1+$D26))</f>
        <v>0</v>
      </c>
      <c r="Z26" s="654">
        <f ca="1">IF('퇴직때까지의 총연봉액'!C26="","",Z25*(1+$D26))</f>
        <v>0</v>
      </c>
      <c r="AA26" s="654">
        <f ca="1">IF('퇴직때까지의 총연봉액'!C26="","",AA25*(1+$D26))</f>
        <v>0</v>
      </c>
      <c r="AB26" s="654">
        <f ca="1">IF('퇴직때까지의 총연봉액'!C26="","",AB25*(1+$D26))</f>
        <v>0</v>
      </c>
      <c r="AC26" s="654">
        <f ca="1">IF('퇴직때까지의 총연봉액'!C26="","",AC25*(1+$D26))</f>
        <v>0</v>
      </c>
      <c r="AD26" s="654">
        <f ca="1">IF('퇴직때까지의 총연봉액'!C26="","",AD25*(1+$D26))</f>
        <v>0</v>
      </c>
      <c r="AE26" s="654">
        <f ca="1">IF('퇴직때까지의 총연봉액'!C26="","",AE25*(1+$D26))</f>
        <v>0</v>
      </c>
      <c r="AF26" s="654">
        <f ca="1">IF('퇴직때까지의 총연봉액'!C26="","",AF25*(1+$D26))</f>
        <v>0</v>
      </c>
      <c r="AG26" s="659">
        <f>IF('2025'!$E$2=0,0,기준소득월액추정표!P26)*$H$1</f>
        <v>0</v>
      </c>
      <c r="AH26" s="657"/>
      <c r="AI26" s="657"/>
      <c r="AJ26" s="657"/>
      <c r="AK26" s="657"/>
      <c r="AL26" s="657"/>
      <c r="AM26" s="657"/>
      <c r="AN26" s="657"/>
      <c r="AO26" s="657"/>
      <c r="AP26" s="657"/>
      <c r="AQ26" s="657"/>
      <c r="AR26" s="657"/>
      <c r="AS26" s="657"/>
      <c r="AT26" s="654">
        <v>24</v>
      </c>
    </row>
    <row r="27" spans="1:46" ht="13">
      <c r="A27" s="654">
        <v>25</v>
      </c>
      <c r="B27" s="658" t="str">
        <f ca="1">'2049'!$D$1</f>
        <v>2049</v>
      </c>
      <c r="C27" s="667">
        <f ca="1">IF('퇴직때까지의 총연봉액'!C27="","",G27*I27%*F27*AT27)</f>
        <v>0</v>
      </c>
      <c r="D27" s="668">
        <f ca="1">IF('퇴직때까지의 총연봉액'!C27="","",D26)</f>
        <v>0.02</v>
      </c>
      <c r="E27" s="671">
        <f ca="1">IF('퇴직때까지의 총연봉액'!C27="","",ROUND(PV(D27,A27-1,,-C27),-1))</f>
        <v>0</v>
      </c>
      <c r="F27" s="901">
        <v>1.7000000000000001E-2</v>
      </c>
      <c r="G27" s="654">
        <f ca="1">IF('퇴직때까지의 총연봉액'!C27="","",AVERAGE(J27:AS27))</f>
        <v>0</v>
      </c>
      <c r="H27" s="896" t="e">
        <f ca="1">G27/AH27</f>
        <v>#DIV/0!</v>
      </c>
      <c r="I27" s="658">
        <v>95.33</v>
      </c>
      <c r="J27" s="654">
        <f ca="1">IF('퇴직때까지의 총연봉액'!C27="","",$J26*(1+$D27))</f>
        <v>0</v>
      </c>
      <c r="K27" s="654">
        <f ca="1">IF('퇴직때까지의 총연봉액'!C27="","",K26*(1+$D27))</f>
        <v>0</v>
      </c>
      <c r="L27" s="654">
        <f ca="1">IF('퇴직때까지의 총연봉액'!C27="","",L26*(1+$D27))</f>
        <v>0</v>
      </c>
      <c r="M27" s="654">
        <f ca="1">IF('퇴직때까지의 총연봉액'!C27="","",M26*(1+$D27))</f>
        <v>0</v>
      </c>
      <c r="N27" s="654">
        <f ca="1">IF('퇴직때까지의 총연봉액'!C27="","",N26*(1+$D27))</f>
        <v>0</v>
      </c>
      <c r="O27" s="654">
        <f ca="1">IF('퇴직때까지의 총연봉액'!C27="","",O26*(1+$D27))</f>
        <v>0</v>
      </c>
      <c r="P27" s="654">
        <f ca="1">IF('퇴직때까지의 총연봉액'!C27="","",P26*(1+$D27))</f>
        <v>0</v>
      </c>
      <c r="Q27" s="654">
        <f ca="1">IF('퇴직때까지의 총연봉액'!C27="","",Q26*(1+$D27))</f>
        <v>0</v>
      </c>
      <c r="R27" s="654">
        <f ca="1">IF('퇴직때까지의 총연봉액'!C27="","",R26*(1+$D27))</f>
        <v>0</v>
      </c>
      <c r="S27" s="654">
        <f ca="1">IF('퇴직때까지의 총연봉액'!C27="","",S26*(1+$D27))</f>
        <v>0</v>
      </c>
      <c r="T27" s="654">
        <f ca="1">IF('퇴직때까지의 총연봉액'!C27="","",T26*(1+$D27))</f>
        <v>0</v>
      </c>
      <c r="U27" s="654">
        <f ca="1">IF('퇴직때까지의 총연봉액'!C27="","",U26*(1+$D27))</f>
        <v>0</v>
      </c>
      <c r="V27" s="654">
        <f ca="1">IF('퇴직때까지의 총연봉액'!C27="","",V26*(1+$D27))</f>
        <v>0</v>
      </c>
      <c r="W27" s="654">
        <f ca="1">IF('퇴직때까지의 총연봉액'!C27="","",W26*(1+$D27))</f>
        <v>0</v>
      </c>
      <c r="X27" s="654">
        <f ca="1">IF('퇴직때까지의 총연봉액'!C27="","",X26*(1+$D27))</f>
        <v>0</v>
      </c>
      <c r="Y27" s="654">
        <f ca="1">IF('퇴직때까지의 총연봉액'!C27="","",Y26*(1+$D27))</f>
        <v>0</v>
      </c>
      <c r="Z27" s="654">
        <f ca="1">IF('퇴직때까지의 총연봉액'!C27="","",Z26*(1+$D27))</f>
        <v>0</v>
      </c>
      <c r="AA27" s="654">
        <f ca="1">IF('퇴직때까지의 총연봉액'!C27="","",AA26*(1+$D27))</f>
        <v>0</v>
      </c>
      <c r="AB27" s="654">
        <f ca="1">IF('퇴직때까지의 총연봉액'!C27="","",AB26*(1+$D27))</f>
        <v>0</v>
      </c>
      <c r="AC27" s="654">
        <f ca="1">IF('퇴직때까지의 총연봉액'!C27="","",AC26*(1+$D27))</f>
        <v>0</v>
      </c>
      <c r="AD27" s="654">
        <f ca="1">IF('퇴직때까지의 총연봉액'!C27="","",AD26*(1+$D27))</f>
        <v>0</v>
      </c>
      <c r="AE27" s="654">
        <f ca="1">IF('퇴직때까지의 총연봉액'!C27="","",AE26*(1+$D27))</f>
        <v>0</v>
      </c>
      <c r="AF27" s="654">
        <f ca="1">IF('퇴직때까지의 총연봉액'!C27="","",AF26*(1+$D27))</f>
        <v>0</v>
      </c>
      <c r="AG27" s="654">
        <f ca="1">IF('퇴직때까지의 총연봉액'!C27="","",AG26*(1+$D27))</f>
        <v>0</v>
      </c>
      <c r="AH27" s="659">
        <f>IF('2025'!$E$2=0,0,기준소득월액추정표!P27)*$H$1</f>
        <v>0</v>
      </c>
      <c r="AI27" s="657"/>
      <c r="AJ27" s="657"/>
      <c r="AK27" s="657"/>
      <c r="AL27" s="657"/>
      <c r="AM27" s="657"/>
      <c r="AN27" s="657"/>
      <c r="AO27" s="657"/>
      <c r="AP27" s="657"/>
      <c r="AQ27" s="657"/>
      <c r="AR27" s="657"/>
      <c r="AS27" s="657"/>
      <c r="AT27" s="654">
        <v>25</v>
      </c>
    </row>
    <row r="28" spans="1:46" ht="13">
      <c r="A28" s="654">
        <v>26</v>
      </c>
      <c r="B28" s="658" t="str">
        <f ca="1">'2050'!$D$1</f>
        <v>2050</v>
      </c>
      <c r="C28" s="667">
        <f ca="1">IF('퇴직때까지의 총연봉액'!C28="","",G28*I28%*F28*AT28)</f>
        <v>0</v>
      </c>
      <c r="D28" s="668">
        <f ca="1">IF('퇴직때까지의 총연봉액'!C28="","",D27)</f>
        <v>0.02</v>
      </c>
      <c r="E28" s="671">
        <f ca="1">IF('퇴직때까지의 총연봉액'!C28="","",ROUND(PV(D28,A28-1,,-C28),-1))</f>
        <v>0</v>
      </c>
      <c r="F28" s="901">
        <v>1.7000000000000001E-2</v>
      </c>
      <c r="G28" s="654">
        <f ca="1">IF('퇴직때까지의 총연봉액'!C28="","",AVERAGE(J28:AS28))</f>
        <v>0</v>
      </c>
      <c r="H28" s="896" t="e">
        <f ca="1">G28/AI28</f>
        <v>#DIV/0!</v>
      </c>
      <c r="I28" s="658">
        <v>96.07</v>
      </c>
      <c r="J28" s="654">
        <f ca="1">IF('퇴직때까지의 총연봉액'!C28="","",$J27*(1+$D28))</f>
        <v>0</v>
      </c>
      <c r="K28" s="654">
        <f ca="1">IF('퇴직때까지의 총연봉액'!C28="","",K27*(1+$D28))</f>
        <v>0</v>
      </c>
      <c r="L28" s="654">
        <f ca="1">IF('퇴직때까지의 총연봉액'!C28="","",L27*(1+$D28))</f>
        <v>0</v>
      </c>
      <c r="M28" s="654">
        <f ca="1">IF('퇴직때까지의 총연봉액'!C28="","",M27*(1+$D28))</f>
        <v>0</v>
      </c>
      <c r="N28" s="654">
        <f ca="1">IF('퇴직때까지의 총연봉액'!C28="","",N27*(1+$D28))</f>
        <v>0</v>
      </c>
      <c r="O28" s="654">
        <f ca="1">IF('퇴직때까지의 총연봉액'!C28="","",O27*(1+$D28))</f>
        <v>0</v>
      </c>
      <c r="P28" s="654">
        <f ca="1">IF('퇴직때까지의 총연봉액'!C28="","",P27*(1+$D28))</f>
        <v>0</v>
      </c>
      <c r="Q28" s="654">
        <f ca="1">IF('퇴직때까지의 총연봉액'!C28="","",Q27*(1+$D28))</f>
        <v>0</v>
      </c>
      <c r="R28" s="654">
        <f ca="1">IF('퇴직때까지의 총연봉액'!C28="","",R27*(1+$D28))</f>
        <v>0</v>
      </c>
      <c r="S28" s="654">
        <f ca="1">IF('퇴직때까지의 총연봉액'!C28="","",S27*(1+$D28))</f>
        <v>0</v>
      </c>
      <c r="T28" s="654">
        <f ca="1">IF('퇴직때까지의 총연봉액'!C28="","",T27*(1+$D28))</f>
        <v>0</v>
      </c>
      <c r="U28" s="654">
        <f ca="1">IF('퇴직때까지의 총연봉액'!C28="","",U27*(1+$D28))</f>
        <v>0</v>
      </c>
      <c r="V28" s="654">
        <f ca="1">IF('퇴직때까지의 총연봉액'!C28="","",V27*(1+$D28))</f>
        <v>0</v>
      </c>
      <c r="W28" s="654">
        <f ca="1">IF('퇴직때까지의 총연봉액'!C28="","",W27*(1+$D28))</f>
        <v>0</v>
      </c>
      <c r="X28" s="654">
        <f ca="1">IF('퇴직때까지의 총연봉액'!C28="","",X27*(1+$D28))</f>
        <v>0</v>
      </c>
      <c r="Y28" s="654">
        <f ca="1">IF('퇴직때까지의 총연봉액'!C28="","",Y27*(1+$D28))</f>
        <v>0</v>
      </c>
      <c r="Z28" s="654">
        <f ca="1">IF('퇴직때까지의 총연봉액'!C28="","",Z27*(1+$D28))</f>
        <v>0</v>
      </c>
      <c r="AA28" s="654">
        <f ca="1">IF('퇴직때까지의 총연봉액'!C28="","",AA27*(1+$D28))</f>
        <v>0</v>
      </c>
      <c r="AB28" s="654">
        <f ca="1">IF('퇴직때까지의 총연봉액'!C28="","",AB27*(1+$D28))</f>
        <v>0</v>
      </c>
      <c r="AC28" s="654">
        <f ca="1">IF('퇴직때까지의 총연봉액'!C28="","",AC27*(1+$D28))</f>
        <v>0</v>
      </c>
      <c r="AD28" s="654">
        <f ca="1">IF('퇴직때까지의 총연봉액'!C28="","",AD27*(1+$D28))</f>
        <v>0</v>
      </c>
      <c r="AE28" s="654">
        <f ca="1">IF('퇴직때까지의 총연봉액'!C28="","",AE27*(1+$D28))</f>
        <v>0</v>
      </c>
      <c r="AF28" s="654">
        <f ca="1">IF('퇴직때까지의 총연봉액'!C28="","",AF27*(1+$D28))</f>
        <v>0</v>
      </c>
      <c r="AG28" s="654">
        <f ca="1">IF('퇴직때까지의 총연봉액'!C28="","",AG27*(1+$D28))</f>
        <v>0</v>
      </c>
      <c r="AH28" s="654">
        <f ca="1">IF('퇴직때까지의 총연봉액'!C28="","",AH27*(1+$D28))</f>
        <v>0</v>
      </c>
      <c r="AI28" s="659">
        <f>IF('2025'!$E$2=0,0,기준소득월액추정표!P28)*$H$1</f>
        <v>0</v>
      </c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4">
        <v>26</v>
      </c>
    </row>
    <row r="29" spans="1:46" ht="13">
      <c r="A29" s="654">
        <v>27</v>
      </c>
      <c r="B29" s="658" t="str">
        <f ca="1">'2051'!$D$1</f>
        <v>2051</v>
      </c>
      <c r="C29" s="667">
        <f ca="1">IF('퇴직때까지의 총연봉액'!C29="","",G29*I29%*F29*AT29)</f>
        <v>0</v>
      </c>
      <c r="D29" s="668">
        <f ca="1">IF('퇴직때까지의 총연봉액'!C29="","",D28)</f>
        <v>0.02</v>
      </c>
      <c r="E29" s="671">
        <f ca="1">IF('퇴직때까지의 총연봉액'!C29="","",ROUND(PV(D29,A29-1,,-C29),-1))</f>
        <v>0</v>
      </c>
      <c r="F29" s="901">
        <v>1.7000000000000001E-2</v>
      </c>
      <c r="G29" s="654">
        <f ca="1">IF('퇴직때까지의 총연봉액'!C29="","",AVERAGE(J29:AS29))</f>
        <v>0</v>
      </c>
      <c r="H29" s="896" t="e">
        <f ca="1">G29/AJ29</f>
        <v>#DIV/0!</v>
      </c>
      <c r="I29" s="658">
        <v>97.02</v>
      </c>
      <c r="J29" s="654">
        <f ca="1">IF('퇴직때까지의 총연봉액'!C29="","",$J28*(1+$D29))</f>
        <v>0</v>
      </c>
      <c r="K29" s="654">
        <f ca="1">IF('퇴직때까지의 총연봉액'!C29="","",K28*(1+$D29))</f>
        <v>0</v>
      </c>
      <c r="L29" s="654">
        <f ca="1">IF('퇴직때까지의 총연봉액'!C29="","",L28*(1+$D29))</f>
        <v>0</v>
      </c>
      <c r="M29" s="654">
        <f ca="1">IF('퇴직때까지의 총연봉액'!C29="","",M28*(1+$D29))</f>
        <v>0</v>
      </c>
      <c r="N29" s="654">
        <f ca="1">IF('퇴직때까지의 총연봉액'!C29="","",N28*(1+$D29))</f>
        <v>0</v>
      </c>
      <c r="O29" s="654">
        <f ca="1">IF('퇴직때까지의 총연봉액'!C29="","",O28*(1+$D29))</f>
        <v>0</v>
      </c>
      <c r="P29" s="654">
        <f ca="1">IF('퇴직때까지의 총연봉액'!C29="","",P28*(1+$D29))</f>
        <v>0</v>
      </c>
      <c r="Q29" s="654">
        <f ca="1">IF('퇴직때까지의 총연봉액'!C29="","",Q28*(1+$D29))</f>
        <v>0</v>
      </c>
      <c r="R29" s="654">
        <f ca="1">IF('퇴직때까지의 총연봉액'!C29="","",R28*(1+$D29))</f>
        <v>0</v>
      </c>
      <c r="S29" s="654">
        <f ca="1">IF('퇴직때까지의 총연봉액'!C29="","",S28*(1+$D29))</f>
        <v>0</v>
      </c>
      <c r="T29" s="654">
        <f ca="1">IF('퇴직때까지의 총연봉액'!C29="","",T28*(1+$D29))</f>
        <v>0</v>
      </c>
      <c r="U29" s="654">
        <f ca="1">IF('퇴직때까지의 총연봉액'!C29="","",U28*(1+$D29))</f>
        <v>0</v>
      </c>
      <c r="V29" s="654">
        <f ca="1">IF('퇴직때까지의 총연봉액'!C29="","",V28*(1+$D29))</f>
        <v>0</v>
      </c>
      <c r="W29" s="654">
        <f ca="1">IF('퇴직때까지의 총연봉액'!C29="","",W28*(1+$D29))</f>
        <v>0</v>
      </c>
      <c r="X29" s="654">
        <f ca="1">IF('퇴직때까지의 총연봉액'!C29="","",X28*(1+$D29))</f>
        <v>0</v>
      </c>
      <c r="Y29" s="654">
        <f ca="1">IF('퇴직때까지의 총연봉액'!C29="","",Y28*(1+$D29))</f>
        <v>0</v>
      </c>
      <c r="Z29" s="654">
        <f ca="1">IF('퇴직때까지의 총연봉액'!C29="","",Z28*(1+$D29))</f>
        <v>0</v>
      </c>
      <c r="AA29" s="654">
        <f ca="1">IF('퇴직때까지의 총연봉액'!C29="","",AA28*(1+$D29))</f>
        <v>0</v>
      </c>
      <c r="AB29" s="654">
        <f ca="1">IF('퇴직때까지의 총연봉액'!C29="","",AB28*(1+$D29))</f>
        <v>0</v>
      </c>
      <c r="AC29" s="654">
        <f ca="1">IF('퇴직때까지의 총연봉액'!C29="","",AC28*(1+$D29))</f>
        <v>0</v>
      </c>
      <c r="AD29" s="654">
        <f ca="1">IF('퇴직때까지의 총연봉액'!C29="","",AD28*(1+$D29))</f>
        <v>0</v>
      </c>
      <c r="AE29" s="654">
        <f ca="1">IF('퇴직때까지의 총연봉액'!C29="","",AE28*(1+$D29))</f>
        <v>0</v>
      </c>
      <c r="AF29" s="654">
        <f ca="1">IF('퇴직때까지의 총연봉액'!C29="","",AF28*(1+$D29))</f>
        <v>0</v>
      </c>
      <c r="AG29" s="654">
        <f ca="1">IF('퇴직때까지의 총연봉액'!C29="","",AG28*(1+$D29))</f>
        <v>0</v>
      </c>
      <c r="AH29" s="654">
        <f ca="1">IF('퇴직때까지의 총연봉액'!C29="","",AH28*(1+$D29))</f>
        <v>0</v>
      </c>
      <c r="AI29" s="654">
        <f ca="1">IF('퇴직때까지의 총연봉액'!C29="","",AI28*(1+$D29))</f>
        <v>0</v>
      </c>
      <c r="AJ29" s="659">
        <f>IF('2025'!$E$2=0,0,기준소득월액추정표!P29)*$H$1</f>
        <v>0</v>
      </c>
      <c r="AK29" s="657"/>
      <c r="AL29" s="657"/>
      <c r="AM29" s="657"/>
      <c r="AN29" s="657"/>
      <c r="AO29" s="657"/>
      <c r="AP29" s="657"/>
      <c r="AQ29" s="657"/>
      <c r="AR29" s="657"/>
      <c r="AS29" s="657"/>
      <c r="AT29" s="654">
        <v>27</v>
      </c>
    </row>
    <row r="30" spans="1:46" ht="13">
      <c r="A30" s="654">
        <v>28</v>
      </c>
      <c r="B30" s="658" t="str">
        <f ca="1">'2052'!$D$1</f>
        <v>2052</v>
      </c>
      <c r="C30" s="667">
        <f ca="1">IF('퇴직때까지의 총연봉액'!C30="","",G30*I30%*F30*AT30)</f>
        <v>0</v>
      </c>
      <c r="D30" s="668">
        <f ca="1">IF('퇴직때까지의 총연봉액'!C30="","",D29)</f>
        <v>0.02</v>
      </c>
      <c r="E30" s="671">
        <f ca="1">IF('퇴직때까지의 총연봉액'!C30="","",ROUND(PV(D30,A30-1,,-C30),-1))</f>
        <v>0</v>
      </c>
      <c r="F30" s="901">
        <v>1.7000000000000001E-2</v>
      </c>
      <c r="G30" s="654">
        <f ca="1">IF('퇴직때까지의 총연봉액'!C30="","",AVERAGE(J30:AS30))</f>
        <v>0</v>
      </c>
      <c r="H30" s="896" t="e">
        <f ca="1">G30/AK30</f>
        <v>#DIV/0!</v>
      </c>
      <c r="I30" s="658">
        <v>97.9</v>
      </c>
      <c r="J30" s="654">
        <f ca="1">IF('퇴직때까지의 총연봉액'!C30="","",$J29*(1+$D30))</f>
        <v>0</v>
      </c>
      <c r="K30" s="654">
        <f ca="1">IF('퇴직때까지의 총연봉액'!C30="","",K29*(1+$D30))</f>
        <v>0</v>
      </c>
      <c r="L30" s="654">
        <f ca="1">IF('퇴직때까지의 총연봉액'!C30="","",L29*(1+$D30))</f>
        <v>0</v>
      </c>
      <c r="M30" s="654">
        <f ca="1">IF('퇴직때까지의 총연봉액'!C30="","",M29*(1+$D30))</f>
        <v>0</v>
      </c>
      <c r="N30" s="654">
        <f ca="1">IF('퇴직때까지의 총연봉액'!C30="","",N29*(1+$D30))</f>
        <v>0</v>
      </c>
      <c r="O30" s="654">
        <f ca="1">IF('퇴직때까지의 총연봉액'!C30="","",O29*(1+$D30))</f>
        <v>0</v>
      </c>
      <c r="P30" s="654">
        <f ca="1">IF('퇴직때까지의 총연봉액'!C30="","",P29*(1+$D30))</f>
        <v>0</v>
      </c>
      <c r="Q30" s="654">
        <f ca="1">IF('퇴직때까지의 총연봉액'!C30="","",Q29*(1+$D30))</f>
        <v>0</v>
      </c>
      <c r="R30" s="654">
        <f ca="1">IF('퇴직때까지의 총연봉액'!C30="","",R29*(1+$D30))</f>
        <v>0</v>
      </c>
      <c r="S30" s="654">
        <f ca="1">IF('퇴직때까지의 총연봉액'!C30="","",S29*(1+$D30))</f>
        <v>0</v>
      </c>
      <c r="T30" s="654">
        <f ca="1">IF('퇴직때까지의 총연봉액'!C30="","",T29*(1+$D30))</f>
        <v>0</v>
      </c>
      <c r="U30" s="654">
        <f ca="1">IF('퇴직때까지의 총연봉액'!C30="","",U29*(1+$D30))</f>
        <v>0</v>
      </c>
      <c r="V30" s="654">
        <f ca="1">IF('퇴직때까지의 총연봉액'!C30="","",V29*(1+$D30))</f>
        <v>0</v>
      </c>
      <c r="W30" s="654">
        <f ca="1">IF('퇴직때까지의 총연봉액'!C30="","",W29*(1+$D30))</f>
        <v>0</v>
      </c>
      <c r="X30" s="654">
        <f ca="1">IF('퇴직때까지의 총연봉액'!C30="","",X29*(1+$D30))</f>
        <v>0</v>
      </c>
      <c r="Y30" s="654">
        <f ca="1">IF('퇴직때까지의 총연봉액'!C30="","",Y29*(1+$D30))</f>
        <v>0</v>
      </c>
      <c r="Z30" s="654">
        <f ca="1">IF('퇴직때까지의 총연봉액'!C30="","",Z29*(1+$D30))</f>
        <v>0</v>
      </c>
      <c r="AA30" s="654">
        <f ca="1">IF('퇴직때까지의 총연봉액'!C30="","",AA29*(1+$D30))</f>
        <v>0</v>
      </c>
      <c r="AB30" s="654">
        <f ca="1">IF('퇴직때까지의 총연봉액'!C30="","",AB29*(1+$D30))</f>
        <v>0</v>
      </c>
      <c r="AC30" s="654">
        <f ca="1">IF('퇴직때까지의 총연봉액'!C30="","",AC29*(1+$D30))</f>
        <v>0</v>
      </c>
      <c r="AD30" s="654">
        <f ca="1">IF('퇴직때까지의 총연봉액'!C30="","",AD29*(1+$D30))</f>
        <v>0</v>
      </c>
      <c r="AE30" s="654">
        <f ca="1">IF('퇴직때까지의 총연봉액'!C30="","",AE29*(1+$D30))</f>
        <v>0</v>
      </c>
      <c r="AF30" s="654">
        <f ca="1">IF('퇴직때까지의 총연봉액'!C30="","",AF29*(1+$D30))</f>
        <v>0</v>
      </c>
      <c r="AG30" s="654">
        <f ca="1">IF('퇴직때까지의 총연봉액'!C30="","",AG29*(1+$D30))</f>
        <v>0</v>
      </c>
      <c r="AH30" s="654">
        <f ca="1">IF('퇴직때까지의 총연봉액'!C30="","",AH29*(1+$D30))</f>
        <v>0</v>
      </c>
      <c r="AI30" s="654">
        <f ca="1">IF('퇴직때까지의 총연봉액'!C30="","",AI29*(1+$D30))</f>
        <v>0</v>
      </c>
      <c r="AJ30" s="654">
        <f ca="1">IF('퇴직때까지의 총연봉액'!C30="","",AJ29*(1+$D30))</f>
        <v>0</v>
      </c>
      <c r="AK30" s="659">
        <f>IF('2025'!$E$2=0,0,기준소득월액추정표!P30)*$H$1</f>
        <v>0</v>
      </c>
      <c r="AL30" s="657"/>
      <c r="AM30" s="657"/>
      <c r="AN30" s="657"/>
      <c r="AO30" s="657"/>
      <c r="AP30" s="657"/>
      <c r="AQ30" s="657"/>
      <c r="AR30" s="657"/>
      <c r="AS30" s="657"/>
      <c r="AT30" s="654">
        <v>28</v>
      </c>
    </row>
    <row r="31" spans="1:46" ht="13">
      <c r="A31" s="654">
        <v>29</v>
      </c>
      <c r="B31" s="658" t="str">
        <f ca="1">'2053'!$D$1</f>
        <v>2053</v>
      </c>
      <c r="C31" s="667">
        <f ca="1">IF('퇴직때까지의 총연봉액'!C31="","",G31*I31%*F31*AT31)</f>
        <v>0</v>
      </c>
      <c r="D31" s="668">
        <f ca="1">IF('퇴직때까지의 총연봉액'!C31="","",D30)</f>
        <v>0.02</v>
      </c>
      <c r="E31" s="671">
        <f ca="1">IF('퇴직때까지의 총연봉액'!C31="","",ROUND(PV(D31,A31-1,,-C31),-1))</f>
        <v>0</v>
      </c>
      <c r="F31" s="901">
        <v>1.7000000000000001E-2</v>
      </c>
      <c r="G31" s="654">
        <f ca="1">IF('퇴직때까지의 총연봉액'!C31="","",AVERAGE(J31:AS31))</f>
        <v>0</v>
      </c>
      <c r="H31" s="896" t="e">
        <f ca="1">G31/AL31</f>
        <v>#DIV/0!</v>
      </c>
      <c r="I31" s="658">
        <v>98.99</v>
      </c>
      <c r="J31" s="654">
        <f ca="1">IF('퇴직때까지의 총연봉액'!C31="","",$J30*(1+$D31))</f>
        <v>0</v>
      </c>
      <c r="K31" s="654">
        <f ca="1">IF('퇴직때까지의 총연봉액'!C31="","",K30*(1+$D31))</f>
        <v>0</v>
      </c>
      <c r="L31" s="654">
        <f ca="1">IF('퇴직때까지의 총연봉액'!C31="","",L30*(1+$D31))</f>
        <v>0</v>
      </c>
      <c r="M31" s="654">
        <f ca="1">IF('퇴직때까지의 총연봉액'!C31="","",M30*(1+$D31))</f>
        <v>0</v>
      </c>
      <c r="N31" s="654">
        <f ca="1">IF('퇴직때까지의 총연봉액'!C31="","",N30*(1+$D31))</f>
        <v>0</v>
      </c>
      <c r="O31" s="654">
        <f ca="1">IF('퇴직때까지의 총연봉액'!C31="","",O30*(1+$D31))</f>
        <v>0</v>
      </c>
      <c r="P31" s="654">
        <f ca="1">IF('퇴직때까지의 총연봉액'!C31="","",P30*(1+$D31))</f>
        <v>0</v>
      </c>
      <c r="Q31" s="654">
        <f ca="1">IF('퇴직때까지의 총연봉액'!C31="","",Q30*(1+$D31))</f>
        <v>0</v>
      </c>
      <c r="R31" s="654">
        <f ca="1">IF('퇴직때까지의 총연봉액'!C31="","",R30*(1+$D31))</f>
        <v>0</v>
      </c>
      <c r="S31" s="654">
        <f ca="1">IF('퇴직때까지의 총연봉액'!C31="","",S30*(1+$D31))</f>
        <v>0</v>
      </c>
      <c r="T31" s="654">
        <f ca="1">IF('퇴직때까지의 총연봉액'!C31="","",T30*(1+$D31))</f>
        <v>0</v>
      </c>
      <c r="U31" s="654">
        <f ca="1">IF('퇴직때까지의 총연봉액'!C31="","",U30*(1+$D31))</f>
        <v>0</v>
      </c>
      <c r="V31" s="654">
        <f ca="1">IF('퇴직때까지의 총연봉액'!C31="","",V30*(1+$D31))</f>
        <v>0</v>
      </c>
      <c r="W31" s="654">
        <f ca="1">IF('퇴직때까지의 총연봉액'!C31="","",W30*(1+$D31))</f>
        <v>0</v>
      </c>
      <c r="X31" s="654">
        <f ca="1">IF('퇴직때까지의 총연봉액'!C31="","",X30*(1+$D31))</f>
        <v>0</v>
      </c>
      <c r="Y31" s="654">
        <f ca="1">IF('퇴직때까지의 총연봉액'!C31="","",Y30*(1+$D31))</f>
        <v>0</v>
      </c>
      <c r="Z31" s="654">
        <f ca="1">IF('퇴직때까지의 총연봉액'!C31="","",Z30*(1+$D31))</f>
        <v>0</v>
      </c>
      <c r="AA31" s="654">
        <f ca="1">IF('퇴직때까지의 총연봉액'!C31="","",AA30*(1+$D31))</f>
        <v>0</v>
      </c>
      <c r="AB31" s="654">
        <f ca="1">IF('퇴직때까지의 총연봉액'!C31="","",AB30*(1+$D31))</f>
        <v>0</v>
      </c>
      <c r="AC31" s="654">
        <f ca="1">IF('퇴직때까지의 총연봉액'!C31="","",AC30*(1+$D31))</f>
        <v>0</v>
      </c>
      <c r="AD31" s="654">
        <f ca="1">IF('퇴직때까지의 총연봉액'!C31="","",AD30*(1+$D31))</f>
        <v>0</v>
      </c>
      <c r="AE31" s="654">
        <f ca="1">IF('퇴직때까지의 총연봉액'!C31="","",AE30*(1+$D31))</f>
        <v>0</v>
      </c>
      <c r="AF31" s="654">
        <f ca="1">IF('퇴직때까지의 총연봉액'!C31="","",AF30*(1+$D31))</f>
        <v>0</v>
      </c>
      <c r="AG31" s="654">
        <f ca="1">IF('퇴직때까지의 총연봉액'!C31="","",AG30*(1+$D31))</f>
        <v>0</v>
      </c>
      <c r="AH31" s="654">
        <f ca="1">IF('퇴직때까지의 총연봉액'!C31="","",AH30*(1+$D31))</f>
        <v>0</v>
      </c>
      <c r="AI31" s="654">
        <f ca="1">IF('퇴직때까지의 총연봉액'!C31="","",AI30*(1+$D31))</f>
        <v>0</v>
      </c>
      <c r="AJ31" s="654">
        <f ca="1">IF('퇴직때까지의 총연봉액'!C31="","",AJ30*(1+$D31))</f>
        <v>0</v>
      </c>
      <c r="AK31" s="654">
        <f ca="1">IF('퇴직때까지의 총연봉액'!C31="","",AK30*(1+$D31))</f>
        <v>0</v>
      </c>
      <c r="AL31" s="659">
        <f>IF('2025'!$E$2=0,0,기준소득월액추정표!P31)*$H$1</f>
        <v>0</v>
      </c>
      <c r="AM31" s="657"/>
      <c r="AN31" s="657"/>
      <c r="AO31" s="657"/>
      <c r="AP31" s="657"/>
      <c r="AQ31" s="657"/>
      <c r="AR31" s="657"/>
      <c r="AS31" s="657"/>
      <c r="AT31" s="654">
        <v>29</v>
      </c>
    </row>
    <row r="32" spans="1:46" ht="13">
      <c r="A32" s="654">
        <v>30</v>
      </c>
      <c r="B32" s="658" t="str">
        <f ca="1">'2054'!$D$1</f>
        <v>2054</v>
      </c>
      <c r="C32" s="667">
        <f ca="1">IF('퇴직때까지의 총연봉액'!C32="","",G32*I32%*F32*AT32)</f>
        <v>0</v>
      </c>
      <c r="D32" s="668">
        <f ca="1">IF('퇴직때까지의 총연봉액'!C32="","",D31)</f>
        <v>0.02</v>
      </c>
      <c r="E32" s="671">
        <f ca="1">IF('퇴직때까지의 총연봉액'!C32="","",ROUND(PV(D32,A32-1,,-C32),-1))</f>
        <v>0</v>
      </c>
      <c r="F32" s="901">
        <v>1.7000000000000001E-2</v>
      </c>
      <c r="G32" s="654">
        <f ca="1">IF('퇴직때까지의 총연봉액'!C32="","",AVERAGE(J32:AS32))</f>
        <v>0</v>
      </c>
      <c r="H32" s="896" t="e">
        <f ca="1">G32/AM32</f>
        <v>#DIV/0!</v>
      </c>
      <c r="I32" s="658">
        <v>100</v>
      </c>
      <c r="J32" s="654">
        <f ca="1">IF('퇴직때까지의 총연봉액'!C32="","",$J31*(1+$D32))</f>
        <v>0</v>
      </c>
      <c r="K32" s="654">
        <f ca="1">IF('퇴직때까지의 총연봉액'!C32="","",K31*(1+$D32))</f>
        <v>0</v>
      </c>
      <c r="L32" s="654">
        <f ca="1">IF('퇴직때까지의 총연봉액'!C32="","",L31*(1+$D32))</f>
        <v>0</v>
      </c>
      <c r="M32" s="654">
        <f ca="1">IF('퇴직때까지의 총연봉액'!C32="","",M31*(1+$D32))</f>
        <v>0</v>
      </c>
      <c r="N32" s="654">
        <f ca="1">IF('퇴직때까지의 총연봉액'!C32="","",N31*(1+$D32))</f>
        <v>0</v>
      </c>
      <c r="O32" s="654">
        <f ca="1">IF('퇴직때까지의 총연봉액'!C32="","",O31*(1+$D32))</f>
        <v>0</v>
      </c>
      <c r="P32" s="654">
        <f ca="1">IF('퇴직때까지의 총연봉액'!C32="","",P31*(1+$D32))</f>
        <v>0</v>
      </c>
      <c r="Q32" s="654">
        <f ca="1">IF('퇴직때까지의 총연봉액'!C32="","",Q31*(1+$D32))</f>
        <v>0</v>
      </c>
      <c r="R32" s="654">
        <f ca="1">IF('퇴직때까지의 총연봉액'!C32="","",R31*(1+$D32))</f>
        <v>0</v>
      </c>
      <c r="S32" s="654">
        <f ca="1">IF('퇴직때까지의 총연봉액'!C32="","",S31*(1+$D32))</f>
        <v>0</v>
      </c>
      <c r="T32" s="654">
        <f ca="1">IF('퇴직때까지의 총연봉액'!C32="","",T31*(1+$D32))</f>
        <v>0</v>
      </c>
      <c r="U32" s="654">
        <f ca="1">IF('퇴직때까지의 총연봉액'!C32="","",U31*(1+$D32))</f>
        <v>0</v>
      </c>
      <c r="V32" s="654">
        <f ca="1">IF('퇴직때까지의 총연봉액'!C32="","",V31*(1+$D32))</f>
        <v>0</v>
      </c>
      <c r="W32" s="654">
        <f ca="1">IF('퇴직때까지의 총연봉액'!C32="","",W31*(1+$D32))</f>
        <v>0</v>
      </c>
      <c r="X32" s="654">
        <f ca="1">IF('퇴직때까지의 총연봉액'!C32="","",X31*(1+$D32))</f>
        <v>0</v>
      </c>
      <c r="Y32" s="654">
        <f ca="1">IF('퇴직때까지의 총연봉액'!C32="","",Y31*(1+$D32))</f>
        <v>0</v>
      </c>
      <c r="Z32" s="654">
        <f ca="1">IF('퇴직때까지의 총연봉액'!C32="","",Z31*(1+$D32))</f>
        <v>0</v>
      </c>
      <c r="AA32" s="654">
        <f ca="1">IF('퇴직때까지의 총연봉액'!C32="","",AA31*(1+$D32))</f>
        <v>0</v>
      </c>
      <c r="AB32" s="654">
        <f ca="1">IF('퇴직때까지의 총연봉액'!C32="","",AB31*(1+$D32))</f>
        <v>0</v>
      </c>
      <c r="AC32" s="654">
        <f ca="1">IF('퇴직때까지의 총연봉액'!C32="","",AC31*(1+$D32))</f>
        <v>0</v>
      </c>
      <c r="AD32" s="654">
        <f ca="1">IF('퇴직때까지의 총연봉액'!C32="","",AD31*(1+$D32))</f>
        <v>0</v>
      </c>
      <c r="AE32" s="654">
        <f ca="1">IF('퇴직때까지의 총연봉액'!C32="","",AE31*(1+$D32))</f>
        <v>0</v>
      </c>
      <c r="AF32" s="654">
        <f ca="1">IF('퇴직때까지의 총연봉액'!C32="","",AF31*(1+$D32))</f>
        <v>0</v>
      </c>
      <c r="AG32" s="654">
        <f ca="1">IF('퇴직때까지의 총연봉액'!C32="","",AG31*(1+$D32))</f>
        <v>0</v>
      </c>
      <c r="AH32" s="654">
        <f ca="1">IF('퇴직때까지의 총연봉액'!C32="","",AH31*(1+$D32))</f>
        <v>0</v>
      </c>
      <c r="AI32" s="654">
        <f ca="1">IF('퇴직때까지의 총연봉액'!C32="","",AI31*(1+$D32))</f>
        <v>0</v>
      </c>
      <c r="AJ32" s="654">
        <f ca="1">IF('퇴직때까지의 총연봉액'!C32="","",AJ31*(1+$D32))</f>
        <v>0</v>
      </c>
      <c r="AK32" s="654">
        <f ca="1">IF('퇴직때까지의 총연봉액'!C32="","",AK31*(1+$D32))</f>
        <v>0</v>
      </c>
      <c r="AL32" s="654">
        <f ca="1">IF('퇴직때까지의 총연봉액'!C32="","",AL31*(1+$D32))</f>
        <v>0</v>
      </c>
      <c r="AM32" s="659">
        <f>IF('2025'!$E$2=0,0,기준소득월액추정표!P32)*$H$1</f>
        <v>0</v>
      </c>
      <c r="AN32" s="657"/>
      <c r="AO32" s="657"/>
      <c r="AP32" s="657"/>
      <c r="AQ32" s="657"/>
      <c r="AR32" s="657"/>
      <c r="AS32" s="657"/>
      <c r="AT32" s="654">
        <v>30</v>
      </c>
    </row>
    <row r="33" spans="1:46" ht="13">
      <c r="A33" s="654">
        <v>31</v>
      </c>
      <c r="B33" s="658" t="str">
        <f ca="1">'2055'!$D$1</f>
        <v>2055</v>
      </c>
      <c r="C33" s="667">
        <f ca="1">IF('퇴직때까지의 총연봉액'!C33="","",G33*I33%*F33*AT33)</f>
        <v>0</v>
      </c>
      <c r="D33" s="668">
        <f ca="1">IF('퇴직때까지의 총연봉액'!C33="","",D32)</f>
        <v>0.02</v>
      </c>
      <c r="E33" s="671">
        <f ca="1">IF('퇴직때까지의 총연봉액'!C33="","",ROUND(PV(D33,A33-1,,-C33),-1))</f>
        <v>0</v>
      </c>
      <c r="F33" s="901">
        <v>1.7000000000000001E-2</v>
      </c>
      <c r="G33" s="654">
        <f ca="1">IF('퇴직때까지의 총연봉액'!C33="","",AVERAGE(J33:AS33))</f>
        <v>0</v>
      </c>
      <c r="H33" s="896" t="e">
        <f ca="1">G33/AN33</f>
        <v>#DIV/0!</v>
      </c>
      <c r="I33" s="658">
        <v>100</v>
      </c>
      <c r="J33" s="654">
        <f ca="1">IF('퇴직때까지의 총연봉액'!C33="","",$J32*(1+$D33))</f>
        <v>0</v>
      </c>
      <c r="K33" s="654">
        <f ca="1">IF('퇴직때까지의 총연봉액'!C33="","",K32*(1+$D33))</f>
        <v>0</v>
      </c>
      <c r="L33" s="654">
        <f ca="1">IF('퇴직때까지의 총연봉액'!C33="","",L32*(1+$D33))</f>
        <v>0</v>
      </c>
      <c r="M33" s="654">
        <f ca="1">IF('퇴직때까지의 총연봉액'!C33="","",M32*(1+$D33))</f>
        <v>0</v>
      </c>
      <c r="N33" s="654">
        <f ca="1">IF('퇴직때까지의 총연봉액'!C33="","",N32*(1+$D33))</f>
        <v>0</v>
      </c>
      <c r="O33" s="654">
        <f ca="1">IF('퇴직때까지의 총연봉액'!C33="","",O32*(1+$D33))</f>
        <v>0</v>
      </c>
      <c r="P33" s="654">
        <f ca="1">IF('퇴직때까지의 총연봉액'!C33="","",P32*(1+$D33))</f>
        <v>0</v>
      </c>
      <c r="Q33" s="654">
        <f ca="1">IF('퇴직때까지의 총연봉액'!C33="","",Q32*(1+$D33))</f>
        <v>0</v>
      </c>
      <c r="R33" s="654">
        <f ca="1">IF('퇴직때까지의 총연봉액'!C33="","",R32*(1+$D33))</f>
        <v>0</v>
      </c>
      <c r="S33" s="654">
        <f ca="1">IF('퇴직때까지의 총연봉액'!C33="","",S32*(1+$D33))</f>
        <v>0</v>
      </c>
      <c r="T33" s="654">
        <f ca="1">IF('퇴직때까지의 총연봉액'!C33="","",T32*(1+$D33))</f>
        <v>0</v>
      </c>
      <c r="U33" s="654">
        <f ca="1">IF('퇴직때까지의 총연봉액'!C33="","",U32*(1+$D33))</f>
        <v>0</v>
      </c>
      <c r="V33" s="654">
        <f ca="1">IF('퇴직때까지의 총연봉액'!C33="","",V32*(1+$D33))</f>
        <v>0</v>
      </c>
      <c r="W33" s="654">
        <f ca="1">IF('퇴직때까지의 총연봉액'!C33="","",W32*(1+$D33))</f>
        <v>0</v>
      </c>
      <c r="X33" s="654">
        <f ca="1">IF('퇴직때까지의 총연봉액'!C33="","",X32*(1+$D33))</f>
        <v>0</v>
      </c>
      <c r="Y33" s="654">
        <f ca="1">IF('퇴직때까지의 총연봉액'!C33="","",Y32*(1+$D33))</f>
        <v>0</v>
      </c>
      <c r="Z33" s="654">
        <f ca="1">IF('퇴직때까지의 총연봉액'!C33="","",Z32*(1+$D33))</f>
        <v>0</v>
      </c>
      <c r="AA33" s="654">
        <f ca="1">IF('퇴직때까지의 총연봉액'!C33="","",AA32*(1+$D33))</f>
        <v>0</v>
      </c>
      <c r="AB33" s="654">
        <f ca="1">IF('퇴직때까지의 총연봉액'!C33="","",AB32*(1+$D33))</f>
        <v>0</v>
      </c>
      <c r="AC33" s="654">
        <f ca="1">IF('퇴직때까지의 총연봉액'!C33="","",AC32*(1+$D33))</f>
        <v>0</v>
      </c>
      <c r="AD33" s="654">
        <f ca="1">IF('퇴직때까지의 총연봉액'!C33="","",AD32*(1+$D33))</f>
        <v>0</v>
      </c>
      <c r="AE33" s="654">
        <f ca="1">IF('퇴직때까지의 총연봉액'!C33="","",AE32*(1+$D33))</f>
        <v>0</v>
      </c>
      <c r="AF33" s="654">
        <f ca="1">IF('퇴직때까지의 총연봉액'!C33="","",AF32*(1+$D33))</f>
        <v>0</v>
      </c>
      <c r="AG33" s="654">
        <f ca="1">IF('퇴직때까지의 총연봉액'!C33="","",AG32*(1+$D33))</f>
        <v>0</v>
      </c>
      <c r="AH33" s="654">
        <f ca="1">IF('퇴직때까지의 총연봉액'!C33="","",AH32*(1+$D33))</f>
        <v>0</v>
      </c>
      <c r="AI33" s="654">
        <f ca="1">IF('퇴직때까지의 총연봉액'!C33="","",AI32*(1+$D33))</f>
        <v>0</v>
      </c>
      <c r="AJ33" s="654">
        <f ca="1">IF('퇴직때까지의 총연봉액'!C33="","",AJ32*(1+$D33))</f>
        <v>0</v>
      </c>
      <c r="AK33" s="654">
        <f ca="1">IF('퇴직때까지의 총연봉액'!C33="","",AK32*(1+$D33))</f>
        <v>0</v>
      </c>
      <c r="AL33" s="654">
        <f ca="1">IF('퇴직때까지의 총연봉액'!C33="","",AL32*(1+$D33))</f>
        <v>0</v>
      </c>
      <c r="AM33" s="654">
        <f ca="1">IF('퇴직때까지의 총연봉액'!C33="","",AM32*(1+$D33))</f>
        <v>0</v>
      </c>
      <c r="AN33" s="659">
        <f>IF('2025'!$E$2=0,0,기준소득월액추정표!P33)*$H$1</f>
        <v>0</v>
      </c>
      <c r="AO33" s="657"/>
      <c r="AP33" s="657"/>
      <c r="AQ33" s="657"/>
      <c r="AR33" s="657"/>
      <c r="AS33" s="657"/>
      <c r="AT33" s="654">
        <v>31</v>
      </c>
    </row>
    <row r="34" spans="1:46" ht="13">
      <c r="A34" s="654">
        <v>32</v>
      </c>
      <c r="B34" s="658" t="str">
        <f ca="1">'2056'!$D$1</f>
        <v>2056</v>
      </c>
      <c r="C34" s="667">
        <f ca="1">IF('퇴직때까지의 총연봉액'!C34="","",G34*I34%*F34*AT34)</f>
        <v>0</v>
      </c>
      <c r="D34" s="668">
        <f ca="1">IF('퇴직때까지의 총연봉액'!C34="","",D33)</f>
        <v>0.02</v>
      </c>
      <c r="E34" s="671">
        <f ca="1">IF('퇴직때까지의 총연봉액'!C34="","",ROUND(PV(D34,A34-1,,-C34),-1))</f>
        <v>0</v>
      </c>
      <c r="F34" s="901">
        <v>1.7000000000000001E-2</v>
      </c>
      <c r="G34" s="654">
        <f ca="1">IF('퇴직때까지의 총연봉액'!C34="","",AVERAGE(J34:AS34))</f>
        <v>0</v>
      </c>
      <c r="H34" s="896" t="e">
        <f ca="1">G34/AO34</f>
        <v>#DIV/0!</v>
      </c>
      <c r="I34" s="658">
        <v>100</v>
      </c>
      <c r="J34" s="654">
        <f ca="1">IF('퇴직때까지의 총연봉액'!C34="","",$J33*(1+$D34))</f>
        <v>0</v>
      </c>
      <c r="K34" s="654">
        <f ca="1">IF('퇴직때까지의 총연봉액'!C34="","",K33*(1+$D34))</f>
        <v>0</v>
      </c>
      <c r="L34" s="654">
        <f ca="1">IF('퇴직때까지의 총연봉액'!C34="","",L33*(1+$D34))</f>
        <v>0</v>
      </c>
      <c r="M34" s="654">
        <f ca="1">IF('퇴직때까지의 총연봉액'!C34="","",M33*(1+$D34))</f>
        <v>0</v>
      </c>
      <c r="N34" s="654">
        <f ca="1">IF('퇴직때까지의 총연봉액'!C34="","",N33*(1+$D34))</f>
        <v>0</v>
      </c>
      <c r="O34" s="654">
        <f ca="1">IF('퇴직때까지의 총연봉액'!C34="","",O33*(1+$D34))</f>
        <v>0</v>
      </c>
      <c r="P34" s="654">
        <f ca="1">IF('퇴직때까지의 총연봉액'!C34="","",P33*(1+$D34))</f>
        <v>0</v>
      </c>
      <c r="Q34" s="654">
        <f ca="1">IF('퇴직때까지의 총연봉액'!C34="","",Q33*(1+$D34))</f>
        <v>0</v>
      </c>
      <c r="R34" s="654">
        <f ca="1">IF('퇴직때까지의 총연봉액'!C34="","",R33*(1+$D34))</f>
        <v>0</v>
      </c>
      <c r="S34" s="654">
        <f ca="1">IF('퇴직때까지의 총연봉액'!C34="","",S33*(1+$D34))</f>
        <v>0</v>
      </c>
      <c r="T34" s="654">
        <f ca="1">IF('퇴직때까지의 총연봉액'!C34="","",T33*(1+$D34))</f>
        <v>0</v>
      </c>
      <c r="U34" s="654">
        <f ca="1">IF('퇴직때까지의 총연봉액'!C34="","",U33*(1+$D34))</f>
        <v>0</v>
      </c>
      <c r="V34" s="654">
        <f ca="1">IF('퇴직때까지의 총연봉액'!C34="","",V33*(1+$D34))</f>
        <v>0</v>
      </c>
      <c r="W34" s="654">
        <f ca="1">IF('퇴직때까지의 총연봉액'!C34="","",W33*(1+$D34))</f>
        <v>0</v>
      </c>
      <c r="X34" s="654">
        <f ca="1">IF('퇴직때까지의 총연봉액'!C34="","",X33*(1+$D34))</f>
        <v>0</v>
      </c>
      <c r="Y34" s="654">
        <f ca="1">IF('퇴직때까지의 총연봉액'!C34="","",Y33*(1+$D34))</f>
        <v>0</v>
      </c>
      <c r="Z34" s="654">
        <f ca="1">IF('퇴직때까지의 총연봉액'!C34="","",Z33*(1+$D34))</f>
        <v>0</v>
      </c>
      <c r="AA34" s="654">
        <f ca="1">IF('퇴직때까지의 총연봉액'!C34="","",AA33*(1+$D34))</f>
        <v>0</v>
      </c>
      <c r="AB34" s="654">
        <f ca="1">IF('퇴직때까지의 총연봉액'!C34="","",AB33*(1+$D34))</f>
        <v>0</v>
      </c>
      <c r="AC34" s="654">
        <f ca="1">IF('퇴직때까지의 총연봉액'!C34="","",AC33*(1+$D34))</f>
        <v>0</v>
      </c>
      <c r="AD34" s="654">
        <f ca="1">IF('퇴직때까지의 총연봉액'!C34="","",AD33*(1+$D34))</f>
        <v>0</v>
      </c>
      <c r="AE34" s="654">
        <f ca="1">IF('퇴직때까지의 총연봉액'!C34="","",AE33*(1+$D34))</f>
        <v>0</v>
      </c>
      <c r="AF34" s="654">
        <f ca="1">IF('퇴직때까지의 총연봉액'!C34="","",AF33*(1+$D34))</f>
        <v>0</v>
      </c>
      <c r="AG34" s="654">
        <f ca="1">IF('퇴직때까지의 총연봉액'!C34="","",AG33*(1+$D34))</f>
        <v>0</v>
      </c>
      <c r="AH34" s="654">
        <f ca="1">IF('퇴직때까지의 총연봉액'!C34="","",AH33*(1+$D34))</f>
        <v>0</v>
      </c>
      <c r="AI34" s="654">
        <f ca="1">IF('퇴직때까지의 총연봉액'!C34="","",AI33*(1+$D34))</f>
        <v>0</v>
      </c>
      <c r="AJ34" s="654">
        <f ca="1">IF('퇴직때까지의 총연봉액'!C34="","",AJ33*(1+$D34))</f>
        <v>0</v>
      </c>
      <c r="AK34" s="654">
        <f ca="1">IF('퇴직때까지의 총연봉액'!C34="","",AK33*(1+$D34))</f>
        <v>0</v>
      </c>
      <c r="AL34" s="654">
        <f ca="1">IF('퇴직때까지의 총연봉액'!C34="","",AL33*(1+$D34))</f>
        <v>0</v>
      </c>
      <c r="AM34" s="654">
        <f ca="1">IF('퇴직때까지의 총연봉액'!C34="","",AM33*(1+$D34))</f>
        <v>0</v>
      </c>
      <c r="AN34" s="654">
        <f ca="1">IF('퇴직때까지의 총연봉액'!C34="","",AN33*(1+$D34))</f>
        <v>0</v>
      </c>
      <c r="AO34" s="659">
        <f>IF('2025'!$E$2=0,0,기준소득월액추정표!P34)*$H$1</f>
        <v>0</v>
      </c>
      <c r="AP34" s="657"/>
      <c r="AQ34" s="657"/>
      <c r="AR34" s="657"/>
      <c r="AS34" s="657"/>
      <c r="AT34" s="654">
        <v>32</v>
      </c>
    </row>
    <row r="35" spans="1:46" ht="13">
      <c r="A35" s="654">
        <v>33</v>
      </c>
      <c r="B35" s="658" t="str">
        <f ca="1">'2057'!$D$1</f>
        <v>2057</v>
      </c>
      <c r="C35" s="667">
        <f ca="1">IF('퇴직때까지의 총연봉액'!C35="","",G35*I35%*F35*AT35)</f>
        <v>0</v>
      </c>
      <c r="D35" s="668">
        <f ca="1">IF('퇴직때까지의 총연봉액'!C35="","",D34)</f>
        <v>0.02</v>
      </c>
      <c r="E35" s="671">
        <f ca="1">IF('퇴직때까지의 총연봉액'!C35="","",ROUND(PV(D35,A35-1,,-C35),-1))</f>
        <v>0</v>
      </c>
      <c r="F35" s="901">
        <v>1.7000000000000001E-2</v>
      </c>
      <c r="G35" s="654">
        <f ca="1">IF('퇴직때까지의 총연봉액'!C35="","",AVERAGE(J35:AS35))</f>
        <v>0</v>
      </c>
      <c r="H35" s="896" t="e">
        <f ca="1">G35/AP35</f>
        <v>#DIV/0!</v>
      </c>
      <c r="I35" s="658">
        <v>100</v>
      </c>
      <c r="J35" s="654">
        <f ca="1">IF('퇴직때까지의 총연봉액'!C35="","",$J34*(1+$D35))</f>
        <v>0</v>
      </c>
      <c r="K35" s="654">
        <f ca="1">IF('퇴직때까지의 총연봉액'!C35="","",K34*(1+$D35))</f>
        <v>0</v>
      </c>
      <c r="L35" s="654">
        <f ca="1">IF('퇴직때까지의 총연봉액'!C35="","",L34*(1+$D35))</f>
        <v>0</v>
      </c>
      <c r="M35" s="654">
        <f ca="1">IF('퇴직때까지의 총연봉액'!C35="","",M34*(1+$D35))</f>
        <v>0</v>
      </c>
      <c r="N35" s="654">
        <f ca="1">IF('퇴직때까지의 총연봉액'!C35="","",N34*(1+$D35))</f>
        <v>0</v>
      </c>
      <c r="O35" s="654">
        <f ca="1">IF('퇴직때까지의 총연봉액'!C35="","",O34*(1+$D35))</f>
        <v>0</v>
      </c>
      <c r="P35" s="654">
        <f ca="1">IF('퇴직때까지의 총연봉액'!C35="","",P34*(1+$D35))</f>
        <v>0</v>
      </c>
      <c r="Q35" s="654">
        <f ca="1">IF('퇴직때까지의 총연봉액'!C35="","",Q34*(1+$D35))</f>
        <v>0</v>
      </c>
      <c r="R35" s="654">
        <f ca="1">IF('퇴직때까지의 총연봉액'!C35="","",R34*(1+$D35))</f>
        <v>0</v>
      </c>
      <c r="S35" s="654">
        <f ca="1">IF('퇴직때까지의 총연봉액'!C35="","",S34*(1+$D35))</f>
        <v>0</v>
      </c>
      <c r="T35" s="654">
        <f ca="1">IF('퇴직때까지의 총연봉액'!C35="","",T34*(1+$D35))</f>
        <v>0</v>
      </c>
      <c r="U35" s="654">
        <f ca="1">IF('퇴직때까지의 총연봉액'!C35="","",U34*(1+$D35))</f>
        <v>0</v>
      </c>
      <c r="V35" s="654">
        <f ca="1">IF('퇴직때까지의 총연봉액'!C35="","",V34*(1+$D35))</f>
        <v>0</v>
      </c>
      <c r="W35" s="654">
        <f ca="1">IF('퇴직때까지의 총연봉액'!C35="","",W34*(1+$D35))</f>
        <v>0</v>
      </c>
      <c r="X35" s="654">
        <f ca="1">IF('퇴직때까지의 총연봉액'!C35="","",X34*(1+$D35))</f>
        <v>0</v>
      </c>
      <c r="Y35" s="654">
        <f ca="1">IF('퇴직때까지의 총연봉액'!C35="","",Y34*(1+$D35))</f>
        <v>0</v>
      </c>
      <c r="Z35" s="654">
        <f ca="1">IF('퇴직때까지의 총연봉액'!C35="","",Z34*(1+$D35))</f>
        <v>0</v>
      </c>
      <c r="AA35" s="654">
        <f ca="1">IF('퇴직때까지의 총연봉액'!C35="","",AA34*(1+$D35))</f>
        <v>0</v>
      </c>
      <c r="AB35" s="654">
        <f ca="1">IF('퇴직때까지의 총연봉액'!C35="","",AB34*(1+$D35))</f>
        <v>0</v>
      </c>
      <c r="AC35" s="654">
        <f ca="1">IF('퇴직때까지의 총연봉액'!C35="","",AC34*(1+$D35))</f>
        <v>0</v>
      </c>
      <c r="AD35" s="654">
        <f ca="1">IF('퇴직때까지의 총연봉액'!C35="","",AD34*(1+$D35))</f>
        <v>0</v>
      </c>
      <c r="AE35" s="654">
        <f ca="1">IF('퇴직때까지의 총연봉액'!C35="","",AE34*(1+$D35))</f>
        <v>0</v>
      </c>
      <c r="AF35" s="654">
        <f ca="1">IF('퇴직때까지의 총연봉액'!C35="","",AF34*(1+$D35))</f>
        <v>0</v>
      </c>
      <c r="AG35" s="654">
        <f ca="1">IF('퇴직때까지의 총연봉액'!C35="","",AG34*(1+$D35))</f>
        <v>0</v>
      </c>
      <c r="AH35" s="654">
        <f ca="1">IF('퇴직때까지의 총연봉액'!C35="","",AH34*(1+$D35))</f>
        <v>0</v>
      </c>
      <c r="AI35" s="654">
        <f ca="1">IF('퇴직때까지의 총연봉액'!C35="","",AI34*(1+$D35))</f>
        <v>0</v>
      </c>
      <c r="AJ35" s="654">
        <f ca="1">IF('퇴직때까지의 총연봉액'!C35="","",AJ34*(1+$D35))</f>
        <v>0</v>
      </c>
      <c r="AK35" s="654">
        <f ca="1">IF('퇴직때까지의 총연봉액'!C35="","",AK34*(1+$D35))</f>
        <v>0</v>
      </c>
      <c r="AL35" s="654">
        <f ca="1">IF('퇴직때까지의 총연봉액'!C35="","",AL34*(1+$D35))</f>
        <v>0</v>
      </c>
      <c r="AM35" s="654">
        <f ca="1">IF('퇴직때까지의 총연봉액'!C35="","",AM34*(1+$D35))</f>
        <v>0</v>
      </c>
      <c r="AN35" s="654">
        <f ca="1">IF('퇴직때까지의 총연봉액'!C35="","",AN34*(1+$D35))</f>
        <v>0</v>
      </c>
      <c r="AO35" s="654">
        <f ca="1">IF('퇴직때까지의 총연봉액'!C35="","",AO34*(1+$D35))</f>
        <v>0</v>
      </c>
      <c r="AP35" s="659">
        <f>IF('2025'!$E$2=0,0,기준소득월액추정표!P35)*$H$1</f>
        <v>0</v>
      </c>
      <c r="AQ35" s="657"/>
      <c r="AR35" s="657"/>
      <c r="AS35" s="657"/>
      <c r="AT35" s="654">
        <v>33</v>
      </c>
    </row>
    <row r="36" spans="1:46" ht="13">
      <c r="A36" s="654">
        <v>34</v>
      </c>
      <c r="B36" s="658" t="str">
        <f ca="1">'2058'!$D$1</f>
        <v>2058</v>
      </c>
      <c r="C36" s="667">
        <f ca="1">IF('퇴직때까지의 총연봉액'!C36="","",G36*I36%*F36*AT36)</f>
        <v>0</v>
      </c>
      <c r="D36" s="668">
        <f ca="1">IF('퇴직때까지의 총연봉액'!C36="","",D35)</f>
        <v>0.02</v>
      </c>
      <c r="E36" s="671">
        <f ca="1">IF('퇴직때까지의 총연봉액'!C36="","",ROUND(PV(D36,A36-1,,-C36),-1))</f>
        <v>0</v>
      </c>
      <c r="F36" s="901">
        <v>1.7000000000000001E-2</v>
      </c>
      <c r="G36" s="654">
        <f ca="1">IF('퇴직때까지의 총연봉액'!C36="","",AVERAGE(J36:AS36))</f>
        <v>0</v>
      </c>
      <c r="H36" s="896" t="e">
        <f ca="1">G36/AQ36</f>
        <v>#DIV/0!</v>
      </c>
      <c r="I36" s="658">
        <v>100</v>
      </c>
      <c r="J36" s="654">
        <f ca="1">IF('퇴직때까지의 총연봉액'!C36="","",$J35*(1+$D36))</f>
        <v>0</v>
      </c>
      <c r="K36" s="654">
        <f ca="1">IF('퇴직때까지의 총연봉액'!C36="","",K35*(1+$D36))</f>
        <v>0</v>
      </c>
      <c r="L36" s="654">
        <f ca="1">IF('퇴직때까지의 총연봉액'!C36="","",L35*(1+$D36))</f>
        <v>0</v>
      </c>
      <c r="M36" s="654">
        <f ca="1">IF('퇴직때까지의 총연봉액'!C36="","",M35*(1+$D36))</f>
        <v>0</v>
      </c>
      <c r="N36" s="654">
        <f ca="1">IF('퇴직때까지의 총연봉액'!C36="","",N35*(1+$D36))</f>
        <v>0</v>
      </c>
      <c r="O36" s="654">
        <f ca="1">IF('퇴직때까지의 총연봉액'!C36="","",O35*(1+$D36))</f>
        <v>0</v>
      </c>
      <c r="P36" s="654">
        <f ca="1">IF('퇴직때까지의 총연봉액'!C36="","",P35*(1+$D36))</f>
        <v>0</v>
      </c>
      <c r="Q36" s="654">
        <f ca="1">IF('퇴직때까지의 총연봉액'!C36="","",Q35*(1+$D36))</f>
        <v>0</v>
      </c>
      <c r="R36" s="654">
        <f ca="1">IF('퇴직때까지의 총연봉액'!C36="","",R35*(1+$D36))</f>
        <v>0</v>
      </c>
      <c r="S36" s="654">
        <f ca="1">IF('퇴직때까지의 총연봉액'!C36="","",S35*(1+$D36))</f>
        <v>0</v>
      </c>
      <c r="T36" s="654">
        <f ca="1">IF('퇴직때까지의 총연봉액'!C36="","",T35*(1+$D36))</f>
        <v>0</v>
      </c>
      <c r="U36" s="654">
        <f ca="1">IF('퇴직때까지의 총연봉액'!C36="","",U35*(1+$D36))</f>
        <v>0</v>
      </c>
      <c r="V36" s="654">
        <f ca="1">IF('퇴직때까지의 총연봉액'!C36="","",V35*(1+$D36))</f>
        <v>0</v>
      </c>
      <c r="W36" s="654">
        <f ca="1">IF('퇴직때까지의 총연봉액'!C36="","",W35*(1+$D36))</f>
        <v>0</v>
      </c>
      <c r="X36" s="654">
        <f ca="1">IF('퇴직때까지의 총연봉액'!C36="","",X35*(1+$D36))</f>
        <v>0</v>
      </c>
      <c r="Y36" s="654">
        <f ca="1">IF('퇴직때까지의 총연봉액'!C36="","",Y35*(1+$D36))</f>
        <v>0</v>
      </c>
      <c r="Z36" s="654">
        <f ca="1">IF('퇴직때까지의 총연봉액'!C36="","",Z35*(1+$D36))</f>
        <v>0</v>
      </c>
      <c r="AA36" s="654">
        <f ca="1">IF('퇴직때까지의 총연봉액'!C36="","",AA35*(1+$D36))</f>
        <v>0</v>
      </c>
      <c r="AB36" s="654">
        <f ca="1">IF('퇴직때까지의 총연봉액'!C36="","",AB35*(1+$D36))</f>
        <v>0</v>
      </c>
      <c r="AC36" s="654">
        <f ca="1">IF('퇴직때까지의 총연봉액'!C36="","",AC35*(1+$D36))</f>
        <v>0</v>
      </c>
      <c r="AD36" s="654">
        <f ca="1">IF('퇴직때까지의 총연봉액'!C36="","",AD35*(1+$D36))</f>
        <v>0</v>
      </c>
      <c r="AE36" s="654">
        <f ca="1">IF('퇴직때까지의 총연봉액'!C36="","",AE35*(1+$D36))</f>
        <v>0</v>
      </c>
      <c r="AF36" s="654">
        <f ca="1">IF('퇴직때까지의 총연봉액'!C36="","",AF35*(1+$D36))</f>
        <v>0</v>
      </c>
      <c r="AG36" s="654">
        <f ca="1">IF('퇴직때까지의 총연봉액'!C36="","",AG35*(1+$D36))</f>
        <v>0</v>
      </c>
      <c r="AH36" s="654">
        <f ca="1">IF('퇴직때까지의 총연봉액'!C36="","",AH35*(1+$D36))</f>
        <v>0</v>
      </c>
      <c r="AI36" s="654">
        <f ca="1">IF('퇴직때까지의 총연봉액'!C36="","",AI35*(1+$D36))</f>
        <v>0</v>
      </c>
      <c r="AJ36" s="654">
        <f ca="1">IF('퇴직때까지의 총연봉액'!C36="","",AJ35*(1+$D36))</f>
        <v>0</v>
      </c>
      <c r="AK36" s="654">
        <f ca="1">IF('퇴직때까지의 총연봉액'!C36="","",AK35*(1+$D36))</f>
        <v>0</v>
      </c>
      <c r="AL36" s="654">
        <f ca="1">IF('퇴직때까지의 총연봉액'!C36="","",AL35*(1+$D36))</f>
        <v>0</v>
      </c>
      <c r="AM36" s="654">
        <f ca="1">IF('퇴직때까지의 총연봉액'!C36="","",AM35*(1+$D36))</f>
        <v>0</v>
      </c>
      <c r="AN36" s="654">
        <f ca="1">IF('퇴직때까지의 총연봉액'!C36="","",AN35*(1+$D36))</f>
        <v>0</v>
      </c>
      <c r="AO36" s="654">
        <f ca="1">IF('퇴직때까지의 총연봉액'!C36="","",AO35*(1+$D36))</f>
        <v>0</v>
      </c>
      <c r="AP36" s="654">
        <f ca="1">IF('퇴직때까지의 총연봉액'!C36="","",AP35*(1+$D36))</f>
        <v>0</v>
      </c>
      <c r="AQ36" s="659">
        <f>IF('2025'!$E$2=0,0,기준소득월액추정표!P36)*$H$1</f>
        <v>0</v>
      </c>
      <c r="AR36" s="657"/>
      <c r="AS36" s="657"/>
      <c r="AT36" s="654">
        <v>34</v>
      </c>
    </row>
    <row r="37" spans="1:46" ht="13">
      <c r="A37" s="654">
        <v>35</v>
      </c>
      <c r="B37" s="658" t="str">
        <f ca="1">'2059'!$D$1</f>
        <v>2059</v>
      </c>
      <c r="C37" s="667">
        <f ca="1">IF('퇴직때까지의 총연봉액'!C37="","",G37*I37%*F37*AT37)</f>
        <v>0</v>
      </c>
      <c r="D37" s="668">
        <f ca="1">IF('퇴직때까지의 총연봉액'!C37="","",D36)</f>
        <v>0.02</v>
      </c>
      <c r="E37" s="671">
        <f ca="1">IF('퇴직때까지의 총연봉액'!C37="","",ROUND(PV(D37,A37-1,,-C37),-1))</f>
        <v>0</v>
      </c>
      <c r="F37" s="901">
        <v>1.7000000000000001E-2</v>
      </c>
      <c r="G37" s="654">
        <f ca="1">IF('퇴직때까지의 총연봉액'!C37="","",AVERAGE(J37:AS37))</f>
        <v>0</v>
      </c>
      <c r="H37" s="896" t="e">
        <f ca="1">G37/AR37</f>
        <v>#DIV/0!</v>
      </c>
      <c r="I37" s="658">
        <v>100</v>
      </c>
      <c r="J37" s="654">
        <f ca="1">IF('퇴직때까지의 총연봉액'!C37="","",$J36*(1+$D37))</f>
        <v>0</v>
      </c>
      <c r="K37" s="654">
        <f ca="1">IF('퇴직때까지의 총연봉액'!C37="","",K36*(1+$D37))</f>
        <v>0</v>
      </c>
      <c r="L37" s="654">
        <f ca="1">IF('퇴직때까지의 총연봉액'!C37="","",L36*(1+$D37))</f>
        <v>0</v>
      </c>
      <c r="M37" s="654">
        <f ca="1">IF('퇴직때까지의 총연봉액'!C37="","",M36*(1+$D37))</f>
        <v>0</v>
      </c>
      <c r="N37" s="654">
        <f ca="1">IF('퇴직때까지의 총연봉액'!C37="","",N36*(1+$D37))</f>
        <v>0</v>
      </c>
      <c r="O37" s="654">
        <f ca="1">IF('퇴직때까지의 총연봉액'!C37="","",O36*(1+$D37))</f>
        <v>0</v>
      </c>
      <c r="P37" s="654">
        <f ca="1">IF('퇴직때까지의 총연봉액'!C37="","",P36*(1+$D37))</f>
        <v>0</v>
      </c>
      <c r="Q37" s="654">
        <f ca="1">IF('퇴직때까지의 총연봉액'!C37="","",Q36*(1+$D37))</f>
        <v>0</v>
      </c>
      <c r="R37" s="654">
        <f ca="1">IF('퇴직때까지의 총연봉액'!C37="","",R36*(1+$D37))</f>
        <v>0</v>
      </c>
      <c r="S37" s="654">
        <f ca="1">IF('퇴직때까지의 총연봉액'!C37="","",S36*(1+$D37))</f>
        <v>0</v>
      </c>
      <c r="T37" s="654">
        <f ca="1">IF('퇴직때까지의 총연봉액'!C37="","",T36*(1+$D37))</f>
        <v>0</v>
      </c>
      <c r="U37" s="654">
        <f ca="1">IF('퇴직때까지의 총연봉액'!C37="","",U36*(1+$D37))</f>
        <v>0</v>
      </c>
      <c r="V37" s="654">
        <f ca="1">IF('퇴직때까지의 총연봉액'!C37="","",V36*(1+$D37))</f>
        <v>0</v>
      </c>
      <c r="W37" s="654">
        <f ca="1">IF('퇴직때까지의 총연봉액'!C37="","",W36*(1+$D37))</f>
        <v>0</v>
      </c>
      <c r="X37" s="654">
        <f ca="1">IF('퇴직때까지의 총연봉액'!C37="","",X36*(1+$D37))</f>
        <v>0</v>
      </c>
      <c r="Y37" s="654">
        <f ca="1">IF('퇴직때까지의 총연봉액'!C37="","",Y36*(1+$D37))</f>
        <v>0</v>
      </c>
      <c r="Z37" s="654">
        <f ca="1">IF('퇴직때까지의 총연봉액'!C37="","",Z36*(1+$D37))</f>
        <v>0</v>
      </c>
      <c r="AA37" s="654">
        <f ca="1">IF('퇴직때까지의 총연봉액'!C37="","",AA36*(1+$D37))</f>
        <v>0</v>
      </c>
      <c r="AB37" s="654">
        <f ca="1">IF('퇴직때까지의 총연봉액'!C37="","",AB36*(1+$D37))</f>
        <v>0</v>
      </c>
      <c r="AC37" s="654">
        <f ca="1">IF('퇴직때까지의 총연봉액'!C37="","",AC36*(1+$D37))</f>
        <v>0</v>
      </c>
      <c r="AD37" s="654">
        <f ca="1">IF('퇴직때까지의 총연봉액'!C37="","",AD36*(1+$D37))</f>
        <v>0</v>
      </c>
      <c r="AE37" s="654">
        <f ca="1">IF('퇴직때까지의 총연봉액'!C37="","",AE36*(1+$D37))</f>
        <v>0</v>
      </c>
      <c r="AF37" s="654">
        <f ca="1">IF('퇴직때까지의 총연봉액'!C37="","",AF36*(1+$D37))</f>
        <v>0</v>
      </c>
      <c r="AG37" s="654">
        <f ca="1">IF('퇴직때까지의 총연봉액'!C37="","",AG36*(1+$D37))</f>
        <v>0</v>
      </c>
      <c r="AH37" s="654">
        <f ca="1">IF('퇴직때까지의 총연봉액'!C37="","",AH36*(1+$D37))</f>
        <v>0</v>
      </c>
      <c r="AI37" s="654">
        <f ca="1">IF('퇴직때까지의 총연봉액'!C37="","",AI36*(1+$D37))</f>
        <v>0</v>
      </c>
      <c r="AJ37" s="654">
        <f ca="1">IF('퇴직때까지의 총연봉액'!C37="","",AJ36*(1+$D37))</f>
        <v>0</v>
      </c>
      <c r="AK37" s="654">
        <f ca="1">IF('퇴직때까지의 총연봉액'!C37="","",AK36*(1+$D37))</f>
        <v>0</v>
      </c>
      <c r="AL37" s="654">
        <f ca="1">IF('퇴직때까지의 총연봉액'!C37="","",AL36*(1+$D37))</f>
        <v>0</v>
      </c>
      <c r="AM37" s="654">
        <f ca="1">IF('퇴직때까지의 총연봉액'!C37="","",AM36*(1+$D37))</f>
        <v>0</v>
      </c>
      <c r="AN37" s="654">
        <f ca="1">IF('퇴직때까지의 총연봉액'!C37="","",AN36*(1+$D37))</f>
        <v>0</v>
      </c>
      <c r="AO37" s="654">
        <f ca="1">IF('퇴직때까지의 총연봉액'!C37="","",AO36*(1+$D37))</f>
        <v>0</v>
      </c>
      <c r="AP37" s="654">
        <f ca="1">IF('퇴직때까지의 총연봉액'!C37="","",AP36*(1+$D37))</f>
        <v>0</v>
      </c>
      <c r="AQ37" s="654">
        <f ca="1">IF('퇴직때까지의 총연봉액'!C37="","",AQ36*(1+$D37))</f>
        <v>0</v>
      </c>
      <c r="AR37" s="659">
        <f>IF('2025'!$E$2=0,0,기준소득월액추정표!P37)*$H$1</f>
        <v>0</v>
      </c>
      <c r="AS37" s="657"/>
      <c r="AT37" s="654">
        <v>35</v>
      </c>
    </row>
    <row r="38" spans="1:46" ht="13">
      <c r="A38" s="654">
        <v>36</v>
      </c>
      <c r="B38" s="658" t="str">
        <f ca="1">'2060'!$D$1</f>
        <v>2060</v>
      </c>
      <c r="C38" s="667" t="str">
        <f ca="1">IF('퇴직때까지의 총연봉액'!C38="","",G38*I38%*F38*AT38)</f>
        <v/>
      </c>
      <c r="D38" s="668">
        <f ca="1">D37</f>
        <v>0.02</v>
      </c>
      <c r="E38" s="671" t="str">
        <f ca="1">IF('퇴직때까지의 총연봉액'!C38="","",ROUND(PV(D38,A38-1,,-C38),-1))</f>
        <v/>
      </c>
      <c r="F38" s="901">
        <v>1.7000000000000001E-2</v>
      </c>
      <c r="G38" s="654" t="str">
        <f ca="1">IF('퇴직때까지의 총연봉액'!C38="","",AVERAGE(J38:AS38))</f>
        <v/>
      </c>
      <c r="H38" s="896" t="e">
        <f ca="1">G38/AS38</f>
        <v>#VALUE!</v>
      </c>
      <c r="I38" s="658">
        <v>100</v>
      </c>
      <c r="J38" s="654" t="str">
        <f ca="1">IF('퇴직때까지의 총연봉액'!C38="","",$J37*(1+$D38))</f>
        <v/>
      </c>
      <c r="K38" s="654" t="str">
        <f ca="1">IF('퇴직때까지의 총연봉액'!C38="","",K37*(1+$D38))</f>
        <v/>
      </c>
      <c r="L38" s="654" t="str">
        <f ca="1">IF('퇴직때까지의 총연봉액'!C38="","",L37*(1+$D38))</f>
        <v/>
      </c>
      <c r="M38" s="654" t="str">
        <f ca="1">IF('퇴직때까지의 총연봉액'!C38="","",M37*(1+$D38))</f>
        <v/>
      </c>
      <c r="N38" s="654" t="str">
        <f ca="1">IF('퇴직때까지의 총연봉액'!C38="","",N37*(1+$D38))</f>
        <v/>
      </c>
      <c r="O38" s="654" t="str">
        <f ca="1">IF('퇴직때까지의 총연봉액'!C38="","",O37*(1+$D38))</f>
        <v/>
      </c>
      <c r="P38" s="654" t="str">
        <f ca="1">IF('퇴직때까지의 총연봉액'!C38="","",P37*(1+$D38))</f>
        <v/>
      </c>
      <c r="Q38" s="654" t="str">
        <f ca="1">IF('퇴직때까지의 총연봉액'!C38="","",Q37*(1+$D38))</f>
        <v/>
      </c>
      <c r="R38" s="654" t="str">
        <f ca="1">IF('퇴직때까지의 총연봉액'!C38="","",R37*(1+$D38))</f>
        <v/>
      </c>
      <c r="S38" s="654" t="str">
        <f ca="1">IF('퇴직때까지의 총연봉액'!C38="","",S37*(1+$D38))</f>
        <v/>
      </c>
      <c r="T38" s="654" t="str">
        <f ca="1">IF('퇴직때까지의 총연봉액'!C38="","",T37*(1+$D38))</f>
        <v/>
      </c>
      <c r="U38" s="654" t="str">
        <f ca="1">IF('퇴직때까지의 총연봉액'!C38="","",U37*(1+$D38))</f>
        <v/>
      </c>
      <c r="V38" s="654" t="str">
        <f ca="1">IF('퇴직때까지의 총연봉액'!C38="","",V37*(1+$D38))</f>
        <v/>
      </c>
      <c r="W38" s="654" t="str">
        <f ca="1">IF('퇴직때까지의 총연봉액'!C38="","",W37*(1+$D38))</f>
        <v/>
      </c>
      <c r="X38" s="654" t="str">
        <f ca="1">IF('퇴직때까지의 총연봉액'!C38="","",X37*(1+$D38))</f>
        <v/>
      </c>
      <c r="Y38" s="654" t="str">
        <f ca="1">IF('퇴직때까지의 총연봉액'!C38="","",Y37*(1+$D38))</f>
        <v/>
      </c>
      <c r="Z38" s="654" t="str">
        <f ca="1">IF('퇴직때까지의 총연봉액'!C38="","",Z37*(1+$D38))</f>
        <v/>
      </c>
      <c r="AA38" s="654" t="str">
        <f ca="1">IF('퇴직때까지의 총연봉액'!C38="","",AA37*(1+$D38))</f>
        <v/>
      </c>
      <c r="AB38" s="654" t="str">
        <f ca="1">IF('퇴직때까지의 총연봉액'!C38="","",AB37*(1+$D38))</f>
        <v/>
      </c>
      <c r="AC38" s="654" t="str">
        <f ca="1">IF('퇴직때까지의 총연봉액'!C38="","",AC37*(1+$D38))</f>
        <v/>
      </c>
      <c r="AD38" s="654" t="str">
        <f ca="1">IF('퇴직때까지의 총연봉액'!C38="","",AD37*(1+$D38))</f>
        <v/>
      </c>
      <c r="AE38" s="654" t="str">
        <f ca="1">IF('퇴직때까지의 총연봉액'!C38="","",AE37*(1+$D38))</f>
        <v/>
      </c>
      <c r="AF38" s="654" t="str">
        <f ca="1">IF('퇴직때까지의 총연봉액'!C38="","",AF37*(1+$D38))</f>
        <v/>
      </c>
      <c r="AG38" s="654" t="str">
        <f ca="1">IF('퇴직때까지의 총연봉액'!C38="","",AG37*(1+$D38))</f>
        <v/>
      </c>
      <c r="AH38" s="654" t="str">
        <f ca="1">IF('퇴직때까지의 총연봉액'!C38="","",AH37*(1+$D38))</f>
        <v/>
      </c>
      <c r="AI38" s="654" t="str">
        <f ca="1">IF('퇴직때까지의 총연봉액'!C38="","",AI37*(1+$D38))</f>
        <v/>
      </c>
      <c r="AJ38" s="654" t="str">
        <f ca="1">IF('퇴직때까지의 총연봉액'!C38="","",AJ37*(1+$D38))</f>
        <v/>
      </c>
      <c r="AK38" s="654" t="str">
        <f ca="1">IF('퇴직때까지의 총연봉액'!C38="","",AK37*(1+$D38))</f>
        <v/>
      </c>
      <c r="AL38" s="654" t="str">
        <f ca="1">IF('퇴직때까지의 총연봉액'!C38="","",AL37*(1+$D38))</f>
        <v/>
      </c>
      <c r="AM38" s="654" t="str">
        <f ca="1">IF('퇴직때까지의 총연봉액'!C38="","",AM37*(1+$D38))</f>
        <v/>
      </c>
      <c r="AN38" s="654" t="str">
        <f ca="1">IF('퇴직때까지의 총연봉액'!C38="","",AN37*(1+$D38))</f>
        <v/>
      </c>
      <c r="AO38" s="654" t="str">
        <f ca="1">IF('퇴직때까지의 총연봉액'!C38="","",AO37*(1+$D38))</f>
        <v/>
      </c>
      <c r="AP38" s="654" t="str">
        <f ca="1">IF('퇴직때까지의 총연봉액'!C38="","",AP37*(1+$D38))</f>
        <v/>
      </c>
      <c r="AQ38" s="654" t="str">
        <f ca="1">IF('퇴직때까지의 총연봉액'!C38="","",AQ37*(1+$D38))</f>
        <v/>
      </c>
      <c r="AR38" s="654" t="str">
        <f ca="1">IF('퇴직때까지의 총연봉액'!C38="","",AR37*(1+$D38))</f>
        <v/>
      </c>
      <c r="AS38" s="659">
        <f>IF('2025'!$E$2=0,0,기준소득월액추정표!P38)*$H$1</f>
        <v>0</v>
      </c>
      <c r="AT38" s="654">
        <v>36</v>
      </c>
    </row>
    <row r="39" spans="1:46">
      <c r="S39" s="665"/>
    </row>
    <row r="40" spans="1:46">
      <c r="B40" s="653"/>
      <c r="C40" s="672" t="s">
        <v>9</v>
      </c>
      <c r="J40" s="669">
        <f ca="1">MAX(C3:C38)</f>
        <v>0</v>
      </c>
      <c r="K40" s="653" t="s">
        <v>12</v>
      </c>
    </row>
  </sheetData>
  <sheetProtection algorithmName="SHA-512" hashValue="rZ4kW3zSWemznj27Q8GdQxCerWg+55XclkzZ1nulgMo3iIhi8n5kknBLUVRQYH0tTGoxWqtf5tGbC0a5WoB3RA==" saltValue="sn42vY9XThEt27w7h3leSA==" spinCount="100000" sheet="1" objects="1" scenarios="1"/>
  <mergeCells count="1">
    <mergeCell ref="D1:G1"/>
  </mergeCells>
  <phoneticPr fontId="167" type="noConversion"/>
  <pageMargins left="0.69986110925674438" right="0.69986110925674438" top="0.75" bottom="0.75" header="0.30000001192092896" footer="0.30000001192092896"/>
  <pageSetup paperSize="9" fitToWidth="0" fitToHeight="0" orientation="portrait" horizontalDpi="0" verticalDpi="0"/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00000000-000E-0000-0A00-000001000000}">
            <xm:f>'2025'!$E$2="n"</xm:f>
            <x14:dxf>
              <font>
                <color rgb="FFFFFFFF"/>
              </font>
              <fill>
                <patternFill patternType="none">
                  <bgColor auto="1"/>
                </patternFill>
              </fill>
            </x14:dxf>
          </x14:cfRule>
          <xm:sqref>C3:E38 G3:AS38 C39:AS40</xm:sqref>
        </x14:conditionalFormatting>
        <x14:conditionalFormatting xmlns:xm="http://schemas.microsoft.com/office/excel/2006/main">
          <x14:cfRule type="expression" priority="3" id="{00000000-000E-0000-0A00-000003000000}">
            <xm:f>'2025'!$E$2="y"</xm:f>
            <x14:dxf>
              <font>
                <color rgb="FFFFFFFF"/>
              </font>
              <fill>
                <patternFill patternType="none">
                  <bgColor auto="1"/>
                </patternFill>
              </fill>
            </x14:dxf>
          </x14:cfRule>
          <xm:sqref>C41:AS41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rgb="FFFFFF00"/>
  </sheetPr>
  <dimension ref="A1:T44"/>
  <sheetViews>
    <sheetView zoomScale="140" zoomScaleNormal="140" zoomScaleSheetLayoutView="140" workbookViewId="0">
      <pane xSplit="5" ySplit="2" topLeftCell="F3" activePane="bottomRight" state="frozen"/>
      <selection pane="topRight"/>
      <selection pane="bottomLeft"/>
      <selection pane="bottomRight" activeCell="P20" sqref="P20"/>
    </sheetView>
  </sheetViews>
  <sheetFormatPr baseColWidth="10" defaultColWidth="9" defaultRowHeight="9.75" customHeight="1"/>
  <cols>
    <col min="1" max="1" width="5" style="43" customWidth="1"/>
    <col min="2" max="2" width="5.6640625" style="43" customWidth="1"/>
    <col min="3" max="4" width="6.83203125" style="43" customWidth="1"/>
    <col min="5" max="5" width="7" style="43" customWidth="1"/>
    <col min="6" max="6" width="10.5" style="162" customWidth="1"/>
    <col min="7" max="7" width="8.1640625" style="162" bestFit="1" customWidth="1"/>
    <col min="8" max="8" width="4.83203125" style="361" bestFit="1" customWidth="1"/>
    <col min="9" max="9" width="10.5" style="43" customWidth="1"/>
    <col min="10" max="10" width="7.83203125" style="43" bestFit="1" customWidth="1"/>
    <col min="11" max="11" width="5" style="162" bestFit="1" customWidth="1"/>
    <col min="12" max="12" width="10.5" style="43" customWidth="1"/>
    <col min="13" max="13" width="8.1640625" style="43" bestFit="1" customWidth="1"/>
    <col min="14" max="14" width="4.83203125" style="43" bestFit="1" customWidth="1"/>
    <col min="15" max="15" width="11" style="43" bestFit="1" customWidth="1"/>
    <col min="16" max="16" width="12.6640625" style="43" bestFit="1" customWidth="1"/>
    <col min="17" max="17" width="9.6640625" style="43" bestFit="1" customWidth="1"/>
    <col min="18" max="18" width="10.1640625" style="43" bestFit="1" customWidth="1"/>
    <col min="19" max="19" width="9.6640625" style="43" bestFit="1" customWidth="1"/>
    <col min="20" max="16384" width="9" style="43"/>
  </cols>
  <sheetData>
    <row r="1" spans="1:20" ht="19.5" customHeight="1">
      <c r="A1" s="1186" t="s">
        <v>416</v>
      </c>
      <c r="B1" s="1186"/>
      <c r="C1" s="1186"/>
      <c r="D1" s="846"/>
      <c r="E1" s="1187" t="s">
        <v>662</v>
      </c>
      <c r="F1" s="1187"/>
      <c r="G1" s="1187"/>
      <c r="H1" s="1187"/>
      <c r="I1" s="1187"/>
      <c r="J1" s="1187"/>
      <c r="K1" s="1187"/>
      <c r="L1" s="1187"/>
      <c r="O1" s="796">
        <f>'2026'!B1</f>
        <v>58134</v>
      </c>
      <c r="P1" s="161"/>
    </row>
    <row r="2" spans="1:20" ht="9.75" customHeight="1">
      <c r="A2" s="827" t="s">
        <v>504</v>
      </c>
      <c r="B2" s="828" t="s">
        <v>464</v>
      </c>
      <c r="C2" s="828" t="s">
        <v>529</v>
      </c>
      <c r="D2" s="828" t="s">
        <v>500</v>
      </c>
      <c r="E2" s="829" t="s">
        <v>643</v>
      </c>
      <c r="F2" s="828" t="s">
        <v>393</v>
      </c>
      <c r="G2" s="830" t="s">
        <v>330</v>
      </c>
      <c r="H2" s="830" t="s">
        <v>541</v>
      </c>
      <c r="I2" s="828" t="s">
        <v>320</v>
      </c>
      <c r="J2" s="831" t="s">
        <v>329</v>
      </c>
      <c r="K2" s="831" t="s">
        <v>541</v>
      </c>
      <c r="L2" s="828" t="s">
        <v>328</v>
      </c>
      <c r="M2" s="832" t="s">
        <v>326</v>
      </c>
      <c r="N2" s="832" t="s">
        <v>541</v>
      </c>
      <c r="O2" s="833" t="s">
        <v>385</v>
      </c>
      <c r="R2" s="379"/>
    </row>
    <row r="3" spans="1:20" ht="9.75" customHeight="1">
      <c r="A3" s="824">
        <v>1</v>
      </c>
      <c r="B3" s="798">
        <f t="shared" ref="B3:B43" ca="1" si="0">IF(F3="","",IF(INDIRECT(D3&amp;"!d6")=0,"",INDIRECT(D3&amp;"!d5")))</f>
        <v>2</v>
      </c>
      <c r="C3" s="799">
        <f ca="1">'본봉 대 수당 비율'!D3</f>
        <v>28</v>
      </c>
      <c r="D3" s="800">
        <f ca="1">VALUE('2025'!$D$1)</f>
        <v>2025</v>
      </c>
      <c r="E3" s="801">
        <f t="shared" ref="E3:E43" ca="1" si="1">IF(F3="","",IF(INDIRECT(D3&amp;"!d4")=0,"",INDIRECT(D3&amp;"!d4")))</f>
        <v>12</v>
      </c>
      <c r="F3" s="802">
        <f ca="1">IF(YEAR('2026'!$B$1)&lt;D3,"",ROUND(INDIRECT(D3&amp;"!N26"),-1))</f>
        <v>47760570</v>
      </c>
      <c r="G3" s="803"/>
      <c r="H3" s="825"/>
      <c r="I3" s="802">
        <f t="shared" ref="I3:I43" ca="1" si="2">IF(F3="","",ROUND(INDIRECT(D3&amp;"!N40"),-1))</f>
        <v>8892250</v>
      </c>
      <c r="J3" s="805"/>
      <c r="K3" s="806"/>
      <c r="L3" s="802">
        <f t="shared" ref="L3:L43" ca="1" si="3">IF(F3="","",ROUND(INDIRECT(D3&amp;"!N41"),-1))</f>
        <v>38868320</v>
      </c>
      <c r="M3" s="807"/>
      <c r="N3" s="808"/>
      <c r="O3" s="826"/>
      <c r="Q3" s="164"/>
    </row>
    <row r="4" spans="1:20" ht="9.75" customHeight="1">
      <c r="A4" s="810">
        <v>2</v>
      </c>
      <c r="B4" s="357">
        <f t="shared" ca="1" si="0"/>
        <v>4</v>
      </c>
      <c r="C4" s="799">
        <f ca="1">'본봉 대 수당 비율'!D4</f>
        <v>29</v>
      </c>
      <c r="D4" s="675">
        <f ca="1">VALUE('2026'!$D$1)</f>
        <v>2026</v>
      </c>
      <c r="E4" s="674">
        <f t="shared" ca="1" si="1"/>
        <v>14</v>
      </c>
      <c r="F4" s="794">
        <f ca="1">IF(YEAR('2026'!$B$1)&lt;D4,"",ROUND(INDIRECT(D4&amp;"!N26"),-1))</f>
        <v>51713610</v>
      </c>
      <c r="G4" s="363">
        <f ca="1">IF(F4="","",F4-F3)</f>
        <v>3953040</v>
      </c>
      <c r="H4" s="365">
        <f t="shared" ref="H4:H43" ca="1" si="4">IF(F4="","",(F4-F3)/F3)</f>
        <v>8.276785641377396E-2</v>
      </c>
      <c r="I4" s="794">
        <f t="shared" ca="1" si="2"/>
        <v>12714840</v>
      </c>
      <c r="J4" s="233">
        <f t="shared" ref="J4:J43" ca="1" si="5">IF(I4="","",I4-I3)</f>
        <v>3822590</v>
      </c>
      <c r="K4" s="377">
        <f ca="1">IF(I4="","",(I4-I3)/I3)</f>
        <v>0.42987882706851471</v>
      </c>
      <c r="L4" s="794">
        <f t="shared" ca="1" si="3"/>
        <v>38998770</v>
      </c>
      <c r="M4" s="368">
        <f t="shared" ref="M4:M42" ca="1" si="6">IF(L4="","",L4-L3)</f>
        <v>130450</v>
      </c>
      <c r="N4" s="369">
        <f ca="1">IF(L4="","",(L4-L3)/L3)</f>
        <v>3.3562037155194769E-3</v>
      </c>
      <c r="O4" s="811">
        <f ca="1">M4/12</f>
        <v>10870.833333333334</v>
      </c>
      <c r="Q4" s="382"/>
      <c r="R4" s="379"/>
    </row>
    <row r="5" spans="1:20" ht="9.75" customHeight="1">
      <c r="A5" s="810">
        <v>3</v>
      </c>
      <c r="B5" s="357">
        <f t="shared" ca="1" si="0"/>
        <v>5</v>
      </c>
      <c r="C5" s="799">
        <f ca="1">'본봉 대 수당 비율'!D5</f>
        <v>30</v>
      </c>
      <c r="D5" s="675">
        <f ca="1">VALUE('2027'!$D$1)</f>
        <v>2027</v>
      </c>
      <c r="E5" s="674">
        <f t="shared" ca="1" si="1"/>
        <v>15</v>
      </c>
      <c r="F5" s="794">
        <f ca="1">IF(YEAR('2026'!$B$1)&lt;D5,"",ROUND(INDIRECT(D5&amp;"!N26"),-1))</f>
        <v>54691190</v>
      </c>
      <c r="G5" s="363">
        <f t="shared" ref="G5:G43" ca="1" si="7">IF(F5="","",F5-F4)</f>
        <v>2977580</v>
      </c>
      <c r="H5" s="365">
        <f t="shared" ca="1" si="4"/>
        <v>5.7578266146958219E-2</v>
      </c>
      <c r="I5" s="794">
        <f t="shared" ca="1" si="2"/>
        <v>13709680</v>
      </c>
      <c r="J5" s="233">
        <f t="shared" ca="1" si="5"/>
        <v>994840</v>
      </c>
      <c r="K5" s="377">
        <f t="shared" ref="K5:K43" ca="1" si="8">IF(I5="","",(I5-I4)/I4)</f>
        <v>7.8242431678259422E-2</v>
      </c>
      <c r="L5" s="794">
        <f t="shared" ca="1" si="3"/>
        <v>40981510</v>
      </c>
      <c r="M5" s="368">
        <f t="shared" ca="1" si="6"/>
        <v>1982740</v>
      </c>
      <c r="N5" s="369">
        <f t="shared" ref="N5:N43" ca="1" si="9">IF(L5="","",(L5-L4)/L4)</f>
        <v>5.0841090629268566E-2</v>
      </c>
      <c r="O5" s="811">
        <f t="shared" ref="O5:O41" ca="1" si="10">M5/12</f>
        <v>165228.33333333334</v>
      </c>
    </row>
    <row r="6" spans="1:20" ht="9.75" customHeight="1">
      <c r="A6" s="810">
        <v>4</v>
      </c>
      <c r="B6" s="357">
        <f t="shared" ca="1" si="0"/>
        <v>6</v>
      </c>
      <c r="C6" s="799">
        <f ca="1">'본봉 대 수당 비율'!D6</f>
        <v>31</v>
      </c>
      <c r="D6" s="675">
        <f ca="1">VALUE('2028'!$D$1)</f>
        <v>2028</v>
      </c>
      <c r="E6" s="674">
        <f t="shared" ca="1" si="1"/>
        <v>16</v>
      </c>
      <c r="F6" s="794">
        <f ca="1">IF(YEAR('2026'!$B$1)&lt;D6,"",ROUND(INDIRECT(D6&amp;"!N26"),-1))</f>
        <v>57830590</v>
      </c>
      <c r="G6" s="363">
        <f t="shared" ca="1" si="7"/>
        <v>3139400</v>
      </c>
      <c r="H6" s="365">
        <f t="shared" ca="1" si="4"/>
        <v>5.7402298249498683E-2</v>
      </c>
      <c r="I6" s="794">
        <f t="shared" ca="1" si="2"/>
        <v>14689780</v>
      </c>
      <c r="J6" s="233">
        <f t="shared" ca="1" si="5"/>
        <v>980100</v>
      </c>
      <c r="K6" s="377">
        <f t="shared" ca="1" si="8"/>
        <v>7.1489633601951319E-2</v>
      </c>
      <c r="L6" s="794">
        <f t="shared" ca="1" si="3"/>
        <v>43140810</v>
      </c>
      <c r="M6" s="368">
        <f t="shared" ca="1" si="6"/>
        <v>2159300</v>
      </c>
      <c r="N6" s="369">
        <f t="shared" ca="1" si="9"/>
        <v>5.2689615389964889E-2</v>
      </c>
      <c r="O6" s="811">
        <f t="shared" ca="1" si="10"/>
        <v>179941.66666666666</v>
      </c>
      <c r="S6" s="380"/>
    </row>
    <row r="7" spans="1:20" ht="9.75" customHeight="1">
      <c r="A7" s="812">
        <v>5</v>
      </c>
      <c r="B7" s="813">
        <f t="shared" ca="1" si="0"/>
        <v>7</v>
      </c>
      <c r="C7" s="799">
        <f ca="1">'본봉 대 수당 비율'!D7</f>
        <v>32</v>
      </c>
      <c r="D7" s="814">
        <f ca="1">VALUE('2029'!$D$1)</f>
        <v>2029</v>
      </c>
      <c r="E7" s="815">
        <f t="shared" ca="1" si="1"/>
        <v>17</v>
      </c>
      <c r="F7" s="816">
        <f ca="1">IF(YEAR('2026'!$B$1)&lt;D7,"",ROUND(INDIRECT(D7&amp;"!N26"),-1))</f>
        <v>61094460</v>
      </c>
      <c r="G7" s="817">
        <f t="shared" ca="1" si="7"/>
        <v>3263870</v>
      </c>
      <c r="H7" s="818">
        <f t="shared" ca="1" si="4"/>
        <v>5.6438469674959219E-2</v>
      </c>
      <c r="I7" s="816">
        <f t="shared" ca="1" si="2"/>
        <v>15712400</v>
      </c>
      <c r="J7" s="819">
        <f t="shared" ca="1" si="5"/>
        <v>1022620</v>
      </c>
      <c r="K7" s="820">
        <f t="shared" ca="1" si="8"/>
        <v>6.9614384966963427E-2</v>
      </c>
      <c r="L7" s="816">
        <f t="shared" ca="1" si="3"/>
        <v>45382060</v>
      </c>
      <c r="M7" s="821">
        <f t="shared" ca="1" si="6"/>
        <v>2241250</v>
      </c>
      <c r="N7" s="822">
        <f t="shared" ca="1" si="9"/>
        <v>5.1951968449363839E-2</v>
      </c>
      <c r="O7" s="823">
        <f t="shared" ca="1" si="10"/>
        <v>186770.83333333334</v>
      </c>
    </row>
    <row r="8" spans="1:20" ht="9.75" customHeight="1">
      <c r="A8" s="834">
        <v>6</v>
      </c>
      <c r="B8" s="835">
        <f t="shared" ca="1" si="0"/>
        <v>8</v>
      </c>
      <c r="C8" s="799">
        <f ca="1">'본봉 대 수당 비율'!D8</f>
        <v>33</v>
      </c>
      <c r="D8" s="836">
        <f ca="1">VALUE('2030'!$D$1)</f>
        <v>2030</v>
      </c>
      <c r="E8" s="837">
        <f t="shared" ca="1" si="1"/>
        <v>18</v>
      </c>
      <c r="F8" s="838">
        <f ca="1">IF(YEAR('2026'!$B$1)&lt;D8,"",ROUND(INDIRECT(D8&amp;"!N26"),-1))</f>
        <v>64578840</v>
      </c>
      <c r="G8" s="839">
        <f t="shared" ca="1" si="7"/>
        <v>3484380</v>
      </c>
      <c r="H8" s="840">
        <f t="shared" ca="1" si="4"/>
        <v>5.7032667119080845E-2</v>
      </c>
      <c r="I8" s="838">
        <f t="shared" ca="1" si="2"/>
        <v>16728810</v>
      </c>
      <c r="J8" s="841">
        <f t="shared" ca="1" si="5"/>
        <v>1016410</v>
      </c>
      <c r="K8" s="842">
        <f t="shared" ca="1" si="8"/>
        <v>6.4688398971512948E-2</v>
      </c>
      <c r="L8" s="838">
        <f t="shared" ca="1" si="3"/>
        <v>47850030</v>
      </c>
      <c r="M8" s="843">
        <f t="shared" ca="1" si="6"/>
        <v>2467970</v>
      </c>
      <c r="N8" s="844">
        <f t="shared" ca="1" si="9"/>
        <v>5.4382061986608804E-2</v>
      </c>
      <c r="O8" s="845">
        <f t="shared" ca="1" si="10"/>
        <v>205664.16666666666</v>
      </c>
    </row>
    <row r="9" spans="1:20" ht="9.75" customHeight="1">
      <c r="A9" s="810">
        <v>7</v>
      </c>
      <c r="B9" s="357">
        <f t="shared" ca="1" si="0"/>
        <v>9</v>
      </c>
      <c r="C9" s="799">
        <f ca="1">'본봉 대 수당 비율'!D9</f>
        <v>34</v>
      </c>
      <c r="D9" s="675">
        <f ca="1">VALUE('2031'!$D$1)</f>
        <v>2031</v>
      </c>
      <c r="E9" s="674">
        <f t="shared" ca="1" si="1"/>
        <v>19</v>
      </c>
      <c r="F9" s="794">
        <f ca="1">IF(YEAR('2026'!$B$1)&lt;D9,"",ROUND(INDIRECT(D9&amp;"!N26"),-1))</f>
        <v>68241540</v>
      </c>
      <c r="G9" s="363">
        <f t="shared" ca="1" si="7"/>
        <v>3662700</v>
      </c>
      <c r="H9" s="365">
        <f t="shared" ca="1" si="4"/>
        <v>5.6716720213617962E-2</v>
      </c>
      <c r="I9" s="794">
        <f t="shared" ca="1" si="2"/>
        <v>17874310</v>
      </c>
      <c r="J9" s="233">
        <f t="shared" ca="1" si="5"/>
        <v>1145500</v>
      </c>
      <c r="K9" s="377">
        <f t="shared" ca="1" si="8"/>
        <v>6.8474685288433548E-2</v>
      </c>
      <c r="L9" s="794">
        <f t="shared" ca="1" si="3"/>
        <v>50367230</v>
      </c>
      <c r="M9" s="368">
        <f t="shared" ca="1" si="6"/>
        <v>2517200</v>
      </c>
      <c r="N9" s="369">
        <f t="shared" ca="1" si="9"/>
        <v>5.2606027624225102E-2</v>
      </c>
      <c r="O9" s="811">
        <f t="shared" ca="1" si="10"/>
        <v>209766.66666666666</v>
      </c>
    </row>
    <row r="10" spans="1:20" ht="9.75" customHeight="1">
      <c r="A10" s="810">
        <v>8</v>
      </c>
      <c r="B10" s="357">
        <f t="shared" ca="1" si="0"/>
        <v>10</v>
      </c>
      <c r="C10" s="799">
        <f ca="1">'본봉 대 수당 비율'!D10</f>
        <v>35</v>
      </c>
      <c r="D10" s="675">
        <f ca="1">VALUE('2032'!$D$1)</f>
        <v>2032</v>
      </c>
      <c r="E10" s="674">
        <f t="shared" ca="1" si="1"/>
        <v>20</v>
      </c>
      <c r="F10" s="794">
        <f ca="1">IF(YEAR('2026'!$B$1)&lt;D10,"",ROUND(INDIRECT(D10&amp;"!N26"),-1))</f>
        <v>72347490</v>
      </c>
      <c r="G10" s="363">
        <f t="shared" ca="1" si="7"/>
        <v>4105950</v>
      </c>
      <c r="H10" s="365">
        <f t="shared" ca="1" si="4"/>
        <v>6.0167897735015942E-2</v>
      </c>
      <c r="I10" s="794">
        <f t="shared" ca="1" si="2"/>
        <v>19801920</v>
      </c>
      <c r="J10" s="233">
        <f t="shared" ca="1" si="5"/>
        <v>1927610</v>
      </c>
      <c r="K10" s="377">
        <f t="shared" ca="1" si="8"/>
        <v>0.10784248454905392</v>
      </c>
      <c r="L10" s="794">
        <f t="shared" ca="1" si="3"/>
        <v>52545570</v>
      </c>
      <c r="M10" s="368">
        <f t="shared" ca="1" si="6"/>
        <v>2178340</v>
      </c>
      <c r="N10" s="369">
        <f t="shared" ca="1" si="9"/>
        <v>4.3249152276192276E-2</v>
      </c>
      <c r="O10" s="811">
        <f t="shared" ca="1" si="10"/>
        <v>181528.33333333334</v>
      </c>
      <c r="T10" s="380"/>
    </row>
    <row r="11" spans="1:20" ht="9.75" customHeight="1">
      <c r="A11" s="810">
        <v>9</v>
      </c>
      <c r="B11" s="357">
        <f t="shared" ca="1" si="0"/>
        <v>11</v>
      </c>
      <c r="C11" s="799">
        <f ca="1">'본봉 대 수당 비율'!D11</f>
        <v>36</v>
      </c>
      <c r="D11" s="675">
        <f ca="1">VALUE('2033'!$D$1)</f>
        <v>2033</v>
      </c>
      <c r="E11" s="674">
        <f t="shared" ca="1" si="1"/>
        <v>21</v>
      </c>
      <c r="F11" s="794">
        <f ca="1">IF(YEAR('2026'!$B$1)&lt;D11,"",ROUND(INDIRECT(D11&amp;"!N26"),-1))</f>
        <v>76176510</v>
      </c>
      <c r="G11" s="363">
        <f t="shared" ca="1" si="7"/>
        <v>3829020</v>
      </c>
      <c r="H11" s="365">
        <f t="shared" ca="1" si="4"/>
        <v>5.2925402111393224E-2</v>
      </c>
      <c r="I11" s="794">
        <f t="shared" ca="1" si="2"/>
        <v>21336320</v>
      </c>
      <c r="J11" s="233">
        <f t="shared" ca="1" si="5"/>
        <v>1534400</v>
      </c>
      <c r="K11" s="377">
        <f t="shared" ca="1" si="8"/>
        <v>7.7487435561804111E-2</v>
      </c>
      <c r="L11" s="794">
        <f t="shared" ca="1" si="3"/>
        <v>54840190</v>
      </c>
      <c r="M11" s="368">
        <f t="shared" ca="1" si="6"/>
        <v>2294620</v>
      </c>
      <c r="N11" s="369">
        <f t="shared" ca="1" si="9"/>
        <v>4.3669142803094536E-2</v>
      </c>
      <c r="O11" s="811">
        <f t="shared" ca="1" si="10"/>
        <v>191218.33333333334</v>
      </c>
    </row>
    <row r="12" spans="1:20" ht="9.75" customHeight="1">
      <c r="A12" s="812">
        <v>10</v>
      </c>
      <c r="B12" s="813">
        <f t="shared" ca="1" si="0"/>
        <v>12</v>
      </c>
      <c r="C12" s="799">
        <f ca="1">'본봉 대 수당 비율'!D12</f>
        <v>37</v>
      </c>
      <c r="D12" s="814">
        <f ca="1">VALUE('2034'!$D$1)</f>
        <v>2034</v>
      </c>
      <c r="E12" s="815">
        <f t="shared" ca="1" si="1"/>
        <v>22</v>
      </c>
      <c r="F12" s="816">
        <f ca="1">IF(YEAR('2026'!$B$1)&lt;D12,"",ROUND(INDIRECT(D12&amp;"!N26"),-1))</f>
        <v>80109680</v>
      </c>
      <c r="G12" s="817">
        <f t="shared" ca="1" si="7"/>
        <v>3933170</v>
      </c>
      <c r="H12" s="818">
        <f t="shared" ca="1" si="4"/>
        <v>5.1632320777100449E-2</v>
      </c>
      <c r="I12" s="816">
        <f t="shared" ca="1" si="2"/>
        <v>24784370</v>
      </c>
      <c r="J12" s="819">
        <f t="shared" ca="1" si="5"/>
        <v>3448050</v>
      </c>
      <c r="K12" s="820">
        <f t="shared" ca="1" si="8"/>
        <v>0.1616047190893275</v>
      </c>
      <c r="L12" s="816">
        <f t="shared" ca="1" si="3"/>
        <v>55325310</v>
      </c>
      <c r="M12" s="821">
        <f t="shared" ca="1" si="6"/>
        <v>485120</v>
      </c>
      <c r="N12" s="822">
        <f t="shared" ca="1" si="9"/>
        <v>8.8460670905771838E-3</v>
      </c>
      <c r="O12" s="823">
        <f t="shared" ca="1" si="10"/>
        <v>40426.666666666664</v>
      </c>
    </row>
    <row r="13" spans="1:20" ht="9.75" customHeight="1">
      <c r="A13" s="834">
        <v>11</v>
      </c>
      <c r="B13" s="835">
        <f t="shared" ca="1" si="0"/>
        <v>13</v>
      </c>
      <c r="C13" s="799">
        <f ca="1">'본봉 대 수당 비율'!D13</f>
        <v>38</v>
      </c>
      <c r="D13" s="836">
        <f ca="1">VALUE('2035'!$D$1)</f>
        <v>2035</v>
      </c>
      <c r="E13" s="837">
        <f t="shared" ca="1" si="1"/>
        <v>23</v>
      </c>
      <c r="F13" s="838">
        <f ca="1">IF(YEAR('2026'!$B$1)&lt;D13,"",ROUND(INDIRECT(D13&amp;"!N26"),-1))</f>
        <v>84231850</v>
      </c>
      <c r="G13" s="839">
        <f t="shared" ca="1" si="7"/>
        <v>4122170</v>
      </c>
      <c r="H13" s="840">
        <f t="shared" ca="1" si="4"/>
        <v>5.145657803151879E-2</v>
      </c>
      <c r="I13" s="838">
        <f t="shared" ca="1" si="2"/>
        <v>24565470</v>
      </c>
      <c r="J13" s="841">
        <f t="shared" ca="1" si="5"/>
        <v>-218900</v>
      </c>
      <c r="K13" s="842">
        <f t="shared" ca="1" si="8"/>
        <v>-8.8321793130105783E-3</v>
      </c>
      <c r="L13" s="838">
        <f t="shared" ca="1" si="3"/>
        <v>59666380</v>
      </c>
      <c r="M13" s="843">
        <f t="shared" ca="1" si="6"/>
        <v>4341070</v>
      </c>
      <c r="N13" s="844">
        <f t="shared" ca="1" si="9"/>
        <v>7.8464449634353603E-2</v>
      </c>
      <c r="O13" s="845">
        <f t="shared" ca="1" si="10"/>
        <v>361755.83333333331</v>
      </c>
    </row>
    <row r="14" spans="1:20" ht="9.75" customHeight="1">
      <c r="A14" s="810">
        <v>12</v>
      </c>
      <c r="B14" s="357">
        <f t="shared" ca="1" si="0"/>
        <v>14</v>
      </c>
      <c r="C14" s="799">
        <f ca="1">'본봉 대 수당 비율'!D14</f>
        <v>39</v>
      </c>
      <c r="D14" s="675">
        <f ca="1">VALUE('2036'!$D$1)</f>
        <v>2036</v>
      </c>
      <c r="E14" s="674">
        <f t="shared" ca="1" si="1"/>
        <v>24</v>
      </c>
      <c r="F14" s="794">
        <f ca="1">IF(YEAR('2026'!$B$1)&lt;D14,"",ROUND(INDIRECT(D14&amp;"!N26"),-1))</f>
        <v>88518240</v>
      </c>
      <c r="G14" s="363">
        <f t="shared" ca="1" si="7"/>
        <v>4286390</v>
      </c>
      <c r="H14" s="365">
        <f t="shared" ca="1" si="4"/>
        <v>5.0887995455400778E-2</v>
      </c>
      <c r="I14" s="794">
        <f t="shared" ca="1" si="2"/>
        <v>26272800</v>
      </c>
      <c r="J14" s="233">
        <f t="shared" ca="1" si="5"/>
        <v>1707330</v>
      </c>
      <c r="K14" s="377">
        <f t="shared" ca="1" si="8"/>
        <v>6.9501214509634868E-2</v>
      </c>
      <c r="L14" s="794">
        <f t="shared" ca="1" si="3"/>
        <v>62245440</v>
      </c>
      <c r="M14" s="368">
        <f t="shared" ca="1" si="6"/>
        <v>2579060</v>
      </c>
      <c r="N14" s="369">
        <f t="shared" ca="1" si="9"/>
        <v>4.3224676945375268E-2</v>
      </c>
      <c r="O14" s="811">
        <f t="shared" ca="1" si="10"/>
        <v>214921.66666666666</v>
      </c>
    </row>
    <row r="15" spans="1:20" ht="9.75" customHeight="1">
      <c r="A15" s="810">
        <v>13</v>
      </c>
      <c r="B15" s="357">
        <f t="shared" ca="1" si="0"/>
        <v>15</v>
      </c>
      <c r="C15" s="799">
        <f ca="1">'본봉 대 수당 비율'!D15</f>
        <v>40</v>
      </c>
      <c r="D15" s="675">
        <f ca="1">VALUE('2037'!$D$1)</f>
        <v>2037</v>
      </c>
      <c r="E15" s="674">
        <f t="shared" ca="1" si="1"/>
        <v>25</v>
      </c>
      <c r="F15" s="794">
        <f ca="1">IF(YEAR('2026'!$B$1)&lt;D15,"",ROUND(INDIRECT(D15&amp;"!N26"),-1))</f>
        <v>93170500</v>
      </c>
      <c r="G15" s="363">
        <f t="shared" ca="1" si="7"/>
        <v>4652260</v>
      </c>
      <c r="H15" s="365">
        <f t="shared" ca="1" si="4"/>
        <v>5.2557077501766865E-2</v>
      </c>
      <c r="I15" s="794">
        <f t="shared" ca="1" si="2"/>
        <v>28093450</v>
      </c>
      <c r="J15" s="233">
        <f t="shared" ca="1" si="5"/>
        <v>1820650</v>
      </c>
      <c r="K15" s="377">
        <f t="shared" ca="1" si="8"/>
        <v>6.9297905057702266E-2</v>
      </c>
      <c r="L15" s="794">
        <f t="shared" ca="1" si="3"/>
        <v>65077050</v>
      </c>
      <c r="M15" s="368">
        <f t="shared" ca="1" si="6"/>
        <v>2831610</v>
      </c>
      <c r="N15" s="369">
        <f t="shared" ca="1" si="9"/>
        <v>4.5491043199309057E-2</v>
      </c>
      <c r="O15" s="811">
        <f t="shared" ca="1" si="10"/>
        <v>235967.5</v>
      </c>
      <c r="Q15" s="380"/>
      <c r="R15" s="381"/>
      <c r="S15" s="379"/>
    </row>
    <row r="16" spans="1:20" ht="9.75" customHeight="1">
      <c r="A16" s="810">
        <v>14</v>
      </c>
      <c r="B16" s="357">
        <f t="shared" ca="1" si="0"/>
        <v>16</v>
      </c>
      <c r="C16" s="799">
        <f ca="1">'본봉 대 수당 비율'!D16</f>
        <v>41</v>
      </c>
      <c r="D16" s="675">
        <f ca="1">VALUE('2038'!$D$1)</f>
        <v>2038</v>
      </c>
      <c r="E16" s="674">
        <f t="shared" ca="1" si="1"/>
        <v>26</v>
      </c>
      <c r="F16" s="794">
        <f ca="1">IF(YEAR('2026'!$B$1)&lt;D16,"",ROUND(INDIRECT(D16&amp;"!N26"),-1))</f>
        <v>97839950</v>
      </c>
      <c r="G16" s="363">
        <f t="shared" ca="1" si="7"/>
        <v>4669450</v>
      </c>
      <c r="H16" s="365">
        <f t="shared" ca="1" si="4"/>
        <v>5.0117258145013714E-2</v>
      </c>
      <c r="I16" s="794">
        <f t="shared" ca="1" si="2"/>
        <v>29993400</v>
      </c>
      <c r="J16" s="233">
        <f t="shared" ca="1" si="5"/>
        <v>1899950</v>
      </c>
      <c r="K16" s="377">
        <f t="shared" ca="1" si="8"/>
        <v>6.7629643208648282E-2</v>
      </c>
      <c r="L16" s="794">
        <f t="shared" ca="1" si="3"/>
        <v>67846550</v>
      </c>
      <c r="M16" s="368">
        <f t="shared" ca="1" si="6"/>
        <v>2769500</v>
      </c>
      <c r="N16" s="369">
        <f t="shared" ca="1" si="9"/>
        <v>4.2557245603480794E-2</v>
      </c>
      <c r="O16" s="811">
        <f t="shared" ca="1" si="10"/>
        <v>230791.66666666666</v>
      </c>
    </row>
    <row r="17" spans="1:19" ht="9.75" customHeight="1">
      <c r="A17" s="812">
        <v>15</v>
      </c>
      <c r="B17" s="813">
        <f t="shared" ca="1" si="0"/>
        <v>17</v>
      </c>
      <c r="C17" s="799">
        <f ca="1">'본봉 대 수당 비율'!D17</f>
        <v>42</v>
      </c>
      <c r="D17" s="814">
        <f ca="1">VALUE('2039'!$D$1)</f>
        <v>2039</v>
      </c>
      <c r="E17" s="815">
        <f t="shared" ca="1" si="1"/>
        <v>27</v>
      </c>
      <c r="F17" s="816">
        <f ca="1">IF(YEAR('2026'!$B$1)&lt;D17,"",ROUND(INDIRECT(D17&amp;"!N26"),-1))</f>
        <v>102742770</v>
      </c>
      <c r="G17" s="817">
        <f t="shared" ca="1" si="7"/>
        <v>4902820</v>
      </c>
      <c r="H17" s="818">
        <f t="shared" ca="1" si="4"/>
        <v>5.0110614324721137E-2</v>
      </c>
      <c r="I17" s="816">
        <f t="shared" ca="1" si="2"/>
        <v>31911980</v>
      </c>
      <c r="J17" s="819">
        <f t="shared" ca="1" si="5"/>
        <v>1918580</v>
      </c>
      <c r="K17" s="820">
        <f t="shared" ca="1" si="8"/>
        <v>6.3966739349323523E-2</v>
      </c>
      <c r="L17" s="816">
        <f t="shared" ca="1" si="3"/>
        <v>70830790</v>
      </c>
      <c r="M17" s="821">
        <f t="shared" ca="1" si="6"/>
        <v>2984240</v>
      </c>
      <c r="N17" s="822">
        <f t="shared" ca="1" si="9"/>
        <v>4.3985139996064647E-2</v>
      </c>
      <c r="O17" s="823">
        <f t="shared" ca="1" si="10"/>
        <v>248686.66666666666</v>
      </c>
    </row>
    <row r="18" spans="1:19" ht="9.75" customHeight="1">
      <c r="A18" s="834">
        <v>16</v>
      </c>
      <c r="B18" s="835">
        <f t="shared" ca="1" si="0"/>
        <v>18</v>
      </c>
      <c r="C18" s="799">
        <f ca="1">'본봉 대 수당 비율'!D18</f>
        <v>43</v>
      </c>
      <c r="D18" s="836">
        <f ca="1">VALUE('2040'!$D$1)</f>
        <v>2040</v>
      </c>
      <c r="E18" s="837">
        <f t="shared" ca="1" si="1"/>
        <v>28</v>
      </c>
      <c r="F18" s="838">
        <f ca="1">IF(YEAR('2026'!$B$1)&lt;D18,"",ROUND(INDIRECT(D18&amp;"!N26"),-1))</f>
        <v>107855020</v>
      </c>
      <c r="G18" s="839">
        <f t="shared" ca="1" si="7"/>
        <v>5112250</v>
      </c>
      <c r="H18" s="840">
        <f t="shared" ca="1" si="4"/>
        <v>4.9757759110446408E-2</v>
      </c>
      <c r="I18" s="838">
        <f t="shared" ca="1" si="2"/>
        <v>34017290</v>
      </c>
      <c r="J18" s="841">
        <f t="shared" ca="1" si="5"/>
        <v>2105310</v>
      </c>
      <c r="K18" s="842">
        <f t="shared" ca="1" si="8"/>
        <v>6.5972402840563327E-2</v>
      </c>
      <c r="L18" s="838">
        <f t="shared" ca="1" si="3"/>
        <v>73837730</v>
      </c>
      <c r="M18" s="843">
        <f t="shared" ca="1" si="6"/>
        <v>3006940</v>
      </c>
      <c r="N18" s="844">
        <f t="shared" ca="1" si="9"/>
        <v>4.2452441939444696E-2</v>
      </c>
      <c r="O18" s="845">
        <f t="shared" ca="1" si="10"/>
        <v>250578.33333333334</v>
      </c>
    </row>
    <row r="19" spans="1:19" ht="9.75" customHeight="1">
      <c r="A19" s="810">
        <v>17</v>
      </c>
      <c r="B19" s="357">
        <f t="shared" ca="1" si="0"/>
        <v>19</v>
      </c>
      <c r="C19" s="799">
        <f ca="1">'본봉 대 수당 비율'!D19</f>
        <v>44</v>
      </c>
      <c r="D19" s="675">
        <f ca="1">VALUE('2041'!$D$1)</f>
        <v>2041</v>
      </c>
      <c r="E19" s="674">
        <f t="shared" ca="1" si="1"/>
        <v>29</v>
      </c>
      <c r="F19" s="794">
        <f ca="1">IF(YEAR('2026'!$B$1)&lt;D19,"",ROUND(INDIRECT(D19&amp;"!N26"),-1))</f>
        <v>113258810</v>
      </c>
      <c r="G19" s="363">
        <f t="shared" ca="1" si="7"/>
        <v>5403790</v>
      </c>
      <c r="H19" s="365">
        <f t="shared" ca="1" si="4"/>
        <v>5.0102350358842827E-2</v>
      </c>
      <c r="I19" s="794">
        <f t="shared" ca="1" si="2"/>
        <v>36290530</v>
      </c>
      <c r="J19" s="233">
        <f t="shared" ca="1" si="5"/>
        <v>2273240</v>
      </c>
      <c r="K19" s="377">
        <f t="shared" ca="1" si="8"/>
        <v>6.682601700488193E-2</v>
      </c>
      <c r="L19" s="794">
        <f t="shared" ca="1" si="3"/>
        <v>76968280</v>
      </c>
      <c r="M19" s="368">
        <f t="shared" ca="1" si="6"/>
        <v>3130550</v>
      </c>
      <c r="N19" s="369">
        <f t="shared" ca="1" si="9"/>
        <v>4.239770101274782E-2</v>
      </c>
      <c r="O19" s="811">
        <f t="shared" ca="1" si="10"/>
        <v>260879.16666666666</v>
      </c>
    </row>
    <row r="20" spans="1:19" ht="9.75" customHeight="1">
      <c r="A20" s="810">
        <v>18</v>
      </c>
      <c r="B20" s="357">
        <f t="shared" ca="1" si="0"/>
        <v>20</v>
      </c>
      <c r="C20" s="799">
        <f ca="1">'본봉 대 수당 비율'!D20</f>
        <v>45</v>
      </c>
      <c r="D20" s="675">
        <f ca="1">VALUE('2042'!$D$1)</f>
        <v>2042</v>
      </c>
      <c r="E20" s="674">
        <f t="shared" ca="1" si="1"/>
        <v>30</v>
      </c>
      <c r="F20" s="794">
        <f ca="1">IF(YEAR('2026'!$B$1)&lt;D20,"",ROUND(INDIRECT(D20&amp;"!N26"),-1))</f>
        <v>119369610</v>
      </c>
      <c r="G20" s="363">
        <f t="shared" ca="1" si="7"/>
        <v>6110800</v>
      </c>
      <c r="H20" s="365">
        <f t="shared" ca="1" si="4"/>
        <v>5.3954301656533386E-2</v>
      </c>
      <c r="I20" s="794">
        <f t="shared" ca="1" si="2"/>
        <v>39537540</v>
      </c>
      <c r="J20" s="233">
        <f t="shared" ca="1" si="5"/>
        <v>3247010</v>
      </c>
      <c r="K20" s="377">
        <f t="shared" ca="1" si="8"/>
        <v>8.9472653058525184E-2</v>
      </c>
      <c r="L20" s="794">
        <f t="shared" ca="1" si="3"/>
        <v>79832070</v>
      </c>
      <c r="M20" s="368">
        <f t="shared" ca="1" si="6"/>
        <v>2863790</v>
      </c>
      <c r="N20" s="369">
        <f t="shared" ca="1" si="9"/>
        <v>3.7207405440267079E-2</v>
      </c>
      <c r="O20" s="811">
        <f t="shared" ca="1" si="10"/>
        <v>238649.16666666666</v>
      </c>
      <c r="R20" s="161"/>
    </row>
    <row r="21" spans="1:19" ht="9.75" customHeight="1">
      <c r="A21" s="810">
        <v>19</v>
      </c>
      <c r="B21" s="357">
        <f t="shared" ca="1" si="0"/>
        <v>21</v>
      </c>
      <c r="C21" s="799">
        <f ca="1">'본봉 대 수당 비율'!D21</f>
        <v>46</v>
      </c>
      <c r="D21" s="675">
        <f ca="1">VALUE('2043'!$D$1)</f>
        <v>2043</v>
      </c>
      <c r="E21" s="674">
        <f t="shared" ca="1" si="1"/>
        <v>31</v>
      </c>
      <c r="F21" s="794">
        <f ca="1">IF(YEAR('2026'!$B$1)&lt;D21,"",ROUND(INDIRECT(D21&amp;"!N26"),-1))</f>
        <v>125299390</v>
      </c>
      <c r="G21" s="363">
        <f t="shared" ca="1" si="7"/>
        <v>5929780</v>
      </c>
      <c r="H21" s="365">
        <f t="shared" ca="1" si="4"/>
        <v>4.9675792691288849E-2</v>
      </c>
      <c r="I21" s="794">
        <f t="shared" ca="1" si="2"/>
        <v>41356890</v>
      </c>
      <c r="J21" s="233">
        <f t="shared" ca="1" si="5"/>
        <v>1819350</v>
      </c>
      <c r="K21" s="377">
        <f t="shared" ca="1" si="8"/>
        <v>4.6015761223384154E-2</v>
      </c>
      <c r="L21" s="794">
        <f t="shared" ca="1" si="3"/>
        <v>83942500</v>
      </c>
      <c r="M21" s="368">
        <f t="shared" ca="1" si="6"/>
        <v>4110430</v>
      </c>
      <c r="N21" s="369">
        <f t="shared" ca="1" si="9"/>
        <v>5.1488455704580875E-2</v>
      </c>
      <c r="O21" s="811">
        <f t="shared" ca="1" si="10"/>
        <v>342535.83333333331</v>
      </c>
    </row>
    <row r="22" spans="1:19" ht="9.75" customHeight="1">
      <c r="A22" s="812">
        <v>20</v>
      </c>
      <c r="B22" s="813">
        <f t="shared" ca="1" si="0"/>
        <v>22</v>
      </c>
      <c r="C22" s="799">
        <f ca="1">'본봉 대 수당 비율'!D22</f>
        <v>47</v>
      </c>
      <c r="D22" s="814">
        <f ca="1">VALUE('2044'!$D$1)</f>
        <v>2044</v>
      </c>
      <c r="E22" s="815">
        <f t="shared" ca="1" si="1"/>
        <v>32</v>
      </c>
      <c r="F22" s="816">
        <f ca="1">IF(YEAR('2026'!$B$1)&lt;D22,"",ROUND(INDIRECT(D22&amp;"!N26"),-1))</f>
        <v>131390550</v>
      </c>
      <c r="G22" s="817">
        <f t="shared" ca="1" si="7"/>
        <v>6091160</v>
      </c>
      <c r="H22" s="818">
        <f t="shared" ca="1" si="4"/>
        <v>4.8612846399332034E-2</v>
      </c>
      <c r="I22" s="816">
        <f t="shared" ca="1" si="2"/>
        <v>42179570</v>
      </c>
      <c r="J22" s="819">
        <f t="shared" ca="1" si="5"/>
        <v>822680</v>
      </c>
      <c r="K22" s="820">
        <f t="shared" ca="1" si="8"/>
        <v>1.9892211430791822E-2</v>
      </c>
      <c r="L22" s="816">
        <f t="shared" ca="1" si="3"/>
        <v>89210980</v>
      </c>
      <c r="M22" s="821">
        <f t="shared" ca="1" si="6"/>
        <v>5268480</v>
      </c>
      <c r="N22" s="822">
        <f t="shared" ca="1" si="9"/>
        <v>6.2762962742353393E-2</v>
      </c>
      <c r="O22" s="823">
        <f t="shared" ca="1" si="10"/>
        <v>439040</v>
      </c>
    </row>
    <row r="23" spans="1:19" ht="9.75" customHeight="1">
      <c r="A23" s="834">
        <v>21</v>
      </c>
      <c r="B23" s="835">
        <f t="shared" ca="1" si="0"/>
        <v>23</v>
      </c>
      <c r="C23" s="799">
        <f ca="1">'본봉 대 수당 비율'!D23</f>
        <v>48</v>
      </c>
      <c r="D23" s="836">
        <f ca="1">VALUE('2045'!$D$1)</f>
        <v>2045</v>
      </c>
      <c r="E23" s="837">
        <f t="shared" ca="1" si="1"/>
        <v>33</v>
      </c>
      <c r="F23" s="838">
        <f ca="1">IF(YEAR('2026'!$B$1)&lt;D23,"",ROUND(INDIRECT(D23&amp;"!N26"),-1))</f>
        <v>137752500</v>
      </c>
      <c r="G23" s="839">
        <f t="shared" ca="1" si="7"/>
        <v>6361950</v>
      </c>
      <c r="H23" s="840">
        <f t="shared" ca="1" si="4"/>
        <v>4.8420148937651911E-2</v>
      </c>
      <c r="I23" s="838">
        <f t="shared" ca="1" si="2"/>
        <v>43040030</v>
      </c>
      <c r="J23" s="841">
        <f t="shared" ca="1" si="5"/>
        <v>860460</v>
      </c>
      <c r="K23" s="842">
        <f t="shared" ca="1" si="8"/>
        <v>2.0399923470059082E-2</v>
      </c>
      <c r="L23" s="838">
        <f t="shared" ca="1" si="3"/>
        <v>94712470</v>
      </c>
      <c r="M23" s="843">
        <f t="shared" ca="1" si="6"/>
        <v>5501490</v>
      </c>
      <c r="N23" s="844">
        <f t="shared" ca="1" si="9"/>
        <v>6.1668305852037496E-2</v>
      </c>
      <c r="O23" s="845">
        <f t="shared" ca="1" si="10"/>
        <v>458457.5</v>
      </c>
    </row>
    <row r="24" spans="1:19" ht="9.75" customHeight="1">
      <c r="A24" s="810">
        <v>22</v>
      </c>
      <c r="B24" s="357">
        <f t="shared" ca="1" si="0"/>
        <v>24</v>
      </c>
      <c r="C24" s="799">
        <f ca="1">'본봉 대 수당 비율'!D24</f>
        <v>49</v>
      </c>
      <c r="D24" s="675">
        <f ca="1">VALUE('2046'!$D$1)</f>
        <v>2046</v>
      </c>
      <c r="E24" s="674">
        <f t="shared" ca="1" si="1"/>
        <v>34</v>
      </c>
      <c r="F24" s="794">
        <f ca="1">IF(YEAR('2026'!$B$1)&lt;D24,"",ROUND(INDIRECT(D24&amp;"!N26"),-1))</f>
        <v>144358520</v>
      </c>
      <c r="G24" s="363">
        <f t="shared" ca="1" si="7"/>
        <v>6606020</v>
      </c>
      <c r="H24" s="365">
        <f t="shared" ca="1" si="4"/>
        <v>4.7955717682074739E-2</v>
      </c>
      <c r="I24" s="794">
        <f t="shared" ca="1" si="2"/>
        <v>43915810</v>
      </c>
      <c r="J24" s="233">
        <f t="shared" ca="1" si="5"/>
        <v>875780</v>
      </c>
      <c r="K24" s="377">
        <f t="shared" ca="1" si="8"/>
        <v>2.0348034144028245E-2</v>
      </c>
      <c r="L24" s="794">
        <f t="shared" ca="1" si="3"/>
        <v>100442710</v>
      </c>
      <c r="M24" s="368">
        <f t="shared" ca="1" si="6"/>
        <v>5730240</v>
      </c>
      <c r="N24" s="369">
        <f t="shared" ca="1" si="9"/>
        <v>6.0501431332114976E-2</v>
      </c>
      <c r="O24" s="811">
        <f t="shared" ca="1" si="10"/>
        <v>477520</v>
      </c>
    </row>
    <row r="25" spans="1:19" ht="9.75" customHeight="1">
      <c r="A25" s="810">
        <v>23</v>
      </c>
      <c r="B25" s="357">
        <f t="shared" ca="1" si="0"/>
        <v>25</v>
      </c>
      <c r="C25" s="799">
        <f ca="1">'본봉 대 수당 비율'!D25</f>
        <v>50</v>
      </c>
      <c r="D25" s="675">
        <f ca="1">VALUE('2047'!$D$1)</f>
        <v>2047</v>
      </c>
      <c r="E25" s="674">
        <f t="shared" ca="1" si="1"/>
        <v>35</v>
      </c>
      <c r="F25" s="794">
        <f ca="1">IF(YEAR('2026'!$B$1)&lt;D25,"",ROUND(INDIRECT(D25&amp;"!N26"),-1))</f>
        <v>151414130</v>
      </c>
      <c r="G25" s="363">
        <f t="shared" ca="1" si="7"/>
        <v>7055610</v>
      </c>
      <c r="H25" s="365">
        <f t="shared" ca="1" si="4"/>
        <v>4.8875604986806459E-2</v>
      </c>
      <c r="I25" s="794">
        <f t="shared" ca="1" si="2"/>
        <v>44817060</v>
      </c>
      <c r="J25" s="233">
        <f t="shared" ca="1" si="5"/>
        <v>901250</v>
      </c>
      <c r="K25" s="377">
        <f t="shared" ca="1" si="8"/>
        <v>2.0522221951502204E-2</v>
      </c>
      <c r="L25" s="794">
        <f t="shared" ca="1" si="3"/>
        <v>106597070</v>
      </c>
      <c r="M25" s="368">
        <f t="shared" ca="1" si="6"/>
        <v>6154360</v>
      </c>
      <c r="N25" s="369">
        <f t="shared" ca="1" si="9"/>
        <v>6.1272341218192937E-2</v>
      </c>
      <c r="O25" s="811">
        <f t="shared" ca="1" si="10"/>
        <v>512863.33333333331</v>
      </c>
      <c r="R25" s="380"/>
    </row>
    <row r="26" spans="1:19" ht="9.75" customHeight="1">
      <c r="A26" s="810">
        <v>24</v>
      </c>
      <c r="B26" s="357">
        <f t="shared" ca="1" si="0"/>
        <v>26</v>
      </c>
      <c r="C26" s="799">
        <f ca="1">'본봉 대 수당 비율'!D26</f>
        <v>51</v>
      </c>
      <c r="D26" s="675">
        <f ca="1">VALUE('2048'!$D$1)</f>
        <v>2048</v>
      </c>
      <c r="E26" s="674">
        <f t="shared" ca="1" si="1"/>
        <v>36</v>
      </c>
      <c r="F26" s="794">
        <f ca="1">IF(YEAR('2026'!$B$1)&lt;D26,"",ROUND(INDIRECT(D26&amp;"!N26"),-1))</f>
        <v>158556860</v>
      </c>
      <c r="G26" s="363">
        <f t="shared" ca="1" si="7"/>
        <v>7142730</v>
      </c>
      <c r="H26" s="365">
        <f t="shared" ca="1" si="4"/>
        <v>4.7173470534090843E-2</v>
      </c>
      <c r="I26" s="794">
        <f t="shared" ca="1" si="2"/>
        <v>45747900</v>
      </c>
      <c r="J26" s="233">
        <f t="shared" ca="1" si="5"/>
        <v>930840</v>
      </c>
      <c r="K26" s="377">
        <f t="shared" ca="1" si="8"/>
        <v>2.076976936907508E-2</v>
      </c>
      <c r="L26" s="794">
        <f t="shared" ca="1" si="3"/>
        <v>112808960</v>
      </c>
      <c r="M26" s="368">
        <f t="shared" ca="1" si="6"/>
        <v>6211890</v>
      </c>
      <c r="N26" s="369">
        <f t="shared" ca="1" si="9"/>
        <v>5.827449103432205E-2</v>
      </c>
      <c r="O26" s="811">
        <f t="shared" ca="1" si="10"/>
        <v>517657.5</v>
      </c>
      <c r="S26" s="380"/>
    </row>
    <row r="27" spans="1:19" ht="9.75" customHeight="1">
      <c r="A27" s="812">
        <v>25</v>
      </c>
      <c r="B27" s="813">
        <f t="shared" ca="1" si="0"/>
        <v>27</v>
      </c>
      <c r="C27" s="799">
        <f ca="1">'본봉 대 수당 비율'!D27</f>
        <v>52</v>
      </c>
      <c r="D27" s="814">
        <f ca="1">VALUE('2049'!$D$1)</f>
        <v>2049</v>
      </c>
      <c r="E27" s="815">
        <f t="shared" ca="1" si="1"/>
        <v>37</v>
      </c>
      <c r="F27" s="816">
        <f ca="1">IF(YEAR('2026'!$B$1)&lt;D27,"",ROUND(INDIRECT(D27&amp;"!N26"),-1))</f>
        <v>165555750</v>
      </c>
      <c r="G27" s="817">
        <f t="shared" ca="1" si="7"/>
        <v>6998890</v>
      </c>
      <c r="H27" s="818">
        <f t="shared" ca="1" si="4"/>
        <v>4.4141199567145815E-2</v>
      </c>
      <c r="I27" s="816">
        <f t="shared" ca="1" si="2"/>
        <v>46646260</v>
      </c>
      <c r="J27" s="819">
        <f t="shared" ca="1" si="5"/>
        <v>898360</v>
      </c>
      <c r="K27" s="820">
        <f t="shared" ca="1" si="8"/>
        <v>1.963718553201349E-2</v>
      </c>
      <c r="L27" s="816">
        <f t="shared" ca="1" si="3"/>
        <v>118909490</v>
      </c>
      <c r="M27" s="821">
        <f t="shared" ca="1" si="6"/>
        <v>6100530</v>
      </c>
      <c r="N27" s="822">
        <f t="shared" ca="1" si="9"/>
        <v>5.4078417175373303E-2</v>
      </c>
      <c r="O27" s="823">
        <f t="shared" ca="1" si="10"/>
        <v>508377.5</v>
      </c>
    </row>
    <row r="28" spans="1:19" ht="9.75" customHeight="1">
      <c r="A28" s="834">
        <v>26</v>
      </c>
      <c r="B28" s="835">
        <f t="shared" ca="1" si="0"/>
        <v>28</v>
      </c>
      <c r="C28" s="799">
        <f ca="1">'본봉 대 수당 비율'!D28</f>
        <v>53</v>
      </c>
      <c r="D28" s="836">
        <f ca="1">VALUE('2050'!$D$1)</f>
        <v>2050</v>
      </c>
      <c r="E28" s="837">
        <f t="shared" ca="1" si="1"/>
        <v>38</v>
      </c>
      <c r="F28" s="838">
        <f ca="1">IF(YEAR('2026'!$B$1)&lt;D28,"",ROUND(INDIRECT(D28&amp;"!N26"),-1))</f>
        <v>172707380</v>
      </c>
      <c r="G28" s="839">
        <f t="shared" ca="1" si="7"/>
        <v>7151630</v>
      </c>
      <c r="H28" s="840">
        <f t="shared" ca="1" si="4"/>
        <v>4.319771436510058E-2</v>
      </c>
      <c r="I28" s="838">
        <f t="shared" ca="1" si="2"/>
        <v>47578920</v>
      </c>
      <c r="J28" s="841">
        <f t="shared" ca="1" si="5"/>
        <v>932660</v>
      </c>
      <c r="K28" s="842">
        <f t="shared" ca="1" si="8"/>
        <v>1.9994314656737754E-2</v>
      </c>
      <c r="L28" s="838">
        <f t="shared" ca="1" si="3"/>
        <v>125128460</v>
      </c>
      <c r="M28" s="843">
        <f t="shared" ca="1" si="6"/>
        <v>6218970</v>
      </c>
      <c r="N28" s="844">
        <f t="shared" ca="1" si="9"/>
        <v>5.2300030889040061E-2</v>
      </c>
      <c r="O28" s="845">
        <f t="shared" ca="1" si="10"/>
        <v>518247.5</v>
      </c>
    </row>
    <row r="29" spans="1:19" ht="9.75" customHeight="1">
      <c r="A29" s="810">
        <v>27</v>
      </c>
      <c r="B29" s="357">
        <f t="shared" ca="1" si="0"/>
        <v>29</v>
      </c>
      <c r="C29" s="799">
        <f ca="1">'본봉 대 수당 비율'!D29</f>
        <v>54</v>
      </c>
      <c r="D29" s="675">
        <f ca="1">VALUE('2051'!$D$1)</f>
        <v>2051</v>
      </c>
      <c r="E29" s="674">
        <f t="shared" ca="1" si="1"/>
        <v>39</v>
      </c>
      <c r="F29" s="794">
        <f ca="1">IF(YEAR('2026'!$B$1)&lt;D29,"",ROUND(INDIRECT(D29&amp;"!N26"),-1))</f>
        <v>180132110</v>
      </c>
      <c r="G29" s="363">
        <f t="shared" ca="1" si="7"/>
        <v>7424730</v>
      </c>
      <c r="H29" s="365">
        <f t="shared" ca="1" si="4"/>
        <v>4.2990230064285616E-2</v>
      </c>
      <c r="I29" s="794">
        <f t="shared" ca="1" si="2"/>
        <v>48539340</v>
      </c>
      <c r="J29" s="233">
        <f t="shared" ca="1" si="5"/>
        <v>960420</v>
      </c>
      <c r="K29" s="377">
        <f t="shared" ca="1" si="8"/>
        <v>2.0185830195389051E-2</v>
      </c>
      <c r="L29" s="794">
        <f t="shared" ca="1" si="3"/>
        <v>131592770</v>
      </c>
      <c r="M29" s="368">
        <f t="shared" ca="1" si="6"/>
        <v>6464310</v>
      </c>
      <c r="N29" s="369">
        <f t="shared" ca="1" si="9"/>
        <v>5.1661388624138743E-2</v>
      </c>
      <c r="O29" s="811">
        <f t="shared" ca="1" si="10"/>
        <v>538692.5</v>
      </c>
    </row>
    <row r="30" spans="1:19" ht="9.75" customHeight="1">
      <c r="A30" s="810">
        <v>28</v>
      </c>
      <c r="B30" s="357">
        <f t="shared" ca="1" si="0"/>
        <v>30</v>
      </c>
      <c r="C30" s="799">
        <f ca="1">'본봉 대 수당 비율'!D30</f>
        <v>55</v>
      </c>
      <c r="D30" s="675">
        <f ca="1">VALUE('2052'!$D$1)</f>
        <v>2052</v>
      </c>
      <c r="E30" s="674">
        <f t="shared" ca="1" si="1"/>
        <v>40</v>
      </c>
      <c r="F30" s="794">
        <f ca="1">IF(YEAR('2026'!$B$1)&lt;D30,"",ROUND(INDIRECT(D30&amp;"!N26"),-1))</f>
        <v>187799030</v>
      </c>
      <c r="G30" s="363">
        <f t="shared" ca="1" si="7"/>
        <v>7666920</v>
      </c>
      <c r="H30" s="365">
        <f t="shared" ca="1" si="4"/>
        <v>4.2562761297805264E-2</v>
      </c>
      <c r="I30" s="794">
        <f t="shared" ca="1" si="2"/>
        <v>49510020</v>
      </c>
      <c r="J30" s="233">
        <f t="shared" ca="1" si="5"/>
        <v>970680</v>
      </c>
      <c r="K30" s="377">
        <f t="shared" ca="1" si="8"/>
        <v>1.999779972286397E-2</v>
      </c>
      <c r="L30" s="794">
        <f t="shared" ca="1" si="3"/>
        <v>138289010</v>
      </c>
      <c r="M30" s="368">
        <f t="shared" ca="1" si="6"/>
        <v>6696240</v>
      </c>
      <c r="N30" s="369">
        <f t="shared" ca="1" si="9"/>
        <v>5.0886078315700779E-2</v>
      </c>
      <c r="O30" s="811">
        <f t="shared" ca="1" si="10"/>
        <v>558020</v>
      </c>
      <c r="R30" s="380"/>
    </row>
    <row r="31" spans="1:19" ht="9.75" customHeight="1">
      <c r="A31" s="810">
        <v>29</v>
      </c>
      <c r="B31" s="357">
        <f t="shared" ca="1" si="0"/>
        <v>31</v>
      </c>
      <c r="C31" s="799">
        <f ca="1">'본봉 대 수당 비율'!D31</f>
        <v>56</v>
      </c>
      <c r="D31" s="675">
        <f ca="1">VALUE('2053'!$D$1)</f>
        <v>2053</v>
      </c>
      <c r="E31" s="674">
        <f t="shared" ca="1" si="1"/>
        <v>41</v>
      </c>
      <c r="F31" s="794">
        <f ca="1">IF(YEAR('2026'!$B$1)&lt;D31,"",ROUND(INDIRECT(D31&amp;"!N26"),-1))</f>
        <v>194765040</v>
      </c>
      <c r="G31" s="363">
        <f t="shared" ca="1" si="7"/>
        <v>6966010</v>
      </c>
      <c r="H31" s="365">
        <f t="shared" ca="1" si="4"/>
        <v>3.709289659270338E-2</v>
      </c>
      <c r="I31" s="794">
        <f t="shared" ca="1" si="2"/>
        <v>50480720</v>
      </c>
      <c r="J31" s="233">
        <f t="shared" ca="1" si="5"/>
        <v>970700</v>
      </c>
      <c r="K31" s="377">
        <f t="shared" ca="1" si="8"/>
        <v>1.96061322536327E-2</v>
      </c>
      <c r="L31" s="794">
        <f t="shared" ca="1" si="3"/>
        <v>144284320</v>
      </c>
      <c r="M31" s="368">
        <f t="shared" ca="1" si="6"/>
        <v>5995310</v>
      </c>
      <c r="N31" s="369">
        <f t="shared" ca="1" si="9"/>
        <v>4.335348123469826E-2</v>
      </c>
      <c r="O31" s="811">
        <f t="shared" ca="1" si="10"/>
        <v>499609.16666666669</v>
      </c>
    </row>
    <row r="32" spans="1:19" ht="9.75" customHeight="1">
      <c r="A32" s="812">
        <v>30</v>
      </c>
      <c r="B32" s="813">
        <f t="shared" ca="1" si="0"/>
        <v>32</v>
      </c>
      <c r="C32" s="799">
        <f ca="1">'본봉 대 수당 비율'!D32</f>
        <v>57</v>
      </c>
      <c r="D32" s="814">
        <f ca="1">VALUE('2054'!$D$1)</f>
        <v>2054</v>
      </c>
      <c r="E32" s="815">
        <f t="shared" ca="1" si="1"/>
        <v>42</v>
      </c>
      <c r="F32" s="816">
        <f ca="1">IF(YEAR('2026'!$B$1)&lt;D32,"",ROUND(INDIRECT(D32&amp;"!N26"),-1))</f>
        <v>202140020</v>
      </c>
      <c r="G32" s="817">
        <f t="shared" ca="1" si="7"/>
        <v>7374980</v>
      </c>
      <c r="H32" s="818">
        <f t="shared" ca="1" si="4"/>
        <v>3.7866035916918152E-2</v>
      </c>
      <c r="I32" s="816">
        <f t="shared" ca="1" si="2"/>
        <v>51431700</v>
      </c>
      <c r="J32" s="819">
        <f t="shared" ca="1" si="5"/>
        <v>950980</v>
      </c>
      <c r="K32" s="820">
        <f t="shared" ca="1" si="8"/>
        <v>1.8838479324383647E-2</v>
      </c>
      <c r="L32" s="816">
        <f t="shared" ca="1" si="3"/>
        <v>150708320</v>
      </c>
      <c r="M32" s="821">
        <f t="shared" ca="1" si="6"/>
        <v>6424000</v>
      </c>
      <c r="N32" s="822">
        <f t="shared" ca="1" si="9"/>
        <v>4.4523202521244164E-2</v>
      </c>
      <c r="O32" s="823">
        <f t="shared" ca="1" si="10"/>
        <v>535333.33333333337</v>
      </c>
    </row>
    <row r="33" spans="1:15" ht="9.75" customHeight="1">
      <c r="A33" s="834">
        <v>31</v>
      </c>
      <c r="B33" s="835">
        <f t="shared" ca="1" si="0"/>
        <v>33</v>
      </c>
      <c r="C33" s="799">
        <f ca="1">'본봉 대 수당 비율'!D33</f>
        <v>58</v>
      </c>
      <c r="D33" s="836">
        <f ca="1">VALUE('2055'!$D$1)</f>
        <v>2055</v>
      </c>
      <c r="E33" s="837">
        <f t="shared" ca="1" si="1"/>
        <v>43</v>
      </c>
      <c r="F33" s="838">
        <f ca="1">IF(YEAR('2026'!$B$1)&lt;D33,"",ROUND(INDIRECT(D33&amp;"!N26"),-1))</f>
        <v>209443390</v>
      </c>
      <c r="G33" s="839">
        <f t="shared" ca="1" si="7"/>
        <v>7303370</v>
      </c>
      <c r="H33" s="840">
        <f t="shared" ca="1" si="4"/>
        <v>3.6130252683263808E-2</v>
      </c>
      <c r="I33" s="838">
        <f t="shared" ca="1" si="2"/>
        <v>52419590</v>
      </c>
      <c r="J33" s="841">
        <f t="shared" ca="1" si="5"/>
        <v>987890</v>
      </c>
      <c r="K33" s="842">
        <f t="shared" ca="1" si="8"/>
        <v>1.920780374749425E-2</v>
      </c>
      <c r="L33" s="838">
        <f t="shared" ca="1" si="3"/>
        <v>157023800</v>
      </c>
      <c r="M33" s="843">
        <f t="shared" ca="1" si="6"/>
        <v>6315480</v>
      </c>
      <c r="N33" s="844">
        <f t="shared" ca="1" si="9"/>
        <v>4.1905317503373403E-2</v>
      </c>
      <c r="O33" s="845">
        <f t="shared" ca="1" si="10"/>
        <v>526290</v>
      </c>
    </row>
    <row r="34" spans="1:15" ht="9.75" customHeight="1">
      <c r="A34" s="810">
        <v>32</v>
      </c>
      <c r="B34" s="357">
        <f t="shared" ca="1" si="0"/>
        <v>34</v>
      </c>
      <c r="C34" s="799">
        <f ca="1">'본봉 대 수당 비율'!D34</f>
        <v>59</v>
      </c>
      <c r="D34" s="675">
        <f ca="1">VALUE('2056'!$D$1)</f>
        <v>2056</v>
      </c>
      <c r="E34" s="674">
        <f t="shared" ca="1" si="1"/>
        <v>44</v>
      </c>
      <c r="F34" s="794">
        <f ca="1">IF(YEAR('2026'!$B$1)&lt;D34,"",ROUND(INDIRECT(D34&amp;"!N26"),-1))</f>
        <v>216834110</v>
      </c>
      <c r="G34" s="363">
        <f t="shared" ca="1" si="7"/>
        <v>7390720</v>
      </c>
      <c r="H34" s="365">
        <f t="shared" ca="1" si="4"/>
        <v>3.5287434948412549E-2</v>
      </c>
      <c r="I34" s="794">
        <f t="shared" ca="1" si="2"/>
        <v>53382510</v>
      </c>
      <c r="J34" s="233">
        <f t="shared" ca="1" si="5"/>
        <v>962920</v>
      </c>
      <c r="K34" s="377">
        <f t="shared" ca="1" si="8"/>
        <v>1.8369468360969629E-2</v>
      </c>
      <c r="L34" s="794">
        <f t="shared" ca="1" si="3"/>
        <v>163451600</v>
      </c>
      <c r="M34" s="368">
        <f t="shared" ca="1" si="6"/>
        <v>6427800</v>
      </c>
      <c r="N34" s="369">
        <f t="shared" ca="1" si="9"/>
        <v>4.093519581108087E-2</v>
      </c>
      <c r="O34" s="811">
        <f t="shared" ca="1" si="10"/>
        <v>535650</v>
      </c>
    </row>
    <row r="35" spans="1:15" ht="9.75" customHeight="1">
      <c r="A35" s="810">
        <v>33</v>
      </c>
      <c r="B35" s="357">
        <f t="shared" ca="1" si="0"/>
        <v>35</v>
      </c>
      <c r="C35" s="799">
        <f ca="1">'본봉 대 수당 비율'!D35</f>
        <v>60</v>
      </c>
      <c r="D35" s="675">
        <f ca="1">VALUE('2057'!$D$1)</f>
        <v>2057</v>
      </c>
      <c r="E35" s="674">
        <f t="shared" ca="1" si="1"/>
        <v>45</v>
      </c>
      <c r="F35" s="794">
        <f ca="1">IF(YEAR('2026'!$B$1)&lt;D35,"",ROUND(INDIRECT(D35&amp;"!N26"),-1))</f>
        <v>224467840</v>
      </c>
      <c r="G35" s="363">
        <f t="shared" ca="1" si="7"/>
        <v>7633730</v>
      </c>
      <c r="H35" s="365">
        <f t="shared" ca="1" si="4"/>
        <v>3.5205392730876153E-2</v>
      </c>
      <c r="I35" s="794">
        <f t="shared" ca="1" si="2"/>
        <v>54355200</v>
      </c>
      <c r="J35" s="233">
        <f t="shared" ca="1" si="5"/>
        <v>972690</v>
      </c>
      <c r="K35" s="377">
        <f t="shared" ca="1" si="8"/>
        <v>1.8221136473350542E-2</v>
      </c>
      <c r="L35" s="794">
        <f t="shared" ca="1" si="3"/>
        <v>170112640</v>
      </c>
      <c r="M35" s="368">
        <f t="shared" ca="1" si="6"/>
        <v>6661040</v>
      </c>
      <c r="N35" s="369">
        <f t="shared" ca="1" si="9"/>
        <v>4.0752369508772014E-2</v>
      </c>
      <c r="O35" s="811">
        <f t="shared" ca="1" si="10"/>
        <v>555086.66666666663</v>
      </c>
    </row>
    <row r="36" spans="1:15" ht="9.75" customHeight="1">
      <c r="A36" s="810">
        <v>34</v>
      </c>
      <c r="B36" s="357">
        <f t="shared" ca="1" si="0"/>
        <v>36</v>
      </c>
      <c r="C36" s="799">
        <f ca="1">'본봉 대 수당 비율'!D36</f>
        <v>61</v>
      </c>
      <c r="D36" s="675">
        <f ca="1">VALUE('2058'!$D$1)</f>
        <v>2058</v>
      </c>
      <c r="E36" s="674">
        <f t="shared" ca="1" si="1"/>
        <v>46</v>
      </c>
      <c r="F36" s="794">
        <f ca="1">IF(YEAR('2026'!$B$1)&lt;D36,"",ROUND(INDIRECT(D36&amp;"!N26"),-1))</f>
        <v>232361690</v>
      </c>
      <c r="G36" s="363">
        <f t="shared" ca="1" si="7"/>
        <v>7893850</v>
      </c>
      <c r="H36" s="365">
        <f t="shared" ca="1" si="4"/>
        <v>3.5166953092255891E-2</v>
      </c>
      <c r="I36" s="794">
        <f t="shared" ca="1" si="2"/>
        <v>55385120</v>
      </c>
      <c r="J36" s="233">
        <f t="shared" ca="1" si="5"/>
        <v>1029920</v>
      </c>
      <c r="K36" s="377">
        <f t="shared" ca="1" si="8"/>
        <v>1.8947957141175087E-2</v>
      </c>
      <c r="L36" s="794">
        <f t="shared" ca="1" si="3"/>
        <v>176976570</v>
      </c>
      <c r="M36" s="368">
        <f t="shared" ca="1" si="6"/>
        <v>6863930</v>
      </c>
      <c r="N36" s="369">
        <f t="shared" ca="1" si="9"/>
        <v>4.0349323836253441E-2</v>
      </c>
      <c r="O36" s="811">
        <f t="shared" ca="1" si="10"/>
        <v>571994.16666666663</v>
      </c>
    </row>
    <row r="37" spans="1:15" ht="9.75" customHeight="1">
      <c r="A37" s="812">
        <v>35</v>
      </c>
      <c r="B37" s="813">
        <f t="shared" ca="1" si="0"/>
        <v>37</v>
      </c>
      <c r="C37" s="799">
        <f ca="1">'본봉 대 수당 비율'!D37</f>
        <v>62</v>
      </c>
      <c r="D37" s="814">
        <f ca="1">VALUE('2059'!$D$1)</f>
        <v>2059</v>
      </c>
      <c r="E37" s="815">
        <f t="shared" ca="1" si="1"/>
        <v>47</v>
      </c>
      <c r="F37" s="816">
        <f ca="1">IF(YEAR('2026'!$B$1)&lt;D37,"",ROUND(INDIRECT(D37&amp;"!N26"),-1))</f>
        <v>48568360</v>
      </c>
      <c r="G37" s="817">
        <f t="shared" ca="1" si="7"/>
        <v>-183793330</v>
      </c>
      <c r="H37" s="818">
        <f t="shared" ca="1" si="4"/>
        <v>-0.79097948547370267</v>
      </c>
      <c r="I37" s="816">
        <f t="shared" ca="1" si="2"/>
        <v>6021320</v>
      </c>
      <c r="J37" s="819">
        <f t="shared" ca="1" si="5"/>
        <v>-49363800</v>
      </c>
      <c r="K37" s="820">
        <f t="shared" ca="1" si="8"/>
        <v>-0.89128271275750603</v>
      </c>
      <c r="L37" s="816">
        <f t="shared" ca="1" si="3"/>
        <v>42547040</v>
      </c>
      <c r="M37" s="821">
        <f t="shared" ca="1" si="6"/>
        <v>-134429530</v>
      </c>
      <c r="N37" s="822">
        <f t="shared" ca="1" si="9"/>
        <v>-0.75958941909655042</v>
      </c>
      <c r="O37" s="823">
        <f t="shared" ca="1" si="10"/>
        <v>-11202460.833333334</v>
      </c>
    </row>
    <row r="38" spans="1:15" ht="9.75" customHeight="1">
      <c r="A38" s="834">
        <v>36</v>
      </c>
      <c r="B38" s="835" t="str">
        <f t="shared" ca="1" si="0"/>
        <v/>
      </c>
      <c r="C38" s="799" t="str">
        <f ca="1">'본봉 대 수당 비율'!D38</f>
        <v/>
      </c>
      <c r="D38" s="836">
        <f ca="1">VALUE('2060'!$D$1)</f>
        <v>2060</v>
      </c>
      <c r="E38" s="837" t="str">
        <f t="shared" ca="1" si="1"/>
        <v/>
      </c>
      <c r="F38" s="838" t="str">
        <f ca="1">IF(YEAR('2026'!$B$1)&lt;D38,"",ROUND(INDIRECT(D38&amp;"!N26"),-1))</f>
        <v/>
      </c>
      <c r="G38" s="839" t="str">
        <f t="shared" ca="1" si="7"/>
        <v/>
      </c>
      <c r="H38" s="840" t="str">
        <f t="shared" ca="1" si="4"/>
        <v/>
      </c>
      <c r="I38" s="838" t="str">
        <f t="shared" ca="1" si="2"/>
        <v/>
      </c>
      <c r="J38" s="841" t="str">
        <f t="shared" ca="1" si="5"/>
        <v/>
      </c>
      <c r="K38" s="842" t="str">
        <f t="shared" ca="1" si="8"/>
        <v/>
      </c>
      <c r="L38" s="838" t="str">
        <f t="shared" ca="1" si="3"/>
        <v/>
      </c>
      <c r="M38" s="843" t="str">
        <f t="shared" ca="1" si="6"/>
        <v/>
      </c>
      <c r="N38" s="844" t="str">
        <f t="shared" ca="1" si="9"/>
        <v/>
      </c>
      <c r="O38" s="845" t="e">
        <f t="shared" ca="1" si="10"/>
        <v>#VALUE!</v>
      </c>
    </row>
    <row r="39" spans="1:15" ht="9.75" customHeight="1">
      <c r="A39" s="810">
        <v>37</v>
      </c>
      <c r="B39" s="357" t="str">
        <f t="shared" ca="1" si="0"/>
        <v/>
      </c>
      <c r="C39" s="799" t="str">
        <f ca="1">'본봉 대 수당 비율'!D39</f>
        <v/>
      </c>
      <c r="D39" s="675">
        <f ca="1">VALUE('2061'!$D$1)</f>
        <v>2061</v>
      </c>
      <c r="E39" s="674" t="str">
        <f t="shared" ca="1" si="1"/>
        <v/>
      </c>
      <c r="F39" s="794" t="str">
        <f ca="1">IF(YEAR('2026'!$B$1)&lt;D39,"",ROUND(INDIRECT(D39&amp;"!N26"),-1))</f>
        <v/>
      </c>
      <c r="G39" s="363" t="str">
        <f t="shared" ca="1" si="7"/>
        <v/>
      </c>
      <c r="H39" s="365" t="str">
        <f t="shared" ca="1" si="4"/>
        <v/>
      </c>
      <c r="I39" s="794" t="str">
        <f t="shared" ca="1" si="2"/>
        <v/>
      </c>
      <c r="J39" s="233" t="str">
        <f t="shared" ca="1" si="5"/>
        <v/>
      </c>
      <c r="K39" s="377" t="str">
        <f t="shared" ca="1" si="8"/>
        <v/>
      </c>
      <c r="L39" s="794" t="str">
        <f t="shared" ca="1" si="3"/>
        <v/>
      </c>
      <c r="M39" s="368" t="str">
        <f t="shared" ca="1" si="6"/>
        <v/>
      </c>
      <c r="N39" s="369" t="str">
        <f t="shared" ca="1" si="9"/>
        <v/>
      </c>
      <c r="O39" s="811" t="e">
        <f t="shared" ca="1" si="10"/>
        <v>#VALUE!</v>
      </c>
    </row>
    <row r="40" spans="1:15" ht="9.75" customHeight="1">
      <c r="A40" s="810">
        <v>38</v>
      </c>
      <c r="B40" s="357" t="str">
        <f t="shared" ca="1" si="0"/>
        <v/>
      </c>
      <c r="C40" s="799" t="str">
        <f ca="1">'본봉 대 수당 비율'!D40</f>
        <v/>
      </c>
      <c r="D40" s="675">
        <f ca="1">VALUE('2062'!$D$1)</f>
        <v>2062</v>
      </c>
      <c r="E40" s="674" t="str">
        <f t="shared" ca="1" si="1"/>
        <v/>
      </c>
      <c r="F40" s="794" t="str">
        <f ca="1">IF(YEAR('2026'!$B$1)&lt;D40,"",ROUND(INDIRECT(D40&amp;"!N26"),-1))</f>
        <v/>
      </c>
      <c r="G40" s="363" t="str">
        <f t="shared" ca="1" si="7"/>
        <v/>
      </c>
      <c r="H40" s="365" t="str">
        <f t="shared" ca="1" si="4"/>
        <v/>
      </c>
      <c r="I40" s="794" t="str">
        <f t="shared" ca="1" si="2"/>
        <v/>
      </c>
      <c r="J40" s="233" t="str">
        <f t="shared" ca="1" si="5"/>
        <v/>
      </c>
      <c r="K40" s="377" t="str">
        <f t="shared" ca="1" si="8"/>
        <v/>
      </c>
      <c r="L40" s="794" t="str">
        <f t="shared" ca="1" si="3"/>
        <v/>
      </c>
      <c r="M40" s="368" t="str">
        <f t="shared" ca="1" si="6"/>
        <v/>
      </c>
      <c r="N40" s="369" t="str">
        <f t="shared" ca="1" si="9"/>
        <v/>
      </c>
      <c r="O40" s="811" t="e">
        <f t="shared" ca="1" si="10"/>
        <v>#VALUE!</v>
      </c>
    </row>
    <row r="41" spans="1:15" ht="9.75" customHeight="1">
      <c r="A41" s="810">
        <v>39</v>
      </c>
      <c r="B41" s="357" t="str">
        <f t="shared" ca="1" si="0"/>
        <v/>
      </c>
      <c r="C41" s="799" t="str">
        <f ca="1">'본봉 대 수당 비율'!D41</f>
        <v/>
      </c>
      <c r="D41" s="675">
        <f ca="1">VALUE('2063'!$D$1)</f>
        <v>2063</v>
      </c>
      <c r="E41" s="674" t="str">
        <f t="shared" ca="1" si="1"/>
        <v/>
      </c>
      <c r="F41" s="794" t="str">
        <f ca="1">IF(YEAR('2026'!$B$1)&lt;D41,"",ROUND(INDIRECT(D41&amp;"!N26"),-1))</f>
        <v/>
      </c>
      <c r="G41" s="363" t="str">
        <f t="shared" ca="1" si="7"/>
        <v/>
      </c>
      <c r="H41" s="365" t="str">
        <f t="shared" ca="1" si="4"/>
        <v/>
      </c>
      <c r="I41" s="794" t="str">
        <f t="shared" ca="1" si="2"/>
        <v/>
      </c>
      <c r="J41" s="233" t="str">
        <f t="shared" ca="1" si="5"/>
        <v/>
      </c>
      <c r="K41" s="377" t="str">
        <f t="shared" ca="1" si="8"/>
        <v/>
      </c>
      <c r="L41" s="794" t="str">
        <f t="shared" ca="1" si="3"/>
        <v/>
      </c>
      <c r="M41" s="368" t="str">
        <f t="shared" ca="1" si="6"/>
        <v/>
      </c>
      <c r="N41" s="369" t="str">
        <f t="shared" ca="1" si="9"/>
        <v/>
      </c>
      <c r="O41" s="811" t="e">
        <f t="shared" ca="1" si="10"/>
        <v>#VALUE!</v>
      </c>
    </row>
    <row r="42" spans="1:15" ht="9.75" customHeight="1">
      <c r="A42" s="812">
        <v>40</v>
      </c>
      <c r="B42" s="813" t="str">
        <f t="shared" ca="1" si="0"/>
        <v/>
      </c>
      <c r="C42" s="799" t="str">
        <f ca="1">'본봉 대 수당 비율'!D42</f>
        <v/>
      </c>
      <c r="D42" s="814">
        <f ca="1">VALUE('2064'!$D$1)</f>
        <v>2064</v>
      </c>
      <c r="E42" s="815" t="str">
        <f t="shared" ca="1" si="1"/>
        <v/>
      </c>
      <c r="F42" s="816" t="str">
        <f ca="1">IF(YEAR('2026'!$B$1)&lt;D42,"",ROUND(INDIRECT(D42&amp;"!N26"),-1))</f>
        <v/>
      </c>
      <c r="G42" s="817" t="str">
        <f t="shared" ca="1" si="7"/>
        <v/>
      </c>
      <c r="H42" s="818" t="str">
        <f t="shared" ca="1" si="4"/>
        <v/>
      </c>
      <c r="I42" s="816" t="str">
        <f t="shared" ca="1" si="2"/>
        <v/>
      </c>
      <c r="J42" s="819" t="str">
        <f t="shared" ca="1" si="5"/>
        <v/>
      </c>
      <c r="K42" s="820" t="str">
        <f t="shared" ca="1" si="8"/>
        <v/>
      </c>
      <c r="L42" s="816" t="str">
        <f t="shared" ca="1" si="3"/>
        <v/>
      </c>
      <c r="M42" s="821" t="str">
        <f t="shared" ca="1" si="6"/>
        <v/>
      </c>
      <c r="N42" s="822" t="str">
        <f t="shared" ca="1" si="9"/>
        <v/>
      </c>
      <c r="O42" s="823" t="str">
        <f t="shared" ref="O42:O43" ca="1" si="11">IF(F42="","",ROUND(INDIRECT(D42&amp;"!N57"),-1))</f>
        <v/>
      </c>
    </row>
    <row r="43" spans="1:15" ht="9.75" customHeight="1">
      <c r="A43" s="797">
        <v>41</v>
      </c>
      <c r="B43" s="798" t="str">
        <f t="shared" ca="1" si="0"/>
        <v/>
      </c>
      <c r="C43" s="799">
        <f>'본봉 대 수당 비율'!D43</f>
        <v>0</v>
      </c>
      <c r="D43" s="800">
        <f ca="1">VALUE('2065'!$D$1)</f>
        <v>2065</v>
      </c>
      <c r="E43" s="801" t="str">
        <f t="shared" ca="1" si="1"/>
        <v/>
      </c>
      <c r="F43" s="802" t="str">
        <f ca="1">IF(YEAR('2026'!$B$1)&lt;D43,"",ROUND(INDIRECT(D43&amp;"!N26"),-1))</f>
        <v/>
      </c>
      <c r="G43" s="803" t="str">
        <f t="shared" ca="1" si="7"/>
        <v/>
      </c>
      <c r="H43" s="804" t="str">
        <f t="shared" ca="1" si="4"/>
        <v/>
      </c>
      <c r="I43" s="802" t="str">
        <f t="shared" ca="1" si="2"/>
        <v/>
      </c>
      <c r="J43" s="805" t="str">
        <f t="shared" ca="1" si="5"/>
        <v/>
      </c>
      <c r="K43" s="806" t="str">
        <f t="shared" ca="1" si="8"/>
        <v/>
      </c>
      <c r="L43" s="802" t="str">
        <f t="shared" ca="1" si="3"/>
        <v/>
      </c>
      <c r="M43" s="807"/>
      <c r="N43" s="808" t="str">
        <f t="shared" ca="1" si="9"/>
        <v/>
      </c>
      <c r="O43" s="809" t="str">
        <f t="shared" ca="1" si="11"/>
        <v/>
      </c>
    </row>
    <row r="44" spans="1:15" ht="9.75" customHeight="1">
      <c r="A44" s="1163" t="s">
        <v>479</v>
      </c>
      <c r="B44" s="1164"/>
      <c r="C44" s="1164"/>
      <c r="D44" s="1164"/>
      <c r="E44" s="1165"/>
      <c r="F44" s="366">
        <f ca="1">SUM(F3:F43)</f>
        <v>4325077900</v>
      </c>
      <c r="G44" s="366"/>
      <c r="H44" s="371">
        <f ca="1">AVERAGE(H4:H42)</f>
        <v>2.4440611765939747E-2</v>
      </c>
      <c r="I44" s="236">
        <f t="shared" ref="I44:O44" ca="1" si="12">SUM(I3:I43)</f>
        <v>1193735100</v>
      </c>
      <c r="J44" s="236"/>
      <c r="K44" s="378">
        <f ca="1">AVERAGE(K4:K42)</f>
        <v>3.1259668021512782E-2</v>
      </c>
      <c r="L44" s="370">
        <f t="shared" ca="1" si="12"/>
        <v>3131342800</v>
      </c>
      <c r="M44" s="370"/>
      <c r="N44" s="372">
        <f ca="1">AVERAGE(N4:N42)</f>
        <v>2.3367494351252471E-2</v>
      </c>
      <c r="O44" s="795" t="e">
        <f t="shared" ca="1" si="12"/>
        <v>#VALUE!</v>
      </c>
    </row>
  </sheetData>
  <sheetProtection algorithmName="SHA-512" hashValue="SKLbsDdBrGaWhabQUmKIXDSzNbBzTQH0TwbpGiflY1jULxP5125zYobIrsGrMNuxklVEdLkxlv4n1CMvfx6TrA==" saltValue="FFOiIzp7cFCWcsGwdpb1Wg==" spinCount="100000" sheet="1" objects="1" scenarios="1"/>
  <mergeCells count="3">
    <mergeCell ref="A1:C1"/>
    <mergeCell ref="E1:L1"/>
    <mergeCell ref="A44:E44"/>
  </mergeCells>
  <phoneticPr fontId="167" type="noConversion"/>
  <printOptions horizontalCentered="1"/>
  <pageMargins left="0.19666667282581329" right="0.19666667282581329" top="0.74777776002883911" bottom="0.55097222328186035" header="0.31486111879348755" footer="0.31486111879348755"/>
  <pageSetup paperSize="9" orientation="landscape"/>
  <headerFooter>
    <oddFooter>&amp;R&amp;"맑은 고딕,Regular"&amp;8제작 : 교사카페 운영자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"/>
  <sheetViews>
    <sheetView zoomScale="90" zoomScaleNormal="90" zoomScaleSheetLayoutView="90" workbookViewId="0">
      <selection activeCell="W32" sqref="W32"/>
    </sheetView>
  </sheetViews>
  <sheetFormatPr baseColWidth="10" defaultColWidth="8.6640625" defaultRowHeight="17"/>
  <sheetData/>
  <sheetProtection algorithmName="SHA-512" hashValue="jQ+jbiSuBeQ/ppVg8Lw1ZpXD/3DZXGPA9Tb7wJcoDpG7+qCrvn4QVsdCTqi1wxmZm1bLfftmt5MckI5u0bNrMw==" saltValue="a4SuoGuDEMG3TTnhZnLMig==" spinCount="100000" sheet="1" objects="1" scenarios="1"/>
  <phoneticPr fontId="167" type="noConversion"/>
  <pageMargins left="0.69986110925674438" right="0.69986110925674438" top="0.75" bottom="0.75" header="0.30000001192092896" footer="0.30000001192092896"/>
  <pageSetup paperSize="9" fitToWidth="0" fitToHeight="0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92D050"/>
  </sheetPr>
  <dimension ref="A1:AX145"/>
  <sheetViews>
    <sheetView topLeftCell="A22" zoomScale="160" zoomScaleNormal="160" zoomScaleSheetLayoutView="160" workbookViewId="0">
      <selection activeCell="B50" sqref="B50"/>
    </sheetView>
  </sheetViews>
  <sheetFormatPr baseColWidth="10" defaultColWidth="10" defaultRowHeight="12" customHeight="1"/>
  <cols>
    <col min="1" max="1" width="3" style="109" bestFit="1" customWidth="1"/>
    <col min="2" max="2" width="10.5" style="109" bestFit="1" customWidth="1"/>
    <col min="3" max="4" width="3" style="109" bestFit="1" customWidth="1"/>
    <col min="5" max="6" width="7.5" style="109" bestFit="1" customWidth="1"/>
    <col min="7" max="32" width="6.33203125" style="109" bestFit="1" customWidth="1"/>
    <col min="33" max="46" width="7" style="109" bestFit="1" customWidth="1"/>
    <col min="47" max="16384" width="10" style="109"/>
  </cols>
  <sheetData>
    <row r="1" spans="1:50" ht="10">
      <c r="A1" s="109">
        <v>1</v>
      </c>
      <c r="B1" s="109">
        <v>2</v>
      </c>
      <c r="D1" s="109">
        <v>1</v>
      </c>
      <c r="E1" s="109">
        <v>2</v>
      </c>
      <c r="F1" s="109">
        <v>3</v>
      </c>
      <c r="G1" s="109">
        <v>4</v>
      </c>
      <c r="H1" s="109">
        <v>5</v>
      </c>
      <c r="I1" s="109">
        <v>6</v>
      </c>
      <c r="J1" s="109">
        <v>7</v>
      </c>
      <c r="K1" s="109">
        <v>8</v>
      </c>
      <c r="L1" s="109">
        <v>9</v>
      </c>
      <c r="M1" s="109">
        <v>10</v>
      </c>
      <c r="N1" s="109">
        <v>11</v>
      </c>
      <c r="O1" s="109">
        <v>12</v>
      </c>
      <c r="P1" s="109">
        <v>13</v>
      </c>
      <c r="Q1" s="109">
        <v>14</v>
      </c>
      <c r="R1" s="109">
        <v>15</v>
      </c>
      <c r="S1" s="109">
        <v>16</v>
      </c>
      <c r="T1" s="109">
        <v>17</v>
      </c>
      <c r="U1" s="109">
        <v>18</v>
      </c>
      <c r="V1" s="109">
        <v>19</v>
      </c>
      <c r="W1" s="109">
        <v>20</v>
      </c>
      <c r="X1" s="109">
        <v>21</v>
      </c>
      <c r="Y1" s="109">
        <v>22</v>
      </c>
      <c r="Z1" s="109">
        <v>23</v>
      </c>
      <c r="AA1" s="109">
        <v>24</v>
      </c>
      <c r="AB1" s="109">
        <v>25</v>
      </c>
      <c r="AC1" s="109">
        <v>26</v>
      </c>
      <c r="AD1" s="109">
        <v>27</v>
      </c>
      <c r="AE1" s="109">
        <v>28</v>
      </c>
      <c r="AF1" s="109">
        <v>29</v>
      </c>
      <c r="AG1" s="109">
        <v>30</v>
      </c>
      <c r="AH1" s="109">
        <v>31</v>
      </c>
      <c r="AI1" s="109">
        <v>32</v>
      </c>
      <c r="AJ1" s="109">
        <v>33</v>
      </c>
      <c r="AK1" s="109">
        <v>34</v>
      </c>
      <c r="AL1" s="109">
        <v>35</v>
      </c>
      <c r="AM1" s="109">
        <v>36</v>
      </c>
      <c r="AN1" s="109">
        <v>37</v>
      </c>
      <c r="AO1" s="109">
        <v>38</v>
      </c>
      <c r="AP1" s="109">
        <v>39</v>
      </c>
      <c r="AQ1" s="109">
        <v>40</v>
      </c>
      <c r="AR1" s="109">
        <v>41</v>
      </c>
      <c r="AS1" s="109">
        <v>42</v>
      </c>
      <c r="AT1" s="109">
        <v>43</v>
      </c>
    </row>
    <row r="2" spans="1:50" ht="10">
      <c r="A2" s="111"/>
      <c r="B2" s="111" t="s">
        <v>65</v>
      </c>
      <c r="C2" s="111"/>
      <c r="D2" s="111"/>
      <c r="E2" s="110" t="s">
        <v>516</v>
      </c>
      <c r="F2" s="110" t="s">
        <v>494</v>
      </c>
      <c r="G2" s="110" t="s">
        <v>505</v>
      </c>
      <c r="H2" s="110" t="s">
        <v>495</v>
      </c>
      <c r="I2" s="110" t="s">
        <v>476</v>
      </c>
      <c r="J2" s="110" t="s">
        <v>497</v>
      </c>
      <c r="K2" s="110" t="s">
        <v>509</v>
      </c>
      <c r="L2" s="110" t="s">
        <v>478</v>
      </c>
      <c r="M2" s="110" t="s">
        <v>473</v>
      </c>
      <c r="N2" s="110" t="s">
        <v>99</v>
      </c>
      <c r="O2" s="110" t="s">
        <v>81</v>
      </c>
      <c r="P2" s="110" t="s">
        <v>84</v>
      </c>
      <c r="Q2" s="110" t="s">
        <v>109</v>
      </c>
      <c r="R2" s="110" t="s">
        <v>110</v>
      </c>
      <c r="S2" s="110" t="s">
        <v>108</v>
      </c>
      <c r="T2" s="110" t="s">
        <v>93</v>
      </c>
      <c r="U2" s="110" t="s">
        <v>112</v>
      </c>
      <c r="V2" s="110" t="s">
        <v>89</v>
      </c>
      <c r="W2" s="110" t="s">
        <v>90</v>
      </c>
      <c r="X2" s="110" t="s">
        <v>83</v>
      </c>
      <c r="Y2" s="110" t="s">
        <v>94</v>
      </c>
      <c r="Z2" s="110" t="s">
        <v>111</v>
      </c>
      <c r="AA2" s="110" t="s">
        <v>107</v>
      </c>
      <c r="AB2" s="110" t="s">
        <v>102</v>
      </c>
      <c r="AC2" s="110" t="s">
        <v>95</v>
      </c>
      <c r="AD2" s="110" t="s">
        <v>62</v>
      </c>
      <c r="AE2" s="110" t="s">
        <v>104</v>
      </c>
      <c r="AF2" s="110" t="s">
        <v>85</v>
      </c>
      <c r="AG2" s="110" t="s">
        <v>106</v>
      </c>
      <c r="AH2" s="110" t="s">
        <v>86</v>
      </c>
      <c r="AI2" s="110" t="s">
        <v>105</v>
      </c>
      <c r="AJ2" s="110" t="s">
        <v>100</v>
      </c>
      <c r="AK2" s="110" t="s">
        <v>103</v>
      </c>
      <c r="AL2" s="110" t="s">
        <v>92</v>
      </c>
      <c r="AM2" s="110" t="s">
        <v>98</v>
      </c>
      <c r="AN2" s="110" t="s">
        <v>91</v>
      </c>
      <c r="AO2" s="110" t="s">
        <v>122</v>
      </c>
      <c r="AP2" s="110" t="s">
        <v>132</v>
      </c>
      <c r="AQ2" s="110" t="s">
        <v>140</v>
      </c>
      <c r="AR2" s="110" t="s">
        <v>96</v>
      </c>
      <c r="AS2" s="110" t="s">
        <v>130</v>
      </c>
      <c r="AT2" s="110" t="s">
        <v>119</v>
      </c>
    </row>
    <row r="3" spans="1:50" ht="10">
      <c r="A3" s="111"/>
      <c r="B3" s="886">
        <v>1.7000000000000001E-2</v>
      </c>
      <c r="C3" s="111" t="s">
        <v>513</v>
      </c>
      <c r="D3" s="111"/>
      <c r="E3" s="118">
        <f>'2026'!M2</f>
        <v>3.5000000000000003E-2</v>
      </c>
      <c r="F3" s="118">
        <f t="shared" ref="F3:AS3" ca="1" si="0">INDIRECT(F4&amp;"!m2")</f>
        <v>2.5000000000000001E-2</v>
      </c>
      <c r="G3" s="118">
        <f t="shared" ca="1" si="0"/>
        <v>2.5000000000000001E-2</v>
      </c>
      <c r="H3" s="118">
        <f t="shared" ca="1" si="0"/>
        <v>2.5000000000000001E-2</v>
      </c>
      <c r="I3" s="118">
        <f t="shared" ca="1" si="0"/>
        <v>2.5000000000000001E-2</v>
      </c>
      <c r="J3" s="118">
        <f t="shared" ca="1" si="0"/>
        <v>2.5000000000000001E-2</v>
      </c>
      <c r="K3" s="118">
        <f t="shared" ca="1" si="0"/>
        <v>2.5000000000000001E-2</v>
      </c>
      <c r="L3" s="118">
        <f t="shared" ca="1" si="0"/>
        <v>2.5000000000000001E-2</v>
      </c>
      <c r="M3" s="118">
        <f t="shared" ca="1" si="0"/>
        <v>2.5000000000000001E-2</v>
      </c>
      <c r="N3" s="118">
        <f t="shared" ca="1" si="0"/>
        <v>2.5000000000000001E-2</v>
      </c>
      <c r="O3" s="118">
        <f t="shared" ca="1" si="0"/>
        <v>2.5000000000000001E-2</v>
      </c>
      <c r="P3" s="118">
        <f t="shared" ca="1" si="0"/>
        <v>2.5000000000000001E-2</v>
      </c>
      <c r="Q3" s="118">
        <f t="shared" ca="1" si="0"/>
        <v>2.5000000000000001E-2</v>
      </c>
      <c r="R3" s="118">
        <f t="shared" ca="1" si="0"/>
        <v>2.5000000000000001E-2</v>
      </c>
      <c r="S3" s="118">
        <f t="shared" ca="1" si="0"/>
        <v>2.5000000000000001E-2</v>
      </c>
      <c r="T3" s="118">
        <f t="shared" ca="1" si="0"/>
        <v>2.5000000000000001E-2</v>
      </c>
      <c r="U3" s="118">
        <f t="shared" ca="1" si="0"/>
        <v>2.5000000000000001E-2</v>
      </c>
      <c r="V3" s="118">
        <f t="shared" ca="1" si="0"/>
        <v>2.5000000000000001E-2</v>
      </c>
      <c r="W3" s="118">
        <f t="shared" ca="1" si="0"/>
        <v>2.5000000000000001E-2</v>
      </c>
      <c r="X3" s="118">
        <f t="shared" ca="1" si="0"/>
        <v>2.5000000000000001E-2</v>
      </c>
      <c r="Y3" s="118">
        <f t="shared" ca="1" si="0"/>
        <v>2.5000000000000001E-2</v>
      </c>
      <c r="Z3" s="118">
        <f t="shared" ca="1" si="0"/>
        <v>2.5000000000000001E-2</v>
      </c>
      <c r="AA3" s="118">
        <f t="shared" ca="1" si="0"/>
        <v>2.5000000000000001E-2</v>
      </c>
      <c r="AB3" s="118">
        <f t="shared" ca="1" si="0"/>
        <v>2.5000000000000001E-2</v>
      </c>
      <c r="AC3" s="118">
        <f t="shared" ca="1" si="0"/>
        <v>2.5000000000000001E-2</v>
      </c>
      <c r="AD3" s="118">
        <f t="shared" ca="1" si="0"/>
        <v>2.5000000000000001E-2</v>
      </c>
      <c r="AE3" s="118">
        <f t="shared" ca="1" si="0"/>
        <v>2.5000000000000001E-2</v>
      </c>
      <c r="AF3" s="118">
        <f t="shared" ca="1" si="0"/>
        <v>2.5000000000000001E-2</v>
      </c>
      <c r="AG3" s="118">
        <f t="shared" ca="1" si="0"/>
        <v>2.5000000000000001E-2</v>
      </c>
      <c r="AH3" s="118">
        <f t="shared" ca="1" si="0"/>
        <v>2.5000000000000001E-2</v>
      </c>
      <c r="AI3" s="118">
        <f t="shared" ca="1" si="0"/>
        <v>2.5000000000000001E-2</v>
      </c>
      <c r="AJ3" s="118">
        <f t="shared" ca="1" si="0"/>
        <v>2.5000000000000001E-2</v>
      </c>
      <c r="AK3" s="118">
        <f t="shared" ca="1" si="0"/>
        <v>2.5000000000000001E-2</v>
      </c>
      <c r="AL3" s="118">
        <f t="shared" ca="1" si="0"/>
        <v>2.5000000000000001E-2</v>
      </c>
      <c r="AM3" s="118">
        <f t="shared" ca="1" si="0"/>
        <v>2.5000000000000001E-2</v>
      </c>
      <c r="AN3" s="118">
        <f t="shared" ca="1" si="0"/>
        <v>2.5000000000000001E-2</v>
      </c>
      <c r="AO3" s="118">
        <f t="shared" ca="1" si="0"/>
        <v>2.5000000000000001E-2</v>
      </c>
      <c r="AP3" s="118">
        <f t="shared" ca="1" si="0"/>
        <v>2.5000000000000001E-2</v>
      </c>
      <c r="AQ3" s="118">
        <f t="shared" ca="1" si="0"/>
        <v>2.5000000000000001E-2</v>
      </c>
      <c r="AR3" s="118">
        <f t="shared" ca="1" si="0"/>
        <v>2.5000000000000001E-2</v>
      </c>
      <c r="AS3" s="118">
        <f t="shared" ca="1" si="0"/>
        <v>2.5000000000000001E-2</v>
      </c>
      <c r="AT3" s="118">
        <f ca="1">AS3</f>
        <v>2.5000000000000001E-2</v>
      </c>
      <c r="AW3" s="1037">
        <v>2023</v>
      </c>
      <c r="AX3" s="109" t="s">
        <v>614</v>
      </c>
    </row>
    <row r="4" spans="1:50" ht="9" customHeight="1">
      <c r="A4" s="120" t="s">
        <v>439</v>
      </c>
      <c r="B4" s="1036">
        <v>2025</v>
      </c>
      <c r="C4" s="119" t="s">
        <v>502</v>
      </c>
      <c r="D4" s="120" t="s">
        <v>439</v>
      </c>
      <c r="E4" s="120">
        <f>B4+1</f>
        <v>2026</v>
      </c>
      <c r="F4" s="120">
        <f>E4+1</f>
        <v>2027</v>
      </c>
      <c r="G4" s="120">
        <f t="shared" ref="G4:AT4" si="1">F4+1</f>
        <v>2028</v>
      </c>
      <c r="H4" s="120">
        <f t="shared" si="1"/>
        <v>2029</v>
      </c>
      <c r="I4" s="120">
        <f t="shared" si="1"/>
        <v>2030</v>
      </c>
      <c r="J4" s="120">
        <f t="shared" si="1"/>
        <v>2031</v>
      </c>
      <c r="K4" s="120">
        <f t="shared" si="1"/>
        <v>2032</v>
      </c>
      <c r="L4" s="120">
        <f t="shared" si="1"/>
        <v>2033</v>
      </c>
      <c r="M4" s="120">
        <f t="shared" si="1"/>
        <v>2034</v>
      </c>
      <c r="N4" s="120">
        <f t="shared" si="1"/>
        <v>2035</v>
      </c>
      <c r="O4" s="120">
        <f t="shared" si="1"/>
        <v>2036</v>
      </c>
      <c r="P4" s="120">
        <f t="shared" si="1"/>
        <v>2037</v>
      </c>
      <c r="Q4" s="120">
        <f t="shared" si="1"/>
        <v>2038</v>
      </c>
      <c r="R4" s="120">
        <f t="shared" si="1"/>
        <v>2039</v>
      </c>
      <c r="S4" s="120">
        <f t="shared" si="1"/>
        <v>2040</v>
      </c>
      <c r="T4" s="120">
        <f t="shared" si="1"/>
        <v>2041</v>
      </c>
      <c r="U4" s="120">
        <f t="shared" si="1"/>
        <v>2042</v>
      </c>
      <c r="V4" s="120">
        <f t="shared" si="1"/>
        <v>2043</v>
      </c>
      <c r="W4" s="120">
        <f t="shared" si="1"/>
        <v>2044</v>
      </c>
      <c r="X4" s="120">
        <f t="shared" si="1"/>
        <v>2045</v>
      </c>
      <c r="Y4" s="120">
        <f t="shared" si="1"/>
        <v>2046</v>
      </c>
      <c r="Z4" s="120">
        <f t="shared" si="1"/>
        <v>2047</v>
      </c>
      <c r="AA4" s="120">
        <f t="shared" si="1"/>
        <v>2048</v>
      </c>
      <c r="AB4" s="120">
        <f t="shared" si="1"/>
        <v>2049</v>
      </c>
      <c r="AC4" s="120">
        <f t="shared" si="1"/>
        <v>2050</v>
      </c>
      <c r="AD4" s="120">
        <f t="shared" si="1"/>
        <v>2051</v>
      </c>
      <c r="AE4" s="120">
        <f t="shared" si="1"/>
        <v>2052</v>
      </c>
      <c r="AF4" s="120">
        <f t="shared" si="1"/>
        <v>2053</v>
      </c>
      <c r="AG4" s="120">
        <f t="shared" si="1"/>
        <v>2054</v>
      </c>
      <c r="AH4" s="120">
        <f t="shared" si="1"/>
        <v>2055</v>
      </c>
      <c r="AI4" s="120">
        <f t="shared" si="1"/>
        <v>2056</v>
      </c>
      <c r="AJ4" s="120">
        <f t="shared" si="1"/>
        <v>2057</v>
      </c>
      <c r="AK4" s="120">
        <f t="shared" si="1"/>
        <v>2058</v>
      </c>
      <c r="AL4" s="120">
        <f t="shared" si="1"/>
        <v>2059</v>
      </c>
      <c r="AM4" s="120">
        <f t="shared" si="1"/>
        <v>2060</v>
      </c>
      <c r="AN4" s="120">
        <f t="shared" si="1"/>
        <v>2061</v>
      </c>
      <c r="AO4" s="120">
        <f t="shared" si="1"/>
        <v>2062</v>
      </c>
      <c r="AP4" s="120">
        <f t="shared" si="1"/>
        <v>2063</v>
      </c>
      <c r="AQ4" s="120">
        <f t="shared" si="1"/>
        <v>2064</v>
      </c>
      <c r="AR4" s="120">
        <f t="shared" si="1"/>
        <v>2065</v>
      </c>
      <c r="AS4" s="120">
        <f t="shared" si="1"/>
        <v>2066</v>
      </c>
      <c r="AT4" s="120">
        <f t="shared" si="1"/>
        <v>2067</v>
      </c>
      <c r="AW4" s="120" t="s">
        <v>439</v>
      </c>
      <c r="AX4" s="1036">
        <v>2023</v>
      </c>
    </row>
    <row r="5" spans="1:50" ht="9" customHeight="1">
      <c r="A5" s="113">
        <v>8</v>
      </c>
      <c r="B5" s="641">
        <v>2325100</v>
      </c>
      <c r="C5" s="112"/>
      <c r="D5" s="113">
        <v>8</v>
      </c>
      <c r="E5" s="114">
        <v>2325100</v>
      </c>
      <c r="F5" s="114">
        <f ca="1">ROUND(E5*(1+F$3),-2)</f>
        <v>2383200</v>
      </c>
      <c r="G5" s="114">
        <f ca="1">ROUND(F5*(1+G$3),-2)</f>
        <v>2442800</v>
      </c>
      <c r="H5" s="114">
        <f t="shared" ref="H5:AT5" ca="1" si="2">ROUND(G5*(1+H$3),-2)</f>
        <v>2503900</v>
      </c>
      <c r="I5" s="114">
        <f t="shared" ca="1" si="2"/>
        <v>2566500</v>
      </c>
      <c r="J5" s="114">
        <f t="shared" ca="1" si="2"/>
        <v>2630700</v>
      </c>
      <c r="K5" s="114">
        <f t="shared" ca="1" si="2"/>
        <v>2696500</v>
      </c>
      <c r="L5" s="114">
        <f t="shared" ca="1" si="2"/>
        <v>2763900</v>
      </c>
      <c r="M5" s="114">
        <f t="shared" ca="1" si="2"/>
        <v>2833000</v>
      </c>
      <c r="N5" s="114">
        <f t="shared" ca="1" si="2"/>
        <v>2903800</v>
      </c>
      <c r="O5" s="114">
        <f t="shared" ca="1" si="2"/>
        <v>2976400</v>
      </c>
      <c r="P5" s="114">
        <f t="shared" ca="1" si="2"/>
        <v>3050800</v>
      </c>
      <c r="Q5" s="114">
        <f t="shared" ca="1" si="2"/>
        <v>3127100</v>
      </c>
      <c r="R5" s="114">
        <f t="shared" ca="1" si="2"/>
        <v>3205300</v>
      </c>
      <c r="S5" s="114">
        <f t="shared" ca="1" si="2"/>
        <v>3285400</v>
      </c>
      <c r="T5" s="114">
        <f t="shared" ca="1" si="2"/>
        <v>3367500</v>
      </c>
      <c r="U5" s="114">
        <f t="shared" ca="1" si="2"/>
        <v>3451700</v>
      </c>
      <c r="V5" s="114">
        <f t="shared" ca="1" si="2"/>
        <v>3538000</v>
      </c>
      <c r="W5" s="114">
        <f t="shared" ca="1" si="2"/>
        <v>3626500</v>
      </c>
      <c r="X5" s="114">
        <f t="shared" ca="1" si="2"/>
        <v>3717200</v>
      </c>
      <c r="Y5" s="114">
        <f t="shared" ca="1" si="2"/>
        <v>3810100</v>
      </c>
      <c r="Z5" s="114">
        <f t="shared" ca="1" si="2"/>
        <v>3905400</v>
      </c>
      <c r="AA5" s="114">
        <f t="shared" ca="1" si="2"/>
        <v>4003000</v>
      </c>
      <c r="AB5" s="114">
        <f t="shared" ca="1" si="2"/>
        <v>4103100</v>
      </c>
      <c r="AC5" s="114">
        <f t="shared" ca="1" si="2"/>
        <v>4205700</v>
      </c>
      <c r="AD5" s="114">
        <f t="shared" ca="1" si="2"/>
        <v>4310800</v>
      </c>
      <c r="AE5" s="114">
        <f t="shared" ca="1" si="2"/>
        <v>4418600</v>
      </c>
      <c r="AF5" s="114">
        <f t="shared" ca="1" si="2"/>
        <v>4529100</v>
      </c>
      <c r="AG5" s="114">
        <f t="shared" ca="1" si="2"/>
        <v>4642300</v>
      </c>
      <c r="AH5" s="114">
        <f t="shared" ca="1" si="2"/>
        <v>4758400</v>
      </c>
      <c r="AI5" s="114">
        <f t="shared" ca="1" si="2"/>
        <v>4877400</v>
      </c>
      <c r="AJ5" s="114">
        <f t="shared" ca="1" si="2"/>
        <v>4999300</v>
      </c>
      <c r="AK5" s="114">
        <f t="shared" ca="1" si="2"/>
        <v>5124300</v>
      </c>
      <c r="AL5" s="114">
        <f t="shared" ca="1" si="2"/>
        <v>5252400</v>
      </c>
      <c r="AM5" s="114">
        <f t="shared" ca="1" si="2"/>
        <v>5383700</v>
      </c>
      <c r="AN5" s="114">
        <f t="shared" ca="1" si="2"/>
        <v>5518300</v>
      </c>
      <c r="AO5" s="114">
        <f t="shared" ca="1" si="2"/>
        <v>5656300</v>
      </c>
      <c r="AP5" s="114">
        <f t="shared" ca="1" si="2"/>
        <v>5797700</v>
      </c>
      <c r="AQ5" s="114">
        <f t="shared" ca="1" si="2"/>
        <v>5942600</v>
      </c>
      <c r="AR5" s="114">
        <f t="shared" ca="1" si="2"/>
        <v>6091200</v>
      </c>
      <c r="AS5" s="114">
        <f t="shared" ca="1" si="2"/>
        <v>6243500</v>
      </c>
      <c r="AT5" s="114">
        <f t="shared" ca="1" si="2"/>
        <v>6399600</v>
      </c>
      <c r="AW5" s="113">
        <v>8</v>
      </c>
      <c r="AX5" s="1038">
        <v>2099100</v>
      </c>
    </row>
    <row r="6" spans="1:50" ht="9" customHeight="1">
      <c r="A6" s="113">
        <v>9</v>
      </c>
      <c r="B6" s="641">
        <v>2365500</v>
      </c>
      <c r="C6" s="112" t="s">
        <v>507</v>
      </c>
      <c r="D6" s="113">
        <v>9</v>
      </c>
      <c r="E6" s="117">
        <v>2365500</v>
      </c>
      <c r="F6" s="114">
        <f t="shared" ref="F6:F37" ca="1" si="3">ROUND(E6*(1+F$3),-2)</f>
        <v>2424600</v>
      </c>
      <c r="G6" s="114">
        <f t="shared" ref="G6:AT6" ca="1" si="4">ROUND(F6*(1+G$3),-2)</f>
        <v>2485200</v>
      </c>
      <c r="H6" s="114">
        <f t="shared" ca="1" si="4"/>
        <v>2547300</v>
      </c>
      <c r="I6" s="114">
        <f t="shared" ca="1" si="4"/>
        <v>2611000</v>
      </c>
      <c r="J6" s="114">
        <f t="shared" ca="1" si="4"/>
        <v>2676300</v>
      </c>
      <c r="K6" s="114">
        <f t="shared" ca="1" si="4"/>
        <v>2743200</v>
      </c>
      <c r="L6" s="114">
        <f t="shared" ca="1" si="4"/>
        <v>2811800</v>
      </c>
      <c r="M6" s="114">
        <f t="shared" ca="1" si="4"/>
        <v>2882100</v>
      </c>
      <c r="N6" s="114">
        <f t="shared" ca="1" si="4"/>
        <v>2954200</v>
      </c>
      <c r="O6" s="114">
        <f t="shared" ca="1" si="4"/>
        <v>3028100</v>
      </c>
      <c r="P6" s="114">
        <f t="shared" ca="1" si="4"/>
        <v>3103800</v>
      </c>
      <c r="Q6" s="114">
        <f t="shared" ca="1" si="4"/>
        <v>3181400</v>
      </c>
      <c r="R6" s="114">
        <f t="shared" ca="1" si="4"/>
        <v>3260900</v>
      </c>
      <c r="S6" s="114">
        <f t="shared" ca="1" si="4"/>
        <v>3342400</v>
      </c>
      <c r="T6" s="114">
        <f t="shared" ca="1" si="4"/>
        <v>3426000</v>
      </c>
      <c r="U6" s="114">
        <f t="shared" ca="1" si="4"/>
        <v>3511700</v>
      </c>
      <c r="V6" s="114">
        <f t="shared" ca="1" si="4"/>
        <v>3599500</v>
      </c>
      <c r="W6" s="114">
        <f t="shared" ca="1" si="4"/>
        <v>3689500</v>
      </c>
      <c r="X6" s="114">
        <f t="shared" ca="1" si="4"/>
        <v>3781700</v>
      </c>
      <c r="Y6" s="114">
        <f t="shared" ca="1" si="4"/>
        <v>3876200</v>
      </c>
      <c r="Z6" s="114">
        <f t="shared" ca="1" si="4"/>
        <v>3973100</v>
      </c>
      <c r="AA6" s="114">
        <f t="shared" ca="1" si="4"/>
        <v>4072400</v>
      </c>
      <c r="AB6" s="114">
        <f t="shared" ca="1" si="4"/>
        <v>4174200</v>
      </c>
      <c r="AC6" s="114">
        <f t="shared" ca="1" si="4"/>
        <v>4278600</v>
      </c>
      <c r="AD6" s="114">
        <f t="shared" ca="1" si="4"/>
        <v>4385600</v>
      </c>
      <c r="AE6" s="114">
        <f t="shared" ca="1" si="4"/>
        <v>4495200</v>
      </c>
      <c r="AF6" s="114">
        <f t="shared" ca="1" si="4"/>
        <v>4607600</v>
      </c>
      <c r="AG6" s="114">
        <f t="shared" ca="1" si="4"/>
        <v>4722800</v>
      </c>
      <c r="AH6" s="114">
        <f t="shared" ca="1" si="4"/>
        <v>4840900</v>
      </c>
      <c r="AI6" s="114">
        <f t="shared" ca="1" si="4"/>
        <v>4961900</v>
      </c>
      <c r="AJ6" s="114">
        <f t="shared" ca="1" si="4"/>
        <v>5085900</v>
      </c>
      <c r="AK6" s="114">
        <f t="shared" ca="1" si="4"/>
        <v>5213000</v>
      </c>
      <c r="AL6" s="114">
        <f t="shared" ca="1" si="4"/>
        <v>5343300</v>
      </c>
      <c r="AM6" s="114">
        <f t="shared" ca="1" si="4"/>
        <v>5476900</v>
      </c>
      <c r="AN6" s="114">
        <f t="shared" ca="1" si="4"/>
        <v>5613800</v>
      </c>
      <c r="AO6" s="114">
        <f t="shared" ca="1" si="4"/>
        <v>5754100</v>
      </c>
      <c r="AP6" s="114">
        <f t="shared" ca="1" si="4"/>
        <v>5898000</v>
      </c>
      <c r="AQ6" s="114">
        <f t="shared" ca="1" si="4"/>
        <v>6045500</v>
      </c>
      <c r="AR6" s="114">
        <f t="shared" ca="1" si="4"/>
        <v>6196600</v>
      </c>
      <c r="AS6" s="114">
        <f t="shared" ca="1" si="4"/>
        <v>6351500</v>
      </c>
      <c r="AT6" s="114">
        <f t="shared" ca="1" si="4"/>
        <v>6510300</v>
      </c>
      <c r="AW6" s="113">
        <v>9</v>
      </c>
      <c r="AX6" s="1038">
        <v>2152400</v>
      </c>
    </row>
    <row r="7" spans="1:50" ht="9" customHeight="1">
      <c r="A7" s="113">
        <v>10</v>
      </c>
      <c r="B7" s="641">
        <v>2387800</v>
      </c>
      <c r="C7" s="112" t="s">
        <v>499</v>
      </c>
      <c r="D7" s="113">
        <v>10</v>
      </c>
      <c r="E7" s="115">
        <v>2387800</v>
      </c>
      <c r="F7" s="117">
        <f t="shared" ca="1" si="3"/>
        <v>2447500</v>
      </c>
      <c r="G7" s="116">
        <f t="shared" ref="G7:AT7" ca="1" si="5">ROUND(F7*(1+G$3),-2)</f>
        <v>2508700</v>
      </c>
      <c r="H7" s="116">
        <f t="shared" ca="1" si="5"/>
        <v>2571400</v>
      </c>
      <c r="I7" s="116">
        <f t="shared" ca="1" si="5"/>
        <v>2635700</v>
      </c>
      <c r="J7" s="116">
        <f t="shared" ca="1" si="5"/>
        <v>2701600</v>
      </c>
      <c r="K7" s="116">
        <f t="shared" ca="1" si="5"/>
        <v>2769100</v>
      </c>
      <c r="L7" s="116">
        <f t="shared" ca="1" si="5"/>
        <v>2838300</v>
      </c>
      <c r="M7" s="116">
        <f t="shared" ca="1" si="5"/>
        <v>2909300</v>
      </c>
      <c r="N7" s="116">
        <f t="shared" ca="1" si="5"/>
        <v>2982000</v>
      </c>
      <c r="O7" s="116">
        <f t="shared" ca="1" si="5"/>
        <v>3056600</v>
      </c>
      <c r="P7" s="116">
        <f t="shared" ca="1" si="5"/>
        <v>3133000</v>
      </c>
      <c r="Q7" s="116">
        <f t="shared" ca="1" si="5"/>
        <v>3211300</v>
      </c>
      <c r="R7" s="116">
        <f t="shared" ca="1" si="5"/>
        <v>3291600</v>
      </c>
      <c r="S7" s="116">
        <f t="shared" ca="1" si="5"/>
        <v>3373900</v>
      </c>
      <c r="T7" s="116">
        <f t="shared" ca="1" si="5"/>
        <v>3458200</v>
      </c>
      <c r="U7" s="116">
        <f t="shared" ca="1" si="5"/>
        <v>3544700</v>
      </c>
      <c r="V7" s="116">
        <f t="shared" ca="1" si="5"/>
        <v>3633300</v>
      </c>
      <c r="W7" s="116">
        <f t="shared" ca="1" si="5"/>
        <v>3724100</v>
      </c>
      <c r="X7" s="116">
        <f t="shared" ca="1" si="5"/>
        <v>3817200</v>
      </c>
      <c r="Y7" s="116">
        <f t="shared" ca="1" si="5"/>
        <v>3912600</v>
      </c>
      <c r="Z7" s="116">
        <f t="shared" ca="1" si="5"/>
        <v>4010400</v>
      </c>
      <c r="AA7" s="116">
        <f t="shared" ca="1" si="5"/>
        <v>4110700</v>
      </c>
      <c r="AB7" s="116">
        <f t="shared" ca="1" si="5"/>
        <v>4213500</v>
      </c>
      <c r="AC7" s="116">
        <f t="shared" ca="1" si="5"/>
        <v>4318800</v>
      </c>
      <c r="AD7" s="116">
        <f t="shared" ca="1" si="5"/>
        <v>4426800</v>
      </c>
      <c r="AE7" s="116">
        <f t="shared" ca="1" si="5"/>
        <v>4537500</v>
      </c>
      <c r="AF7" s="116">
        <f t="shared" ca="1" si="5"/>
        <v>4650900</v>
      </c>
      <c r="AG7" s="116">
        <f t="shared" ca="1" si="5"/>
        <v>4767200</v>
      </c>
      <c r="AH7" s="116">
        <f t="shared" ca="1" si="5"/>
        <v>4886400</v>
      </c>
      <c r="AI7" s="116">
        <f t="shared" ca="1" si="5"/>
        <v>5008600</v>
      </c>
      <c r="AJ7" s="116">
        <f t="shared" ca="1" si="5"/>
        <v>5133800</v>
      </c>
      <c r="AK7" s="116">
        <f t="shared" ca="1" si="5"/>
        <v>5262100</v>
      </c>
      <c r="AL7" s="116">
        <f t="shared" ca="1" si="5"/>
        <v>5393700</v>
      </c>
      <c r="AM7" s="116">
        <f t="shared" ca="1" si="5"/>
        <v>5528500</v>
      </c>
      <c r="AN7" s="116">
        <f t="shared" ca="1" si="5"/>
        <v>5666700</v>
      </c>
      <c r="AO7" s="116">
        <f t="shared" ca="1" si="5"/>
        <v>5808400</v>
      </c>
      <c r="AP7" s="116">
        <f t="shared" ca="1" si="5"/>
        <v>5953600</v>
      </c>
      <c r="AQ7" s="116">
        <f t="shared" ca="1" si="5"/>
        <v>6102400</v>
      </c>
      <c r="AR7" s="116">
        <f t="shared" ca="1" si="5"/>
        <v>6255000</v>
      </c>
      <c r="AS7" s="116">
        <f t="shared" ca="1" si="5"/>
        <v>6411400</v>
      </c>
      <c r="AT7" s="116">
        <f t="shared" ca="1" si="5"/>
        <v>6571700</v>
      </c>
      <c r="AW7" s="113">
        <v>10</v>
      </c>
      <c r="AX7" s="1038">
        <v>2210700</v>
      </c>
    </row>
    <row r="8" spans="1:50" ht="9" customHeight="1">
      <c r="A8" s="113">
        <v>11</v>
      </c>
      <c r="B8" s="641">
        <v>2408300</v>
      </c>
      <c r="C8" s="112" t="s">
        <v>432</v>
      </c>
      <c r="D8" s="113">
        <v>11</v>
      </c>
      <c r="E8" s="116">
        <v>2408300</v>
      </c>
      <c r="F8" s="115">
        <f t="shared" ca="1" si="3"/>
        <v>2468500</v>
      </c>
      <c r="G8" s="117">
        <f t="shared" ref="G8:AT8" ca="1" si="6">ROUND(F8*(1+G$3),-2)</f>
        <v>2530200</v>
      </c>
      <c r="H8" s="116">
        <f t="shared" ca="1" si="6"/>
        <v>2593500</v>
      </c>
      <c r="I8" s="116">
        <f t="shared" ca="1" si="6"/>
        <v>2658300</v>
      </c>
      <c r="J8" s="116">
        <f t="shared" ca="1" si="6"/>
        <v>2724800</v>
      </c>
      <c r="K8" s="116">
        <f t="shared" ca="1" si="6"/>
        <v>2792900</v>
      </c>
      <c r="L8" s="116">
        <f t="shared" ca="1" si="6"/>
        <v>2862700</v>
      </c>
      <c r="M8" s="116">
        <f t="shared" ca="1" si="6"/>
        <v>2934300</v>
      </c>
      <c r="N8" s="116">
        <f t="shared" ca="1" si="6"/>
        <v>3007700</v>
      </c>
      <c r="O8" s="116">
        <f t="shared" ca="1" si="6"/>
        <v>3082900</v>
      </c>
      <c r="P8" s="116">
        <f t="shared" ca="1" si="6"/>
        <v>3160000</v>
      </c>
      <c r="Q8" s="116">
        <f t="shared" ca="1" si="6"/>
        <v>3239000</v>
      </c>
      <c r="R8" s="116">
        <f t="shared" ca="1" si="6"/>
        <v>3320000</v>
      </c>
      <c r="S8" s="116">
        <f t="shared" ca="1" si="6"/>
        <v>3403000</v>
      </c>
      <c r="T8" s="116">
        <f t="shared" ca="1" si="6"/>
        <v>3488100</v>
      </c>
      <c r="U8" s="116">
        <f t="shared" ca="1" si="6"/>
        <v>3575300</v>
      </c>
      <c r="V8" s="116">
        <f t="shared" ca="1" si="6"/>
        <v>3664700</v>
      </c>
      <c r="W8" s="116">
        <f t="shared" ca="1" si="6"/>
        <v>3756300</v>
      </c>
      <c r="X8" s="116">
        <f t="shared" ca="1" si="6"/>
        <v>3850200</v>
      </c>
      <c r="Y8" s="116">
        <f t="shared" ca="1" si="6"/>
        <v>3946500</v>
      </c>
      <c r="Z8" s="116">
        <f t="shared" ca="1" si="6"/>
        <v>4045200</v>
      </c>
      <c r="AA8" s="116">
        <f t="shared" ca="1" si="6"/>
        <v>4146300</v>
      </c>
      <c r="AB8" s="116">
        <f t="shared" ca="1" si="6"/>
        <v>4250000</v>
      </c>
      <c r="AC8" s="116">
        <f t="shared" ca="1" si="6"/>
        <v>4356300</v>
      </c>
      <c r="AD8" s="116">
        <f t="shared" ca="1" si="6"/>
        <v>4465200</v>
      </c>
      <c r="AE8" s="116">
        <f t="shared" ca="1" si="6"/>
        <v>4576800</v>
      </c>
      <c r="AF8" s="116">
        <f t="shared" ca="1" si="6"/>
        <v>4691200</v>
      </c>
      <c r="AG8" s="116">
        <f t="shared" ca="1" si="6"/>
        <v>4808500</v>
      </c>
      <c r="AH8" s="116">
        <f t="shared" ca="1" si="6"/>
        <v>4928700</v>
      </c>
      <c r="AI8" s="116">
        <f t="shared" ca="1" si="6"/>
        <v>5051900</v>
      </c>
      <c r="AJ8" s="116">
        <f t="shared" ca="1" si="6"/>
        <v>5178200</v>
      </c>
      <c r="AK8" s="116">
        <f t="shared" ca="1" si="6"/>
        <v>5307700</v>
      </c>
      <c r="AL8" s="116">
        <f t="shared" ca="1" si="6"/>
        <v>5440400</v>
      </c>
      <c r="AM8" s="116">
        <f t="shared" ca="1" si="6"/>
        <v>5576400</v>
      </c>
      <c r="AN8" s="116">
        <f t="shared" ca="1" si="6"/>
        <v>5715800</v>
      </c>
      <c r="AO8" s="116">
        <f t="shared" ca="1" si="6"/>
        <v>5858700</v>
      </c>
      <c r="AP8" s="116">
        <f t="shared" ca="1" si="6"/>
        <v>6005200</v>
      </c>
      <c r="AQ8" s="116">
        <f t="shared" ca="1" si="6"/>
        <v>6155300</v>
      </c>
      <c r="AR8" s="116">
        <f t="shared" ca="1" si="6"/>
        <v>6309200</v>
      </c>
      <c r="AS8" s="116">
        <f t="shared" ca="1" si="6"/>
        <v>6466900</v>
      </c>
      <c r="AT8" s="116">
        <f t="shared" ca="1" si="6"/>
        <v>6628600</v>
      </c>
      <c r="AW8" s="113">
        <v>11</v>
      </c>
      <c r="AX8" s="1038">
        <v>2267700</v>
      </c>
    </row>
    <row r="9" spans="1:50" ht="9" customHeight="1">
      <c r="A9" s="113">
        <v>12</v>
      </c>
      <c r="B9" s="641">
        <v>2455700</v>
      </c>
      <c r="C9" s="112" t="s">
        <v>447</v>
      </c>
      <c r="D9" s="113">
        <v>12</v>
      </c>
      <c r="E9" s="116">
        <f t="shared" ref="E9:E37" si="7">ROUND(B9*(1+E$3),-2)</f>
        <v>2541600</v>
      </c>
      <c r="F9" s="116">
        <f t="shared" ca="1" si="3"/>
        <v>2605100</v>
      </c>
      <c r="G9" s="115">
        <f t="shared" ref="G9:AT9" ca="1" si="8">ROUND(F9*(1+G$3),-2)</f>
        <v>2670200</v>
      </c>
      <c r="H9" s="117">
        <f t="shared" ca="1" si="8"/>
        <v>2737000</v>
      </c>
      <c r="I9" s="116">
        <f t="shared" ca="1" si="8"/>
        <v>2805400</v>
      </c>
      <c r="J9" s="116">
        <f t="shared" ca="1" si="8"/>
        <v>2875500</v>
      </c>
      <c r="K9" s="116">
        <f t="shared" ca="1" si="8"/>
        <v>2947400</v>
      </c>
      <c r="L9" s="116">
        <f t="shared" ca="1" si="8"/>
        <v>3021100</v>
      </c>
      <c r="M9" s="116">
        <f t="shared" ca="1" si="8"/>
        <v>3096600</v>
      </c>
      <c r="N9" s="116">
        <f t="shared" ca="1" si="8"/>
        <v>3174000</v>
      </c>
      <c r="O9" s="116">
        <f t="shared" ca="1" si="8"/>
        <v>3253400</v>
      </c>
      <c r="P9" s="116">
        <f t="shared" ca="1" si="8"/>
        <v>3334700</v>
      </c>
      <c r="Q9" s="116">
        <f t="shared" ca="1" si="8"/>
        <v>3418100</v>
      </c>
      <c r="R9" s="116">
        <f t="shared" ca="1" si="8"/>
        <v>3503600</v>
      </c>
      <c r="S9" s="116">
        <f t="shared" ca="1" si="8"/>
        <v>3591200</v>
      </c>
      <c r="T9" s="116">
        <f t="shared" ca="1" si="8"/>
        <v>3681000</v>
      </c>
      <c r="U9" s="116">
        <f t="shared" ca="1" si="8"/>
        <v>3773000</v>
      </c>
      <c r="V9" s="116">
        <f t="shared" ca="1" si="8"/>
        <v>3867300</v>
      </c>
      <c r="W9" s="116">
        <f t="shared" ca="1" si="8"/>
        <v>3964000</v>
      </c>
      <c r="X9" s="116">
        <f t="shared" ca="1" si="8"/>
        <v>4063100</v>
      </c>
      <c r="Y9" s="116">
        <f t="shared" ca="1" si="8"/>
        <v>4164700</v>
      </c>
      <c r="Z9" s="116">
        <f t="shared" ca="1" si="8"/>
        <v>4268800</v>
      </c>
      <c r="AA9" s="116">
        <f t="shared" ca="1" si="8"/>
        <v>4375500</v>
      </c>
      <c r="AB9" s="116">
        <f t="shared" ca="1" si="8"/>
        <v>4484900</v>
      </c>
      <c r="AC9" s="116">
        <f t="shared" ca="1" si="8"/>
        <v>4597000</v>
      </c>
      <c r="AD9" s="116">
        <f t="shared" ca="1" si="8"/>
        <v>4711900</v>
      </c>
      <c r="AE9" s="116">
        <f t="shared" ca="1" si="8"/>
        <v>4829700</v>
      </c>
      <c r="AF9" s="116">
        <f t="shared" ca="1" si="8"/>
        <v>4950400</v>
      </c>
      <c r="AG9" s="116">
        <f t="shared" ca="1" si="8"/>
        <v>5074200</v>
      </c>
      <c r="AH9" s="116">
        <f t="shared" ca="1" si="8"/>
        <v>5201100</v>
      </c>
      <c r="AI9" s="116">
        <f t="shared" ca="1" si="8"/>
        <v>5331100</v>
      </c>
      <c r="AJ9" s="116">
        <f t="shared" ca="1" si="8"/>
        <v>5464400</v>
      </c>
      <c r="AK9" s="116">
        <f t="shared" ca="1" si="8"/>
        <v>5601000</v>
      </c>
      <c r="AL9" s="116">
        <f t="shared" ca="1" si="8"/>
        <v>5741000</v>
      </c>
      <c r="AM9" s="116">
        <f t="shared" ca="1" si="8"/>
        <v>5884500</v>
      </c>
      <c r="AN9" s="116">
        <f t="shared" ca="1" si="8"/>
        <v>6031600</v>
      </c>
      <c r="AO9" s="116">
        <f t="shared" ca="1" si="8"/>
        <v>6182400</v>
      </c>
      <c r="AP9" s="116">
        <f t="shared" ca="1" si="8"/>
        <v>6337000</v>
      </c>
      <c r="AQ9" s="116">
        <f t="shared" ca="1" si="8"/>
        <v>6495400</v>
      </c>
      <c r="AR9" s="116">
        <f t="shared" ca="1" si="8"/>
        <v>6657800</v>
      </c>
      <c r="AS9" s="116">
        <f t="shared" ca="1" si="8"/>
        <v>6824200</v>
      </c>
      <c r="AT9" s="116">
        <f t="shared" ca="1" si="8"/>
        <v>6994800</v>
      </c>
      <c r="AW9" s="113">
        <v>12</v>
      </c>
      <c r="AX9" s="1038">
        <v>2326000</v>
      </c>
    </row>
    <row r="10" spans="1:50" ht="9" customHeight="1">
      <c r="A10" s="113">
        <v>13</v>
      </c>
      <c r="B10" s="641">
        <v>2567600</v>
      </c>
      <c r="C10" s="112"/>
      <c r="D10" s="113">
        <v>13</v>
      </c>
      <c r="E10" s="116">
        <f t="shared" si="7"/>
        <v>2657500</v>
      </c>
      <c r="F10" s="116">
        <f t="shared" ca="1" si="3"/>
        <v>2723900</v>
      </c>
      <c r="G10" s="115">
        <f t="shared" ref="G10:AT10" ca="1" si="9">ROUND(F10*(1+G$3),-2)</f>
        <v>2792000</v>
      </c>
      <c r="H10" s="117">
        <f t="shared" ca="1" si="9"/>
        <v>2861800</v>
      </c>
      <c r="I10" s="116">
        <f t="shared" ca="1" si="9"/>
        <v>2933300</v>
      </c>
      <c r="J10" s="116">
        <f t="shared" ca="1" si="9"/>
        <v>3006600</v>
      </c>
      <c r="K10" s="116">
        <f t="shared" ca="1" si="9"/>
        <v>3081800</v>
      </c>
      <c r="L10" s="116">
        <f t="shared" ca="1" si="9"/>
        <v>3158800</v>
      </c>
      <c r="M10" s="116">
        <f t="shared" ca="1" si="9"/>
        <v>3237800</v>
      </c>
      <c r="N10" s="116">
        <f t="shared" ca="1" si="9"/>
        <v>3318700</v>
      </c>
      <c r="O10" s="116">
        <f t="shared" ca="1" si="9"/>
        <v>3401700</v>
      </c>
      <c r="P10" s="116">
        <f t="shared" ca="1" si="9"/>
        <v>3486700</v>
      </c>
      <c r="Q10" s="116">
        <f t="shared" ca="1" si="9"/>
        <v>3573900</v>
      </c>
      <c r="R10" s="116">
        <f t="shared" ca="1" si="9"/>
        <v>3663200</v>
      </c>
      <c r="S10" s="116">
        <f t="shared" ca="1" si="9"/>
        <v>3754800</v>
      </c>
      <c r="T10" s="116">
        <f t="shared" ca="1" si="9"/>
        <v>3848700</v>
      </c>
      <c r="U10" s="116">
        <f t="shared" ca="1" si="9"/>
        <v>3944900</v>
      </c>
      <c r="V10" s="116">
        <f t="shared" ca="1" si="9"/>
        <v>4043500</v>
      </c>
      <c r="W10" s="116">
        <f t="shared" ca="1" si="9"/>
        <v>4144600</v>
      </c>
      <c r="X10" s="116">
        <f t="shared" ca="1" si="9"/>
        <v>4248200</v>
      </c>
      <c r="Y10" s="116">
        <f t="shared" ca="1" si="9"/>
        <v>4354400</v>
      </c>
      <c r="Z10" s="116">
        <f t="shared" ca="1" si="9"/>
        <v>4463300</v>
      </c>
      <c r="AA10" s="116">
        <f t="shared" ca="1" si="9"/>
        <v>4574900</v>
      </c>
      <c r="AB10" s="116">
        <f t="shared" ca="1" si="9"/>
        <v>4689300</v>
      </c>
      <c r="AC10" s="116">
        <f t="shared" ca="1" si="9"/>
        <v>4806500</v>
      </c>
      <c r="AD10" s="116">
        <f t="shared" ca="1" si="9"/>
        <v>4926700</v>
      </c>
      <c r="AE10" s="116">
        <f t="shared" ca="1" si="9"/>
        <v>5049900</v>
      </c>
      <c r="AF10" s="116">
        <f t="shared" ca="1" si="9"/>
        <v>5176100</v>
      </c>
      <c r="AG10" s="116">
        <f t="shared" ca="1" si="9"/>
        <v>5305500</v>
      </c>
      <c r="AH10" s="116">
        <f t="shared" ca="1" si="9"/>
        <v>5438100</v>
      </c>
      <c r="AI10" s="116">
        <f t="shared" ca="1" si="9"/>
        <v>5574100</v>
      </c>
      <c r="AJ10" s="116">
        <f t="shared" ca="1" si="9"/>
        <v>5713500</v>
      </c>
      <c r="AK10" s="116">
        <f t="shared" ca="1" si="9"/>
        <v>5856300</v>
      </c>
      <c r="AL10" s="116">
        <f t="shared" ca="1" si="9"/>
        <v>6002700</v>
      </c>
      <c r="AM10" s="116">
        <f t="shared" ca="1" si="9"/>
        <v>6152800</v>
      </c>
      <c r="AN10" s="116">
        <f t="shared" ca="1" si="9"/>
        <v>6306600</v>
      </c>
      <c r="AO10" s="116">
        <f t="shared" ca="1" si="9"/>
        <v>6464300</v>
      </c>
      <c r="AP10" s="116">
        <f t="shared" ca="1" si="9"/>
        <v>6625900</v>
      </c>
      <c r="AQ10" s="116">
        <f t="shared" ca="1" si="9"/>
        <v>6791500</v>
      </c>
      <c r="AR10" s="116">
        <f t="shared" ca="1" si="9"/>
        <v>6961300</v>
      </c>
      <c r="AS10" s="116">
        <f t="shared" ca="1" si="9"/>
        <v>7135300</v>
      </c>
      <c r="AT10" s="116">
        <f t="shared" ca="1" si="9"/>
        <v>7313700</v>
      </c>
      <c r="AW10" s="113">
        <v>13</v>
      </c>
      <c r="AX10" s="1038">
        <v>2432000</v>
      </c>
    </row>
    <row r="11" spans="1:50" ht="9" customHeight="1">
      <c r="A11" s="113">
        <v>14</v>
      </c>
      <c r="B11" s="641">
        <v>2679900</v>
      </c>
      <c r="C11" s="112" t="s">
        <v>431</v>
      </c>
      <c r="D11" s="113">
        <v>14</v>
      </c>
      <c r="E11" s="116">
        <f t="shared" si="7"/>
        <v>2773700</v>
      </c>
      <c r="F11" s="116">
        <f t="shared" ca="1" si="3"/>
        <v>2843000</v>
      </c>
      <c r="G11" s="116">
        <f t="shared" ref="G11:AT11" ca="1" si="10">ROUND(F11*(1+G$3),-2)</f>
        <v>2914100</v>
      </c>
      <c r="H11" s="115">
        <f t="shared" ca="1" si="10"/>
        <v>2987000</v>
      </c>
      <c r="I11" s="117">
        <f t="shared" ca="1" si="10"/>
        <v>3061700</v>
      </c>
      <c r="J11" s="116">
        <f t="shared" ca="1" si="10"/>
        <v>3138200</v>
      </c>
      <c r="K11" s="116">
        <f t="shared" ca="1" si="10"/>
        <v>3216700</v>
      </c>
      <c r="L11" s="116">
        <f t="shared" ca="1" si="10"/>
        <v>3297100</v>
      </c>
      <c r="M11" s="116">
        <f t="shared" ca="1" si="10"/>
        <v>3379500</v>
      </c>
      <c r="N11" s="116">
        <f t="shared" ca="1" si="10"/>
        <v>3464000</v>
      </c>
      <c r="O11" s="116">
        <f t="shared" ca="1" si="10"/>
        <v>3550600</v>
      </c>
      <c r="P11" s="116">
        <f t="shared" ca="1" si="10"/>
        <v>3639400</v>
      </c>
      <c r="Q11" s="116">
        <f t="shared" ca="1" si="10"/>
        <v>3730400</v>
      </c>
      <c r="R11" s="116">
        <f t="shared" ca="1" si="10"/>
        <v>3823700</v>
      </c>
      <c r="S11" s="116">
        <f t="shared" ca="1" si="10"/>
        <v>3919300</v>
      </c>
      <c r="T11" s="116">
        <f t="shared" ca="1" si="10"/>
        <v>4017300</v>
      </c>
      <c r="U11" s="116">
        <f t="shared" ca="1" si="10"/>
        <v>4117700</v>
      </c>
      <c r="V11" s="116">
        <f t="shared" ca="1" si="10"/>
        <v>4220600</v>
      </c>
      <c r="W11" s="116">
        <f t="shared" ca="1" si="10"/>
        <v>4326100</v>
      </c>
      <c r="X11" s="116">
        <f t="shared" ca="1" si="10"/>
        <v>4434300</v>
      </c>
      <c r="Y11" s="116">
        <f t="shared" ca="1" si="10"/>
        <v>4545200</v>
      </c>
      <c r="Z11" s="116">
        <f t="shared" ca="1" si="10"/>
        <v>4658800</v>
      </c>
      <c r="AA11" s="116">
        <f t="shared" ca="1" si="10"/>
        <v>4775300</v>
      </c>
      <c r="AB11" s="116">
        <f t="shared" ca="1" si="10"/>
        <v>4894700</v>
      </c>
      <c r="AC11" s="116">
        <f t="shared" ca="1" si="10"/>
        <v>5017100</v>
      </c>
      <c r="AD11" s="116">
        <f t="shared" ca="1" si="10"/>
        <v>5142500</v>
      </c>
      <c r="AE11" s="116">
        <f t="shared" ca="1" si="10"/>
        <v>5271100</v>
      </c>
      <c r="AF11" s="116">
        <f t="shared" ca="1" si="10"/>
        <v>5402900</v>
      </c>
      <c r="AG11" s="116">
        <f t="shared" ca="1" si="10"/>
        <v>5538000</v>
      </c>
      <c r="AH11" s="116">
        <f t="shared" ca="1" si="10"/>
        <v>5676500</v>
      </c>
      <c r="AI11" s="116">
        <f t="shared" ca="1" si="10"/>
        <v>5818400</v>
      </c>
      <c r="AJ11" s="116">
        <f t="shared" ca="1" si="10"/>
        <v>5963900</v>
      </c>
      <c r="AK11" s="116">
        <f t="shared" ca="1" si="10"/>
        <v>6113000</v>
      </c>
      <c r="AL11" s="116">
        <f t="shared" ca="1" si="10"/>
        <v>6265800</v>
      </c>
      <c r="AM11" s="116">
        <f t="shared" ca="1" si="10"/>
        <v>6422400</v>
      </c>
      <c r="AN11" s="116">
        <f t="shared" ca="1" si="10"/>
        <v>6583000</v>
      </c>
      <c r="AO11" s="116">
        <f t="shared" ca="1" si="10"/>
        <v>6747600</v>
      </c>
      <c r="AP11" s="116">
        <f t="shared" ca="1" si="10"/>
        <v>6916300</v>
      </c>
      <c r="AQ11" s="116">
        <f t="shared" ca="1" si="10"/>
        <v>7089200</v>
      </c>
      <c r="AR11" s="116">
        <f t="shared" ca="1" si="10"/>
        <v>7266400</v>
      </c>
      <c r="AS11" s="116">
        <f t="shared" ca="1" si="10"/>
        <v>7448100</v>
      </c>
      <c r="AT11" s="116">
        <f t="shared" ca="1" si="10"/>
        <v>7634300</v>
      </c>
      <c r="AW11" s="113">
        <v>14</v>
      </c>
      <c r="AX11" s="1038">
        <v>2538300</v>
      </c>
    </row>
    <row r="12" spans="1:50" ht="9" customHeight="1">
      <c r="A12" s="113">
        <v>15</v>
      </c>
      <c r="B12" s="641">
        <v>2792000</v>
      </c>
      <c r="C12" s="112" t="s">
        <v>493</v>
      </c>
      <c r="D12" s="113">
        <v>15</v>
      </c>
      <c r="E12" s="116">
        <f t="shared" si="7"/>
        <v>2889700</v>
      </c>
      <c r="F12" s="116">
        <f t="shared" ca="1" si="3"/>
        <v>2961900</v>
      </c>
      <c r="G12" s="116">
        <f t="shared" ref="G12:AT12" ca="1" si="11">ROUND(F12*(1+G$3),-2)</f>
        <v>3035900</v>
      </c>
      <c r="H12" s="116">
        <f t="shared" ca="1" si="11"/>
        <v>3111800</v>
      </c>
      <c r="I12" s="115">
        <f t="shared" ca="1" si="11"/>
        <v>3189600</v>
      </c>
      <c r="J12" s="117">
        <f t="shared" ca="1" si="11"/>
        <v>3269300</v>
      </c>
      <c r="K12" s="116">
        <f t="shared" ca="1" si="11"/>
        <v>3351000</v>
      </c>
      <c r="L12" s="116">
        <f t="shared" ca="1" si="11"/>
        <v>3434800</v>
      </c>
      <c r="M12" s="116">
        <f t="shared" ca="1" si="11"/>
        <v>3520700</v>
      </c>
      <c r="N12" s="116">
        <f t="shared" ca="1" si="11"/>
        <v>3608700</v>
      </c>
      <c r="O12" s="116">
        <f t="shared" ca="1" si="11"/>
        <v>3698900</v>
      </c>
      <c r="P12" s="116">
        <f t="shared" ca="1" si="11"/>
        <v>3791400</v>
      </c>
      <c r="Q12" s="116">
        <f t="shared" ca="1" si="11"/>
        <v>3886200</v>
      </c>
      <c r="R12" s="116">
        <f t="shared" ca="1" si="11"/>
        <v>3983400</v>
      </c>
      <c r="S12" s="116">
        <f t="shared" ca="1" si="11"/>
        <v>4083000</v>
      </c>
      <c r="T12" s="116">
        <f t="shared" ca="1" si="11"/>
        <v>4185100</v>
      </c>
      <c r="U12" s="116">
        <f t="shared" ca="1" si="11"/>
        <v>4289700</v>
      </c>
      <c r="V12" s="116">
        <f t="shared" ca="1" si="11"/>
        <v>4396900</v>
      </c>
      <c r="W12" s="116">
        <f t="shared" ca="1" si="11"/>
        <v>4506800</v>
      </c>
      <c r="X12" s="116">
        <f t="shared" ca="1" si="11"/>
        <v>4619500</v>
      </c>
      <c r="Y12" s="116">
        <f t="shared" ca="1" si="11"/>
        <v>4735000</v>
      </c>
      <c r="Z12" s="116">
        <f t="shared" ca="1" si="11"/>
        <v>4853400</v>
      </c>
      <c r="AA12" s="116">
        <f t="shared" ca="1" si="11"/>
        <v>4974700</v>
      </c>
      <c r="AB12" s="116">
        <f t="shared" ca="1" si="11"/>
        <v>5099100</v>
      </c>
      <c r="AC12" s="116">
        <f t="shared" ca="1" si="11"/>
        <v>5226600</v>
      </c>
      <c r="AD12" s="116">
        <f t="shared" ca="1" si="11"/>
        <v>5357300</v>
      </c>
      <c r="AE12" s="116">
        <f t="shared" ca="1" si="11"/>
        <v>5491200</v>
      </c>
      <c r="AF12" s="116">
        <f t="shared" ca="1" si="11"/>
        <v>5628500</v>
      </c>
      <c r="AG12" s="116">
        <f t="shared" ca="1" si="11"/>
        <v>5769200</v>
      </c>
      <c r="AH12" s="116">
        <f t="shared" ca="1" si="11"/>
        <v>5913400</v>
      </c>
      <c r="AI12" s="116">
        <f t="shared" ca="1" si="11"/>
        <v>6061200</v>
      </c>
      <c r="AJ12" s="116">
        <f t="shared" ca="1" si="11"/>
        <v>6212700</v>
      </c>
      <c r="AK12" s="116">
        <f t="shared" ca="1" si="11"/>
        <v>6368000</v>
      </c>
      <c r="AL12" s="116">
        <f t="shared" ca="1" si="11"/>
        <v>6527200</v>
      </c>
      <c r="AM12" s="116">
        <f t="shared" ca="1" si="11"/>
        <v>6690400</v>
      </c>
      <c r="AN12" s="116">
        <f t="shared" ca="1" si="11"/>
        <v>6857700</v>
      </c>
      <c r="AO12" s="116">
        <f t="shared" ca="1" si="11"/>
        <v>7029100</v>
      </c>
      <c r="AP12" s="116">
        <f t="shared" ca="1" si="11"/>
        <v>7204800</v>
      </c>
      <c r="AQ12" s="116">
        <f t="shared" ca="1" si="11"/>
        <v>7384900</v>
      </c>
      <c r="AR12" s="116">
        <f t="shared" ca="1" si="11"/>
        <v>7569500</v>
      </c>
      <c r="AS12" s="116">
        <f t="shared" ca="1" si="11"/>
        <v>7758700</v>
      </c>
      <c r="AT12" s="116">
        <f t="shared" ca="1" si="11"/>
        <v>7952700</v>
      </c>
      <c r="AV12" s="109" t="s">
        <v>405</v>
      </c>
      <c r="AW12" s="113">
        <v>15</v>
      </c>
      <c r="AX12" s="1038">
        <v>2644600</v>
      </c>
    </row>
    <row r="13" spans="1:50" ht="9" customHeight="1">
      <c r="A13" s="113">
        <v>16</v>
      </c>
      <c r="B13" s="641">
        <v>2904500</v>
      </c>
      <c r="C13" s="112" t="s">
        <v>440</v>
      </c>
      <c r="D13" s="113">
        <v>16</v>
      </c>
      <c r="E13" s="116">
        <f t="shared" si="7"/>
        <v>3006200</v>
      </c>
      <c r="F13" s="116">
        <f t="shared" ca="1" si="3"/>
        <v>3081400</v>
      </c>
      <c r="G13" s="116">
        <f t="shared" ref="G13:AT13" ca="1" si="12">ROUND(F13*(1+G$3),-2)</f>
        <v>3158400</v>
      </c>
      <c r="H13" s="116">
        <f t="shared" ca="1" si="12"/>
        <v>3237400</v>
      </c>
      <c r="I13" s="116">
        <f t="shared" ca="1" si="12"/>
        <v>3318300</v>
      </c>
      <c r="J13" s="115">
        <f t="shared" ca="1" si="12"/>
        <v>3401300</v>
      </c>
      <c r="K13" s="117">
        <f t="shared" ca="1" si="12"/>
        <v>3486300</v>
      </c>
      <c r="L13" s="116">
        <f t="shared" ca="1" si="12"/>
        <v>3573500</v>
      </c>
      <c r="M13" s="116">
        <f t="shared" ca="1" si="12"/>
        <v>3662800</v>
      </c>
      <c r="N13" s="116">
        <f t="shared" ca="1" si="12"/>
        <v>3754400</v>
      </c>
      <c r="O13" s="116">
        <f t="shared" ca="1" si="12"/>
        <v>3848300</v>
      </c>
      <c r="P13" s="116">
        <f t="shared" ca="1" si="12"/>
        <v>3944500</v>
      </c>
      <c r="Q13" s="116">
        <f t="shared" ca="1" si="12"/>
        <v>4043100</v>
      </c>
      <c r="R13" s="116">
        <f t="shared" ca="1" si="12"/>
        <v>4144200</v>
      </c>
      <c r="S13" s="116">
        <f t="shared" ca="1" si="12"/>
        <v>4247800</v>
      </c>
      <c r="T13" s="116">
        <f t="shared" ca="1" si="12"/>
        <v>4354000</v>
      </c>
      <c r="U13" s="116">
        <f t="shared" ca="1" si="12"/>
        <v>4462900</v>
      </c>
      <c r="V13" s="116">
        <f t="shared" ca="1" si="12"/>
        <v>4574500</v>
      </c>
      <c r="W13" s="116">
        <f t="shared" ca="1" si="12"/>
        <v>4688900</v>
      </c>
      <c r="X13" s="116">
        <f t="shared" ca="1" si="12"/>
        <v>4806100</v>
      </c>
      <c r="Y13" s="116">
        <f t="shared" ca="1" si="12"/>
        <v>4926300</v>
      </c>
      <c r="Z13" s="116">
        <f t="shared" ca="1" si="12"/>
        <v>5049500</v>
      </c>
      <c r="AA13" s="116">
        <f t="shared" ca="1" si="12"/>
        <v>5175700</v>
      </c>
      <c r="AB13" s="116">
        <f t="shared" ca="1" si="12"/>
        <v>5305100</v>
      </c>
      <c r="AC13" s="116">
        <f t="shared" ca="1" si="12"/>
        <v>5437700</v>
      </c>
      <c r="AD13" s="116">
        <f t="shared" ca="1" si="12"/>
        <v>5573600</v>
      </c>
      <c r="AE13" s="116">
        <f t="shared" ca="1" si="12"/>
        <v>5712900</v>
      </c>
      <c r="AF13" s="116">
        <f t="shared" ca="1" si="12"/>
        <v>5855700</v>
      </c>
      <c r="AG13" s="116">
        <f t="shared" ca="1" si="12"/>
        <v>6002100</v>
      </c>
      <c r="AH13" s="116">
        <f t="shared" ca="1" si="12"/>
        <v>6152200</v>
      </c>
      <c r="AI13" s="116">
        <f t="shared" ca="1" si="12"/>
        <v>6306000</v>
      </c>
      <c r="AJ13" s="116">
        <f t="shared" ca="1" si="12"/>
        <v>6463700</v>
      </c>
      <c r="AK13" s="116">
        <f t="shared" ca="1" si="12"/>
        <v>6625300</v>
      </c>
      <c r="AL13" s="116">
        <f t="shared" ca="1" si="12"/>
        <v>6790900</v>
      </c>
      <c r="AM13" s="116">
        <f t="shared" ca="1" si="12"/>
        <v>6960700</v>
      </c>
      <c r="AN13" s="116">
        <f t="shared" ca="1" si="12"/>
        <v>7134700</v>
      </c>
      <c r="AO13" s="116">
        <f t="shared" ca="1" si="12"/>
        <v>7313100</v>
      </c>
      <c r="AP13" s="116">
        <f t="shared" ca="1" si="12"/>
        <v>7495900</v>
      </c>
      <c r="AQ13" s="116">
        <f t="shared" ca="1" si="12"/>
        <v>7683300</v>
      </c>
      <c r="AR13" s="116">
        <f t="shared" ca="1" si="12"/>
        <v>7875400</v>
      </c>
      <c r="AS13" s="116">
        <f t="shared" ca="1" si="12"/>
        <v>8072300</v>
      </c>
      <c r="AT13" s="116">
        <f t="shared" ca="1" si="12"/>
        <v>8274100</v>
      </c>
      <c r="AW13" s="113">
        <v>16</v>
      </c>
      <c r="AX13" s="1038">
        <v>2751100</v>
      </c>
    </row>
    <row r="14" spans="1:50" ht="9" customHeight="1">
      <c r="A14" s="113">
        <v>17</v>
      </c>
      <c r="B14" s="641">
        <v>3015500</v>
      </c>
      <c r="C14" s="112" t="s">
        <v>449</v>
      </c>
      <c r="D14" s="113">
        <v>17</v>
      </c>
      <c r="E14" s="116">
        <f t="shared" si="7"/>
        <v>3121000</v>
      </c>
      <c r="F14" s="116">
        <f t="shared" ca="1" si="3"/>
        <v>3199000</v>
      </c>
      <c r="G14" s="116">
        <f t="shared" ref="G14:AT14" ca="1" si="13">ROUND(F14*(1+G$3),-2)</f>
        <v>3279000</v>
      </c>
      <c r="H14" s="116">
        <f t="shared" ca="1" si="13"/>
        <v>3361000</v>
      </c>
      <c r="I14" s="116">
        <f t="shared" ca="1" si="13"/>
        <v>3445000</v>
      </c>
      <c r="J14" s="116">
        <f t="shared" ca="1" si="13"/>
        <v>3531100</v>
      </c>
      <c r="K14" s="115">
        <f t="shared" ca="1" si="13"/>
        <v>3619400</v>
      </c>
      <c r="L14" s="117">
        <f t="shared" ca="1" si="13"/>
        <v>3709900</v>
      </c>
      <c r="M14" s="116">
        <f t="shared" ca="1" si="13"/>
        <v>3802600</v>
      </c>
      <c r="N14" s="116">
        <f t="shared" ca="1" si="13"/>
        <v>3897700</v>
      </c>
      <c r="O14" s="116">
        <f t="shared" ca="1" si="13"/>
        <v>3995100</v>
      </c>
      <c r="P14" s="116">
        <f t="shared" ca="1" si="13"/>
        <v>4095000</v>
      </c>
      <c r="Q14" s="116">
        <f t="shared" ca="1" si="13"/>
        <v>4197400</v>
      </c>
      <c r="R14" s="116">
        <f t="shared" ca="1" si="13"/>
        <v>4302300</v>
      </c>
      <c r="S14" s="116">
        <f t="shared" ca="1" si="13"/>
        <v>4409900</v>
      </c>
      <c r="T14" s="116">
        <f t="shared" ca="1" si="13"/>
        <v>4520100</v>
      </c>
      <c r="U14" s="116">
        <f t="shared" ca="1" si="13"/>
        <v>4633100</v>
      </c>
      <c r="V14" s="116">
        <f t="shared" ca="1" si="13"/>
        <v>4748900</v>
      </c>
      <c r="W14" s="116">
        <f t="shared" ca="1" si="13"/>
        <v>4867600</v>
      </c>
      <c r="X14" s="116">
        <f t="shared" ca="1" si="13"/>
        <v>4989300</v>
      </c>
      <c r="Y14" s="116">
        <f t="shared" ca="1" si="13"/>
        <v>5114000</v>
      </c>
      <c r="Z14" s="116">
        <f t="shared" ca="1" si="13"/>
        <v>5241900</v>
      </c>
      <c r="AA14" s="116">
        <f t="shared" ca="1" si="13"/>
        <v>5372900</v>
      </c>
      <c r="AB14" s="116">
        <f t="shared" ca="1" si="13"/>
        <v>5507200</v>
      </c>
      <c r="AC14" s="116">
        <f t="shared" ca="1" si="13"/>
        <v>5644900</v>
      </c>
      <c r="AD14" s="116">
        <f t="shared" ca="1" si="13"/>
        <v>5786000</v>
      </c>
      <c r="AE14" s="116">
        <f t="shared" ca="1" si="13"/>
        <v>5930700</v>
      </c>
      <c r="AF14" s="116">
        <f t="shared" ca="1" si="13"/>
        <v>6079000</v>
      </c>
      <c r="AG14" s="116">
        <f t="shared" ca="1" si="13"/>
        <v>6231000</v>
      </c>
      <c r="AH14" s="116">
        <f t="shared" ca="1" si="13"/>
        <v>6386800</v>
      </c>
      <c r="AI14" s="116">
        <f t="shared" ca="1" si="13"/>
        <v>6546500</v>
      </c>
      <c r="AJ14" s="116">
        <f t="shared" ca="1" si="13"/>
        <v>6710200</v>
      </c>
      <c r="AK14" s="116">
        <f t="shared" ca="1" si="13"/>
        <v>6878000</v>
      </c>
      <c r="AL14" s="116">
        <f t="shared" ca="1" si="13"/>
        <v>7050000</v>
      </c>
      <c r="AM14" s="116">
        <f t="shared" ca="1" si="13"/>
        <v>7226300</v>
      </c>
      <c r="AN14" s="116">
        <f t="shared" ca="1" si="13"/>
        <v>7407000</v>
      </c>
      <c r="AO14" s="116">
        <f t="shared" ca="1" si="13"/>
        <v>7592200</v>
      </c>
      <c r="AP14" s="116">
        <f t="shared" ca="1" si="13"/>
        <v>7782000</v>
      </c>
      <c r="AQ14" s="116">
        <f t="shared" ca="1" si="13"/>
        <v>7976600</v>
      </c>
      <c r="AR14" s="116">
        <f t="shared" ca="1" si="13"/>
        <v>8176000</v>
      </c>
      <c r="AS14" s="116">
        <f t="shared" ca="1" si="13"/>
        <v>8380400</v>
      </c>
      <c r="AT14" s="116">
        <f t="shared" ca="1" si="13"/>
        <v>8589900</v>
      </c>
      <c r="AW14" s="113">
        <v>17</v>
      </c>
      <c r="AX14" s="1038">
        <v>2856300</v>
      </c>
    </row>
    <row r="15" spans="1:50" ht="9" customHeight="1">
      <c r="A15" s="113">
        <v>18</v>
      </c>
      <c r="B15" s="641">
        <v>3131900</v>
      </c>
      <c r="C15" s="112" t="s">
        <v>453</v>
      </c>
      <c r="D15" s="113">
        <v>18</v>
      </c>
      <c r="E15" s="116">
        <f t="shared" si="7"/>
        <v>3241500</v>
      </c>
      <c r="F15" s="116">
        <f t="shared" ca="1" si="3"/>
        <v>3322500</v>
      </c>
      <c r="G15" s="116">
        <f t="shared" ref="G15:AT15" ca="1" si="14">ROUND(F15*(1+G$3),-2)</f>
        <v>3405600</v>
      </c>
      <c r="H15" s="116">
        <f t="shared" ca="1" si="14"/>
        <v>3490700</v>
      </c>
      <c r="I15" s="116">
        <f t="shared" ca="1" si="14"/>
        <v>3578000</v>
      </c>
      <c r="J15" s="116">
        <f t="shared" ca="1" si="14"/>
        <v>3667500</v>
      </c>
      <c r="K15" s="116">
        <f t="shared" ca="1" si="14"/>
        <v>3759200</v>
      </c>
      <c r="L15" s="115">
        <f t="shared" ca="1" si="14"/>
        <v>3853200</v>
      </c>
      <c r="M15" s="117">
        <f t="shared" ca="1" si="14"/>
        <v>3949500</v>
      </c>
      <c r="N15" s="116">
        <f t="shared" ca="1" si="14"/>
        <v>4048200</v>
      </c>
      <c r="O15" s="116">
        <f t="shared" ca="1" si="14"/>
        <v>4149400</v>
      </c>
      <c r="P15" s="116">
        <f t="shared" ca="1" si="14"/>
        <v>4253100</v>
      </c>
      <c r="Q15" s="116">
        <f t="shared" ca="1" si="14"/>
        <v>4359400</v>
      </c>
      <c r="R15" s="116">
        <f t="shared" ca="1" si="14"/>
        <v>4468400</v>
      </c>
      <c r="S15" s="116">
        <f t="shared" ca="1" si="14"/>
        <v>4580100</v>
      </c>
      <c r="T15" s="116">
        <f t="shared" ca="1" si="14"/>
        <v>4694600</v>
      </c>
      <c r="U15" s="116">
        <f t="shared" ca="1" si="14"/>
        <v>4812000</v>
      </c>
      <c r="V15" s="116">
        <f t="shared" ca="1" si="14"/>
        <v>4932300</v>
      </c>
      <c r="W15" s="116">
        <f t="shared" ca="1" si="14"/>
        <v>5055600</v>
      </c>
      <c r="X15" s="116">
        <f t="shared" ca="1" si="14"/>
        <v>5182000</v>
      </c>
      <c r="Y15" s="116">
        <f t="shared" ca="1" si="14"/>
        <v>5311600</v>
      </c>
      <c r="Z15" s="116">
        <f t="shared" ca="1" si="14"/>
        <v>5444400</v>
      </c>
      <c r="AA15" s="116">
        <f t="shared" ca="1" si="14"/>
        <v>5580500</v>
      </c>
      <c r="AB15" s="116">
        <f t="shared" ca="1" si="14"/>
        <v>5720000</v>
      </c>
      <c r="AC15" s="116">
        <f t="shared" ca="1" si="14"/>
        <v>5863000</v>
      </c>
      <c r="AD15" s="116">
        <f t="shared" ca="1" si="14"/>
        <v>6009600</v>
      </c>
      <c r="AE15" s="116">
        <f t="shared" ca="1" si="14"/>
        <v>6159800</v>
      </c>
      <c r="AF15" s="116">
        <f t="shared" ca="1" si="14"/>
        <v>6313800</v>
      </c>
      <c r="AG15" s="116">
        <f t="shared" ca="1" si="14"/>
        <v>6471600</v>
      </c>
      <c r="AH15" s="116">
        <f t="shared" ca="1" si="14"/>
        <v>6633400</v>
      </c>
      <c r="AI15" s="116">
        <f t="shared" ca="1" si="14"/>
        <v>6799200</v>
      </c>
      <c r="AJ15" s="116">
        <f t="shared" ca="1" si="14"/>
        <v>6969200</v>
      </c>
      <c r="AK15" s="116">
        <f t="shared" ca="1" si="14"/>
        <v>7143400</v>
      </c>
      <c r="AL15" s="116">
        <f t="shared" ca="1" si="14"/>
        <v>7322000</v>
      </c>
      <c r="AM15" s="116">
        <f t="shared" ca="1" si="14"/>
        <v>7505100</v>
      </c>
      <c r="AN15" s="116">
        <f t="shared" ca="1" si="14"/>
        <v>7692700</v>
      </c>
      <c r="AO15" s="116">
        <f t="shared" ca="1" si="14"/>
        <v>7885000</v>
      </c>
      <c r="AP15" s="116">
        <f t="shared" ca="1" si="14"/>
        <v>8082100</v>
      </c>
      <c r="AQ15" s="116">
        <f t="shared" ca="1" si="14"/>
        <v>8284200</v>
      </c>
      <c r="AR15" s="116">
        <f t="shared" ca="1" si="14"/>
        <v>8491300</v>
      </c>
      <c r="AS15" s="116">
        <f t="shared" ca="1" si="14"/>
        <v>8703600</v>
      </c>
      <c r="AT15" s="116">
        <f t="shared" ca="1" si="14"/>
        <v>8921200</v>
      </c>
      <c r="AW15" s="113">
        <v>18</v>
      </c>
      <c r="AX15" s="1038">
        <v>2966500</v>
      </c>
    </row>
    <row r="16" spans="1:50" ht="9" customHeight="1">
      <c r="A16" s="113">
        <v>19</v>
      </c>
      <c r="B16" s="641">
        <v>3247500</v>
      </c>
      <c r="C16" s="112" t="s">
        <v>443</v>
      </c>
      <c r="D16" s="113">
        <v>19</v>
      </c>
      <c r="E16" s="116">
        <f t="shared" si="7"/>
        <v>3361200</v>
      </c>
      <c r="F16" s="116">
        <f t="shared" ca="1" si="3"/>
        <v>3445200</v>
      </c>
      <c r="G16" s="116">
        <f t="shared" ref="G16:AT16" ca="1" si="15">ROUND(F16*(1+G$3),-2)</f>
        <v>3531300</v>
      </c>
      <c r="H16" s="116">
        <f t="shared" ca="1" si="15"/>
        <v>3619600</v>
      </c>
      <c r="I16" s="116">
        <f t="shared" ca="1" si="15"/>
        <v>3710100</v>
      </c>
      <c r="J16" s="116">
        <f t="shared" ca="1" si="15"/>
        <v>3802900</v>
      </c>
      <c r="K16" s="116">
        <f t="shared" ca="1" si="15"/>
        <v>3898000</v>
      </c>
      <c r="L16" s="116">
        <f t="shared" ca="1" si="15"/>
        <v>3995500</v>
      </c>
      <c r="M16" s="115">
        <f t="shared" ca="1" si="15"/>
        <v>4095400</v>
      </c>
      <c r="N16" s="117">
        <f t="shared" ca="1" si="15"/>
        <v>4197800</v>
      </c>
      <c r="O16" s="116">
        <f t="shared" ca="1" si="15"/>
        <v>4302700</v>
      </c>
      <c r="P16" s="116">
        <f t="shared" ca="1" si="15"/>
        <v>4410300</v>
      </c>
      <c r="Q16" s="116">
        <f t="shared" ca="1" si="15"/>
        <v>4520600</v>
      </c>
      <c r="R16" s="116">
        <f t="shared" ca="1" si="15"/>
        <v>4633600</v>
      </c>
      <c r="S16" s="116">
        <f t="shared" ca="1" si="15"/>
        <v>4749400</v>
      </c>
      <c r="T16" s="116">
        <f t="shared" ca="1" si="15"/>
        <v>4868100</v>
      </c>
      <c r="U16" s="116">
        <f t="shared" ca="1" si="15"/>
        <v>4989800</v>
      </c>
      <c r="V16" s="116">
        <f t="shared" ca="1" si="15"/>
        <v>5114500</v>
      </c>
      <c r="W16" s="116">
        <f t="shared" ca="1" si="15"/>
        <v>5242400</v>
      </c>
      <c r="X16" s="116">
        <f t="shared" ca="1" si="15"/>
        <v>5373500</v>
      </c>
      <c r="Y16" s="116">
        <f t="shared" ca="1" si="15"/>
        <v>5507800</v>
      </c>
      <c r="Z16" s="116">
        <f t="shared" ca="1" si="15"/>
        <v>5645500</v>
      </c>
      <c r="AA16" s="116">
        <f t="shared" ca="1" si="15"/>
        <v>5786600</v>
      </c>
      <c r="AB16" s="116">
        <f t="shared" ca="1" si="15"/>
        <v>5931300</v>
      </c>
      <c r="AC16" s="116">
        <f t="shared" ca="1" si="15"/>
        <v>6079600</v>
      </c>
      <c r="AD16" s="116">
        <f t="shared" ca="1" si="15"/>
        <v>6231600</v>
      </c>
      <c r="AE16" s="116">
        <f t="shared" ca="1" si="15"/>
        <v>6387400</v>
      </c>
      <c r="AF16" s="116">
        <f t="shared" ca="1" si="15"/>
        <v>6547100</v>
      </c>
      <c r="AG16" s="116">
        <f t="shared" ca="1" si="15"/>
        <v>6710800</v>
      </c>
      <c r="AH16" s="116">
        <f t="shared" ca="1" si="15"/>
        <v>6878600</v>
      </c>
      <c r="AI16" s="116">
        <f t="shared" ca="1" si="15"/>
        <v>7050600</v>
      </c>
      <c r="AJ16" s="116">
        <f t="shared" ca="1" si="15"/>
        <v>7226900</v>
      </c>
      <c r="AK16" s="116">
        <f t="shared" ca="1" si="15"/>
        <v>7407600</v>
      </c>
      <c r="AL16" s="116">
        <f t="shared" ca="1" si="15"/>
        <v>7592800</v>
      </c>
      <c r="AM16" s="116">
        <f t="shared" ca="1" si="15"/>
        <v>7782600</v>
      </c>
      <c r="AN16" s="116">
        <f t="shared" ca="1" si="15"/>
        <v>7977200</v>
      </c>
      <c r="AO16" s="116">
        <f t="shared" ca="1" si="15"/>
        <v>8176600</v>
      </c>
      <c r="AP16" s="116">
        <f t="shared" ca="1" si="15"/>
        <v>8381000</v>
      </c>
      <c r="AQ16" s="116">
        <f t="shared" ca="1" si="15"/>
        <v>8590500</v>
      </c>
      <c r="AR16" s="116">
        <f t="shared" ca="1" si="15"/>
        <v>8805300</v>
      </c>
      <c r="AS16" s="116">
        <f t="shared" ca="1" si="15"/>
        <v>9025400</v>
      </c>
      <c r="AT16" s="116">
        <f t="shared" ca="1" si="15"/>
        <v>9251000</v>
      </c>
      <c r="AW16" s="113">
        <v>19</v>
      </c>
      <c r="AX16" s="1038">
        <v>3076000</v>
      </c>
    </row>
    <row r="17" spans="1:50" ht="9" customHeight="1">
      <c r="A17" s="113">
        <v>20</v>
      </c>
      <c r="B17" s="641">
        <v>3363300</v>
      </c>
      <c r="C17" s="112" t="s">
        <v>430</v>
      </c>
      <c r="D17" s="113">
        <v>20</v>
      </c>
      <c r="E17" s="116">
        <f t="shared" si="7"/>
        <v>3481000</v>
      </c>
      <c r="F17" s="116">
        <f t="shared" ca="1" si="3"/>
        <v>3568000</v>
      </c>
      <c r="G17" s="116">
        <f t="shared" ref="G17:AT17" ca="1" si="16">ROUND(F17*(1+G$3),-2)</f>
        <v>3657200</v>
      </c>
      <c r="H17" s="116">
        <f t="shared" ca="1" si="16"/>
        <v>3748600</v>
      </c>
      <c r="I17" s="116">
        <f t="shared" ca="1" si="16"/>
        <v>3842300</v>
      </c>
      <c r="J17" s="116">
        <f t="shared" ca="1" si="16"/>
        <v>3938400</v>
      </c>
      <c r="K17" s="116">
        <f t="shared" ca="1" si="16"/>
        <v>4036900</v>
      </c>
      <c r="L17" s="116">
        <f t="shared" ca="1" si="16"/>
        <v>4137800</v>
      </c>
      <c r="M17" s="116">
        <f t="shared" ca="1" si="16"/>
        <v>4241200</v>
      </c>
      <c r="N17" s="115">
        <f t="shared" ca="1" si="16"/>
        <v>4347200</v>
      </c>
      <c r="O17" s="117">
        <f t="shared" ca="1" si="16"/>
        <v>4455900</v>
      </c>
      <c r="P17" s="116">
        <f t="shared" ca="1" si="16"/>
        <v>4567300</v>
      </c>
      <c r="Q17" s="116">
        <f t="shared" ca="1" si="16"/>
        <v>4681500</v>
      </c>
      <c r="R17" s="116">
        <f t="shared" ca="1" si="16"/>
        <v>4798500</v>
      </c>
      <c r="S17" s="116">
        <f t="shared" ca="1" si="16"/>
        <v>4918500</v>
      </c>
      <c r="T17" s="116">
        <f t="shared" ca="1" si="16"/>
        <v>5041500</v>
      </c>
      <c r="U17" s="116">
        <f t="shared" ca="1" si="16"/>
        <v>5167500</v>
      </c>
      <c r="V17" s="116">
        <f t="shared" ca="1" si="16"/>
        <v>5296700</v>
      </c>
      <c r="W17" s="116">
        <f t="shared" ca="1" si="16"/>
        <v>5429100</v>
      </c>
      <c r="X17" s="116">
        <f t="shared" ca="1" si="16"/>
        <v>5564800</v>
      </c>
      <c r="Y17" s="116">
        <f t="shared" ca="1" si="16"/>
        <v>5703900</v>
      </c>
      <c r="Z17" s="116">
        <f t="shared" ca="1" si="16"/>
        <v>5846500</v>
      </c>
      <c r="AA17" s="116">
        <f t="shared" ca="1" si="16"/>
        <v>5992700</v>
      </c>
      <c r="AB17" s="116">
        <f t="shared" ca="1" si="16"/>
        <v>6142500</v>
      </c>
      <c r="AC17" s="116">
        <f t="shared" ca="1" si="16"/>
        <v>6296100</v>
      </c>
      <c r="AD17" s="116">
        <f t="shared" ca="1" si="16"/>
        <v>6453500</v>
      </c>
      <c r="AE17" s="116">
        <f t="shared" ca="1" si="16"/>
        <v>6614800</v>
      </c>
      <c r="AF17" s="116">
        <f t="shared" ca="1" si="16"/>
        <v>6780200</v>
      </c>
      <c r="AG17" s="116">
        <f t="shared" ca="1" si="16"/>
        <v>6949700</v>
      </c>
      <c r="AH17" s="116">
        <f t="shared" ca="1" si="16"/>
        <v>7123400</v>
      </c>
      <c r="AI17" s="116">
        <f t="shared" ca="1" si="16"/>
        <v>7301500</v>
      </c>
      <c r="AJ17" s="116">
        <f t="shared" ca="1" si="16"/>
        <v>7484000</v>
      </c>
      <c r="AK17" s="116">
        <f t="shared" ca="1" si="16"/>
        <v>7671100</v>
      </c>
      <c r="AL17" s="116">
        <f t="shared" ca="1" si="16"/>
        <v>7862900</v>
      </c>
      <c r="AM17" s="116">
        <f t="shared" ca="1" si="16"/>
        <v>8059500</v>
      </c>
      <c r="AN17" s="116">
        <f t="shared" ca="1" si="16"/>
        <v>8261000</v>
      </c>
      <c r="AO17" s="116">
        <f t="shared" ca="1" si="16"/>
        <v>8467500</v>
      </c>
      <c r="AP17" s="116">
        <f t="shared" ca="1" si="16"/>
        <v>8679200</v>
      </c>
      <c r="AQ17" s="116">
        <f t="shared" ca="1" si="16"/>
        <v>8896200</v>
      </c>
      <c r="AR17" s="116">
        <f t="shared" ca="1" si="16"/>
        <v>9118600</v>
      </c>
      <c r="AS17" s="116">
        <f t="shared" ca="1" si="16"/>
        <v>9346600</v>
      </c>
      <c r="AT17" s="116">
        <f t="shared" ca="1" si="16"/>
        <v>9580300</v>
      </c>
      <c r="AW17" s="113">
        <v>20</v>
      </c>
      <c r="AX17" s="1038">
        <v>3185700</v>
      </c>
    </row>
    <row r="18" spans="1:50" ht="9" customHeight="1">
      <c r="A18" s="113">
        <v>21</v>
      </c>
      <c r="B18" s="642">
        <v>3478900</v>
      </c>
      <c r="C18" s="112" t="s">
        <v>451</v>
      </c>
      <c r="D18" s="113">
        <v>21</v>
      </c>
      <c r="E18" s="116">
        <f t="shared" si="7"/>
        <v>3600700</v>
      </c>
      <c r="F18" s="116">
        <f t="shared" ca="1" si="3"/>
        <v>3690700</v>
      </c>
      <c r="G18" s="116">
        <f t="shared" ref="G18:AT18" ca="1" si="17">ROUND(F18*(1+G$3),-2)</f>
        <v>3783000</v>
      </c>
      <c r="H18" s="116">
        <f t="shared" ca="1" si="17"/>
        <v>3877600</v>
      </c>
      <c r="I18" s="116">
        <f t="shared" ca="1" si="17"/>
        <v>3974500</v>
      </c>
      <c r="J18" s="116">
        <f t="shared" ca="1" si="17"/>
        <v>4073900</v>
      </c>
      <c r="K18" s="116">
        <f t="shared" ca="1" si="17"/>
        <v>4175700</v>
      </c>
      <c r="L18" s="116">
        <f t="shared" ca="1" si="17"/>
        <v>4280100</v>
      </c>
      <c r="M18" s="116">
        <f t="shared" ca="1" si="17"/>
        <v>4387100</v>
      </c>
      <c r="N18" s="116">
        <f t="shared" ca="1" si="17"/>
        <v>4496800</v>
      </c>
      <c r="O18" s="115">
        <f t="shared" ca="1" si="17"/>
        <v>4609200</v>
      </c>
      <c r="P18" s="117">
        <f t="shared" ca="1" si="17"/>
        <v>4724400</v>
      </c>
      <c r="Q18" s="116">
        <f t="shared" ca="1" si="17"/>
        <v>4842500</v>
      </c>
      <c r="R18" s="116">
        <f t="shared" ca="1" si="17"/>
        <v>4963600</v>
      </c>
      <c r="S18" s="116">
        <f t="shared" ca="1" si="17"/>
        <v>5087700</v>
      </c>
      <c r="T18" s="116">
        <f t="shared" ca="1" si="17"/>
        <v>5214900</v>
      </c>
      <c r="U18" s="116">
        <f t="shared" ca="1" si="17"/>
        <v>5345300</v>
      </c>
      <c r="V18" s="116">
        <f t="shared" ca="1" si="17"/>
        <v>5478900</v>
      </c>
      <c r="W18" s="116">
        <f t="shared" ca="1" si="17"/>
        <v>5615900</v>
      </c>
      <c r="X18" s="116">
        <f t="shared" ca="1" si="17"/>
        <v>5756300</v>
      </c>
      <c r="Y18" s="116">
        <f t="shared" ca="1" si="17"/>
        <v>5900200</v>
      </c>
      <c r="Z18" s="116">
        <f t="shared" ca="1" si="17"/>
        <v>6047700</v>
      </c>
      <c r="AA18" s="116">
        <f t="shared" ca="1" si="17"/>
        <v>6198900</v>
      </c>
      <c r="AB18" s="116">
        <f t="shared" ca="1" si="17"/>
        <v>6353900</v>
      </c>
      <c r="AC18" s="116">
        <f t="shared" ca="1" si="17"/>
        <v>6512700</v>
      </c>
      <c r="AD18" s="116">
        <f t="shared" ca="1" si="17"/>
        <v>6675500</v>
      </c>
      <c r="AE18" s="116">
        <f t="shared" ca="1" si="17"/>
        <v>6842400</v>
      </c>
      <c r="AF18" s="116">
        <f t="shared" ca="1" si="17"/>
        <v>7013500</v>
      </c>
      <c r="AG18" s="116">
        <f t="shared" ca="1" si="17"/>
        <v>7188800</v>
      </c>
      <c r="AH18" s="116">
        <f t="shared" ca="1" si="17"/>
        <v>7368500</v>
      </c>
      <c r="AI18" s="116">
        <f t="shared" ca="1" si="17"/>
        <v>7552700</v>
      </c>
      <c r="AJ18" s="116">
        <f t="shared" ca="1" si="17"/>
        <v>7741500</v>
      </c>
      <c r="AK18" s="116">
        <f t="shared" ca="1" si="17"/>
        <v>7935000</v>
      </c>
      <c r="AL18" s="116">
        <f t="shared" ca="1" si="17"/>
        <v>8133400</v>
      </c>
      <c r="AM18" s="116">
        <f t="shared" ca="1" si="17"/>
        <v>8336700</v>
      </c>
      <c r="AN18" s="116">
        <f t="shared" ca="1" si="17"/>
        <v>8545100</v>
      </c>
      <c r="AO18" s="116">
        <f t="shared" ca="1" si="17"/>
        <v>8758700</v>
      </c>
      <c r="AP18" s="116">
        <f t="shared" ca="1" si="17"/>
        <v>8977700</v>
      </c>
      <c r="AQ18" s="116">
        <f t="shared" ca="1" si="17"/>
        <v>9202100</v>
      </c>
      <c r="AR18" s="116">
        <f t="shared" ca="1" si="17"/>
        <v>9432200</v>
      </c>
      <c r="AS18" s="116">
        <f t="shared" ca="1" si="17"/>
        <v>9668000</v>
      </c>
      <c r="AT18" s="116">
        <f t="shared" ca="1" si="17"/>
        <v>9909700</v>
      </c>
      <c r="AW18" s="113">
        <v>21</v>
      </c>
      <c r="AX18" s="1039">
        <v>3295200</v>
      </c>
    </row>
    <row r="19" spans="1:50" ht="9" customHeight="1">
      <c r="A19" s="113">
        <v>22</v>
      </c>
      <c r="B19" s="642">
        <v>3607300</v>
      </c>
      <c r="C19" s="112" t="s">
        <v>452</v>
      </c>
      <c r="D19" s="113">
        <v>22</v>
      </c>
      <c r="E19" s="116">
        <f t="shared" si="7"/>
        <v>3733600</v>
      </c>
      <c r="F19" s="116">
        <f t="shared" ca="1" si="3"/>
        <v>3826900</v>
      </c>
      <c r="G19" s="116">
        <f t="shared" ref="G19:AT19" ca="1" si="18">ROUND(F19*(1+G$3),-2)</f>
        <v>3922600</v>
      </c>
      <c r="H19" s="116">
        <f t="shared" ca="1" si="18"/>
        <v>4020700</v>
      </c>
      <c r="I19" s="116">
        <f t="shared" ca="1" si="18"/>
        <v>4121200</v>
      </c>
      <c r="J19" s="116">
        <f t="shared" ca="1" si="18"/>
        <v>4224200</v>
      </c>
      <c r="K19" s="116">
        <f t="shared" ca="1" si="18"/>
        <v>4329800</v>
      </c>
      <c r="L19" s="116">
        <f t="shared" ca="1" si="18"/>
        <v>4438000</v>
      </c>
      <c r="M19" s="116">
        <f t="shared" ca="1" si="18"/>
        <v>4549000</v>
      </c>
      <c r="N19" s="116">
        <f t="shared" ca="1" si="18"/>
        <v>4662700</v>
      </c>
      <c r="O19" s="116">
        <f t="shared" ca="1" si="18"/>
        <v>4779300</v>
      </c>
      <c r="P19" s="115">
        <f t="shared" ca="1" si="18"/>
        <v>4898800</v>
      </c>
      <c r="Q19" s="117">
        <f t="shared" ca="1" si="18"/>
        <v>5021300</v>
      </c>
      <c r="R19" s="116">
        <f t="shared" ca="1" si="18"/>
        <v>5146800</v>
      </c>
      <c r="S19" s="116">
        <f t="shared" ca="1" si="18"/>
        <v>5275500</v>
      </c>
      <c r="T19" s="116">
        <f t="shared" ca="1" si="18"/>
        <v>5407400</v>
      </c>
      <c r="U19" s="116">
        <f t="shared" ca="1" si="18"/>
        <v>5542600</v>
      </c>
      <c r="V19" s="116">
        <f t="shared" ca="1" si="18"/>
        <v>5681200</v>
      </c>
      <c r="W19" s="116">
        <f t="shared" ca="1" si="18"/>
        <v>5823200</v>
      </c>
      <c r="X19" s="116">
        <f t="shared" ca="1" si="18"/>
        <v>5968800</v>
      </c>
      <c r="Y19" s="116">
        <f t="shared" ca="1" si="18"/>
        <v>6118000</v>
      </c>
      <c r="Z19" s="116">
        <f t="shared" ca="1" si="18"/>
        <v>6271000</v>
      </c>
      <c r="AA19" s="116">
        <f t="shared" ca="1" si="18"/>
        <v>6427800</v>
      </c>
      <c r="AB19" s="116">
        <f t="shared" ca="1" si="18"/>
        <v>6588500</v>
      </c>
      <c r="AC19" s="116">
        <f t="shared" ca="1" si="18"/>
        <v>6753200</v>
      </c>
      <c r="AD19" s="116">
        <f t="shared" ca="1" si="18"/>
        <v>6922000</v>
      </c>
      <c r="AE19" s="116">
        <f t="shared" ca="1" si="18"/>
        <v>7095100</v>
      </c>
      <c r="AF19" s="116">
        <f t="shared" ca="1" si="18"/>
        <v>7272500</v>
      </c>
      <c r="AG19" s="116">
        <f t="shared" ca="1" si="18"/>
        <v>7454300</v>
      </c>
      <c r="AH19" s="116">
        <f t="shared" ca="1" si="18"/>
        <v>7640700</v>
      </c>
      <c r="AI19" s="116">
        <f t="shared" ca="1" si="18"/>
        <v>7831700</v>
      </c>
      <c r="AJ19" s="116">
        <f t="shared" ca="1" si="18"/>
        <v>8027500</v>
      </c>
      <c r="AK19" s="116">
        <f t="shared" ca="1" si="18"/>
        <v>8228200</v>
      </c>
      <c r="AL19" s="116">
        <f t="shared" ca="1" si="18"/>
        <v>8433900</v>
      </c>
      <c r="AM19" s="116">
        <f t="shared" ca="1" si="18"/>
        <v>8644700</v>
      </c>
      <c r="AN19" s="116">
        <f t="shared" ca="1" si="18"/>
        <v>8860800</v>
      </c>
      <c r="AO19" s="116">
        <f t="shared" ca="1" si="18"/>
        <v>9082300</v>
      </c>
      <c r="AP19" s="116">
        <f t="shared" ca="1" si="18"/>
        <v>9309400</v>
      </c>
      <c r="AQ19" s="116">
        <f t="shared" ca="1" si="18"/>
        <v>9542100</v>
      </c>
      <c r="AR19" s="116">
        <f t="shared" ca="1" si="18"/>
        <v>9780700</v>
      </c>
      <c r="AS19" s="116">
        <f t="shared" ca="1" si="18"/>
        <v>10025200</v>
      </c>
      <c r="AT19" s="116">
        <f t="shared" ca="1" si="18"/>
        <v>10275800</v>
      </c>
      <c r="AW19" s="113">
        <v>22</v>
      </c>
      <c r="AX19" s="1039">
        <v>3416800</v>
      </c>
    </row>
    <row r="20" spans="1:50" ht="9" customHeight="1">
      <c r="A20" s="113">
        <v>23</v>
      </c>
      <c r="B20" s="642">
        <v>3734600</v>
      </c>
      <c r="C20" s="112" t="s">
        <v>433</v>
      </c>
      <c r="D20" s="113">
        <v>23</v>
      </c>
      <c r="E20" s="116">
        <f t="shared" si="7"/>
        <v>3865300</v>
      </c>
      <c r="F20" s="116">
        <f t="shared" ca="1" si="3"/>
        <v>3961900</v>
      </c>
      <c r="G20" s="116">
        <f t="shared" ref="G20:AT20" ca="1" si="19">ROUND(F20*(1+G$3),-2)</f>
        <v>4060900</v>
      </c>
      <c r="H20" s="116">
        <f t="shared" ca="1" si="19"/>
        <v>4162400</v>
      </c>
      <c r="I20" s="116">
        <f t="shared" ca="1" si="19"/>
        <v>4266500</v>
      </c>
      <c r="J20" s="116">
        <f t="shared" ca="1" si="19"/>
        <v>4373200</v>
      </c>
      <c r="K20" s="116">
        <f t="shared" ca="1" si="19"/>
        <v>4482500</v>
      </c>
      <c r="L20" s="116">
        <f t="shared" ca="1" si="19"/>
        <v>4594600</v>
      </c>
      <c r="M20" s="116">
        <f t="shared" ca="1" si="19"/>
        <v>4709500</v>
      </c>
      <c r="N20" s="116">
        <f t="shared" ca="1" si="19"/>
        <v>4827200</v>
      </c>
      <c r="O20" s="116">
        <f t="shared" ca="1" si="19"/>
        <v>4947900</v>
      </c>
      <c r="P20" s="116">
        <f t="shared" ca="1" si="19"/>
        <v>5071600</v>
      </c>
      <c r="Q20" s="115">
        <f t="shared" ca="1" si="19"/>
        <v>5198400</v>
      </c>
      <c r="R20" s="117">
        <f t="shared" ca="1" si="19"/>
        <v>5328400</v>
      </c>
      <c r="S20" s="116">
        <f t="shared" ca="1" si="19"/>
        <v>5461600</v>
      </c>
      <c r="T20" s="116">
        <f t="shared" ca="1" si="19"/>
        <v>5598100</v>
      </c>
      <c r="U20" s="116">
        <f t="shared" ca="1" si="19"/>
        <v>5738100</v>
      </c>
      <c r="V20" s="116">
        <f t="shared" ca="1" si="19"/>
        <v>5881600</v>
      </c>
      <c r="W20" s="116">
        <f t="shared" ca="1" si="19"/>
        <v>6028600</v>
      </c>
      <c r="X20" s="116">
        <f t="shared" ca="1" si="19"/>
        <v>6179300</v>
      </c>
      <c r="Y20" s="116">
        <f t="shared" ca="1" si="19"/>
        <v>6333800</v>
      </c>
      <c r="Z20" s="116">
        <f t="shared" ca="1" si="19"/>
        <v>6492100</v>
      </c>
      <c r="AA20" s="116">
        <f t="shared" ca="1" si="19"/>
        <v>6654400</v>
      </c>
      <c r="AB20" s="116">
        <f t="shared" ca="1" si="19"/>
        <v>6820800</v>
      </c>
      <c r="AC20" s="116">
        <f t="shared" ca="1" si="19"/>
        <v>6991300</v>
      </c>
      <c r="AD20" s="116">
        <f t="shared" ca="1" si="19"/>
        <v>7166100</v>
      </c>
      <c r="AE20" s="116">
        <f t="shared" ca="1" si="19"/>
        <v>7345300</v>
      </c>
      <c r="AF20" s="116">
        <f t="shared" ca="1" si="19"/>
        <v>7528900</v>
      </c>
      <c r="AG20" s="116">
        <f t="shared" ca="1" si="19"/>
        <v>7717100</v>
      </c>
      <c r="AH20" s="116">
        <f t="shared" ca="1" si="19"/>
        <v>7910000</v>
      </c>
      <c r="AI20" s="116">
        <f t="shared" ca="1" si="19"/>
        <v>8107800</v>
      </c>
      <c r="AJ20" s="116">
        <f t="shared" ca="1" si="19"/>
        <v>8310500</v>
      </c>
      <c r="AK20" s="116">
        <f t="shared" ca="1" si="19"/>
        <v>8518300</v>
      </c>
      <c r="AL20" s="116">
        <f t="shared" ca="1" si="19"/>
        <v>8731300</v>
      </c>
      <c r="AM20" s="116">
        <f t="shared" ca="1" si="19"/>
        <v>8949600</v>
      </c>
      <c r="AN20" s="116">
        <f t="shared" ca="1" si="19"/>
        <v>9173300</v>
      </c>
      <c r="AO20" s="116">
        <f t="shared" ca="1" si="19"/>
        <v>9402600</v>
      </c>
      <c r="AP20" s="116">
        <f t="shared" ca="1" si="19"/>
        <v>9637700</v>
      </c>
      <c r="AQ20" s="116">
        <f t="shared" ca="1" si="19"/>
        <v>9878600</v>
      </c>
      <c r="AR20" s="116">
        <f t="shared" ca="1" si="19"/>
        <v>10125600</v>
      </c>
      <c r="AS20" s="116">
        <f t="shared" ca="1" si="19"/>
        <v>10378700</v>
      </c>
      <c r="AT20" s="116">
        <f t="shared" ca="1" si="19"/>
        <v>10638200</v>
      </c>
      <c r="AW20" s="113">
        <v>23</v>
      </c>
      <c r="AX20" s="1039">
        <v>3537400</v>
      </c>
    </row>
    <row r="21" spans="1:50" ht="9" customHeight="1">
      <c r="A21" s="113">
        <v>24</v>
      </c>
      <c r="B21" s="642">
        <v>3862300</v>
      </c>
      <c r="C21" s="112" t="s">
        <v>444</v>
      </c>
      <c r="D21" s="113">
        <v>24</v>
      </c>
      <c r="E21" s="116">
        <f t="shared" si="7"/>
        <v>3997500</v>
      </c>
      <c r="F21" s="116">
        <f t="shared" ca="1" si="3"/>
        <v>4097400</v>
      </c>
      <c r="G21" s="116">
        <f t="shared" ref="G21:AT21" ca="1" si="20">ROUND(F21*(1+G$3),-2)</f>
        <v>4199800</v>
      </c>
      <c r="H21" s="116">
        <f t="shared" ca="1" si="20"/>
        <v>4304800</v>
      </c>
      <c r="I21" s="116">
        <f t="shared" ca="1" si="20"/>
        <v>4412400</v>
      </c>
      <c r="J21" s="116">
        <f t="shared" ca="1" si="20"/>
        <v>4522700</v>
      </c>
      <c r="K21" s="116">
        <f t="shared" ca="1" si="20"/>
        <v>4635800</v>
      </c>
      <c r="L21" s="116">
        <f t="shared" ca="1" si="20"/>
        <v>4751700</v>
      </c>
      <c r="M21" s="116">
        <f t="shared" ca="1" si="20"/>
        <v>4870500</v>
      </c>
      <c r="N21" s="116">
        <f t="shared" ca="1" si="20"/>
        <v>4992300</v>
      </c>
      <c r="O21" s="116">
        <f t="shared" ca="1" si="20"/>
        <v>5117100</v>
      </c>
      <c r="P21" s="116">
        <f t="shared" ca="1" si="20"/>
        <v>5245000</v>
      </c>
      <c r="Q21" s="116">
        <f t="shared" ca="1" si="20"/>
        <v>5376100</v>
      </c>
      <c r="R21" s="115">
        <f t="shared" ca="1" si="20"/>
        <v>5510500</v>
      </c>
      <c r="S21" s="117">
        <f t="shared" ca="1" si="20"/>
        <v>5648300</v>
      </c>
      <c r="T21" s="116">
        <f t="shared" ca="1" si="20"/>
        <v>5789500</v>
      </c>
      <c r="U21" s="116">
        <f t="shared" ca="1" si="20"/>
        <v>5934200</v>
      </c>
      <c r="V21" s="116">
        <f t="shared" ca="1" si="20"/>
        <v>6082600</v>
      </c>
      <c r="W21" s="116">
        <f t="shared" ca="1" si="20"/>
        <v>6234700</v>
      </c>
      <c r="X21" s="116">
        <f t="shared" ca="1" si="20"/>
        <v>6390600</v>
      </c>
      <c r="Y21" s="116">
        <f t="shared" ca="1" si="20"/>
        <v>6550400</v>
      </c>
      <c r="Z21" s="116">
        <f t="shared" ca="1" si="20"/>
        <v>6714200</v>
      </c>
      <c r="AA21" s="116">
        <f t="shared" ca="1" si="20"/>
        <v>6882100</v>
      </c>
      <c r="AB21" s="116">
        <f t="shared" ca="1" si="20"/>
        <v>7054200</v>
      </c>
      <c r="AC21" s="116">
        <f t="shared" ca="1" si="20"/>
        <v>7230600</v>
      </c>
      <c r="AD21" s="116">
        <f t="shared" ca="1" si="20"/>
        <v>7411400</v>
      </c>
      <c r="AE21" s="116">
        <f t="shared" ca="1" si="20"/>
        <v>7596700</v>
      </c>
      <c r="AF21" s="116">
        <f t="shared" ca="1" si="20"/>
        <v>7786600</v>
      </c>
      <c r="AG21" s="116">
        <f t="shared" ca="1" si="20"/>
        <v>7981300</v>
      </c>
      <c r="AH21" s="116">
        <f t="shared" ca="1" si="20"/>
        <v>8180800</v>
      </c>
      <c r="AI21" s="116">
        <f t="shared" ca="1" si="20"/>
        <v>8385300</v>
      </c>
      <c r="AJ21" s="116">
        <f t="shared" ca="1" si="20"/>
        <v>8594900</v>
      </c>
      <c r="AK21" s="116">
        <f t="shared" ca="1" si="20"/>
        <v>8809800</v>
      </c>
      <c r="AL21" s="116">
        <f t="shared" ca="1" si="20"/>
        <v>9030000</v>
      </c>
      <c r="AM21" s="116">
        <f t="shared" ca="1" si="20"/>
        <v>9255800</v>
      </c>
      <c r="AN21" s="116">
        <f t="shared" ca="1" si="20"/>
        <v>9487200</v>
      </c>
      <c r="AO21" s="116">
        <f t="shared" ca="1" si="20"/>
        <v>9724400</v>
      </c>
      <c r="AP21" s="116">
        <f t="shared" ca="1" si="20"/>
        <v>9967500</v>
      </c>
      <c r="AQ21" s="116">
        <f t="shared" ca="1" si="20"/>
        <v>10216700</v>
      </c>
      <c r="AR21" s="116">
        <f t="shared" ca="1" si="20"/>
        <v>10472100</v>
      </c>
      <c r="AS21" s="116">
        <f t="shared" ca="1" si="20"/>
        <v>10733900</v>
      </c>
      <c r="AT21" s="116">
        <f t="shared" ca="1" si="20"/>
        <v>11002200</v>
      </c>
      <c r="AW21" s="113">
        <v>24</v>
      </c>
      <c r="AX21" s="1039">
        <v>3658300</v>
      </c>
    </row>
    <row r="22" spans="1:50" ht="9" customHeight="1">
      <c r="A22" s="113">
        <v>25</v>
      </c>
      <c r="B22" s="642">
        <v>3989800</v>
      </c>
      <c r="C22" s="112" t="s">
        <v>429</v>
      </c>
      <c r="D22" s="113">
        <v>25</v>
      </c>
      <c r="E22" s="116">
        <f t="shared" si="7"/>
        <v>4129400</v>
      </c>
      <c r="F22" s="116">
        <f t="shared" ca="1" si="3"/>
        <v>4232600</v>
      </c>
      <c r="G22" s="116">
        <f t="shared" ref="G22:AT22" ca="1" si="21">ROUND(F22*(1+G$3),-2)</f>
        <v>4338400</v>
      </c>
      <c r="H22" s="116">
        <f t="shared" ca="1" si="21"/>
        <v>4446900</v>
      </c>
      <c r="I22" s="116">
        <f t="shared" ca="1" si="21"/>
        <v>4558100</v>
      </c>
      <c r="J22" s="116">
        <f t="shared" ca="1" si="21"/>
        <v>4672100</v>
      </c>
      <c r="K22" s="116">
        <f t="shared" ca="1" si="21"/>
        <v>4788900</v>
      </c>
      <c r="L22" s="116">
        <f t="shared" ca="1" si="21"/>
        <v>4908600</v>
      </c>
      <c r="M22" s="116">
        <f t="shared" ca="1" si="21"/>
        <v>5031300</v>
      </c>
      <c r="N22" s="116">
        <f t="shared" ca="1" si="21"/>
        <v>5157100</v>
      </c>
      <c r="O22" s="116">
        <f t="shared" ca="1" si="21"/>
        <v>5286000</v>
      </c>
      <c r="P22" s="116">
        <f t="shared" ca="1" si="21"/>
        <v>5418200</v>
      </c>
      <c r="Q22" s="116">
        <f t="shared" ca="1" si="21"/>
        <v>5553700</v>
      </c>
      <c r="R22" s="116">
        <f t="shared" ca="1" si="21"/>
        <v>5692500</v>
      </c>
      <c r="S22" s="115">
        <f t="shared" ca="1" si="21"/>
        <v>5834800</v>
      </c>
      <c r="T22" s="117">
        <f t="shared" ca="1" si="21"/>
        <v>5980700</v>
      </c>
      <c r="U22" s="116">
        <f t="shared" ca="1" si="21"/>
        <v>6130200</v>
      </c>
      <c r="V22" s="116">
        <f t="shared" ca="1" si="21"/>
        <v>6283500</v>
      </c>
      <c r="W22" s="116">
        <f t="shared" ca="1" si="21"/>
        <v>6440600</v>
      </c>
      <c r="X22" s="116">
        <f t="shared" ca="1" si="21"/>
        <v>6601600</v>
      </c>
      <c r="Y22" s="116">
        <f t="shared" ca="1" si="21"/>
        <v>6766600</v>
      </c>
      <c r="Z22" s="116">
        <f t="shared" ca="1" si="21"/>
        <v>6935800</v>
      </c>
      <c r="AA22" s="116">
        <f t="shared" ca="1" si="21"/>
        <v>7109200</v>
      </c>
      <c r="AB22" s="116">
        <f t="shared" ca="1" si="21"/>
        <v>7286900</v>
      </c>
      <c r="AC22" s="116">
        <f t="shared" ca="1" si="21"/>
        <v>7469100</v>
      </c>
      <c r="AD22" s="116">
        <f t="shared" ca="1" si="21"/>
        <v>7655800</v>
      </c>
      <c r="AE22" s="116">
        <f t="shared" ca="1" si="21"/>
        <v>7847200</v>
      </c>
      <c r="AF22" s="116">
        <f t="shared" ca="1" si="21"/>
        <v>8043400</v>
      </c>
      <c r="AG22" s="116">
        <f t="shared" ca="1" si="21"/>
        <v>8244500</v>
      </c>
      <c r="AH22" s="116">
        <f t="shared" ca="1" si="21"/>
        <v>8450600</v>
      </c>
      <c r="AI22" s="116">
        <f t="shared" ca="1" si="21"/>
        <v>8661900</v>
      </c>
      <c r="AJ22" s="116">
        <f t="shared" ca="1" si="21"/>
        <v>8878400</v>
      </c>
      <c r="AK22" s="116">
        <f t="shared" ca="1" si="21"/>
        <v>9100400</v>
      </c>
      <c r="AL22" s="116">
        <f t="shared" ca="1" si="21"/>
        <v>9327900</v>
      </c>
      <c r="AM22" s="116">
        <f t="shared" ca="1" si="21"/>
        <v>9561100</v>
      </c>
      <c r="AN22" s="116">
        <f t="shared" ca="1" si="21"/>
        <v>9800100</v>
      </c>
      <c r="AO22" s="116">
        <f t="shared" ca="1" si="21"/>
        <v>10045100</v>
      </c>
      <c r="AP22" s="116">
        <f t="shared" ca="1" si="21"/>
        <v>10296200</v>
      </c>
      <c r="AQ22" s="116">
        <f t="shared" ca="1" si="21"/>
        <v>10553600</v>
      </c>
      <c r="AR22" s="116">
        <f t="shared" ca="1" si="21"/>
        <v>10817400</v>
      </c>
      <c r="AS22" s="116">
        <f t="shared" ca="1" si="21"/>
        <v>11087800</v>
      </c>
      <c r="AT22" s="116">
        <f t="shared" ca="1" si="21"/>
        <v>11365000</v>
      </c>
      <c r="AW22" s="113">
        <v>25</v>
      </c>
      <c r="AX22" s="1039">
        <v>3779100</v>
      </c>
    </row>
    <row r="23" spans="1:50" ht="9" customHeight="1">
      <c r="A23" s="592">
        <v>26</v>
      </c>
      <c r="B23" s="641">
        <v>4117800</v>
      </c>
      <c r="C23" s="593" t="s">
        <v>455</v>
      </c>
      <c r="D23" s="592">
        <v>26</v>
      </c>
      <c r="E23" s="592">
        <f t="shared" si="7"/>
        <v>4261900</v>
      </c>
      <c r="F23" s="592">
        <f t="shared" ca="1" si="3"/>
        <v>4368400</v>
      </c>
      <c r="G23" s="592">
        <f t="shared" ref="G23:AT23" ca="1" si="22">ROUND(F23*(1+G$3),-2)</f>
        <v>4477600</v>
      </c>
      <c r="H23" s="592">
        <f t="shared" ca="1" si="22"/>
        <v>4589500</v>
      </c>
      <c r="I23" s="592">
        <f t="shared" ca="1" si="22"/>
        <v>4704200</v>
      </c>
      <c r="J23" s="592">
        <f t="shared" ca="1" si="22"/>
        <v>4821800</v>
      </c>
      <c r="K23" s="592">
        <f t="shared" ca="1" si="22"/>
        <v>4942300</v>
      </c>
      <c r="L23" s="592">
        <f t="shared" ca="1" si="22"/>
        <v>5065900</v>
      </c>
      <c r="M23" s="592">
        <f t="shared" ca="1" si="22"/>
        <v>5192500</v>
      </c>
      <c r="N23" s="592">
        <f t="shared" ca="1" si="22"/>
        <v>5322300</v>
      </c>
      <c r="O23" s="592">
        <f t="shared" ca="1" si="22"/>
        <v>5455400</v>
      </c>
      <c r="P23" s="592">
        <f t="shared" ca="1" si="22"/>
        <v>5591800</v>
      </c>
      <c r="Q23" s="592">
        <f t="shared" ca="1" si="22"/>
        <v>5731600</v>
      </c>
      <c r="R23" s="592">
        <f t="shared" ca="1" si="22"/>
        <v>5874900</v>
      </c>
      <c r="S23" s="592">
        <f t="shared" ca="1" si="22"/>
        <v>6021800</v>
      </c>
      <c r="T23" s="592">
        <f t="shared" ca="1" si="22"/>
        <v>6172300</v>
      </c>
      <c r="U23" s="592">
        <f t="shared" ca="1" si="22"/>
        <v>6326600</v>
      </c>
      <c r="V23" s="592">
        <f t="shared" ca="1" si="22"/>
        <v>6484800</v>
      </c>
      <c r="W23" s="592">
        <f t="shared" ca="1" si="22"/>
        <v>6646900</v>
      </c>
      <c r="X23" s="592">
        <f t="shared" ca="1" si="22"/>
        <v>6813100</v>
      </c>
      <c r="Y23" s="592">
        <f t="shared" ca="1" si="22"/>
        <v>6983400</v>
      </c>
      <c r="Z23" s="592">
        <f t="shared" ca="1" si="22"/>
        <v>7158000</v>
      </c>
      <c r="AA23" s="592">
        <f t="shared" ca="1" si="22"/>
        <v>7337000</v>
      </c>
      <c r="AB23" s="592">
        <f t="shared" ca="1" si="22"/>
        <v>7520400</v>
      </c>
      <c r="AC23" s="592">
        <f t="shared" ca="1" si="22"/>
        <v>7708400</v>
      </c>
      <c r="AD23" s="592">
        <f t="shared" ca="1" si="22"/>
        <v>7901100</v>
      </c>
      <c r="AE23" s="592">
        <f t="shared" ca="1" si="22"/>
        <v>8098600</v>
      </c>
      <c r="AF23" s="592">
        <f t="shared" ca="1" si="22"/>
        <v>8301100</v>
      </c>
      <c r="AG23" s="592">
        <f t="shared" ca="1" si="22"/>
        <v>8508600</v>
      </c>
      <c r="AH23" s="592">
        <f t="shared" ca="1" si="22"/>
        <v>8721300</v>
      </c>
      <c r="AI23" s="592">
        <f t="shared" ca="1" si="22"/>
        <v>8939300</v>
      </c>
      <c r="AJ23" s="592">
        <f t="shared" ca="1" si="22"/>
        <v>9162800</v>
      </c>
      <c r="AK23" s="592">
        <f t="shared" ca="1" si="22"/>
        <v>9391900</v>
      </c>
      <c r="AL23" s="592">
        <f t="shared" ca="1" si="22"/>
        <v>9626700</v>
      </c>
      <c r="AM23" s="592">
        <f t="shared" ca="1" si="22"/>
        <v>9867400</v>
      </c>
      <c r="AN23" s="592">
        <f t="shared" ca="1" si="22"/>
        <v>10114100</v>
      </c>
      <c r="AO23" s="592">
        <f t="shared" ca="1" si="22"/>
        <v>10367000</v>
      </c>
      <c r="AP23" s="592">
        <f t="shared" ca="1" si="22"/>
        <v>10626200</v>
      </c>
      <c r="AQ23" s="592">
        <f t="shared" ca="1" si="22"/>
        <v>10891900</v>
      </c>
      <c r="AR23" s="592">
        <f t="shared" ca="1" si="22"/>
        <v>11164200</v>
      </c>
      <c r="AS23" s="592">
        <f t="shared" ca="1" si="22"/>
        <v>11443300</v>
      </c>
      <c r="AT23" s="592">
        <f t="shared" ca="1" si="22"/>
        <v>11729400</v>
      </c>
      <c r="AW23" s="592">
        <v>26</v>
      </c>
      <c r="AX23" s="1038">
        <v>3900400</v>
      </c>
    </row>
    <row r="24" spans="1:50" ht="9" customHeight="1">
      <c r="A24" s="113">
        <v>27</v>
      </c>
      <c r="B24" s="641">
        <v>4251300</v>
      </c>
      <c r="C24" s="112" t="s">
        <v>434</v>
      </c>
      <c r="D24" s="113">
        <v>27</v>
      </c>
      <c r="E24" s="116">
        <f t="shared" si="7"/>
        <v>4400100</v>
      </c>
      <c r="F24" s="116">
        <f t="shared" ca="1" si="3"/>
        <v>4510100</v>
      </c>
      <c r="G24" s="116">
        <f t="shared" ref="G24:AT24" ca="1" si="23">ROUND(F24*(1+G$3),-2)</f>
        <v>4622900</v>
      </c>
      <c r="H24" s="116">
        <f t="shared" ca="1" si="23"/>
        <v>4738500</v>
      </c>
      <c r="I24" s="116">
        <f t="shared" ca="1" si="23"/>
        <v>4857000</v>
      </c>
      <c r="J24" s="116">
        <f t="shared" ca="1" si="23"/>
        <v>4978400</v>
      </c>
      <c r="K24" s="116">
        <f t="shared" ca="1" si="23"/>
        <v>5102900</v>
      </c>
      <c r="L24" s="116">
        <f t="shared" ca="1" si="23"/>
        <v>5230500</v>
      </c>
      <c r="M24" s="116">
        <f t="shared" ca="1" si="23"/>
        <v>5361300</v>
      </c>
      <c r="N24" s="116">
        <f t="shared" ca="1" si="23"/>
        <v>5495300</v>
      </c>
      <c r="O24" s="116">
        <f t="shared" ca="1" si="23"/>
        <v>5632700</v>
      </c>
      <c r="P24" s="116">
        <f t="shared" ca="1" si="23"/>
        <v>5773500</v>
      </c>
      <c r="Q24" s="116">
        <f t="shared" ca="1" si="23"/>
        <v>5917800</v>
      </c>
      <c r="R24" s="116">
        <f t="shared" ca="1" si="23"/>
        <v>6065700</v>
      </c>
      <c r="S24" s="116">
        <f t="shared" ca="1" si="23"/>
        <v>6217300</v>
      </c>
      <c r="T24" s="116">
        <f t="shared" ca="1" si="23"/>
        <v>6372700</v>
      </c>
      <c r="U24" s="115">
        <f t="shared" ca="1" si="23"/>
        <v>6532000</v>
      </c>
      <c r="V24" s="117">
        <f t="shared" ca="1" si="23"/>
        <v>6695300</v>
      </c>
      <c r="W24" s="116">
        <f t="shared" ca="1" si="23"/>
        <v>6862700</v>
      </c>
      <c r="X24" s="116">
        <f t="shared" ca="1" si="23"/>
        <v>7034300</v>
      </c>
      <c r="Y24" s="116">
        <f t="shared" ca="1" si="23"/>
        <v>7210200</v>
      </c>
      <c r="Z24" s="116">
        <f t="shared" ca="1" si="23"/>
        <v>7390500</v>
      </c>
      <c r="AA24" s="116">
        <f t="shared" ca="1" si="23"/>
        <v>7575300</v>
      </c>
      <c r="AB24" s="116">
        <f t="shared" ca="1" si="23"/>
        <v>7764700</v>
      </c>
      <c r="AC24" s="116">
        <f t="shared" ca="1" si="23"/>
        <v>7958800</v>
      </c>
      <c r="AD24" s="116">
        <f t="shared" ca="1" si="23"/>
        <v>8157800</v>
      </c>
      <c r="AE24" s="116">
        <f t="shared" ca="1" si="23"/>
        <v>8361700</v>
      </c>
      <c r="AF24" s="116">
        <f t="shared" ca="1" si="23"/>
        <v>8570700</v>
      </c>
      <c r="AG24" s="116">
        <f t="shared" ca="1" si="23"/>
        <v>8785000</v>
      </c>
      <c r="AH24" s="116">
        <f t="shared" ca="1" si="23"/>
        <v>9004600</v>
      </c>
      <c r="AI24" s="116">
        <f t="shared" ca="1" si="23"/>
        <v>9229700</v>
      </c>
      <c r="AJ24" s="116">
        <f t="shared" ca="1" si="23"/>
        <v>9460400</v>
      </c>
      <c r="AK24" s="116">
        <f t="shared" ca="1" si="23"/>
        <v>9696900</v>
      </c>
      <c r="AL24" s="116">
        <f t="shared" ca="1" si="23"/>
        <v>9939300</v>
      </c>
      <c r="AM24" s="116">
        <f t="shared" ca="1" si="23"/>
        <v>10187800</v>
      </c>
      <c r="AN24" s="116">
        <f t="shared" ca="1" si="23"/>
        <v>10442500</v>
      </c>
      <c r="AO24" s="116">
        <f t="shared" ca="1" si="23"/>
        <v>10703600</v>
      </c>
      <c r="AP24" s="116">
        <f t="shared" ca="1" si="23"/>
        <v>10971200</v>
      </c>
      <c r="AQ24" s="116">
        <f t="shared" ca="1" si="23"/>
        <v>11245500</v>
      </c>
      <c r="AR24" s="116">
        <f t="shared" ca="1" si="23"/>
        <v>11526600</v>
      </c>
      <c r="AS24" s="116">
        <f t="shared" ca="1" si="23"/>
        <v>11814800</v>
      </c>
      <c r="AT24" s="116">
        <f t="shared" ca="1" si="23"/>
        <v>12110200</v>
      </c>
      <c r="AW24" s="113">
        <v>27</v>
      </c>
      <c r="AX24" s="1038">
        <v>4026800</v>
      </c>
    </row>
    <row r="25" spans="1:50" ht="9" customHeight="1">
      <c r="A25" s="113">
        <v>28</v>
      </c>
      <c r="B25" s="641">
        <v>4384500</v>
      </c>
      <c r="C25" s="112" t="s">
        <v>441</v>
      </c>
      <c r="D25" s="113">
        <v>28</v>
      </c>
      <c r="E25" s="116">
        <f t="shared" si="7"/>
        <v>4538000</v>
      </c>
      <c r="F25" s="116">
        <f t="shared" ca="1" si="3"/>
        <v>4651500</v>
      </c>
      <c r="G25" s="116">
        <f t="shared" ref="G25:AT25" ca="1" si="24">ROUND(F25*(1+G$3),-2)</f>
        <v>4767800</v>
      </c>
      <c r="H25" s="116">
        <f t="shared" ca="1" si="24"/>
        <v>4887000</v>
      </c>
      <c r="I25" s="116">
        <f t="shared" ca="1" si="24"/>
        <v>5009200</v>
      </c>
      <c r="J25" s="116">
        <f t="shared" ca="1" si="24"/>
        <v>5134400</v>
      </c>
      <c r="K25" s="116">
        <f t="shared" ca="1" si="24"/>
        <v>5262800</v>
      </c>
      <c r="L25" s="116">
        <f t="shared" ca="1" si="24"/>
        <v>5394400</v>
      </c>
      <c r="M25" s="116">
        <f t="shared" ca="1" si="24"/>
        <v>5529300</v>
      </c>
      <c r="N25" s="116">
        <f t="shared" ca="1" si="24"/>
        <v>5667500</v>
      </c>
      <c r="O25" s="116">
        <f t="shared" ca="1" si="24"/>
        <v>5809200</v>
      </c>
      <c r="P25" s="116">
        <f t="shared" ca="1" si="24"/>
        <v>5954400</v>
      </c>
      <c r="Q25" s="116">
        <f t="shared" ca="1" si="24"/>
        <v>6103300</v>
      </c>
      <c r="R25" s="116">
        <f t="shared" ca="1" si="24"/>
        <v>6255900</v>
      </c>
      <c r="S25" s="116">
        <f t="shared" ca="1" si="24"/>
        <v>6412300</v>
      </c>
      <c r="T25" s="116">
        <f t="shared" ca="1" si="24"/>
        <v>6572600</v>
      </c>
      <c r="U25" s="116">
        <f t="shared" ca="1" si="24"/>
        <v>6736900</v>
      </c>
      <c r="V25" s="115">
        <f t="shared" ca="1" si="24"/>
        <v>6905300</v>
      </c>
      <c r="W25" s="117">
        <f t="shared" ca="1" si="24"/>
        <v>7077900</v>
      </c>
      <c r="X25" s="116">
        <f t="shared" ca="1" si="24"/>
        <v>7254800</v>
      </c>
      <c r="Y25" s="116">
        <f t="shared" ca="1" si="24"/>
        <v>7436200</v>
      </c>
      <c r="Z25" s="116">
        <f t="shared" ca="1" si="24"/>
        <v>7622100</v>
      </c>
      <c r="AA25" s="116">
        <f t="shared" ca="1" si="24"/>
        <v>7812700</v>
      </c>
      <c r="AB25" s="116">
        <f t="shared" ca="1" si="24"/>
        <v>8008000</v>
      </c>
      <c r="AC25" s="116">
        <f t="shared" ca="1" si="24"/>
        <v>8208200</v>
      </c>
      <c r="AD25" s="116">
        <f t="shared" ca="1" si="24"/>
        <v>8413400</v>
      </c>
      <c r="AE25" s="116">
        <f t="shared" ca="1" si="24"/>
        <v>8623700</v>
      </c>
      <c r="AF25" s="116">
        <f t="shared" ca="1" si="24"/>
        <v>8839300</v>
      </c>
      <c r="AG25" s="116">
        <f t="shared" ca="1" si="24"/>
        <v>9060300</v>
      </c>
      <c r="AH25" s="116">
        <f t="shared" ca="1" si="24"/>
        <v>9286800</v>
      </c>
      <c r="AI25" s="116">
        <f t="shared" ca="1" si="24"/>
        <v>9519000</v>
      </c>
      <c r="AJ25" s="116">
        <f t="shared" ca="1" si="24"/>
        <v>9757000</v>
      </c>
      <c r="AK25" s="116">
        <f t="shared" ca="1" si="24"/>
        <v>10000900</v>
      </c>
      <c r="AL25" s="116">
        <f t="shared" ca="1" si="24"/>
        <v>10250900</v>
      </c>
      <c r="AM25" s="116">
        <f t="shared" ca="1" si="24"/>
        <v>10507200</v>
      </c>
      <c r="AN25" s="116">
        <f t="shared" ca="1" si="24"/>
        <v>10769900</v>
      </c>
      <c r="AO25" s="116">
        <f t="shared" ca="1" si="24"/>
        <v>11039100</v>
      </c>
      <c r="AP25" s="116">
        <f t="shared" ca="1" si="24"/>
        <v>11315100</v>
      </c>
      <c r="AQ25" s="116">
        <f t="shared" ca="1" si="24"/>
        <v>11598000</v>
      </c>
      <c r="AR25" s="116">
        <f t="shared" ca="1" si="24"/>
        <v>11888000</v>
      </c>
      <c r="AS25" s="116">
        <f t="shared" ca="1" si="24"/>
        <v>12185200</v>
      </c>
      <c r="AT25" s="116">
        <f t="shared" ca="1" si="24"/>
        <v>12489800</v>
      </c>
      <c r="AW25" s="113">
        <v>28</v>
      </c>
      <c r="AX25" s="1038">
        <v>4153000</v>
      </c>
    </row>
    <row r="26" spans="1:50" ht="9" customHeight="1">
      <c r="A26" s="113">
        <v>29</v>
      </c>
      <c r="B26" s="641">
        <v>4523800</v>
      </c>
      <c r="C26" s="112" t="s">
        <v>459</v>
      </c>
      <c r="D26" s="113">
        <v>29</v>
      </c>
      <c r="E26" s="116">
        <f t="shared" si="7"/>
        <v>4682100</v>
      </c>
      <c r="F26" s="116">
        <f t="shared" ca="1" si="3"/>
        <v>4799200</v>
      </c>
      <c r="G26" s="116">
        <f t="shared" ref="G26:AT26" ca="1" si="25">ROUND(F26*(1+G$3),-2)</f>
        <v>4919200</v>
      </c>
      <c r="H26" s="116">
        <f t="shared" ca="1" si="25"/>
        <v>5042200</v>
      </c>
      <c r="I26" s="116">
        <f t="shared" ca="1" si="25"/>
        <v>5168300</v>
      </c>
      <c r="J26" s="116">
        <f t="shared" ca="1" si="25"/>
        <v>5297500</v>
      </c>
      <c r="K26" s="116">
        <f t="shared" ca="1" si="25"/>
        <v>5429900</v>
      </c>
      <c r="L26" s="116">
        <f t="shared" ca="1" si="25"/>
        <v>5565600</v>
      </c>
      <c r="M26" s="116">
        <f t="shared" ca="1" si="25"/>
        <v>5704700</v>
      </c>
      <c r="N26" s="116">
        <f t="shared" ca="1" si="25"/>
        <v>5847300</v>
      </c>
      <c r="O26" s="116">
        <f t="shared" ca="1" si="25"/>
        <v>5993500</v>
      </c>
      <c r="P26" s="116">
        <f t="shared" ca="1" si="25"/>
        <v>6143300</v>
      </c>
      <c r="Q26" s="116">
        <f t="shared" ca="1" si="25"/>
        <v>6296900</v>
      </c>
      <c r="R26" s="116">
        <f t="shared" ca="1" si="25"/>
        <v>6454300</v>
      </c>
      <c r="S26" s="116">
        <f t="shared" ca="1" si="25"/>
        <v>6615700</v>
      </c>
      <c r="T26" s="116">
        <f t="shared" ca="1" si="25"/>
        <v>6781100</v>
      </c>
      <c r="U26" s="116">
        <f t="shared" ca="1" si="25"/>
        <v>6950600</v>
      </c>
      <c r="V26" s="116">
        <f t="shared" ca="1" si="25"/>
        <v>7124400</v>
      </c>
      <c r="W26" s="115">
        <f t="shared" ca="1" si="25"/>
        <v>7302500</v>
      </c>
      <c r="X26" s="117">
        <f t="shared" ca="1" si="25"/>
        <v>7485100</v>
      </c>
      <c r="Y26" s="116">
        <f t="shared" ca="1" si="25"/>
        <v>7672200</v>
      </c>
      <c r="Z26" s="116">
        <f t="shared" ca="1" si="25"/>
        <v>7864000</v>
      </c>
      <c r="AA26" s="116">
        <f t="shared" ca="1" si="25"/>
        <v>8060600</v>
      </c>
      <c r="AB26" s="116">
        <f t="shared" ca="1" si="25"/>
        <v>8262100</v>
      </c>
      <c r="AC26" s="116">
        <f t="shared" ca="1" si="25"/>
        <v>8468700</v>
      </c>
      <c r="AD26" s="116">
        <f t="shared" ca="1" si="25"/>
        <v>8680400</v>
      </c>
      <c r="AE26" s="116">
        <f t="shared" ca="1" si="25"/>
        <v>8897400</v>
      </c>
      <c r="AF26" s="116">
        <f t="shared" ca="1" si="25"/>
        <v>9119800</v>
      </c>
      <c r="AG26" s="116">
        <f t="shared" ca="1" si="25"/>
        <v>9347800</v>
      </c>
      <c r="AH26" s="116">
        <f t="shared" ca="1" si="25"/>
        <v>9581500</v>
      </c>
      <c r="AI26" s="116">
        <f t="shared" ca="1" si="25"/>
        <v>9821000</v>
      </c>
      <c r="AJ26" s="116">
        <f t="shared" ca="1" si="25"/>
        <v>10066500</v>
      </c>
      <c r="AK26" s="116">
        <f t="shared" ca="1" si="25"/>
        <v>10318200</v>
      </c>
      <c r="AL26" s="116">
        <f t="shared" ca="1" si="25"/>
        <v>10576200</v>
      </c>
      <c r="AM26" s="116">
        <f t="shared" ca="1" si="25"/>
        <v>10840600</v>
      </c>
      <c r="AN26" s="116">
        <f t="shared" ca="1" si="25"/>
        <v>11111600</v>
      </c>
      <c r="AO26" s="116">
        <f t="shared" ca="1" si="25"/>
        <v>11389400</v>
      </c>
      <c r="AP26" s="116">
        <f t="shared" ca="1" si="25"/>
        <v>11674100</v>
      </c>
      <c r="AQ26" s="116">
        <f t="shared" ca="1" si="25"/>
        <v>11966000</v>
      </c>
      <c r="AR26" s="116">
        <f t="shared" ca="1" si="25"/>
        <v>12265200</v>
      </c>
      <c r="AS26" s="116">
        <f t="shared" ca="1" si="25"/>
        <v>12571800</v>
      </c>
      <c r="AT26" s="116">
        <f t="shared" ca="1" si="25"/>
        <v>12886100</v>
      </c>
      <c r="AW26" s="113">
        <v>29</v>
      </c>
      <c r="AX26" s="1038">
        <v>4284900</v>
      </c>
    </row>
    <row r="27" spans="1:50" ht="9" customHeight="1">
      <c r="A27" s="113">
        <v>30</v>
      </c>
      <c r="B27" s="641">
        <v>4663600</v>
      </c>
      <c r="C27" s="112" t="s">
        <v>456</v>
      </c>
      <c r="D27" s="113">
        <v>30</v>
      </c>
      <c r="E27" s="116">
        <f t="shared" si="7"/>
        <v>4826800</v>
      </c>
      <c r="F27" s="116">
        <f t="shared" ca="1" si="3"/>
        <v>4947500</v>
      </c>
      <c r="G27" s="116">
        <f t="shared" ref="G27:AT27" ca="1" si="26">ROUND(F27*(1+G$3),-2)</f>
        <v>5071200</v>
      </c>
      <c r="H27" s="116">
        <f t="shared" ca="1" si="26"/>
        <v>5198000</v>
      </c>
      <c r="I27" s="116">
        <f t="shared" ca="1" si="26"/>
        <v>5328000</v>
      </c>
      <c r="J27" s="116">
        <f t="shared" ca="1" si="26"/>
        <v>5461200</v>
      </c>
      <c r="K27" s="116">
        <f t="shared" ca="1" si="26"/>
        <v>5597700</v>
      </c>
      <c r="L27" s="116">
        <f t="shared" ca="1" si="26"/>
        <v>5737600</v>
      </c>
      <c r="M27" s="116">
        <f t="shared" ca="1" si="26"/>
        <v>5881000</v>
      </c>
      <c r="N27" s="116">
        <f t="shared" ca="1" si="26"/>
        <v>6028000</v>
      </c>
      <c r="O27" s="116">
        <f t="shared" ca="1" si="26"/>
        <v>6178700</v>
      </c>
      <c r="P27" s="116">
        <f t="shared" ca="1" si="26"/>
        <v>6333200</v>
      </c>
      <c r="Q27" s="116">
        <f t="shared" ca="1" si="26"/>
        <v>6491500</v>
      </c>
      <c r="R27" s="116">
        <f t="shared" ca="1" si="26"/>
        <v>6653800</v>
      </c>
      <c r="S27" s="116">
        <f t="shared" ca="1" si="26"/>
        <v>6820100</v>
      </c>
      <c r="T27" s="116">
        <f t="shared" ca="1" si="26"/>
        <v>6990600</v>
      </c>
      <c r="U27" s="116">
        <f t="shared" ca="1" si="26"/>
        <v>7165400</v>
      </c>
      <c r="V27" s="116">
        <f t="shared" ca="1" si="26"/>
        <v>7344500</v>
      </c>
      <c r="W27" s="116">
        <f t="shared" ca="1" si="26"/>
        <v>7528100</v>
      </c>
      <c r="X27" s="115">
        <f t="shared" ca="1" si="26"/>
        <v>7716300</v>
      </c>
      <c r="Y27" s="117">
        <f t="shared" ca="1" si="26"/>
        <v>7909200</v>
      </c>
      <c r="Z27" s="116">
        <f t="shared" ca="1" si="26"/>
        <v>8106900</v>
      </c>
      <c r="AA27" s="116">
        <f t="shared" ca="1" si="26"/>
        <v>8309600</v>
      </c>
      <c r="AB27" s="116">
        <f t="shared" ca="1" si="26"/>
        <v>8517300</v>
      </c>
      <c r="AC27" s="116">
        <f t="shared" ca="1" si="26"/>
        <v>8730200</v>
      </c>
      <c r="AD27" s="116">
        <f t="shared" ca="1" si="26"/>
        <v>8948500</v>
      </c>
      <c r="AE27" s="116">
        <f t="shared" ca="1" si="26"/>
        <v>9172200</v>
      </c>
      <c r="AF27" s="116">
        <f t="shared" ca="1" si="26"/>
        <v>9401500</v>
      </c>
      <c r="AG27" s="116">
        <f t="shared" ca="1" si="26"/>
        <v>9636500</v>
      </c>
      <c r="AH27" s="116">
        <f t="shared" ca="1" si="26"/>
        <v>9877400</v>
      </c>
      <c r="AI27" s="116">
        <f t="shared" ca="1" si="26"/>
        <v>10124300</v>
      </c>
      <c r="AJ27" s="116">
        <f t="shared" ca="1" si="26"/>
        <v>10377400</v>
      </c>
      <c r="AK27" s="116">
        <f t="shared" ca="1" si="26"/>
        <v>10636800</v>
      </c>
      <c r="AL27" s="116">
        <f t="shared" ca="1" si="26"/>
        <v>10902700</v>
      </c>
      <c r="AM27" s="116">
        <f t="shared" ca="1" si="26"/>
        <v>11175300</v>
      </c>
      <c r="AN27" s="116">
        <f t="shared" ca="1" si="26"/>
        <v>11454700</v>
      </c>
      <c r="AO27" s="116">
        <f t="shared" ca="1" si="26"/>
        <v>11741100</v>
      </c>
      <c r="AP27" s="116">
        <f t="shared" ca="1" si="26"/>
        <v>12034600</v>
      </c>
      <c r="AQ27" s="116">
        <f t="shared" ca="1" si="26"/>
        <v>12335500</v>
      </c>
      <c r="AR27" s="116">
        <f t="shared" ca="1" si="26"/>
        <v>12643900</v>
      </c>
      <c r="AS27" s="116">
        <f t="shared" ca="1" si="26"/>
        <v>12960000</v>
      </c>
      <c r="AT27" s="116">
        <f t="shared" ca="1" si="26"/>
        <v>13284000</v>
      </c>
      <c r="AV27" s="109" t="s">
        <v>314</v>
      </c>
      <c r="AW27" s="113">
        <v>30</v>
      </c>
      <c r="AX27" s="1038">
        <v>4417400</v>
      </c>
    </row>
    <row r="28" spans="1:50" ht="9" customHeight="1">
      <c r="A28" s="113">
        <v>31</v>
      </c>
      <c r="B28" s="641">
        <v>4803000</v>
      </c>
      <c r="C28" s="112" t="s">
        <v>446</v>
      </c>
      <c r="D28" s="113">
        <v>31</v>
      </c>
      <c r="E28" s="116">
        <f t="shared" si="7"/>
        <v>4971100</v>
      </c>
      <c r="F28" s="116">
        <f t="shared" ca="1" si="3"/>
        <v>5095400</v>
      </c>
      <c r="G28" s="116">
        <f t="shared" ref="G28:AT28" ca="1" si="27">ROUND(F28*(1+G$3),-2)</f>
        <v>5222800</v>
      </c>
      <c r="H28" s="116">
        <f t="shared" ca="1" si="27"/>
        <v>5353400</v>
      </c>
      <c r="I28" s="116">
        <f t="shared" ca="1" si="27"/>
        <v>5487200</v>
      </c>
      <c r="J28" s="116">
        <f t="shared" ca="1" si="27"/>
        <v>5624400</v>
      </c>
      <c r="K28" s="116">
        <f t="shared" ca="1" si="27"/>
        <v>5765000</v>
      </c>
      <c r="L28" s="116">
        <f t="shared" ca="1" si="27"/>
        <v>5909100</v>
      </c>
      <c r="M28" s="116">
        <f t="shared" ca="1" si="27"/>
        <v>6056800</v>
      </c>
      <c r="N28" s="116">
        <f t="shared" ca="1" si="27"/>
        <v>6208200</v>
      </c>
      <c r="O28" s="116">
        <f t="shared" ca="1" si="27"/>
        <v>6363400</v>
      </c>
      <c r="P28" s="116">
        <f t="shared" ca="1" si="27"/>
        <v>6522500</v>
      </c>
      <c r="Q28" s="116">
        <f t="shared" ca="1" si="27"/>
        <v>6685600</v>
      </c>
      <c r="R28" s="116">
        <f t="shared" ca="1" si="27"/>
        <v>6852700</v>
      </c>
      <c r="S28" s="116">
        <f t="shared" ca="1" si="27"/>
        <v>7024000</v>
      </c>
      <c r="T28" s="116">
        <f t="shared" ca="1" si="27"/>
        <v>7199600</v>
      </c>
      <c r="U28" s="116">
        <f t="shared" ca="1" si="27"/>
        <v>7379600</v>
      </c>
      <c r="V28" s="116">
        <f t="shared" ca="1" si="27"/>
        <v>7564100</v>
      </c>
      <c r="W28" s="116">
        <f t="shared" ca="1" si="27"/>
        <v>7753200</v>
      </c>
      <c r="X28" s="116">
        <f t="shared" ca="1" si="27"/>
        <v>7947000</v>
      </c>
      <c r="Y28" s="115">
        <f t="shared" ca="1" si="27"/>
        <v>8145700</v>
      </c>
      <c r="Z28" s="117">
        <f t="shared" ca="1" si="27"/>
        <v>8349300</v>
      </c>
      <c r="AA28" s="116">
        <f t="shared" ca="1" si="27"/>
        <v>8558000</v>
      </c>
      <c r="AB28" s="116">
        <f t="shared" ca="1" si="27"/>
        <v>8772000</v>
      </c>
      <c r="AC28" s="116">
        <f t="shared" ca="1" si="27"/>
        <v>8991300</v>
      </c>
      <c r="AD28" s="116">
        <f t="shared" ca="1" si="27"/>
        <v>9216100</v>
      </c>
      <c r="AE28" s="116">
        <f t="shared" ca="1" si="27"/>
        <v>9446500</v>
      </c>
      <c r="AF28" s="116">
        <f t="shared" ca="1" si="27"/>
        <v>9682700</v>
      </c>
      <c r="AG28" s="116">
        <f t="shared" ca="1" si="27"/>
        <v>9924800</v>
      </c>
      <c r="AH28" s="116">
        <f t="shared" ca="1" si="27"/>
        <v>10172900</v>
      </c>
      <c r="AI28" s="116">
        <f t="shared" ca="1" si="27"/>
        <v>10427200</v>
      </c>
      <c r="AJ28" s="116">
        <f t="shared" ca="1" si="27"/>
        <v>10687900</v>
      </c>
      <c r="AK28" s="116">
        <f t="shared" ca="1" si="27"/>
        <v>10955100</v>
      </c>
      <c r="AL28" s="116">
        <f t="shared" ca="1" si="27"/>
        <v>11229000</v>
      </c>
      <c r="AM28" s="116">
        <f t="shared" ca="1" si="27"/>
        <v>11509700</v>
      </c>
      <c r="AN28" s="116">
        <f t="shared" ca="1" si="27"/>
        <v>11797400</v>
      </c>
      <c r="AO28" s="116">
        <f t="shared" ca="1" si="27"/>
        <v>12092300</v>
      </c>
      <c r="AP28" s="116">
        <f t="shared" ca="1" si="27"/>
        <v>12394600</v>
      </c>
      <c r="AQ28" s="116">
        <f t="shared" ca="1" si="27"/>
        <v>12704500</v>
      </c>
      <c r="AR28" s="116">
        <f t="shared" ca="1" si="27"/>
        <v>13022100</v>
      </c>
      <c r="AS28" s="116">
        <f t="shared" ca="1" si="27"/>
        <v>13347700</v>
      </c>
      <c r="AT28" s="116">
        <f t="shared" ca="1" si="27"/>
        <v>13681400</v>
      </c>
      <c r="AW28" s="113">
        <v>31</v>
      </c>
      <c r="AX28" s="1038">
        <v>4549400</v>
      </c>
    </row>
    <row r="29" spans="1:50" ht="9" customHeight="1">
      <c r="A29" s="113">
        <v>32</v>
      </c>
      <c r="B29" s="641">
        <v>4942200</v>
      </c>
      <c r="C29" s="112" t="s">
        <v>483</v>
      </c>
      <c r="D29" s="113">
        <v>32</v>
      </c>
      <c r="E29" s="116">
        <f t="shared" si="7"/>
        <v>5115200</v>
      </c>
      <c r="F29" s="116">
        <f t="shared" ca="1" si="3"/>
        <v>5243100</v>
      </c>
      <c r="G29" s="116">
        <f t="shared" ref="G29:AT29" ca="1" si="28">ROUND(F29*(1+G$3),-2)</f>
        <v>5374200</v>
      </c>
      <c r="H29" s="116">
        <f t="shared" ca="1" si="28"/>
        <v>5508600</v>
      </c>
      <c r="I29" s="116">
        <f t="shared" ca="1" si="28"/>
        <v>5646300</v>
      </c>
      <c r="J29" s="116">
        <f t="shared" ca="1" si="28"/>
        <v>5787500</v>
      </c>
      <c r="K29" s="116">
        <f t="shared" ca="1" si="28"/>
        <v>5932200</v>
      </c>
      <c r="L29" s="116">
        <f t="shared" ca="1" si="28"/>
        <v>6080500</v>
      </c>
      <c r="M29" s="116">
        <f t="shared" ca="1" si="28"/>
        <v>6232500</v>
      </c>
      <c r="N29" s="116">
        <f t="shared" ca="1" si="28"/>
        <v>6388300</v>
      </c>
      <c r="O29" s="116">
        <f t="shared" ca="1" si="28"/>
        <v>6548000</v>
      </c>
      <c r="P29" s="116">
        <f t="shared" ca="1" si="28"/>
        <v>6711700</v>
      </c>
      <c r="Q29" s="116">
        <f t="shared" ca="1" si="28"/>
        <v>6879500</v>
      </c>
      <c r="R29" s="116">
        <f t="shared" ca="1" si="28"/>
        <v>7051500</v>
      </c>
      <c r="S29" s="116">
        <f t="shared" ca="1" si="28"/>
        <v>7227800</v>
      </c>
      <c r="T29" s="116">
        <f t="shared" ca="1" si="28"/>
        <v>7408500</v>
      </c>
      <c r="U29" s="116">
        <f t="shared" ca="1" si="28"/>
        <v>7593700</v>
      </c>
      <c r="V29" s="116">
        <f t="shared" ca="1" si="28"/>
        <v>7783500</v>
      </c>
      <c r="W29" s="116">
        <f t="shared" ca="1" si="28"/>
        <v>7978100</v>
      </c>
      <c r="X29" s="116">
        <f t="shared" ca="1" si="28"/>
        <v>8177600</v>
      </c>
      <c r="Y29" s="116">
        <f t="shared" ca="1" si="28"/>
        <v>8382000</v>
      </c>
      <c r="Z29" s="115">
        <f t="shared" ca="1" si="28"/>
        <v>8591600</v>
      </c>
      <c r="AA29" s="117">
        <f t="shared" ca="1" si="28"/>
        <v>8806400</v>
      </c>
      <c r="AB29" s="116">
        <f t="shared" ca="1" si="28"/>
        <v>9026600</v>
      </c>
      <c r="AC29" s="116">
        <f t="shared" ca="1" si="28"/>
        <v>9252300</v>
      </c>
      <c r="AD29" s="116">
        <f t="shared" ca="1" si="28"/>
        <v>9483600</v>
      </c>
      <c r="AE29" s="116">
        <f t="shared" ca="1" si="28"/>
        <v>9720700</v>
      </c>
      <c r="AF29" s="116">
        <f t="shared" ca="1" si="28"/>
        <v>9963700</v>
      </c>
      <c r="AG29" s="116">
        <f t="shared" ca="1" si="28"/>
        <v>10212800</v>
      </c>
      <c r="AH29" s="116">
        <f t="shared" ca="1" si="28"/>
        <v>10468100</v>
      </c>
      <c r="AI29" s="116">
        <f t="shared" ca="1" si="28"/>
        <v>10729800</v>
      </c>
      <c r="AJ29" s="116">
        <f t="shared" ca="1" si="28"/>
        <v>10998000</v>
      </c>
      <c r="AK29" s="116">
        <f t="shared" ca="1" si="28"/>
        <v>11273000</v>
      </c>
      <c r="AL29" s="116">
        <f t="shared" ca="1" si="28"/>
        <v>11554800</v>
      </c>
      <c r="AM29" s="116">
        <f t="shared" ca="1" si="28"/>
        <v>11843700</v>
      </c>
      <c r="AN29" s="116">
        <f t="shared" ca="1" si="28"/>
        <v>12139800</v>
      </c>
      <c r="AO29" s="116">
        <f t="shared" ca="1" si="28"/>
        <v>12443300</v>
      </c>
      <c r="AP29" s="116">
        <f t="shared" ca="1" si="28"/>
        <v>12754400</v>
      </c>
      <c r="AQ29" s="116">
        <f t="shared" ca="1" si="28"/>
        <v>13073300</v>
      </c>
      <c r="AR29" s="116">
        <f t="shared" ca="1" si="28"/>
        <v>13400100</v>
      </c>
      <c r="AS29" s="116">
        <f t="shared" ca="1" si="28"/>
        <v>13735100</v>
      </c>
      <c r="AT29" s="116">
        <f t="shared" ca="1" si="28"/>
        <v>14078500</v>
      </c>
      <c r="AW29" s="113">
        <v>32</v>
      </c>
      <c r="AX29" s="1038">
        <v>4681300</v>
      </c>
    </row>
    <row r="30" spans="1:50" ht="9" customHeight="1">
      <c r="A30" s="113">
        <v>33</v>
      </c>
      <c r="B30" s="641">
        <v>5083700</v>
      </c>
      <c r="C30" s="112" t="s">
        <v>482</v>
      </c>
      <c r="D30" s="113">
        <v>33</v>
      </c>
      <c r="E30" s="116">
        <f t="shared" si="7"/>
        <v>5261600</v>
      </c>
      <c r="F30" s="116">
        <f t="shared" ca="1" si="3"/>
        <v>5393100</v>
      </c>
      <c r="G30" s="116">
        <f t="shared" ref="G30:AT30" ca="1" si="29">ROUND(F30*(1+G$3),-2)</f>
        <v>5527900</v>
      </c>
      <c r="H30" s="116">
        <f t="shared" ca="1" si="29"/>
        <v>5666100</v>
      </c>
      <c r="I30" s="116">
        <f t="shared" ca="1" si="29"/>
        <v>5807800</v>
      </c>
      <c r="J30" s="116">
        <f t="shared" ca="1" si="29"/>
        <v>5953000</v>
      </c>
      <c r="K30" s="116">
        <f t="shared" ca="1" si="29"/>
        <v>6101800</v>
      </c>
      <c r="L30" s="116">
        <f t="shared" ca="1" si="29"/>
        <v>6254300</v>
      </c>
      <c r="M30" s="116">
        <f t="shared" ca="1" si="29"/>
        <v>6410700</v>
      </c>
      <c r="N30" s="116">
        <f t="shared" ca="1" si="29"/>
        <v>6571000</v>
      </c>
      <c r="O30" s="116">
        <f t="shared" ca="1" si="29"/>
        <v>6735300</v>
      </c>
      <c r="P30" s="116">
        <f t="shared" ca="1" si="29"/>
        <v>6903700</v>
      </c>
      <c r="Q30" s="116">
        <f t="shared" ca="1" si="29"/>
        <v>7076300</v>
      </c>
      <c r="R30" s="116">
        <f t="shared" ca="1" si="29"/>
        <v>7253200</v>
      </c>
      <c r="S30" s="116">
        <f t="shared" ca="1" si="29"/>
        <v>7434500</v>
      </c>
      <c r="T30" s="116">
        <f t="shared" ca="1" si="29"/>
        <v>7620400</v>
      </c>
      <c r="U30" s="116">
        <f t="shared" ca="1" si="29"/>
        <v>7810900</v>
      </c>
      <c r="V30" s="116">
        <f t="shared" ca="1" si="29"/>
        <v>8006200</v>
      </c>
      <c r="W30" s="116">
        <f t="shared" ca="1" si="29"/>
        <v>8206400</v>
      </c>
      <c r="X30" s="116">
        <f t="shared" ca="1" si="29"/>
        <v>8411600</v>
      </c>
      <c r="Y30" s="116">
        <f t="shared" ca="1" si="29"/>
        <v>8621900</v>
      </c>
      <c r="Z30" s="116">
        <f t="shared" ca="1" si="29"/>
        <v>8837400</v>
      </c>
      <c r="AA30" s="115">
        <f t="shared" ca="1" si="29"/>
        <v>9058300</v>
      </c>
      <c r="AB30" s="117">
        <f t="shared" ca="1" si="29"/>
        <v>9284800</v>
      </c>
      <c r="AC30" s="116">
        <f t="shared" ca="1" si="29"/>
        <v>9516900</v>
      </c>
      <c r="AD30" s="116">
        <f t="shared" ca="1" si="29"/>
        <v>9754800</v>
      </c>
      <c r="AE30" s="116">
        <f t="shared" ca="1" si="29"/>
        <v>9998700</v>
      </c>
      <c r="AF30" s="116">
        <f t="shared" ca="1" si="29"/>
        <v>10248700</v>
      </c>
      <c r="AG30" s="116">
        <f t="shared" ca="1" si="29"/>
        <v>10504900</v>
      </c>
      <c r="AH30" s="116">
        <f t="shared" ca="1" si="29"/>
        <v>10767500</v>
      </c>
      <c r="AI30" s="116">
        <f t="shared" ca="1" si="29"/>
        <v>11036700</v>
      </c>
      <c r="AJ30" s="116">
        <f t="shared" ca="1" si="29"/>
        <v>11312600</v>
      </c>
      <c r="AK30" s="116">
        <f t="shared" ca="1" si="29"/>
        <v>11595400</v>
      </c>
      <c r="AL30" s="116">
        <f t="shared" ca="1" si="29"/>
        <v>11885300</v>
      </c>
      <c r="AM30" s="116">
        <f t="shared" ca="1" si="29"/>
        <v>12182400</v>
      </c>
      <c r="AN30" s="116">
        <f t="shared" ca="1" si="29"/>
        <v>12487000</v>
      </c>
      <c r="AO30" s="116">
        <f t="shared" ca="1" si="29"/>
        <v>12799200</v>
      </c>
      <c r="AP30" s="116">
        <f t="shared" ca="1" si="29"/>
        <v>13119200</v>
      </c>
      <c r="AQ30" s="116">
        <f t="shared" ca="1" si="29"/>
        <v>13447200</v>
      </c>
      <c r="AR30" s="116">
        <f t="shared" ca="1" si="29"/>
        <v>13783400</v>
      </c>
      <c r="AS30" s="116">
        <f t="shared" ca="1" si="29"/>
        <v>14128000</v>
      </c>
      <c r="AT30" s="116">
        <f t="shared" ca="1" si="29"/>
        <v>14481200</v>
      </c>
      <c r="AW30" s="113">
        <v>33</v>
      </c>
      <c r="AX30" s="1038">
        <v>4815200</v>
      </c>
    </row>
    <row r="31" spans="1:50" ht="9" customHeight="1">
      <c r="A31" s="113">
        <v>34</v>
      </c>
      <c r="B31" s="641">
        <v>5224600</v>
      </c>
      <c r="C31" s="112" t="s">
        <v>477</v>
      </c>
      <c r="D31" s="113">
        <v>34</v>
      </c>
      <c r="E31" s="116">
        <f t="shared" si="7"/>
        <v>5407500</v>
      </c>
      <c r="F31" s="116">
        <f t="shared" ca="1" si="3"/>
        <v>5542700</v>
      </c>
      <c r="G31" s="116">
        <f t="shared" ref="G31:AT31" ca="1" si="30">ROUND(F31*(1+G$3),-2)</f>
        <v>5681300</v>
      </c>
      <c r="H31" s="116">
        <f t="shared" ca="1" si="30"/>
        <v>5823300</v>
      </c>
      <c r="I31" s="116">
        <f t="shared" ca="1" si="30"/>
        <v>5968900</v>
      </c>
      <c r="J31" s="116">
        <f t="shared" ca="1" si="30"/>
        <v>6118100</v>
      </c>
      <c r="K31" s="116">
        <f t="shared" ca="1" si="30"/>
        <v>6271100</v>
      </c>
      <c r="L31" s="116">
        <f t="shared" ca="1" si="30"/>
        <v>6427900</v>
      </c>
      <c r="M31" s="116">
        <f t="shared" ca="1" si="30"/>
        <v>6588600</v>
      </c>
      <c r="N31" s="116">
        <f t="shared" ca="1" si="30"/>
        <v>6753300</v>
      </c>
      <c r="O31" s="116">
        <f t="shared" ca="1" si="30"/>
        <v>6922100</v>
      </c>
      <c r="P31" s="116">
        <f t="shared" ca="1" si="30"/>
        <v>7095200</v>
      </c>
      <c r="Q31" s="116">
        <f t="shared" ca="1" si="30"/>
        <v>7272600</v>
      </c>
      <c r="R31" s="116">
        <f t="shared" ca="1" si="30"/>
        <v>7454400</v>
      </c>
      <c r="S31" s="116">
        <f t="shared" ca="1" si="30"/>
        <v>7640800</v>
      </c>
      <c r="T31" s="116">
        <f t="shared" ca="1" si="30"/>
        <v>7831800</v>
      </c>
      <c r="U31" s="116">
        <f t="shared" ca="1" si="30"/>
        <v>8027600</v>
      </c>
      <c r="V31" s="116">
        <f t="shared" ca="1" si="30"/>
        <v>8228300</v>
      </c>
      <c r="W31" s="116">
        <f t="shared" ca="1" si="30"/>
        <v>8434000</v>
      </c>
      <c r="X31" s="116">
        <f t="shared" ca="1" si="30"/>
        <v>8644900</v>
      </c>
      <c r="Y31" s="116">
        <f t="shared" ca="1" si="30"/>
        <v>8861000</v>
      </c>
      <c r="Z31" s="116">
        <f t="shared" ca="1" si="30"/>
        <v>9082500</v>
      </c>
      <c r="AA31" s="116">
        <f t="shared" ca="1" si="30"/>
        <v>9309600</v>
      </c>
      <c r="AB31" s="115">
        <f t="shared" ca="1" si="30"/>
        <v>9542300</v>
      </c>
      <c r="AC31" s="117">
        <f t="shared" ca="1" si="30"/>
        <v>9780900</v>
      </c>
      <c r="AD31" s="116">
        <f t="shared" ca="1" si="30"/>
        <v>10025400</v>
      </c>
      <c r="AE31" s="116">
        <f t="shared" ca="1" si="30"/>
        <v>10276000</v>
      </c>
      <c r="AF31" s="116">
        <f t="shared" ca="1" si="30"/>
        <v>10532900</v>
      </c>
      <c r="AG31" s="116">
        <f t="shared" ca="1" si="30"/>
        <v>10796200</v>
      </c>
      <c r="AH31" s="116">
        <f t="shared" ca="1" si="30"/>
        <v>11066100</v>
      </c>
      <c r="AI31" s="116">
        <f t="shared" ca="1" si="30"/>
        <v>11342800</v>
      </c>
      <c r="AJ31" s="116">
        <f t="shared" ca="1" si="30"/>
        <v>11626400</v>
      </c>
      <c r="AK31" s="116">
        <f t="shared" ca="1" si="30"/>
        <v>11917100</v>
      </c>
      <c r="AL31" s="116">
        <f t="shared" ca="1" si="30"/>
        <v>12215000</v>
      </c>
      <c r="AM31" s="116">
        <f t="shared" ca="1" si="30"/>
        <v>12520400</v>
      </c>
      <c r="AN31" s="116">
        <f t="shared" ca="1" si="30"/>
        <v>12833400</v>
      </c>
      <c r="AO31" s="116">
        <f t="shared" ca="1" si="30"/>
        <v>13154200</v>
      </c>
      <c r="AP31" s="116">
        <f t="shared" ca="1" si="30"/>
        <v>13483100</v>
      </c>
      <c r="AQ31" s="116">
        <f t="shared" ca="1" si="30"/>
        <v>13820200</v>
      </c>
      <c r="AR31" s="116">
        <f t="shared" ca="1" si="30"/>
        <v>14165700</v>
      </c>
      <c r="AS31" s="116">
        <f t="shared" ca="1" si="30"/>
        <v>14519800</v>
      </c>
      <c r="AT31" s="116">
        <f t="shared" ca="1" si="30"/>
        <v>14882800</v>
      </c>
      <c r="AW31" s="113">
        <v>34</v>
      </c>
      <c r="AX31" s="1038">
        <v>4948700</v>
      </c>
    </row>
    <row r="32" spans="1:50" ht="9" customHeight="1">
      <c r="A32" s="113">
        <v>35</v>
      </c>
      <c r="B32" s="641">
        <v>5365800</v>
      </c>
      <c r="C32" s="112" t="s">
        <v>463</v>
      </c>
      <c r="D32" s="113">
        <v>35</v>
      </c>
      <c r="E32" s="116">
        <f t="shared" si="7"/>
        <v>5553600</v>
      </c>
      <c r="F32" s="116">
        <f t="shared" ca="1" si="3"/>
        <v>5692400</v>
      </c>
      <c r="G32" s="116">
        <f t="shared" ref="G32:AT32" ca="1" si="31">ROUND(F32*(1+G$3),-2)</f>
        <v>5834700</v>
      </c>
      <c r="H32" s="116">
        <f t="shared" ca="1" si="31"/>
        <v>5980600</v>
      </c>
      <c r="I32" s="116">
        <f t="shared" ca="1" si="31"/>
        <v>6130100</v>
      </c>
      <c r="J32" s="116">
        <f t="shared" ca="1" si="31"/>
        <v>6283400</v>
      </c>
      <c r="K32" s="116">
        <f t="shared" ca="1" si="31"/>
        <v>6440500</v>
      </c>
      <c r="L32" s="116">
        <f t="shared" ca="1" si="31"/>
        <v>6601500</v>
      </c>
      <c r="M32" s="116">
        <f t="shared" ca="1" si="31"/>
        <v>6766500</v>
      </c>
      <c r="N32" s="116">
        <f t="shared" ca="1" si="31"/>
        <v>6935700</v>
      </c>
      <c r="O32" s="116">
        <f t="shared" ca="1" si="31"/>
        <v>7109100</v>
      </c>
      <c r="P32" s="116">
        <f t="shared" ca="1" si="31"/>
        <v>7286800</v>
      </c>
      <c r="Q32" s="116">
        <f t="shared" ca="1" si="31"/>
        <v>7469000</v>
      </c>
      <c r="R32" s="116">
        <f t="shared" ca="1" si="31"/>
        <v>7655700</v>
      </c>
      <c r="S32" s="116">
        <f t="shared" ca="1" si="31"/>
        <v>7847100</v>
      </c>
      <c r="T32" s="116">
        <f t="shared" ca="1" si="31"/>
        <v>8043300</v>
      </c>
      <c r="U32" s="116">
        <f t="shared" ca="1" si="31"/>
        <v>8244400</v>
      </c>
      <c r="V32" s="116">
        <f t="shared" ca="1" si="31"/>
        <v>8450500</v>
      </c>
      <c r="W32" s="116">
        <f t="shared" ca="1" si="31"/>
        <v>8661800</v>
      </c>
      <c r="X32" s="116">
        <f t="shared" ca="1" si="31"/>
        <v>8878300</v>
      </c>
      <c r="Y32" s="116">
        <f t="shared" ca="1" si="31"/>
        <v>9100300</v>
      </c>
      <c r="Z32" s="116">
        <f t="shared" ca="1" si="31"/>
        <v>9327800</v>
      </c>
      <c r="AA32" s="116">
        <f t="shared" ca="1" si="31"/>
        <v>9561000</v>
      </c>
      <c r="AB32" s="116">
        <f t="shared" ca="1" si="31"/>
        <v>9800000</v>
      </c>
      <c r="AC32" s="115">
        <f t="shared" ca="1" si="31"/>
        <v>10045000</v>
      </c>
      <c r="AD32" s="117">
        <f t="shared" ca="1" si="31"/>
        <v>10296100</v>
      </c>
      <c r="AE32" s="116">
        <f t="shared" ca="1" si="31"/>
        <v>10553500</v>
      </c>
      <c r="AF32" s="116">
        <f t="shared" ca="1" si="31"/>
        <v>10817300</v>
      </c>
      <c r="AG32" s="116">
        <f t="shared" ca="1" si="31"/>
        <v>11087700</v>
      </c>
      <c r="AH32" s="116">
        <f t="shared" ca="1" si="31"/>
        <v>11364900</v>
      </c>
      <c r="AI32" s="116">
        <f t="shared" ca="1" si="31"/>
        <v>11649000</v>
      </c>
      <c r="AJ32" s="116">
        <f t="shared" ca="1" si="31"/>
        <v>11940200</v>
      </c>
      <c r="AK32" s="116">
        <f t="shared" ca="1" si="31"/>
        <v>12238700</v>
      </c>
      <c r="AL32" s="116">
        <f t="shared" ca="1" si="31"/>
        <v>12544700</v>
      </c>
      <c r="AM32" s="116">
        <f t="shared" ca="1" si="31"/>
        <v>12858300</v>
      </c>
      <c r="AN32" s="116">
        <f t="shared" ca="1" si="31"/>
        <v>13179800</v>
      </c>
      <c r="AO32" s="116">
        <f t="shared" ca="1" si="31"/>
        <v>13509300</v>
      </c>
      <c r="AP32" s="116">
        <f t="shared" ca="1" si="31"/>
        <v>13847000</v>
      </c>
      <c r="AQ32" s="116">
        <f t="shared" ca="1" si="31"/>
        <v>14193200</v>
      </c>
      <c r="AR32" s="116">
        <f t="shared" ca="1" si="31"/>
        <v>14548000</v>
      </c>
      <c r="AS32" s="116">
        <f t="shared" ca="1" si="31"/>
        <v>14911700</v>
      </c>
      <c r="AT32" s="116">
        <f t="shared" ca="1" si="31"/>
        <v>15284500</v>
      </c>
      <c r="AV32" s="109" t="s">
        <v>306</v>
      </c>
      <c r="AW32" s="113">
        <v>35</v>
      </c>
      <c r="AX32" s="1038">
        <v>5082400</v>
      </c>
    </row>
    <row r="33" spans="1:50" ht="9" customHeight="1">
      <c r="A33" s="113">
        <v>36</v>
      </c>
      <c r="B33" s="641">
        <v>5506400</v>
      </c>
      <c r="C33" s="112" t="s">
        <v>457</v>
      </c>
      <c r="D33" s="113">
        <v>36</v>
      </c>
      <c r="E33" s="116">
        <f t="shared" si="7"/>
        <v>5699100</v>
      </c>
      <c r="F33" s="116">
        <f t="shared" ca="1" si="3"/>
        <v>5841600</v>
      </c>
      <c r="G33" s="116">
        <f t="shared" ref="G33:AT33" ca="1" si="32">ROUND(F33*(1+G$3),-2)</f>
        <v>5987600</v>
      </c>
      <c r="H33" s="116">
        <f t="shared" ca="1" si="32"/>
        <v>6137300</v>
      </c>
      <c r="I33" s="116">
        <f t="shared" ca="1" si="32"/>
        <v>6290700</v>
      </c>
      <c r="J33" s="116">
        <f t="shared" ca="1" si="32"/>
        <v>6448000</v>
      </c>
      <c r="K33" s="116">
        <f t="shared" ca="1" si="32"/>
        <v>6609200</v>
      </c>
      <c r="L33" s="116">
        <f t="shared" ca="1" si="32"/>
        <v>6774400</v>
      </c>
      <c r="M33" s="116">
        <f t="shared" ca="1" si="32"/>
        <v>6943800</v>
      </c>
      <c r="N33" s="116">
        <f t="shared" ca="1" si="32"/>
        <v>7117400</v>
      </c>
      <c r="O33" s="116">
        <f t="shared" ca="1" si="32"/>
        <v>7295300</v>
      </c>
      <c r="P33" s="116">
        <f t="shared" ca="1" si="32"/>
        <v>7477700</v>
      </c>
      <c r="Q33" s="116">
        <f t="shared" ca="1" si="32"/>
        <v>7664600</v>
      </c>
      <c r="R33" s="116">
        <f t="shared" ca="1" si="32"/>
        <v>7856200</v>
      </c>
      <c r="S33" s="116">
        <f t="shared" ca="1" si="32"/>
        <v>8052600</v>
      </c>
      <c r="T33" s="116">
        <f t="shared" ca="1" si="32"/>
        <v>8253900</v>
      </c>
      <c r="U33" s="116">
        <f t="shared" ca="1" si="32"/>
        <v>8460200</v>
      </c>
      <c r="V33" s="116">
        <f t="shared" ca="1" si="32"/>
        <v>8671700</v>
      </c>
      <c r="W33" s="116">
        <f t="shared" ca="1" si="32"/>
        <v>8888500</v>
      </c>
      <c r="X33" s="116">
        <f t="shared" ca="1" si="32"/>
        <v>9110700</v>
      </c>
      <c r="Y33" s="116">
        <f t="shared" ca="1" si="32"/>
        <v>9338500</v>
      </c>
      <c r="Z33" s="116">
        <f t="shared" ca="1" si="32"/>
        <v>9572000</v>
      </c>
      <c r="AA33" s="116">
        <f t="shared" ca="1" si="32"/>
        <v>9811300</v>
      </c>
      <c r="AB33" s="116">
        <f t="shared" ca="1" si="32"/>
        <v>10056600</v>
      </c>
      <c r="AC33" s="116">
        <f t="shared" ca="1" si="32"/>
        <v>10308000</v>
      </c>
      <c r="AD33" s="115">
        <f t="shared" ca="1" si="32"/>
        <v>10565700</v>
      </c>
      <c r="AE33" s="117">
        <f t="shared" ca="1" si="32"/>
        <v>10829800</v>
      </c>
      <c r="AF33" s="116">
        <f t="shared" ca="1" si="32"/>
        <v>11100500</v>
      </c>
      <c r="AG33" s="116">
        <f t="shared" ca="1" si="32"/>
        <v>11378000</v>
      </c>
      <c r="AH33" s="116">
        <f t="shared" ca="1" si="32"/>
        <v>11662500</v>
      </c>
      <c r="AI33" s="116">
        <f t="shared" ca="1" si="32"/>
        <v>11954100</v>
      </c>
      <c r="AJ33" s="116">
        <f t="shared" ca="1" si="32"/>
        <v>12253000</v>
      </c>
      <c r="AK33" s="116">
        <f t="shared" ca="1" si="32"/>
        <v>12559300</v>
      </c>
      <c r="AL33" s="116">
        <f t="shared" ca="1" si="32"/>
        <v>12873300</v>
      </c>
      <c r="AM33" s="116">
        <f t="shared" ca="1" si="32"/>
        <v>13195100</v>
      </c>
      <c r="AN33" s="116">
        <f t="shared" ca="1" si="32"/>
        <v>13525000</v>
      </c>
      <c r="AO33" s="116">
        <f t="shared" ca="1" si="32"/>
        <v>13863100</v>
      </c>
      <c r="AP33" s="116">
        <f t="shared" ca="1" si="32"/>
        <v>14209700</v>
      </c>
      <c r="AQ33" s="116">
        <f t="shared" ca="1" si="32"/>
        <v>14564900</v>
      </c>
      <c r="AR33" s="116">
        <f t="shared" ca="1" si="32"/>
        <v>14929000</v>
      </c>
      <c r="AS33" s="116">
        <f t="shared" ca="1" si="32"/>
        <v>15302200</v>
      </c>
      <c r="AT33" s="116">
        <f t="shared" ca="1" si="32"/>
        <v>15684800</v>
      </c>
      <c r="AW33" s="113">
        <v>36</v>
      </c>
      <c r="AX33" s="1038">
        <v>5215600</v>
      </c>
    </row>
    <row r="34" spans="1:50" ht="9" customHeight="1">
      <c r="A34" s="113">
        <v>37</v>
      </c>
      <c r="B34" s="641">
        <v>5628700</v>
      </c>
      <c r="C34" s="112" t="s">
        <v>445</v>
      </c>
      <c r="D34" s="113">
        <v>37</v>
      </c>
      <c r="E34" s="116">
        <f t="shared" si="7"/>
        <v>5825700</v>
      </c>
      <c r="F34" s="116">
        <f t="shared" ca="1" si="3"/>
        <v>5971300</v>
      </c>
      <c r="G34" s="116">
        <f t="shared" ref="G34:AT34" ca="1" si="33">ROUND(F34*(1+G$3),-2)</f>
        <v>6120600</v>
      </c>
      <c r="H34" s="116">
        <f t="shared" ca="1" si="33"/>
        <v>6273600</v>
      </c>
      <c r="I34" s="116">
        <f t="shared" ca="1" si="33"/>
        <v>6430400</v>
      </c>
      <c r="J34" s="116">
        <f t="shared" ca="1" si="33"/>
        <v>6591200</v>
      </c>
      <c r="K34" s="116">
        <f t="shared" ca="1" si="33"/>
        <v>6756000</v>
      </c>
      <c r="L34" s="116">
        <f t="shared" ca="1" si="33"/>
        <v>6924900</v>
      </c>
      <c r="M34" s="116">
        <f t="shared" ca="1" si="33"/>
        <v>7098000</v>
      </c>
      <c r="N34" s="116">
        <f t="shared" ca="1" si="33"/>
        <v>7275500</v>
      </c>
      <c r="O34" s="116">
        <f t="shared" ca="1" si="33"/>
        <v>7457400</v>
      </c>
      <c r="P34" s="116">
        <f t="shared" ca="1" si="33"/>
        <v>7643800</v>
      </c>
      <c r="Q34" s="116">
        <f t="shared" ca="1" si="33"/>
        <v>7834900</v>
      </c>
      <c r="R34" s="116">
        <f t="shared" ca="1" si="33"/>
        <v>8030800</v>
      </c>
      <c r="S34" s="116">
        <f t="shared" ca="1" si="33"/>
        <v>8231600</v>
      </c>
      <c r="T34" s="116">
        <f t="shared" ca="1" si="33"/>
        <v>8437400</v>
      </c>
      <c r="U34" s="116">
        <f t="shared" ca="1" si="33"/>
        <v>8648300</v>
      </c>
      <c r="V34" s="116">
        <f t="shared" ca="1" si="33"/>
        <v>8864500</v>
      </c>
      <c r="W34" s="116">
        <f t="shared" ca="1" si="33"/>
        <v>9086100</v>
      </c>
      <c r="X34" s="116">
        <f t="shared" ca="1" si="33"/>
        <v>9313300</v>
      </c>
      <c r="Y34" s="116">
        <f t="shared" ca="1" si="33"/>
        <v>9546100</v>
      </c>
      <c r="Z34" s="116">
        <f t="shared" ca="1" si="33"/>
        <v>9784800</v>
      </c>
      <c r="AA34" s="116">
        <f t="shared" ca="1" si="33"/>
        <v>10029400</v>
      </c>
      <c r="AB34" s="116">
        <f t="shared" ca="1" si="33"/>
        <v>10280100</v>
      </c>
      <c r="AC34" s="116">
        <f t="shared" ca="1" si="33"/>
        <v>10537100</v>
      </c>
      <c r="AD34" s="116">
        <f t="shared" ca="1" si="33"/>
        <v>10800500</v>
      </c>
      <c r="AE34" s="115">
        <f t="shared" ca="1" si="33"/>
        <v>11070500</v>
      </c>
      <c r="AF34" s="117">
        <f t="shared" ca="1" si="33"/>
        <v>11347300</v>
      </c>
      <c r="AG34" s="116">
        <f t="shared" ca="1" si="33"/>
        <v>11631000</v>
      </c>
      <c r="AH34" s="116">
        <f t="shared" ca="1" si="33"/>
        <v>11921800</v>
      </c>
      <c r="AI34" s="116">
        <f t="shared" ca="1" si="33"/>
        <v>12219800</v>
      </c>
      <c r="AJ34" s="116">
        <f t="shared" ca="1" si="33"/>
        <v>12525300</v>
      </c>
      <c r="AK34" s="116">
        <f t="shared" ca="1" si="33"/>
        <v>12838400</v>
      </c>
      <c r="AL34" s="116">
        <f t="shared" ca="1" si="33"/>
        <v>13159400</v>
      </c>
      <c r="AM34" s="116">
        <f t="shared" ca="1" si="33"/>
        <v>13488400</v>
      </c>
      <c r="AN34" s="116">
        <f t="shared" ca="1" si="33"/>
        <v>13825600</v>
      </c>
      <c r="AO34" s="116">
        <f t="shared" ca="1" si="33"/>
        <v>14171200</v>
      </c>
      <c r="AP34" s="116">
        <f t="shared" ca="1" si="33"/>
        <v>14525500</v>
      </c>
      <c r="AQ34" s="116">
        <f t="shared" ca="1" si="33"/>
        <v>14888600</v>
      </c>
      <c r="AR34" s="116">
        <f t="shared" ca="1" si="33"/>
        <v>15260800</v>
      </c>
      <c r="AS34" s="116">
        <f t="shared" ca="1" si="33"/>
        <v>15642300</v>
      </c>
      <c r="AT34" s="116">
        <f t="shared" ca="1" si="33"/>
        <v>16033400</v>
      </c>
      <c r="AW34" s="113">
        <v>37</v>
      </c>
      <c r="AX34" s="1038">
        <v>5331500</v>
      </c>
    </row>
    <row r="35" spans="1:50" ht="9" customHeight="1">
      <c r="A35" s="113">
        <v>38</v>
      </c>
      <c r="B35" s="641">
        <v>5751200</v>
      </c>
      <c r="C35" s="112" t="s">
        <v>436</v>
      </c>
      <c r="D35" s="113">
        <v>38</v>
      </c>
      <c r="E35" s="116">
        <f t="shared" si="7"/>
        <v>5952500</v>
      </c>
      <c r="F35" s="116">
        <f t="shared" ca="1" si="3"/>
        <v>6101300</v>
      </c>
      <c r="G35" s="116">
        <f t="shared" ref="G35:AT35" ca="1" si="34">ROUND(F35*(1+G$3),-2)</f>
        <v>6253800</v>
      </c>
      <c r="H35" s="116">
        <f t="shared" ca="1" si="34"/>
        <v>6410100</v>
      </c>
      <c r="I35" s="116">
        <f t="shared" ca="1" si="34"/>
        <v>6570400</v>
      </c>
      <c r="J35" s="116">
        <f t="shared" ca="1" si="34"/>
        <v>6734700</v>
      </c>
      <c r="K35" s="116">
        <f t="shared" ca="1" si="34"/>
        <v>6903100</v>
      </c>
      <c r="L35" s="116">
        <f t="shared" ca="1" si="34"/>
        <v>7075700</v>
      </c>
      <c r="M35" s="116">
        <f t="shared" ca="1" si="34"/>
        <v>7252600</v>
      </c>
      <c r="N35" s="116">
        <f t="shared" ca="1" si="34"/>
        <v>7433900</v>
      </c>
      <c r="O35" s="116">
        <f t="shared" ca="1" si="34"/>
        <v>7619700</v>
      </c>
      <c r="P35" s="116">
        <f t="shared" ca="1" si="34"/>
        <v>7810200</v>
      </c>
      <c r="Q35" s="116">
        <f t="shared" ca="1" si="34"/>
        <v>8005500</v>
      </c>
      <c r="R35" s="116">
        <f t="shared" ca="1" si="34"/>
        <v>8205600</v>
      </c>
      <c r="S35" s="116">
        <f t="shared" ca="1" si="34"/>
        <v>8410700</v>
      </c>
      <c r="T35" s="116">
        <f t="shared" ca="1" si="34"/>
        <v>8621000</v>
      </c>
      <c r="U35" s="116">
        <f t="shared" ca="1" si="34"/>
        <v>8836500</v>
      </c>
      <c r="V35" s="116">
        <f t="shared" ca="1" si="34"/>
        <v>9057400</v>
      </c>
      <c r="W35" s="116">
        <f t="shared" ca="1" si="34"/>
        <v>9283800</v>
      </c>
      <c r="X35" s="116">
        <f t="shared" ca="1" si="34"/>
        <v>9515900</v>
      </c>
      <c r="Y35" s="116">
        <f t="shared" ca="1" si="34"/>
        <v>9753800</v>
      </c>
      <c r="Z35" s="116">
        <f t="shared" ca="1" si="34"/>
        <v>9997600</v>
      </c>
      <c r="AA35" s="116">
        <f t="shared" ca="1" si="34"/>
        <v>10247500</v>
      </c>
      <c r="AB35" s="116">
        <f t="shared" ca="1" si="34"/>
        <v>10503700</v>
      </c>
      <c r="AC35" s="116">
        <f t="shared" ca="1" si="34"/>
        <v>10766300</v>
      </c>
      <c r="AD35" s="116">
        <f t="shared" ca="1" si="34"/>
        <v>11035500</v>
      </c>
      <c r="AE35" s="116">
        <f t="shared" ca="1" si="34"/>
        <v>11311400</v>
      </c>
      <c r="AF35" s="115">
        <f t="shared" ca="1" si="34"/>
        <v>11594200</v>
      </c>
      <c r="AG35" s="117">
        <f t="shared" ca="1" si="34"/>
        <v>11884100</v>
      </c>
      <c r="AH35" s="116">
        <f t="shared" ca="1" si="34"/>
        <v>12181200</v>
      </c>
      <c r="AI35" s="116">
        <f t="shared" ca="1" si="34"/>
        <v>12485700</v>
      </c>
      <c r="AJ35" s="116">
        <f t="shared" ca="1" si="34"/>
        <v>12797800</v>
      </c>
      <c r="AK35" s="116">
        <f t="shared" ca="1" si="34"/>
        <v>13117700</v>
      </c>
      <c r="AL35" s="116">
        <f t="shared" ca="1" si="34"/>
        <v>13445600</v>
      </c>
      <c r="AM35" s="116">
        <f t="shared" ca="1" si="34"/>
        <v>13781700</v>
      </c>
      <c r="AN35" s="116">
        <f t="shared" ca="1" si="34"/>
        <v>14126200</v>
      </c>
      <c r="AO35" s="116">
        <f t="shared" ca="1" si="34"/>
        <v>14479400</v>
      </c>
      <c r="AP35" s="116">
        <f t="shared" ca="1" si="34"/>
        <v>14841400</v>
      </c>
      <c r="AQ35" s="116">
        <f t="shared" ca="1" si="34"/>
        <v>15212400</v>
      </c>
      <c r="AR35" s="116">
        <f t="shared" ca="1" si="34"/>
        <v>15592700</v>
      </c>
      <c r="AS35" s="116">
        <f t="shared" ca="1" si="34"/>
        <v>15982500</v>
      </c>
      <c r="AT35" s="116">
        <f t="shared" ca="1" si="34"/>
        <v>16382100</v>
      </c>
      <c r="AW35" s="113">
        <v>38</v>
      </c>
      <c r="AX35" s="1038">
        <v>5447500</v>
      </c>
    </row>
    <row r="36" spans="1:50" ht="9" customHeight="1">
      <c r="A36" s="113">
        <v>39</v>
      </c>
      <c r="B36" s="641">
        <v>5873900</v>
      </c>
      <c r="C36" s="112" t="s">
        <v>481</v>
      </c>
      <c r="D36" s="113">
        <v>39</v>
      </c>
      <c r="E36" s="116">
        <f t="shared" si="7"/>
        <v>6079500</v>
      </c>
      <c r="F36" s="116">
        <f t="shared" ca="1" si="3"/>
        <v>6231500</v>
      </c>
      <c r="G36" s="116">
        <f t="shared" ref="G36:AT36" ca="1" si="35">ROUND(F36*(1+G$3),-2)</f>
        <v>6387300</v>
      </c>
      <c r="H36" s="116">
        <f t="shared" ca="1" si="35"/>
        <v>6547000</v>
      </c>
      <c r="I36" s="116">
        <f t="shared" ca="1" si="35"/>
        <v>6710700</v>
      </c>
      <c r="J36" s="116">
        <f t="shared" ca="1" si="35"/>
        <v>6878500</v>
      </c>
      <c r="K36" s="116">
        <f t="shared" ca="1" si="35"/>
        <v>7050500</v>
      </c>
      <c r="L36" s="116">
        <f t="shared" ca="1" si="35"/>
        <v>7226800</v>
      </c>
      <c r="M36" s="116">
        <f t="shared" ca="1" si="35"/>
        <v>7407500</v>
      </c>
      <c r="N36" s="116">
        <f t="shared" ca="1" si="35"/>
        <v>7592700</v>
      </c>
      <c r="O36" s="116">
        <f t="shared" ca="1" si="35"/>
        <v>7782500</v>
      </c>
      <c r="P36" s="116">
        <f t="shared" ca="1" si="35"/>
        <v>7977100</v>
      </c>
      <c r="Q36" s="116">
        <f t="shared" ca="1" si="35"/>
        <v>8176500</v>
      </c>
      <c r="R36" s="116">
        <f t="shared" ca="1" si="35"/>
        <v>8380900</v>
      </c>
      <c r="S36" s="116">
        <f t="shared" ca="1" si="35"/>
        <v>8590400</v>
      </c>
      <c r="T36" s="116">
        <f t="shared" ca="1" si="35"/>
        <v>8805200</v>
      </c>
      <c r="U36" s="116">
        <f t="shared" ca="1" si="35"/>
        <v>9025300</v>
      </c>
      <c r="V36" s="116">
        <f t="shared" ca="1" si="35"/>
        <v>9250900</v>
      </c>
      <c r="W36" s="116">
        <f t="shared" ca="1" si="35"/>
        <v>9482200</v>
      </c>
      <c r="X36" s="116">
        <f t="shared" ca="1" si="35"/>
        <v>9719300</v>
      </c>
      <c r="Y36" s="116">
        <f t="shared" ca="1" si="35"/>
        <v>9962300</v>
      </c>
      <c r="Z36" s="116">
        <f t="shared" ca="1" si="35"/>
        <v>10211400</v>
      </c>
      <c r="AA36" s="116">
        <f t="shared" ca="1" si="35"/>
        <v>10466700</v>
      </c>
      <c r="AB36" s="116">
        <f t="shared" ca="1" si="35"/>
        <v>10728400</v>
      </c>
      <c r="AC36" s="116">
        <f t="shared" ca="1" si="35"/>
        <v>10996600</v>
      </c>
      <c r="AD36" s="116">
        <f t="shared" ca="1" si="35"/>
        <v>11271500</v>
      </c>
      <c r="AE36" s="116">
        <f t="shared" ca="1" si="35"/>
        <v>11553300</v>
      </c>
      <c r="AF36" s="116">
        <f t="shared" ca="1" si="35"/>
        <v>11842100</v>
      </c>
      <c r="AG36" s="115">
        <f t="shared" ca="1" si="35"/>
        <v>12138200</v>
      </c>
      <c r="AH36" s="117">
        <f t="shared" ca="1" si="35"/>
        <v>12441700</v>
      </c>
      <c r="AI36" s="116">
        <f t="shared" ca="1" si="35"/>
        <v>12752700</v>
      </c>
      <c r="AJ36" s="116">
        <f t="shared" ca="1" si="35"/>
        <v>13071500</v>
      </c>
      <c r="AK36" s="116">
        <f t="shared" ca="1" si="35"/>
        <v>13398300</v>
      </c>
      <c r="AL36" s="116">
        <f t="shared" ca="1" si="35"/>
        <v>13733300</v>
      </c>
      <c r="AM36" s="116">
        <f t="shared" ca="1" si="35"/>
        <v>14076600</v>
      </c>
      <c r="AN36" s="116">
        <f t="shared" ca="1" si="35"/>
        <v>14428500</v>
      </c>
      <c r="AO36" s="116">
        <f t="shared" ca="1" si="35"/>
        <v>14789200</v>
      </c>
      <c r="AP36" s="116">
        <f t="shared" ca="1" si="35"/>
        <v>15158900</v>
      </c>
      <c r="AQ36" s="116">
        <f t="shared" ca="1" si="35"/>
        <v>15537900</v>
      </c>
      <c r="AR36" s="116">
        <f t="shared" ca="1" si="35"/>
        <v>15926300</v>
      </c>
      <c r="AS36" s="116">
        <f t="shared" ca="1" si="35"/>
        <v>16324500</v>
      </c>
      <c r="AT36" s="116">
        <f t="shared" ca="1" si="35"/>
        <v>16732600</v>
      </c>
      <c r="AW36" s="113">
        <v>39</v>
      </c>
      <c r="AX36" s="1038">
        <v>5563700</v>
      </c>
    </row>
    <row r="37" spans="1:50" ht="9" customHeight="1">
      <c r="A37" s="122">
        <v>40</v>
      </c>
      <c r="B37" s="641">
        <v>5995800</v>
      </c>
      <c r="C37" s="121" t="s">
        <v>480</v>
      </c>
      <c r="D37" s="122">
        <v>40</v>
      </c>
      <c r="E37" s="122">
        <f t="shared" si="7"/>
        <v>6205700</v>
      </c>
      <c r="F37" s="122">
        <f t="shared" ca="1" si="3"/>
        <v>6360800</v>
      </c>
      <c r="G37" s="122">
        <f t="shared" ref="G37:AT37" ca="1" si="36">ROUND(F37*(1+G$3),-2)</f>
        <v>6519800</v>
      </c>
      <c r="H37" s="122">
        <f t="shared" ca="1" si="36"/>
        <v>6682800</v>
      </c>
      <c r="I37" s="122">
        <f t="shared" ca="1" si="36"/>
        <v>6849900</v>
      </c>
      <c r="J37" s="122">
        <f t="shared" ca="1" si="36"/>
        <v>7021100</v>
      </c>
      <c r="K37" s="122">
        <f t="shared" ca="1" si="36"/>
        <v>7196600</v>
      </c>
      <c r="L37" s="122">
        <f t="shared" ca="1" si="36"/>
        <v>7376500</v>
      </c>
      <c r="M37" s="122">
        <f t="shared" ca="1" si="36"/>
        <v>7560900</v>
      </c>
      <c r="N37" s="122">
        <f t="shared" ca="1" si="36"/>
        <v>7749900</v>
      </c>
      <c r="O37" s="122">
        <f t="shared" ca="1" si="36"/>
        <v>7943600</v>
      </c>
      <c r="P37" s="122">
        <f t="shared" ca="1" si="36"/>
        <v>8142200</v>
      </c>
      <c r="Q37" s="122">
        <f t="shared" ca="1" si="36"/>
        <v>8345800</v>
      </c>
      <c r="R37" s="122">
        <f t="shared" ca="1" si="36"/>
        <v>8554400</v>
      </c>
      <c r="S37" s="122">
        <f t="shared" ca="1" si="36"/>
        <v>8768300</v>
      </c>
      <c r="T37" s="122">
        <f t="shared" ca="1" si="36"/>
        <v>8987500</v>
      </c>
      <c r="U37" s="122">
        <f t="shared" ca="1" si="36"/>
        <v>9212200</v>
      </c>
      <c r="V37" s="122">
        <f t="shared" ca="1" si="36"/>
        <v>9442500</v>
      </c>
      <c r="W37" s="122">
        <f t="shared" ca="1" si="36"/>
        <v>9678600</v>
      </c>
      <c r="X37" s="122">
        <f t="shared" ca="1" si="36"/>
        <v>9920600</v>
      </c>
      <c r="Y37" s="122">
        <f t="shared" ca="1" si="36"/>
        <v>10168600</v>
      </c>
      <c r="Z37" s="122">
        <f t="shared" ca="1" si="36"/>
        <v>10422800</v>
      </c>
      <c r="AA37" s="122">
        <f t="shared" ca="1" si="36"/>
        <v>10683400</v>
      </c>
      <c r="AB37" s="122">
        <f t="shared" ca="1" si="36"/>
        <v>10950500</v>
      </c>
      <c r="AC37" s="122">
        <f t="shared" ca="1" si="36"/>
        <v>11224300</v>
      </c>
      <c r="AD37" s="122">
        <f t="shared" ca="1" si="36"/>
        <v>11504900</v>
      </c>
      <c r="AE37" s="122">
        <f t="shared" ca="1" si="36"/>
        <v>11792500</v>
      </c>
      <c r="AF37" s="122">
        <f t="shared" ca="1" si="36"/>
        <v>12087300</v>
      </c>
      <c r="AG37" s="122">
        <f t="shared" ca="1" si="36"/>
        <v>12389500</v>
      </c>
      <c r="AH37" s="115">
        <f t="shared" ca="1" si="36"/>
        <v>12699200</v>
      </c>
      <c r="AI37" s="117">
        <f t="shared" ca="1" si="36"/>
        <v>13016700</v>
      </c>
      <c r="AJ37" s="122">
        <f t="shared" ca="1" si="36"/>
        <v>13342100</v>
      </c>
      <c r="AK37" s="122">
        <f t="shared" ca="1" si="36"/>
        <v>13675700</v>
      </c>
      <c r="AL37" s="122">
        <f t="shared" ca="1" si="36"/>
        <v>14017600</v>
      </c>
      <c r="AM37" s="122">
        <f t="shared" ca="1" si="36"/>
        <v>14368000</v>
      </c>
      <c r="AN37" s="122">
        <f t="shared" ca="1" si="36"/>
        <v>14727200</v>
      </c>
      <c r="AO37" s="122">
        <f t="shared" ca="1" si="36"/>
        <v>15095400</v>
      </c>
      <c r="AP37" s="122">
        <f t="shared" ca="1" si="36"/>
        <v>15472800</v>
      </c>
      <c r="AQ37" s="122">
        <f t="shared" ca="1" si="36"/>
        <v>15859600</v>
      </c>
      <c r="AR37" s="122">
        <f t="shared" ca="1" si="36"/>
        <v>16256100</v>
      </c>
      <c r="AS37" s="122">
        <f t="shared" ca="1" si="36"/>
        <v>16662500</v>
      </c>
      <c r="AT37" s="122">
        <f t="shared" ca="1" si="36"/>
        <v>17079100</v>
      </c>
      <c r="AW37" s="122">
        <v>40</v>
      </c>
      <c r="AX37" s="1038">
        <v>5679200</v>
      </c>
    </row>
    <row r="38" spans="1:50" ht="9" customHeight="1">
      <c r="A38" s="592">
        <v>41</v>
      </c>
      <c r="B38" s="958">
        <v>6074100</v>
      </c>
      <c r="C38" s="112" t="s">
        <v>460</v>
      </c>
      <c r="D38" s="113">
        <v>41</v>
      </c>
      <c r="E38" s="957">
        <f>E37+ROUND((B38-B37)*(1+E3),-2)</f>
        <v>6286700</v>
      </c>
      <c r="F38" s="957">
        <f ca="1">F37+ROUND((E38-E37)*(1+F3),-2)</f>
        <v>6443800</v>
      </c>
      <c r="G38" s="957">
        <f t="shared" ref="G38:AT38" ca="1" si="37">G37+ROUND((F38-F37)*(1+G3),-2)</f>
        <v>6604900</v>
      </c>
      <c r="H38" s="957">
        <f t="shared" ca="1" si="37"/>
        <v>6770000</v>
      </c>
      <c r="I38" s="957">
        <f t="shared" ca="1" si="37"/>
        <v>6939300</v>
      </c>
      <c r="J38" s="957">
        <f t="shared" ca="1" si="37"/>
        <v>7112700</v>
      </c>
      <c r="K38" s="957">
        <f t="shared" ca="1" si="37"/>
        <v>7290500</v>
      </c>
      <c r="L38" s="957">
        <f t="shared" ca="1" si="37"/>
        <v>7472700</v>
      </c>
      <c r="M38" s="957">
        <f t="shared" ca="1" si="37"/>
        <v>7659500</v>
      </c>
      <c r="N38" s="957">
        <f t="shared" ca="1" si="37"/>
        <v>7851000</v>
      </c>
      <c r="O38" s="957">
        <f t="shared" ca="1" si="37"/>
        <v>8047200</v>
      </c>
      <c r="P38" s="957">
        <f t="shared" ca="1" si="37"/>
        <v>8248400</v>
      </c>
      <c r="Q38" s="957">
        <f t="shared" ca="1" si="37"/>
        <v>8454700</v>
      </c>
      <c r="R38" s="957">
        <f t="shared" ca="1" si="37"/>
        <v>8666000</v>
      </c>
      <c r="S38" s="957">
        <f t="shared" ca="1" si="37"/>
        <v>8882700</v>
      </c>
      <c r="T38" s="957">
        <f t="shared" ca="1" si="37"/>
        <v>9104800</v>
      </c>
      <c r="U38" s="957">
        <f t="shared" ca="1" si="37"/>
        <v>9332400</v>
      </c>
      <c r="V38" s="957">
        <f t="shared" ca="1" si="37"/>
        <v>9565700</v>
      </c>
      <c r="W38" s="957">
        <f t="shared" ca="1" si="37"/>
        <v>9804900</v>
      </c>
      <c r="X38" s="957">
        <f t="shared" ca="1" si="37"/>
        <v>10050100</v>
      </c>
      <c r="Y38" s="957">
        <f t="shared" ca="1" si="37"/>
        <v>10301300</v>
      </c>
      <c r="Z38" s="957">
        <f t="shared" ca="1" si="37"/>
        <v>10558800</v>
      </c>
      <c r="AA38" s="957">
        <f t="shared" ca="1" si="37"/>
        <v>10822800</v>
      </c>
      <c r="AB38" s="957">
        <f t="shared" ca="1" si="37"/>
        <v>11093400</v>
      </c>
      <c r="AC38" s="957">
        <f t="shared" ca="1" si="37"/>
        <v>11370800</v>
      </c>
      <c r="AD38" s="957">
        <f t="shared" ca="1" si="37"/>
        <v>11655100</v>
      </c>
      <c r="AE38" s="957">
        <f t="shared" ca="1" si="37"/>
        <v>11946500</v>
      </c>
      <c r="AF38" s="957">
        <f t="shared" ca="1" si="37"/>
        <v>12245200</v>
      </c>
      <c r="AG38" s="957">
        <f t="shared" ca="1" si="37"/>
        <v>12551300</v>
      </c>
      <c r="AH38" s="957">
        <f t="shared" ca="1" si="37"/>
        <v>12865000</v>
      </c>
      <c r="AI38" s="957">
        <f t="shared" ca="1" si="37"/>
        <v>13186600</v>
      </c>
      <c r="AJ38" s="957">
        <f t="shared" ca="1" si="37"/>
        <v>13516200</v>
      </c>
      <c r="AK38" s="957">
        <f t="shared" ca="1" si="37"/>
        <v>13854200</v>
      </c>
      <c r="AL38" s="957">
        <f t="shared" ca="1" si="37"/>
        <v>14200600</v>
      </c>
      <c r="AM38" s="957">
        <f t="shared" ca="1" si="37"/>
        <v>14555600</v>
      </c>
      <c r="AN38" s="957">
        <f t="shared" ca="1" si="37"/>
        <v>14919500</v>
      </c>
      <c r="AO38" s="957">
        <f t="shared" ca="1" si="37"/>
        <v>15292500</v>
      </c>
      <c r="AP38" s="957">
        <f t="shared" ca="1" si="37"/>
        <v>15674800</v>
      </c>
      <c r="AQ38" s="957">
        <f t="shared" ca="1" si="37"/>
        <v>16066700</v>
      </c>
      <c r="AR38" s="957">
        <f t="shared" ca="1" si="37"/>
        <v>16468400</v>
      </c>
      <c r="AS38" s="957">
        <f t="shared" ca="1" si="37"/>
        <v>16880100</v>
      </c>
      <c r="AT38" s="957">
        <f t="shared" ca="1" si="37"/>
        <v>17302100</v>
      </c>
      <c r="AW38" s="113">
        <v>41</v>
      </c>
      <c r="AX38" s="1038">
        <v>5753300</v>
      </c>
    </row>
    <row r="39" spans="1:50" ht="9" customHeight="1">
      <c r="A39" s="113">
        <v>42</v>
      </c>
      <c r="B39" s="641">
        <v>6152400</v>
      </c>
      <c r="C39" s="112" t="s">
        <v>485</v>
      </c>
      <c r="D39" s="113">
        <v>42</v>
      </c>
      <c r="E39" s="116">
        <f t="shared" ref="E39:E47" si="38">E38+(E38-E37)</f>
        <v>6367700</v>
      </c>
      <c r="F39" s="116">
        <f t="shared" ref="F39:AT39" ca="1" si="39">F38+(F38-F37)</f>
        <v>6526800</v>
      </c>
      <c r="G39" s="116">
        <f t="shared" ca="1" si="39"/>
        <v>6690000</v>
      </c>
      <c r="H39" s="116">
        <f t="shared" ca="1" si="39"/>
        <v>6857200</v>
      </c>
      <c r="I39" s="116">
        <f t="shared" ca="1" si="39"/>
        <v>7028700</v>
      </c>
      <c r="J39" s="116">
        <f t="shared" ca="1" si="39"/>
        <v>7204300</v>
      </c>
      <c r="K39" s="116">
        <f t="shared" ca="1" si="39"/>
        <v>7384400</v>
      </c>
      <c r="L39" s="116">
        <f t="shared" ca="1" si="39"/>
        <v>7568900</v>
      </c>
      <c r="M39" s="116">
        <f t="shared" ca="1" si="39"/>
        <v>7758100</v>
      </c>
      <c r="N39" s="116">
        <f t="shared" ca="1" si="39"/>
        <v>7952100</v>
      </c>
      <c r="O39" s="116">
        <f t="shared" ca="1" si="39"/>
        <v>8150800</v>
      </c>
      <c r="P39" s="116">
        <f t="shared" ca="1" si="39"/>
        <v>8354600</v>
      </c>
      <c r="Q39" s="116">
        <f t="shared" ca="1" si="39"/>
        <v>8563600</v>
      </c>
      <c r="R39" s="116">
        <f t="shared" ca="1" si="39"/>
        <v>8777600</v>
      </c>
      <c r="S39" s="116">
        <f t="shared" ca="1" si="39"/>
        <v>8997100</v>
      </c>
      <c r="T39" s="116">
        <f t="shared" ca="1" si="39"/>
        <v>9222100</v>
      </c>
      <c r="U39" s="116">
        <f t="shared" ca="1" si="39"/>
        <v>9452600</v>
      </c>
      <c r="V39" s="116">
        <f t="shared" ca="1" si="39"/>
        <v>9688900</v>
      </c>
      <c r="W39" s="116">
        <f t="shared" ca="1" si="39"/>
        <v>9931200</v>
      </c>
      <c r="X39" s="116">
        <f t="shared" ca="1" si="39"/>
        <v>10179600</v>
      </c>
      <c r="Y39" s="116">
        <f t="shared" ca="1" si="39"/>
        <v>10434000</v>
      </c>
      <c r="Z39" s="116">
        <f t="shared" ca="1" si="39"/>
        <v>10694800</v>
      </c>
      <c r="AA39" s="116">
        <f t="shared" ca="1" si="39"/>
        <v>10962200</v>
      </c>
      <c r="AB39" s="116">
        <f t="shared" ca="1" si="39"/>
        <v>11236300</v>
      </c>
      <c r="AC39" s="116">
        <f t="shared" ca="1" si="39"/>
        <v>11517300</v>
      </c>
      <c r="AD39" s="116">
        <f t="shared" ca="1" si="39"/>
        <v>11805300</v>
      </c>
      <c r="AE39" s="116">
        <f t="shared" ca="1" si="39"/>
        <v>12100500</v>
      </c>
      <c r="AF39" s="116">
        <f t="shared" ca="1" si="39"/>
        <v>12403100</v>
      </c>
      <c r="AG39" s="116">
        <f t="shared" ca="1" si="39"/>
        <v>12713100</v>
      </c>
      <c r="AH39" s="116">
        <f t="shared" ca="1" si="39"/>
        <v>13030800</v>
      </c>
      <c r="AI39" s="116">
        <f t="shared" ca="1" si="39"/>
        <v>13356500</v>
      </c>
      <c r="AJ39" s="115">
        <f t="shared" ca="1" si="39"/>
        <v>13690300</v>
      </c>
      <c r="AK39" s="117">
        <f t="shared" ca="1" si="39"/>
        <v>14032700</v>
      </c>
      <c r="AL39" s="116">
        <f t="shared" ca="1" si="39"/>
        <v>14383600</v>
      </c>
      <c r="AM39" s="116">
        <f t="shared" ca="1" si="39"/>
        <v>14743200</v>
      </c>
      <c r="AN39" s="116">
        <f t="shared" ca="1" si="39"/>
        <v>15111800</v>
      </c>
      <c r="AO39" s="116">
        <f t="shared" ca="1" si="39"/>
        <v>15489600</v>
      </c>
      <c r="AP39" s="116">
        <f t="shared" ca="1" si="39"/>
        <v>15876800</v>
      </c>
      <c r="AQ39" s="116">
        <f t="shared" ca="1" si="39"/>
        <v>16273800</v>
      </c>
      <c r="AR39" s="116">
        <f t="shared" ca="1" si="39"/>
        <v>16680700</v>
      </c>
      <c r="AS39" s="116">
        <f t="shared" ca="1" si="39"/>
        <v>17097700</v>
      </c>
      <c r="AT39" s="116">
        <f t="shared" ca="1" si="39"/>
        <v>17525100</v>
      </c>
      <c r="AW39" s="113">
        <v>42</v>
      </c>
      <c r="AX39" s="1038">
        <v>5827400</v>
      </c>
    </row>
    <row r="40" spans="1:50" ht="9" customHeight="1">
      <c r="A40" s="113">
        <v>43</v>
      </c>
      <c r="B40" s="641">
        <v>6230700</v>
      </c>
      <c r="C40" s="112" t="s">
        <v>484</v>
      </c>
      <c r="D40" s="113">
        <v>43</v>
      </c>
      <c r="E40" s="116">
        <f t="shared" si="38"/>
        <v>6448700</v>
      </c>
      <c r="F40" s="116">
        <f t="shared" ref="F40:AT46" ca="1" si="40">F39+(F39-F38)</f>
        <v>6609800</v>
      </c>
      <c r="G40" s="116">
        <f t="shared" ca="1" si="40"/>
        <v>6775100</v>
      </c>
      <c r="H40" s="116">
        <f t="shared" ca="1" si="40"/>
        <v>6944400</v>
      </c>
      <c r="I40" s="116">
        <f t="shared" ca="1" si="40"/>
        <v>7118100</v>
      </c>
      <c r="J40" s="116">
        <f t="shared" ca="1" si="40"/>
        <v>7295900</v>
      </c>
      <c r="K40" s="116">
        <f t="shared" ca="1" si="40"/>
        <v>7478300</v>
      </c>
      <c r="L40" s="116">
        <f t="shared" ca="1" si="40"/>
        <v>7665100</v>
      </c>
      <c r="M40" s="116">
        <f t="shared" ca="1" si="40"/>
        <v>7856700</v>
      </c>
      <c r="N40" s="116">
        <f t="shared" ca="1" si="40"/>
        <v>8053200</v>
      </c>
      <c r="O40" s="116">
        <f t="shared" ca="1" si="40"/>
        <v>8254400</v>
      </c>
      <c r="P40" s="116">
        <f t="shared" ca="1" si="40"/>
        <v>8460800</v>
      </c>
      <c r="Q40" s="116">
        <f t="shared" ca="1" si="40"/>
        <v>8672500</v>
      </c>
      <c r="R40" s="116">
        <f t="shared" ca="1" si="40"/>
        <v>8889200</v>
      </c>
      <c r="S40" s="116">
        <f t="shared" ca="1" si="40"/>
        <v>9111500</v>
      </c>
      <c r="T40" s="116">
        <f t="shared" ca="1" si="40"/>
        <v>9339400</v>
      </c>
      <c r="U40" s="116">
        <f t="shared" ca="1" si="40"/>
        <v>9572800</v>
      </c>
      <c r="V40" s="116">
        <f t="shared" ca="1" si="40"/>
        <v>9812100</v>
      </c>
      <c r="W40" s="116">
        <f t="shared" ca="1" si="40"/>
        <v>10057500</v>
      </c>
      <c r="X40" s="116">
        <f t="shared" ca="1" si="40"/>
        <v>10309100</v>
      </c>
      <c r="Y40" s="116">
        <f t="shared" ca="1" si="40"/>
        <v>10566700</v>
      </c>
      <c r="Z40" s="116">
        <f t="shared" ca="1" si="40"/>
        <v>10830800</v>
      </c>
      <c r="AA40" s="116">
        <f t="shared" ca="1" si="40"/>
        <v>11101600</v>
      </c>
      <c r="AB40" s="116">
        <f t="shared" ca="1" si="40"/>
        <v>11379200</v>
      </c>
      <c r="AC40" s="116">
        <f t="shared" ca="1" si="40"/>
        <v>11663800</v>
      </c>
      <c r="AD40" s="116">
        <f t="shared" ca="1" si="40"/>
        <v>11955500</v>
      </c>
      <c r="AE40" s="116">
        <f t="shared" ca="1" si="40"/>
        <v>12254500</v>
      </c>
      <c r="AF40" s="116">
        <f t="shared" ca="1" si="40"/>
        <v>12561000</v>
      </c>
      <c r="AG40" s="116">
        <f t="shared" ca="1" si="40"/>
        <v>12874900</v>
      </c>
      <c r="AH40" s="116">
        <f t="shared" ca="1" si="40"/>
        <v>13196600</v>
      </c>
      <c r="AI40" s="116">
        <f t="shared" ca="1" si="40"/>
        <v>13526400</v>
      </c>
      <c r="AJ40" s="116">
        <f t="shared" ca="1" si="40"/>
        <v>13864400</v>
      </c>
      <c r="AK40" s="115">
        <f t="shared" ca="1" si="40"/>
        <v>14211200</v>
      </c>
      <c r="AL40" s="117">
        <f t="shared" ca="1" si="40"/>
        <v>14566600</v>
      </c>
      <c r="AM40" s="116">
        <f t="shared" ca="1" si="40"/>
        <v>14930800</v>
      </c>
      <c r="AN40" s="116">
        <f t="shared" ca="1" si="40"/>
        <v>15304100</v>
      </c>
      <c r="AO40" s="116">
        <f t="shared" ca="1" si="40"/>
        <v>15686700</v>
      </c>
      <c r="AP40" s="116">
        <f t="shared" ca="1" si="40"/>
        <v>16078800</v>
      </c>
      <c r="AQ40" s="116">
        <f t="shared" ca="1" si="40"/>
        <v>16480900</v>
      </c>
      <c r="AR40" s="116">
        <f t="shared" ca="1" si="40"/>
        <v>16893000</v>
      </c>
      <c r="AS40" s="116">
        <f t="shared" ca="1" si="40"/>
        <v>17315300</v>
      </c>
      <c r="AT40" s="116">
        <f t="shared" ca="1" si="40"/>
        <v>17748100</v>
      </c>
      <c r="AW40" s="113">
        <v>43</v>
      </c>
      <c r="AX40" s="1038">
        <v>5901500</v>
      </c>
    </row>
    <row r="41" spans="1:50" ht="9" customHeight="1">
      <c r="A41" s="113">
        <v>44</v>
      </c>
      <c r="B41" s="641">
        <v>6309000</v>
      </c>
      <c r="C41" s="112" t="s">
        <v>487</v>
      </c>
      <c r="D41" s="113">
        <v>44</v>
      </c>
      <c r="E41" s="116">
        <f t="shared" si="38"/>
        <v>6529700</v>
      </c>
      <c r="F41" s="116">
        <f t="shared" ca="1" si="40"/>
        <v>6692800</v>
      </c>
      <c r="G41" s="116">
        <f t="shared" ca="1" si="40"/>
        <v>6860200</v>
      </c>
      <c r="H41" s="116">
        <f t="shared" ca="1" si="40"/>
        <v>7031600</v>
      </c>
      <c r="I41" s="116">
        <f t="shared" ca="1" si="40"/>
        <v>7207500</v>
      </c>
      <c r="J41" s="116">
        <f t="shared" ca="1" si="40"/>
        <v>7387500</v>
      </c>
      <c r="K41" s="116">
        <f t="shared" ca="1" si="40"/>
        <v>7572200</v>
      </c>
      <c r="L41" s="116">
        <f t="shared" ca="1" si="40"/>
        <v>7761300</v>
      </c>
      <c r="M41" s="116">
        <f t="shared" ca="1" si="40"/>
        <v>7955300</v>
      </c>
      <c r="N41" s="116">
        <f t="shared" ca="1" si="40"/>
        <v>8154300</v>
      </c>
      <c r="O41" s="116">
        <f t="shared" ca="1" si="40"/>
        <v>8358000</v>
      </c>
      <c r="P41" s="116">
        <f t="shared" ca="1" si="40"/>
        <v>8567000</v>
      </c>
      <c r="Q41" s="116">
        <f t="shared" ca="1" si="40"/>
        <v>8781400</v>
      </c>
      <c r="R41" s="116">
        <f t="shared" ca="1" si="40"/>
        <v>9000800</v>
      </c>
      <c r="S41" s="116">
        <f t="shared" ca="1" si="40"/>
        <v>9225900</v>
      </c>
      <c r="T41" s="116">
        <f t="shared" ca="1" si="40"/>
        <v>9456700</v>
      </c>
      <c r="U41" s="116">
        <f t="shared" ca="1" si="40"/>
        <v>9693000</v>
      </c>
      <c r="V41" s="116">
        <f t="shared" ca="1" si="40"/>
        <v>9935300</v>
      </c>
      <c r="W41" s="116">
        <f t="shared" ca="1" si="40"/>
        <v>10183800</v>
      </c>
      <c r="X41" s="116">
        <f t="shared" ca="1" si="40"/>
        <v>10438600</v>
      </c>
      <c r="Y41" s="116">
        <f t="shared" ca="1" si="40"/>
        <v>10699400</v>
      </c>
      <c r="Z41" s="116">
        <f t="shared" ca="1" si="40"/>
        <v>10966800</v>
      </c>
      <c r="AA41" s="116">
        <f t="shared" ca="1" si="40"/>
        <v>11241000</v>
      </c>
      <c r="AB41" s="116">
        <f t="shared" ca="1" si="40"/>
        <v>11522100</v>
      </c>
      <c r="AC41" s="116">
        <f t="shared" ca="1" si="40"/>
        <v>11810300</v>
      </c>
      <c r="AD41" s="116">
        <f t="shared" ca="1" si="40"/>
        <v>12105700</v>
      </c>
      <c r="AE41" s="116">
        <f t="shared" ca="1" si="40"/>
        <v>12408500</v>
      </c>
      <c r="AF41" s="116">
        <f t="shared" ca="1" si="40"/>
        <v>12718900</v>
      </c>
      <c r="AG41" s="116">
        <f t="shared" ca="1" si="40"/>
        <v>13036700</v>
      </c>
      <c r="AH41" s="116">
        <f t="shared" ca="1" si="40"/>
        <v>13362400</v>
      </c>
      <c r="AI41" s="116">
        <f t="shared" ca="1" si="40"/>
        <v>13696300</v>
      </c>
      <c r="AJ41" s="116">
        <f t="shared" ca="1" si="40"/>
        <v>14038500</v>
      </c>
      <c r="AK41" s="116">
        <f t="shared" ca="1" si="40"/>
        <v>14389700</v>
      </c>
      <c r="AL41" s="115">
        <f t="shared" ca="1" si="40"/>
        <v>14749600</v>
      </c>
      <c r="AM41" s="117">
        <f t="shared" ca="1" si="40"/>
        <v>15118400</v>
      </c>
      <c r="AN41" s="116">
        <f t="shared" ca="1" si="40"/>
        <v>15496400</v>
      </c>
      <c r="AO41" s="116">
        <f t="shared" ca="1" si="40"/>
        <v>15883800</v>
      </c>
      <c r="AP41" s="116">
        <f t="shared" ca="1" si="40"/>
        <v>16280800</v>
      </c>
      <c r="AQ41" s="116">
        <f t="shared" ca="1" si="40"/>
        <v>16688000</v>
      </c>
      <c r="AR41" s="116">
        <f t="shared" ca="1" si="40"/>
        <v>17105300</v>
      </c>
      <c r="AS41" s="116">
        <f t="shared" ca="1" si="40"/>
        <v>17532900</v>
      </c>
      <c r="AT41" s="116">
        <f t="shared" ca="1" si="40"/>
        <v>17971100</v>
      </c>
      <c r="AW41" s="113">
        <v>44</v>
      </c>
      <c r="AX41" s="1038">
        <v>5975600</v>
      </c>
    </row>
    <row r="42" spans="1:50" ht="9" customHeight="1">
      <c r="A42" s="113">
        <v>45</v>
      </c>
      <c r="B42" s="641">
        <v>6387300</v>
      </c>
      <c r="C42" s="112" t="s">
        <v>474</v>
      </c>
      <c r="D42" s="113">
        <v>45</v>
      </c>
      <c r="E42" s="116">
        <f t="shared" si="38"/>
        <v>6610700</v>
      </c>
      <c r="F42" s="116">
        <f t="shared" ca="1" si="40"/>
        <v>6775800</v>
      </c>
      <c r="G42" s="116">
        <f t="shared" ca="1" si="40"/>
        <v>6945300</v>
      </c>
      <c r="H42" s="116">
        <f t="shared" ca="1" si="40"/>
        <v>7118800</v>
      </c>
      <c r="I42" s="116">
        <f t="shared" ca="1" si="40"/>
        <v>7296900</v>
      </c>
      <c r="J42" s="116">
        <f t="shared" ca="1" si="40"/>
        <v>7479100</v>
      </c>
      <c r="K42" s="116">
        <f t="shared" ca="1" si="40"/>
        <v>7666100</v>
      </c>
      <c r="L42" s="116">
        <f t="shared" ca="1" si="40"/>
        <v>7857500</v>
      </c>
      <c r="M42" s="116">
        <f t="shared" ca="1" si="40"/>
        <v>8053900</v>
      </c>
      <c r="N42" s="116">
        <f t="shared" ca="1" si="40"/>
        <v>8255400</v>
      </c>
      <c r="O42" s="116">
        <f t="shared" ca="1" si="40"/>
        <v>8461600</v>
      </c>
      <c r="P42" s="116">
        <f t="shared" ca="1" si="40"/>
        <v>8673200</v>
      </c>
      <c r="Q42" s="116">
        <f t="shared" ca="1" si="40"/>
        <v>8890300</v>
      </c>
      <c r="R42" s="116">
        <f t="shared" ca="1" si="40"/>
        <v>9112400</v>
      </c>
      <c r="S42" s="116">
        <f t="shared" ca="1" si="40"/>
        <v>9340300</v>
      </c>
      <c r="T42" s="116">
        <f t="shared" ca="1" si="40"/>
        <v>9574000</v>
      </c>
      <c r="U42" s="116">
        <f t="shared" ca="1" si="40"/>
        <v>9813200</v>
      </c>
      <c r="V42" s="116">
        <f t="shared" ca="1" si="40"/>
        <v>10058500</v>
      </c>
      <c r="W42" s="116">
        <f t="shared" ca="1" si="40"/>
        <v>10310100</v>
      </c>
      <c r="X42" s="116">
        <f t="shared" ca="1" si="40"/>
        <v>10568100</v>
      </c>
      <c r="Y42" s="116">
        <f t="shared" ca="1" si="40"/>
        <v>10832100</v>
      </c>
      <c r="Z42" s="116">
        <f t="shared" ca="1" si="40"/>
        <v>11102800</v>
      </c>
      <c r="AA42" s="116">
        <f t="shared" ca="1" si="40"/>
        <v>11380400</v>
      </c>
      <c r="AB42" s="116">
        <f t="shared" ca="1" si="40"/>
        <v>11665000</v>
      </c>
      <c r="AC42" s="116">
        <f t="shared" ca="1" si="40"/>
        <v>11956800</v>
      </c>
      <c r="AD42" s="116">
        <f t="shared" ca="1" si="40"/>
        <v>12255900</v>
      </c>
      <c r="AE42" s="116">
        <f t="shared" ca="1" si="40"/>
        <v>12562500</v>
      </c>
      <c r="AF42" s="116">
        <f t="shared" ca="1" si="40"/>
        <v>12876800</v>
      </c>
      <c r="AG42" s="116">
        <f t="shared" ca="1" si="40"/>
        <v>13198500</v>
      </c>
      <c r="AH42" s="116">
        <f t="shared" ca="1" si="40"/>
        <v>13528200</v>
      </c>
      <c r="AI42" s="116">
        <f t="shared" ca="1" si="40"/>
        <v>13866200</v>
      </c>
      <c r="AJ42" s="116">
        <f t="shared" ca="1" si="40"/>
        <v>14212600</v>
      </c>
      <c r="AK42" s="116">
        <f t="shared" ca="1" si="40"/>
        <v>14568200</v>
      </c>
      <c r="AL42" s="116">
        <f t="shared" ca="1" si="40"/>
        <v>14932600</v>
      </c>
      <c r="AM42" s="115">
        <f t="shared" ca="1" si="40"/>
        <v>15306000</v>
      </c>
      <c r="AN42" s="117">
        <f t="shared" ca="1" si="40"/>
        <v>15688700</v>
      </c>
      <c r="AO42" s="116">
        <f t="shared" ca="1" si="40"/>
        <v>16080900</v>
      </c>
      <c r="AP42" s="116">
        <f t="shared" ca="1" si="40"/>
        <v>16482800</v>
      </c>
      <c r="AQ42" s="116">
        <f t="shared" ca="1" si="40"/>
        <v>16895100</v>
      </c>
      <c r="AR42" s="116">
        <f t="shared" ca="1" si="40"/>
        <v>17317600</v>
      </c>
      <c r="AS42" s="116">
        <f t="shared" ca="1" si="40"/>
        <v>17750500</v>
      </c>
      <c r="AT42" s="116">
        <f t="shared" ca="1" si="40"/>
        <v>18194100</v>
      </c>
      <c r="AW42" s="113">
        <v>45</v>
      </c>
      <c r="AX42" s="1038">
        <v>6049700</v>
      </c>
    </row>
    <row r="43" spans="1:50" ht="9" customHeight="1">
      <c r="A43" s="113">
        <v>46</v>
      </c>
      <c r="B43" s="641">
        <v>6465600</v>
      </c>
      <c r="C43" s="112" t="s">
        <v>465</v>
      </c>
      <c r="D43" s="113">
        <v>46</v>
      </c>
      <c r="E43" s="116">
        <f t="shared" si="38"/>
        <v>6691700</v>
      </c>
      <c r="F43" s="116">
        <f t="shared" ca="1" si="40"/>
        <v>6858800</v>
      </c>
      <c r="G43" s="116">
        <f t="shared" ca="1" si="40"/>
        <v>7030400</v>
      </c>
      <c r="H43" s="116">
        <f t="shared" ca="1" si="40"/>
        <v>7206000</v>
      </c>
      <c r="I43" s="116">
        <f t="shared" ca="1" si="40"/>
        <v>7386300</v>
      </c>
      <c r="J43" s="116">
        <f t="shared" ca="1" si="40"/>
        <v>7570700</v>
      </c>
      <c r="K43" s="116">
        <f t="shared" ca="1" si="40"/>
        <v>7760000</v>
      </c>
      <c r="L43" s="116">
        <f t="shared" ca="1" si="40"/>
        <v>7953700</v>
      </c>
      <c r="M43" s="116">
        <f t="shared" ca="1" si="40"/>
        <v>8152500</v>
      </c>
      <c r="N43" s="116">
        <f t="shared" ca="1" si="40"/>
        <v>8356500</v>
      </c>
      <c r="O43" s="116">
        <f t="shared" ca="1" si="40"/>
        <v>8565200</v>
      </c>
      <c r="P43" s="116">
        <f t="shared" ca="1" si="40"/>
        <v>8779400</v>
      </c>
      <c r="Q43" s="116">
        <f t="shared" ca="1" si="40"/>
        <v>8999200</v>
      </c>
      <c r="R43" s="116">
        <f t="shared" ca="1" si="40"/>
        <v>9224000</v>
      </c>
      <c r="S43" s="116">
        <f t="shared" ca="1" si="40"/>
        <v>9454700</v>
      </c>
      <c r="T43" s="116">
        <f t="shared" ca="1" si="40"/>
        <v>9691300</v>
      </c>
      <c r="U43" s="116">
        <f t="shared" ca="1" si="40"/>
        <v>9933400</v>
      </c>
      <c r="V43" s="116">
        <f t="shared" ca="1" si="40"/>
        <v>10181700</v>
      </c>
      <c r="W43" s="116">
        <f t="shared" ca="1" si="40"/>
        <v>10436400</v>
      </c>
      <c r="X43" s="116">
        <f t="shared" ca="1" si="40"/>
        <v>10697600</v>
      </c>
      <c r="Y43" s="116">
        <f t="shared" ca="1" si="40"/>
        <v>10964800</v>
      </c>
      <c r="Z43" s="116">
        <f t="shared" ca="1" si="40"/>
        <v>11238800</v>
      </c>
      <c r="AA43" s="116">
        <f t="shared" ca="1" si="40"/>
        <v>11519800</v>
      </c>
      <c r="AB43" s="116">
        <f t="shared" ca="1" si="40"/>
        <v>11807900</v>
      </c>
      <c r="AC43" s="116">
        <f t="shared" ca="1" si="40"/>
        <v>12103300</v>
      </c>
      <c r="AD43" s="116">
        <f t="shared" ca="1" si="40"/>
        <v>12406100</v>
      </c>
      <c r="AE43" s="116">
        <f t="shared" ca="1" si="40"/>
        <v>12716500</v>
      </c>
      <c r="AF43" s="116">
        <f t="shared" ca="1" si="40"/>
        <v>13034700</v>
      </c>
      <c r="AG43" s="116">
        <f t="shared" ca="1" si="40"/>
        <v>13360300</v>
      </c>
      <c r="AH43" s="116">
        <f t="shared" ca="1" si="40"/>
        <v>13694000</v>
      </c>
      <c r="AI43" s="116">
        <f t="shared" ca="1" si="40"/>
        <v>14036100</v>
      </c>
      <c r="AJ43" s="116">
        <f t="shared" ca="1" si="40"/>
        <v>14386700</v>
      </c>
      <c r="AK43" s="116">
        <f t="shared" ca="1" si="40"/>
        <v>14746700</v>
      </c>
      <c r="AL43" s="116">
        <f t="shared" ca="1" si="40"/>
        <v>15115600</v>
      </c>
      <c r="AM43" s="116">
        <f t="shared" ca="1" si="40"/>
        <v>15493600</v>
      </c>
      <c r="AN43" s="115">
        <f t="shared" ca="1" si="40"/>
        <v>15881000</v>
      </c>
      <c r="AO43" s="117">
        <f t="shared" ca="1" si="40"/>
        <v>16278000</v>
      </c>
      <c r="AP43" s="116">
        <f t="shared" ca="1" si="40"/>
        <v>16684800</v>
      </c>
      <c r="AQ43" s="116">
        <f t="shared" ca="1" si="40"/>
        <v>17102200</v>
      </c>
      <c r="AR43" s="116">
        <f t="shared" ca="1" si="40"/>
        <v>17529900</v>
      </c>
      <c r="AS43" s="116">
        <f t="shared" ca="1" si="40"/>
        <v>17968100</v>
      </c>
      <c r="AT43" s="116">
        <f t="shared" ca="1" si="40"/>
        <v>18417100</v>
      </c>
      <c r="AW43" s="113">
        <v>46</v>
      </c>
      <c r="AX43" s="1039">
        <v>6123800</v>
      </c>
    </row>
    <row r="44" spans="1:50" ht="9" customHeight="1">
      <c r="A44" s="113">
        <v>47</v>
      </c>
      <c r="B44" s="641">
        <v>6543900</v>
      </c>
      <c r="C44" s="112" t="s">
        <v>438</v>
      </c>
      <c r="D44" s="113">
        <v>47</v>
      </c>
      <c r="E44" s="116">
        <f t="shared" si="38"/>
        <v>6772700</v>
      </c>
      <c r="F44" s="116">
        <f t="shared" ca="1" si="40"/>
        <v>6941800</v>
      </c>
      <c r="G44" s="116">
        <f t="shared" ca="1" si="40"/>
        <v>7115500</v>
      </c>
      <c r="H44" s="116">
        <f t="shared" ca="1" si="40"/>
        <v>7293200</v>
      </c>
      <c r="I44" s="116">
        <f t="shared" ca="1" si="40"/>
        <v>7475700</v>
      </c>
      <c r="J44" s="116">
        <f t="shared" ca="1" si="40"/>
        <v>7662300</v>
      </c>
      <c r="K44" s="116">
        <f t="shared" ca="1" si="40"/>
        <v>7853900</v>
      </c>
      <c r="L44" s="116">
        <f t="shared" ca="1" si="40"/>
        <v>8049900</v>
      </c>
      <c r="M44" s="116">
        <f t="shared" ca="1" si="40"/>
        <v>8251100</v>
      </c>
      <c r="N44" s="116">
        <f t="shared" ca="1" si="40"/>
        <v>8457600</v>
      </c>
      <c r="O44" s="116">
        <f t="shared" ca="1" si="40"/>
        <v>8668800</v>
      </c>
      <c r="P44" s="116">
        <f t="shared" ca="1" si="40"/>
        <v>8885600</v>
      </c>
      <c r="Q44" s="116">
        <f t="shared" ca="1" si="40"/>
        <v>9108100</v>
      </c>
      <c r="R44" s="116">
        <f t="shared" ca="1" si="40"/>
        <v>9335600</v>
      </c>
      <c r="S44" s="116">
        <f t="shared" ca="1" si="40"/>
        <v>9569100</v>
      </c>
      <c r="T44" s="116">
        <f t="shared" ca="1" si="40"/>
        <v>9808600</v>
      </c>
      <c r="U44" s="116">
        <f t="shared" ca="1" si="40"/>
        <v>10053600</v>
      </c>
      <c r="V44" s="116">
        <f t="shared" ca="1" si="40"/>
        <v>10304900</v>
      </c>
      <c r="W44" s="116">
        <f t="shared" ca="1" si="40"/>
        <v>10562700</v>
      </c>
      <c r="X44" s="116">
        <f t="shared" ca="1" si="40"/>
        <v>10827100</v>
      </c>
      <c r="Y44" s="116">
        <f t="shared" ca="1" si="40"/>
        <v>11097500</v>
      </c>
      <c r="Z44" s="116">
        <f t="shared" ca="1" si="40"/>
        <v>11374800</v>
      </c>
      <c r="AA44" s="116">
        <f t="shared" ca="1" si="40"/>
        <v>11659200</v>
      </c>
      <c r="AB44" s="116">
        <f t="shared" ca="1" si="40"/>
        <v>11950800</v>
      </c>
      <c r="AC44" s="116">
        <f t="shared" ca="1" si="40"/>
        <v>12249800</v>
      </c>
      <c r="AD44" s="116">
        <f t="shared" ca="1" si="40"/>
        <v>12556300</v>
      </c>
      <c r="AE44" s="116">
        <f t="shared" ca="1" si="40"/>
        <v>12870500</v>
      </c>
      <c r="AF44" s="116">
        <f t="shared" ca="1" si="40"/>
        <v>13192600</v>
      </c>
      <c r="AG44" s="116">
        <f t="shared" ca="1" si="40"/>
        <v>13522100</v>
      </c>
      <c r="AH44" s="116">
        <f t="shared" ca="1" si="40"/>
        <v>13859800</v>
      </c>
      <c r="AI44" s="116">
        <f t="shared" ca="1" si="40"/>
        <v>14206000</v>
      </c>
      <c r="AJ44" s="116">
        <f t="shared" ca="1" si="40"/>
        <v>14560800</v>
      </c>
      <c r="AK44" s="116">
        <f t="shared" ca="1" si="40"/>
        <v>14925200</v>
      </c>
      <c r="AL44" s="116">
        <f t="shared" ca="1" si="40"/>
        <v>15298600</v>
      </c>
      <c r="AM44" s="116">
        <f t="shared" ca="1" si="40"/>
        <v>15681200</v>
      </c>
      <c r="AN44" s="116">
        <f t="shared" ca="1" si="40"/>
        <v>16073300</v>
      </c>
      <c r="AO44" s="115">
        <f t="shared" ca="1" si="40"/>
        <v>16475100</v>
      </c>
      <c r="AP44" s="117">
        <f t="shared" ca="1" si="40"/>
        <v>16886800</v>
      </c>
      <c r="AQ44" s="116">
        <f t="shared" ca="1" si="40"/>
        <v>17309300</v>
      </c>
      <c r="AR44" s="116">
        <f t="shared" ca="1" si="40"/>
        <v>17742200</v>
      </c>
      <c r="AS44" s="116">
        <f t="shared" ca="1" si="40"/>
        <v>18185700</v>
      </c>
      <c r="AT44" s="116">
        <f t="shared" ca="1" si="40"/>
        <v>18640100</v>
      </c>
      <c r="AW44" s="113">
        <v>47</v>
      </c>
      <c r="AX44" s="1039">
        <v>6197900</v>
      </c>
    </row>
    <row r="45" spans="1:50" ht="9" customHeight="1">
      <c r="A45" s="113">
        <v>48</v>
      </c>
      <c r="B45" s="641">
        <v>6622200</v>
      </c>
      <c r="C45" s="112" t="s">
        <v>470</v>
      </c>
      <c r="D45" s="113">
        <v>48</v>
      </c>
      <c r="E45" s="116">
        <f t="shared" si="38"/>
        <v>6853700</v>
      </c>
      <c r="F45" s="116">
        <f t="shared" ca="1" si="40"/>
        <v>7024800</v>
      </c>
      <c r="G45" s="116">
        <f t="shared" ca="1" si="40"/>
        <v>7200600</v>
      </c>
      <c r="H45" s="116">
        <f t="shared" ca="1" si="40"/>
        <v>7380400</v>
      </c>
      <c r="I45" s="116">
        <f t="shared" ca="1" si="40"/>
        <v>7565100</v>
      </c>
      <c r="J45" s="116">
        <f t="shared" ca="1" si="40"/>
        <v>7753900</v>
      </c>
      <c r="K45" s="116">
        <f t="shared" ca="1" si="40"/>
        <v>7947800</v>
      </c>
      <c r="L45" s="116">
        <f t="shared" ca="1" si="40"/>
        <v>8146100</v>
      </c>
      <c r="M45" s="116">
        <f t="shared" ca="1" si="40"/>
        <v>8349700</v>
      </c>
      <c r="N45" s="116">
        <f t="shared" ca="1" si="40"/>
        <v>8558700</v>
      </c>
      <c r="O45" s="116">
        <f t="shared" ca="1" si="40"/>
        <v>8772400</v>
      </c>
      <c r="P45" s="116">
        <f t="shared" ca="1" si="40"/>
        <v>8991800</v>
      </c>
      <c r="Q45" s="116">
        <f t="shared" ca="1" si="40"/>
        <v>9217000</v>
      </c>
      <c r="R45" s="116">
        <f t="shared" ca="1" si="40"/>
        <v>9447200</v>
      </c>
      <c r="S45" s="116">
        <f t="shared" ca="1" si="40"/>
        <v>9683500</v>
      </c>
      <c r="T45" s="116">
        <f t="shared" ca="1" si="40"/>
        <v>9925900</v>
      </c>
      <c r="U45" s="116">
        <f t="shared" ca="1" si="40"/>
        <v>10173800</v>
      </c>
      <c r="V45" s="116">
        <f t="shared" ca="1" si="40"/>
        <v>10428100</v>
      </c>
      <c r="W45" s="116">
        <f t="shared" ca="1" si="40"/>
        <v>10689000</v>
      </c>
      <c r="X45" s="116">
        <f t="shared" ca="1" si="40"/>
        <v>10956600</v>
      </c>
      <c r="Y45" s="116">
        <f t="shared" ca="1" si="40"/>
        <v>11230200</v>
      </c>
      <c r="Z45" s="116">
        <f t="shared" ca="1" si="40"/>
        <v>11510800</v>
      </c>
      <c r="AA45" s="116">
        <f t="shared" ca="1" si="40"/>
        <v>11798600</v>
      </c>
      <c r="AB45" s="116">
        <f t="shared" ca="1" si="40"/>
        <v>12093700</v>
      </c>
      <c r="AC45" s="116">
        <f t="shared" ca="1" si="40"/>
        <v>12396300</v>
      </c>
      <c r="AD45" s="116">
        <f t="shared" ca="1" si="40"/>
        <v>12706500</v>
      </c>
      <c r="AE45" s="116">
        <f t="shared" ca="1" si="40"/>
        <v>13024500</v>
      </c>
      <c r="AF45" s="116">
        <f t="shared" ca="1" si="40"/>
        <v>13350500</v>
      </c>
      <c r="AG45" s="116">
        <f t="shared" ca="1" si="40"/>
        <v>13683900</v>
      </c>
      <c r="AH45" s="116">
        <f t="shared" ca="1" si="40"/>
        <v>14025600</v>
      </c>
      <c r="AI45" s="116">
        <f t="shared" ca="1" si="40"/>
        <v>14375900</v>
      </c>
      <c r="AJ45" s="116">
        <f t="shared" ca="1" si="40"/>
        <v>14734900</v>
      </c>
      <c r="AK45" s="116">
        <f t="shared" ca="1" si="40"/>
        <v>15103700</v>
      </c>
      <c r="AL45" s="116">
        <f t="shared" ca="1" si="40"/>
        <v>15481600</v>
      </c>
      <c r="AM45" s="116">
        <f t="shared" ca="1" si="40"/>
        <v>15868800</v>
      </c>
      <c r="AN45" s="116">
        <f t="shared" ca="1" si="40"/>
        <v>16265600</v>
      </c>
      <c r="AO45" s="116">
        <f t="shared" ca="1" si="40"/>
        <v>16672200</v>
      </c>
      <c r="AP45" s="115">
        <f t="shared" ca="1" si="40"/>
        <v>17088800</v>
      </c>
      <c r="AQ45" s="117">
        <f t="shared" ca="1" si="40"/>
        <v>17516400</v>
      </c>
      <c r="AR45" s="116">
        <f t="shared" ca="1" si="40"/>
        <v>17954500</v>
      </c>
      <c r="AS45" s="116">
        <f t="shared" ca="1" si="40"/>
        <v>18403300</v>
      </c>
      <c r="AT45" s="116">
        <f t="shared" ca="1" si="40"/>
        <v>18863100</v>
      </c>
      <c r="AW45" s="113">
        <v>48</v>
      </c>
      <c r="AX45" s="1039">
        <v>6272000</v>
      </c>
    </row>
    <row r="46" spans="1:50" ht="9" customHeight="1">
      <c r="A46" s="113">
        <v>49</v>
      </c>
      <c r="B46" s="641">
        <v>6700500</v>
      </c>
      <c r="C46" s="112" t="s">
        <v>437</v>
      </c>
      <c r="D46" s="113">
        <v>49</v>
      </c>
      <c r="E46" s="116">
        <f t="shared" si="38"/>
        <v>6934700</v>
      </c>
      <c r="F46" s="116">
        <f t="shared" ca="1" si="40"/>
        <v>7107800</v>
      </c>
      <c r="G46" s="116">
        <f t="shared" ca="1" si="40"/>
        <v>7285700</v>
      </c>
      <c r="H46" s="116">
        <f t="shared" ca="1" si="40"/>
        <v>7467600</v>
      </c>
      <c r="I46" s="116">
        <f t="shared" ca="1" si="40"/>
        <v>7654500</v>
      </c>
      <c r="J46" s="116">
        <f t="shared" ca="1" si="40"/>
        <v>7845500</v>
      </c>
      <c r="K46" s="116">
        <f t="shared" ca="1" si="40"/>
        <v>8041700</v>
      </c>
      <c r="L46" s="116">
        <f t="shared" ca="1" si="40"/>
        <v>8242300</v>
      </c>
      <c r="M46" s="116">
        <f t="shared" ca="1" si="40"/>
        <v>8448300</v>
      </c>
      <c r="N46" s="116">
        <f t="shared" ref="F46:AT47" ca="1" si="41">N45+(N45-N44)</f>
        <v>8659800</v>
      </c>
      <c r="O46" s="116">
        <f t="shared" ca="1" si="41"/>
        <v>8876000</v>
      </c>
      <c r="P46" s="116">
        <f t="shared" ca="1" si="41"/>
        <v>9098000</v>
      </c>
      <c r="Q46" s="116">
        <f t="shared" ca="1" si="41"/>
        <v>9325900</v>
      </c>
      <c r="R46" s="116">
        <f t="shared" ca="1" si="41"/>
        <v>9558800</v>
      </c>
      <c r="S46" s="116">
        <f t="shared" ca="1" si="41"/>
        <v>9797900</v>
      </c>
      <c r="T46" s="116">
        <f t="shared" ca="1" si="41"/>
        <v>10043200</v>
      </c>
      <c r="U46" s="116">
        <f t="shared" ca="1" si="41"/>
        <v>10294000</v>
      </c>
      <c r="V46" s="116">
        <f t="shared" ca="1" si="41"/>
        <v>10551300</v>
      </c>
      <c r="W46" s="116">
        <f t="shared" ca="1" si="41"/>
        <v>10815300</v>
      </c>
      <c r="X46" s="116">
        <f t="shared" ca="1" si="41"/>
        <v>11086100</v>
      </c>
      <c r="Y46" s="116">
        <f t="shared" ca="1" si="41"/>
        <v>11362900</v>
      </c>
      <c r="Z46" s="116">
        <f t="shared" ca="1" si="41"/>
        <v>11646800</v>
      </c>
      <c r="AA46" s="116">
        <f t="shared" ca="1" si="41"/>
        <v>11938000</v>
      </c>
      <c r="AB46" s="116">
        <f t="shared" ca="1" si="41"/>
        <v>12236600</v>
      </c>
      <c r="AC46" s="116">
        <f t="shared" ca="1" si="41"/>
        <v>12542800</v>
      </c>
      <c r="AD46" s="116">
        <f t="shared" ca="1" si="41"/>
        <v>12856700</v>
      </c>
      <c r="AE46" s="116">
        <f t="shared" ca="1" si="41"/>
        <v>13178500</v>
      </c>
      <c r="AF46" s="116">
        <f t="shared" ca="1" si="41"/>
        <v>13508400</v>
      </c>
      <c r="AG46" s="116">
        <f t="shared" ca="1" si="41"/>
        <v>13845700</v>
      </c>
      <c r="AH46" s="116">
        <f t="shared" ca="1" si="41"/>
        <v>14191400</v>
      </c>
      <c r="AI46" s="116">
        <f t="shared" ca="1" si="41"/>
        <v>14545800</v>
      </c>
      <c r="AJ46" s="116">
        <f t="shared" ca="1" si="41"/>
        <v>14909000</v>
      </c>
      <c r="AK46" s="116">
        <f t="shared" ca="1" si="41"/>
        <v>15282200</v>
      </c>
      <c r="AL46" s="116">
        <f t="shared" ca="1" si="41"/>
        <v>15664600</v>
      </c>
      <c r="AM46" s="116">
        <f t="shared" ca="1" si="41"/>
        <v>16056400</v>
      </c>
      <c r="AN46" s="116">
        <f t="shared" ca="1" si="41"/>
        <v>16457900</v>
      </c>
      <c r="AO46" s="116">
        <f t="shared" ca="1" si="41"/>
        <v>16869300</v>
      </c>
      <c r="AP46" s="116">
        <f t="shared" ca="1" si="41"/>
        <v>17290800</v>
      </c>
      <c r="AQ46" s="115">
        <f t="shared" ca="1" si="41"/>
        <v>17723500</v>
      </c>
      <c r="AR46" s="117">
        <f t="shared" ca="1" si="41"/>
        <v>18166800</v>
      </c>
      <c r="AS46" s="116">
        <f t="shared" ca="1" si="41"/>
        <v>18620900</v>
      </c>
      <c r="AT46" s="116">
        <f t="shared" ca="1" si="41"/>
        <v>19086100</v>
      </c>
      <c r="AW46" s="113">
        <v>49</v>
      </c>
      <c r="AX46" s="1039">
        <v>6346100</v>
      </c>
    </row>
    <row r="47" spans="1:50" ht="9" customHeight="1">
      <c r="A47" s="113">
        <v>50</v>
      </c>
      <c r="B47" s="641">
        <v>6778800</v>
      </c>
      <c r="C47" s="112" t="s">
        <v>466</v>
      </c>
      <c r="D47" s="113">
        <v>50</v>
      </c>
      <c r="E47" s="116">
        <f t="shared" si="38"/>
        <v>7015700</v>
      </c>
      <c r="F47" s="116">
        <f t="shared" ca="1" si="41"/>
        <v>7190800</v>
      </c>
      <c r="G47" s="116">
        <f t="shared" ca="1" si="41"/>
        <v>7370800</v>
      </c>
      <c r="H47" s="116">
        <f t="shared" ca="1" si="41"/>
        <v>7554800</v>
      </c>
      <c r="I47" s="116">
        <f t="shared" ca="1" si="41"/>
        <v>7743900</v>
      </c>
      <c r="J47" s="116">
        <f t="shared" ca="1" si="41"/>
        <v>7937100</v>
      </c>
      <c r="K47" s="116">
        <f t="shared" ca="1" si="41"/>
        <v>8135600</v>
      </c>
      <c r="L47" s="116">
        <f t="shared" ca="1" si="41"/>
        <v>8338500</v>
      </c>
      <c r="M47" s="116">
        <f t="shared" ca="1" si="41"/>
        <v>8546900</v>
      </c>
      <c r="N47" s="116">
        <f t="shared" ca="1" si="41"/>
        <v>8760900</v>
      </c>
      <c r="O47" s="116">
        <f t="shared" ca="1" si="41"/>
        <v>8979600</v>
      </c>
      <c r="P47" s="116">
        <f t="shared" ca="1" si="41"/>
        <v>9204200</v>
      </c>
      <c r="Q47" s="116">
        <f t="shared" ca="1" si="41"/>
        <v>9434800</v>
      </c>
      <c r="R47" s="116">
        <f t="shared" ca="1" si="41"/>
        <v>9670400</v>
      </c>
      <c r="S47" s="116">
        <f t="shared" ca="1" si="41"/>
        <v>9912300</v>
      </c>
      <c r="T47" s="116">
        <f t="shared" ca="1" si="41"/>
        <v>10160500</v>
      </c>
      <c r="U47" s="116">
        <f t="shared" ca="1" si="41"/>
        <v>10414200</v>
      </c>
      <c r="V47" s="116">
        <f t="shared" ca="1" si="41"/>
        <v>10674500</v>
      </c>
      <c r="W47" s="116">
        <f t="shared" ca="1" si="41"/>
        <v>10941600</v>
      </c>
      <c r="X47" s="116">
        <f t="shared" ca="1" si="41"/>
        <v>11215600</v>
      </c>
      <c r="Y47" s="116">
        <f t="shared" ca="1" si="41"/>
        <v>11495600</v>
      </c>
      <c r="Z47" s="116">
        <f t="shared" ca="1" si="41"/>
        <v>11782800</v>
      </c>
      <c r="AA47" s="116">
        <f t="shared" ca="1" si="41"/>
        <v>12077400</v>
      </c>
      <c r="AB47" s="116">
        <f t="shared" ca="1" si="41"/>
        <v>12379500</v>
      </c>
      <c r="AC47" s="116">
        <f t="shared" ca="1" si="41"/>
        <v>12689300</v>
      </c>
      <c r="AD47" s="116">
        <f t="shared" ca="1" si="41"/>
        <v>13006900</v>
      </c>
      <c r="AE47" s="116">
        <f t="shared" ca="1" si="41"/>
        <v>13332500</v>
      </c>
      <c r="AF47" s="116">
        <f t="shared" ca="1" si="41"/>
        <v>13666300</v>
      </c>
      <c r="AG47" s="116">
        <f t="shared" ca="1" si="41"/>
        <v>14007500</v>
      </c>
      <c r="AH47" s="116">
        <f t="shared" ca="1" si="41"/>
        <v>14357200</v>
      </c>
      <c r="AI47" s="116">
        <f t="shared" ca="1" si="41"/>
        <v>14715700</v>
      </c>
      <c r="AJ47" s="116">
        <f t="shared" ca="1" si="41"/>
        <v>15083100</v>
      </c>
      <c r="AK47" s="116">
        <f t="shared" ca="1" si="41"/>
        <v>15460700</v>
      </c>
      <c r="AL47" s="116">
        <f t="shared" ca="1" si="41"/>
        <v>15847600</v>
      </c>
      <c r="AM47" s="116">
        <f t="shared" ca="1" si="41"/>
        <v>16244000</v>
      </c>
      <c r="AN47" s="116">
        <f t="shared" ca="1" si="41"/>
        <v>16650200</v>
      </c>
      <c r="AO47" s="116">
        <f t="shared" ca="1" si="41"/>
        <v>17066400</v>
      </c>
      <c r="AP47" s="116">
        <f t="shared" ca="1" si="41"/>
        <v>17492800</v>
      </c>
      <c r="AQ47" s="116">
        <f t="shared" ca="1" si="41"/>
        <v>17930600</v>
      </c>
      <c r="AR47" s="115">
        <f t="shared" ca="1" si="41"/>
        <v>18379100</v>
      </c>
      <c r="AS47" s="117">
        <f t="shared" ca="1" si="41"/>
        <v>18838500</v>
      </c>
      <c r="AT47" s="117">
        <f t="shared" ca="1" si="41"/>
        <v>19309100</v>
      </c>
      <c r="AW47" s="113">
        <v>50</v>
      </c>
      <c r="AX47" s="1039">
        <v>6420200</v>
      </c>
    </row>
    <row r="48" spans="1:50" ht="9" customHeight="1">
      <c r="AS48" s="109">
        <v>49</v>
      </c>
    </row>
    <row r="49" spans="1:46" ht="9" customHeight="1">
      <c r="A49" s="109">
        <v>1</v>
      </c>
      <c r="B49" s="109">
        <v>2</v>
      </c>
      <c r="D49" s="109">
        <v>1</v>
      </c>
      <c r="E49" s="109">
        <v>2</v>
      </c>
      <c r="F49" s="109">
        <v>3</v>
      </c>
      <c r="G49" s="109">
        <v>4</v>
      </c>
      <c r="H49" s="109">
        <v>5</v>
      </c>
      <c r="I49" s="109">
        <v>6</v>
      </c>
      <c r="J49" s="109">
        <v>7</v>
      </c>
      <c r="K49" s="109">
        <v>8</v>
      </c>
      <c r="L49" s="109">
        <v>9</v>
      </c>
      <c r="M49" s="109">
        <v>10</v>
      </c>
      <c r="N49" s="109">
        <v>11</v>
      </c>
      <c r="O49" s="109">
        <v>12</v>
      </c>
      <c r="P49" s="109">
        <v>13</v>
      </c>
      <c r="Q49" s="109">
        <v>14</v>
      </c>
      <c r="R49" s="109">
        <v>15</v>
      </c>
      <c r="S49" s="109">
        <v>16</v>
      </c>
      <c r="T49" s="109">
        <v>17</v>
      </c>
      <c r="U49" s="109">
        <v>18</v>
      </c>
      <c r="V49" s="109">
        <v>19</v>
      </c>
      <c r="W49" s="109">
        <v>20</v>
      </c>
      <c r="X49" s="109">
        <v>21</v>
      </c>
      <c r="Y49" s="109">
        <v>22</v>
      </c>
      <c r="Z49" s="109">
        <v>23</v>
      </c>
      <c r="AA49" s="109">
        <v>24</v>
      </c>
      <c r="AB49" s="109">
        <v>25</v>
      </c>
      <c r="AC49" s="109">
        <v>26</v>
      </c>
      <c r="AD49" s="109">
        <v>27</v>
      </c>
      <c r="AE49" s="109">
        <v>28</v>
      </c>
      <c r="AF49" s="109">
        <v>29</v>
      </c>
      <c r="AG49" s="109">
        <v>30</v>
      </c>
      <c r="AH49" s="109">
        <v>31</v>
      </c>
      <c r="AI49" s="109">
        <v>32</v>
      </c>
      <c r="AJ49" s="109">
        <v>33</v>
      </c>
      <c r="AK49" s="109">
        <v>34</v>
      </c>
      <c r="AL49" s="109">
        <v>35</v>
      </c>
      <c r="AM49" s="109">
        <v>36</v>
      </c>
      <c r="AN49" s="109">
        <v>37</v>
      </c>
      <c r="AO49" s="109">
        <v>38</v>
      </c>
      <c r="AP49" s="109">
        <v>39</v>
      </c>
      <c r="AQ49" s="109">
        <v>40</v>
      </c>
      <c r="AR49" s="109">
        <v>41</v>
      </c>
      <c r="AS49" s="109">
        <v>42</v>
      </c>
      <c r="AT49" s="109">
        <v>43</v>
      </c>
    </row>
    <row r="50" spans="1:46" ht="9" customHeight="1">
      <c r="B50" s="109">
        <f>B4</f>
        <v>2025</v>
      </c>
      <c r="C50" s="109" t="s">
        <v>539</v>
      </c>
      <c r="E50" s="109">
        <f>E4</f>
        <v>2026</v>
      </c>
      <c r="F50" s="109">
        <f t="shared" ref="F50:R50" si="42">F4</f>
        <v>2027</v>
      </c>
      <c r="G50" s="109">
        <f t="shared" si="42"/>
        <v>2028</v>
      </c>
      <c r="H50" s="109">
        <f t="shared" si="42"/>
        <v>2029</v>
      </c>
      <c r="I50" s="109">
        <f t="shared" si="42"/>
        <v>2030</v>
      </c>
      <c r="J50" s="109">
        <f t="shared" si="42"/>
        <v>2031</v>
      </c>
      <c r="K50" s="109">
        <f t="shared" si="42"/>
        <v>2032</v>
      </c>
      <c r="L50" s="109">
        <f t="shared" si="42"/>
        <v>2033</v>
      </c>
      <c r="M50" s="109">
        <f t="shared" si="42"/>
        <v>2034</v>
      </c>
      <c r="N50" s="109">
        <f t="shared" si="42"/>
        <v>2035</v>
      </c>
      <c r="O50" s="109">
        <f t="shared" si="42"/>
        <v>2036</v>
      </c>
      <c r="P50" s="109">
        <f t="shared" si="42"/>
        <v>2037</v>
      </c>
      <c r="Q50" s="109">
        <f t="shared" si="42"/>
        <v>2038</v>
      </c>
      <c r="R50" s="109">
        <f t="shared" si="42"/>
        <v>2039</v>
      </c>
      <c r="S50" s="109">
        <f t="shared" ref="S50:AT50" si="43">S4</f>
        <v>2040</v>
      </c>
      <c r="T50" s="109">
        <f t="shared" si="43"/>
        <v>2041</v>
      </c>
      <c r="U50" s="109">
        <f t="shared" si="43"/>
        <v>2042</v>
      </c>
      <c r="V50" s="109">
        <f t="shared" si="43"/>
        <v>2043</v>
      </c>
      <c r="W50" s="109">
        <f t="shared" si="43"/>
        <v>2044</v>
      </c>
      <c r="X50" s="109">
        <f t="shared" si="43"/>
        <v>2045</v>
      </c>
      <c r="Y50" s="109">
        <f t="shared" si="43"/>
        <v>2046</v>
      </c>
      <c r="Z50" s="109">
        <f t="shared" si="43"/>
        <v>2047</v>
      </c>
      <c r="AA50" s="109">
        <f t="shared" si="43"/>
        <v>2048</v>
      </c>
      <c r="AB50" s="109">
        <f t="shared" si="43"/>
        <v>2049</v>
      </c>
      <c r="AC50" s="109">
        <f t="shared" si="43"/>
        <v>2050</v>
      </c>
      <c r="AD50" s="109">
        <f t="shared" si="43"/>
        <v>2051</v>
      </c>
      <c r="AE50" s="109">
        <f t="shared" si="43"/>
        <v>2052</v>
      </c>
      <c r="AF50" s="109">
        <f t="shared" si="43"/>
        <v>2053</v>
      </c>
      <c r="AG50" s="109">
        <f t="shared" si="43"/>
        <v>2054</v>
      </c>
      <c r="AH50" s="109">
        <f t="shared" si="43"/>
        <v>2055</v>
      </c>
      <c r="AI50" s="109">
        <f t="shared" si="43"/>
        <v>2056</v>
      </c>
      <c r="AJ50" s="109">
        <f t="shared" si="43"/>
        <v>2057</v>
      </c>
      <c r="AK50" s="109">
        <f t="shared" si="43"/>
        <v>2058</v>
      </c>
      <c r="AL50" s="109">
        <f t="shared" si="43"/>
        <v>2059</v>
      </c>
      <c r="AM50" s="109">
        <f t="shared" si="43"/>
        <v>2060</v>
      </c>
      <c r="AN50" s="109">
        <f t="shared" si="43"/>
        <v>2061</v>
      </c>
      <c r="AO50" s="109">
        <f t="shared" si="43"/>
        <v>2062</v>
      </c>
      <c r="AP50" s="109">
        <f t="shared" si="43"/>
        <v>2063</v>
      </c>
      <c r="AQ50" s="109">
        <f t="shared" si="43"/>
        <v>2064</v>
      </c>
      <c r="AR50" s="109">
        <f t="shared" si="43"/>
        <v>2065</v>
      </c>
      <c r="AS50" s="109">
        <f t="shared" si="43"/>
        <v>2066</v>
      </c>
      <c r="AT50" s="109">
        <f t="shared" si="43"/>
        <v>2067</v>
      </c>
    </row>
    <row r="51" spans="1:46" ht="12" customHeight="1">
      <c r="A51" s="113">
        <v>8</v>
      </c>
      <c r="B51" s="147">
        <f>B$15*55%*1/209*150%</f>
        <v>12362.763157894737</v>
      </c>
      <c r="C51" s="112"/>
      <c r="D51" s="113">
        <v>8</v>
      </c>
      <c r="E51" s="147">
        <f>E$15*55%*1/209*150%</f>
        <v>12795.394736842107</v>
      </c>
      <c r="F51" s="147">
        <f t="shared" ref="F51:AT57" ca="1" si="44">F$15*55%*1/209*150%</f>
        <v>13115.13157894737</v>
      </c>
      <c r="G51" s="147">
        <f t="shared" ca="1" si="44"/>
        <v>13443.157894736843</v>
      </c>
      <c r="H51" s="147">
        <f t="shared" ca="1" si="44"/>
        <v>13779.078947368424</v>
      </c>
      <c r="I51" s="147">
        <f t="shared" ca="1" si="44"/>
        <v>14123.684210526317</v>
      </c>
      <c r="J51" s="147">
        <f t="shared" ca="1" si="44"/>
        <v>14476.973684210527</v>
      </c>
      <c r="K51" s="147">
        <f t="shared" ca="1" si="44"/>
        <v>14838.947368421055</v>
      </c>
      <c r="L51" s="147">
        <f t="shared" ca="1" si="44"/>
        <v>15210</v>
      </c>
      <c r="M51" s="147">
        <f t="shared" ca="1" si="44"/>
        <v>15590.131578947367</v>
      </c>
      <c r="N51" s="147">
        <f t="shared" ca="1" si="44"/>
        <v>15979.736842105263</v>
      </c>
      <c r="O51" s="147">
        <f t="shared" ca="1" si="44"/>
        <v>16379.21052631579</v>
      </c>
      <c r="P51" s="147">
        <f t="shared" ca="1" si="44"/>
        <v>16788.552631578947</v>
      </c>
      <c r="Q51" s="147">
        <f t="shared" ca="1" si="44"/>
        <v>17208.157894736843</v>
      </c>
      <c r="R51" s="147">
        <f t="shared" ca="1" si="44"/>
        <v>17638.42105263158</v>
      </c>
      <c r="S51" s="147">
        <f t="shared" ca="1" si="44"/>
        <v>18079.342105263157</v>
      </c>
      <c r="T51" s="147">
        <f t="shared" ca="1" si="44"/>
        <v>18531.315789473687</v>
      </c>
      <c r="U51" s="147">
        <f t="shared" ca="1" si="44"/>
        <v>18994.736842105263</v>
      </c>
      <c r="V51" s="147">
        <f t="shared" ca="1" si="44"/>
        <v>19469.605263157893</v>
      </c>
      <c r="W51" s="147">
        <f t="shared" ca="1" si="44"/>
        <v>19956.315789473687</v>
      </c>
      <c r="X51" s="147">
        <f t="shared" ca="1" si="44"/>
        <v>20455.263157894737</v>
      </c>
      <c r="Y51" s="147">
        <f t="shared" ca="1" si="44"/>
        <v>20966.84210526316</v>
      </c>
      <c r="Z51" s="147">
        <f t="shared" ca="1" si="44"/>
        <v>21491.05263157895</v>
      </c>
      <c r="AA51" s="147">
        <f t="shared" ca="1" si="44"/>
        <v>22028.289473684214</v>
      </c>
      <c r="AB51" s="147">
        <f t="shared" ca="1" si="44"/>
        <v>22578.947368421053</v>
      </c>
      <c r="AC51" s="147">
        <f t="shared" ca="1" si="44"/>
        <v>23143.421052631584</v>
      </c>
      <c r="AD51" s="147">
        <f t="shared" ca="1" si="44"/>
        <v>23722.105263157897</v>
      </c>
      <c r="AE51" s="147">
        <f t="shared" ca="1" si="44"/>
        <v>24315.000000000004</v>
      </c>
      <c r="AF51" s="147">
        <f t="shared" ca="1" si="44"/>
        <v>24922.89473684211</v>
      </c>
      <c r="AG51" s="147">
        <f t="shared" ca="1" si="44"/>
        <v>25545.789473684214</v>
      </c>
      <c r="AH51" s="147">
        <f t="shared" ca="1" si="44"/>
        <v>26184.47368421053</v>
      </c>
      <c r="AI51" s="147">
        <f t="shared" ca="1" si="44"/>
        <v>26838.947368421053</v>
      </c>
      <c r="AJ51" s="147">
        <f t="shared" ca="1" si="44"/>
        <v>27510.000000000007</v>
      </c>
      <c r="AK51" s="147">
        <f t="shared" ca="1" si="44"/>
        <v>28197.63157894737</v>
      </c>
      <c r="AL51" s="147">
        <f t="shared" ca="1" si="44"/>
        <v>28902.63157894737</v>
      </c>
      <c r="AM51" s="147">
        <f t="shared" ca="1" si="44"/>
        <v>29625.39473684211</v>
      </c>
      <c r="AN51" s="147">
        <f t="shared" ca="1" si="44"/>
        <v>30365.92105263158</v>
      </c>
      <c r="AO51" s="147">
        <f t="shared" ca="1" si="44"/>
        <v>31125</v>
      </c>
      <c r="AP51" s="147">
        <f t="shared" ca="1" si="44"/>
        <v>31903.026315789473</v>
      </c>
      <c r="AQ51" s="147">
        <f t="shared" ca="1" si="44"/>
        <v>32700.78947368421</v>
      </c>
      <c r="AR51" s="147">
        <f t="shared" ca="1" si="44"/>
        <v>33518.289473684214</v>
      </c>
      <c r="AS51" s="147">
        <f t="shared" ca="1" si="44"/>
        <v>34356.315789473687</v>
      </c>
      <c r="AT51" s="147">
        <f t="shared" ca="1" si="44"/>
        <v>35215.263157894733</v>
      </c>
    </row>
    <row r="52" spans="1:46" ht="12" customHeight="1">
      <c r="A52" s="113">
        <v>9</v>
      </c>
      <c r="B52" s="147">
        <f t="shared" ref="B52:B62" si="45">B$15*55%*1/209*150%</f>
        <v>12362.763157894737</v>
      </c>
      <c r="C52" s="112" t="s">
        <v>507</v>
      </c>
      <c r="D52" s="113">
        <v>9</v>
      </c>
      <c r="E52" s="147">
        <f t="shared" ref="E52:T62" si="46">E$15*55%*1/209*150%</f>
        <v>12795.394736842107</v>
      </c>
      <c r="F52" s="147">
        <f t="shared" ca="1" si="46"/>
        <v>13115.13157894737</v>
      </c>
      <c r="G52" s="147">
        <f t="shared" ca="1" si="46"/>
        <v>13443.157894736843</v>
      </c>
      <c r="H52" s="147">
        <f t="shared" ca="1" si="46"/>
        <v>13779.078947368424</v>
      </c>
      <c r="I52" s="147">
        <f t="shared" ca="1" si="46"/>
        <v>14123.684210526317</v>
      </c>
      <c r="J52" s="147">
        <f t="shared" ca="1" si="46"/>
        <v>14476.973684210527</v>
      </c>
      <c r="K52" s="147">
        <f t="shared" ca="1" si="46"/>
        <v>14838.947368421055</v>
      </c>
      <c r="L52" s="147">
        <f t="shared" ca="1" si="46"/>
        <v>15210</v>
      </c>
      <c r="M52" s="147">
        <f t="shared" ca="1" si="46"/>
        <v>15590.131578947367</v>
      </c>
      <c r="N52" s="147">
        <f t="shared" ca="1" si="46"/>
        <v>15979.736842105263</v>
      </c>
      <c r="O52" s="147">
        <f t="shared" ca="1" si="46"/>
        <v>16379.21052631579</v>
      </c>
      <c r="P52" s="147">
        <f t="shared" ca="1" si="46"/>
        <v>16788.552631578947</v>
      </c>
      <c r="Q52" s="147">
        <f t="shared" ca="1" si="46"/>
        <v>17208.157894736843</v>
      </c>
      <c r="R52" s="147">
        <f t="shared" ca="1" si="46"/>
        <v>17638.42105263158</v>
      </c>
      <c r="S52" s="147">
        <f t="shared" ca="1" si="46"/>
        <v>18079.342105263157</v>
      </c>
      <c r="T52" s="147">
        <f t="shared" ca="1" si="46"/>
        <v>18531.315789473687</v>
      </c>
      <c r="U52" s="147">
        <f t="shared" ca="1" si="44"/>
        <v>18994.736842105263</v>
      </c>
      <c r="V52" s="147">
        <f t="shared" ca="1" si="44"/>
        <v>19469.605263157893</v>
      </c>
      <c r="W52" s="147">
        <f t="shared" ca="1" si="44"/>
        <v>19956.315789473687</v>
      </c>
      <c r="X52" s="147">
        <f t="shared" ca="1" si="44"/>
        <v>20455.263157894737</v>
      </c>
      <c r="Y52" s="147">
        <f t="shared" ca="1" si="44"/>
        <v>20966.84210526316</v>
      </c>
      <c r="Z52" s="147">
        <f t="shared" ca="1" si="44"/>
        <v>21491.05263157895</v>
      </c>
      <c r="AA52" s="147">
        <f t="shared" ca="1" si="44"/>
        <v>22028.289473684214</v>
      </c>
      <c r="AB52" s="147">
        <f t="shared" ca="1" si="44"/>
        <v>22578.947368421053</v>
      </c>
      <c r="AC52" s="147">
        <f t="shared" ca="1" si="44"/>
        <v>23143.421052631584</v>
      </c>
      <c r="AD52" s="147">
        <f t="shared" ca="1" si="44"/>
        <v>23722.105263157897</v>
      </c>
      <c r="AE52" s="147">
        <f t="shared" ca="1" si="44"/>
        <v>24315.000000000004</v>
      </c>
      <c r="AF52" s="147">
        <f t="shared" ca="1" si="44"/>
        <v>24922.89473684211</v>
      </c>
      <c r="AG52" s="147">
        <f t="shared" ca="1" si="44"/>
        <v>25545.789473684214</v>
      </c>
      <c r="AH52" s="147">
        <f t="shared" ca="1" si="44"/>
        <v>26184.47368421053</v>
      </c>
      <c r="AI52" s="147">
        <f t="shared" ca="1" si="44"/>
        <v>26838.947368421053</v>
      </c>
      <c r="AJ52" s="147">
        <f t="shared" ca="1" si="44"/>
        <v>27510.000000000007</v>
      </c>
      <c r="AK52" s="147">
        <f t="shared" ca="1" si="44"/>
        <v>28197.63157894737</v>
      </c>
      <c r="AL52" s="147">
        <f t="shared" ca="1" si="44"/>
        <v>28902.63157894737</v>
      </c>
      <c r="AM52" s="147">
        <f t="shared" ca="1" si="44"/>
        <v>29625.39473684211</v>
      </c>
      <c r="AN52" s="147">
        <f t="shared" ca="1" si="44"/>
        <v>30365.92105263158</v>
      </c>
      <c r="AO52" s="147">
        <f t="shared" ca="1" si="44"/>
        <v>31125</v>
      </c>
      <c r="AP52" s="147">
        <f t="shared" ca="1" si="44"/>
        <v>31903.026315789473</v>
      </c>
      <c r="AQ52" s="147">
        <f t="shared" ca="1" si="44"/>
        <v>32700.78947368421</v>
      </c>
      <c r="AR52" s="147">
        <f t="shared" ca="1" si="44"/>
        <v>33518.289473684214</v>
      </c>
      <c r="AS52" s="147">
        <f t="shared" ca="1" si="44"/>
        <v>34356.315789473687</v>
      </c>
      <c r="AT52" s="147">
        <f t="shared" ca="1" si="44"/>
        <v>35215.263157894733</v>
      </c>
    </row>
    <row r="53" spans="1:46" ht="12" customHeight="1">
      <c r="A53" s="113">
        <v>10</v>
      </c>
      <c r="B53" s="147">
        <f t="shared" si="45"/>
        <v>12362.763157894737</v>
      </c>
      <c r="C53" s="112" t="s">
        <v>499</v>
      </c>
      <c r="D53" s="113">
        <v>10</v>
      </c>
      <c r="E53" s="147">
        <f t="shared" si="46"/>
        <v>12795.394736842107</v>
      </c>
      <c r="F53" s="147">
        <f t="shared" ca="1" si="44"/>
        <v>13115.13157894737</v>
      </c>
      <c r="G53" s="147">
        <f t="shared" ca="1" si="44"/>
        <v>13443.157894736843</v>
      </c>
      <c r="H53" s="147">
        <f t="shared" ca="1" si="44"/>
        <v>13779.078947368424</v>
      </c>
      <c r="I53" s="147">
        <f t="shared" ca="1" si="44"/>
        <v>14123.684210526317</v>
      </c>
      <c r="J53" s="147">
        <f t="shared" ca="1" si="44"/>
        <v>14476.973684210527</v>
      </c>
      <c r="K53" s="147">
        <f t="shared" ca="1" si="44"/>
        <v>14838.947368421055</v>
      </c>
      <c r="L53" s="147">
        <f t="shared" ca="1" si="44"/>
        <v>15210</v>
      </c>
      <c r="M53" s="147">
        <f t="shared" ca="1" si="44"/>
        <v>15590.131578947367</v>
      </c>
      <c r="N53" s="147">
        <f t="shared" ca="1" si="44"/>
        <v>15979.736842105263</v>
      </c>
      <c r="O53" s="147">
        <f t="shared" ca="1" si="44"/>
        <v>16379.21052631579</v>
      </c>
      <c r="P53" s="147">
        <f t="shared" ca="1" si="44"/>
        <v>16788.552631578947</v>
      </c>
      <c r="Q53" s="147">
        <f t="shared" ca="1" si="44"/>
        <v>17208.157894736843</v>
      </c>
      <c r="R53" s="147">
        <f t="shared" ca="1" si="44"/>
        <v>17638.42105263158</v>
      </c>
      <c r="S53" s="147">
        <f t="shared" ca="1" si="44"/>
        <v>18079.342105263157</v>
      </c>
      <c r="T53" s="147">
        <f t="shared" ca="1" si="44"/>
        <v>18531.315789473687</v>
      </c>
      <c r="U53" s="147">
        <f t="shared" ca="1" si="44"/>
        <v>18994.736842105263</v>
      </c>
      <c r="V53" s="147">
        <f t="shared" ca="1" si="44"/>
        <v>19469.605263157893</v>
      </c>
      <c r="W53" s="147">
        <f t="shared" ca="1" si="44"/>
        <v>19956.315789473687</v>
      </c>
      <c r="X53" s="147">
        <f t="shared" ca="1" si="44"/>
        <v>20455.263157894737</v>
      </c>
      <c r="Y53" s="147">
        <f t="shared" ca="1" si="44"/>
        <v>20966.84210526316</v>
      </c>
      <c r="Z53" s="147">
        <f t="shared" ca="1" si="44"/>
        <v>21491.05263157895</v>
      </c>
      <c r="AA53" s="147">
        <f t="shared" ca="1" si="44"/>
        <v>22028.289473684214</v>
      </c>
      <c r="AB53" s="147">
        <f t="shared" ca="1" si="44"/>
        <v>22578.947368421053</v>
      </c>
      <c r="AC53" s="147">
        <f t="shared" ca="1" si="44"/>
        <v>23143.421052631584</v>
      </c>
      <c r="AD53" s="147">
        <f t="shared" ca="1" si="44"/>
        <v>23722.105263157897</v>
      </c>
      <c r="AE53" s="147">
        <f t="shared" ca="1" si="44"/>
        <v>24315.000000000004</v>
      </c>
      <c r="AF53" s="147">
        <f t="shared" ca="1" si="44"/>
        <v>24922.89473684211</v>
      </c>
      <c r="AG53" s="147">
        <f t="shared" ca="1" si="44"/>
        <v>25545.789473684214</v>
      </c>
      <c r="AH53" s="147">
        <f t="shared" ca="1" si="44"/>
        <v>26184.47368421053</v>
      </c>
      <c r="AI53" s="147">
        <f t="shared" ca="1" si="44"/>
        <v>26838.947368421053</v>
      </c>
      <c r="AJ53" s="147">
        <f t="shared" ca="1" si="44"/>
        <v>27510.000000000007</v>
      </c>
      <c r="AK53" s="147">
        <f t="shared" ca="1" si="44"/>
        <v>28197.63157894737</v>
      </c>
      <c r="AL53" s="147">
        <f t="shared" ca="1" si="44"/>
        <v>28902.63157894737</v>
      </c>
      <c r="AM53" s="147">
        <f t="shared" ca="1" si="44"/>
        <v>29625.39473684211</v>
      </c>
      <c r="AN53" s="147">
        <f t="shared" ca="1" si="44"/>
        <v>30365.92105263158</v>
      </c>
      <c r="AO53" s="147">
        <f t="shared" ca="1" si="44"/>
        <v>31125</v>
      </c>
      <c r="AP53" s="147">
        <f t="shared" ca="1" si="44"/>
        <v>31903.026315789473</v>
      </c>
      <c r="AQ53" s="147">
        <f t="shared" ca="1" si="44"/>
        <v>32700.78947368421</v>
      </c>
      <c r="AR53" s="147">
        <f t="shared" ca="1" si="44"/>
        <v>33518.289473684214</v>
      </c>
      <c r="AS53" s="147">
        <f t="shared" ca="1" si="44"/>
        <v>34356.315789473687</v>
      </c>
      <c r="AT53" s="147">
        <f t="shared" ca="1" si="44"/>
        <v>35215.263157894733</v>
      </c>
    </row>
    <row r="54" spans="1:46" ht="12" customHeight="1">
      <c r="A54" s="113">
        <v>11</v>
      </c>
      <c r="B54" s="147">
        <f t="shared" si="45"/>
        <v>12362.763157894737</v>
      </c>
      <c r="C54" s="112" t="s">
        <v>432</v>
      </c>
      <c r="D54" s="113">
        <v>11</v>
      </c>
      <c r="E54" s="147">
        <f t="shared" si="46"/>
        <v>12795.394736842107</v>
      </c>
      <c r="F54" s="147">
        <f t="shared" ca="1" si="44"/>
        <v>13115.13157894737</v>
      </c>
      <c r="G54" s="147">
        <f t="shared" ca="1" si="44"/>
        <v>13443.157894736843</v>
      </c>
      <c r="H54" s="147">
        <f t="shared" ca="1" si="44"/>
        <v>13779.078947368424</v>
      </c>
      <c r="I54" s="147">
        <f t="shared" ca="1" si="44"/>
        <v>14123.684210526317</v>
      </c>
      <c r="J54" s="147">
        <f t="shared" ca="1" si="44"/>
        <v>14476.973684210527</v>
      </c>
      <c r="K54" s="147">
        <f t="shared" ca="1" si="44"/>
        <v>14838.947368421055</v>
      </c>
      <c r="L54" s="147">
        <f t="shared" ca="1" si="44"/>
        <v>15210</v>
      </c>
      <c r="M54" s="147">
        <f t="shared" ca="1" si="44"/>
        <v>15590.131578947367</v>
      </c>
      <c r="N54" s="147">
        <f t="shared" ca="1" si="44"/>
        <v>15979.736842105263</v>
      </c>
      <c r="O54" s="147">
        <f t="shared" ca="1" si="44"/>
        <v>16379.21052631579</v>
      </c>
      <c r="P54" s="147">
        <f t="shared" ca="1" si="44"/>
        <v>16788.552631578947</v>
      </c>
      <c r="Q54" s="147">
        <f t="shared" ca="1" si="44"/>
        <v>17208.157894736843</v>
      </c>
      <c r="R54" s="147">
        <f t="shared" ca="1" si="44"/>
        <v>17638.42105263158</v>
      </c>
      <c r="S54" s="147">
        <f t="shared" ca="1" si="44"/>
        <v>18079.342105263157</v>
      </c>
      <c r="T54" s="147">
        <f t="shared" ca="1" si="44"/>
        <v>18531.315789473687</v>
      </c>
      <c r="U54" s="147">
        <f t="shared" ca="1" si="44"/>
        <v>18994.736842105263</v>
      </c>
      <c r="V54" s="147">
        <f t="shared" ca="1" si="44"/>
        <v>19469.605263157893</v>
      </c>
      <c r="W54" s="147">
        <f t="shared" ca="1" si="44"/>
        <v>19956.315789473687</v>
      </c>
      <c r="X54" s="147">
        <f t="shared" ca="1" si="44"/>
        <v>20455.263157894737</v>
      </c>
      <c r="Y54" s="147">
        <f t="shared" ca="1" si="44"/>
        <v>20966.84210526316</v>
      </c>
      <c r="Z54" s="147">
        <f t="shared" ca="1" si="44"/>
        <v>21491.05263157895</v>
      </c>
      <c r="AA54" s="147">
        <f t="shared" ca="1" si="44"/>
        <v>22028.289473684214</v>
      </c>
      <c r="AB54" s="147">
        <f t="shared" ca="1" si="44"/>
        <v>22578.947368421053</v>
      </c>
      <c r="AC54" s="147">
        <f t="shared" ca="1" si="44"/>
        <v>23143.421052631584</v>
      </c>
      <c r="AD54" s="147">
        <f t="shared" ca="1" si="44"/>
        <v>23722.105263157897</v>
      </c>
      <c r="AE54" s="147">
        <f t="shared" ca="1" si="44"/>
        <v>24315.000000000004</v>
      </c>
      <c r="AF54" s="147">
        <f t="shared" ca="1" si="44"/>
        <v>24922.89473684211</v>
      </c>
      <c r="AG54" s="147">
        <f t="shared" ca="1" si="44"/>
        <v>25545.789473684214</v>
      </c>
      <c r="AH54" s="147">
        <f t="shared" ca="1" si="44"/>
        <v>26184.47368421053</v>
      </c>
      <c r="AI54" s="147">
        <f t="shared" ca="1" si="44"/>
        <v>26838.947368421053</v>
      </c>
      <c r="AJ54" s="147">
        <f t="shared" ca="1" si="44"/>
        <v>27510.000000000007</v>
      </c>
      <c r="AK54" s="147">
        <f t="shared" ca="1" si="44"/>
        <v>28197.63157894737</v>
      </c>
      <c r="AL54" s="147">
        <f t="shared" ca="1" si="44"/>
        <v>28902.63157894737</v>
      </c>
      <c r="AM54" s="147">
        <f t="shared" ca="1" si="44"/>
        <v>29625.39473684211</v>
      </c>
      <c r="AN54" s="147">
        <f t="shared" ca="1" si="44"/>
        <v>30365.92105263158</v>
      </c>
      <c r="AO54" s="147">
        <f t="shared" ca="1" si="44"/>
        <v>31125</v>
      </c>
      <c r="AP54" s="147">
        <f t="shared" ca="1" si="44"/>
        <v>31903.026315789473</v>
      </c>
      <c r="AQ54" s="147">
        <f t="shared" ca="1" si="44"/>
        <v>32700.78947368421</v>
      </c>
      <c r="AR54" s="147">
        <f t="shared" ca="1" si="44"/>
        <v>33518.289473684214</v>
      </c>
      <c r="AS54" s="147">
        <f t="shared" ca="1" si="44"/>
        <v>34356.315789473687</v>
      </c>
      <c r="AT54" s="147">
        <f t="shared" ca="1" si="44"/>
        <v>35215.263157894733</v>
      </c>
    </row>
    <row r="55" spans="1:46" ht="12" customHeight="1">
      <c r="A55" s="113">
        <v>12</v>
      </c>
      <c r="B55" s="147">
        <f t="shared" si="45"/>
        <v>12362.763157894737</v>
      </c>
      <c r="C55" s="112" t="s">
        <v>447</v>
      </c>
      <c r="D55" s="113">
        <v>12</v>
      </c>
      <c r="E55" s="147">
        <f t="shared" si="46"/>
        <v>12795.394736842107</v>
      </c>
      <c r="F55" s="147">
        <f t="shared" ca="1" si="44"/>
        <v>13115.13157894737</v>
      </c>
      <c r="G55" s="147">
        <f t="shared" ca="1" si="44"/>
        <v>13443.157894736843</v>
      </c>
      <c r="H55" s="147">
        <f t="shared" ca="1" si="44"/>
        <v>13779.078947368424</v>
      </c>
      <c r="I55" s="147">
        <f t="shared" ca="1" si="44"/>
        <v>14123.684210526317</v>
      </c>
      <c r="J55" s="147">
        <f t="shared" ca="1" si="44"/>
        <v>14476.973684210527</v>
      </c>
      <c r="K55" s="147">
        <f t="shared" ca="1" si="44"/>
        <v>14838.947368421055</v>
      </c>
      <c r="L55" s="147">
        <f t="shared" ca="1" si="44"/>
        <v>15210</v>
      </c>
      <c r="M55" s="147">
        <f t="shared" ca="1" si="44"/>
        <v>15590.131578947367</v>
      </c>
      <c r="N55" s="147">
        <f t="shared" ca="1" si="44"/>
        <v>15979.736842105263</v>
      </c>
      <c r="O55" s="147">
        <f t="shared" ca="1" si="44"/>
        <v>16379.21052631579</v>
      </c>
      <c r="P55" s="147">
        <f t="shared" ca="1" si="44"/>
        <v>16788.552631578947</v>
      </c>
      <c r="Q55" s="147">
        <f t="shared" ca="1" si="44"/>
        <v>17208.157894736843</v>
      </c>
      <c r="R55" s="147">
        <f t="shared" ca="1" si="44"/>
        <v>17638.42105263158</v>
      </c>
      <c r="S55" s="147">
        <f t="shared" ca="1" si="44"/>
        <v>18079.342105263157</v>
      </c>
      <c r="T55" s="147">
        <f t="shared" ca="1" si="44"/>
        <v>18531.315789473687</v>
      </c>
      <c r="U55" s="147">
        <f t="shared" ca="1" si="44"/>
        <v>18994.736842105263</v>
      </c>
      <c r="V55" s="147">
        <f t="shared" ca="1" si="44"/>
        <v>19469.605263157893</v>
      </c>
      <c r="W55" s="147">
        <f t="shared" ca="1" si="44"/>
        <v>19956.315789473687</v>
      </c>
      <c r="X55" s="147">
        <f t="shared" ca="1" si="44"/>
        <v>20455.263157894737</v>
      </c>
      <c r="Y55" s="147">
        <f t="shared" ca="1" si="44"/>
        <v>20966.84210526316</v>
      </c>
      <c r="Z55" s="147">
        <f t="shared" ca="1" si="44"/>
        <v>21491.05263157895</v>
      </c>
      <c r="AA55" s="147">
        <f t="shared" ca="1" si="44"/>
        <v>22028.289473684214</v>
      </c>
      <c r="AB55" s="147">
        <f t="shared" ca="1" si="44"/>
        <v>22578.947368421053</v>
      </c>
      <c r="AC55" s="147">
        <f t="shared" ca="1" si="44"/>
        <v>23143.421052631584</v>
      </c>
      <c r="AD55" s="147">
        <f t="shared" ca="1" si="44"/>
        <v>23722.105263157897</v>
      </c>
      <c r="AE55" s="147">
        <f t="shared" ca="1" si="44"/>
        <v>24315.000000000004</v>
      </c>
      <c r="AF55" s="147">
        <f t="shared" ca="1" si="44"/>
        <v>24922.89473684211</v>
      </c>
      <c r="AG55" s="147">
        <f t="shared" ca="1" si="44"/>
        <v>25545.789473684214</v>
      </c>
      <c r="AH55" s="147">
        <f t="shared" ca="1" si="44"/>
        <v>26184.47368421053</v>
      </c>
      <c r="AI55" s="147">
        <f t="shared" ca="1" si="44"/>
        <v>26838.947368421053</v>
      </c>
      <c r="AJ55" s="147">
        <f t="shared" ca="1" si="44"/>
        <v>27510.000000000007</v>
      </c>
      <c r="AK55" s="147">
        <f t="shared" ca="1" si="44"/>
        <v>28197.63157894737</v>
      </c>
      <c r="AL55" s="147">
        <f t="shared" ca="1" si="44"/>
        <v>28902.63157894737</v>
      </c>
      <c r="AM55" s="147">
        <f t="shared" ca="1" si="44"/>
        <v>29625.39473684211</v>
      </c>
      <c r="AN55" s="147">
        <f t="shared" ca="1" si="44"/>
        <v>30365.92105263158</v>
      </c>
      <c r="AO55" s="147">
        <f t="shared" ca="1" si="44"/>
        <v>31125</v>
      </c>
      <c r="AP55" s="147">
        <f t="shared" ca="1" si="44"/>
        <v>31903.026315789473</v>
      </c>
      <c r="AQ55" s="147">
        <f t="shared" ca="1" si="44"/>
        <v>32700.78947368421</v>
      </c>
      <c r="AR55" s="147">
        <f t="shared" ca="1" si="44"/>
        <v>33518.289473684214</v>
      </c>
      <c r="AS55" s="147">
        <f t="shared" ca="1" si="44"/>
        <v>34356.315789473687</v>
      </c>
      <c r="AT55" s="147">
        <f t="shared" ca="1" si="44"/>
        <v>35215.263157894733</v>
      </c>
    </row>
    <row r="56" spans="1:46" ht="12" customHeight="1">
      <c r="A56" s="113">
        <v>13</v>
      </c>
      <c r="B56" s="147">
        <f t="shared" si="45"/>
        <v>12362.763157894737</v>
      </c>
      <c r="C56" s="112"/>
      <c r="D56" s="113">
        <v>13</v>
      </c>
      <c r="E56" s="147">
        <f t="shared" si="46"/>
        <v>12795.394736842107</v>
      </c>
      <c r="F56" s="147">
        <f t="shared" ca="1" si="44"/>
        <v>13115.13157894737</v>
      </c>
      <c r="G56" s="147">
        <f t="shared" ca="1" si="44"/>
        <v>13443.157894736843</v>
      </c>
      <c r="H56" s="147">
        <f t="shared" ca="1" si="44"/>
        <v>13779.078947368424</v>
      </c>
      <c r="I56" s="147">
        <f t="shared" ca="1" si="44"/>
        <v>14123.684210526317</v>
      </c>
      <c r="J56" s="147">
        <f t="shared" ca="1" si="44"/>
        <v>14476.973684210527</v>
      </c>
      <c r="K56" s="147">
        <f t="shared" ca="1" si="44"/>
        <v>14838.947368421055</v>
      </c>
      <c r="L56" s="147">
        <f t="shared" ca="1" si="44"/>
        <v>15210</v>
      </c>
      <c r="M56" s="147">
        <f t="shared" ca="1" si="44"/>
        <v>15590.131578947367</v>
      </c>
      <c r="N56" s="147">
        <f t="shared" ca="1" si="44"/>
        <v>15979.736842105263</v>
      </c>
      <c r="O56" s="147">
        <f t="shared" ca="1" si="44"/>
        <v>16379.21052631579</v>
      </c>
      <c r="P56" s="147">
        <f t="shared" ca="1" si="44"/>
        <v>16788.552631578947</v>
      </c>
      <c r="Q56" s="147">
        <f t="shared" ca="1" si="44"/>
        <v>17208.157894736843</v>
      </c>
      <c r="R56" s="147">
        <f t="shared" ca="1" si="44"/>
        <v>17638.42105263158</v>
      </c>
      <c r="S56" s="147">
        <f t="shared" ca="1" si="44"/>
        <v>18079.342105263157</v>
      </c>
      <c r="T56" s="147">
        <f t="shared" ca="1" si="44"/>
        <v>18531.315789473687</v>
      </c>
      <c r="U56" s="147">
        <f t="shared" ca="1" si="44"/>
        <v>18994.736842105263</v>
      </c>
      <c r="V56" s="147">
        <f t="shared" ca="1" si="44"/>
        <v>19469.605263157893</v>
      </c>
      <c r="W56" s="147">
        <f t="shared" ca="1" si="44"/>
        <v>19956.315789473687</v>
      </c>
      <c r="X56" s="147">
        <f t="shared" ca="1" si="44"/>
        <v>20455.263157894737</v>
      </c>
      <c r="Y56" s="147">
        <f t="shared" ca="1" si="44"/>
        <v>20966.84210526316</v>
      </c>
      <c r="Z56" s="147">
        <f t="shared" ca="1" si="44"/>
        <v>21491.05263157895</v>
      </c>
      <c r="AA56" s="147">
        <f t="shared" ca="1" si="44"/>
        <v>22028.289473684214</v>
      </c>
      <c r="AB56" s="147">
        <f t="shared" ca="1" si="44"/>
        <v>22578.947368421053</v>
      </c>
      <c r="AC56" s="147">
        <f t="shared" ca="1" si="44"/>
        <v>23143.421052631584</v>
      </c>
      <c r="AD56" s="147">
        <f t="shared" ca="1" si="44"/>
        <v>23722.105263157897</v>
      </c>
      <c r="AE56" s="147">
        <f t="shared" ca="1" si="44"/>
        <v>24315.000000000004</v>
      </c>
      <c r="AF56" s="147">
        <f t="shared" ca="1" si="44"/>
        <v>24922.89473684211</v>
      </c>
      <c r="AG56" s="147">
        <f t="shared" ca="1" si="44"/>
        <v>25545.789473684214</v>
      </c>
      <c r="AH56" s="147">
        <f t="shared" ca="1" si="44"/>
        <v>26184.47368421053</v>
      </c>
      <c r="AI56" s="147">
        <f t="shared" ca="1" si="44"/>
        <v>26838.947368421053</v>
      </c>
      <c r="AJ56" s="147">
        <f t="shared" ca="1" si="44"/>
        <v>27510.000000000007</v>
      </c>
      <c r="AK56" s="147">
        <f t="shared" ca="1" si="44"/>
        <v>28197.63157894737</v>
      </c>
      <c r="AL56" s="147">
        <f t="shared" ca="1" si="44"/>
        <v>28902.63157894737</v>
      </c>
      <c r="AM56" s="147">
        <f t="shared" ca="1" si="44"/>
        <v>29625.39473684211</v>
      </c>
      <c r="AN56" s="147">
        <f t="shared" ca="1" si="44"/>
        <v>30365.92105263158</v>
      </c>
      <c r="AO56" s="147">
        <f t="shared" ca="1" si="44"/>
        <v>31125</v>
      </c>
      <c r="AP56" s="147">
        <f t="shared" ca="1" si="44"/>
        <v>31903.026315789473</v>
      </c>
      <c r="AQ56" s="147">
        <f t="shared" ca="1" si="44"/>
        <v>32700.78947368421</v>
      </c>
      <c r="AR56" s="147">
        <f t="shared" ca="1" si="44"/>
        <v>33518.289473684214</v>
      </c>
      <c r="AS56" s="147">
        <f t="shared" ca="1" si="44"/>
        <v>34356.315789473687</v>
      </c>
      <c r="AT56" s="147">
        <f t="shared" ca="1" si="44"/>
        <v>35215.263157894733</v>
      </c>
    </row>
    <row r="57" spans="1:46" ht="12" customHeight="1">
      <c r="A57" s="113">
        <v>14</v>
      </c>
      <c r="B57" s="147">
        <f t="shared" si="45"/>
        <v>12362.763157894737</v>
      </c>
      <c r="C57" s="112" t="s">
        <v>431</v>
      </c>
      <c r="D57" s="113">
        <v>14</v>
      </c>
      <c r="E57" s="147">
        <f t="shared" si="46"/>
        <v>12795.394736842107</v>
      </c>
      <c r="F57" s="147">
        <f t="shared" ca="1" si="44"/>
        <v>13115.13157894737</v>
      </c>
      <c r="G57" s="147">
        <f t="shared" ca="1" si="44"/>
        <v>13443.157894736843</v>
      </c>
      <c r="H57" s="147">
        <f t="shared" ca="1" si="44"/>
        <v>13779.078947368424</v>
      </c>
      <c r="I57" s="147">
        <f t="shared" ca="1" si="44"/>
        <v>14123.684210526317</v>
      </c>
      <c r="J57" s="147">
        <f t="shared" ca="1" si="44"/>
        <v>14476.973684210527</v>
      </c>
      <c r="K57" s="147">
        <f t="shared" ca="1" si="44"/>
        <v>14838.947368421055</v>
      </c>
      <c r="L57" s="147">
        <f t="shared" ca="1" si="44"/>
        <v>15210</v>
      </c>
      <c r="M57" s="147">
        <f t="shared" ca="1" si="44"/>
        <v>15590.131578947367</v>
      </c>
      <c r="N57" s="147">
        <f t="shared" ca="1" si="44"/>
        <v>15979.736842105263</v>
      </c>
      <c r="O57" s="147">
        <f t="shared" ca="1" si="44"/>
        <v>16379.21052631579</v>
      </c>
      <c r="P57" s="147">
        <f t="shared" ca="1" si="44"/>
        <v>16788.552631578947</v>
      </c>
      <c r="Q57" s="147">
        <f t="shared" ca="1" si="44"/>
        <v>17208.157894736843</v>
      </c>
      <c r="R57" s="147">
        <f t="shared" ca="1" si="44"/>
        <v>17638.42105263158</v>
      </c>
      <c r="S57" s="147">
        <f t="shared" ca="1" si="44"/>
        <v>18079.342105263157</v>
      </c>
      <c r="T57" s="147">
        <f t="shared" ca="1" si="44"/>
        <v>18531.315789473687</v>
      </c>
      <c r="U57" s="147">
        <f t="shared" ca="1" si="44"/>
        <v>18994.736842105263</v>
      </c>
      <c r="V57" s="147">
        <f t="shared" ca="1" si="44"/>
        <v>19469.605263157893</v>
      </c>
      <c r="W57" s="147">
        <f t="shared" ca="1" si="44"/>
        <v>19956.315789473687</v>
      </c>
      <c r="X57" s="147">
        <f t="shared" ca="1" si="44"/>
        <v>20455.263157894737</v>
      </c>
      <c r="Y57" s="147">
        <f t="shared" ca="1" si="44"/>
        <v>20966.84210526316</v>
      </c>
      <c r="Z57" s="147">
        <f t="shared" ca="1" si="44"/>
        <v>21491.05263157895</v>
      </c>
      <c r="AA57" s="147">
        <f t="shared" ca="1" si="44"/>
        <v>22028.289473684214</v>
      </c>
      <c r="AB57" s="147">
        <f t="shared" ca="1" si="44"/>
        <v>22578.947368421053</v>
      </c>
      <c r="AC57" s="147">
        <f t="shared" ca="1" si="44"/>
        <v>23143.421052631584</v>
      </c>
      <c r="AD57" s="147">
        <f t="shared" ref="F57:AT62" ca="1" si="47">AD$15*55%*1/209*150%</f>
        <v>23722.105263157897</v>
      </c>
      <c r="AE57" s="147">
        <f t="shared" ca="1" si="47"/>
        <v>24315.000000000004</v>
      </c>
      <c r="AF57" s="147">
        <f t="shared" ca="1" si="47"/>
        <v>24922.89473684211</v>
      </c>
      <c r="AG57" s="147">
        <f t="shared" ca="1" si="47"/>
        <v>25545.789473684214</v>
      </c>
      <c r="AH57" s="147">
        <f t="shared" ca="1" si="47"/>
        <v>26184.47368421053</v>
      </c>
      <c r="AI57" s="147">
        <f t="shared" ca="1" si="47"/>
        <v>26838.947368421053</v>
      </c>
      <c r="AJ57" s="147">
        <f t="shared" ca="1" si="47"/>
        <v>27510.000000000007</v>
      </c>
      <c r="AK57" s="147">
        <f t="shared" ca="1" si="47"/>
        <v>28197.63157894737</v>
      </c>
      <c r="AL57" s="147">
        <f t="shared" ca="1" si="47"/>
        <v>28902.63157894737</v>
      </c>
      <c r="AM57" s="147">
        <f t="shared" ca="1" si="47"/>
        <v>29625.39473684211</v>
      </c>
      <c r="AN57" s="147">
        <f t="shared" ca="1" si="47"/>
        <v>30365.92105263158</v>
      </c>
      <c r="AO57" s="147">
        <f t="shared" ca="1" si="47"/>
        <v>31125</v>
      </c>
      <c r="AP57" s="147">
        <f t="shared" ca="1" si="47"/>
        <v>31903.026315789473</v>
      </c>
      <c r="AQ57" s="147">
        <f t="shared" ca="1" si="47"/>
        <v>32700.78947368421</v>
      </c>
      <c r="AR57" s="147">
        <f t="shared" ca="1" si="47"/>
        <v>33518.289473684214</v>
      </c>
      <c r="AS57" s="147">
        <f t="shared" ca="1" si="47"/>
        <v>34356.315789473687</v>
      </c>
      <c r="AT57" s="147">
        <f t="shared" ca="1" si="47"/>
        <v>35215.263157894733</v>
      </c>
    </row>
    <row r="58" spans="1:46" ht="12" customHeight="1">
      <c r="A58" s="113">
        <v>15</v>
      </c>
      <c r="B58" s="147">
        <f t="shared" si="45"/>
        <v>12362.763157894737</v>
      </c>
      <c r="C58" s="112" t="s">
        <v>493</v>
      </c>
      <c r="D58" s="113">
        <v>15</v>
      </c>
      <c r="E58" s="147">
        <f t="shared" si="46"/>
        <v>12795.394736842107</v>
      </c>
      <c r="F58" s="147">
        <f t="shared" ca="1" si="47"/>
        <v>13115.13157894737</v>
      </c>
      <c r="G58" s="147">
        <f t="shared" ca="1" si="47"/>
        <v>13443.157894736843</v>
      </c>
      <c r="H58" s="147">
        <f t="shared" ca="1" si="47"/>
        <v>13779.078947368424</v>
      </c>
      <c r="I58" s="147">
        <f t="shared" ca="1" si="47"/>
        <v>14123.684210526317</v>
      </c>
      <c r="J58" s="147">
        <f t="shared" ca="1" si="47"/>
        <v>14476.973684210527</v>
      </c>
      <c r="K58" s="147">
        <f t="shared" ca="1" si="47"/>
        <v>14838.947368421055</v>
      </c>
      <c r="L58" s="147">
        <f t="shared" ca="1" si="47"/>
        <v>15210</v>
      </c>
      <c r="M58" s="147">
        <f t="shared" ca="1" si="47"/>
        <v>15590.131578947367</v>
      </c>
      <c r="N58" s="147">
        <f t="shared" ca="1" si="47"/>
        <v>15979.736842105263</v>
      </c>
      <c r="O58" s="147">
        <f t="shared" ca="1" si="47"/>
        <v>16379.21052631579</v>
      </c>
      <c r="P58" s="147">
        <f t="shared" ca="1" si="47"/>
        <v>16788.552631578947</v>
      </c>
      <c r="Q58" s="147">
        <f t="shared" ca="1" si="47"/>
        <v>17208.157894736843</v>
      </c>
      <c r="R58" s="147">
        <f t="shared" ca="1" si="47"/>
        <v>17638.42105263158</v>
      </c>
      <c r="S58" s="147">
        <f t="shared" ca="1" si="47"/>
        <v>18079.342105263157</v>
      </c>
      <c r="T58" s="147">
        <f t="shared" ca="1" si="47"/>
        <v>18531.315789473687</v>
      </c>
      <c r="U58" s="147">
        <f t="shared" ca="1" si="47"/>
        <v>18994.736842105263</v>
      </c>
      <c r="V58" s="147">
        <f t="shared" ca="1" si="47"/>
        <v>19469.605263157893</v>
      </c>
      <c r="W58" s="147">
        <f t="shared" ca="1" si="47"/>
        <v>19956.315789473687</v>
      </c>
      <c r="X58" s="147">
        <f t="shared" ca="1" si="47"/>
        <v>20455.263157894737</v>
      </c>
      <c r="Y58" s="147">
        <f t="shared" ca="1" si="47"/>
        <v>20966.84210526316</v>
      </c>
      <c r="Z58" s="147">
        <f t="shared" ca="1" si="47"/>
        <v>21491.05263157895</v>
      </c>
      <c r="AA58" s="147">
        <f t="shared" ca="1" si="47"/>
        <v>22028.289473684214</v>
      </c>
      <c r="AB58" s="147">
        <f t="shared" ca="1" si="47"/>
        <v>22578.947368421053</v>
      </c>
      <c r="AC58" s="147">
        <f t="shared" ca="1" si="47"/>
        <v>23143.421052631584</v>
      </c>
      <c r="AD58" s="147">
        <f t="shared" ca="1" si="47"/>
        <v>23722.105263157897</v>
      </c>
      <c r="AE58" s="147">
        <f t="shared" ca="1" si="47"/>
        <v>24315.000000000004</v>
      </c>
      <c r="AF58" s="147">
        <f t="shared" ca="1" si="47"/>
        <v>24922.89473684211</v>
      </c>
      <c r="AG58" s="147">
        <f t="shared" ca="1" si="47"/>
        <v>25545.789473684214</v>
      </c>
      <c r="AH58" s="147">
        <f t="shared" ca="1" si="47"/>
        <v>26184.47368421053</v>
      </c>
      <c r="AI58" s="147">
        <f t="shared" ca="1" si="47"/>
        <v>26838.947368421053</v>
      </c>
      <c r="AJ58" s="147">
        <f t="shared" ca="1" si="47"/>
        <v>27510.000000000007</v>
      </c>
      <c r="AK58" s="147">
        <f t="shared" ca="1" si="47"/>
        <v>28197.63157894737</v>
      </c>
      <c r="AL58" s="147">
        <f t="shared" ca="1" si="47"/>
        <v>28902.63157894737</v>
      </c>
      <c r="AM58" s="147">
        <f t="shared" ca="1" si="47"/>
        <v>29625.39473684211</v>
      </c>
      <c r="AN58" s="147">
        <f t="shared" ca="1" si="47"/>
        <v>30365.92105263158</v>
      </c>
      <c r="AO58" s="147">
        <f t="shared" ca="1" si="47"/>
        <v>31125</v>
      </c>
      <c r="AP58" s="147">
        <f t="shared" ca="1" si="47"/>
        <v>31903.026315789473</v>
      </c>
      <c r="AQ58" s="147">
        <f t="shared" ca="1" si="47"/>
        <v>32700.78947368421</v>
      </c>
      <c r="AR58" s="147">
        <f t="shared" ca="1" si="47"/>
        <v>33518.289473684214</v>
      </c>
      <c r="AS58" s="147">
        <f t="shared" ca="1" si="47"/>
        <v>34356.315789473687</v>
      </c>
      <c r="AT58" s="147">
        <f t="shared" ca="1" si="47"/>
        <v>35215.263157894733</v>
      </c>
    </row>
    <row r="59" spans="1:46" ht="12" customHeight="1">
      <c r="A59" s="113">
        <v>16</v>
      </c>
      <c r="B59" s="147">
        <f t="shared" si="45"/>
        <v>12362.763157894737</v>
      </c>
      <c r="C59" s="112" t="s">
        <v>440</v>
      </c>
      <c r="D59" s="113">
        <v>16</v>
      </c>
      <c r="E59" s="147">
        <f t="shared" si="46"/>
        <v>12795.394736842107</v>
      </c>
      <c r="F59" s="147">
        <f t="shared" ca="1" si="47"/>
        <v>13115.13157894737</v>
      </c>
      <c r="G59" s="147">
        <f t="shared" ca="1" si="47"/>
        <v>13443.157894736843</v>
      </c>
      <c r="H59" s="147">
        <f t="shared" ca="1" si="47"/>
        <v>13779.078947368424</v>
      </c>
      <c r="I59" s="147">
        <f t="shared" ca="1" si="47"/>
        <v>14123.684210526317</v>
      </c>
      <c r="J59" s="147">
        <f t="shared" ca="1" si="47"/>
        <v>14476.973684210527</v>
      </c>
      <c r="K59" s="147">
        <f t="shared" ca="1" si="47"/>
        <v>14838.947368421055</v>
      </c>
      <c r="L59" s="147">
        <f t="shared" ca="1" si="47"/>
        <v>15210</v>
      </c>
      <c r="M59" s="147">
        <f t="shared" ca="1" si="47"/>
        <v>15590.131578947367</v>
      </c>
      <c r="N59" s="147">
        <f t="shared" ca="1" si="47"/>
        <v>15979.736842105263</v>
      </c>
      <c r="O59" s="147">
        <f t="shared" ca="1" si="47"/>
        <v>16379.21052631579</v>
      </c>
      <c r="P59" s="147">
        <f t="shared" ca="1" si="47"/>
        <v>16788.552631578947</v>
      </c>
      <c r="Q59" s="147">
        <f t="shared" ca="1" si="47"/>
        <v>17208.157894736843</v>
      </c>
      <c r="R59" s="147">
        <f t="shared" ca="1" si="47"/>
        <v>17638.42105263158</v>
      </c>
      <c r="S59" s="147">
        <f t="shared" ca="1" si="47"/>
        <v>18079.342105263157</v>
      </c>
      <c r="T59" s="147">
        <f t="shared" ca="1" si="47"/>
        <v>18531.315789473687</v>
      </c>
      <c r="U59" s="147">
        <f t="shared" ca="1" si="47"/>
        <v>18994.736842105263</v>
      </c>
      <c r="V59" s="147">
        <f t="shared" ca="1" si="47"/>
        <v>19469.605263157893</v>
      </c>
      <c r="W59" s="147">
        <f t="shared" ca="1" si="47"/>
        <v>19956.315789473687</v>
      </c>
      <c r="X59" s="147">
        <f t="shared" ca="1" si="47"/>
        <v>20455.263157894737</v>
      </c>
      <c r="Y59" s="147">
        <f t="shared" ca="1" si="47"/>
        <v>20966.84210526316</v>
      </c>
      <c r="Z59" s="147">
        <f t="shared" ca="1" si="47"/>
        <v>21491.05263157895</v>
      </c>
      <c r="AA59" s="147">
        <f t="shared" ca="1" si="47"/>
        <v>22028.289473684214</v>
      </c>
      <c r="AB59" s="147">
        <f t="shared" ca="1" si="47"/>
        <v>22578.947368421053</v>
      </c>
      <c r="AC59" s="147">
        <f t="shared" ca="1" si="47"/>
        <v>23143.421052631584</v>
      </c>
      <c r="AD59" s="147">
        <f t="shared" ca="1" si="47"/>
        <v>23722.105263157897</v>
      </c>
      <c r="AE59" s="147">
        <f t="shared" ca="1" si="47"/>
        <v>24315.000000000004</v>
      </c>
      <c r="AF59" s="147">
        <f t="shared" ca="1" si="47"/>
        <v>24922.89473684211</v>
      </c>
      <c r="AG59" s="147">
        <f t="shared" ca="1" si="47"/>
        <v>25545.789473684214</v>
      </c>
      <c r="AH59" s="147">
        <f t="shared" ca="1" si="47"/>
        <v>26184.47368421053</v>
      </c>
      <c r="AI59" s="147">
        <f t="shared" ca="1" si="47"/>
        <v>26838.947368421053</v>
      </c>
      <c r="AJ59" s="147">
        <f t="shared" ca="1" si="47"/>
        <v>27510.000000000007</v>
      </c>
      <c r="AK59" s="147">
        <f t="shared" ca="1" si="47"/>
        <v>28197.63157894737</v>
      </c>
      <c r="AL59" s="147">
        <f t="shared" ca="1" si="47"/>
        <v>28902.63157894737</v>
      </c>
      <c r="AM59" s="147">
        <f t="shared" ca="1" si="47"/>
        <v>29625.39473684211</v>
      </c>
      <c r="AN59" s="147">
        <f t="shared" ca="1" si="47"/>
        <v>30365.92105263158</v>
      </c>
      <c r="AO59" s="147">
        <f t="shared" ca="1" si="47"/>
        <v>31125</v>
      </c>
      <c r="AP59" s="147">
        <f t="shared" ca="1" si="47"/>
        <v>31903.026315789473</v>
      </c>
      <c r="AQ59" s="147">
        <f t="shared" ca="1" si="47"/>
        <v>32700.78947368421</v>
      </c>
      <c r="AR59" s="147">
        <f t="shared" ca="1" si="47"/>
        <v>33518.289473684214</v>
      </c>
      <c r="AS59" s="147">
        <f t="shared" ca="1" si="47"/>
        <v>34356.315789473687</v>
      </c>
      <c r="AT59" s="147">
        <f t="shared" ca="1" si="47"/>
        <v>35215.263157894733</v>
      </c>
    </row>
    <row r="60" spans="1:46" ht="12" customHeight="1">
      <c r="A60" s="113">
        <v>17</v>
      </c>
      <c r="B60" s="147">
        <f t="shared" si="45"/>
        <v>12362.763157894737</v>
      </c>
      <c r="C60" s="112" t="s">
        <v>449</v>
      </c>
      <c r="D60" s="113">
        <v>17</v>
      </c>
      <c r="E60" s="147">
        <f t="shared" si="46"/>
        <v>12795.394736842107</v>
      </c>
      <c r="F60" s="147">
        <f t="shared" ca="1" si="47"/>
        <v>13115.13157894737</v>
      </c>
      <c r="G60" s="147">
        <f t="shared" ca="1" si="47"/>
        <v>13443.157894736843</v>
      </c>
      <c r="H60" s="147">
        <f t="shared" ca="1" si="47"/>
        <v>13779.078947368424</v>
      </c>
      <c r="I60" s="147">
        <f t="shared" ca="1" si="47"/>
        <v>14123.684210526317</v>
      </c>
      <c r="J60" s="147">
        <f t="shared" ca="1" si="47"/>
        <v>14476.973684210527</v>
      </c>
      <c r="K60" s="147">
        <f t="shared" ca="1" si="47"/>
        <v>14838.947368421055</v>
      </c>
      <c r="L60" s="147">
        <f t="shared" ca="1" si="47"/>
        <v>15210</v>
      </c>
      <c r="M60" s="147">
        <f t="shared" ca="1" si="47"/>
        <v>15590.131578947367</v>
      </c>
      <c r="N60" s="147">
        <f t="shared" ca="1" si="47"/>
        <v>15979.736842105263</v>
      </c>
      <c r="O60" s="147">
        <f t="shared" ca="1" si="47"/>
        <v>16379.21052631579</v>
      </c>
      <c r="P60" s="147">
        <f t="shared" ca="1" si="47"/>
        <v>16788.552631578947</v>
      </c>
      <c r="Q60" s="147">
        <f t="shared" ca="1" si="47"/>
        <v>17208.157894736843</v>
      </c>
      <c r="R60" s="147">
        <f t="shared" ca="1" si="47"/>
        <v>17638.42105263158</v>
      </c>
      <c r="S60" s="147">
        <f t="shared" ca="1" si="47"/>
        <v>18079.342105263157</v>
      </c>
      <c r="T60" s="147">
        <f t="shared" ca="1" si="47"/>
        <v>18531.315789473687</v>
      </c>
      <c r="U60" s="147">
        <f t="shared" ca="1" si="47"/>
        <v>18994.736842105263</v>
      </c>
      <c r="V60" s="147">
        <f t="shared" ca="1" si="47"/>
        <v>19469.605263157893</v>
      </c>
      <c r="W60" s="147">
        <f t="shared" ca="1" si="47"/>
        <v>19956.315789473687</v>
      </c>
      <c r="X60" s="147">
        <f t="shared" ca="1" si="47"/>
        <v>20455.263157894737</v>
      </c>
      <c r="Y60" s="147">
        <f t="shared" ca="1" si="47"/>
        <v>20966.84210526316</v>
      </c>
      <c r="Z60" s="147">
        <f t="shared" ca="1" si="47"/>
        <v>21491.05263157895</v>
      </c>
      <c r="AA60" s="147">
        <f t="shared" ca="1" si="47"/>
        <v>22028.289473684214</v>
      </c>
      <c r="AB60" s="147">
        <f t="shared" ca="1" si="47"/>
        <v>22578.947368421053</v>
      </c>
      <c r="AC60" s="147">
        <f t="shared" ca="1" si="47"/>
        <v>23143.421052631584</v>
      </c>
      <c r="AD60" s="147">
        <f t="shared" ca="1" si="47"/>
        <v>23722.105263157897</v>
      </c>
      <c r="AE60" s="147">
        <f t="shared" ca="1" si="47"/>
        <v>24315.000000000004</v>
      </c>
      <c r="AF60" s="147">
        <f t="shared" ca="1" si="47"/>
        <v>24922.89473684211</v>
      </c>
      <c r="AG60" s="147">
        <f t="shared" ca="1" si="47"/>
        <v>25545.789473684214</v>
      </c>
      <c r="AH60" s="147">
        <f t="shared" ca="1" si="47"/>
        <v>26184.47368421053</v>
      </c>
      <c r="AI60" s="147">
        <f t="shared" ca="1" si="47"/>
        <v>26838.947368421053</v>
      </c>
      <c r="AJ60" s="147">
        <f t="shared" ca="1" si="47"/>
        <v>27510.000000000007</v>
      </c>
      <c r="AK60" s="147">
        <f t="shared" ca="1" si="47"/>
        <v>28197.63157894737</v>
      </c>
      <c r="AL60" s="147">
        <f t="shared" ca="1" si="47"/>
        <v>28902.63157894737</v>
      </c>
      <c r="AM60" s="147">
        <f t="shared" ca="1" si="47"/>
        <v>29625.39473684211</v>
      </c>
      <c r="AN60" s="147">
        <f t="shared" ca="1" si="47"/>
        <v>30365.92105263158</v>
      </c>
      <c r="AO60" s="147">
        <f t="shared" ca="1" si="47"/>
        <v>31125</v>
      </c>
      <c r="AP60" s="147">
        <f t="shared" ca="1" si="47"/>
        <v>31903.026315789473</v>
      </c>
      <c r="AQ60" s="147">
        <f t="shared" ca="1" si="47"/>
        <v>32700.78947368421</v>
      </c>
      <c r="AR60" s="147">
        <f t="shared" ca="1" si="47"/>
        <v>33518.289473684214</v>
      </c>
      <c r="AS60" s="147">
        <f t="shared" ca="1" si="47"/>
        <v>34356.315789473687</v>
      </c>
      <c r="AT60" s="147">
        <f t="shared" ca="1" si="47"/>
        <v>35215.263157894733</v>
      </c>
    </row>
    <row r="61" spans="1:46" ht="12" customHeight="1">
      <c r="A61" s="113">
        <v>18</v>
      </c>
      <c r="B61" s="147">
        <f t="shared" si="45"/>
        <v>12362.763157894737</v>
      </c>
      <c r="C61" s="112" t="s">
        <v>453</v>
      </c>
      <c r="D61" s="113">
        <v>18</v>
      </c>
      <c r="E61" s="147">
        <f t="shared" si="46"/>
        <v>12795.394736842107</v>
      </c>
      <c r="F61" s="147">
        <f t="shared" ca="1" si="47"/>
        <v>13115.13157894737</v>
      </c>
      <c r="G61" s="147">
        <f t="shared" ca="1" si="47"/>
        <v>13443.157894736843</v>
      </c>
      <c r="H61" s="147">
        <f t="shared" ca="1" si="47"/>
        <v>13779.078947368424</v>
      </c>
      <c r="I61" s="147">
        <f t="shared" ca="1" si="47"/>
        <v>14123.684210526317</v>
      </c>
      <c r="J61" s="147">
        <f t="shared" ca="1" si="47"/>
        <v>14476.973684210527</v>
      </c>
      <c r="K61" s="147">
        <f t="shared" ca="1" si="47"/>
        <v>14838.947368421055</v>
      </c>
      <c r="L61" s="147">
        <f t="shared" ca="1" si="47"/>
        <v>15210</v>
      </c>
      <c r="M61" s="147">
        <f t="shared" ca="1" si="47"/>
        <v>15590.131578947367</v>
      </c>
      <c r="N61" s="147">
        <f t="shared" ca="1" si="47"/>
        <v>15979.736842105263</v>
      </c>
      <c r="O61" s="147">
        <f t="shared" ca="1" si="47"/>
        <v>16379.21052631579</v>
      </c>
      <c r="P61" s="147">
        <f t="shared" ca="1" si="47"/>
        <v>16788.552631578947</v>
      </c>
      <c r="Q61" s="147">
        <f t="shared" ca="1" si="47"/>
        <v>17208.157894736843</v>
      </c>
      <c r="R61" s="147">
        <f t="shared" ca="1" si="47"/>
        <v>17638.42105263158</v>
      </c>
      <c r="S61" s="147">
        <f t="shared" ca="1" si="47"/>
        <v>18079.342105263157</v>
      </c>
      <c r="T61" s="147">
        <f t="shared" ca="1" si="47"/>
        <v>18531.315789473687</v>
      </c>
      <c r="U61" s="147">
        <f t="shared" ca="1" si="47"/>
        <v>18994.736842105263</v>
      </c>
      <c r="V61" s="147">
        <f t="shared" ca="1" si="47"/>
        <v>19469.605263157893</v>
      </c>
      <c r="W61" s="147">
        <f t="shared" ca="1" si="47"/>
        <v>19956.315789473687</v>
      </c>
      <c r="X61" s="147">
        <f t="shared" ca="1" si="47"/>
        <v>20455.263157894737</v>
      </c>
      <c r="Y61" s="147">
        <f t="shared" ca="1" si="47"/>
        <v>20966.84210526316</v>
      </c>
      <c r="Z61" s="147">
        <f t="shared" ca="1" si="47"/>
        <v>21491.05263157895</v>
      </c>
      <c r="AA61" s="147">
        <f t="shared" ca="1" si="47"/>
        <v>22028.289473684214</v>
      </c>
      <c r="AB61" s="147">
        <f t="shared" ca="1" si="47"/>
        <v>22578.947368421053</v>
      </c>
      <c r="AC61" s="147">
        <f t="shared" ca="1" si="47"/>
        <v>23143.421052631584</v>
      </c>
      <c r="AD61" s="147">
        <f t="shared" ca="1" si="47"/>
        <v>23722.105263157897</v>
      </c>
      <c r="AE61" s="147">
        <f t="shared" ca="1" si="47"/>
        <v>24315.000000000004</v>
      </c>
      <c r="AF61" s="147">
        <f t="shared" ca="1" si="47"/>
        <v>24922.89473684211</v>
      </c>
      <c r="AG61" s="147">
        <f t="shared" ca="1" si="47"/>
        <v>25545.789473684214</v>
      </c>
      <c r="AH61" s="147">
        <f t="shared" ca="1" si="47"/>
        <v>26184.47368421053</v>
      </c>
      <c r="AI61" s="147">
        <f t="shared" ca="1" si="47"/>
        <v>26838.947368421053</v>
      </c>
      <c r="AJ61" s="147">
        <f t="shared" ca="1" si="47"/>
        <v>27510.000000000007</v>
      </c>
      <c r="AK61" s="147">
        <f t="shared" ca="1" si="47"/>
        <v>28197.63157894737</v>
      </c>
      <c r="AL61" s="147">
        <f t="shared" ca="1" si="47"/>
        <v>28902.63157894737</v>
      </c>
      <c r="AM61" s="147">
        <f t="shared" ca="1" si="47"/>
        <v>29625.39473684211</v>
      </c>
      <c r="AN61" s="147">
        <f t="shared" ca="1" si="47"/>
        <v>30365.92105263158</v>
      </c>
      <c r="AO61" s="147">
        <f t="shared" ca="1" si="47"/>
        <v>31125</v>
      </c>
      <c r="AP61" s="147">
        <f t="shared" ca="1" si="47"/>
        <v>31903.026315789473</v>
      </c>
      <c r="AQ61" s="147">
        <f t="shared" ca="1" si="47"/>
        <v>32700.78947368421</v>
      </c>
      <c r="AR61" s="147">
        <f t="shared" ca="1" si="47"/>
        <v>33518.289473684214</v>
      </c>
      <c r="AS61" s="147">
        <f t="shared" ca="1" si="47"/>
        <v>34356.315789473687</v>
      </c>
      <c r="AT61" s="147">
        <f t="shared" ca="1" si="47"/>
        <v>35215.263157894733</v>
      </c>
    </row>
    <row r="62" spans="1:46" ht="12" customHeight="1">
      <c r="A62" s="113">
        <v>19</v>
      </c>
      <c r="B62" s="147">
        <f t="shared" si="45"/>
        <v>12362.763157894737</v>
      </c>
      <c r="C62" s="112" t="s">
        <v>443</v>
      </c>
      <c r="D62" s="113">
        <v>19</v>
      </c>
      <c r="E62" s="147">
        <f t="shared" si="46"/>
        <v>12795.394736842107</v>
      </c>
      <c r="F62" s="147">
        <f t="shared" ca="1" si="47"/>
        <v>13115.13157894737</v>
      </c>
      <c r="G62" s="147">
        <f t="shared" ca="1" si="47"/>
        <v>13443.157894736843</v>
      </c>
      <c r="H62" s="147">
        <f t="shared" ca="1" si="47"/>
        <v>13779.078947368424</v>
      </c>
      <c r="I62" s="147">
        <f t="shared" ca="1" si="47"/>
        <v>14123.684210526317</v>
      </c>
      <c r="J62" s="147">
        <f t="shared" ca="1" si="47"/>
        <v>14476.973684210527</v>
      </c>
      <c r="K62" s="147">
        <f t="shared" ca="1" si="47"/>
        <v>14838.947368421055</v>
      </c>
      <c r="L62" s="147">
        <f t="shared" ca="1" si="47"/>
        <v>15210</v>
      </c>
      <c r="M62" s="147">
        <f t="shared" ca="1" si="47"/>
        <v>15590.131578947367</v>
      </c>
      <c r="N62" s="147">
        <f t="shared" ca="1" si="47"/>
        <v>15979.736842105263</v>
      </c>
      <c r="O62" s="147">
        <f t="shared" ca="1" si="47"/>
        <v>16379.21052631579</v>
      </c>
      <c r="P62" s="147">
        <f t="shared" ca="1" si="47"/>
        <v>16788.552631578947</v>
      </c>
      <c r="Q62" s="147">
        <f t="shared" ca="1" si="47"/>
        <v>17208.157894736843</v>
      </c>
      <c r="R62" s="147">
        <f t="shared" ca="1" si="47"/>
        <v>17638.42105263158</v>
      </c>
      <c r="S62" s="147">
        <f t="shared" ca="1" si="47"/>
        <v>18079.342105263157</v>
      </c>
      <c r="T62" s="147">
        <f t="shared" ca="1" si="47"/>
        <v>18531.315789473687</v>
      </c>
      <c r="U62" s="147">
        <f t="shared" ca="1" si="47"/>
        <v>18994.736842105263</v>
      </c>
      <c r="V62" s="147">
        <f t="shared" ca="1" si="47"/>
        <v>19469.605263157893</v>
      </c>
      <c r="W62" s="147">
        <f t="shared" ca="1" si="47"/>
        <v>19956.315789473687</v>
      </c>
      <c r="X62" s="147">
        <f t="shared" ca="1" si="47"/>
        <v>20455.263157894737</v>
      </c>
      <c r="Y62" s="147">
        <f t="shared" ca="1" si="47"/>
        <v>20966.84210526316</v>
      </c>
      <c r="Z62" s="147">
        <f t="shared" ca="1" si="47"/>
        <v>21491.05263157895</v>
      </c>
      <c r="AA62" s="147">
        <f t="shared" ca="1" si="47"/>
        <v>22028.289473684214</v>
      </c>
      <c r="AB62" s="147">
        <f t="shared" ca="1" si="47"/>
        <v>22578.947368421053</v>
      </c>
      <c r="AC62" s="147">
        <f t="shared" ca="1" si="47"/>
        <v>23143.421052631584</v>
      </c>
      <c r="AD62" s="147">
        <f t="shared" ca="1" si="47"/>
        <v>23722.105263157897</v>
      </c>
      <c r="AE62" s="147">
        <f t="shared" ca="1" si="47"/>
        <v>24315.000000000004</v>
      </c>
      <c r="AF62" s="147">
        <f t="shared" ca="1" si="47"/>
        <v>24922.89473684211</v>
      </c>
      <c r="AG62" s="147">
        <f t="shared" ca="1" si="47"/>
        <v>25545.789473684214</v>
      </c>
      <c r="AH62" s="147">
        <f t="shared" ca="1" si="47"/>
        <v>26184.47368421053</v>
      </c>
      <c r="AI62" s="147">
        <f t="shared" ca="1" si="47"/>
        <v>26838.947368421053</v>
      </c>
      <c r="AJ62" s="147">
        <f t="shared" ca="1" si="47"/>
        <v>27510.000000000007</v>
      </c>
      <c r="AK62" s="147">
        <f t="shared" ca="1" si="47"/>
        <v>28197.63157894737</v>
      </c>
      <c r="AL62" s="147">
        <f t="shared" ca="1" si="47"/>
        <v>28902.63157894737</v>
      </c>
      <c r="AM62" s="147">
        <f t="shared" ca="1" si="47"/>
        <v>29625.39473684211</v>
      </c>
      <c r="AN62" s="147">
        <f t="shared" ca="1" si="47"/>
        <v>30365.92105263158</v>
      </c>
      <c r="AO62" s="147">
        <f t="shared" ca="1" si="47"/>
        <v>31125</v>
      </c>
      <c r="AP62" s="147">
        <f t="shared" ca="1" si="47"/>
        <v>31903.026315789473</v>
      </c>
      <c r="AQ62" s="147">
        <f t="shared" ca="1" si="47"/>
        <v>32700.78947368421</v>
      </c>
      <c r="AR62" s="147">
        <f t="shared" ca="1" si="47"/>
        <v>33518.289473684214</v>
      </c>
      <c r="AS62" s="147">
        <f t="shared" ca="1" si="47"/>
        <v>34356.315789473687</v>
      </c>
      <c r="AT62" s="147">
        <f t="shared" ca="1" si="47"/>
        <v>35215.263157894733</v>
      </c>
    </row>
    <row r="63" spans="1:46" ht="12" customHeight="1">
      <c r="A63" s="113">
        <v>20</v>
      </c>
      <c r="B63" s="148">
        <f>B$18*55%*1/209*150%</f>
        <v>13732.500000000004</v>
      </c>
      <c r="C63" s="112" t="s">
        <v>430</v>
      </c>
      <c r="D63" s="113">
        <v>20</v>
      </c>
      <c r="E63" s="148">
        <f>E$18*55%*1/209*150%</f>
        <v>14213.289473684214</v>
      </c>
      <c r="F63" s="148">
        <f t="shared" ref="F63:AT69" ca="1" si="48">F$18*55%*1/209*150%</f>
        <v>14568.55263157895</v>
      </c>
      <c r="G63" s="148">
        <f t="shared" ca="1" si="48"/>
        <v>14932.894736842107</v>
      </c>
      <c r="H63" s="148">
        <f t="shared" ca="1" si="48"/>
        <v>15306.315789473685</v>
      </c>
      <c r="I63" s="148">
        <f t="shared" ca="1" si="48"/>
        <v>15688.815789473685</v>
      </c>
      <c r="J63" s="148">
        <f t="shared" ca="1" si="48"/>
        <v>16081.184210526315</v>
      </c>
      <c r="K63" s="148">
        <f t="shared" ca="1" si="48"/>
        <v>16483.026315789473</v>
      </c>
      <c r="L63" s="148">
        <f t="shared" ca="1" si="48"/>
        <v>16895.131578947367</v>
      </c>
      <c r="M63" s="148">
        <f t="shared" ca="1" si="48"/>
        <v>17317.5</v>
      </c>
      <c r="N63" s="148">
        <f t="shared" ca="1" si="48"/>
        <v>17750.526315789473</v>
      </c>
      <c r="O63" s="148">
        <f t="shared" ca="1" si="48"/>
        <v>18194.21052631579</v>
      </c>
      <c r="P63" s="148">
        <f t="shared" ca="1" si="48"/>
        <v>18648.947368421053</v>
      </c>
      <c r="Q63" s="148">
        <f t="shared" ca="1" si="48"/>
        <v>19115.131578947367</v>
      </c>
      <c r="R63" s="148">
        <f t="shared" ca="1" si="48"/>
        <v>19593.157894736843</v>
      </c>
      <c r="S63" s="148">
        <f t="shared" ca="1" si="48"/>
        <v>20083.026315789473</v>
      </c>
      <c r="T63" s="148">
        <f t="shared" ca="1" si="48"/>
        <v>20585.131578947367</v>
      </c>
      <c r="U63" s="148">
        <f t="shared" ca="1" si="48"/>
        <v>21099.868421052633</v>
      </c>
      <c r="V63" s="148">
        <f t="shared" ca="1" si="48"/>
        <v>21627.236842105267</v>
      </c>
      <c r="W63" s="148">
        <f t="shared" ca="1" si="48"/>
        <v>22168.026315789477</v>
      </c>
      <c r="X63" s="148">
        <f t="shared" ca="1" si="48"/>
        <v>22722.236842105267</v>
      </c>
      <c r="Y63" s="148">
        <f t="shared" ca="1" si="48"/>
        <v>23290.26315789474</v>
      </c>
      <c r="Z63" s="148">
        <f t="shared" ca="1" si="48"/>
        <v>23872.500000000004</v>
      </c>
      <c r="AA63" s="148">
        <f t="shared" ca="1" si="48"/>
        <v>24469.34210526316</v>
      </c>
      <c r="AB63" s="148">
        <f t="shared" ca="1" si="48"/>
        <v>25081.18421052632</v>
      </c>
      <c r="AC63" s="148">
        <f t="shared" ca="1" si="48"/>
        <v>25708.026315789473</v>
      </c>
      <c r="AD63" s="148">
        <f t="shared" ca="1" si="48"/>
        <v>26350.657894736847</v>
      </c>
      <c r="AE63" s="148">
        <f t="shared" ca="1" si="48"/>
        <v>27009.47368421053</v>
      </c>
      <c r="AF63" s="148">
        <f t="shared" ca="1" si="48"/>
        <v>27684.868421052633</v>
      </c>
      <c r="AG63" s="148">
        <f t="shared" ca="1" si="48"/>
        <v>28376.84210526316</v>
      </c>
      <c r="AH63" s="148">
        <f t="shared" ca="1" si="48"/>
        <v>29086.18421052632</v>
      </c>
      <c r="AI63" s="148">
        <f t="shared" ca="1" si="48"/>
        <v>29813.289473684214</v>
      </c>
      <c r="AJ63" s="148">
        <f t="shared" ca="1" si="48"/>
        <v>30558.552631578947</v>
      </c>
      <c r="AK63" s="148">
        <f t="shared" ca="1" si="48"/>
        <v>31322.36842105263</v>
      </c>
      <c r="AL63" s="148">
        <f t="shared" ca="1" si="48"/>
        <v>32105.526315789473</v>
      </c>
      <c r="AM63" s="148">
        <f t="shared" ca="1" si="48"/>
        <v>32908.026315789473</v>
      </c>
      <c r="AN63" s="148">
        <f t="shared" ca="1" si="48"/>
        <v>33730.65789473684</v>
      </c>
      <c r="AO63" s="148">
        <f t="shared" ca="1" si="48"/>
        <v>34573.815789473687</v>
      </c>
      <c r="AP63" s="148">
        <f t="shared" ca="1" si="48"/>
        <v>35438.289473684214</v>
      </c>
      <c r="AQ63" s="148">
        <f t="shared" ca="1" si="48"/>
        <v>36324.07894736842</v>
      </c>
      <c r="AR63" s="148">
        <f t="shared" ca="1" si="48"/>
        <v>37232.368421052626</v>
      </c>
      <c r="AS63" s="148">
        <f t="shared" ca="1" si="48"/>
        <v>38163.15789473684</v>
      </c>
      <c r="AT63" s="148">
        <f t="shared" ca="1" si="48"/>
        <v>39117.236842105267</v>
      </c>
    </row>
    <row r="64" spans="1:46" ht="12" customHeight="1">
      <c r="A64" s="113">
        <v>21</v>
      </c>
      <c r="B64" s="148">
        <f t="shared" ref="B64:B72" si="49">B$18*55%*1/209*150%</f>
        <v>13732.500000000004</v>
      </c>
      <c r="C64" s="112" t="s">
        <v>451</v>
      </c>
      <c r="D64" s="113">
        <v>21</v>
      </c>
      <c r="E64" s="148">
        <f t="shared" ref="E64:T72" si="50">E$18*55%*1/209*150%</f>
        <v>14213.289473684214</v>
      </c>
      <c r="F64" s="148">
        <f t="shared" ca="1" si="50"/>
        <v>14568.55263157895</v>
      </c>
      <c r="G64" s="148">
        <f t="shared" ca="1" si="50"/>
        <v>14932.894736842107</v>
      </c>
      <c r="H64" s="148">
        <f t="shared" ca="1" si="50"/>
        <v>15306.315789473685</v>
      </c>
      <c r="I64" s="148">
        <f t="shared" ca="1" si="50"/>
        <v>15688.815789473685</v>
      </c>
      <c r="J64" s="148">
        <f t="shared" ca="1" si="50"/>
        <v>16081.184210526315</v>
      </c>
      <c r="K64" s="148">
        <f t="shared" ca="1" si="50"/>
        <v>16483.026315789473</v>
      </c>
      <c r="L64" s="148">
        <f t="shared" ca="1" si="50"/>
        <v>16895.131578947367</v>
      </c>
      <c r="M64" s="148">
        <f t="shared" ca="1" si="50"/>
        <v>17317.5</v>
      </c>
      <c r="N64" s="148">
        <f t="shared" ca="1" si="50"/>
        <v>17750.526315789473</v>
      </c>
      <c r="O64" s="148">
        <f t="shared" ca="1" si="50"/>
        <v>18194.21052631579</v>
      </c>
      <c r="P64" s="148">
        <f t="shared" ca="1" si="50"/>
        <v>18648.947368421053</v>
      </c>
      <c r="Q64" s="148">
        <f t="shared" ca="1" si="50"/>
        <v>19115.131578947367</v>
      </c>
      <c r="R64" s="148">
        <f t="shared" ca="1" si="50"/>
        <v>19593.157894736843</v>
      </c>
      <c r="S64" s="148">
        <f t="shared" ca="1" si="50"/>
        <v>20083.026315789473</v>
      </c>
      <c r="T64" s="148">
        <f t="shared" ca="1" si="50"/>
        <v>20585.131578947367</v>
      </c>
      <c r="U64" s="148">
        <f t="shared" ca="1" si="48"/>
        <v>21099.868421052633</v>
      </c>
      <c r="V64" s="148">
        <f t="shared" ca="1" si="48"/>
        <v>21627.236842105267</v>
      </c>
      <c r="W64" s="148">
        <f t="shared" ca="1" si="48"/>
        <v>22168.026315789477</v>
      </c>
      <c r="X64" s="148">
        <f t="shared" ca="1" si="48"/>
        <v>22722.236842105267</v>
      </c>
      <c r="Y64" s="148">
        <f t="shared" ca="1" si="48"/>
        <v>23290.26315789474</v>
      </c>
      <c r="Z64" s="148">
        <f t="shared" ca="1" si="48"/>
        <v>23872.500000000004</v>
      </c>
      <c r="AA64" s="148">
        <f t="shared" ca="1" si="48"/>
        <v>24469.34210526316</v>
      </c>
      <c r="AB64" s="148">
        <f t="shared" ca="1" si="48"/>
        <v>25081.18421052632</v>
      </c>
      <c r="AC64" s="148">
        <f t="shared" ca="1" si="48"/>
        <v>25708.026315789473</v>
      </c>
      <c r="AD64" s="148">
        <f t="shared" ca="1" si="48"/>
        <v>26350.657894736847</v>
      </c>
      <c r="AE64" s="148">
        <f t="shared" ca="1" si="48"/>
        <v>27009.47368421053</v>
      </c>
      <c r="AF64" s="148">
        <f t="shared" ca="1" si="48"/>
        <v>27684.868421052633</v>
      </c>
      <c r="AG64" s="148">
        <f t="shared" ca="1" si="48"/>
        <v>28376.84210526316</v>
      </c>
      <c r="AH64" s="148">
        <f t="shared" ca="1" si="48"/>
        <v>29086.18421052632</v>
      </c>
      <c r="AI64" s="148">
        <f t="shared" ca="1" si="48"/>
        <v>29813.289473684214</v>
      </c>
      <c r="AJ64" s="148">
        <f t="shared" ca="1" si="48"/>
        <v>30558.552631578947</v>
      </c>
      <c r="AK64" s="148">
        <f t="shared" ca="1" si="48"/>
        <v>31322.36842105263</v>
      </c>
      <c r="AL64" s="148">
        <f t="shared" ca="1" si="48"/>
        <v>32105.526315789473</v>
      </c>
      <c r="AM64" s="148">
        <f t="shared" ca="1" si="48"/>
        <v>32908.026315789473</v>
      </c>
      <c r="AN64" s="148">
        <f t="shared" ca="1" si="48"/>
        <v>33730.65789473684</v>
      </c>
      <c r="AO64" s="148">
        <f t="shared" ca="1" si="48"/>
        <v>34573.815789473687</v>
      </c>
      <c r="AP64" s="148">
        <f t="shared" ca="1" si="48"/>
        <v>35438.289473684214</v>
      </c>
      <c r="AQ64" s="148">
        <f t="shared" ca="1" si="48"/>
        <v>36324.07894736842</v>
      </c>
      <c r="AR64" s="148">
        <f t="shared" ca="1" si="48"/>
        <v>37232.368421052626</v>
      </c>
      <c r="AS64" s="148">
        <f t="shared" ca="1" si="48"/>
        <v>38163.15789473684</v>
      </c>
      <c r="AT64" s="148">
        <f t="shared" ca="1" si="48"/>
        <v>39117.236842105267</v>
      </c>
    </row>
    <row r="65" spans="1:46" ht="12" customHeight="1">
      <c r="A65" s="113">
        <v>22</v>
      </c>
      <c r="B65" s="148">
        <f t="shared" si="49"/>
        <v>13732.500000000004</v>
      </c>
      <c r="C65" s="112" t="s">
        <v>452</v>
      </c>
      <c r="D65" s="113">
        <v>22</v>
      </c>
      <c r="E65" s="148">
        <f t="shared" si="50"/>
        <v>14213.289473684214</v>
      </c>
      <c r="F65" s="148">
        <f t="shared" ca="1" si="48"/>
        <v>14568.55263157895</v>
      </c>
      <c r="G65" s="148">
        <f t="shared" ca="1" si="48"/>
        <v>14932.894736842107</v>
      </c>
      <c r="H65" s="148">
        <f t="shared" ca="1" si="48"/>
        <v>15306.315789473685</v>
      </c>
      <c r="I65" s="148">
        <f t="shared" ca="1" si="48"/>
        <v>15688.815789473685</v>
      </c>
      <c r="J65" s="148">
        <f t="shared" ca="1" si="48"/>
        <v>16081.184210526315</v>
      </c>
      <c r="K65" s="148">
        <f t="shared" ca="1" si="48"/>
        <v>16483.026315789473</v>
      </c>
      <c r="L65" s="148">
        <f t="shared" ca="1" si="48"/>
        <v>16895.131578947367</v>
      </c>
      <c r="M65" s="148">
        <f t="shared" ca="1" si="48"/>
        <v>17317.5</v>
      </c>
      <c r="N65" s="148">
        <f t="shared" ca="1" si="48"/>
        <v>17750.526315789473</v>
      </c>
      <c r="O65" s="148">
        <f t="shared" ca="1" si="48"/>
        <v>18194.21052631579</v>
      </c>
      <c r="P65" s="148">
        <f t="shared" ca="1" si="48"/>
        <v>18648.947368421053</v>
      </c>
      <c r="Q65" s="148">
        <f t="shared" ca="1" si="48"/>
        <v>19115.131578947367</v>
      </c>
      <c r="R65" s="148">
        <f t="shared" ca="1" si="48"/>
        <v>19593.157894736843</v>
      </c>
      <c r="S65" s="148">
        <f t="shared" ca="1" si="48"/>
        <v>20083.026315789473</v>
      </c>
      <c r="T65" s="148">
        <f t="shared" ca="1" si="48"/>
        <v>20585.131578947367</v>
      </c>
      <c r="U65" s="148">
        <f t="shared" ca="1" si="48"/>
        <v>21099.868421052633</v>
      </c>
      <c r="V65" s="148">
        <f t="shared" ca="1" si="48"/>
        <v>21627.236842105267</v>
      </c>
      <c r="W65" s="148">
        <f t="shared" ca="1" si="48"/>
        <v>22168.026315789477</v>
      </c>
      <c r="X65" s="148">
        <f t="shared" ca="1" si="48"/>
        <v>22722.236842105267</v>
      </c>
      <c r="Y65" s="148">
        <f t="shared" ca="1" si="48"/>
        <v>23290.26315789474</v>
      </c>
      <c r="Z65" s="148">
        <f t="shared" ca="1" si="48"/>
        <v>23872.500000000004</v>
      </c>
      <c r="AA65" s="148">
        <f t="shared" ca="1" si="48"/>
        <v>24469.34210526316</v>
      </c>
      <c r="AB65" s="148">
        <f t="shared" ca="1" si="48"/>
        <v>25081.18421052632</v>
      </c>
      <c r="AC65" s="148">
        <f t="shared" ca="1" si="48"/>
        <v>25708.026315789473</v>
      </c>
      <c r="AD65" s="148">
        <f t="shared" ca="1" si="48"/>
        <v>26350.657894736847</v>
      </c>
      <c r="AE65" s="148">
        <f t="shared" ca="1" si="48"/>
        <v>27009.47368421053</v>
      </c>
      <c r="AF65" s="148">
        <f t="shared" ca="1" si="48"/>
        <v>27684.868421052633</v>
      </c>
      <c r="AG65" s="148">
        <f t="shared" ca="1" si="48"/>
        <v>28376.84210526316</v>
      </c>
      <c r="AH65" s="148">
        <f t="shared" ca="1" si="48"/>
        <v>29086.18421052632</v>
      </c>
      <c r="AI65" s="148">
        <f t="shared" ca="1" si="48"/>
        <v>29813.289473684214</v>
      </c>
      <c r="AJ65" s="148">
        <f t="shared" ca="1" si="48"/>
        <v>30558.552631578947</v>
      </c>
      <c r="AK65" s="148">
        <f t="shared" ca="1" si="48"/>
        <v>31322.36842105263</v>
      </c>
      <c r="AL65" s="148">
        <f t="shared" ca="1" si="48"/>
        <v>32105.526315789473</v>
      </c>
      <c r="AM65" s="148">
        <f t="shared" ca="1" si="48"/>
        <v>32908.026315789473</v>
      </c>
      <c r="AN65" s="148">
        <f t="shared" ca="1" si="48"/>
        <v>33730.65789473684</v>
      </c>
      <c r="AO65" s="148">
        <f t="shared" ca="1" si="48"/>
        <v>34573.815789473687</v>
      </c>
      <c r="AP65" s="148">
        <f t="shared" ca="1" si="48"/>
        <v>35438.289473684214</v>
      </c>
      <c r="AQ65" s="148">
        <f t="shared" ca="1" si="48"/>
        <v>36324.07894736842</v>
      </c>
      <c r="AR65" s="148">
        <f t="shared" ca="1" si="48"/>
        <v>37232.368421052626</v>
      </c>
      <c r="AS65" s="148">
        <f t="shared" ca="1" si="48"/>
        <v>38163.15789473684</v>
      </c>
      <c r="AT65" s="148">
        <f t="shared" ca="1" si="48"/>
        <v>39117.236842105267</v>
      </c>
    </row>
    <row r="66" spans="1:46" ht="12" customHeight="1">
      <c r="A66" s="113">
        <v>23</v>
      </c>
      <c r="B66" s="148">
        <f t="shared" si="49"/>
        <v>13732.500000000004</v>
      </c>
      <c r="C66" s="112" t="s">
        <v>433</v>
      </c>
      <c r="D66" s="113">
        <v>23</v>
      </c>
      <c r="E66" s="148">
        <f t="shared" si="50"/>
        <v>14213.289473684214</v>
      </c>
      <c r="F66" s="148">
        <f t="shared" ca="1" si="48"/>
        <v>14568.55263157895</v>
      </c>
      <c r="G66" s="148">
        <f t="shared" ca="1" si="48"/>
        <v>14932.894736842107</v>
      </c>
      <c r="H66" s="148">
        <f t="shared" ca="1" si="48"/>
        <v>15306.315789473685</v>
      </c>
      <c r="I66" s="148">
        <f t="shared" ca="1" si="48"/>
        <v>15688.815789473685</v>
      </c>
      <c r="J66" s="148">
        <f t="shared" ca="1" si="48"/>
        <v>16081.184210526315</v>
      </c>
      <c r="K66" s="148">
        <f t="shared" ca="1" si="48"/>
        <v>16483.026315789473</v>
      </c>
      <c r="L66" s="148">
        <f t="shared" ca="1" si="48"/>
        <v>16895.131578947367</v>
      </c>
      <c r="M66" s="148">
        <f t="shared" ca="1" si="48"/>
        <v>17317.5</v>
      </c>
      <c r="N66" s="148">
        <f t="shared" ca="1" si="48"/>
        <v>17750.526315789473</v>
      </c>
      <c r="O66" s="148">
        <f t="shared" ca="1" si="48"/>
        <v>18194.21052631579</v>
      </c>
      <c r="P66" s="148">
        <f t="shared" ca="1" si="48"/>
        <v>18648.947368421053</v>
      </c>
      <c r="Q66" s="148">
        <f t="shared" ca="1" si="48"/>
        <v>19115.131578947367</v>
      </c>
      <c r="R66" s="148">
        <f t="shared" ca="1" si="48"/>
        <v>19593.157894736843</v>
      </c>
      <c r="S66" s="148">
        <f t="shared" ca="1" si="48"/>
        <v>20083.026315789473</v>
      </c>
      <c r="T66" s="148">
        <f t="shared" ca="1" si="48"/>
        <v>20585.131578947367</v>
      </c>
      <c r="U66" s="148">
        <f t="shared" ca="1" si="48"/>
        <v>21099.868421052633</v>
      </c>
      <c r="V66" s="148">
        <f t="shared" ca="1" si="48"/>
        <v>21627.236842105267</v>
      </c>
      <c r="W66" s="148">
        <f t="shared" ca="1" si="48"/>
        <v>22168.026315789477</v>
      </c>
      <c r="X66" s="148">
        <f t="shared" ca="1" si="48"/>
        <v>22722.236842105267</v>
      </c>
      <c r="Y66" s="148">
        <f t="shared" ca="1" si="48"/>
        <v>23290.26315789474</v>
      </c>
      <c r="Z66" s="148">
        <f t="shared" ca="1" si="48"/>
        <v>23872.500000000004</v>
      </c>
      <c r="AA66" s="148">
        <f t="shared" ca="1" si="48"/>
        <v>24469.34210526316</v>
      </c>
      <c r="AB66" s="148">
        <f t="shared" ca="1" si="48"/>
        <v>25081.18421052632</v>
      </c>
      <c r="AC66" s="148">
        <f t="shared" ca="1" si="48"/>
        <v>25708.026315789473</v>
      </c>
      <c r="AD66" s="148">
        <f t="shared" ca="1" si="48"/>
        <v>26350.657894736847</v>
      </c>
      <c r="AE66" s="148">
        <f t="shared" ca="1" si="48"/>
        <v>27009.47368421053</v>
      </c>
      <c r="AF66" s="148">
        <f t="shared" ca="1" si="48"/>
        <v>27684.868421052633</v>
      </c>
      <c r="AG66" s="148">
        <f t="shared" ca="1" si="48"/>
        <v>28376.84210526316</v>
      </c>
      <c r="AH66" s="148">
        <f t="shared" ca="1" si="48"/>
        <v>29086.18421052632</v>
      </c>
      <c r="AI66" s="148">
        <f t="shared" ca="1" si="48"/>
        <v>29813.289473684214</v>
      </c>
      <c r="AJ66" s="148">
        <f t="shared" ca="1" si="48"/>
        <v>30558.552631578947</v>
      </c>
      <c r="AK66" s="148">
        <f t="shared" ca="1" si="48"/>
        <v>31322.36842105263</v>
      </c>
      <c r="AL66" s="148">
        <f t="shared" ca="1" si="48"/>
        <v>32105.526315789473</v>
      </c>
      <c r="AM66" s="148">
        <f t="shared" ca="1" si="48"/>
        <v>32908.026315789473</v>
      </c>
      <c r="AN66" s="148">
        <f t="shared" ca="1" si="48"/>
        <v>33730.65789473684</v>
      </c>
      <c r="AO66" s="148">
        <f t="shared" ca="1" si="48"/>
        <v>34573.815789473687</v>
      </c>
      <c r="AP66" s="148">
        <f t="shared" ca="1" si="48"/>
        <v>35438.289473684214</v>
      </c>
      <c r="AQ66" s="148">
        <f t="shared" ca="1" si="48"/>
        <v>36324.07894736842</v>
      </c>
      <c r="AR66" s="148">
        <f t="shared" ca="1" si="48"/>
        <v>37232.368421052626</v>
      </c>
      <c r="AS66" s="148">
        <f t="shared" ca="1" si="48"/>
        <v>38163.15789473684</v>
      </c>
      <c r="AT66" s="148">
        <f t="shared" ca="1" si="48"/>
        <v>39117.236842105267</v>
      </c>
    </row>
    <row r="67" spans="1:46" ht="12" customHeight="1">
      <c r="A67" s="113">
        <v>24</v>
      </c>
      <c r="B67" s="148">
        <f t="shared" si="49"/>
        <v>13732.500000000004</v>
      </c>
      <c r="C67" s="112" t="s">
        <v>444</v>
      </c>
      <c r="D67" s="113">
        <v>24</v>
      </c>
      <c r="E67" s="148">
        <f t="shared" si="50"/>
        <v>14213.289473684214</v>
      </c>
      <c r="F67" s="148">
        <f t="shared" ca="1" si="48"/>
        <v>14568.55263157895</v>
      </c>
      <c r="G67" s="148">
        <f t="shared" ca="1" si="48"/>
        <v>14932.894736842107</v>
      </c>
      <c r="H67" s="148">
        <f t="shared" ca="1" si="48"/>
        <v>15306.315789473685</v>
      </c>
      <c r="I67" s="148">
        <f t="shared" ca="1" si="48"/>
        <v>15688.815789473685</v>
      </c>
      <c r="J67" s="148">
        <f t="shared" ca="1" si="48"/>
        <v>16081.184210526315</v>
      </c>
      <c r="K67" s="148">
        <f t="shared" ca="1" si="48"/>
        <v>16483.026315789473</v>
      </c>
      <c r="L67" s="148">
        <f t="shared" ca="1" si="48"/>
        <v>16895.131578947367</v>
      </c>
      <c r="M67" s="148">
        <f t="shared" ca="1" si="48"/>
        <v>17317.5</v>
      </c>
      <c r="N67" s="148">
        <f t="shared" ca="1" si="48"/>
        <v>17750.526315789473</v>
      </c>
      <c r="O67" s="148">
        <f t="shared" ca="1" si="48"/>
        <v>18194.21052631579</v>
      </c>
      <c r="P67" s="148">
        <f t="shared" ca="1" si="48"/>
        <v>18648.947368421053</v>
      </c>
      <c r="Q67" s="148">
        <f t="shared" ca="1" si="48"/>
        <v>19115.131578947367</v>
      </c>
      <c r="R67" s="148">
        <f t="shared" ca="1" si="48"/>
        <v>19593.157894736843</v>
      </c>
      <c r="S67" s="148">
        <f t="shared" ca="1" si="48"/>
        <v>20083.026315789473</v>
      </c>
      <c r="T67" s="148">
        <f t="shared" ca="1" si="48"/>
        <v>20585.131578947367</v>
      </c>
      <c r="U67" s="148">
        <f t="shared" ca="1" si="48"/>
        <v>21099.868421052633</v>
      </c>
      <c r="V67" s="148">
        <f t="shared" ca="1" si="48"/>
        <v>21627.236842105267</v>
      </c>
      <c r="W67" s="148">
        <f t="shared" ca="1" si="48"/>
        <v>22168.026315789477</v>
      </c>
      <c r="X67" s="148">
        <f t="shared" ca="1" si="48"/>
        <v>22722.236842105267</v>
      </c>
      <c r="Y67" s="148">
        <f t="shared" ca="1" si="48"/>
        <v>23290.26315789474</v>
      </c>
      <c r="Z67" s="148">
        <f t="shared" ca="1" si="48"/>
        <v>23872.500000000004</v>
      </c>
      <c r="AA67" s="148">
        <f t="shared" ca="1" si="48"/>
        <v>24469.34210526316</v>
      </c>
      <c r="AB67" s="148">
        <f t="shared" ca="1" si="48"/>
        <v>25081.18421052632</v>
      </c>
      <c r="AC67" s="148">
        <f t="shared" ca="1" si="48"/>
        <v>25708.026315789473</v>
      </c>
      <c r="AD67" s="148">
        <f t="shared" ca="1" si="48"/>
        <v>26350.657894736847</v>
      </c>
      <c r="AE67" s="148">
        <f t="shared" ca="1" si="48"/>
        <v>27009.47368421053</v>
      </c>
      <c r="AF67" s="148">
        <f t="shared" ca="1" si="48"/>
        <v>27684.868421052633</v>
      </c>
      <c r="AG67" s="148">
        <f t="shared" ca="1" si="48"/>
        <v>28376.84210526316</v>
      </c>
      <c r="AH67" s="148">
        <f t="shared" ca="1" si="48"/>
        <v>29086.18421052632</v>
      </c>
      <c r="AI67" s="148">
        <f t="shared" ca="1" si="48"/>
        <v>29813.289473684214</v>
      </c>
      <c r="AJ67" s="148">
        <f t="shared" ca="1" si="48"/>
        <v>30558.552631578947</v>
      </c>
      <c r="AK67" s="148">
        <f t="shared" ca="1" si="48"/>
        <v>31322.36842105263</v>
      </c>
      <c r="AL67" s="148">
        <f t="shared" ca="1" si="48"/>
        <v>32105.526315789473</v>
      </c>
      <c r="AM67" s="148">
        <f t="shared" ca="1" si="48"/>
        <v>32908.026315789473</v>
      </c>
      <c r="AN67" s="148">
        <f t="shared" ca="1" si="48"/>
        <v>33730.65789473684</v>
      </c>
      <c r="AO67" s="148">
        <f t="shared" ca="1" si="48"/>
        <v>34573.815789473687</v>
      </c>
      <c r="AP67" s="148">
        <f t="shared" ca="1" si="48"/>
        <v>35438.289473684214</v>
      </c>
      <c r="AQ67" s="148">
        <f t="shared" ca="1" si="48"/>
        <v>36324.07894736842</v>
      </c>
      <c r="AR67" s="148">
        <f t="shared" ca="1" si="48"/>
        <v>37232.368421052626</v>
      </c>
      <c r="AS67" s="148">
        <f t="shared" ca="1" si="48"/>
        <v>38163.15789473684</v>
      </c>
      <c r="AT67" s="148">
        <f t="shared" ca="1" si="48"/>
        <v>39117.236842105267</v>
      </c>
    </row>
    <row r="68" spans="1:46" ht="12" customHeight="1">
      <c r="A68" s="113">
        <v>25</v>
      </c>
      <c r="B68" s="148">
        <f t="shared" si="49"/>
        <v>13732.500000000004</v>
      </c>
      <c r="C68" s="112" t="s">
        <v>429</v>
      </c>
      <c r="D68" s="113">
        <v>25</v>
      </c>
      <c r="E68" s="148">
        <f t="shared" si="50"/>
        <v>14213.289473684214</v>
      </c>
      <c r="F68" s="148">
        <f t="shared" ca="1" si="48"/>
        <v>14568.55263157895</v>
      </c>
      <c r="G68" s="148">
        <f t="shared" ca="1" si="48"/>
        <v>14932.894736842107</v>
      </c>
      <c r="H68" s="148">
        <f t="shared" ca="1" si="48"/>
        <v>15306.315789473685</v>
      </c>
      <c r="I68" s="148">
        <f t="shared" ca="1" si="48"/>
        <v>15688.815789473685</v>
      </c>
      <c r="J68" s="148">
        <f t="shared" ca="1" si="48"/>
        <v>16081.184210526315</v>
      </c>
      <c r="K68" s="148">
        <f t="shared" ca="1" si="48"/>
        <v>16483.026315789473</v>
      </c>
      <c r="L68" s="148">
        <f t="shared" ca="1" si="48"/>
        <v>16895.131578947367</v>
      </c>
      <c r="M68" s="148">
        <f t="shared" ca="1" si="48"/>
        <v>17317.5</v>
      </c>
      <c r="N68" s="148">
        <f t="shared" ca="1" si="48"/>
        <v>17750.526315789473</v>
      </c>
      <c r="O68" s="148">
        <f t="shared" ca="1" si="48"/>
        <v>18194.21052631579</v>
      </c>
      <c r="P68" s="148">
        <f t="shared" ca="1" si="48"/>
        <v>18648.947368421053</v>
      </c>
      <c r="Q68" s="148">
        <f t="shared" ca="1" si="48"/>
        <v>19115.131578947367</v>
      </c>
      <c r="R68" s="148">
        <f t="shared" ca="1" si="48"/>
        <v>19593.157894736843</v>
      </c>
      <c r="S68" s="148">
        <f t="shared" ca="1" si="48"/>
        <v>20083.026315789473</v>
      </c>
      <c r="T68" s="148">
        <f t="shared" ca="1" si="48"/>
        <v>20585.131578947367</v>
      </c>
      <c r="U68" s="148">
        <f t="shared" ca="1" si="48"/>
        <v>21099.868421052633</v>
      </c>
      <c r="V68" s="148">
        <f t="shared" ca="1" si="48"/>
        <v>21627.236842105267</v>
      </c>
      <c r="W68" s="148">
        <f t="shared" ca="1" si="48"/>
        <v>22168.026315789477</v>
      </c>
      <c r="X68" s="148">
        <f t="shared" ca="1" si="48"/>
        <v>22722.236842105267</v>
      </c>
      <c r="Y68" s="148">
        <f t="shared" ca="1" si="48"/>
        <v>23290.26315789474</v>
      </c>
      <c r="Z68" s="148">
        <f t="shared" ca="1" si="48"/>
        <v>23872.500000000004</v>
      </c>
      <c r="AA68" s="148">
        <f t="shared" ca="1" si="48"/>
        <v>24469.34210526316</v>
      </c>
      <c r="AB68" s="148">
        <f t="shared" ca="1" si="48"/>
        <v>25081.18421052632</v>
      </c>
      <c r="AC68" s="148">
        <f t="shared" ca="1" si="48"/>
        <v>25708.026315789473</v>
      </c>
      <c r="AD68" s="148">
        <f t="shared" ca="1" si="48"/>
        <v>26350.657894736847</v>
      </c>
      <c r="AE68" s="148">
        <f t="shared" ca="1" si="48"/>
        <v>27009.47368421053</v>
      </c>
      <c r="AF68" s="148">
        <f t="shared" ca="1" si="48"/>
        <v>27684.868421052633</v>
      </c>
      <c r="AG68" s="148">
        <f t="shared" ca="1" si="48"/>
        <v>28376.84210526316</v>
      </c>
      <c r="AH68" s="148">
        <f t="shared" ca="1" si="48"/>
        <v>29086.18421052632</v>
      </c>
      <c r="AI68" s="148">
        <f t="shared" ca="1" si="48"/>
        <v>29813.289473684214</v>
      </c>
      <c r="AJ68" s="148">
        <f t="shared" ca="1" si="48"/>
        <v>30558.552631578947</v>
      </c>
      <c r="AK68" s="148">
        <f t="shared" ca="1" si="48"/>
        <v>31322.36842105263</v>
      </c>
      <c r="AL68" s="148">
        <f t="shared" ca="1" si="48"/>
        <v>32105.526315789473</v>
      </c>
      <c r="AM68" s="148">
        <f t="shared" ca="1" si="48"/>
        <v>32908.026315789473</v>
      </c>
      <c r="AN68" s="148">
        <f t="shared" ca="1" si="48"/>
        <v>33730.65789473684</v>
      </c>
      <c r="AO68" s="148">
        <f t="shared" ca="1" si="48"/>
        <v>34573.815789473687</v>
      </c>
      <c r="AP68" s="148">
        <f t="shared" ca="1" si="48"/>
        <v>35438.289473684214</v>
      </c>
      <c r="AQ68" s="148">
        <f t="shared" ca="1" si="48"/>
        <v>36324.07894736842</v>
      </c>
      <c r="AR68" s="148">
        <f t="shared" ca="1" si="48"/>
        <v>37232.368421052626</v>
      </c>
      <c r="AS68" s="148">
        <f t="shared" ca="1" si="48"/>
        <v>38163.15789473684</v>
      </c>
      <c r="AT68" s="148">
        <f t="shared" ca="1" si="48"/>
        <v>39117.236842105267</v>
      </c>
    </row>
    <row r="69" spans="1:46" ht="12" customHeight="1">
      <c r="A69" s="113">
        <v>26</v>
      </c>
      <c r="B69" s="148">
        <f t="shared" si="49"/>
        <v>13732.500000000004</v>
      </c>
      <c r="C69" s="112" t="s">
        <v>455</v>
      </c>
      <c r="D69" s="113">
        <v>26</v>
      </c>
      <c r="E69" s="148">
        <f t="shared" si="50"/>
        <v>14213.289473684214</v>
      </c>
      <c r="F69" s="148">
        <f t="shared" ca="1" si="48"/>
        <v>14568.55263157895</v>
      </c>
      <c r="G69" s="148">
        <f t="shared" ca="1" si="48"/>
        <v>14932.894736842107</v>
      </c>
      <c r="H69" s="148">
        <f t="shared" ca="1" si="48"/>
        <v>15306.315789473685</v>
      </c>
      <c r="I69" s="148">
        <f t="shared" ca="1" si="48"/>
        <v>15688.815789473685</v>
      </c>
      <c r="J69" s="148">
        <f t="shared" ca="1" si="48"/>
        <v>16081.184210526315</v>
      </c>
      <c r="K69" s="148">
        <f t="shared" ca="1" si="48"/>
        <v>16483.026315789473</v>
      </c>
      <c r="L69" s="148">
        <f t="shared" ca="1" si="48"/>
        <v>16895.131578947367</v>
      </c>
      <c r="M69" s="148">
        <f t="shared" ca="1" si="48"/>
        <v>17317.5</v>
      </c>
      <c r="N69" s="148">
        <f t="shared" ca="1" si="48"/>
        <v>17750.526315789473</v>
      </c>
      <c r="O69" s="148">
        <f t="shared" ca="1" si="48"/>
        <v>18194.21052631579</v>
      </c>
      <c r="P69" s="148">
        <f t="shared" ca="1" si="48"/>
        <v>18648.947368421053</v>
      </c>
      <c r="Q69" s="148">
        <f t="shared" ca="1" si="48"/>
        <v>19115.131578947367</v>
      </c>
      <c r="R69" s="148">
        <f t="shared" ca="1" si="48"/>
        <v>19593.157894736843</v>
      </c>
      <c r="S69" s="148">
        <f t="shared" ca="1" si="48"/>
        <v>20083.026315789473</v>
      </c>
      <c r="T69" s="148">
        <f t="shared" ca="1" si="48"/>
        <v>20585.131578947367</v>
      </c>
      <c r="U69" s="148">
        <f t="shared" ca="1" si="48"/>
        <v>21099.868421052633</v>
      </c>
      <c r="V69" s="148">
        <f t="shared" ca="1" si="48"/>
        <v>21627.236842105267</v>
      </c>
      <c r="W69" s="148">
        <f t="shared" ca="1" si="48"/>
        <v>22168.026315789477</v>
      </c>
      <c r="X69" s="148">
        <f t="shared" ca="1" si="48"/>
        <v>22722.236842105267</v>
      </c>
      <c r="Y69" s="148">
        <f t="shared" ca="1" si="48"/>
        <v>23290.26315789474</v>
      </c>
      <c r="Z69" s="148">
        <f t="shared" ca="1" si="48"/>
        <v>23872.500000000004</v>
      </c>
      <c r="AA69" s="148">
        <f t="shared" ca="1" si="48"/>
        <v>24469.34210526316</v>
      </c>
      <c r="AB69" s="148">
        <f t="shared" ca="1" si="48"/>
        <v>25081.18421052632</v>
      </c>
      <c r="AC69" s="148">
        <f t="shared" ca="1" si="48"/>
        <v>25708.026315789473</v>
      </c>
      <c r="AD69" s="148">
        <f t="shared" ref="F69:AT72" ca="1" si="51">AD$18*55%*1/209*150%</f>
        <v>26350.657894736847</v>
      </c>
      <c r="AE69" s="148">
        <f t="shared" ca="1" si="51"/>
        <v>27009.47368421053</v>
      </c>
      <c r="AF69" s="148">
        <f t="shared" ca="1" si="51"/>
        <v>27684.868421052633</v>
      </c>
      <c r="AG69" s="148">
        <f t="shared" ca="1" si="51"/>
        <v>28376.84210526316</v>
      </c>
      <c r="AH69" s="148">
        <f t="shared" ca="1" si="51"/>
        <v>29086.18421052632</v>
      </c>
      <c r="AI69" s="148">
        <f t="shared" ca="1" si="51"/>
        <v>29813.289473684214</v>
      </c>
      <c r="AJ69" s="148">
        <f t="shared" ca="1" si="51"/>
        <v>30558.552631578947</v>
      </c>
      <c r="AK69" s="148">
        <f t="shared" ca="1" si="51"/>
        <v>31322.36842105263</v>
      </c>
      <c r="AL69" s="148">
        <f t="shared" ca="1" si="51"/>
        <v>32105.526315789473</v>
      </c>
      <c r="AM69" s="148">
        <f t="shared" ca="1" si="51"/>
        <v>32908.026315789473</v>
      </c>
      <c r="AN69" s="148">
        <f t="shared" ca="1" si="51"/>
        <v>33730.65789473684</v>
      </c>
      <c r="AO69" s="148">
        <f t="shared" ca="1" si="51"/>
        <v>34573.815789473687</v>
      </c>
      <c r="AP69" s="148">
        <f t="shared" ca="1" si="51"/>
        <v>35438.289473684214</v>
      </c>
      <c r="AQ69" s="148">
        <f t="shared" ca="1" si="51"/>
        <v>36324.07894736842</v>
      </c>
      <c r="AR69" s="148">
        <f t="shared" ca="1" si="51"/>
        <v>37232.368421052626</v>
      </c>
      <c r="AS69" s="148">
        <f t="shared" ca="1" si="51"/>
        <v>38163.15789473684</v>
      </c>
      <c r="AT69" s="148">
        <f t="shared" ca="1" si="51"/>
        <v>39117.236842105267</v>
      </c>
    </row>
    <row r="70" spans="1:46" ht="12" customHeight="1">
      <c r="A70" s="113">
        <v>27</v>
      </c>
      <c r="B70" s="148">
        <f t="shared" si="49"/>
        <v>13732.500000000004</v>
      </c>
      <c r="C70" s="112" t="s">
        <v>434</v>
      </c>
      <c r="D70" s="113">
        <v>27</v>
      </c>
      <c r="E70" s="148">
        <f t="shared" si="50"/>
        <v>14213.289473684214</v>
      </c>
      <c r="F70" s="148">
        <f t="shared" ca="1" si="51"/>
        <v>14568.55263157895</v>
      </c>
      <c r="G70" s="148">
        <f t="shared" ca="1" si="51"/>
        <v>14932.894736842107</v>
      </c>
      <c r="H70" s="148">
        <f t="shared" ca="1" si="51"/>
        <v>15306.315789473685</v>
      </c>
      <c r="I70" s="148">
        <f t="shared" ca="1" si="51"/>
        <v>15688.815789473685</v>
      </c>
      <c r="J70" s="148">
        <f t="shared" ca="1" si="51"/>
        <v>16081.184210526315</v>
      </c>
      <c r="K70" s="148">
        <f t="shared" ca="1" si="51"/>
        <v>16483.026315789473</v>
      </c>
      <c r="L70" s="148">
        <f t="shared" ca="1" si="51"/>
        <v>16895.131578947367</v>
      </c>
      <c r="M70" s="148">
        <f t="shared" ca="1" si="51"/>
        <v>17317.5</v>
      </c>
      <c r="N70" s="148">
        <f t="shared" ca="1" si="51"/>
        <v>17750.526315789473</v>
      </c>
      <c r="O70" s="148">
        <f t="shared" ca="1" si="51"/>
        <v>18194.21052631579</v>
      </c>
      <c r="P70" s="148">
        <f t="shared" ca="1" si="51"/>
        <v>18648.947368421053</v>
      </c>
      <c r="Q70" s="148">
        <f t="shared" ca="1" si="51"/>
        <v>19115.131578947367</v>
      </c>
      <c r="R70" s="148">
        <f t="shared" ca="1" si="51"/>
        <v>19593.157894736843</v>
      </c>
      <c r="S70" s="148">
        <f t="shared" ca="1" si="51"/>
        <v>20083.026315789473</v>
      </c>
      <c r="T70" s="148">
        <f t="shared" ca="1" si="51"/>
        <v>20585.131578947367</v>
      </c>
      <c r="U70" s="148">
        <f t="shared" ca="1" si="51"/>
        <v>21099.868421052633</v>
      </c>
      <c r="V70" s="148">
        <f t="shared" ca="1" si="51"/>
        <v>21627.236842105267</v>
      </c>
      <c r="W70" s="148">
        <f t="shared" ca="1" si="51"/>
        <v>22168.026315789477</v>
      </c>
      <c r="X70" s="148">
        <f t="shared" ca="1" si="51"/>
        <v>22722.236842105267</v>
      </c>
      <c r="Y70" s="148">
        <f t="shared" ca="1" si="51"/>
        <v>23290.26315789474</v>
      </c>
      <c r="Z70" s="148">
        <f t="shared" ca="1" si="51"/>
        <v>23872.500000000004</v>
      </c>
      <c r="AA70" s="148">
        <f t="shared" ca="1" si="51"/>
        <v>24469.34210526316</v>
      </c>
      <c r="AB70" s="148">
        <f t="shared" ca="1" si="51"/>
        <v>25081.18421052632</v>
      </c>
      <c r="AC70" s="148">
        <f t="shared" ca="1" si="51"/>
        <v>25708.026315789473</v>
      </c>
      <c r="AD70" s="148">
        <f t="shared" ca="1" si="51"/>
        <v>26350.657894736847</v>
      </c>
      <c r="AE70" s="148">
        <f t="shared" ca="1" si="51"/>
        <v>27009.47368421053</v>
      </c>
      <c r="AF70" s="148">
        <f t="shared" ca="1" si="51"/>
        <v>27684.868421052633</v>
      </c>
      <c r="AG70" s="148">
        <f t="shared" ca="1" si="51"/>
        <v>28376.84210526316</v>
      </c>
      <c r="AH70" s="148">
        <f t="shared" ca="1" si="51"/>
        <v>29086.18421052632</v>
      </c>
      <c r="AI70" s="148">
        <f t="shared" ca="1" si="51"/>
        <v>29813.289473684214</v>
      </c>
      <c r="AJ70" s="148">
        <f t="shared" ca="1" si="51"/>
        <v>30558.552631578947</v>
      </c>
      <c r="AK70" s="148">
        <f t="shared" ca="1" si="51"/>
        <v>31322.36842105263</v>
      </c>
      <c r="AL70" s="148">
        <f t="shared" ca="1" si="51"/>
        <v>32105.526315789473</v>
      </c>
      <c r="AM70" s="148">
        <f t="shared" ca="1" si="51"/>
        <v>32908.026315789473</v>
      </c>
      <c r="AN70" s="148">
        <f t="shared" ca="1" si="51"/>
        <v>33730.65789473684</v>
      </c>
      <c r="AO70" s="148">
        <f t="shared" ca="1" si="51"/>
        <v>34573.815789473687</v>
      </c>
      <c r="AP70" s="148">
        <f t="shared" ca="1" si="51"/>
        <v>35438.289473684214</v>
      </c>
      <c r="AQ70" s="148">
        <f t="shared" ca="1" si="51"/>
        <v>36324.07894736842</v>
      </c>
      <c r="AR70" s="148">
        <f t="shared" ca="1" si="51"/>
        <v>37232.368421052626</v>
      </c>
      <c r="AS70" s="148">
        <f t="shared" ca="1" si="51"/>
        <v>38163.15789473684</v>
      </c>
      <c r="AT70" s="148">
        <f t="shared" ca="1" si="51"/>
        <v>39117.236842105267</v>
      </c>
    </row>
    <row r="71" spans="1:46" ht="12" customHeight="1">
      <c r="A71" s="113">
        <v>28</v>
      </c>
      <c r="B71" s="148">
        <f t="shared" si="49"/>
        <v>13732.500000000004</v>
      </c>
      <c r="C71" s="112" t="s">
        <v>441</v>
      </c>
      <c r="D71" s="113">
        <v>28</v>
      </c>
      <c r="E71" s="148">
        <f t="shared" si="50"/>
        <v>14213.289473684214</v>
      </c>
      <c r="F71" s="148">
        <f t="shared" ca="1" si="51"/>
        <v>14568.55263157895</v>
      </c>
      <c r="G71" s="148">
        <f t="shared" ca="1" si="51"/>
        <v>14932.894736842107</v>
      </c>
      <c r="H71" s="148">
        <f t="shared" ca="1" si="51"/>
        <v>15306.315789473685</v>
      </c>
      <c r="I71" s="148">
        <f t="shared" ca="1" si="51"/>
        <v>15688.815789473685</v>
      </c>
      <c r="J71" s="148">
        <f t="shared" ca="1" si="51"/>
        <v>16081.184210526315</v>
      </c>
      <c r="K71" s="148">
        <f t="shared" ca="1" si="51"/>
        <v>16483.026315789473</v>
      </c>
      <c r="L71" s="148">
        <f t="shared" ca="1" si="51"/>
        <v>16895.131578947367</v>
      </c>
      <c r="M71" s="148">
        <f t="shared" ca="1" si="51"/>
        <v>17317.5</v>
      </c>
      <c r="N71" s="148">
        <f t="shared" ca="1" si="51"/>
        <v>17750.526315789473</v>
      </c>
      <c r="O71" s="148">
        <f t="shared" ca="1" si="51"/>
        <v>18194.21052631579</v>
      </c>
      <c r="P71" s="148">
        <f t="shared" ca="1" si="51"/>
        <v>18648.947368421053</v>
      </c>
      <c r="Q71" s="148">
        <f t="shared" ca="1" si="51"/>
        <v>19115.131578947367</v>
      </c>
      <c r="R71" s="148">
        <f t="shared" ca="1" si="51"/>
        <v>19593.157894736843</v>
      </c>
      <c r="S71" s="148">
        <f t="shared" ca="1" si="51"/>
        <v>20083.026315789473</v>
      </c>
      <c r="T71" s="148">
        <f t="shared" ca="1" si="51"/>
        <v>20585.131578947367</v>
      </c>
      <c r="U71" s="148">
        <f t="shared" ca="1" si="51"/>
        <v>21099.868421052633</v>
      </c>
      <c r="V71" s="148">
        <f t="shared" ca="1" si="51"/>
        <v>21627.236842105267</v>
      </c>
      <c r="W71" s="148">
        <f t="shared" ca="1" si="51"/>
        <v>22168.026315789477</v>
      </c>
      <c r="X71" s="148">
        <f t="shared" ca="1" si="51"/>
        <v>22722.236842105267</v>
      </c>
      <c r="Y71" s="148">
        <f t="shared" ca="1" si="51"/>
        <v>23290.26315789474</v>
      </c>
      <c r="Z71" s="148">
        <f t="shared" ca="1" si="51"/>
        <v>23872.500000000004</v>
      </c>
      <c r="AA71" s="148">
        <f t="shared" ca="1" si="51"/>
        <v>24469.34210526316</v>
      </c>
      <c r="AB71" s="148">
        <f t="shared" ca="1" si="51"/>
        <v>25081.18421052632</v>
      </c>
      <c r="AC71" s="148">
        <f t="shared" ca="1" si="51"/>
        <v>25708.026315789473</v>
      </c>
      <c r="AD71" s="148">
        <f t="shared" ca="1" si="51"/>
        <v>26350.657894736847</v>
      </c>
      <c r="AE71" s="148">
        <f t="shared" ca="1" si="51"/>
        <v>27009.47368421053</v>
      </c>
      <c r="AF71" s="148">
        <f t="shared" ca="1" si="51"/>
        <v>27684.868421052633</v>
      </c>
      <c r="AG71" s="148">
        <f t="shared" ca="1" si="51"/>
        <v>28376.84210526316</v>
      </c>
      <c r="AH71" s="148">
        <f t="shared" ca="1" si="51"/>
        <v>29086.18421052632</v>
      </c>
      <c r="AI71" s="148">
        <f t="shared" ca="1" si="51"/>
        <v>29813.289473684214</v>
      </c>
      <c r="AJ71" s="148">
        <f t="shared" ca="1" si="51"/>
        <v>30558.552631578947</v>
      </c>
      <c r="AK71" s="148">
        <f t="shared" ca="1" si="51"/>
        <v>31322.36842105263</v>
      </c>
      <c r="AL71" s="148">
        <f t="shared" ca="1" si="51"/>
        <v>32105.526315789473</v>
      </c>
      <c r="AM71" s="148">
        <f t="shared" ca="1" si="51"/>
        <v>32908.026315789473</v>
      </c>
      <c r="AN71" s="148">
        <f t="shared" ca="1" si="51"/>
        <v>33730.65789473684</v>
      </c>
      <c r="AO71" s="148">
        <f t="shared" ca="1" si="51"/>
        <v>34573.815789473687</v>
      </c>
      <c r="AP71" s="148">
        <f t="shared" ca="1" si="51"/>
        <v>35438.289473684214</v>
      </c>
      <c r="AQ71" s="148">
        <f t="shared" ca="1" si="51"/>
        <v>36324.07894736842</v>
      </c>
      <c r="AR71" s="148">
        <f t="shared" ca="1" si="51"/>
        <v>37232.368421052626</v>
      </c>
      <c r="AS71" s="148">
        <f t="shared" ca="1" si="51"/>
        <v>38163.15789473684</v>
      </c>
      <c r="AT71" s="148">
        <f t="shared" ca="1" si="51"/>
        <v>39117.236842105267</v>
      </c>
    </row>
    <row r="72" spans="1:46" ht="12" customHeight="1">
      <c r="A72" s="113">
        <v>29</v>
      </c>
      <c r="B72" s="148">
        <f t="shared" si="49"/>
        <v>13732.500000000004</v>
      </c>
      <c r="C72" s="112" t="s">
        <v>459</v>
      </c>
      <c r="D72" s="113">
        <v>29</v>
      </c>
      <c r="E72" s="148">
        <f t="shared" si="50"/>
        <v>14213.289473684214</v>
      </c>
      <c r="F72" s="148">
        <f t="shared" ca="1" si="51"/>
        <v>14568.55263157895</v>
      </c>
      <c r="G72" s="148">
        <f t="shared" ca="1" si="51"/>
        <v>14932.894736842107</v>
      </c>
      <c r="H72" s="148">
        <f t="shared" ca="1" si="51"/>
        <v>15306.315789473685</v>
      </c>
      <c r="I72" s="148">
        <f t="shared" ca="1" si="51"/>
        <v>15688.815789473685</v>
      </c>
      <c r="J72" s="148">
        <f t="shared" ca="1" si="51"/>
        <v>16081.184210526315</v>
      </c>
      <c r="K72" s="148">
        <f t="shared" ca="1" si="51"/>
        <v>16483.026315789473</v>
      </c>
      <c r="L72" s="148">
        <f t="shared" ca="1" si="51"/>
        <v>16895.131578947367</v>
      </c>
      <c r="M72" s="148">
        <f t="shared" ca="1" si="51"/>
        <v>17317.5</v>
      </c>
      <c r="N72" s="148">
        <f t="shared" ca="1" si="51"/>
        <v>17750.526315789473</v>
      </c>
      <c r="O72" s="148">
        <f t="shared" ca="1" si="51"/>
        <v>18194.21052631579</v>
      </c>
      <c r="P72" s="148">
        <f t="shared" ca="1" si="51"/>
        <v>18648.947368421053</v>
      </c>
      <c r="Q72" s="148">
        <f t="shared" ca="1" si="51"/>
        <v>19115.131578947367</v>
      </c>
      <c r="R72" s="148">
        <f t="shared" ca="1" si="51"/>
        <v>19593.157894736843</v>
      </c>
      <c r="S72" s="148">
        <f t="shared" ca="1" si="51"/>
        <v>20083.026315789473</v>
      </c>
      <c r="T72" s="148">
        <f t="shared" ca="1" si="51"/>
        <v>20585.131578947367</v>
      </c>
      <c r="U72" s="148">
        <f t="shared" ca="1" si="51"/>
        <v>21099.868421052633</v>
      </c>
      <c r="V72" s="148">
        <f t="shared" ca="1" si="51"/>
        <v>21627.236842105267</v>
      </c>
      <c r="W72" s="148">
        <f t="shared" ca="1" si="51"/>
        <v>22168.026315789477</v>
      </c>
      <c r="X72" s="148">
        <f t="shared" ca="1" si="51"/>
        <v>22722.236842105267</v>
      </c>
      <c r="Y72" s="148">
        <f t="shared" ca="1" si="51"/>
        <v>23290.26315789474</v>
      </c>
      <c r="Z72" s="148">
        <f t="shared" ca="1" si="51"/>
        <v>23872.500000000004</v>
      </c>
      <c r="AA72" s="148">
        <f t="shared" ca="1" si="51"/>
        <v>24469.34210526316</v>
      </c>
      <c r="AB72" s="148">
        <f t="shared" ca="1" si="51"/>
        <v>25081.18421052632</v>
      </c>
      <c r="AC72" s="148">
        <f t="shared" ca="1" si="51"/>
        <v>25708.026315789473</v>
      </c>
      <c r="AD72" s="148">
        <f t="shared" ca="1" si="51"/>
        <v>26350.657894736847</v>
      </c>
      <c r="AE72" s="148">
        <f t="shared" ca="1" si="51"/>
        <v>27009.47368421053</v>
      </c>
      <c r="AF72" s="148">
        <f t="shared" ca="1" si="51"/>
        <v>27684.868421052633</v>
      </c>
      <c r="AG72" s="148">
        <f t="shared" ca="1" si="51"/>
        <v>28376.84210526316</v>
      </c>
      <c r="AH72" s="148">
        <f t="shared" ca="1" si="51"/>
        <v>29086.18421052632</v>
      </c>
      <c r="AI72" s="148">
        <f t="shared" ca="1" si="51"/>
        <v>29813.289473684214</v>
      </c>
      <c r="AJ72" s="148">
        <f t="shared" ca="1" si="51"/>
        <v>30558.552631578947</v>
      </c>
      <c r="AK72" s="148">
        <f t="shared" ca="1" si="51"/>
        <v>31322.36842105263</v>
      </c>
      <c r="AL72" s="148">
        <f t="shared" ca="1" si="51"/>
        <v>32105.526315789473</v>
      </c>
      <c r="AM72" s="148">
        <f t="shared" ca="1" si="51"/>
        <v>32908.026315789473</v>
      </c>
      <c r="AN72" s="148">
        <f t="shared" ca="1" si="51"/>
        <v>33730.65789473684</v>
      </c>
      <c r="AO72" s="148">
        <f t="shared" ca="1" si="51"/>
        <v>34573.815789473687</v>
      </c>
      <c r="AP72" s="148">
        <f t="shared" ca="1" si="51"/>
        <v>35438.289473684214</v>
      </c>
      <c r="AQ72" s="148">
        <f t="shared" ca="1" si="51"/>
        <v>36324.07894736842</v>
      </c>
      <c r="AR72" s="148">
        <f t="shared" ca="1" si="51"/>
        <v>37232.368421052626</v>
      </c>
      <c r="AS72" s="148">
        <f t="shared" ca="1" si="51"/>
        <v>38163.15789473684</v>
      </c>
      <c r="AT72" s="148">
        <f t="shared" ca="1" si="51"/>
        <v>39117.236842105267</v>
      </c>
    </row>
    <row r="73" spans="1:46" ht="12" customHeight="1">
      <c r="A73" s="113">
        <v>30</v>
      </c>
      <c r="B73" s="149">
        <f>B$20*55%*1/209*150%</f>
        <v>14741.84210526316</v>
      </c>
      <c r="C73" s="112" t="s">
        <v>456</v>
      </c>
      <c r="D73" s="113">
        <v>30</v>
      </c>
      <c r="E73" s="149">
        <f>E$20*55%*1/209*150%</f>
        <v>15257.763157894737</v>
      </c>
      <c r="F73" s="149">
        <f t="shared" ref="F73:AT79" ca="1" si="52">F$20*55%*1/209*150%</f>
        <v>15639.07894736842</v>
      </c>
      <c r="G73" s="149">
        <f t="shared" ca="1" si="52"/>
        <v>16029.868421052633</v>
      </c>
      <c r="H73" s="149">
        <f t="shared" ca="1" si="52"/>
        <v>16430.526315789473</v>
      </c>
      <c r="I73" s="149">
        <f t="shared" ca="1" si="52"/>
        <v>16841.447368421053</v>
      </c>
      <c r="J73" s="149">
        <f t="shared" ca="1" si="52"/>
        <v>17262.631578947367</v>
      </c>
      <c r="K73" s="149">
        <f t="shared" ca="1" si="52"/>
        <v>17694.07894736842</v>
      </c>
      <c r="L73" s="149">
        <f t="shared" ca="1" si="52"/>
        <v>18136.57894736842</v>
      </c>
      <c r="M73" s="149">
        <f t="shared" ca="1" si="52"/>
        <v>18590.131578947367</v>
      </c>
      <c r="N73" s="149">
        <f t="shared" ca="1" si="52"/>
        <v>19054.736842105263</v>
      </c>
      <c r="O73" s="149">
        <f t="shared" ca="1" si="52"/>
        <v>19531.184210526313</v>
      </c>
      <c r="P73" s="149">
        <f t="shared" ca="1" si="52"/>
        <v>20019.473684210527</v>
      </c>
      <c r="Q73" s="149">
        <f t="shared" ca="1" si="52"/>
        <v>20520</v>
      </c>
      <c r="R73" s="149">
        <f t="shared" ca="1" si="52"/>
        <v>21033.157894736847</v>
      </c>
      <c r="S73" s="149">
        <f t="shared" ca="1" si="52"/>
        <v>21558.947368421053</v>
      </c>
      <c r="T73" s="149">
        <f t="shared" ca="1" si="52"/>
        <v>22097.76315789474</v>
      </c>
      <c r="U73" s="149">
        <f t="shared" ca="1" si="52"/>
        <v>22650.394736842107</v>
      </c>
      <c r="V73" s="149">
        <f t="shared" ca="1" si="52"/>
        <v>23216.84210526316</v>
      </c>
      <c r="W73" s="149">
        <f t="shared" ca="1" si="52"/>
        <v>23797.105263157897</v>
      </c>
      <c r="X73" s="149">
        <f t="shared" ca="1" si="52"/>
        <v>24391.97368421053</v>
      </c>
      <c r="Y73" s="149">
        <f t="shared" ca="1" si="52"/>
        <v>25001.84210526316</v>
      </c>
      <c r="Z73" s="149">
        <f t="shared" ca="1" si="52"/>
        <v>25626.710526315794</v>
      </c>
      <c r="AA73" s="149">
        <f t="shared" ca="1" si="52"/>
        <v>26267.368421052633</v>
      </c>
      <c r="AB73" s="149">
        <f t="shared" ca="1" si="52"/>
        <v>26924.210526315794</v>
      </c>
      <c r="AC73" s="149">
        <f t="shared" ca="1" si="52"/>
        <v>27597.236842105267</v>
      </c>
      <c r="AD73" s="149">
        <f t="shared" ca="1" si="52"/>
        <v>28287.236842105267</v>
      </c>
      <c r="AE73" s="149">
        <f t="shared" ca="1" si="52"/>
        <v>28994.6052631579</v>
      </c>
      <c r="AF73" s="149">
        <f t="shared" ca="1" si="52"/>
        <v>29719.34210526316</v>
      </c>
      <c r="AG73" s="149">
        <f t="shared" ca="1" si="52"/>
        <v>30462.236842105267</v>
      </c>
      <c r="AH73" s="149">
        <f t="shared" ca="1" si="52"/>
        <v>31223.684210526313</v>
      </c>
      <c r="AI73" s="149">
        <f t="shared" ca="1" si="52"/>
        <v>32004.473684210527</v>
      </c>
      <c r="AJ73" s="149">
        <f t="shared" ca="1" si="52"/>
        <v>32804.605263157893</v>
      </c>
      <c r="AK73" s="149">
        <f t="shared" ca="1" si="52"/>
        <v>33624.868421052626</v>
      </c>
      <c r="AL73" s="149">
        <f t="shared" ca="1" si="52"/>
        <v>34465.65789473684</v>
      </c>
      <c r="AM73" s="149">
        <f t="shared" ca="1" si="52"/>
        <v>35327.368421052626</v>
      </c>
      <c r="AN73" s="149">
        <f t="shared" ca="1" si="52"/>
        <v>36210.394736842107</v>
      </c>
      <c r="AO73" s="149">
        <f t="shared" ca="1" si="52"/>
        <v>37115.526315789473</v>
      </c>
      <c r="AP73" s="149">
        <f t="shared" ca="1" si="52"/>
        <v>38043.552631578947</v>
      </c>
      <c r="AQ73" s="149">
        <f t="shared" ca="1" si="52"/>
        <v>38994.473684210527</v>
      </c>
      <c r="AR73" s="149">
        <f t="shared" ca="1" si="52"/>
        <v>39969.473684210527</v>
      </c>
      <c r="AS73" s="149">
        <f t="shared" ca="1" si="52"/>
        <v>40968.552631578947</v>
      </c>
      <c r="AT73" s="149">
        <f t="shared" ca="1" si="52"/>
        <v>41992.894736842107</v>
      </c>
    </row>
    <row r="74" spans="1:46" ht="12" customHeight="1">
      <c r="A74" s="113">
        <v>31</v>
      </c>
      <c r="B74" s="149">
        <f t="shared" ref="B74:B93" si="53">B$20*55%*1/209*150%</f>
        <v>14741.84210526316</v>
      </c>
      <c r="C74" s="112" t="s">
        <v>446</v>
      </c>
      <c r="D74" s="113">
        <v>31</v>
      </c>
      <c r="E74" s="149">
        <f t="shared" ref="E74:T93" si="54">E$20*55%*1/209*150%</f>
        <v>15257.763157894737</v>
      </c>
      <c r="F74" s="149">
        <f t="shared" ca="1" si="54"/>
        <v>15639.07894736842</v>
      </c>
      <c r="G74" s="149">
        <f t="shared" ca="1" si="54"/>
        <v>16029.868421052633</v>
      </c>
      <c r="H74" s="149">
        <f t="shared" ca="1" si="54"/>
        <v>16430.526315789473</v>
      </c>
      <c r="I74" s="149">
        <f t="shared" ca="1" si="54"/>
        <v>16841.447368421053</v>
      </c>
      <c r="J74" s="149">
        <f t="shared" ca="1" si="54"/>
        <v>17262.631578947367</v>
      </c>
      <c r="K74" s="149">
        <f t="shared" ca="1" si="54"/>
        <v>17694.07894736842</v>
      </c>
      <c r="L74" s="149">
        <f t="shared" ca="1" si="54"/>
        <v>18136.57894736842</v>
      </c>
      <c r="M74" s="149">
        <f t="shared" ca="1" si="54"/>
        <v>18590.131578947367</v>
      </c>
      <c r="N74" s="149">
        <f t="shared" ca="1" si="54"/>
        <v>19054.736842105263</v>
      </c>
      <c r="O74" s="149">
        <f t="shared" ca="1" si="54"/>
        <v>19531.184210526313</v>
      </c>
      <c r="P74" s="149">
        <f t="shared" ca="1" si="54"/>
        <v>20019.473684210527</v>
      </c>
      <c r="Q74" s="149">
        <f t="shared" ca="1" si="54"/>
        <v>20520</v>
      </c>
      <c r="R74" s="149">
        <f t="shared" ca="1" si="54"/>
        <v>21033.157894736847</v>
      </c>
      <c r="S74" s="149">
        <f t="shared" ca="1" si="54"/>
        <v>21558.947368421053</v>
      </c>
      <c r="T74" s="149">
        <f t="shared" ca="1" si="54"/>
        <v>22097.76315789474</v>
      </c>
      <c r="U74" s="149">
        <f t="shared" ca="1" si="52"/>
        <v>22650.394736842107</v>
      </c>
      <c r="V74" s="149">
        <f t="shared" ca="1" si="52"/>
        <v>23216.84210526316</v>
      </c>
      <c r="W74" s="149">
        <f t="shared" ca="1" si="52"/>
        <v>23797.105263157897</v>
      </c>
      <c r="X74" s="149">
        <f t="shared" ca="1" si="52"/>
        <v>24391.97368421053</v>
      </c>
      <c r="Y74" s="149">
        <f t="shared" ca="1" si="52"/>
        <v>25001.84210526316</v>
      </c>
      <c r="Z74" s="149">
        <f t="shared" ca="1" si="52"/>
        <v>25626.710526315794</v>
      </c>
      <c r="AA74" s="149">
        <f t="shared" ca="1" si="52"/>
        <v>26267.368421052633</v>
      </c>
      <c r="AB74" s="149">
        <f t="shared" ca="1" si="52"/>
        <v>26924.210526315794</v>
      </c>
      <c r="AC74" s="149">
        <f t="shared" ca="1" si="52"/>
        <v>27597.236842105267</v>
      </c>
      <c r="AD74" s="149">
        <f t="shared" ca="1" si="52"/>
        <v>28287.236842105267</v>
      </c>
      <c r="AE74" s="149">
        <f t="shared" ca="1" si="52"/>
        <v>28994.6052631579</v>
      </c>
      <c r="AF74" s="149">
        <f t="shared" ca="1" si="52"/>
        <v>29719.34210526316</v>
      </c>
      <c r="AG74" s="149">
        <f t="shared" ca="1" si="52"/>
        <v>30462.236842105267</v>
      </c>
      <c r="AH74" s="149">
        <f t="shared" ca="1" si="52"/>
        <v>31223.684210526313</v>
      </c>
      <c r="AI74" s="149">
        <f t="shared" ca="1" si="52"/>
        <v>32004.473684210527</v>
      </c>
      <c r="AJ74" s="149">
        <f t="shared" ca="1" si="52"/>
        <v>32804.605263157893</v>
      </c>
      <c r="AK74" s="149">
        <f t="shared" ca="1" si="52"/>
        <v>33624.868421052626</v>
      </c>
      <c r="AL74" s="149">
        <f t="shared" ca="1" si="52"/>
        <v>34465.65789473684</v>
      </c>
      <c r="AM74" s="149">
        <f t="shared" ca="1" si="52"/>
        <v>35327.368421052626</v>
      </c>
      <c r="AN74" s="149">
        <f t="shared" ca="1" si="52"/>
        <v>36210.394736842107</v>
      </c>
      <c r="AO74" s="149">
        <f t="shared" ca="1" si="52"/>
        <v>37115.526315789473</v>
      </c>
      <c r="AP74" s="149">
        <f t="shared" ca="1" si="52"/>
        <v>38043.552631578947</v>
      </c>
      <c r="AQ74" s="149">
        <f t="shared" ca="1" si="52"/>
        <v>38994.473684210527</v>
      </c>
      <c r="AR74" s="149">
        <f t="shared" ca="1" si="52"/>
        <v>39969.473684210527</v>
      </c>
      <c r="AS74" s="149">
        <f t="shared" ca="1" si="52"/>
        <v>40968.552631578947</v>
      </c>
      <c r="AT74" s="149">
        <f t="shared" ca="1" si="52"/>
        <v>41992.894736842107</v>
      </c>
    </row>
    <row r="75" spans="1:46" ht="12" customHeight="1">
      <c r="A75" s="113">
        <v>32</v>
      </c>
      <c r="B75" s="149">
        <f t="shared" si="53"/>
        <v>14741.84210526316</v>
      </c>
      <c r="C75" s="112" t="s">
        <v>483</v>
      </c>
      <c r="D75" s="113">
        <v>32</v>
      </c>
      <c r="E75" s="149">
        <f t="shared" si="54"/>
        <v>15257.763157894737</v>
      </c>
      <c r="F75" s="149">
        <f t="shared" ca="1" si="52"/>
        <v>15639.07894736842</v>
      </c>
      <c r="G75" s="149">
        <f t="shared" ca="1" si="52"/>
        <v>16029.868421052633</v>
      </c>
      <c r="H75" s="149">
        <f t="shared" ca="1" si="52"/>
        <v>16430.526315789473</v>
      </c>
      <c r="I75" s="149">
        <f t="shared" ca="1" si="52"/>
        <v>16841.447368421053</v>
      </c>
      <c r="J75" s="149">
        <f t="shared" ca="1" si="52"/>
        <v>17262.631578947367</v>
      </c>
      <c r="K75" s="149">
        <f t="shared" ca="1" si="52"/>
        <v>17694.07894736842</v>
      </c>
      <c r="L75" s="149">
        <f t="shared" ca="1" si="52"/>
        <v>18136.57894736842</v>
      </c>
      <c r="M75" s="149">
        <f t="shared" ca="1" si="52"/>
        <v>18590.131578947367</v>
      </c>
      <c r="N75" s="149">
        <f t="shared" ca="1" si="52"/>
        <v>19054.736842105263</v>
      </c>
      <c r="O75" s="149">
        <f t="shared" ca="1" si="52"/>
        <v>19531.184210526313</v>
      </c>
      <c r="P75" s="149">
        <f t="shared" ca="1" si="52"/>
        <v>20019.473684210527</v>
      </c>
      <c r="Q75" s="149">
        <f t="shared" ca="1" si="52"/>
        <v>20520</v>
      </c>
      <c r="R75" s="149">
        <f t="shared" ca="1" si="52"/>
        <v>21033.157894736847</v>
      </c>
      <c r="S75" s="149">
        <f t="shared" ca="1" si="52"/>
        <v>21558.947368421053</v>
      </c>
      <c r="T75" s="149">
        <f t="shared" ca="1" si="52"/>
        <v>22097.76315789474</v>
      </c>
      <c r="U75" s="149">
        <f t="shared" ca="1" si="52"/>
        <v>22650.394736842107</v>
      </c>
      <c r="V75" s="149">
        <f t="shared" ca="1" si="52"/>
        <v>23216.84210526316</v>
      </c>
      <c r="W75" s="149">
        <f t="shared" ca="1" si="52"/>
        <v>23797.105263157897</v>
      </c>
      <c r="X75" s="149">
        <f t="shared" ca="1" si="52"/>
        <v>24391.97368421053</v>
      </c>
      <c r="Y75" s="149">
        <f t="shared" ca="1" si="52"/>
        <v>25001.84210526316</v>
      </c>
      <c r="Z75" s="149">
        <f t="shared" ca="1" si="52"/>
        <v>25626.710526315794</v>
      </c>
      <c r="AA75" s="149">
        <f t="shared" ca="1" si="52"/>
        <v>26267.368421052633</v>
      </c>
      <c r="AB75" s="149">
        <f t="shared" ca="1" si="52"/>
        <v>26924.210526315794</v>
      </c>
      <c r="AC75" s="149">
        <f t="shared" ca="1" si="52"/>
        <v>27597.236842105267</v>
      </c>
      <c r="AD75" s="149">
        <f t="shared" ca="1" si="52"/>
        <v>28287.236842105267</v>
      </c>
      <c r="AE75" s="149">
        <f t="shared" ca="1" si="52"/>
        <v>28994.6052631579</v>
      </c>
      <c r="AF75" s="149">
        <f t="shared" ca="1" si="52"/>
        <v>29719.34210526316</v>
      </c>
      <c r="AG75" s="149">
        <f t="shared" ca="1" si="52"/>
        <v>30462.236842105267</v>
      </c>
      <c r="AH75" s="149">
        <f t="shared" ca="1" si="52"/>
        <v>31223.684210526313</v>
      </c>
      <c r="AI75" s="149">
        <f t="shared" ca="1" si="52"/>
        <v>32004.473684210527</v>
      </c>
      <c r="AJ75" s="149">
        <f t="shared" ca="1" si="52"/>
        <v>32804.605263157893</v>
      </c>
      <c r="AK75" s="149">
        <f t="shared" ca="1" si="52"/>
        <v>33624.868421052626</v>
      </c>
      <c r="AL75" s="149">
        <f t="shared" ca="1" si="52"/>
        <v>34465.65789473684</v>
      </c>
      <c r="AM75" s="149">
        <f t="shared" ca="1" si="52"/>
        <v>35327.368421052626</v>
      </c>
      <c r="AN75" s="149">
        <f t="shared" ca="1" si="52"/>
        <v>36210.394736842107</v>
      </c>
      <c r="AO75" s="149">
        <f t="shared" ca="1" si="52"/>
        <v>37115.526315789473</v>
      </c>
      <c r="AP75" s="149">
        <f t="shared" ca="1" si="52"/>
        <v>38043.552631578947</v>
      </c>
      <c r="AQ75" s="149">
        <f t="shared" ca="1" si="52"/>
        <v>38994.473684210527</v>
      </c>
      <c r="AR75" s="149">
        <f t="shared" ca="1" si="52"/>
        <v>39969.473684210527</v>
      </c>
      <c r="AS75" s="149">
        <f t="shared" ca="1" si="52"/>
        <v>40968.552631578947</v>
      </c>
      <c r="AT75" s="149">
        <f t="shared" ca="1" si="52"/>
        <v>41992.894736842107</v>
      </c>
    </row>
    <row r="76" spans="1:46" ht="12" customHeight="1">
      <c r="A76" s="113">
        <v>33</v>
      </c>
      <c r="B76" s="149">
        <f t="shared" si="53"/>
        <v>14741.84210526316</v>
      </c>
      <c r="C76" s="112" t="s">
        <v>482</v>
      </c>
      <c r="D76" s="113">
        <v>33</v>
      </c>
      <c r="E76" s="149">
        <f t="shared" si="54"/>
        <v>15257.763157894737</v>
      </c>
      <c r="F76" s="149">
        <f t="shared" ca="1" si="52"/>
        <v>15639.07894736842</v>
      </c>
      <c r="G76" s="149">
        <f t="shared" ca="1" si="52"/>
        <v>16029.868421052633</v>
      </c>
      <c r="H76" s="149">
        <f t="shared" ca="1" si="52"/>
        <v>16430.526315789473</v>
      </c>
      <c r="I76" s="149">
        <f t="shared" ca="1" si="52"/>
        <v>16841.447368421053</v>
      </c>
      <c r="J76" s="149">
        <f t="shared" ca="1" si="52"/>
        <v>17262.631578947367</v>
      </c>
      <c r="K76" s="149">
        <f t="shared" ca="1" si="52"/>
        <v>17694.07894736842</v>
      </c>
      <c r="L76" s="149">
        <f t="shared" ca="1" si="52"/>
        <v>18136.57894736842</v>
      </c>
      <c r="M76" s="149">
        <f t="shared" ca="1" si="52"/>
        <v>18590.131578947367</v>
      </c>
      <c r="N76" s="149">
        <f t="shared" ca="1" si="52"/>
        <v>19054.736842105263</v>
      </c>
      <c r="O76" s="149">
        <f t="shared" ca="1" si="52"/>
        <v>19531.184210526313</v>
      </c>
      <c r="P76" s="149">
        <f t="shared" ca="1" si="52"/>
        <v>20019.473684210527</v>
      </c>
      <c r="Q76" s="149">
        <f t="shared" ca="1" si="52"/>
        <v>20520</v>
      </c>
      <c r="R76" s="149">
        <f t="shared" ca="1" si="52"/>
        <v>21033.157894736847</v>
      </c>
      <c r="S76" s="149">
        <f t="shared" ca="1" si="52"/>
        <v>21558.947368421053</v>
      </c>
      <c r="T76" s="149">
        <f t="shared" ca="1" si="52"/>
        <v>22097.76315789474</v>
      </c>
      <c r="U76" s="149">
        <f t="shared" ca="1" si="52"/>
        <v>22650.394736842107</v>
      </c>
      <c r="V76" s="149">
        <f t="shared" ca="1" si="52"/>
        <v>23216.84210526316</v>
      </c>
      <c r="W76" s="149">
        <f t="shared" ca="1" si="52"/>
        <v>23797.105263157897</v>
      </c>
      <c r="X76" s="149">
        <f t="shared" ca="1" si="52"/>
        <v>24391.97368421053</v>
      </c>
      <c r="Y76" s="149">
        <f t="shared" ca="1" si="52"/>
        <v>25001.84210526316</v>
      </c>
      <c r="Z76" s="149">
        <f t="shared" ca="1" si="52"/>
        <v>25626.710526315794</v>
      </c>
      <c r="AA76" s="149">
        <f t="shared" ca="1" si="52"/>
        <v>26267.368421052633</v>
      </c>
      <c r="AB76" s="149">
        <f t="shared" ca="1" si="52"/>
        <v>26924.210526315794</v>
      </c>
      <c r="AC76" s="149">
        <f t="shared" ca="1" si="52"/>
        <v>27597.236842105267</v>
      </c>
      <c r="AD76" s="149">
        <f t="shared" ca="1" si="52"/>
        <v>28287.236842105267</v>
      </c>
      <c r="AE76" s="149">
        <f t="shared" ca="1" si="52"/>
        <v>28994.6052631579</v>
      </c>
      <c r="AF76" s="149">
        <f t="shared" ca="1" si="52"/>
        <v>29719.34210526316</v>
      </c>
      <c r="AG76" s="149">
        <f t="shared" ca="1" si="52"/>
        <v>30462.236842105267</v>
      </c>
      <c r="AH76" s="149">
        <f t="shared" ca="1" si="52"/>
        <v>31223.684210526313</v>
      </c>
      <c r="AI76" s="149">
        <f t="shared" ca="1" si="52"/>
        <v>32004.473684210527</v>
      </c>
      <c r="AJ76" s="149">
        <f t="shared" ca="1" si="52"/>
        <v>32804.605263157893</v>
      </c>
      <c r="AK76" s="149">
        <f t="shared" ca="1" si="52"/>
        <v>33624.868421052626</v>
      </c>
      <c r="AL76" s="149">
        <f t="shared" ca="1" si="52"/>
        <v>34465.65789473684</v>
      </c>
      <c r="AM76" s="149">
        <f t="shared" ca="1" si="52"/>
        <v>35327.368421052626</v>
      </c>
      <c r="AN76" s="149">
        <f t="shared" ca="1" si="52"/>
        <v>36210.394736842107</v>
      </c>
      <c r="AO76" s="149">
        <f t="shared" ca="1" si="52"/>
        <v>37115.526315789473</v>
      </c>
      <c r="AP76" s="149">
        <f t="shared" ca="1" si="52"/>
        <v>38043.552631578947</v>
      </c>
      <c r="AQ76" s="149">
        <f t="shared" ca="1" si="52"/>
        <v>38994.473684210527</v>
      </c>
      <c r="AR76" s="149">
        <f t="shared" ca="1" si="52"/>
        <v>39969.473684210527</v>
      </c>
      <c r="AS76" s="149">
        <f t="shared" ca="1" si="52"/>
        <v>40968.552631578947</v>
      </c>
      <c r="AT76" s="149">
        <f t="shared" ca="1" si="52"/>
        <v>41992.894736842107</v>
      </c>
    </row>
    <row r="77" spans="1:46" ht="12" customHeight="1">
      <c r="A77" s="113">
        <v>34</v>
      </c>
      <c r="B77" s="149">
        <f t="shared" si="53"/>
        <v>14741.84210526316</v>
      </c>
      <c r="C77" s="112" t="s">
        <v>477</v>
      </c>
      <c r="D77" s="113">
        <v>34</v>
      </c>
      <c r="E77" s="149">
        <f t="shared" si="54"/>
        <v>15257.763157894737</v>
      </c>
      <c r="F77" s="149">
        <f t="shared" ca="1" si="52"/>
        <v>15639.07894736842</v>
      </c>
      <c r="G77" s="149">
        <f t="shared" ca="1" si="52"/>
        <v>16029.868421052633</v>
      </c>
      <c r="H77" s="149">
        <f t="shared" ca="1" si="52"/>
        <v>16430.526315789473</v>
      </c>
      <c r="I77" s="149">
        <f t="shared" ca="1" si="52"/>
        <v>16841.447368421053</v>
      </c>
      <c r="J77" s="149">
        <f t="shared" ca="1" si="52"/>
        <v>17262.631578947367</v>
      </c>
      <c r="K77" s="149">
        <f t="shared" ca="1" si="52"/>
        <v>17694.07894736842</v>
      </c>
      <c r="L77" s="149">
        <f t="shared" ca="1" si="52"/>
        <v>18136.57894736842</v>
      </c>
      <c r="M77" s="149">
        <f t="shared" ca="1" si="52"/>
        <v>18590.131578947367</v>
      </c>
      <c r="N77" s="149">
        <f t="shared" ca="1" si="52"/>
        <v>19054.736842105263</v>
      </c>
      <c r="O77" s="149">
        <f t="shared" ca="1" si="52"/>
        <v>19531.184210526313</v>
      </c>
      <c r="P77" s="149">
        <f t="shared" ca="1" si="52"/>
        <v>20019.473684210527</v>
      </c>
      <c r="Q77" s="149">
        <f t="shared" ca="1" si="52"/>
        <v>20520</v>
      </c>
      <c r="R77" s="149">
        <f t="shared" ca="1" si="52"/>
        <v>21033.157894736847</v>
      </c>
      <c r="S77" s="149">
        <f t="shared" ca="1" si="52"/>
        <v>21558.947368421053</v>
      </c>
      <c r="T77" s="149">
        <f t="shared" ca="1" si="52"/>
        <v>22097.76315789474</v>
      </c>
      <c r="U77" s="149">
        <f t="shared" ca="1" si="52"/>
        <v>22650.394736842107</v>
      </c>
      <c r="V77" s="149">
        <f t="shared" ca="1" si="52"/>
        <v>23216.84210526316</v>
      </c>
      <c r="W77" s="149">
        <f t="shared" ca="1" si="52"/>
        <v>23797.105263157897</v>
      </c>
      <c r="X77" s="149">
        <f t="shared" ca="1" si="52"/>
        <v>24391.97368421053</v>
      </c>
      <c r="Y77" s="149">
        <f t="shared" ca="1" si="52"/>
        <v>25001.84210526316</v>
      </c>
      <c r="Z77" s="149">
        <f t="shared" ca="1" si="52"/>
        <v>25626.710526315794</v>
      </c>
      <c r="AA77" s="149">
        <f t="shared" ca="1" si="52"/>
        <v>26267.368421052633</v>
      </c>
      <c r="AB77" s="149">
        <f t="shared" ca="1" si="52"/>
        <v>26924.210526315794</v>
      </c>
      <c r="AC77" s="149">
        <f t="shared" ca="1" si="52"/>
        <v>27597.236842105267</v>
      </c>
      <c r="AD77" s="149">
        <f t="shared" ca="1" si="52"/>
        <v>28287.236842105267</v>
      </c>
      <c r="AE77" s="149">
        <f t="shared" ca="1" si="52"/>
        <v>28994.6052631579</v>
      </c>
      <c r="AF77" s="149">
        <f t="shared" ca="1" si="52"/>
        <v>29719.34210526316</v>
      </c>
      <c r="AG77" s="149">
        <f t="shared" ca="1" si="52"/>
        <v>30462.236842105267</v>
      </c>
      <c r="AH77" s="149">
        <f t="shared" ca="1" si="52"/>
        <v>31223.684210526313</v>
      </c>
      <c r="AI77" s="149">
        <f t="shared" ca="1" si="52"/>
        <v>32004.473684210527</v>
      </c>
      <c r="AJ77" s="149">
        <f t="shared" ca="1" si="52"/>
        <v>32804.605263157893</v>
      </c>
      <c r="AK77" s="149">
        <f t="shared" ca="1" si="52"/>
        <v>33624.868421052626</v>
      </c>
      <c r="AL77" s="149">
        <f t="shared" ca="1" si="52"/>
        <v>34465.65789473684</v>
      </c>
      <c r="AM77" s="149">
        <f t="shared" ca="1" si="52"/>
        <v>35327.368421052626</v>
      </c>
      <c r="AN77" s="149">
        <f t="shared" ca="1" si="52"/>
        <v>36210.394736842107</v>
      </c>
      <c r="AO77" s="149">
        <f t="shared" ca="1" si="52"/>
        <v>37115.526315789473</v>
      </c>
      <c r="AP77" s="149">
        <f t="shared" ca="1" si="52"/>
        <v>38043.552631578947</v>
      </c>
      <c r="AQ77" s="149">
        <f t="shared" ca="1" si="52"/>
        <v>38994.473684210527</v>
      </c>
      <c r="AR77" s="149">
        <f t="shared" ca="1" si="52"/>
        <v>39969.473684210527</v>
      </c>
      <c r="AS77" s="149">
        <f t="shared" ca="1" si="52"/>
        <v>40968.552631578947</v>
      </c>
      <c r="AT77" s="149">
        <f t="shared" ca="1" si="52"/>
        <v>41992.894736842107</v>
      </c>
    </row>
    <row r="78" spans="1:46" ht="12" customHeight="1">
      <c r="A78" s="113">
        <v>35</v>
      </c>
      <c r="B78" s="149">
        <f t="shared" si="53"/>
        <v>14741.84210526316</v>
      </c>
      <c r="C78" s="112" t="s">
        <v>463</v>
      </c>
      <c r="D78" s="113">
        <v>35</v>
      </c>
      <c r="E78" s="149">
        <f t="shared" si="54"/>
        <v>15257.763157894737</v>
      </c>
      <c r="F78" s="149">
        <f t="shared" ca="1" si="52"/>
        <v>15639.07894736842</v>
      </c>
      <c r="G78" s="149">
        <f t="shared" ca="1" si="52"/>
        <v>16029.868421052633</v>
      </c>
      <c r="H78" s="149">
        <f t="shared" ca="1" si="52"/>
        <v>16430.526315789473</v>
      </c>
      <c r="I78" s="149">
        <f t="shared" ca="1" si="52"/>
        <v>16841.447368421053</v>
      </c>
      <c r="J78" s="149">
        <f t="shared" ca="1" si="52"/>
        <v>17262.631578947367</v>
      </c>
      <c r="K78" s="149">
        <f t="shared" ca="1" si="52"/>
        <v>17694.07894736842</v>
      </c>
      <c r="L78" s="149">
        <f t="shared" ca="1" si="52"/>
        <v>18136.57894736842</v>
      </c>
      <c r="M78" s="149">
        <f t="shared" ca="1" si="52"/>
        <v>18590.131578947367</v>
      </c>
      <c r="N78" s="149">
        <f t="shared" ca="1" si="52"/>
        <v>19054.736842105263</v>
      </c>
      <c r="O78" s="149">
        <f t="shared" ca="1" si="52"/>
        <v>19531.184210526313</v>
      </c>
      <c r="P78" s="149">
        <f t="shared" ca="1" si="52"/>
        <v>20019.473684210527</v>
      </c>
      <c r="Q78" s="149">
        <f t="shared" ca="1" si="52"/>
        <v>20520</v>
      </c>
      <c r="R78" s="149">
        <f t="shared" ca="1" si="52"/>
        <v>21033.157894736847</v>
      </c>
      <c r="S78" s="149">
        <f t="shared" ca="1" si="52"/>
        <v>21558.947368421053</v>
      </c>
      <c r="T78" s="149">
        <f t="shared" ca="1" si="52"/>
        <v>22097.76315789474</v>
      </c>
      <c r="U78" s="149">
        <f t="shared" ca="1" si="52"/>
        <v>22650.394736842107</v>
      </c>
      <c r="V78" s="149">
        <f t="shared" ca="1" si="52"/>
        <v>23216.84210526316</v>
      </c>
      <c r="W78" s="149">
        <f t="shared" ca="1" si="52"/>
        <v>23797.105263157897</v>
      </c>
      <c r="X78" s="149">
        <f t="shared" ca="1" si="52"/>
        <v>24391.97368421053</v>
      </c>
      <c r="Y78" s="149">
        <f t="shared" ca="1" si="52"/>
        <v>25001.84210526316</v>
      </c>
      <c r="Z78" s="149">
        <f t="shared" ca="1" si="52"/>
        <v>25626.710526315794</v>
      </c>
      <c r="AA78" s="149">
        <f t="shared" ca="1" si="52"/>
        <v>26267.368421052633</v>
      </c>
      <c r="AB78" s="149">
        <f t="shared" ca="1" si="52"/>
        <v>26924.210526315794</v>
      </c>
      <c r="AC78" s="149">
        <f t="shared" ca="1" si="52"/>
        <v>27597.236842105267</v>
      </c>
      <c r="AD78" s="149">
        <f t="shared" ca="1" si="52"/>
        <v>28287.236842105267</v>
      </c>
      <c r="AE78" s="149">
        <f t="shared" ca="1" si="52"/>
        <v>28994.6052631579</v>
      </c>
      <c r="AF78" s="149">
        <f t="shared" ca="1" si="52"/>
        <v>29719.34210526316</v>
      </c>
      <c r="AG78" s="149">
        <f t="shared" ca="1" si="52"/>
        <v>30462.236842105267</v>
      </c>
      <c r="AH78" s="149">
        <f t="shared" ca="1" si="52"/>
        <v>31223.684210526313</v>
      </c>
      <c r="AI78" s="149">
        <f t="shared" ca="1" si="52"/>
        <v>32004.473684210527</v>
      </c>
      <c r="AJ78" s="149">
        <f t="shared" ca="1" si="52"/>
        <v>32804.605263157893</v>
      </c>
      <c r="AK78" s="149">
        <f t="shared" ca="1" si="52"/>
        <v>33624.868421052626</v>
      </c>
      <c r="AL78" s="149">
        <f t="shared" ca="1" si="52"/>
        <v>34465.65789473684</v>
      </c>
      <c r="AM78" s="149">
        <f t="shared" ca="1" si="52"/>
        <v>35327.368421052626</v>
      </c>
      <c r="AN78" s="149">
        <f t="shared" ca="1" si="52"/>
        <v>36210.394736842107</v>
      </c>
      <c r="AO78" s="149">
        <f t="shared" ca="1" si="52"/>
        <v>37115.526315789473</v>
      </c>
      <c r="AP78" s="149">
        <f t="shared" ca="1" si="52"/>
        <v>38043.552631578947</v>
      </c>
      <c r="AQ78" s="149">
        <f t="shared" ca="1" si="52"/>
        <v>38994.473684210527</v>
      </c>
      <c r="AR78" s="149">
        <f t="shared" ca="1" si="52"/>
        <v>39969.473684210527</v>
      </c>
      <c r="AS78" s="149">
        <f t="shared" ca="1" si="52"/>
        <v>40968.552631578947</v>
      </c>
      <c r="AT78" s="149">
        <f t="shared" ca="1" si="52"/>
        <v>41992.894736842107</v>
      </c>
    </row>
    <row r="79" spans="1:46" ht="12" customHeight="1">
      <c r="A79" s="113">
        <v>36</v>
      </c>
      <c r="B79" s="149">
        <f t="shared" si="53"/>
        <v>14741.84210526316</v>
      </c>
      <c r="C79" s="112" t="s">
        <v>457</v>
      </c>
      <c r="D79" s="113">
        <v>36</v>
      </c>
      <c r="E79" s="149">
        <f t="shared" si="54"/>
        <v>15257.763157894737</v>
      </c>
      <c r="F79" s="149">
        <f t="shared" ca="1" si="52"/>
        <v>15639.07894736842</v>
      </c>
      <c r="G79" s="149">
        <f t="shared" ca="1" si="52"/>
        <v>16029.868421052633</v>
      </c>
      <c r="H79" s="149">
        <f t="shared" ca="1" si="52"/>
        <v>16430.526315789473</v>
      </c>
      <c r="I79" s="149">
        <f t="shared" ca="1" si="52"/>
        <v>16841.447368421053</v>
      </c>
      <c r="J79" s="149">
        <f t="shared" ca="1" si="52"/>
        <v>17262.631578947367</v>
      </c>
      <c r="K79" s="149">
        <f t="shared" ca="1" si="52"/>
        <v>17694.07894736842</v>
      </c>
      <c r="L79" s="149">
        <f t="shared" ca="1" si="52"/>
        <v>18136.57894736842</v>
      </c>
      <c r="M79" s="149">
        <f t="shared" ca="1" si="52"/>
        <v>18590.131578947367</v>
      </c>
      <c r="N79" s="149">
        <f t="shared" ca="1" si="52"/>
        <v>19054.736842105263</v>
      </c>
      <c r="O79" s="149">
        <f t="shared" ca="1" si="52"/>
        <v>19531.184210526313</v>
      </c>
      <c r="P79" s="149">
        <f t="shared" ca="1" si="52"/>
        <v>20019.473684210527</v>
      </c>
      <c r="Q79" s="149">
        <f t="shared" ca="1" si="52"/>
        <v>20520</v>
      </c>
      <c r="R79" s="149">
        <f t="shared" ca="1" si="52"/>
        <v>21033.157894736847</v>
      </c>
      <c r="S79" s="149">
        <f t="shared" ca="1" si="52"/>
        <v>21558.947368421053</v>
      </c>
      <c r="T79" s="149">
        <f t="shared" ca="1" si="52"/>
        <v>22097.76315789474</v>
      </c>
      <c r="U79" s="149">
        <f t="shared" ca="1" si="52"/>
        <v>22650.394736842107</v>
      </c>
      <c r="V79" s="149">
        <f t="shared" ca="1" si="52"/>
        <v>23216.84210526316</v>
      </c>
      <c r="W79" s="149">
        <f t="shared" ca="1" si="52"/>
        <v>23797.105263157897</v>
      </c>
      <c r="X79" s="149">
        <f t="shared" ca="1" si="52"/>
        <v>24391.97368421053</v>
      </c>
      <c r="Y79" s="149">
        <f t="shared" ca="1" si="52"/>
        <v>25001.84210526316</v>
      </c>
      <c r="Z79" s="149">
        <f t="shared" ca="1" si="52"/>
        <v>25626.710526315794</v>
      </c>
      <c r="AA79" s="149">
        <f t="shared" ca="1" si="52"/>
        <v>26267.368421052633</v>
      </c>
      <c r="AB79" s="149">
        <f t="shared" ca="1" si="52"/>
        <v>26924.210526315794</v>
      </c>
      <c r="AC79" s="149">
        <f t="shared" ca="1" si="52"/>
        <v>27597.236842105267</v>
      </c>
      <c r="AD79" s="149">
        <f t="shared" ref="F79:AT85" ca="1" si="55">AD$20*55%*1/209*150%</f>
        <v>28287.236842105267</v>
      </c>
      <c r="AE79" s="149">
        <f t="shared" ca="1" si="55"/>
        <v>28994.6052631579</v>
      </c>
      <c r="AF79" s="149">
        <f t="shared" ca="1" si="55"/>
        <v>29719.34210526316</v>
      </c>
      <c r="AG79" s="149">
        <f t="shared" ca="1" si="55"/>
        <v>30462.236842105267</v>
      </c>
      <c r="AH79" s="149">
        <f t="shared" ca="1" si="55"/>
        <v>31223.684210526313</v>
      </c>
      <c r="AI79" s="149">
        <f t="shared" ca="1" si="55"/>
        <v>32004.473684210527</v>
      </c>
      <c r="AJ79" s="149">
        <f t="shared" ca="1" si="55"/>
        <v>32804.605263157893</v>
      </c>
      <c r="AK79" s="149">
        <f t="shared" ca="1" si="55"/>
        <v>33624.868421052626</v>
      </c>
      <c r="AL79" s="149">
        <f t="shared" ca="1" si="55"/>
        <v>34465.65789473684</v>
      </c>
      <c r="AM79" s="149">
        <f t="shared" ca="1" si="55"/>
        <v>35327.368421052626</v>
      </c>
      <c r="AN79" s="149">
        <f t="shared" ca="1" si="55"/>
        <v>36210.394736842107</v>
      </c>
      <c r="AO79" s="149">
        <f t="shared" ca="1" si="55"/>
        <v>37115.526315789473</v>
      </c>
      <c r="AP79" s="149">
        <f t="shared" ca="1" si="55"/>
        <v>38043.552631578947</v>
      </c>
      <c r="AQ79" s="149">
        <f t="shared" ca="1" si="55"/>
        <v>38994.473684210527</v>
      </c>
      <c r="AR79" s="149">
        <f t="shared" ca="1" si="55"/>
        <v>39969.473684210527</v>
      </c>
      <c r="AS79" s="149">
        <f t="shared" ca="1" si="55"/>
        <v>40968.552631578947</v>
      </c>
      <c r="AT79" s="149">
        <f t="shared" ca="1" si="55"/>
        <v>41992.894736842107</v>
      </c>
    </row>
    <row r="80" spans="1:46" ht="12" customHeight="1">
      <c r="A80" s="113">
        <v>37</v>
      </c>
      <c r="B80" s="149">
        <f t="shared" si="53"/>
        <v>14741.84210526316</v>
      </c>
      <c r="C80" s="112" t="s">
        <v>445</v>
      </c>
      <c r="D80" s="113">
        <v>37</v>
      </c>
      <c r="E80" s="149">
        <f t="shared" si="54"/>
        <v>15257.763157894737</v>
      </c>
      <c r="F80" s="149">
        <f t="shared" ca="1" si="55"/>
        <v>15639.07894736842</v>
      </c>
      <c r="G80" s="149">
        <f t="shared" ca="1" si="55"/>
        <v>16029.868421052633</v>
      </c>
      <c r="H80" s="149">
        <f t="shared" ca="1" si="55"/>
        <v>16430.526315789473</v>
      </c>
      <c r="I80" s="149">
        <f t="shared" ca="1" si="55"/>
        <v>16841.447368421053</v>
      </c>
      <c r="J80" s="149">
        <f t="shared" ca="1" si="55"/>
        <v>17262.631578947367</v>
      </c>
      <c r="K80" s="149">
        <f t="shared" ca="1" si="55"/>
        <v>17694.07894736842</v>
      </c>
      <c r="L80" s="149">
        <f t="shared" ca="1" si="55"/>
        <v>18136.57894736842</v>
      </c>
      <c r="M80" s="149">
        <f t="shared" ca="1" si="55"/>
        <v>18590.131578947367</v>
      </c>
      <c r="N80" s="149">
        <f t="shared" ca="1" si="55"/>
        <v>19054.736842105263</v>
      </c>
      <c r="O80" s="149">
        <f t="shared" ca="1" si="55"/>
        <v>19531.184210526313</v>
      </c>
      <c r="P80" s="149">
        <f t="shared" ca="1" si="55"/>
        <v>20019.473684210527</v>
      </c>
      <c r="Q80" s="149">
        <f t="shared" ca="1" si="55"/>
        <v>20520</v>
      </c>
      <c r="R80" s="149">
        <f t="shared" ca="1" si="55"/>
        <v>21033.157894736847</v>
      </c>
      <c r="S80" s="149">
        <f t="shared" ca="1" si="55"/>
        <v>21558.947368421053</v>
      </c>
      <c r="T80" s="149">
        <f t="shared" ca="1" si="55"/>
        <v>22097.76315789474</v>
      </c>
      <c r="U80" s="149">
        <f t="shared" ca="1" si="55"/>
        <v>22650.394736842107</v>
      </c>
      <c r="V80" s="149">
        <f t="shared" ca="1" si="55"/>
        <v>23216.84210526316</v>
      </c>
      <c r="W80" s="149">
        <f t="shared" ca="1" si="55"/>
        <v>23797.105263157897</v>
      </c>
      <c r="X80" s="149">
        <f t="shared" ca="1" si="55"/>
        <v>24391.97368421053</v>
      </c>
      <c r="Y80" s="149">
        <f t="shared" ca="1" si="55"/>
        <v>25001.84210526316</v>
      </c>
      <c r="Z80" s="149">
        <f t="shared" ca="1" si="55"/>
        <v>25626.710526315794</v>
      </c>
      <c r="AA80" s="149">
        <f t="shared" ca="1" si="55"/>
        <v>26267.368421052633</v>
      </c>
      <c r="AB80" s="149">
        <f t="shared" ca="1" si="55"/>
        <v>26924.210526315794</v>
      </c>
      <c r="AC80" s="149">
        <f t="shared" ca="1" si="55"/>
        <v>27597.236842105267</v>
      </c>
      <c r="AD80" s="149">
        <f t="shared" ca="1" si="55"/>
        <v>28287.236842105267</v>
      </c>
      <c r="AE80" s="149">
        <f t="shared" ca="1" si="55"/>
        <v>28994.6052631579</v>
      </c>
      <c r="AF80" s="149">
        <f t="shared" ca="1" si="55"/>
        <v>29719.34210526316</v>
      </c>
      <c r="AG80" s="149">
        <f t="shared" ca="1" si="55"/>
        <v>30462.236842105267</v>
      </c>
      <c r="AH80" s="149">
        <f t="shared" ca="1" si="55"/>
        <v>31223.684210526313</v>
      </c>
      <c r="AI80" s="149">
        <f t="shared" ca="1" si="55"/>
        <v>32004.473684210527</v>
      </c>
      <c r="AJ80" s="149">
        <f t="shared" ca="1" si="55"/>
        <v>32804.605263157893</v>
      </c>
      <c r="AK80" s="149">
        <f t="shared" ca="1" si="55"/>
        <v>33624.868421052626</v>
      </c>
      <c r="AL80" s="149">
        <f t="shared" ca="1" si="55"/>
        <v>34465.65789473684</v>
      </c>
      <c r="AM80" s="149">
        <f t="shared" ca="1" si="55"/>
        <v>35327.368421052626</v>
      </c>
      <c r="AN80" s="149">
        <f t="shared" ca="1" si="55"/>
        <v>36210.394736842107</v>
      </c>
      <c r="AO80" s="149">
        <f t="shared" ca="1" si="55"/>
        <v>37115.526315789473</v>
      </c>
      <c r="AP80" s="149">
        <f t="shared" ca="1" si="55"/>
        <v>38043.552631578947</v>
      </c>
      <c r="AQ80" s="149">
        <f t="shared" ca="1" si="55"/>
        <v>38994.473684210527</v>
      </c>
      <c r="AR80" s="149">
        <f t="shared" ca="1" si="55"/>
        <v>39969.473684210527</v>
      </c>
      <c r="AS80" s="149">
        <f t="shared" ca="1" si="55"/>
        <v>40968.552631578947</v>
      </c>
      <c r="AT80" s="149">
        <f t="shared" ca="1" si="55"/>
        <v>41992.894736842107</v>
      </c>
    </row>
    <row r="81" spans="1:46" ht="12" customHeight="1">
      <c r="A81" s="113">
        <v>38</v>
      </c>
      <c r="B81" s="149">
        <f t="shared" si="53"/>
        <v>14741.84210526316</v>
      </c>
      <c r="C81" s="112" t="s">
        <v>436</v>
      </c>
      <c r="D81" s="113">
        <v>38</v>
      </c>
      <c r="E81" s="149">
        <f t="shared" si="54"/>
        <v>15257.763157894737</v>
      </c>
      <c r="F81" s="149">
        <f t="shared" ca="1" si="55"/>
        <v>15639.07894736842</v>
      </c>
      <c r="G81" s="149">
        <f t="shared" ca="1" si="55"/>
        <v>16029.868421052633</v>
      </c>
      <c r="H81" s="149">
        <f t="shared" ca="1" si="55"/>
        <v>16430.526315789473</v>
      </c>
      <c r="I81" s="149">
        <f t="shared" ca="1" si="55"/>
        <v>16841.447368421053</v>
      </c>
      <c r="J81" s="149">
        <f t="shared" ca="1" si="55"/>
        <v>17262.631578947367</v>
      </c>
      <c r="K81" s="149">
        <f t="shared" ca="1" si="55"/>
        <v>17694.07894736842</v>
      </c>
      <c r="L81" s="149">
        <f t="shared" ca="1" si="55"/>
        <v>18136.57894736842</v>
      </c>
      <c r="M81" s="149">
        <f t="shared" ca="1" si="55"/>
        <v>18590.131578947367</v>
      </c>
      <c r="N81" s="149">
        <f t="shared" ca="1" si="55"/>
        <v>19054.736842105263</v>
      </c>
      <c r="O81" s="149">
        <f t="shared" ca="1" si="55"/>
        <v>19531.184210526313</v>
      </c>
      <c r="P81" s="149">
        <f t="shared" ca="1" si="55"/>
        <v>20019.473684210527</v>
      </c>
      <c r="Q81" s="149">
        <f t="shared" ca="1" si="55"/>
        <v>20520</v>
      </c>
      <c r="R81" s="149">
        <f t="shared" ca="1" si="55"/>
        <v>21033.157894736847</v>
      </c>
      <c r="S81" s="149">
        <f t="shared" ca="1" si="55"/>
        <v>21558.947368421053</v>
      </c>
      <c r="T81" s="149">
        <f t="shared" ca="1" si="55"/>
        <v>22097.76315789474</v>
      </c>
      <c r="U81" s="149">
        <f t="shared" ca="1" si="55"/>
        <v>22650.394736842107</v>
      </c>
      <c r="V81" s="149">
        <f t="shared" ca="1" si="55"/>
        <v>23216.84210526316</v>
      </c>
      <c r="W81" s="149">
        <f t="shared" ca="1" si="55"/>
        <v>23797.105263157897</v>
      </c>
      <c r="X81" s="149">
        <f t="shared" ca="1" si="55"/>
        <v>24391.97368421053</v>
      </c>
      <c r="Y81" s="149">
        <f t="shared" ca="1" si="55"/>
        <v>25001.84210526316</v>
      </c>
      <c r="Z81" s="149">
        <f t="shared" ca="1" si="55"/>
        <v>25626.710526315794</v>
      </c>
      <c r="AA81" s="149">
        <f t="shared" ca="1" si="55"/>
        <v>26267.368421052633</v>
      </c>
      <c r="AB81" s="149">
        <f t="shared" ca="1" si="55"/>
        <v>26924.210526315794</v>
      </c>
      <c r="AC81" s="149">
        <f t="shared" ca="1" si="55"/>
        <v>27597.236842105267</v>
      </c>
      <c r="AD81" s="149">
        <f t="shared" ca="1" si="55"/>
        <v>28287.236842105267</v>
      </c>
      <c r="AE81" s="149">
        <f t="shared" ca="1" si="55"/>
        <v>28994.6052631579</v>
      </c>
      <c r="AF81" s="149">
        <f t="shared" ca="1" si="55"/>
        <v>29719.34210526316</v>
      </c>
      <c r="AG81" s="149">
        <f t="shared" ca="1" si="55"/>
        <v>30462.236842105267</v>
      </c>
      <c r="AH81" s="149">
        <f t="shared" ca="1" si="55"/>
        <v>31223.684210526313</v>
      </c>
      <c r="AI81" s="149">
        <f t="shared" ca="1" si="55"/>
        <v>32004.473684210527</v>
      </c>
      <c r="AJ81" s="149">
        <f t="shared" ca="1" si="55"/>
        <v>32804.605263157893</v>
      </c>
      <c r="AK81" s="149">
        <f t="shared" ca="1" si="55"/>
        <v>33624.868421052626</v>
      </c>
      <c r="AL81" s="149">
        <f t="shared" ca="1" si="55"/>
        <v>34465.65789473684</v>
      </c>
      <c r="AM81" s="149">
        <f t="shared" ca="1" si="55"/>
        <v>35327.368421052626</v>
      </c>
      <c r="AN81" s="149">
        <f t="shared" ca="1" si="55"/>
        <v>36210.394736842107</v>
      </c>
      <c r="AO81" s="149">
        <f t="shared" ca="1" si="55"/>
        <v>37115.526315789473</v>
      </c>
      <c r="AP81" s="149">
        <f t="shared" ca="1" si="55"/>
        <v>38043.552631578947</v>
      </c>
      <c r="AQ81" s="149">
        <f t="shared" ca="1" si="55"/>
        <v>38994.473684210527</v>
      </c>
      <c r="AR81" s="149">
        <f t="shared" ca="1" si="55"/>
        <v>39969.473684210527</v>
      </c>
      <c r="AS81" s="149">
        <f t="shared" ca="1" si="55"/>
        <v>40968.552631578947</v>
      </c>
      <c r="AT81" s="149">
        <f t="shared" ca="1" si="55"/>
        <v>41992.894736842107</v>
      </c>
    </row>
    <row r="82" spans="1:46" ht="12" customHeight="1">
      <c r="A82" s="113">
        <v>39</v>
      </c>
      <c r="B82" s="149">
        <f t="shared" si="53"/>
        <v>14741.84210526316</v>
      </c>
      <c r="C82" s="112" t="s">
        <v>481</v>
      </c>
      <c r="D82" s="113">
        <v>39</v>
      </c>
      <c r="E82" s="149">
        <f t="shared" si="54"/>
        <v>15257.763157894737</v>
      </c>
      <c r="F82" s="149">
        <f t="shared" ca="1" si="55"/>
        <v>15639.07894736842</v>
      </c>
      <c r="G82" s="149">
        <f t="shared" ca="1" si="55"/>
        <v>16029.868421052633</v>
      </c>
      <c r="H82" s="149">
        <f t="shared" ca="1" si="55"/>
        <v>16430.526315789473</v>
      </c>
      <c r="I82" s="149">
        <f t="shared" ca="1" si="55"/>
        <v>16841.447368421053</v>
      </c>
      <c r="J82" s="149">
        <f t="shared" ca="1" si="55"/>
        <v>17262.631578947367</v>
      </c>
      <c r="K82" s="149">
        <f t="shared" ca="1" si="55"/>
        <v>17694.07894736842</v>
      </c>
      <c r="L82" s="149">
        <f t="shared" ca="1" si="55"/>
        <v>18136.57894736842</v>
      </c>
      <c r="M82" s="149">
        <f t="shared" ca="1" si="55"/>
        <v>18590.131578947367</v>
      </c>
      <c r="N82" s="149">
        <f t="shared" ca="1" si="55"/>
        <v>19054.736842105263</v>
      </c>
      <c r="O82" s="149">
        <f t="shared" ca="1" si="55"/>
        <v>19531.184210526313</v>
      </c>
      <c r="P82" s="149">
        <f t="shared" ca="1" si="55"/>
        <v>20019.473684210527</v>
      </c>
      <c r="Q82" s="149">
        <f t="shared" ca="1" si="55"/>
        <v>20520</v>
      </c>
      <c r="R82" s="149">
        <f t="shared" ca="1" si="55"/>
        <v>21033.157894736847</v>
      </c>
      <c r="S82" s="149">
        <f t="shared" ca="1" si="55"/>
        <v>21558.947368421053</v>
      </c>
      <c r="T82" s="149">
        <f t="shared" ca="1" si="55"/>
        <v>22097.76315789474</v>
      </c>
      <c r="U82" s="149">
        <f t="shared" ca="1" si="55"/>
        <v>22650.394736842107</v>
      </c>
      <c r="V82" s="149">
        <f t="shared" ca="1" si="55"/>
        <v>23216.84210526316</v>
      </c>
      <c r="W82" s="149">
        <f t="shared" ca="1" si="55"/>
        <v>23797.105263157897</v>
      </c>
      <c r="X82" s="149">
        <f t="shared" ca="1" si="55"/>
        <v>24391.97368421053</v>
      </c>
      <c r="Y82" s="149">
        <f t="shared" ca="1" si="55"/>
        <v>25001.84210526316</v>
      </c>
      <c r="Z82" s="149">
        <f t="shared" ca="1" si="55"/>
        <v>25626.710526315794</v>
      </c>
      <c r="AA82" s="149">
        <f t="shared" ca="1" si="55"/>
        <v>26267.368421052633</v>
      </c>
      <c r="AB82" s="149">
        <f t="shared" ca="1" si="55"/>
        <v>26924.210526315794</v>
      </c>
      <c r="AC82" s="149">
        <f t="shared" ca="1" si="55"/>
        <v>27597.236842105267</v>
      </c>
      <c r="AD82" s="149">
        <f t="shared" ca="1" si="55"/>
        <v>28287.236842105267</v>
      </c>
      <c r="AE82" s="149">
        <f t="shared" ca="1" si="55"/>
        <v>28994.6052631579</v>
      </c>
      <c r="AF82" s="149">
        <f t="shared" ca="1" si="55"/>
        <v>29719.34210526316</v>
      </c>
      <c r="AG82" s="149">
        <f t="shared" ca="1" si="55"/>
        <v>30462.236842105267</v>
      </c>
      <c r="AH82" s="149">
        <f t="shared" ca="1" si="55"/>
        <v>31223.684210526313</v>
      </c>
      <c r="AI82" s="149">
        <f t="shared" ca="1" si="55"/>
        <v>32004.473684210527</v>
      </c>
      <c r="AJ82" s="149">
        <f t="shared" ca="1" si="55"/>
        <v>32804.605263157893</v>
      </c>
      <c r="AK82" s="149">
        <f t="shared" ca="1" si="55"/>
        <v>33624.868421052626</v>
      </c>
      <c r="AL82" s="149">
        <f t="shared" ca="1" si="55"/>
        <v>34465.65789473684</v>
      </c>
      <c r="AM82" s="149">
        <f t="shared" ca="1" si="55"/>
        <v>35327.368421052626</v>
      </c>
      <c r="AN82" s="149">
        <f t="shared" ca="1" si="55"/>
        <v>36210.394736842107</v>
      </c>
      <c r="AO82" s="149">
        <f t="shared" ca="1" si="55"/>
        <v>37115.526315789473</v>
      </c>
      <c r="AP82" s="149">
        <f t="shared" ca="1" si="55"/>
        <v>38043.552631578947</v>
      </c>
      <c r="AQ82" s="149">
        <f t="shared" ca="1" si="55"/>
        <v>38994.473684210527</v>
      </c>
      <c r="AR82" s="149">
        <f t="shared" ca="1" si="55"/>
        <v>39969.473684210527</v>
      </c>
      <c r="AS82" s="149">
        <f t="shared" ca="1" si="55"/>
        <v>40968.552631578947</v>
      </c>
      <c r="AT82" s="149">
        <f t="shared" ca="1" si="55"/>
        <v>41992.894736842107</v>
      </c>
    </row>
    <row r="83" spans="1:46" ht="12" customHeight="1">
      <c r="A83" s="122">
        <v>40</v>
      </c>
      <c r="B83" s="149">
        <f t="shared" si="53"/>
        <v>14741.84210526316</v>
      </c>
      <c r="C83" s="121" t="s">
        <v>480</v>
      </c>
      <c r="D83" s="122">
        <v>40</v>
      </c>
      <c r="E83" s="149">
        <f t="shared" si="54"/>
        <v>15257.763157894737</v>
      </c>
      <c r="F83" s="149">
        <f t="shared" ca="1" si="55"/>
        <v>15639.07894736842</v>
      </c>
      <c r="G83" s="149">
        <f t="shared" ca="1" si="55"/>
        <v>16029.868421052633</v>
      </c>
      <c r="H83" s="149">
        <f t="shared" ca="1" si="55"/>
        <v>16430.526315789473</v>
      </c>
      <c r="I83" s="149">
        <f t="shared" ca="1" si="55"/>
        <v>16841.447368421053</v>
      </c>
      <c r="J83" s="149">
        <f t="shared" ca="1" si="55"/>
        <v>17262.631578947367</v>
      </c>
      <c r="K83" s="149">
        <f t="shared" ca="1" si="55"/>
        <v>17694.07894736842</v>
      </c>
      <c r="L83" s="149">
        <f t="shared" ca="1" si="55"/>
        <v>18136.57894736842</v>
      </c>
      <c r="M83" s="149">
        <f t="shared" ca="1" si="55"/>
        <v>18590.131578947367</v>
      </c>
      <c r="N83" s="149">
        <f t="shared" ca="1" si="55"/>
        <v>19054.736842105263</v>
      </c>
      <c r="O83" s="149">
        <f t="shared" ca="1" si="55"/>
        <v>19531.184210526313</v>
      </c>
      <c r="P83" s="149">
        <f t="shared" ca="1" si="55"/>
        <v>20019.473684210527</v>
      </c>
      <c r="Q83" s="149">
        <f t="shared" ca="1" si="55"/>
        <v>20520</v>
      </c>
      <c r="R83" s="149">
        <f t="shared" ca="1" si="55"/>
        <v>21033.157894736847</v>
      </c>
      <c r="S83" s="149">
        <f t="shared" ca="1" si="55"/>
        <v>21558.947368421053</v>
      </c>
      <c r="T83" s="149">
        <f t="shared" ca="1" si="55"/>
        <v>22097.76315789474</v>
      </c>
      <c r="U83" s="149">
        <f t="shared" ca="1" si="55"/>
        <v>22650.394736842107</v>
      </c>
      <c r="V83" s="149">
        <f t="shared" ca="1" si="55"/>
        <v>23216.84210526316</v>
      </c>
      <c r="W83" s="149">
        <f t="shared" ca="1" si="55"/>
        <v>23797.105263157897</v>
      </c>
      <c r="X83" s="149">
        <f t="shared" ca="1" si="55"/>
        <v>24391.97368421053</v>
      </c>
      <c r="Y83" s="149">
        <f t="shared" ca="1" si="55"/>
        <v>25001.84210526316</v>
      </c>
      <c r="Z83" s="149">
        <f t="shared" ca="1" si="55"/>
        <v>25626.710526315794</v>
      </c>
      <c r="AA83" s="149">
        <f t="shared" ca="1" si="55"/>
        <v>26267.368421052633</v>
      </c>
      <c r="AB83" s="149">
        <f t="shared" ca="1" si="55"/>
        <v>26924.210526315794</v>
      </c>
      <c r="AC83" s="149">
        <f t="shared" ca="1" si="55"/>
        <v>27597.236842105267</v>
      </c>
      <c r="AD83" s="149">
        <f t="shared" ca="1" si="55"/>
        <v>28287.236842105267</v>
      </c>
      <c r="AE83" s="149">
        <f t="shared" ca="1" si="55"/>
        <v>28994.6052631579</v>
      </c>
      <c r="AF83" s="149">
        <f t="shared" ca="1" si="55"/>
        <v>29719.34210526316</v>
      </c>
      <c r="AG83" s="149">
        <f t="shared" ca="1" si="55"/>
        <v>30462.236842105267</v>
      </c>
      <c r="AH83" s="149">
        <f t="shared" ca="1" si="55"/>
        <v>31223.684210526313</v>
      </c>
      <c r="AI83" s="149">
        <f t="shared" ca="1" si="55"/>
        <v>32004.473684210527</v>
      </c>
      <c r="AJ83" s="149">
        <f t="shared" ca="1" si="55"/>
        <v>32804.605263157893</v>
      </c>
      <c r="AK83" s="149">
        <f t="shared" ca="1" si="55"/>
        <v>33624.868421052626</v>
      </c>
      <c r="AL83" s="149">
        <f t="shared" ca="1" si="55"/>
        <v>34465.65789473684</v>
      </c>
      <c r="AM83" s="149">
        <f t="shared" ca="1" si="55"/>
        <v>35327.368421052626</v>
      </c>
      <c r="AN83" s="149">
        <f t="shared" ca="1" si="55"/>
        <v>36210.394736842107</v>
      </c>
      <c r="AO83" s="149">
        <f t="shared" ca="1" si="55"/>
        <v>37115.526315789473</v>
      </c>
      <c r="AP83" s="149">
        <f t="shared" ca="1" si="55"/>
        <v>38043.552631578947</v>
      </c>
      <c r="AQ83" s="149">
        <f t="shared" ca="1" si="55"/>
        <v>38994.473684210527</v>
      </c>
      <c r="AR83" s="149">
        <f t="shared" ca="1" si="55"/>
        <v>39969.473684210527</v>
      </c>
      <c r="AS83" s="149">
        <f t="shared" ca="1" si="55"/>
        <v>40968.552631578947</v>
      </c>
      <c r="AT83" s="149">
        <f t="shared" ca="1" si="55"/>
        <v>41992.894736842107</v>
      </c>
    </row>
    <row r="84" spans="1:46" ht="12" customHeight="1">
      <c r="A84" s="113">
        <v>41</v>
      </c>
      <c r="B84" s="149">
        <f t="shared" si="53"/>
        <v>14741.84210526316</v>
      </c>
      <c r="C84" s="112" t="s">
        <v>460</v>
      </c>
      <c r="D84" s="113">
        <v>41</v>
      </c>
      <c r="E84" s="149">
        <f t="shared" si="54"/>
        <v>15257.763157894737</v>
      </c>
      <c r="F84" s="149">
        <f t="shared" ca="1" si="55"/>
        <v>15639.07894736842</v>
      </c>
      <c r="G84" s="149">
        <f t="shared" ca="1" si="55"/>
        <v>16029.868421052633</v>
      </c>
      <c r="H84" s="149">
        <f t="shared" ca="1" si="55"/>
        <v>16430.526315789473</v>
      </c>
      <c r="I84" s="149">
        <f t="shared" ca="1" si="55"/>
        <v>16841.447368421053</v>
      </c>
      <c r="J84" s="149">
        <f t="shared" ca="1" si="55"/>
        <v>17262.631578947367</v>
      </c>
      <c r="K84" s="149">
        <f t="shared" ca="1" si="55"/>
        <v>17694.07894736842</v>
      </c>
      <c r="L84" s="149">
        <f t="shared" ca="1" si="55"/>
        <v>18136.57894736842</v>
      </c>
      <c r="M84" s="149">
        <f t="shared" ca="1" si="55"/>
        <v>18590.131578947367</v>
      </c>
      <c r="N84" s="149">
        <f t="shared" ca="1" si="55"/>
        <v>19054.736842105263</v>
      </c>
      <c r="O84" s="149">
        <f t="shared" ca="1" si="55"/>
        <v>19531.184210526313</v>
      </c>
      <c r="P84" s="149">
        <f t="shared" ca="1" si="55"/>
        <v>20019.473684210527</v>
      </c>
      <c r="Q84" s="149">
        <f t="shared" ca="1" si="55"/>
        <v>20520</v>
      </c>
      <c r="R84" s="149">
        <f t="shared" ca="1" si="55"/>
        <v>21033.157894736847</v>
      </c>
      <c r="S84" s="149">
        <f t="shared" ca="1" si="55"/>
        <v>21558.947368421053</v>
      </c>
      <c r="T84" s="149">
        <f t="shared" ca="1" si="55"/>
        <v>22097.76315789474</v>
      </c>
      <c r="U84" s="149">
        <f t="shared" ca="1" si="55"/>
        <v>22650.394736842107</v>
      </c>
      <c r="V84" s="149">
        <f t="shared" ca="1" si="55"/>
        <v>23216.84210526316</v>
      </c>
      <c r="W84" s="149">
        <f t="shared" ca="1" si="55"/>
        <v>23797.105263157897</v>
      </c>
      <c r="X84" s="149">
        <f t="shared" ca="1" si="55"/>
        <v>24391.97368421053</v>
      </c>
      <c r="Y84" s="149">
        <f t="shared" ca="1" si="55"/>
        <v>25001.84210526316</v>
      </c>
      <c r="Z84" s="149">
        <f t="shared" ca="1" si="55"/>
        <v>25626.710526315794</v>
      </c>
      <c r="AA84" s="149">
        <f t="shared" ca="1" si="55"/>
        <v>26267.368421052633</v>
      </c>
      <c r="AB84" s="149">
        <f t="shared" ca="1" si="55"/>
        <v>26924.210526315794</v>
      </c>
      <c r="AC84" s="149">
        <f t="shared" ca="1" si="55"/>
        <v>27597.236842105267</v>
      </c>
      <c r="AD84" s="149">
        <f t="shared" ca="1" si="55"/>
        <v>28287.236842105267</v>
      </c>
      <c r="AE84" s="149">
        <f t="shared" ca="1" si="55"/>
        <v>28994.6052631579</v>
      </c>
      <c r="AF84" s="149">
        <f t="shared" ca="1" si="55"/>
        <v>29719.34210526316</v>
      </c>
      <c r="AG84" s="149">
        <f t="shared" ca="1" si="55"/>
        <v>30462.236842105267</v>
      </c>
      <c r="AH84" s="149">
        <f t="shared" ca="1" si="55"/>
        <v>31223.684210526313</v>
      </c>
      <c r="AI84" s="149">
        <f t="shared" ca="1" si="55"/>
        <v>32004.473684210527</v>
      </c>
      <c r="AJ84" s="149">
        <f t="shared" ca="1" si="55"/>
        <v>32804.605263157893</v>
      </c>
      <c r="AK84" s="149">
        <f t="shared" ca="1" si="55"/>
        <v>33624.868421052626</v>
      </c>
      <c r="AL84" s="149">
        <f t="shared" ca="1" si="55"/>
        <v>34465.65789473684</v>
      </c>
      <c r="AM84" s="149">
        <f t="shared" ca="1" si="55"/>
        <v>35327.368421052626</v>
      </c>
      <c r="AN84" s="149">
        <f t="shared" ca="1" si="55"/>
        <v>36210.394736842107</v>
      </c>
      <c r="AO84" s="149">
        <f t="shared" ca="1" si="55"/>
        <v>37115.526315789473</v>
      </c>
      <c r="AP84" s="149">
        <f t="shared" ca="1" si="55"/>
        <v>38043.552631578947</v>
      </c>
      <c r="AQ84" s="149">
        <f t="shared" ca="1" si="55"/>
        <v>38994.473684210527</v>
      </c>
      <c r="AR84" s="149">
        <f t="shared" ca="1" si="55"/>
        <v>39969.473684210527</v>
      </c>
      <c r="AS84" s="149">
        <f t="shared" ca="1" si="55"/>
        <v>40968.552631578947</v>
      </c>
      <c r="AT84" s="149">
        <f t="shared" ca="1" si="55"/>
        <v>41992.894736842107</v>
      </c>
    </row>
    <row r="85" spans="1:46" ht="12" customHeight="1">
      <c r="A85" s="113">
        <v>42</v>
      </c>
      <c r="B85" s="149">
        <f t="shared" si="53"/>
        <v>14741.84210526316</v>
      </c>
      <c r="C85" s="112" t="s">
        <v>485</v>
      </c>
      <c r="D85" s="113">
        <v>42</v>
      </c>
      <c r="E85" s="149">
        <f t="shared" si="54"/>
        <v>15257.763157894737</v>
      </c>
      <c r="F85" s="149">
        <f t="shared" ca="1" si="55"/>
        <v>15639.07894736842</v>
      </c>
      <c r="G85" s="149">
        <f t="shared" ca="1" si="55"/>
        <v>16029.868421052633</v>
      </c>
      <c r="H85" s="149">
        <f t="shared" ca="1" si="55"/>
        <v>16430.526315789473</v>
      </c>
      <c r="I85" s="149">
        <f t="shared" ca="1" si="55"/>
        <v>16841.447368421053</v>
      </c>
      <c r="J85" s="149">
        <f t="shared" ca="1" si="55"/>
        <v>17262.631578947367</v>
      </c>
      <c r="K85" s="149">
        <f t="shared" ca="1" si="55"/>
        <v>17694.07894736842</v>
      </c>
      <c r="L85" s="149">
        <f t="shared" ca="1" si="55"/>
        <v>18136.57894736842</v>
      </c>
      <c r="M85" s="149">
        <f t="shared" ca="1" si="55"/>
        <v>18590.131578947367</v>
      </c>
      <c r="N85" s="149">
        <f t="shared" ca="1" si="55"/>
        <v>19054.736842105263</v>
      </c>
      <c r="O85" s="149">
        <f t="shared" ca="1" si="55"/>
        <v>19531.184210526313</v>
      </c>
      <c r="P85" s="149">
        <f t="shared" ca="1" si="55"/>
        <v>20019.473684210527</v>
      </c>
      <c r="Q85" s="149">
        <f t="shared" ca="1" si="55"/>
        <v>20520</v>
      </c>
      <c r="R85" s="149">
        <f t="shared" ca="1" si="55"/>
        <v>21033.157894736847</v>
      </c>
      <c r="S85" s="149">
        <f t="shared" ca="1" si="55"/>
        <v>21558.947368421053</v>
      </c>
      <c r="T85" s="149">
        <f t="shared" ca="1" si="55"/>
        <v>22097.76315789474</v>
      </c>
      <c r="U85" s="149">
        <f t="shared" ca="1" si="55"/>
        <v>22650.394736842107</v>
      </c>
      <c r="V85" s="149">
        <f t="shared" ca="1" si="55"/>
        <v>23216.84210526316</v>
      </c>
      <c r="W85" s="149">
        <f t="shared" ca="1" si="55"/>
        <v>23797.105263157897</v>
      </c>
      <c r="X85" s="149">
        <f t="shared" ca="1" si="55"/>
        <v>24391.97368421053</v>
      </c>
      <c r="Y85" s="149">
        <f t="shared" ca="1" si="55"/>
        <v>25001.84210526316</v>
      </c>
      <c r="Z85" s="149">
        <f t="shared" ca="1" si="55"/>
        <v>25626.710526315794</v>
      </c>
      <c r="AA85" s="149">
        <f t="shared" ca="1" si="55"/>
        <v>26267.368421052633</v>
      </c>
      <c r="AB85" s="149">
        <f t="shared" ca="1" si="55"/>
        <v>26924.210526315794</v>
      </c>
      <c r="AC85" s="149">
        <f t="shared" ca="1" si="55"/>
        <v>27597.236842105267</v>
      </c>
      <c r="AD85" s="149">
        <f t="shared" ca="1" si="55"/>
        <v>28287.236842105267</v>
      </c>
      <c r="AE85" s="149">
        <f t="shared" ca="1" si="55"/>
        <v>28994.6052631579</v>
      </c>
      <c r="AF85" s="149">
        <f t="shared" ca="1" si="55"/>
        <v>29719.34210526316</v>
      </c>
      <c r="AG85" s="149">
        <f t="shared" ca="1" si="55"/>
        <v>30462.236842105267</v>
      </c>
      <c r="AH85" s="149">
        <f t="shared" ca="1" si="55"/>
        <v>31223.684210526313</v>
      </c>
      <c r="AI85" s="149">
        <f t="shared" ca="1" si="55"/>
        <v>32004.473684210527</v>
      </c>
      <c r="AJ85" s="149">
        <f t="shared" ca="1" si="55"/>
        <v>32804.605263157893</v>
      </c>
      <c r="AK85" s="149">
        <f t="shared" ca="1" si="55"/>
        <v>33624.868421052626</v>
      </c>
      <c r="AL85" s="149">
        <f t="shared" ca="1" si="55"/>
        <v>34465.65789473684</v>
      </c>
      <c r="AM85" s="149">
        <f t="shared" ref="F85:AT92" ca="1" si="56">AM$20*55%*1/209*150%</f>
        <v>35327.368421052626</v>
      </c>
      <c r="AN85" s="149">
        <f t="shared" ca="1" si="56"/>
        <v>36210.394736842107</v>
      </c>
      <c r="AO85" s="149">
        <f t="shared" ca="1" si="56"/>
        <v>37115.526315789473</v>
      </c>
      <c r="AP85" s="149">
        <f t="shared" ca="1" si="56"/>
        <v>38043.552631578947</v>
      </c>
      <c r="AQ85" s="149">
        <f t="shared" ca="1" si="56"/>
        <v>38994.473684210527</v>
      </c>
      <c r="AR85" s="149">
        <f t="shared" ca="1" si="56"/>
        <v>39969.473684210527</v>
      </c>
      <c r="AS85" s="149">
        <f t="shared" ca="1" si="56"/>
        <v>40968.552631578947</v>
      </c>
      <c r="AT85" s="149">
        <f t="shared" ca="1" si="56"/>
        <v>41992.894736842107</v>
      </c>
    </row>
    <row r="86" spans="1:46" ht="12" customHeight="1">
      <c r="A86" s="113">
        <v>43</v>
      </c>
      <c r="B86" s="149">
        <f t="shared" si="53"/>
        <v>14741.84210526316</v>
      </c>
      <c r="C86" s="112" t="s">
        <v>484</v>
      </c>
      <c r="D86" s="113">
        <v>43</v>
      </c>
      <c r="E86" s="149">
        <f t="shared" si="54"/>
        <v>15257.763157894737</v>
      </c>
      <c r="F86" s="149">
        <f t="shared" ca="1" si="56"/>
        <v>15639.07894736842</v>
      </c>
      <c r="G86" s="149">
        <f t="shared" ca="1" si="56"/>
        <v>16029.868421052633</v>
      </c>
      <c r="H86" s="149">
        <f t="shared" ca="1" si="56"/>
        <v>16430.526315789473</v>
      </c>
      <c r="I86" s="149">
        <f t="shared" ca="1" si="56"/>
        <v>16841.447368421053</v>
      </c>
      <c r="J86" s="149">
        <f t="shared" ca="1" si="56"/>
        <v>17262.631578947367</v>
      </c>
      <c r="K86" s="149">
        <f t="shared" ca="1" si="56"/>
        <v>17694.07894736842</v>
      </c>
      <c r="L86" s="149">
        <f t="shared" ca="1" si="56"/>
        <v>18136.57894736842</v>
      </c>
      <c r="M86" s="149">
        <f t="shared" ca="1" si="56"/>
        <v>18590.131578947367</v>
      </c>
      <c r="N86" s="149">
        <f t="shared" ca="1" si="56"/>
        <v>19054.736842105263</v>
      </c>
      <c r="O86" s="149">
        <f t="shared" ca="1" si="56"/>
        <v>19531.184210526313</v>
      </c>
      <c r="P86" s="149">
        <f t="shared" ca="1" si="56"/>
        <v>20019.473684210527</v>
      </c>
      <c r="Q86" s="149">
        <f t="shared" ca="1" si="56"/>
        <v>20520</v>
      </c>
      <c r="R86" s="149">
        <f t="shared" ca="1" si="56"/>
        <v>21033.157894736847</v>
      </c>
      <c r="S86" s="149">
        <f t="shared" ca="1" si="56"/>
        <v>21558.947368421053</v>
      </c>
      <c r="T86" s="149">
        <f t="shared" ca="1" si="56"/>
        <v>22097.76315789474</v>
      </c>
      <c r="U86" s="149">
        <f t="shared" ca="1" si="56"/>
        <v>22650.394736842107</v>
      </c>
      <c r="V86" s="149">
        <f t="shared" ca="1" si="56"/>
        <v>23216.84210526316</v>
      </c>
      <c r="W86" s="149">
        <f t="shared" ca="1" si="56"/>
        <v>23797.105263157897</v>
      </c>
      <c r="X86" s="149">
        <f t="shared" ca="1" si="56"/>
        <v>24391.97368421053</v>
      </c>
      <c r="Y86" s="149">
        <f t="shared" ca="1" si="56"/>
        <v>25001.84210526316</v>
      </c>
      <c r="Z86" s="149">
        <f t="shared" ca="1" si="56"/>
        <v>25626.710526315794</v>
      </c>
      <c r="AA86" s="149">
        <f t="shared" ca="1" si="56"/>
        <v>26267.368421052633</v>
      </c>
      <c r="AB86" s="149">
        <f t="shared" ca="1" si="56"/>
        <v>26924.210526315794</v>
      </c>
      <c r="AC86" s="149">
        <f t="shared" ca="1" si="56"/>
        <v>27597.236842105267</v>
      </c>
      <c r="AD86" s="149">
        <f t="shared" ca="1" si="56"/>
        <v>28287.236842105267</v>
      </c>
      <c r="AE86" s="149">
        <f t="shared" ca="1" si="56"/>
        <v>28994.6052631579</v>
      </c>
      <c r="AF86" s="149">
        <f t="shared" ca="1" si="56"/>
        <v>29719.34210526316</v>
      </c>
      <c r="AG86" s="149">
        <f t="shared" ca="1" si="56"/>
        <v>30462.236842105267</v>
      </c>
      <c r="AH86" s="149">
        <f t="shared" ca="1" si="56"/>
        <v>31223.684210526313</v>
      </c>
      <c r="AI86" s="149">
        <f t="shared" ca="1" si="56"/>
        <v>32004.473684210527</v>
      </c>
      <c r="AJ86" s="149">
        <f t="shared" ca="1" si="56"/>
        <v>32804.605263157893</v>
      </c>
      <c r="AK86" s="149">
        <f t="shared" ca="1" si="56"/>
        <v>33624.868421052626</v>
      </c>
      <c r="AL86" s="149">
        <f t="shared" ca="1" si="56"/>
        <v>34465.65789473684</v>
      </c>
      <c r="AM86" s="149">
        <f t="shared" ca="1" si="56"/>
        <v>35327.368421052626</v>
      </c>
      <c r="AN86" s="149">
        <f t="shared" ca="1" si="56"/>
        <v>36210.394736842107</v>
      </c>
      <c r="AO86" s="149">
        <f t="shared" ca="1" si="56"/>
        <v>37115.526315789473</v>
      </c>
      <c r="AP86" s="149">
        <f t="shared" ca="1" si="56"/>
        <v>38043.552631578947</v>
      </c>
      <c r="AQ86" s="149">
        <f t="shared" ca="1" si="56"/>
        <v>38994.473684210527</v>
      </c>
      <c r="AR86" s="149">
        <f t="shared" ca="1" si="56"/>
        <v>39969.473684210527</v>
      </c>
      <c r="AS86" s="149">
        <f t="shared" ca="1" si="56"/>
        <v>40968.552631578947</v>
      </c>
      <c r="AT86" s="149">
        <f t="shared" ca="1" si="56"/>
        <v>41992.894736842107</v>
      </c>
    </row>
    <row r="87" spans="1:46" ht="12" customHeight="1">
      <c r="A87" s="113">
        <v>44</v>
      </c>
      <c r="B87" s="149">
        <f t="shared" si="53"/>
        <v>14741.84210526316</v>
      </c>
      <c r="C87" s="112" t="s">
        <v>487</v>
      </c>
      <c r="D87" s="113">
        <v>44</v>
      </c>
      <c r="E87" s="149">
        <f t="shared" si="54"/>
        <v>15257.763157894737</v>
      </c>
      <c r="F87" s="149">
        <f t="shared" ca="1" si="56"/>
        <v>15639.07894736842</v>
      </c>
      <c r="G87" s="149">
        <f t="shared" ca="1" si="56"/>
        <v>16029.868421052633</v>
      </c>
      <c r="H87" s="149">
        <f t="shared" ca="1" si="56"/>
        <v>16430.526315789473</v>
      </c>
      <c r="I87" s="149">
        <f t="shared" ca="1" si="56"/>
        <v>16841.447368421053</v>
      </c>
      <c r="J87" s="149">
        <f t="shared" ca="1" si="56"/>
        <v>17262.631578947367</v>
      </c>
      <c r="K87" s="149">
        <f t="shared" ca="1" si="56"/>
        <v>17694.07894736842</v>
      </c>
      <c r="L87" s="149">
        <f t="shared" ca="1" si="56"/>
        <v>18136.57894736842</v>
      </c>
      <c r="M87" s="149">
        <f t="shared" ca="1" si="56"/>
        <v>18590.131578947367</v>
      </c>
      <c r="N87" s="149">
        <f t="shared" ca="1" si="56"/>
        <v>19054.736842105263</v>
      </c>
      <c r="O87" s="149">
        <f t="shared" ca="1" si="56"/>
        <v>19531.184210526313</v>
      </c>
      <c r="P87" s="149">
        <f t="shared" ca="1" si="56"/>
        <v>20019.473684210527</v>
      </c>
      <c r="Q87" s="149">
        <f t="shared" ca="1" si="56"/>
        <v>20520</v>
      </c>
      <c r="R87" s="149">
        <f t="shared" ca="1" si="56"/>
        <v>21033.157894736847</v>
      </c>
      <c r="S87" s="149">
        <f t="shared" ca="1" si="56"/>
        <v>21558.947368421053</v>
      </c>
      <c r="T87" s="149">
        <f t="shared" ca="1" si="56"/>
        <v>22097.76315789474</v>
      </c>
      <c r="U87" s="149">
        <f t="shared" ca="1" si="56"/>
        <v>22650.394736842107</v>
      </c>
      <c r="V87" s="149">
        <f t="shared" ca="1" si="56"/>
        <v>23216.84210526316</v>
      </c>
      <c r="W87" s="149">
        <f t="shared" ca="1" si="56"/>
        <v>23797.105263157897</v>
      </c>
      <c r="X87" s="149">
        <f t="shared" ca="1" si="56"/>
        <v>24391.97368421053</v>
      </c>
      <c r="Y87" s="149">
        <f t="shared" ca="1" si="56"/>
        <v>25001.84210526316</v>
      </c>
      <c r="Z87" s="149">
        <f t="shared" ca="1" si="56"/>
        <v>25626.710526315794</v>
      </c>
      <c r="AA87" s="149">
        <f t="shared" ca="1" si="56"/>
        <v>26267.368421052633</v>
      </c>
      <c r="AB87" s="149">
        <f t="shared" ca="1" si="56"/>
        <v>26924.210526315794</v>
      </c>
      <c r="AC87" s="149">
        <f t="shared" ca="1" si="56"/>
        <v>27597.236842105267</v>
      </c>
      <c r="AD87" s="149">
        <f t="shared" ca="1" si="56"/>
        <v>28287.236842105267</v>
      </c>
      <c r="AE87" s="149">
        <f t="shared" ca="1" si="56"/>
        <v>28994.6052631579</v>
      </c>
      <c r="AF87" s="149">
        <f t="shared" ca="1" si="56"/>
        <v>29719.34210526316</v>
      </c>
      <c r="AG87" s="149">
        <f t="shared" ca="1" si="56"/>
        <v>30462.236842105267</v>
      </c>
      <c r="AH87" s="149">
        <f t="shared" ca="1" si="56"/>
        <v>31223.684210526313</v>
      </c>
      <c r="AI87" s="149">
        <f t="shared" ca="1" si="56"/>
        <v>32004.473684210527</v>
      </c>
      <c r="AJ87" s="149">
        <f t="shared" ca="1" si="56"/>
        <v>32804.605263157893</v>
      </c>
      <c r="AK87" s="149">
        <f t="shared" ca="1" si="56"/>
        <v>33624.868421052626</v>
      </c>
      <c r="AL87" s="149">
        <f t="shared" ca="1" si="56"/>
        <v>34465.65789473684</v>
      </c>
      <c r="AM87" s="149">
        <f t="shared" ca="1" si="56"/>
        <v>35327.368421052626</v>
      </c>
      <c r="AN87" s="149">
        <f t="shared" ca="1" si="56"/>
        <v>36210.394736842107</v>
      </c>
      <c r="AO87" s="149">
        <f t="shared" ca="1" si="56"/>
        <v>37115.526315789473</v>
      </c>
      <c r="AP87" s="149">
        <f t="shared" ca="1" si="56"/>
        <v>38043.552631578947</v>
      </c>
      <c r="AQ87" s="149">
        <f t="shared" ca="1" si="56"/>
        <v>38994.473684210527</v>
      </c>
      <c r="AR87" s="149">
        <f t="shared" ca="1" si="56"/>
        <v>39969.473684210527</v>
      </c>
      <c r="AS87" s="149">
        <f t="shared" ca="1" si="56"/>
        <v>40968.552631578947</v>
      </c>
      <c r="AT87" s="149">
        <f t="shared" ca="1" si="56"/>
        <v>41992.894736842107</v>
      </c>
    </row>
    <row r="88" spans="1:46" ht="12" customHeight="1">
      <c r="A88" s="113">
        <v>45</v>
      </c>
      <c r="B88" s="149">
        <f t="shared" si="53"/>
        <v>14741.84210526316</v>
      </c>
      <c r="C88" s="112" t="s">
        <v>474</v>
      </c>
      <c r="D88" s="113">
        <v>45</v>
      </c>
      <c r="E88" s="149">
        <f t="shared" si="54"/>
        <v>15257.763157894737</v>
      </c>
      <c r="F88" s="149">
        <f t="shared" ca="1" si="56"/>
        <v>15639.07894736842</v>
      </c>
      <c r="G88" s="149">
        <f t="shared" ca="1" si="56"/>
        <v>16029.868421052633</v>
      </c>
      <c r="H88" s="149">
        <f t="shared" ca="1" si="56"/>
        <v>16430.526315789473</v>
      </c>
      <c r="I88" s="149">
        <f t="shared" ca="1" si="56"/>
        <v>16841.447368421053</v>
      </c>
      <c r="J88" s="149">
        <f t="shared" ca="1" si="56"/>
        <v>17262.631578947367</v>
      </c>
      <c r="K88" s="149">
        <f t="shared" ca="1" si="56"/>
        <v>17694.07894736842</v>
      </c>
      <c r="L88" s="149">
        <f t="shared" ca="1" si="56"/>
        <v>18136.57894736842</v>
      </c>
      <c r="M88" s="149">
        <f t="shared" ca="1" si="56"/>
        <v>18590.131578947367</v>
      </c>
      <c r="N88" s="149">
        <f t="shared" ca="1" si="56"/>
        <v>19054.736842105263</v>
      </c>
      <c r="O88" s="149">
        <f t="shared" ca="1" si="56"/>
        <v>19531.184210526313</v>
      </c>
      <c r="P88" s="149">
        <f t="shared" ca="1" si="56"/>
        <v>20019.473684210527</v>
      </c>
      <c r="Q88" s="149">
        <f t="shared" ca="1" si="56"/>
        <v>20520</v>
      </c>
      <c r="R88" s="149">
        <f t="shared" ca="1" si="56"/>
        <v>21033.157894736847</v>
      </c>
      <c r="S88" s="149">
        <f t="shared" ca="1" si="56"/>
        <v>21558.947368421053</v>
      </c>
      <c r="T88" s="149">
        <f t="shared" ca="1" si="56"/>
        <v>22097.76315789474</v>
      </c>
      <c r="U88" s="149">
        <f t="shared" ca="1" si="56"/>
        <v>22650.394736842107</v>
      </c>
      <c r="V88" s="149">
        <f t="shared" ca="1" si="56"/>
        <v>23216.84210526316</v>
      </c>
      <c r="W88" s="149">
        <f t="shared" ca="1" si="56"/>
        <v>23797.105263157897</v>
      </c>
      <c r="X88" s="149">
        <f t="shared" ca="1" si="56"/>
        <v>24391.97368421053</v>
      </c>
      <c r="Y88" s="149">
        <f t="shared" ca="1" si="56"/>
        <v>25001.84210526316</v>
      </c>
      <c r="Z88" s="149">
        <f t="shared" ca="1" si="56"/>
        <v>25626.710526315794</v>
      </c>
      <c r="AA88" s="149">
        <f t="shared" ca="1" si="56"/>
        <v>26267.368421052633</v>
      </c>
      <c r="AB88" s="149">
        <f t="shared" ca="1" si="56"/>
        <v>26924.210526315794</v>
      </c>
      <c r="AC88" s="149">
        <f t="shared" ca="1" si="56"/>
        <v>27597.236842105267</v>
      </c>
      <c r="AD88" s="149">
        <f t="shared" ca="1" si="56"/>
        <v>28287.236842105267</v>
      </c>
      <c r="AE88" s="149">
        <f t="shared" ca="1" si="56"/>
        <v>28994.6052631579</v>
      </c>
      <c r="AF88" s="149">
        <f t="shared" ca="1" si="56"/>
        <v>29719.34210526316</v>
      </c>
      <c r="AG88" s="149">
        <f t="shared" ca="1" si="56"/>
        <v>30462.236842105267</v>
      </c>
      <c r="AH88" s="149">
        <f t="shared" ca="1" si="56"/>
        <v>31223.684210526313</v>
      </c>
      <c r="AI88" s="149">
        <f t="shared" ca="1" si="56"/>
        <v>32004.473684210527</v>
      </c>
      <c r="AJ88" s="149">
        <f t="shared" ca="1" si="56"/>
        <v>32804.605263157893</v>
      </c>
      <c r="AK88" s="149">
        <f t="shared" ca="1" si="56"/>
        <v>33624.868421052626</v>
      </c>
      <c r="AL88" s="149">
        <f t="shared" ca="1" si="56"/>
        <v>34465.65789473684</v>
      </c>
      <c r="AM88" s="149">
        <f t="shared" ca="1" si="56"/>
        <v>35327.368421052626</v>
      </c>
      <c r="AN88" s="149">
        <f t="shared" ca="1" si="56"/>
        <v>36210.394736842107</v>
      </c>
      <c r="AO88" s="149">
        <f t="shared" ca="1" si="56"/>
        <v>37115.526315789473</v>
      </c>
      <c r="AP88" s="149">
        <f t="shared" ca="1" si="56"/>
        <v>38043.552631578947</v>
      </c>
      <c r="AQ88" s="149">
        <f t="shared" ca="1" si="56"/>
        <v>38994.473684210527</v>
      </c>
      <c r="AR88" s="149">
        <f t="shared" ca="1" si="56"/>
        <v>39969.473684210527</v>
      </c>
      <c r="AS88" s="149">
        <f t="shared" ca="1" si="56"/>
        <v>40968.552631578947</v>
      </c>
      <c r="AT88" s="149">
        <f t="shared" ca="1" si="56"/>
        <v>41992.894736842107</v>
      </c>
    </row>
    <row r="89" spans="1:46" ht="12" customHeight="1">
      <c r="A89" s="113">
        <v>46</v>
      </c>
      <c r="B89" s="149">
        <f t="shared" si="53"/>
        <v>14741.84210526316</v>
      </c>
      <c r="C89" s="112" t="s">
        <v>465</v>
      </c>
      <c r="D89" s="113">
        <v>46</v>
      </c>
      <c r="E89" s="149">
        <f t="shared" si="54"/>
        <v>15257.763157894737</v>
      </c>
      <c r="F89" s="149">
        <f t="shared" ca="1" si="56"/>
        <v>15639.07894736842</v>
      </c>
      <c r="G89" s="149">
        <f t="shared" ca="1" si="56"/>
        <v>16029.868421052633</v>
      </c>
      <c r="H89" s="149">
        <f t="shared" ca="1" si="56"/>
        <v>16430.526315789473</v>
      </c>
      <c r="I89" s="149">
        <f t="shared" ca="1" si="56"/>
        <v>16841.447368421053</v>
      </c>
      <c r="J89" s="149">
        <f t="shared" ca="1" si="56"/>
        <v>17262.631578947367</v>
      </c>
      <c r="K89" s="149">
        <f t="shared" ca="1" si="56"/>
        <v>17694.07894736842</v>
      </c>
      <c r="L89" s="149">
        <f t="shared" ca="1" si="56"/>
        <v>18136.57894736842</v>
      </c>
      <c r="M89" s="149">
        <f t="shared" ca="1" si="56"/>
        <v>18590.131578947367</v>
      </c>
      <c r="N89" s="149">
        <f t="shared" ca="1" si="56"/>
        <v>19054.736842105263</v>
      </c>
      <c r="O89" s="149">
        <f t="shared" ca="1" si="56"/>
        <v>19531.184210526313</v>
      </c>
      <c r="P89" s="149">
        <f t="shared" ca="1" si="56"/>
        <v>20019.473684210527</v>
      </c>
      <c r="Q89" s="149">
        <f t="shared" ca="1" si="56"/>
        <v>20520</v>
      </c>
      <c r="R89" s="149">
        <f t="shared" ca="1" si="56"/>
        <v>21033.157894736847</v>
      </c>
      <c r="S89" s="149">
        <f t="shared" ca="1" si="56"/>
        <v>21558.947368421053</v>
      </c>
      <c r="T89" s="149">
        <f t="shared" ca="1" si="56"/>
        <v>22097.76315789474</v>
      </c>
      <c r="U89" s="149">
        <f t="shared" ca="1" si="56"/>
        <v>22650.394736842107</v>
      </c>
      <c r="V89" s="149">
        <f t="shared" ca="1" si="56"/>
        <v>23216.84210526316</v>
      </c>
      <c r="W89" s="149">
        <f t="shared" ca="1" si="56"/>
        <v>23797.105263157897</v>
      </c>
      <c r="X89" s="149">
        <f t="shared" ca="1" si="56"/>
        <v>24391.97368421053</v>
      </c>
      <c r="Y89" s="149">
        <f t="shared" ca="1" si="56"/>
        <v>25001.84210526316</v>
      </c>
      <c r="Z89" s="149">
        <f t="shared" ca="1" si="56"/>
        <v>25626.710526315794</v>
      </c>
      <c r="AA89" s="149">
        <f t="shared" ca="1" si="56"/>
        <v>26267.368421052633</v>
      </c>
      <c r="AB89" s="149">
        <f t="shared" ca="1" si="56"/>
        <v>26924.210526315794</v>
      </c>
      <c r="AC89" s="149">
        <f t="shared" ca="1" si="56"/>
        <v>27597.236842105267</v>
      </c>
      <c r="AD89" s="149">
        <f t="shared" ca="1" si="56"/>
        <v>28287.236842105267</v>
      </c>
      <c r="AE89" s="149">
        <f t="shared" ca="1" si="56"/>
        <v>28994.6052631579</v>
      </c>
      <c r="AF89" s="149">
        <f t="shared" ca="1" si="56"/>
        <v>29719.34210526316</v>
      </c>
      <c r="AG89" s="149">
        <f t="shared" ca="1" si="56"/>
        <v>30462.236842105267</v>
      </c>
      <c r="AH89" s="149">
        <f t="shared" ca="1" si="56"/>
        <v>31223.684210526313</v>
      </c>
      <c r="AI89" s="149">
        <f t="shared" ca="1" si="56"/>
        <v>32004.473684210527</v>
      </c>
      <c r="AJ89" s="149">
        <f t="shared" ca="1" si="56"/>
        <v>32804.605263157893</v>
      </c>
      <c r="AK89" s="149">
        <f t="shared" ca="1" si="56"/>
        <v>33624.868421052626</v>
      </c>
      <c r="AL89" s="149">
        <f t="shared" ca="1" si="56"/>
        <v>34465.65789473684</v>
      </c>
      <c r="AM89" s="149">
        <f t="shared" ca="1" si="56"/>
        <v>35327.368421052626</v>
      </c>
      <c r="AN89" s="149">
        <f t="shared" ca="1" si="56"/>
        <v>36210.394736842107</v>
      </c>
      <c r="AO89" s="149">
        <f t="shared" ca="1" si="56"/>
        <v>37115.526315789473</v>
      </c>
      <c r="AP89" s="149">
        <f t="shared" ca="1" si="56"/>
        <v>38043.552631578947</v>
      </c>
      <c r="AQ89" s="149">
        <f t="shared" ca="1" si="56"/>
        <v>38994.473684210527</v>
      </c>
      <c r="AR89" s="149">
        <f t="shared" ca="1" si="56"/>
        <v>39969.473684210527</v>
      </c>
      <c r="AS89" s="149">
        <f t="shared" ca="1" si="56"/>
        <v>40968.552631578947</v>
      </c>
      <c r="AT89" s="149">
        <f t="shared" ca="1" si="56"/>
        <v>41992.894736842107</v>
      </c>
    </row>
    <row r="90" spans="1:46" ht="12" customHeight="1">
      <c r="A90" s="113">
        <v>47</v>
      </c>
      <c r="B90" s="149">
        <f t="shared" si="53"/>
        <v>14741.84210526316</v>
      </c>
      <c r="C90" s="112" t="s">
        <v>438</v>
      </c>
      <c r="D90" s="113">
        <v>47</v>
      </c>
      <c r="E90" s="149">
        <f t="shared" si="54"/>
        <v>15257.763157894737</v>
      </c>
      <c r="F90" s="149">
        <f t="shared" ca="1" si="56"/>
        <v>15639.07894736842</v>
      </c>
      <c r="G90" s="149">
        <f t="shared" ca="1" si="56"/>
        <v>16029.868421052633</v>
      </c>
      <c r="H90" s="149">
        <f t="shared" ca="1" si="56"/>
        <v>16430.526315789473</v>
      </c>
      <c r="I90" s="149">
        <f t="shared" ca="1" si="56"/>
        <v>16841.447368421053</v>
      </c>
      <c r="J90" s="149">
        <f t="shared" ca="1" si="56"/>
        <v>17262.631578947367</v>
      </c>
      <c r="K90" s="149">
        <f t="shared" ca="1" si="56"/>
        <v>17694.07894736842</v>
      </c>
      <c r="L90" s="149">
        <f t="shared" ca="1" si="56"/>
        <v>18136.57894736842</v>
      </c>
      <c r="M90" s="149">
        <f t="shared" ca="1" si="56"/>
        <v>18590.131578947367</v>
      </c>
      <c r="N90" s="149">
        <f t="shared" ca="1" si="56"/>
        <v>19054.736842105263</v>
      </c>
      <c r="O90" s="149">
        <f t="shared" ca="1" si="56"/>
        <v>19531.184210526313</v>
      </c>
      <c r="P90" s="149">
        <f t="shared" ca="1" si="56"/>
        <v>20019.473684210527</v>
      </c>
      <c r="Q90" s="149">
        <f t="shared" ca="1" si="56"/>
        <v>20520</v>
      </c>
      <c r="R90" s="149">
        <f t="shared" ca="1" si="56"/>
        <v>21033.157894736847</v>
      </c>
      <c r="S90" s="149">
        <f t="shared" ca="1" si="56"/>
        <v>21558.947368421053</v>
      </c>
      <c r="T90" s="149">
        <f t="shared" ca="1" si="56"/>
        <v>22097.76315789474</v>
      </c>
      <c r="U90" s="149">
        <f t="shared" ca="1" si="56"/>
        <v>22650.394736842107</v>
      </c>
      <c r="V90" s="149">
        <f t="shared" ca="1" si="56"/>
        <v>23216.84210526316</v>
      </c>
      <c r="W90" s="149">
        <f t="shared" ca="1" si="56"/>
        <v>23797.105263157897</v>
      </c>
      <c r="X90" s="149">
        <f t="shared" ca="1" si="56"/>
        <v>24391.97368421053</v>
      </c>
      <c r="Y90" s="149">
        <f t="shared" ca="1" si="56"/>
        <v>25001.84210526316</v>
      </c>
      <c r="Z90" s="149">
        <f t="shared" ca="1" si="56"/>
        <v>25626.710526315794</v>
      </c>
      <c r="AA90" s="149">
        <f t="shared" ca="1" si="56"/>
        <v>26267.368421052633</v>
      </c>
      <c r="AB90" s="149">
        <f t="shared" ca="1" si="56"/>
        <v>26924.210526315794</v>
      </c>
      <c r="AC90" s="149">
        <f t="shared" ca="1" si="56"/>
        <v>27597.236842105267</v>
      </c>
      <c r="AD90" s="149">
        <f t="shared" ca="1" si="56"/>
        <v>28287.236842105267</v>
      </c>
      <c r="AE90" s="149">
        <f t="shared" ca="1" si="56"/>
        <v>28994.6052631579</v>
      </c>
      <c r="AF90" s="149">
        <f t="shared" ca="1" si="56"/>
        <v>29719.34210526316</v>
      </c>
      <c r="AG90" s="149">
        <f t="shared" ca="1" si="56"/>
        <v>30462.236842105267</v>
      </c>
      <c r="AH90" s="149">
        <f t="shared" ca="1" si="56"/>
        <v>31223.684210526313</v>
      </c>
      <c r="AI90" s="149">
        <f t="shared" ca="1" si="56"/>
        <v>32004.473684210527</v>
      </c>
      <c r="AJ90" s="149">
        <f t="shared" ca="1" si="56"/>
        <v>32804.605263157893</v>
      </c>
      <c r="AK90" s="149">
        <f t="shared" ca="1" si="56"/>
        <v>33624.868421052626</v>
      </c>
      <c r="AL90" s="149">
        <f t="shared" ca="1" si="56"/>
        <v>34465.65789473684</v>
      </c>
      <c r="AM90" s="149">
        <f t="shared" ca="1" si="56"/>
        <v>35327.368421052626</v>
      </c>
      <c r="AN90" s="149">
        <f t="shared" ca="1" si="56"/>
        <v>36210.394736842107</v>
      </c>
      <c r="AO90" s="149">
        <f t="shared" ca="1" si="56"/>
        <v>37115.526315789473</v>
      </c>
      <c r="AP90" s="149">
        <f t="shared" ca="1" si="56"/>
        <v>38043.552631578947</v>
      </c>
      <c r="AQ90" s="149">
        <f t="shared" ca="1" si="56"/>
        <v>38994.473684210527</v>
      </c>
      <c r="AR90" s="149">
        <f t="shared" ca="1" si="56"/>
        <v>39969.473684210527</v>
      </c>
      <c r="AS90" s="149">
        <f t="shared" ca="1" si="56"/>
        <v>40968.552631578947</v>
      </c>
      <c r="AT90" s="149">
        <f t="shared" ca="1" si="56"/>
        <v>41992.894736842107</v>
      </c>
    </row>
    <row r="91" spans="1:46" ht="12" customHeight="1">
      <c r="A91" s="113">
        <v>48</v>
      </c>
      <c r="B91" s="149">
        <f t="shared" si="53"/>
        <v>14741.84210526316</v>
      </c>
      <c r="C91" s="112" t="s">
        <v>470</v>
      </c>
      <c r="D91" s="113">
        <v>48</v>
      </c>
      <c r="E91" s="149">
        <f t="shared" si="54"/>
        <v>15257.763157894737</v>
      </c>
      <c r="F91" s="149">
        <f t="shared" ca="1" si="56"/>
        <v>15639.07894736842</v>
      </c>
      <c r="G91" s="149">
        <f t="shared" ca="1" si="56"/>
        <v>16029.868421052633</v>
      </c>
      <c r="H91" s="149">
        <f t="shared" ca="1" si="56"/>
        <v>16430.526315789473</v>
      </c>
      <c r="I91" s="149">
        <f t="shared" ca="1" si="56"/>
        <v>16841.447368421053</v>
      </c>
      <c r="J91" s="149">
        <f t="shared" ca="1" si="56"/>
        <v>17262.631578947367</v>
      </c>
      <c r="K91" s="149">
        <f t="shared" ca="1" si="56"/>
        <v>17694.07894736842</v>
      </c>
      <c r="L91" s="149">
        <f t="shared" ca="1" si="56"/>
        <v>18136.57894736842</v>
      </c>
      <c r="M91" s="149">
        <f t="shared" ca="1" si="56"/>
        <v>18590.131578947367</v>
      </c>
      <c r="N91" s="149">
        <f t="shared" ca="1" si="56"/>
        <v>19054.736842105263</v>
      </c>
      <c r="O91" s="149">
        <f t="shared" ca="1" si="56"/>
        <v>19531.184210526313</v>
      </c>
      <c r="P91" s="149">
        <f t="shared" ca="1" si="56"/>
        <v>20019.473684210527</v>
      </c>
      <c r="Q91" s="149">
        <f t="shared" ca="1" si="56"/>
        <v>20520</v>
      </c>
      <c r="R91" s="149">
        <f t="shared" ca="1" si="56"/>
        <v>21033.157894736847</v>
      </c>
      <c r="S91" s="149">
        <f t="shared" ca="1" si="56"/>
        <v>21558.947368421053</v>
      </c>
      <c r="T91" s="149">
        <f t="shared" ca="1" si="56"/>
        <v>22097.76315789474</v>
      </c>
      <c r="U91" s="149">
        <f t="shared" ca="1" si="56"/>
        <v>22650.394736842107</v>
      </c>
      <c r="V91" s="149">
        <f t="shared" ca="1" si="56"/>
        <v>23216.84210526316</v>
      </c>
      <c r="W91" s="149">
        <f t="shared" ca="1" si="56"/>
        <v>23797.105263157897</v>
      </c>
      <c r="X91" s="149">
        <f t="shared" ca="1" si="56"/>
        <v>24391.97368421053</v>
      </c>
      <c r="Y91" s="149">
        <f t="shared" ca="1" si="56"/>
        <v>25001.84210526316</v>
      </c>
      <c r="Z91" s="149">
        <f t="shared" ca="1" si="56"/>
        <v>25626.710526315794</v>
      </c>
      <c r="AA91" s="149">
        <f t="shared" ca="1" si="56"/>
        <v>26267.368421052633</v>
      </c>
      <c r="AB91" s="149">
        <f t="shared" ca="1" si="56"/>
        <v>26924.210526315794</v>
      </c>
      <c r="AC91" s="149">
        <f t="shared" ca="1" si="56"/>
        <v>27597.236842105267</v>
      </c>
      <c r="AD91" s="149">
        <f t="shared" ca="1" si="56"/>
        <v>28287.236842105267</v>
      </c>
      <c r="AE91" s="149">
        <f t="shared" ca="1" si="56"/>
        <v>28994.6052631579</v>
      </c>
      <c r="AF91" s="149">
        <f t="shared" ca="1" si="56"/>
        <v>29719.34210526316</v>
      </c>
      <c r="AG91" s="149">
        <f t="shared" ca="1" si="56"/>
        <v>30462.236842105267</v>
      </c>
      <c r="AH91" s="149">
        <f t="shared" ca="1" si="56"/>
        <v>31223.684210526313</v>
      </c>
      <c r="AI91" s="149">
        <f t="shared" ca="1" si="56"/>
        <v>32004.473684210527</v>
      </c>
      <c r="AJ91" s="149">
        <f t="shared" ca="1" si="56"/>
        <v>32804.605263157893</v>
      </c>
      <c r="AK91" s="149">
        <f t="shared" ca="1" si="56"/>
        <v>33624.868421052626</v>
      </c>
      <c r="AL91" s="149">
        <f t="shared" ca="1" si="56"/>
        <v>34465.65789473684</v>
      </c>
      <c r="AM91" s="149">
        <f t="shared" ca="1" si="56"/>
        <v>35327.368421052626</v>
      </c>
      <c r="AN91" s="149">
        <f t="shared" ca="1" si="56"/>
        <v>36210.394736842107</v>
      </c>
      <c r="AO91" s="149">
        <f t="shared" ca="1" si="56"/>
        <v>37115.526315789473</v>
      </c>
      <c r="AP91" s="149">
        <f t="shared" ca="1" si="56"/>
        <v>38043.552631578947</v>
      </c>
      <c r="AQ91" s="149">
        <f t="shared" ca="1" si="56"/>
        <v>38994.473684210527</v>
      </c>
      <c r="AR91" s="149">
        <f t="shared" ca="1" si="56"/>
        <v>39969.473684210527</v>
      </c>
      <c r="AS91" s="149">
        <f t="shared" ca="1" si="56"/>
        <v>40968.552631578947</v>
      </c>
      <c r="AT91" s="149">
        <f t="shared" ca="1" si="56"/>
        <v>41992.894736842107</v>
      </c>
    </row>
    <row r="92" spans="1:46" ht="12" customHeight="1">
      <c r="A92" s="113">
        <v>49</v>
      </c>
      <c r="B92" s="149">
        <f t="shared" si="53"/>
        <v>14741.84210526316</v>
      </c>
      <c r="C92" s="112" t="s">
        <v>437</v>
      </c>
      <c r="D92" s="113">
        <v>49</v>
      </c>
      <c r="E92" s="149">
        <f t="shared" si="54"/>
        <v>15257.763157894737</v>
      </c>
      <c r="F92" s="149">
        <f t="shared" ca="1" si="56"/>
        <v>15639.07894736842</v>
      </c>
      <c r="G92" s="149">
        <f t="shared" ref="F92:AT93" ca="1" si="57">G$20*55%*1/209*150%</f>
        <v>16029.868421052633</v>
      </c>
      <c r="H92" s="149">
        <f t="shared" ca="1" si="57"/>
        <v>16430.526315789473</v>
      </c>
      <c r="I92" s="149">
        <f t="shared" ca="1" si="57"/>
        <v>16841.447368421053</v>
      </c>
      <c r="J92" s="149">
        <f t="shared" ca="1" si="57"/>
        <v>17262.631578947367</v>
      </c>
      <c r="K92" s="149">
        <f t="shared" ca="1" si="57"/>
        <v>17694.07894736842</v>
      </c>
      <c r="L92" s="149">
        <f t="shared" ca="1" si="57"/>
        <v>18136.57894736842</v>
      </c>
      <c r="M92" s="149">
        <f t="shared" ca="1" si="57"/>
        <v>18590.131578947367</v>
      </c>
      <c r="N92" s="149">
        <f t="shared" ca="1" si="57"/>
        <v>19054.736842105263</v>
      </c>
      <c r="O92" s="149">
        <f t="shared" ca="1" si="57"/>
        <v>19531.184210526313</v>
      </c>
      <c r="P92" s="149">
        <f t="shared" ca="1" si="57"/>
        <v>20019.473684210527</v>
      </c>
      <c r="Q92" s="149">
        <f t="shared" ca="1" si="57"/>
        <v>20520</v>
      </c>
      <c r="R92" s="149">
        <f t="shared" ca="1" si="57"/>
        <v>21033.157894736847</v>
      </c>
      <c r="S92" s="149">
        <f t="shared" ca="1" si="57"/>
        <v>21558.947368421053</v>
      </c>
      <c r="T92" s="149">
        <f t="shared" ca="1" si="57"/>
        <v>22097.76315789474</v>
      </c>
      <c r="U92" s="149">
        <f t="shared" ca="1" si="57"/>
        <v>22650.394736842107</v>
      </c>
      <c r="V92" s="149">
        <f t="shared" ca="1" si="57"/>
        <v>23216.84210526316</v>
      </c>
      <c r="W92" s="149">
        <f t="shared" ca="1" si="57"/>
        <v>23797.105263157897</v>
      </c>
      <c r="X92" s="149">
        <f t="shared" ca="1" si="57"/>
        <v>24391.97368421053</v>
      </c>
      <c r="Y92" s="149">
        <f t="shared" ca="1" si="57"/>
        <v>25001.84210526316</v>
      </c>
      <c r="Z92" s="149">
        <f t="shared" ca="1" si="57"/>
        <v>25626.710526315794</v>
      </c>
      <c r="AA92" s="149">
        <f t="shared" ca="1" si="57"/>
        <v>26267.368421052633</v>
      </c>
      <c r="AB92" s="149">
        <f t="shared" ca="1" si="57"/>
        <v>26924.210526315794</v>
      </c>
      <c r="AC92" s="149">
        <f t="shared" ca="1" si="57"/>
        <v>27597.236842105267</v>
      </c>
      <c r="AD92" s="149">
        <f t="shared" ca="1" si="57"/>
        <v>28287.236842105267</v>
      </c>
      <c r="AE92" s="149">
        <f t="shared" ca="1" si="57"/>
        <v>28994.6052631579</v>
      </c>
      <c r="AF92" s="149">
        <f t="shared" ca="1" si="57"/>
        <v>29719.34210526316</v>
      </c>
      <c r="AG92" s="149">
        <f t="shared" ca="1" si="57"/>
        <v>30462.236842105267</v>
      </c>
      <c r="AH92" s="149">
        <f t="shared" ca="1" si="57"/>
        <v>31223.684210526313</v>
      </c>
      <c r="AI92" s="149">
        <f t="shared" ca="1" si="57"/>
        <v>32004.473684210527</v>
      </c>
      <c r="AJ92" s="149">
        <f t="shared" ca="1" si="57"/>
        <v>32804.605263157893</v>
      </c>
      <c r="AK92" s="149">
        <f t="shared" ca="1" si="57"/>
        <v>33624.868421052626</v>
      </c>
      <c r="AL92" s="149">
        <f t="shared" ca="1" si="57"/>
        <v>34465.65789473684</v>
      </c>
      <c r="AM92" s="149">
        <f t="shared" ca="1" si="57"/>
        <v>35327.368421052626</v>
      </c>
      <c r="AN92" s="149">
        <f t="shared" ca="1" si="57"/>
        <v>36210.394736842107</v>
      </c>
      <c r="AO92" s="149">
        <f t="shared" ca="1" si="57"/>
        <v>37115.526315789473</v>
      </c>
      <c r="AP92" s="149">
        <f t="shared" ca="1" si="57"/>
        <v>38043.552631578947</v>
      </c>
      <c r="AQ92" s="149">
        <f t="shared" ca="1" si="57"/>
        <v>38994.473684210527</v>
      </c>
      <c r="AR92" s="149">
        <f t="shared" ca="1" si="57"/>
        <v>39969.473684210527</v>
      </c>
      <c r="AS92" s="149">
        <f t="shared" ca="1" si="57"/>
        <v>40968.552631578947</v>
      </c>
      <c r="AT92" s="149">
        <f t="shared" ca="1" si="57"/>
        <v>41992.894736842107</v>
      </c>
    </row>
    <row r="93" spans="1:46" ht="12" customHeight="1">
      <c r="A93" s="113">
        <v>50</v>
      </c>
      <c r="B93" s="149">
        <f t="shared" si="53"/>
        <v>14741.84210526316</v>
      </c>
      <c r="C93" s="112" t="s">
        <v>466</v>
      </c>
      <c r="D93" s="113">
        <v>50</v>
      </c>
      <c r="E93" s="149">
        <f t="shared" si="54"/>
        <v>15257.763157894737</v>
      </c>
      <c r="F93" s="149">
        <f t="shared" ca="1" si="57"/>
        <v>15639.07894736842</v>
      </c>
      <c r="G93" s="149">
        <f t="shared" ca="1" si="57"/>
        <v>16029.868421052633</v>
      </c>
      <c r="H93" s="149">
        <f t="shared" ca="1" si="57"/>
        <v>16430.526315789473</v>
      </c>
      <c r="I93" s="149">
        <f t="shared" ca="1" si="57"/>
        <v>16841.447368421053</v>
      </c>
      <c r="J93" s="149">
        <f t="shared" ca="1" si="57"/>
        <v>17262.631578947367</v>
      </c>
      <c r="K93" s="149">
        <f t="shared" ca="1" si="57"/>
        <v>17694.07894736842</v>
      </c>
      <c r="L93" s="149">
        <f t="shared" ca="1" si="57"/>
        <v>18136.57894736842</v>
      </c>
      <c r="M93" s="149">
        <f t="shared" ca="1" si="57"/>
        <v>18590.131578947367</v>
      </c>
      <c r="N93" s="149">
        <f t="shared" ca="1" si="57"/>
        <v>19054.736842105263</v>
      </c>
      <c r="O93" s="149">
        <f t="shared" ca="1" si="57"/>
        <v>19531.184210526313</v>
      </c>
      <c r="P93" s="149">
        <f t="shared" ca="1" si="57"/>
        <v>20019.473684210527</v>
      </c>
      <c r="Q93" s="149">
        <f t="shared" ca="1" si="57"/>
        <v>20520</v>
      </c>
      <c r="R93" s="149">
        <f t="shared" ca="1" si="57"/>
        <v>21033.157894736847</v>
      </c>
      <c r="S93" s="149">
        <f t="shared" ca="1" si="57"/>
        <v>21558.947368421053</v>
      </c>
      <c r="T93" s="149">
        <f t="shared" ca="1" si="57"/>
        <v>22097.76315789474</v>
      </c>
      <c r="U93" s="149">
        <f t="shared" ca="1" si="57"/>
        <v>22650.394736842107</v>
      </c>
      <c r="V93" s="149">
        <f t="shared" ca="1" si="57"/>
        <v>23216.84210526316</v>
      </c>
      <c r="W93" s="149">
        <f t="shared" ca="1" si="57"/>
        <v>23797.105263157897</v>
      </c>
      <c r="X93" s="149">
        <f t="shared" ca="1" si="57"/>
        <v>24391.97368421053</v>
      </c>
      <c r="Y93" s="149">
        <f t="shared" ca="1" si="57"/>
        <v>25001.84210526316</v>
      </c>
      <c r="Z93" s="149">
        <f t="shared" ca="1" si="57"/>
        <v>25626.710526315794</v>
      </c>
      <c r="AA93" s="149">
        <f t="shared" ca="1" si="57"/>
        <v>26267.368421052633</v>
      </c>
      <c r="AB93" s="149">
        <f t="shared" ca="1" si="57"/>
        <v>26924.210526315794</v>
      </c>
      <c r="AC93" s="149">
        <f t="shared" ca="1" si="57"/>
        <v>27597.236842105267</v>
      </c>
      <c r="AD93" s="149">
        <f t="shared" ca="1" si="57"/>
        <v>28287.236842105267</v>
      </c>
      <c r="AE93" s="149">
        <f t="shared" ca="1" si="57"/>
        <v>28994.6052631579</v>
      </c>
      <c r="AF93" s="149">
        <f t="shared" ca="1" si="57"/>
        <v>29719.34210526316</v>
      </c>
      <c r="AG93" s="149">
        <f t="shared" ca="1" si="57"/>
        <v>30462.236842105267</v>
      </c>
      <c r="AH93" s="149">
        <f t="shared" ca="1" si="57"/>
        <v>31223.684210526313</v>
      </c>
      <c r="AI93" s="149">
        <f t="shared" ca="1" si="57"/>
        <v>32004.473684210527</v>
      </c>
      <c r="AJ93" s="149">
        <f t="shared" ca="1" si="57"/>
        <v>32804.605263157893</v>
      </c>
      <c r="AK93" s="149">
        <f t="shared" ca="1" si="57"/>
        <v>33624.868421052626</v>
      </c>
      <c r="AL93" s="149">
        <f t="shared" ca="1" si="57"/>
        <v>34465.65789473684</v>
      </c>
      <c r="AM93" s="149">
        <f t="shared" ca="1" si="57"/>
        <v>35327.368421052626</v>
      </c>
      <c r="AN93" s="149">
        <f t="shared" ca="1" si="57"/>
        <v>36210.394736842107</v>
      </c>
      <c r="AO93" s="149">
        <f t="shared" ca="1" si="57"/>
        <v>37115.526315789473</v>
      </c>
      <c r="AP93" s="149">
        <f t="shared" ca="1" si="57"/>
        <v>38043.552631578947</v>
      </c>
      <c r="AQ93" s="149">
        <f t="shared" ca="1" si="57"/>
        <v>38994.473684210527</v>
      </c>
      <c r="AR93" s="149">
        <f t="shared" ca="1" si="57"/>
        <v>39969.473684210527</v>
      </c>
      <c r="AS93" s="149">
        <f t="shared" ca="1" si="57"/>
        <v>40968.552631578947</v>
      </c>
      <c r="AT93" s="149">
        <f t="shared" ca="1" si="57"/>
        <v>41992.894736842107</v>
      </c>
    </row>
    <row r="100" spans="2:4" ht="12" customHeight="1">
      <c r="B100" s="1188" t="s">
        <v>227</v>
      </c>
      <c r="C100" s="1188"/>
      <c r="D100" s="1188"/>
    </row>
    <row r="101" spans="2:4" ht="12" customHeight="1">
      <c r="B101" s="42" t="s">
        <v>500</v>
      </c>
      <c r="C101" s="42" t="s">
        <v>471</v>
      </c>
      <c r="D101" s="42" t="s">
        <v>508</v>
      </c>
    </row>
    <row r="102" spans="2:4" ht="12" customHeight="1">
      <c r="B102" s="42">
        <v>2021</v>
      </c>
      <c r="C102" s="42">
        <v>2</v>
      </c>
      <c r="D102" s="42">
        <v>9</v>
      </c>
    </row>
    <row r="103" spans="2:4" ht="12" customHeight="1">
      <c r="B103" s="42">
        <v>2022</v>
      </c>
      <c r="C103" s="42">
        <v>2</v>
      </c>
      <c r="D103" s="42">
        <v>9</v>
      </c>
    </row>
    <row r="104" spans="2:4" ht="12" customHeight="1">
      <c r="B104" s="42">
        <v>2023</v>
      </c>
      <c r="C104" s="42">
        <v>1</v>
      </c>
      <c r="D104" s="42">
        <v>9</v>
      </c>
    </row>
    <row r="105" spans="2:4" ht="12" customHeight="1">
      <c r="B105" s="42">
        <v>2024</v>
      </c>
      <c r="C105" s="42">
        <v>2</v>
      </c>
      <c r="D105" s="42">
        <v>9</v>
      </c>
    </row>
    <row r="106" spans="2:4" ht="12" customHeight="1">
      <c r="B106" s="42">
        <v>2025</v>
      </c>
      <c r="C106" s="42">
        <v>1</v>
      </c>
      <c r="D106" s="42">
        <v>10</v>
      </c>
    </row>
    <row r="107" spans="2:4" ht="12" customHeight="1">
      <c r="B107" s="42">
        <v>2026</v>
      </c>
      <c r="C107" s="42">
        <v>2</v>
      </c>
      <c r="D107" s="42">
        <v>9</v>
      </c>
    </row>
    <row r="108" spans="2:4" ht="12" customHeight="1">
      <c r="B108" s="42">
        <v>2027</v>
      </c>
      <c r="C108" s="42">
        <v>2</v>
      </c>
      <c r="D108" s="42">
        <v>9</v>
      </c>
    </row>
    <row r="109" spans="2:4" ht="12" customHeight="1">
      <c r="B109" s="42">
        <v>2028</v>
      </c>
      <c r="C109" s="42">
        <v>1</v>
      </c>
      <c r="D109" s="42">
        <v>10</v>
      </c>
    </row>
    <row r="110" spans="2:4" ht="12" customHeight="1">
      <c r="B110" s="42">
        <v>2029</v>
      </c>
      <c r="C110" s="42">
        <v>2</v>
      </c>
      <c r="D110" s="42">
        <v>9</v>
      </c>
    </row>
    <row r="111" spans="2:4" ht="12" customHeight="1">
      <c r="B111" s="42">
        <v>2030</v>
      </c>
      <c r="C111" s="42">
        <v>2</v>
      </c>
      <c r="D111" s="42">
        <v>9</v>
      </c>
    </row>
    <row r="112" spans="2:4" ht="12" customHeight="1">
      <c r="B112" s="42">
        <v>2031</v>
      </c>
      <c r="C112" s="42">
        <v>1</v>
      </c>
      <c r="D112" s="42">
        <v>10</v>
      </c>
    </row>
    <row r="113" spans="2:4" ht="12" customHeight="1">
      <c r="B113" s="42">
        <v>2032</v>
      </c>
      <c r="C113" s="42">
        <v>2</v>
      </c>
      <c r="D113" s="42">
        <v>9</v>
      </c>
    </row>
    <row r="114" spans="2:4" ht="12" customHeight="1">
      <c r="B114" s="42">
        <v>2033</v>
      </c>
      <c r="C114" s="42">
        <v>1</v>
      </c>
      <c r="D114" s="42">
        <v>9</v>
      </c>
    </row>
    <row r="115" spans="2:4" ht="12" customHeight="1">
      <c r="B115" s="42">
        <v>2034</v>
      </c>
      <c r="C115" s="42">
        <v>2</v>
      </c>
      <c r="D115" s="42">
        <v>9</v>
      </c>
    </row>
    <row r="116" spans="2:4" ht="12" customHeight="1">
      <c r="B116" s="42">
        <v>2035</v>
      </c>
      <c r="C116" s="42">
        <v>2</v>
      </c>
      <c r="D116" s="42">
        <v>9</v>
      </c>
    </row>
    <row r="117" spans="2:4" ht="12" customHeight="1">
      <c r="B117" s="42">
        <v>2036</v>
      </c>
      <c r="C117" s="42">
        <v>1</v>
      </c>
      <c r="D117" s="42">
        <v>10</v>
      </c>
    </row>
    <row r="118" spans="2:4" ht="12" customHeight="1">
      <c r="B118" s="42">
        <v>2037</v>
      </c>
      <c r="C118" s="42">
        <v>2</v>
      </c>
      <c r="D118" s="42">
        <v>9</v>
      </c>
    </row>
    <row r="119" spans="2:4" ht="12" customHeight="1">
      <c r="B119" s="42">
        <v>2038</v>
      </c>
      <c r="C119" s="42">
        <v>2</v>
      </c>
      <c r="D119" s="42">
        <v>9</v>
      </c>
    </row>
    <row r="120" spans="2:4" ht="12" customHeight="1">
      <c r="B120" s="42">
        <v>2039</v>
      </c>
      <c r="C120" s="42">
        <v>1</v>
      </c>
      <c r="D120" s="42">
        <v>10</v>
      </c>
    </row>
    <row r="121" spans="2:4" ht="12" customHeight="1">
      <c r="B121" s="42">
        <v>2040</v>
      </c>
      <c r="C121" s="42">
        <v>2</v>
      </c>
      <c r="D121" s="42">
        <v>9</v>
      </c>
    </row>
    <row r="122" spans="2:4" ht="12" customHeight="1">
      <c r="B122" s="42">
        <v>2041</v>
      </c>
      <c r="C122" s="42">
        <v>2</v>
      </c>
      <c r="D122" s="42">
        <v>9</v>
      </c>
    </row>
    <row r="123" spans="2:4" ht="12" customHeight="1">
      <c r="B123" s="42">
        <v>2042</v>
      </c>
      <c r="C123" s="42">
        <v>1</v>
      </c>
      <c r="D123" s="42">
        <v>9</v>
      </c>
    </row>
    <row r="124" spans="2:4" ht="12" customHeight="1">
      <c r="B124" s="42">
        <v>2043</v>
      </c>
      <c r="C124" s="42">
        <v>2</v>
      </c>
      <c r="D124" s="42">
        <v>9</v>
      </c>
    </row>
    <row r="125" spans="2:4" ht="12" customHeight="1">
      <c r="B125" s="42">
        <v>2044</v>
      </c>
      <c r="C125" s="42">
        <v>1</v>
      </c>
      <c r="D125" s="42">
        <v>10</v>
      </c>
    </row>
    <row r="126" spans="2:4" ht="12" customHeight="1">
      <c r="B126" s="42">
        <v>2045</v>
      </c>
      <c r="C126" s="42">
        <v>2</v>
      </c>
      <c r="D126" s="42">
        <v>9</v>
      </c>
    </row>
    <row r="127" spans="2:4" ht="12" customHeight="1">
      <c r="B127" s="42">
        <v>2046</v>
      </c>
      <c r="C127" s="42">
        <v>2</v>
      </c>
      <c r="D127" s="42">
        <v>9</v>
      </c>
    </row>
    <row r="128" spans="2:4" ht="12" customHeight="1">
      <c r="B128" s="42">
        <v>2047</v>
      </c>
      <c r="C128" s="42">
        <v>1</v>
      </c>
      <c r="D128" s="42">
        <v>10</v>
      </c>
    </row>
    <row r="129" spans="2:4" ht="12" customHeight="1">
      <c r="B129" s="42">
        <v>2048</v>
      </c>
      <c r="C129" s="42">
        <v>2</v>
      </c>
      <c r="D129" s="42">
        <v>9</v>
      </c>
    </row>
    <row r="130" spans="2:4" ht="12" customHeight="1">
      <c r="B130" s="42">
        <v>2049</v>
      </c>
      <c r="C130" s="42">
        <v>2</v>
      </c>
      <c r="D130" s="42">
        <v>9</v>
      </c>
    </row>
    <row r="131" spans="2:4" ht="12" customHeight="1">
      <c r="B131" s="42">
        <v>2050</v>
      </c>
      <c r="C131" s="42">
        <v>1</v>
      </c>
      <c r="D131" s="42">
        <v>9</v>
      </c>
    </row>
    <row r="132" spans="2:4" ht="12" customHeight="1">
      <c r="B132" s="42">
        <v>2051</v>
      </c>
      <c r="C132" s="42">
        <v>2</v>
      </c>
      <c r="D132" s="42">
        <v>9</v>
      </c>
    </row>
    <row r="133" spans="2:4" ht="12" customHeight="1">
      <c r="B133" s="42">
        <v>2052</v>
      </c>
      <c r="C133" s="42">
        <v>2</v>
      </c>
      <c r="D133" s="42">
        <v>9</v>
      </c>
    </row>
    <row r="134" spans="2:4" ht="12" customHeight="1">
      <c r="B134" s="42">
        <v>2053</v>
      </c>
      <c r="C134" s="42">
        <v>2</v>
      </c>
      <c r="D134" s="42">
        <v>9</v>
      </c>
    </row>
    <row r="135" spans="2:4" ht="12" customHeight="1">
      <c r="B135" s="42">
        <v>2054</v>
      </c>
      <c r="C135" s="42">
        <v>2</v>
      </c>
      <c r="D135" s="42">
        <v>9</v>
      </c>
    </row>
    <row r="136" spans="2:4" ht="12" customHeight="1">
      <c r="B136" s="42">
        <v>2055</v>
      </c>
      <c r="C136" s="42">
        <v>1</v>
      </c>
      <c r="D136" s="42">
        <v>10</v>
      </c>
    </row>
    <row r="137" spans="2:4" ht="12" customHeight="1">
      <c r="B137" s="42">
        <v>2056</v>
      </c>
      <c r="C137" s="42">
        <v>2</v>
      </c>
      <c r="D137" s="42">
        <v>9</v>
      </c>
    </row>
    <row r="138" spans="2:4" ht="12" customHeight="1">
      <c r="B138" s="42">
        <v>2057</v>
      </c>
      <c r="C138" s="42">
        <v>2</v>
      </c>
      <c r="D138" s="42">
        <v>9</v>
      </c>
    </row>
    <row r="139" spans="2:4" ht="12" customHeight="1">
      <c r="B139" s="42">
        <v>2058</v>
      </c>
      <c r="C139" s="42">
        <v>1</v>
      </c>
      <c r="D139" s="42">
        <v>10</v>
      </c>
    </row>
    <row r="140" spans="2:4" ht="12" customHeight="1">
      <c r="B140" s="42">
        <v>2059</v>
      </c>
      <c r="C140" s="42">
        <v>2</v>
      </c>
      <c r="D140" s="42">
        <v>9</v>
      </c>
    </row>
    <row r="141" spans="2:4" ht="12" customHeight="1">
      <c r="B141" s="42">
        <v>2060</v>
      </c>
      <c r="C141" s="42">
        <v>2</v>
      </c>
      <c r="D141" s="42">
        <v>9</v>
      </c>
    </row>
    <row r="142" spans="2:4" ht="12" customHeight="1">
      <c r="B142" s="42">
        <v>2061</v>
      </c>
      <c r="C142" s="42">
        <v>1</v>
      </c>
      <c r="D142" s="42">
        <v>9</v>
      </c>
    </row>
    <row r="143" spans="2:4" ht="12" customHeight="1">
      <c r="B143" s="42">
        <v>2062</v>
      </c>
      <c r="C143" s="42"/>
      <c r="D143" s="42"/>
    </row>
    <row r="144" spans="2:4" ht="12" customHeight="1">
      <c r="B144" s="42">
        <v>2063</v>
      </c>
      <c r="C144" s="42"/>
      <c r="D144" s="42"/>
    </row>
    <row r="145" spans="2:4" ht="12" customHeight="1">
      <c r="B145" s="42">
        <v>2064</v>
      </c>
      <c r="C145" s="42"/>
      <c r="D145" s="42"/>
    </row>
  </sheetData>
  <mergeCells count="1">
    <mergeCell ref="B100:D100"/>
  </mergeCells>
  <phoneticPr fontId="167" type="noConversion"/>
  <pageMargins left="0.69986110925674438" right="0.69986110925674438" top="0.75" bottom="0.75" header="0.30000001192092896" footer="0.30000001192092896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>
    <pageSetUpPr fitToPage="1"/>
  </sheetPr>
  <dimension ref="A1:N653"/>
  <sheetViews>
    <sheetView zoomScaleNormal="100" zoomScaleSheetLayoutView="100" workbookViewId="0">
      <pane xSplit="2" ySplit="3" topLeftCell="C4" activePane="bottomRight" state="frozen"/>
      <selection pane="topRight"/>
      <selection pane="bottomLeft"/>
      <selection pane="bottomRight" activeCell="I130" sqref="I130"/>
    </sheetView>
  </sheetViews>
  <sheetFormatPr baseColWidth="10" defaultColWidth="9" defaultRowHeight="17"/>
  <cols>
    <col min="1" max="2" width="7" style="33" bestFit="1" customWidth="1"/>
    <col min="3" max="3" width="10.5" style="33" bestFit="1" customWidth="1"/>
    <col min="4" max="14" width="9.5" style="33" bestFit="1" customWidth="1"/>
    <col min="15" max="16384" width="9" style="33"/>
  </cols>
  <sheetData>
    <row r="1" spans="1:14" ht="27">
      <c r="A1" s="1191" t="s">
        <v>384</v>
      </c>
      <c r="B1" s="1192"/>
      <c r="C1" s="1192"/>
      <c r="D1" s="1192"/>
      <c r="E1" s="1192"/>
      <c r="F1" s="1192"/>
      <c r="G1" s="1192"/>
      <c r="H1" s="1192"/>
      <c r="I1" s="1192"/>
      <c r="J1" s="1192"/>
      <c r="K1" s="1192"/>
      <c r="L1" s="1192"/>
      <c r="M1" s="1192"/>
      <c r="N1" s="1193"/>
    </row>
    <row r="2" spans="1:14" ht="40.5" customHeight="1">
      <c r="A2" s="1194" t="s">
        <v>652</v>
      </c>
      <c r="B2" s="1194"/>
      <c r="C2" s="37"/>
      <c r="D2" s="1194" t="s">
        <v>638</v>
      </c>
      <c r="E2" s="1194"/>
      <c r="F2" s="1194"/>
      <c r="G2" s="1194"/>
      <c r="H2" s="1194"/>
      <c r="I2" s="1194"/>
      <c r="J2" s="1194"/>
      <c r="K2" s="1194"/>
      <c r="L2" s="1194"/>
      <c r="M2" s="1194"/>
      <c r="N2" s="1194"/>
    </row>
    <row r="3" spans="1:14" ht="24" customHeight="1">
      <c r="A3" s="37" t="s">
        <v>486</v>
      </c>
      <c r="B3" s="37" t="s">
        <v>472</v>
      </c>
      <c r="C3" s="37" t="s">
        <v>469</v>
      </c>
      <c r="D3" s="37">
        <v>1</v>
      </c>
      <c r="E3" s="37">
        <v>2</v>
      </c>
      <c r="F3" s="37">
        <v>3</v>
      </c>
      <c r="G3" s="37">
        <v>4</v>
      </c>
      <c r="H3" s="37">
        <v>5</v>
      </c>
      <c r="I3" s="37">
        <v>6</v>
      </c>
      <c r="J3" s="37">
        <v>7</v>
      </c>
      <c r="K3" s="37">
        <v>8</v>
      </c>
      <c r="L3" s="37">
        <v>9</v>
      </c>
      <c r="M3" s="37">
        <v>10</v>
      </c>
      <c r="N3" s="37">
        <v>11</v>
      </c>
    </row>
    <row r="4" spans="1:14">
      <c r="A4" s="35">
        <v>770</v>
      </c>
      <c r="B4" s="35">
        <v>775</v>
      </c>
      <c r="C4" s="34">
        <f>A4*1000</f>
        <v>770000</v>
      </c>
      <c r="D4" s="36"/>
      <c r="E4" s="35"/>
      <c r="F4" s="35"/>
      <c r="G4" s="35"/>
      <c r="H4" s="35"/>
      <c r="I4" s="35"/>
      <c r="J4" s="35"/>
      <c r="K4" s="35"/>
      <c r="L4" s="35"/>
      <c r="M4" s="35"/>
      <c r="N4" s="35"/>
    </row>
    <row r="5" spans="1:14">
      <c r="A5" s="35">
        <v>775</v>
      </c>
      <c r="B5" s="35">
        <v>780</v>
      </c>
      <c r="C5" s="34">
        <f t="shared" ref="C5:C68" si="0">A5*1000</f>
        <v>775000</v>
      </c>
      <c r="D5" s="36"/>
      <c r="E5" s="35"/>
      <c r="F5" s="35"/>
      <c r="G5" s="35"/>
      <c r="H5" s="35"/>
      <c r="I5" s="35"/>
      <c r="J5" s="35"/>
      <c r="K5" s="35"/>
      <c r="L5" s="35"/>
      <c r="M5" s="35"/>
      <c r="N5" s="35"/>
    </row>
    <row r="6" spans="1:14">
      <c r="A6" s="35">
        <v>780</v>
      </c>
      <c r="B6" s="35">
        <v>785</v>
      </c>
      <c r="C6" s="34">
        <f t="shared" si="0"/>
        <v>780000</v>
      </c>
      <c r="D6" s="36"/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1:14">
      <c r="A7" s="35">
        <v>785</v>
      </c>
      <c r="B7" s="35">
        <v>790</v>
      </c>
      <c r="C7" s="34">
        <f t="shared" si="0"/>
        <v>785000</v>
      </c>
      <c r="D7" s="36"/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1:14">
      <c r="A8" s="35">
        <v>790</v>
      </c>
      <c r="B8" s="35">
        <v>795</v>
      </c>
      <c r="C8" s="34">
        <f t="shared" si="0"/>
        <v>790000</v>
      </c>
      <c r="D8" s="36"/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1:14">
      <c r="A9" s="35">
        <v>795</v>
      </c>
      <c r="B9" s="35">
        <v>800</v>
      </c>
      <c r="C9" s="34">
        <f t="shared" si="0"/>
        <v>795000</v>
      </c>
      <c r="D9" s="36"/>
      <c r="E9" s="35"/>
      <c r="F9" s="35"/>
      <c r="G9" s="35"/>
      <c r="H9" s="35"/>
      <c r="I9" s="35"/>
      <c r="J9" s="35"/>
      <c r="K9" s="35"/>
      <c r="L9" s="35"/>
      <c r="M9" s="35"/>
      <c r="N9" s="35"/>
    </row>
    <row r="10" spans="1:14">
      <c r="A10" s="35">
        <v>800</v>
      </c>
      <c r="B10" s="35">
        <v>805</v>
      </c>
      <c r="C10" s="34">
        <f t="shared" si="0"/>
        <v>800000</v>
      </c>
      <c r="D10" s="36"/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1:14">
      <c r="A11" s="35">
        <v>805</v>
      </c>
      <c r="B11" s="35">
        <v>810</v>
      </c>
      <c r="C11" s="34">
        <f t="shared" si="0"/>
        <v>805000</v>
      </c>
      <c r="D11" s="36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1:14">
      <c r="A12" s="35">
        <v>810</v>
      </c>
      <c r="B12" s="35">
        <v>815</v>
      </c>
      <c r="C12" s="34">
        <f t="shared" si="0"/>
        <v>810000</v>
      </c>
      <c r="D12" s="36"/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1:14">
      <c r="A13" s="35">
        <v>815</v>
      </c>
      <c r="B13" s="35">
        <v>820</v>
      </c>
      <c r="C13" s="34">
        <f t="shared" si="0"/>
        <v>815000</v>
      </c>
      <c r="D13" s="36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4" spans="1:14">
      <c r="A14" s="35">
        <v>820</v>
      </c>
      <c r="B14" s="35">
        <v>825</v>
      </c>
      <c r="C14" s="34">
        <f t="shared" si="0"/>
        <v>820000</v>
      </c>
      <c r="D14" s="36"/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1:14">
      <c r="A15" s="35">
        <v>825</v>
      </c>
      <c r="B15" s="35">
        <v>830</v>
      </c>
      <c r="C15" s="34">
        <f t="shared" si="0"/>
        <v>825000</v>
      </c>
      <c r="D15" s="36"/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1:14">
      <c r="A16" s="35">
        <v>830</v>
      </c>
      <c r="B16" s="35">
        <v>835</v>
      </c>
      <c r="C16" s="34">
        <f t="shared" si="0"/>
        <v>830000</v>
      </c>
      <c r="D16" s="36"/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1:14">
      <c r="A17" s="35">
        <v>835</v>
      </c>
      <c r="B17" s="35">
        <v>840</v>
      </c>
      <c r="C17" s="34">
        <f t="shared" si="0"/>
        <v>835000</v>
      </c>
      <c r="D17" s="36"/>
      <c r="E17" s="35"/>
      <c r="F17" s="35"/>
      <c r="G17" s="35"/>
      <c r="H17" s="35"/>
      <c r="I17" s="35"/>
      <c r="J17" s="35"/>
      <c r="K17" s="35"/>
      <c r="L17" s="35"/>
      <c r="M17" s="35"/>
      <c r="N17" s="35"/>
    </row>
    <row r="18" spans="1:14">
      <c r="A18" s="35">
        <v>840</v>
      </c>
      <c r="B18" s="35">
        <v>845</v>
      </c>
      <c r="C18" s="34">
        <f t="shared" si="0"/>
        <v>840000</v>
      </c>
      <c r="D18" s="36"/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1:14">
      <c r="A19" s="35">
        <v>845</v>
      </c>
      <c r="B19" s="35">
        <v>850</v>
      </c>
      <c r="C19" s="34">
        <f t="shared" si="0"/>
        <v>845000</v>
      </c>
      <c r="D19" s="36"/>
      <c r="E19" s="35"/>
      <c r="F19" s="35"/>
      <c r="G19" s="35"/>
      <c r="H19" s="35"/>
      <c r="I19" s="35"/>
      <c r="J19" s="35"/>
      <c r="K19" s="35"/>
      <c r="L19" s="35"/>
      <c r="M19" s="35"/>
      <c r="N19" s="35"/>
    </row>
    <row r="20" spans="1:14">
      <c r="A20" s="35">
        <v>850</v>
      </c>
      <c r="B20" s="35">
        <v>855</v>
      </c>
      <c r="C20" s="34">
        <f t="shared" si="0"/>
        <v>850000</v>
      </c>
      <c r="D20" s="36"/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1:14">
      <c r="A21" s="35">
        <v>855</v>
      </c>
      <c r="B21" s="35">
        <v>860</v>
      </c>
      <c r="C21" s="34">
        <f t="shared" si="0"/>
        <v>855000</v>
      </c>
      <c r="D21" s="36"/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1:14">
      <c r="A22" s="35">
        <v>860</v>
      </c>
      <c r="B22" s="35">
        <v>865</v>
      </c>
      <c r="C22" s="34">
        <f t="shared" si="0"/>
        <v>860000</v>
      </c>
      <c r="D22" s="36"/>
      <c r="E22" s="35"/>
      <c r="F22" s="35"/>
      <c r="G22" s="35"/>
      <c r="H22" s="35"/>
      <c r="I22" s="35"/>
      <c r="J22" s="35"/>
      <c r="K22" s="35"/>
      <c r="L22" s="35"/>
      <c r="M22" s="35"/>
      <c r="N22" s="35"/>
    </row>
    <row r="23" spans="1:14">
      <c r="A23" s="35">
        <v>865</v>
      </c>
      <c r="B23" s="35">
        <v>870</v>
      </c>
      <c r="C23" s="34">
        <f t="shared" si="0"/>
        <v>865000</v>
      </c>
      <c r="D23" s="36"/>
      <c r="E23" s="35"/>
      <c r="F23" s="35"/>
      <c r="G23" s="35"/>
      <c r="H23" s="35"/>
      <c r="I23" s="35"/>
      <c r="J23" s="35"/>
      <c r="K23" s="35"/>
      <c r="L23" s="35"/>
      <c r="M23" s="35"/>
      <c r="N23" s="35"/>
    </row>
    <row r="24" spans="1:14">
      <c r="A24" s="35">
        <v>870</v>
      </c>
      <c r="B24" s="35">
        <v>875</v>
      </c>
      <c r="C24" s="34">
        <f t="shared" si="0"/>
        <v>870000</v>
      </c>
      <c r="D24" s="36"/>
      <c r="E24" s="35"/>
      <c r="F24" s="35"/>
      <c r="G24" s="35"/>
      <c r="H24" s="35"/>
      <c r="I24" s="35"/>
      <c r="J24" s="35"/>
      <c r="K24" s="35"/>
      <c r="L24" s="35"/>
      <c r="M24" s="35"/>
      <c r="N24" s="35"/>
    </row>
    <row r="25" spans="1:14">
      <c r="A25" s="35">
        <v>875</v>
      </c>
      <c r="B25" s="35">
        <v>880</v>
      </c>
      <c r="C25" s="34">
        <f t="shared" si="0"/>
        <v>875000</v>
      </c>
      <c r="D25" s="36"/>
      <c r="E25" s="35"/>
      <c r="F25" s="35"/>
      <c r="G25" s="35"/>
      <c r="H25" s="35"/>
      <c r="I25" s="35"/>
      <c r="J25" s="35"/>
      <c r="K25" s="35"/>
      <c r="L25" s="35"/>
      <c r="M25" s="35"/>
      <c r="N25" s="35"/>
    </row>
    <row r="26" spans="1:14">
      <c r="A26" s="35">
        <v>880</v>
      </c>
      <c r="B26" s="35">
        <v>885</v>
      </c>
      <c r="C26" s="34">
        <f t="shared" si="0"/>
        <v>880000</v>
      </c>
      <c r="D26" s="36"/>
      <c r="E26" s="35"/>
      <c r="F26" s="35"/>
      <c r="G26" s="35"/>
      <c r="H26" s="35"/>
      <c r="I26" s="35"/>
      <c r="J26" s="35"/>
      <c r="K26" s="35"/>
      <c r="L26" s="35"/>
      <c r="M26" s="35"/>
      <c r="N26" s="35"/>
    </row>
    <row r="27" spans="1:14">
      <c r="A27" s="35">
        <v>885</v>
      </c>
      <c r="B27" s="35">
        <v>890</v>
      </c>
      <c r="C27" s="34">
        <f t="shared" si="0"/>
        <v>885000</v>
      </c>
      <c r="D27" s="36"/>
      <c r="E27" s="35"/>
      <c r="F27" s="35"/>
      <c r="G27" s="35"/>
      <c r="H27" s="35"/>
      <c r="I27" s="35"/>
      <c r="J27" s="35"/>
      <c r="K27" s="35"/>
      <c r="L27" s="35"/>
      <c r="M27" s="35"/>
      <c r="N27" s="35"/>
    </row>
    <row r="28" spans="1:14">
      <c r="A28" s="35">
        <v>890</v>
      </c>
      <c r="B28" s="35">
        <v>895</v>
      </c>
      <c r="C28" s="34">
        <f t="shared" si="0"/>
        <v>890000</v>
      </c>
      <c r="D28" s="36"/>
      <c r="E28" s="35"/>
      <c r="F28" s="35"/>
      <c r="G28" s="35"/>
      <c r="H28" s="35"/>
      <c r="I28" s="35"/>
      <c r="J28" s="35"/>
      <c r="K28" s="35"/>
      <c r="L28" s="35"/>
      <c r="M28" s="35"/>
      <c r="N28" s="35"/>
    </row>
    <row r="29" spans="1:14">
      <c r="A29" s="35">
        <v>895</v>
      </c>
      <c r="B29" s="35">
        <v>900</v>
      </c>
      <c r="C29" s="34">
        <f t="shared" si="0"/>
        <v>895000</v>
      </c>
      <c r="D29" s="36"/>
      <c r="E29" s="35"/>
      <c r="F29" s="35"/>
      <c r="G29" s="35"/>
      <c r="H29" s="35"/>
      <c r="I29" s="35"/>
      <c r="J29" s="35"/>
      <c r="K29" s="35"/>
      <c r="L29" s="35"/>
      <c r="M29" s="35"/>
      <c r="N29" s="35"/>
    </row>
    <row r="30" spans="1:14">
      <c r="A30" s="35">
        <v>900</v>
      </c>
      <c r="B30" s="35">
        <v>905</v>
      </c>
      <c r="C30" s="34">
        <f t="shared" si="0"/>
        <v>900000</v>
      </c>
      <c r="D30" s="36"/>
      <c r="E30" s="35"/>
      <c r="F30" s="35"/>
      <c r="G30" s="35"/>
      <c r="H30" s="35"/>
      <c r="I30" s="35"/>
      <c r="J30" s="35"/>
      <c r="K30" s="35"/>
      <c r="L30" s="35"/>
      <c r="M30" s="35"/>
      <c r="N30" s="35"/>
    </row>
    <row r="31" spans="1:14">
      <c r="A31" s="35">
        <v>905</v>
      </c>
      <c r="B31" s="35">
        <v>910</v>
      </c>
      <c r="C31" s="34">
        <f t="shared" si="0"/>
        <v>905000</v>
      </c>
      <c r="D31" s="36"/>
      <c r="E31" s="35"/>
      <c r="F31" s="35"/>
      <c r="G31" s="35"/>
      <c r="H31" s="35"/>
      <c r="I31" s="35"/>
      <c r="J31" s="35"/>
      <c r="K31" s="35"/>
      <c r="L31" s="35"/>
      <c r="M31" s="35"/>
      <c r="N31" s="35"/>
    </row>
    <row r="32" spans="1:14">
      <c r="A32" s="35">
        <v>910</v>
      </c>
      <c r="B32" s="35">
        <v>915</v>
      </c>
      <c r="C32" s="34">
        <f t="shared" si="0"/>
        <v>910000</v>
      </c>
      <c r="D32" s="36"/>
      <c r="E32" s="35"/>
      <c r="F32" s="35"/>
      <c r="G32" s="35"/>
      <c r="H32" s="35"/>
      <c r="I32" s="35"/>
      <c r="J32" s="35"/>
      <c r="K32" s="35"/>
      <c r="L32" s="35"/>
      <c r="M32" s="35"/>
      <c r="N32" s="35"/>
    </row>
    <row r="33" spans="1:14">
      <c r="A33" s="35">
        <v>915</v>
      </c>
      <c r="B33" s="35">
        <v>920</v>
      </c>
      <c r="C33" s="34">
        <f t="shared" si="0"/>
        <v>915000</v>
      </c>
      <c r="D33" s="36"/>
      <c r="E33" s="35"/>
      <c r="F33" s="35"/>
      <c r="G33" s="35"/>
      <c r="H33" s="35"/>
      <c r="I33" s="35"/>
      <c r="J33" s="35"/>
      <c r="K33" s="35"/>
      <c r="L33" s="35"/>
      <c r="M33" s="35"/>
      <c r="N33" s="35"/>
    </row>
    <row r="34" spans="1:14">
      <c r="A34" s="35">
        <v>920</v>
      </c>
      <c r="B34" s="35">
        <v>925</v>
      </c>
      <c r="C34" s="34">
        <f t="shared" si="0"/>
        <v>920000</v>
      </c>
      <c r="D34" s="36"/>
      <c r="E34" s="35"/>
      <c r="F34" s="35"/>
      <c r="G34" s="35"/>
      <c r="H34" s="35"/>
      <c r="I34" s="35"/>
      <c r="J34" s="35"/>
      <c r="K34" s="35"/>
      <c r="L34" s="35"/>
      <c r="M34" s="35"/>
      <c r="N34" s="35"/>
    </row>
    <row r="35" spans="1:14">
      <c r="A35" s="35">
        <v>925</v>
      </c>
      <c r="B35" s="35">
        <v>930</v>
      </c>
      <c r="C35" s="34">
        <f t="shared" si="0"/>
        <v>925000</v>
      </c>
      <c r="D35" s="36"/>
      <c r="E35" s="35"/>
      <c r="F35" s="35"/>
      <c r="G35" s="35"/>
      <c r="H35" s="35"/>
      <c r="I35" s="35"/>
      <c r="J35" s="35"/>
      <c r="K35" s="35"/>
      <c r="L35" s="35"/>
      <c r="M35" s="35"/>
      <c r="N35" s="35"/>
    </row>
    <row r="36" spans="1:14">
      <c r="A36" s="35">
        <v>930</v>
      </c>
      <c r="B36" s="35">
        <v>935</v>
      </c>
      <c r="C36" s="34">
        <f t="shared" si="0"/>
        <v>930000</v>
      </c>
      <c r="D36" s="36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14">
      <c r="A37" s="35">
        <v>935</v>
      </c>
      <c r="B37" s="35">
        <v>940</v>
      </c>
      <c r="C37" s="34">
        <f t="shared" si="0"/>
        <v>935000</v>
      </c>
      <c r="D37" s="36"/>
      <c r="E37" s="35"/>
      <c r="F37" s="35"/>
      <c r="G37" s="35"/>
      <c r="H37" s="35"/>
      <c r="I37" s="35"/>
      <c r="J37" s="35"/>
      <c r="K37" s="35"/>
      <c r="L37" s="35"/>
      <c r="M37" s="35"/>
      <c r="N37" s="35"/>
    </row>
    <row r="38" spans="1:14">
      <c r="A38" s="35">
        <v>940</v>
      </c>
      <c r="B38" s="35">
        <v>945</v>
      </c>
      <c r="C38" s="34">
        <f t="shared" si="0"/>
        <v>940000</v>
      </c>
      <c r="D38" s="36"/>
      <c r="E38" s="35"/>
      <c r="F38" s="35"/>
      <c r="G38" s="35"/>
      <c r="H38" s="35"/>
      <c r="I38" s="35"/>
      <c r="J38" s="35"/>
      <c r="K38" s="35"/>
      <c r="L38" s="35"/>
      <c r="M38" s="35"/>
      <c r="N38" s="35"/>
    </row>
    <row r="39" spans="1:14">
      <c r="A39" s="35">
        <v>945</v>
      </c>
      <c r="B39" s="35">
        <v>950</v>
      </c>
      <c r="C39" s="34">
        <f t="shared" si="0"/>
        <v>945000</v>
      </c>
      <c r="D39" s="36"/>
      <c r="E39" s="35"/>
      <c r="F39" s="35"/>
      <c r="G39" s="35"/>
      <c r="H39" s="35"/>
      <c r="I39" s="35"/>
      <c r="J39" s="35"/>
      <c r="K39" s="35"/>
      <c r="L39" s="35"/>
      <c r="M39" s="35"/>
      <c r="N39" s="35"/>
    </row>
    <row r="40" spans="1:14">
      <c r="A40" s="35">
        <v>950</v>
      </c>
      <c r="B40" s="35">
        <v>955</v>
      </c>
      <c r="C40" s="34">
        <f t="shared" si="0"/>
        <v>950000</v>
      </c>
      <c r="D40" s="36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14">
      <c r="A41" s="35">
        <v>955</v>
      </c>
      <c r="B41" s="35">
        <v>960</v>
      </c>
      <c r="C41" s="34">
        <f t="shared" si="0"/>
        <v>955000</v>
      </c>
      <c r="D41" s="36"/>
      <c r="E41" s="35"/>
      <c r="F41" s="35"/>
      <c r="G41" s="35"/>
      <c r="H41" s="35"/>
      <c r="I41" s="35"/>
      <c r="J41" s="35"/>
      <c r="K41" s="35"/>
      <c r="L41" s="35"/>
      <c r="M41" s="35"/>
      <c r="N41" s="35"/>
    </row>
    <row r="42" spans="1:14">
      <c r="A42" s="35">
        <v>960</v>
      </c>
      <c r="B42" s="35">
        <v>965</v>
      </c>
      <c r="C42" s="34">
        <f t="shared" si="0"/>
        <v>960000</v>
      </c>
      <c r="D42" s="36"/>
      <c r="E42" s="35"/>
      <c r="F42" s="35"/>
      <c r="G42" s="35"/>
      <c r="H42" s="35"/>
      <c r="I42" s="35"/>
      <c r="J42" s="35"/>
      <c r="K42" s="35"/>
      <c r="L42" s="35"/>
      <c r="M42" s="35"/>
      <c r="N42" s="35"/>
    </row>
    <row r="43" spans="1:14">
      <c r="A43" s="35">
        <v>965</v>
      </c>
      <c r="B43" s="35">
        <v>970</v>
      </c>
      <c r="C43" s="34">
        <f t="shared" si="0"/>
        <v>965000</v>
      </c>
      <c r="D43" s="36"/>
      <c r="E43" s="35"/>
      <c r="F43" s="35"/>
      <c r="G43" s="35"/>
      <c r="H43" s="35"/>
      <c r="I43" s="35"/>
      <c r="J43" s="35"/>
      <c r="K43" s="35"/>
      <c r="L43" s="35"/>
      <c r="M43" s="35"/>
      <c r="N43" s="35"/>
    </row>
    <row r="44" spans="1:14">
      <c r="A44" s="35">
        <v>970</v>
      </c>
      <c r="B44" s="35">
        <v>975</v>
      </c>
      <c r="C44" s="34">
        <f t="shared" si="0"/>
        <v>970000</v>
      </c>
      <c r="D44" s="36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pans="1:14">
      <c r="A45" s="35">
        <v>975</v>
      </c>
      <c r="B45" s="35">
        <v>980</v>
      </c>
      <c r="C45" s="34">
        <f t="shared" si="0"/>
        <v>975000</v>
      </c>
      <c r="D45" s="36"/>
      <c r="E45" s="35"/>
      <c r="F45" s="35"/>
      <c r="G45" s="35"/>
      <c r="H45" s="35"/>
      <c r="I45" s="35"/>
      <c r="J45" s="35"/>
      <c r="K45" s="35"/>
      <c r="L45" s="35"/>
      <c r="M45" s="35"/>
      <c r="N45" s="35"/>
    </row>
    <row r="46" spans="1:14">
      <c r="A46" s="35">
        <v>980</v>
      </c>
      <c r="B46" s="35">
        <v>985</v>
      </c>
      <c r="C46" s="34">
        <f t="shared" si="0"/>
        <v>980000</v>
      </c>
      <c r="D46" s="36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14">
      <c r="A47" s="35">
        <v>985</v>
      </c>
      <c r="B47" s="35">
        <v>990</v>
      </c>
      <c r="C47" s="34">
        <f t="shared" si="0"/>
        <v>985000</v>
      </c>
      <c r="D47" s="36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1:14">
      <c r="A48" s="35">
        <v>990</v>
      </c>
      <c r="B48" s="35">
        <v>995</v>
      </c>
      <c r="C48" s="34">
        <f t="shared" si="0"/>
        <v>990000</v>
      </c>
      <c r="D48" s="36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1:14">
      <c r="A49" s="35">
        <v>995</v>
      </c>
      <c r="B49" s="34">
        <v>1000</v>
      </c>
      <c r="C49" s="34">
        <f t="shared" si="0"/>
        <v>995000</v>
      </c>
      <c r="D49" s="36"/>
      <c r="E49" s="35"/>
      <c r="F49" s="35"/>
      <c r="G49" s="35"/>
      <c r="H49" s="35"/>
      <c r="I49" s="35"/>
      <c r="J49" s="35"/>
      <c r="K49" s="35"/>
      <c r="L49" s="35"/>
      <c r="M49" s="35"/>
      <c r="N49" s="35"/>
    </row>
    <row r="50" spans="1:14">
      <c r="A50" s="34">
        <v>1000</v>
      </c>
      <c r="B50" s="34">
        <v>1005</v>
      </c>
      <c r="C50" s="34">
        <f t="shared" si="0"/>
        <v>1000000</v>
      </c>
      <c r="D50" s="36"/>
      <c r="E50" s="35"/>
      <c r="F50" s="35"/>
      <c r="G50" s="35"/>
      <c r="H50" s="35"/>
      <c r="I50" s="35"/>
      <c r="J50" s="35"/>
      <c r="K50" s="35"/>
      <c r="L50" s="35"/>
      <c r="M50" s="35"/>
      <c r="N50" s="35"/>
    </row>
    <row r="51" spans="1:14">
      <c r="A51" s="34">
        <v>1005</v>
      </c>
      <c r="B51" s="34">
        <v>1010</v>
      </c>
      <c r="C51" s="34">
        <f t="shared" si="0"/>
        <v>1005000</v>
      </c>
      <c r="D51" s="36"/>
      <c r="E51" s="35"/>
      <c r="F51" s="35"/>
      <c r="G51" s="35"/>
      <c r="H51" s="35"/>
      <c r="I51" s="35"/>
      <c r="J51" s="35"/>
      <c r="K51" s="35"/>
      <c r="L51" s="35"/>
      <c r="M51" s="35"/>
      <c r="N51" s="35"/>
    </row>
    <row r="52" spans="1:14">
      <c r="A52" s="34">
        <v>1010</v>
      </c>
      <c r="B52" s="34">
        <v>1015</v>
      </c>
      <c r="C52" s="34">
        <f t="shared" si="0"/>
        <v>1010000</v>
      </c>
      <c r="D52" s="36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>
      <c r="A53" s="34">
        <v>1015</v>
      </c>
      <c r="B53" s="34">
        <v>1020</v>
      </c>
      <c r="C53" s="34">
        <f t="shared" si="0"/>
        <v>1015000</v>
      </c>
      <c r="D53" s="36"/>
      <c r="E53" s="35"/>
      <c r="F53" s="35"/>
      <c r="G53" s="35"/>
      <c r="H53" s="35"/>
      <c r="I53" s="35"/>
      <c r="J53" s="35"/>
      <c r="K53" s="35"/>
      <c r="L53" s="35"/>
      <c r="M53" s="35"/>
      <c r="N53" s="35"/>
    </row>
    <row r="54" spans="1:14">
      <c r="A54" s="34">
        <v>1020</v>
      </c>
      <c r="B54" s="34">
        <v>1025</v>
      </c>
      <c r="C54" s="34">
        <f t="shared" si="0"/>
        <v>1020000</v>
      </c>
      <c r="D54" s="36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>
      <c r="A55" s="34">
        <v>1025</v>
      </c>
      <c r="B55" s="34">
        <v>1030</v>
      </c>
      <c r="C55" s="34">
        <f t="shared" si="0"/>
        <v>1025000</v>
      </c>
      <c r="D55" s="36"/>
      <c r="E55" s="35"/>
      <c r="F55" s="35"/>
      <c r="G55" s="35"/>
      <c r="H55" s="35"/>
      <c r="I55" s="35"/>
      <c r="J55" s="35"/>
      <c r="K55" s="35"/>
      <c r="L55" s="35"/>
      <c r="M55" s="35"/>
      <c r="N55" s="35"/>
    </row>
    <row r="56" spans="1:14">
      <c r="A56" s="34">
        <v>1030</v>
      </c>
      <c r="B56" s="34">
        <v>1035</v>
      </c>
      <c r="C56" s="34">
        <f t="shared" si="0"/>
        <v>1030000</v>
      </c>
      <c r="D56" s="36"/>
      <c r="E56" s="35"/>
      <c r="F56" s="35"/>
      <c r="G56" s="35"/>
      <c r="H56" s="35"/>
      <c r="I56" s="35"/>
      <c r="J56" s="35"/>
      <c r="K56" s="35"/>
      <c r="L56" s="35"/>
      <c r="M56" s="35"/>
      <c r="N56" s="35"/>
    </row>
    <row r="57" spans="1:14">
      <c r="A57" s="34">
        <v>1035</v>
      </c>
      <c r="B57" s="34">
        <v>1040</v>
      </c>
      <c r="C57" s="34">
        <f t="shared" si="0"/>
        <v>1035000</v>
      </c>
      <c r="D57" s="36"/>
      <c r="E57" s="35"/>
      <c r="F57" s="35"/>
      <c r="G57" s="35"/>
      <c r="H57" s="35"/>
      <c r="I57" s="35"/>
      <c r="J57" s="35"/>
      <c r="K57" s="35"/>
      <c r="L57" s="35"/>
      <c r="M57" s="35"/>
      <c r="N57" s="35"/>
    </row>
    <row r="58" spans="1:14">
      <c r="A58" s="34">
        <v>1040</v>
      </c>
      <c r="B58" s="34">
        <v>1045</v>
      </c>
      <c r="C58" s="34">
        <f t="shared" si="0"/>
        <v>1040000</v>
      </c>
      <c r="D58" s="36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>
      <c r="A59" s="34">
        <v>1045</v>
      </c>
      <c r="B59" s="34">
        <v>1050</v>
      </c>
      <c r="C59" s="34">
        <f t="shared" si="0"/>
        <v>1045000</v>
      </c>
      <c r="D59" s="36"/>
      <c r="E59" s="35"/>
      <c r="F59" s="35"/>
      <c r="G59" s="35"/>
      <c r="H59" s="35"/>
      <c r="I59" s="35"/>
      <c r="J59" s="35"/>
      <c r="K59" s="35"/>
      <c r="L59" s="35"/>
      <c r="M59" s="35"/>
      <c r="N59" s="35"/>
    </row>
    <row r="60" spans="1:14">
      <c r="A60" s="34">
        <v>1050</v>
      </c>
      <c r="B60" s="34">
        <v>1055</v>
      </c>
      <c r="C60" s="34">
        <f t="shared" si="0"/>
        <v>1050000</v>
      </c>
      <c r="D60" s="36"/>
      <c r="E60" s="35"/>
      <c r="F60" s="35"/>
      <c r="G60" s="35"/>
      <c r="H60" s="35"/>
      <c r="I60" s="35"/>
      <c r="J60" s="35"/>
      <c r="K60" s="35"/>
      <c r="L60" s="35"/>
      <c r="M60" s="35"/>
      <c r="N60" s="35"/>
    </row>
    <row r="61" spans="1:14">
      <c r="A61" s="34">
        <v>1055</v>
      </c>
      <c r="B61" s="34">
        <v>1060</v>
      </c>
      <c r="C61" s="34">
        <f t="shared" si="0"/>
        <v>1055000</v>
      </c>
      <c r="D61" s="36"/>
      <c r="E61" s="35"/>
      <c r="F61" s="35"/>
      <c r="G61" s="35"/>
      <c r="H61" s="35"/>
      <c r="I61" s="35"/>
      <c r="J61" s="35"/>
      <c r="K61" s="35"/>
      <c r="L61" s="35"/>
      <c r="M61" s="35"/>
      <c r="N61" s="35"/>
    </row>
    <row r="62" spans="1:14">
      <c r="A62" s="34">
        <v>1060</v>
      </c>
      <c r="B62" s="34">
        <v>1065</v>
      </c>
      <c r="C62" s="34">
        <f t="shared" si="0"/>
        <v>1060000</v>
      </c>
      <c r="D62" s="34">
        <v>1040</v>
      </c>
      <c r="E62" s="35"/>
      <c r="F62" s="35"/>
      <c r="G62" s="35"/>
      <c r="H62" s="35"/>
      <c r="I62" s="35"/>
      <c r="J62" s="35"/>
      <c r="K62" s="35"/>
      <c r="L62" s="35"/>
      <c r="M62" s="35"/>
      <c r="N62" s="35"/>
    </row>
    <row r="63" spans="1:14">
      <c r="A63" s="34">
        <v>1065</v>
      </c>
      <c r="B63" s="34">
        <v>1070</v>
      </c>
      <c r="C63" s="34">
        <f t="shared" si="0"/>
        <v>1065000</v>
      </c>
      <c r="D63" s="34">
        <v>1110</v>
      </c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4" spans="1:14">
      <c r="A64" s="34">
        <v>1070</v>
      </c>
      <c r="B64" s="34">
        <v>1075</v>
      </c>
      <c r="C64" s="34">
        <f t="shared" si="0"/>
        <v>1070000</v>
      </c>
      <c r="D64" s="34">
        <v>1180</v>
      </c>
      <c r="E64" s="35"/>
      <c r="F64" s="35"/>
      <c r="G64" s="35"/>
      <c r="H64" s="35"/>
      <c r="I64" s="35"/>
      <c r="J64" s="35"/>
      <c r="K64" s="35"/>
      <c r="L64" s="35"/>
      <c r="M64" s="35"/>
      <c r="N64" s="35"/>
    </row>
    <row r="65" spans="1:14">
      <c r="A65" s="34">
        <v>1075</v>
      </c>
      <c r="B65" s="34">
        <v>1080</v>
      </c>
      <c r="C65" s="34">
        <f t="shared" si="0"/>
        <v>1075000</v>
      </c>
      <c r="D65" s="34">
        <v>1250</v>
      </c>
      <c r="E65" s="35"/>
      <c r="F65" s="35"/>
      <c r="G65" s="35"/>
      <c r="H65" s="35"/>
      <c r="I65" s="35"/>
      <c r="J65" s="35"/>
      <c r="K65" s="35"/>
      <c r="L65" s="35"/>
      <c r="M65" s="35"/>
      <c r="N65" s="35"/>
    </row>
    <row r="66" spans="1:14">
      <c r="A66" s="34">
        <v>1080</v>
      </c>
      <c r="B66" s="34">
        <v>1085</v>
      </c>
      <c r="C66" s="34">
        <f t="shared" si="0"/>
        <v>1080000</v>
      </c>
      <c r="D66" s="34">
        <v>1320</v>
      </c>
      <c r="E66" s="35"/>
      <c r="F66" s="35"/>
      <c r="G66" s="35"/>
      <c r="H66" s="35"/>
      <c r="I66" s="35"/>
      <c r="J66" s="35"/>
      <c r="K66" s="35"/>
      <c r="L66" s="35"/>
      <c r="M66" s="35"/>
      <c r="N66" s="35"/>
    </row>
    <row r="67" spans="1:14">
      <c r="A67" s="34">
        <v>1085</v>
      </c>
      <c r="B67" s="34">
        <v>1090</v>
      </c>
      <c r="C67" s="34">
        <f t="shared" si="0"/>
        <v>1085000</v>
      </c>
      <c r="D67" s="34">
        <v>1390</v>
      </c>
      <c r="E67" s="35"/>
      <c r="F67" s="35"/>
      <c r="G67" s="35"/>
      <c r="H67" s="35"/>
      <c r="I67" s="35"/>
      <c r="J67" s="35"/>
      <c r="K67" s="35"/>
      <c r="L67" s="35"/>
      <c r="M67" s="35"/>
      <c r="N67" s="35"/>
    </row>
    <row r="68" spans="1:14">
      <c r="A68" s="34">
        <v>1090</v>
      </c>
      <c r="B68" s="34">
        <v>1095</v>
      </c>
      <c r="C68" s="34">
        <f t="shared" si="0"/>
        <v>1090000</v>
      </c>
      <c r="D68" s="34">
        <v>1460</v>
      </c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34">
        <v>1095</v>
      </c>
      <c r="B69" s="34">
        <v>1100</v>
      </c>
      <c r="C69" s="34">
        <f t="shared" ref="C69:C132" si="1">A69*1000</f>
        <v>1095000</v>
      </c>
      <c r="D69" s="34">
        <v>1530</v>
      </c>
      <c r="E69" s="35"/>
      <c r="F69" s="35"/>
      <c r="G69" s="35"/>
      <c r="H69" s="35"/>
      <c r="I69" s="35"/>
      <c r="J69" s="35"/>
      <c r="K69" s="35"/>
      <c r="L69" s="35"/>
      <c r="M69" s="35"/>
      <c r="N69" s="35"/>
    </row>
    <row r="70" spans="1:14">
      <c r="A70" s="34">
        <v>1100</v>
      </c>
      <c r="B70" s="34">
        <v>1105</v>
      </c>
      <c r="C70" s="34">
        <f t="shared" si="1"/>
        <v>1100000</v>
      </c>
      <c r="D70" s="34">
        <v>1600</v>
      </c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34">
        <v>1105</v>
      </c>
      <c r="B71" s="34">
        <v>1110</v>
      </c>
      <c r="C71" s="34">
        <f t="shared" si="1"/>
        <v>1105000</v>
      </c>
      <c r="D71" s="34">
        <v>1670</v>
      </c>
      <c r="E71" s="35"/>
      <c r="F71" s="35"/>
      <c r="G71" s="35"/>
      <c r="H71" s="35"/>
      <c r="I71" s="35"/>
      <c r="J71" s="35"/>
      <c r="K71" s="35"/>
      <c r="L71" s="35"/>
      <c r="M71" s="35"/>
      <c r="N71" s="35"/>
    </row>
    <row r="72" spans="1:14">
      <c r="A72" s="34">
        <v>1110</v>
      </c>
      <c r="B72" s="34">
        <v>1115</v>
      </c>
      <c r="C72" s="34">
        <f t="shared" si="1"/>
        <v>1110000</v>
      </c>
      <c r="D72" s="34">
        <v>1740</v>
      </c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34">
        <v>1115</v>
      </c>
      <c r="B73" s="34">
        <v>1120</v>
      </c>
      <c r="C73" s="34">
        <f t="shared" si="1"/>
        <v>1115000</v>
      </c>
      <c r="D73" s="34">
        <v>1810</v>
      </c>
      <c r="E73" s="35"/>
      <c r="F73" s="35"/>
      <c r="G73" s="35"/>
      <c r="H73" s="35"/>
      <c r="I73" s="35"/>
      <c r="J73" s="35"/>
      <c r="K73" s="35"/>
      <c r="L73" s="35"/>
      <c r="M73" s="35"/>
      <c r="N73" s="35"/>
    </row>
    <row r="74" spans="1:14">
      <c r="A74" s="34">
        <v>1120</v>
      </c>
      <c r="B74" s="34">
        <v>1125</v>
      </c>
      <c r="C74" s="34">
        <f t="shared" si="1"/>
        <v>1120000</v>
      </c>
      <c r="D74" s="34">
        <v>1880</v>
      </c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34">
        <v>1125</v>
      </c>
      <c r="B75" s="34">
        <v>1130</v>
      </c>
      <c r="C75" s="34">
        <f t="shared" si="1"/>
        <v>1125000</v>
      </c>
      <c r="D75" s="34">
        <v>1950</v>
      </c>
      <c r="E75" s="35"/>
      <c r="F75" s="35"/>
      <c r="G75" s="35"/>
      <c r="H75" s="35"/>
      <c r="I75" s="35"/>
      <c r="J75" s="35"/>
      <c r="K75" s="35"/>
      <c r="L75" s="35"/>
      <c r="M75" s="35"/>
      <c r="N75" s="35"/>
    </row>
    <row r="76" spans="1:14">
      <c r="A76" s="34">
        <v>1130</v>
      </c>
      <c r="B76" s="34">
        <v>1135</v>
      </c>
      <c r="C76" s="34">
        <f t="shared" si="1"/>
        <v>1130000</v>
      </c>
      <c r="D76" s="34">
        <v>2020</v>
      </c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34">
        <v>1135</v>
      </c>
      <c r="B77" s="34">
        <v>1140</v>
      </c>
      <c r="C77" s="34">
        <f t="shared" si="1"/>
        <v>1135000</v>
      </c>
      <c r="D77" s="34">
        <v>2090</v>
      </c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34">
        <v>1140</v>
      </c>
      <c r="B78" s="34">
        <v>1145</v>
      </c>
      <c r="C78" s="34">
        <f t="shared" si="1"/>
        <v>1140000</v>
      </c>
      <c r="D78" s="34">
        <v>2160</v>
      </c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34">
        <v>1145</v>
      </c>
      <c r="B79" s="34">
        <v>1150</v>
      </c>
      <c r="C79" s="34">
        <f t="shared" si="1"/>
        <v>1145000</v>
      </c>
      <c r="D79" s="34">
        <v>2230</v>
      </c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34">
        <v>1150</v>
      </c>
      <c r="B80" s="34">
        <v>1155</v>
      </c>
      <c r="C80" s="34">
        <f t="shared" si="1"/>
        <v>1150000</v>
      </c>
      <c r="D80" s="34">
        <v>2300</v>
      </c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34">
        <v>1155</v>
      </c>
      <c r="B81" s="34">
        <v>1160</v>
      </c>
      <c r="C81" s="34">
        <f t="shared" si="1"/>
        <v>1155000</v>
      </c>
      <c r="D81" s="34">
        <v>2370</v>
      </c>
      <c r="E81" s="35"/>
      <c r="F81" s="35"/>
      <c r="G81" s="35"/>
      <c r="H81" s="35"/>
      <c r="I81" s="35"/>
      <c r="J81" s="35"/>
      <c r="K81" s="35"/>
      <c r="L81" s="35"/>
      <c r="M81" s="35"/>
      <c r="N81" s="35"/>
    </row>
    <row r="82" spans="1:14">
      <c r="A82" s="34">
        <v>1160</v>
      </c>
      <c r="B82" s="34">
        <v>1165</v>
      </c>
      <c r="C82" s="34">
        <f t="shared" si="1"/>
        <v>1160000</v>
      </c>
      <c r="D82" s="34">
        <v>2440</v>
      </c>
      <c r="E82" s="35"/>
      <c r="F82" s="35"/>
      <c r="G82" s="35"/>
      <c r="H82" s="35"/>
      <c r="I82" s="35"/>
      <c r="J82" s="35"/>
      <c r="K82" s="35"/>
      <c r="L82" s="35"/>
      <c r="M82" s="35"/>
      <c r="N82" s="35"/>
    </row>
    <row r="83" spans="1:14">
      <c r="A83" s="34">
        <v>1165</v>
      </c>
      <c r="B83" s="34">
        <v>1170</v>
      </c>
      <c r="C83" s="34">
        <f t="shared" si="1"/>
        <v>1165000</v>
      </c>
      <c r="D83" s="34">
        <v>2500</v>
      </c>
      <c r="E83" s="35"/>
      <c r="F83" s="35"/>
      <c r="G83" s="35"/>
      <c r="H83" s="35"/>
      <c r="I83" s="35"/>
      <c r="J83" s="35"/>
      <c r="K83" s="35"/>
      <c r="L83" s="35"/>
      <c r="M83" s="35"/>
      <c r="N83" s="35"/>
    </row>
    <row r="84" spans="1:14">
      <c r="A84" s="34">
        <v>1170</v>
      </c>
      <c r="B84" s="34">
        <v>1175</v>
      </c>
      <c r="C84" s="34">
        <f t="shared" si="1"/>
        <v>1170000</v>
      </c>
      <c r="D84" s="34">
        <v>2570</v>
      </c>
      <c r="E84" s="35"/>
      <c r="F84" s="35"/>
      <c r="G84" s="35"/>
      <c r="H84" s="35"/>
      <c r="I84" s="35"/>
      <c r="J84" s="35"/>
      <c r="K84" s="35"/>
      <c r="L84" s="35"/>
      <c r="M84" s="35"/>
      <c r="N84" s="35"/>
    </row>
    <row r="85" spans="1:14">
      <c r="A85" s="34">
        <v>1175</v>
      </c>
      <c r="B85" s="34">
        <v>1180</v>
      </c>
      <c r="C85" s="34">
        <f t="shared" si="1"/>
        <v>1175000</v>
      </c>
      <c r="D85" s="34">
        <v>2640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</row>
    <row r="86" spans="1:14">
      <c r="A86" s="34">
        <v>1180</v>
      </c>
      <c r="B86" s="34">
        <v>1185</v>
      </c>
      <c r="C86" s="34">
        <f t="shared" si="1"/>
        <v>1180000</v>
      </c>
      <c r="D86" s="34">
        <v>2710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</row>
    <row r="87" spans="1:14">
      <c r="A87" s="34">
        <v>1185</v>
      </c>
      <c r="B87" s="34">
        <v>1190</v>
      </c>
      <c r="C87" s="34">
        <f t="shared" si="1"/>
        <v>1185000</v>
      </c>
      <c r="D87" s="34">
        <v>2780</v>
      </c>
      <c r="E87" s="35"/>
      <c r="F87" s="35"/>
      <c r="G87" s="35"/>
      <c r="H87" s="35"/>
      <c r="I87" s="35"/>
      <c r="J87" s="35"/>
      <c r="K87" s="35"/>
      <c r="L87" s="35"/>
      <c r="M87" s="35"/>
      <c r="N87" s="35"/>
    </row>
    <row r="88" spans="1:14">
      <c r="A88" s="34">
        <v>1190</v>
      </c>
      <c r="B88" s="34">
        <v>1195</v>
      </c>
      <c r="C88" s="34">
        <f t="shared" si="1"/>
        <v>1190000</v>
      </c>
      <c r="D88" s="34">
        <v>2850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</row>
    <row r="89" spans="1:14">
      <c r="A89" s="34">
        <v>1195</v>
      </c>
      <c r="B89" s="34">
        <v>1200</v>
      </c>
      <c r="C89" s="34">
        <f t="shared" si="1"/>
        <v>1195000</v>
      </c>
      <c r="D89" s="34">
        <v>2920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</row>
    <row r="90" spans="1:14">
      <c r="A90" s="34">
        <v>1200</v>
      </c>
      <c r="B90" s="34">
        <v>1205</v>
      </c>
      <c r="C90" s="34">
        <f t="shared" si="1"/>
        <v>1200000</v>
      </c>
      <c r="D90" s="34">
        <v>2990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</row>
    <row r="91" spans="1:14">
      <c r="A91" s="34">
        <v>1205</v>
      </c>
      <c r="B91" s="34">
        <v>1210</v>
      </c>
      <c r="C91" s="34">
        <f t="shared" si="1"/>
        <v>1205000</v>
      </c>
      <c r="D91" s="34">
        <v>3060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</row>
    <row r="92" spans="1:14">
      <c r="A92" s="34">
        <v>1210</v>
      </c>
      <c r="B92" s="34">
        <v>1215</v>
      </c>
      <c r="C92" s="34">
        <f t="shared" si="1"/>
        <v>1210000</v>
      </c>
      <c r="D92" s="34">
        <v>3130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</row>
    <row r="93" spans="1:14">
      <c r="A93" s="34">
        <v>1215</v>
      </c>
      <c r="B93" s="34">
        <v>1220</v>
      </c>
      <c r="C93" s="34">
        <f t="shared" si="1"/>
        <v>1215000</v>
      </c>
      <c r="D93" s="34">
        <v>3200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</row>
    <row r="94" spans="1:14">
      <c r="A94" s="34">
        <v>1220</v>
      </c>
      <c r="B94" s="34">
        <v>1225</v>
      </c>
      <c r="C94" s="34">
        <f t="shared" si="1"/>
        <v>1220000</v>
      </c>
      <c r="D94" s="34">
        <v>3270</v>
      </c>
      <c r="E94" s="35"/>
      <c r="F94" s="35"/>
      <c r="G94" s="35"/>
      <c r="H94" s="35"/>
      <c r="I94" s="35"/>
      <c r="J94" s="35"/>
      <c r="K94" s="35"/>
      <c r="L94" s="35"/>
      <c r="M94" s="35"/>
      <c r="N94" s="35"/>
    </row>
    <row r="95" spans="1:14">
      <c r="A95" s="34">
        <v>1225</v>
      </c>
      <c r="B95" s="34">
        <v>1230</v>
      </c>
      <c r="C95" s="34">
        <f t="shared" si="1"/>
        <v>1225000</v>
      </c>
      <c r="D95" s="34">
        <v>3340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</row>
    <row r="96" spans="1:14">
      <c r="A96" s="34">
        <v>1230</v>
      </c>
      <c r="B96" s="34">
        <v>1235</v>
      </c>
      <c r="C96" s="34">
        <f t="shared" si="1"/>
        <v>1230000</v>
      </c>
      <c r="D96" s="34">
        <v>3410</v>
      </c>
      <c r="E96" s="35"/>
      <c r="F96" s="35"/>
      <c r="G96" s="35"/>
      <c r="H96" s="35"/>
      <c r="I96" s="35"/>
      <c r="J96" s="35"/>
      <c r="K96" s="35"/>
      <c r="L96" s="35"/>
      <c r="M96" s="35"/>
      <c r="N96" s="35"/>
    </row>
    <row r="97" spans="1:14">
      <c r="A97" s="34">
        <v>1235</v>
      </c>
      <c r="B97" s="34">
        <v>1240</v>
      </c>
      <c r="C97" s="34">
        <f t="shared" si="1"/>
        <v>1235000</v>
      </c>
      <c r="D97" s="34">
        <v>3480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</row>
    <row r="98" spans="1:14">
      <c r="A98" s="34">
        <v>1240</v>
      </c>
      <c r="B98" s="34">
        <v>1245</v>
      </c>
      <c r="C98" s="34">
        <f t="shared" si="1"/>
        <v>1240000</v>
      </c>
      <c r="D98" s="34">
        <v>3550</v>
      </c>
      <c r="E98" s="35"/>
      <c r="F98" s="35"/>
      <c r="G98" s="35"/>
      <c r="H98" s="35"/>
      <c r="I98" s="35"/>
      <c r="J98" s="35"/>
      <c r="K98" s="35"/>
      <c r="L98" s="35"/>
      <c r="M98" s="35"/>
      <c r="N98" s="35"/>
    </row>
    <row r="99" spans="1:14">
      <c r="A99" s="34">
        <v>1245</v>
      </c>
      <c r="B99" s="34">
        <v>1250</v>
      </c>
      <c r="C99" s="34">
        <f t="shared" si="1"/>
        <v>1245000</v>
      </c>
      <c r="D99" s="34">
        <v>3620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</row>
    <row r="100" spans="1:14">
      <c r="A100" s="34">
        <v>1250</v>
      </c>
      <c r="B100" s="34">
        <v>1255</v>
      </c>
      <c r="C100" s="34">
        <f t="shared" si="1"/>
        <v>1250000</v>
      </c>
      <c r="D100" s="34">
        <v>3700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</row>
    <row r="101" spans="1:14">
      <c r="A101" s="34">
        <v>1255</v>
      </c>
      <c r="B101" s="34">
        <v>1260</v>
      </c>
      <c r="C101" s="34">
        <f t="shared" si="1"/>
        <v>1255000</v>
      </c>
      <c r="D101" s="34">
        <v>3810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</row>
    <row r="102" spans="1:14">
      <c r="A102" s="34">
        <v>1260</v>
      </c>
      <c r="B102" s="34">
        <v>1265</v>
      </c>
      <c r="C102" s="34">
        <f t="shared" si="1"/>
        <v>1260000</v>
      </c>
      <c r="D102" s="34">
        <v>3910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</row>
    <row r="103" spans="1:14">
      <c r="A103" s="34">
        <v>1265</v>
      </c>
      <c r="B103" s="34">
        <v>1270</v>
      </c>
      <c r="C103" s="34">
        <f t="shared" si="1"/>
        <v>1265000</v>
      </c>
      <c r="D103" s="34">
        <v>4010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</row>
    <row r="104" spans="1:14">
      <c r="A104" s="34">
        <v>1270</v>
      </c>
      <c r="B104" s="34">
        <v>1275</v>
      </c>
      <c r="C104" s="34">
        <f t="shared" si="1"/>
        <v>1270000</v>
      </c>
      <c r="D104" s="34">
        <v>4120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</row>
    <row r="105" spans="1:14">
      <c r="A105" s="34">
        <v>1275</v>
      </c>
      <c r="B105" s="34">
        <v>1280</v>
      </c>
      <c r="C105" s="34">
        <f t="shared" si="1"/>
        <v>1275000</v>
      </c>
      <c r="D105" s="34">
        <v>4220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</row>
    <row r="106" spans="1:14">
      <c r="A106" s="34">
        <v>1280</v>
      </c>
      <c r="B106" s="34">
        <v>1285</v>
      </c>
      <c r="C106" s="34">
        <f t="shared" si="1"/>
        <v>1280000</v>
      </c>
      <c r="D106" s="34">
        <v>4320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</row>
    <row r="107" spans="1:14">
      <c r="A107" s="34">
        <v>1285</v>
      </c>
      <c r="B107" s="34">
        <v>1290</v>
      </c>
      <c r="C107" s="34">
        <f t="shared" si="1"/>
        <v>1285000</v>
      </c>
      <c r="D107" s="34">
        <v>4430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</row>
    <row r="108" spans="1:14">
      <c r="A108" s="34">
        <v>1290</v>
      </c>
      <c r="B108" s="34">
        <v>1295</v>
      </c>
      <c r="C108" s="34">
        <f t="shared" si="1"/>
        <v>1290000</v>
      </c>
      <c r="D108" s="34">
        <v>4530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</row>
    <row r="109" spans="1:14">
      <c r="A109" s="34">
        <v>1295</v>
      </c>
      <c r="B109" s="34">
        <v>1300</v>
      </c>
      <c r="C109" s="34">
        <f t="shared" si="1"/>
        <v>1295000</v>
      </c>
      <c r="D109" s="34">
        <v>4630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</row>
    <row r="110" spans="1:14">
      <c r="A110" s="34">
        <v>1300</v>
      </c>
      <c r="B110" s="34">
        <v>1305</v>
      </c>
      <c r="C110" s="34">
        <f t="shared" si="1"/>
        <v>1300000</v>
      </c>
      <c r="D110" s="34">
        <v>4740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</row>
    <row r="111" spans="1:14">
      <c r="A111" s="34">
        <v>1305</v>
      </c>
      <c r="B111" s="34">
        <v>1310</v>
      </c>
      <c r="C111" s="34">
        <f t="shared" si="1"/>
        <v>1305000</v>
      </c>
      <c r="D111" s="34">
        <v>4840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</row>
    <row r="112" spans="1:14">
      <c r="A112" s="34">
        <v>1310</v>
      </c>
      <c r="B112" s="34">
        <v>1315</v>
      </c>
      <c r="C112" s="34">
        <f t="shared" si="1"/>
        <v>1310000</v>
      </c>
      <c r="D112" s="34">
        <v>4940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</row>
    <row r="113" spans="1:14">
      <c r="A113" s="34">
        <v>1315</v>
      </c>
      <c r="B113" s="34">
        <v>1320</v>
      </c>
      <c r="C113" s="34">
        <f t="shared" si="1"/>
        <v>1315000</v>
      </c>
      <c r="D113" s="34">
        <v>5050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</row>
    <row r="114" spans="1:14">
      <c r="A114" s="34">
        <v>1320</v>
      </c>
      <c r="B114" s="34">
        <v>1325</v>
      </c>
      <c r="C114" s="34">
        <f t="shared" si="1"/>
        <v>1320000</v>
      </c>
      <c r="D114" s="34">
        <v>5150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</row>
    <row r="115" spans="1:14">
      <c r="A115" s="34">
        <v>1325</v>
      </c>
      <c r="B115" s="34">
        <v>1330</v>
      </c>
      <c r="C115" s="34">
        <f t="shared" si="1"/>
        <v>1325000</v>
      </c>
      <c r="D115" s="34">
        <v>5250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</row>
    <row r="116" spans="1:14">
      <c r="A116" s="34">
        <v>1330</v>
      </c>
      <c r="B116" s="34">
        <v>1335</v>
      </c>
      <c r="C116" s="34">
        <f t="shared" si="1"/>
        <v>1330000</v>
      </c>
      <c r="D116" s="34">
        <v>5360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</row>
    <row r="117" spans="1:14">
      <c r="A117" s="34">
        <v>1335</v>
      </c>
      <c r="B117" s="34">
        <v>1340</v>
      </c>
      <c r="C117" s="34">
        <f t="shared" si="1"/>
        <v>1335000</v>
      </c>
      <c r="D117" s="34">
        <v>5460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</row>
    <row r="118" spans="1:14">
      <c r="A118" s="34">
        <v>1340</v>
      </c>
      <c r="B118" s="34">
        <v>1345</v>
      </c>
      <c r="C118" s="34">
        <f t="shared" si="1"/>
        <v>1340000</v>
      </c>
      <c r="D118" s="34">
        <v>5560</v>
      </c>
      <c r="E118" s="34">
        <v>1060</v>
      </c>
      <c r="F118" s="35"/>
      <c r="G118" s="35"/>
      <c r="H118" s="35"/>
      <c r="I118" s="35"/>
      <c r="J118" s="35"/>
      <c r="K118" s="35"/>
      <c r="L118" s="35"/>
      <c r="M118" s="35"/>
      <c r="N118" s="35"/>
    </row>
    <row r="119" spans="1:14">
      <c r="A119" s="34">
        <v>1345</v>
      </c>
      <c r="B119" s="34">
        <v>1350</v>
      </c>
      <c r="C119" s="34">
        <f t="shared" si="1"/>
        <v>1345000</v>
      </c>
      <c r="D119" s="34">
        <v>5670</v>
      </c>
      <c r="E119" s="34">
        <v>1170</v>
      </c>
      <c r="F119" s="35"/>
      <c r="G119" s="35"/>
      <c r="H119" s="35"/>
      <c r="I119" s="35"/>
      <c r="J119" s="35"/>
      <c r="K119" s="35"/>
      <c r="L119" s="35"/>
      <c r="M119" s="35"/>
      <c r="N119" s="35"/>
    </row>
    <row r="120" spans="1:14">
      <c r="A120" s="34">
        <v>1350</v>
      </c>
      <c r="B120" s="34">
        <v>1355</v>
      </c>
      <c r="C120" s="34">
        <f t="shared" si="1"/>
        <v>1350000</v>
      </c>
      <c r="D120" s="34">
        <v>5770</v>
      </c>
      <c r="E120" s="34">
        <v>1270</v>
      </c>
      <c r="F120" s="35"/>
      <c r="G120" s="35"/>
      <c r="H120" s="35"/>
      <c r="I120" s="35"/>
      <c r="J120" s="35"/>
      <c r="K120" s="35"/>
      <c r="L120" s="35"/>
      <c r="M120" s="35"/>
      <c r="N120" s="35"/>
    </row>
    <row r="121" spans="1:14">
      <c r="A121" s="34">
        <v>1355</v>
      </c>
      <c r="B121" s="34">
        <v>1360</v>
      </c>
      <c r="C121" s="34">
        <f t="shared" si="1"/>
        <v>1355000</v>
      </c>
      <c r="D121" s="34">
        <v>5870</v>
      </c>
      <c r="E121" s="34">
        <v>1370</v>
      </c>
      <c r="F121" s="35"/>
      <c r="G121" s="35"/>
      <c r="H121" s="35"/>
      <c r="I121" s="35"/>
      <c r="J121" s="35"/>
      <c r="K121" s="35"/>
      <c r="L121" s="35"/>
      <c r="M121" s="35"/>
      <c r="N121" s="35"/>
    </row>
    <row r="122" spans="1:14">
      <c r="A122" s="34">
        <v>1360</v>
      </c>
      <c r="B122" s="34">
        <v>1365</v>
      </c>
      <c r="C122" s="34">
        <f t="shared" si="1"/>
        <v>1360000</v>
      </c>
      <c r="D122" s="34">
        <v>5980</v>
      </c>
      <c r="E122" s="34">
        <v>1480</v>
      </c>
      <c r="F122" s="35"/>
      <c r="G122" s="35"/>
      <c r="H122" s="35"/>
      <c r="I122" s="35"/>
      <c r="J122" s="35"/>
      <c r="K122" s="35"/>
      <c r="L122" s="35"/>
      <c r="M122" s="35"/>
      <c r="N122" s="35"/>
    </row>
    <row r="123" spans="1:14">
      <c r="A123" s="34">
        <v>1365</v>
      </c>
      <c r="B123" s="34">
        <v>1370</v>
      </c>
      <c r="C123" s="34">
        <f t="shared" si="1"/>
        <v>1365000</v>
      </c>
      <c r="D123" s="34">
        <v>6080</v>
      </c>
      <c r="E123" s="34">
        <v>1580</v>
      </c>
      <c r="F123" s="35"/>
      <c r="G123" s="35"/>
      <c r="H123" s="35"/>
      <c r="I123" s="35"/>
      <c r="J123" s="35"/>
      <c r="K123" s="35"/>
      <c r="L123" s="35"/>
      <c r="M123" s="35"/>
      <c r="N123" s="35"/>
    </row>
    <row r="124" spans="1:14">
      <c r="A124" s="34">
        <v>1370</v>
      </c>
      <c r="B124" s="34">
        <v>1375</v>
      </c>
      <c r="C124" s="34">
        <f t="shared" si="1"/>
        <v>1370000</v>
      </c>
      <c r="D124" s="34">
        <v>6180</v>
      </c>
      <c r="E124" s="34">
        <v>1680</v>
      </c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>
      <c r="A125" s="34">
        <v>1375</v>
      </c>
      <c r="B125" s="34">
        <v>1380</v>
      </c>
      <c r="C125" s="34">
        <f t="shared" si="1"/>
        <v>1375000</v>
      </c>
      <c r="D125" s="34">
        <v>6290</v>
      </c>
      <c r="E125" s="34">
        <v>1790</v>
      </c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>
      <c r="A126" s="34">
        <v>1380</v>
      </c>
      <c r="B126" s="34">
        <v>1385</v>
      </c>
      <c r="C126" s="34">
        <f t="shared" si="1"/>
        <v>1380000</v>
      </c>
      <c r="D126" s="34">
        <v>6390</v>
      </c>
      <c r="E126" s="34">
        <v>1890</v>
      </c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>
      <c r="A127" s="34">
        <v>1385</v>
      </c>
      <c r="B127" s="34">
        <v>1390</v>
      </c>
      <c r="C127" s="34">
        <f t="shared" si="1"/>
        <v>1385000</v>
      </c>
      <c r="D127" s="34">
        <v>6490</v>
      </c>
      <c r="E127" s="34">
        <v>1990</v>
      </c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>
      <c r="A128" s="34">
        <v>1390</v>
      </c>
      <c r="B128" s="34">
        <v>1395</v>
      </c>
      <c r="C128" s="34">
        <f t="shared" si="1"/>
        <v>1390000</v>
      </c>
      <c r="D128" s="34">
        <v>6600</v>
      </c>
      <c r="E128" s="34">
        <v>2100</v>
      </c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>
      <c r="A129" s="34">
        <v>1395</v>
      </c>
      <c r="B129" s="34">
        <v>1400</v>
      </c>
      <c r="C129" s="34">
        <f t="shared" si="1"/>
        <v>1395000</v>
      </c>
      <c r="D129" s="34">
        <v>6700</v>
      </c>
      <c r="E129" s="34">
        <v>2200</v>
      </c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>
      <c r="A130" s="34">
        <v>1400</v>
      </c>
      <c r="B130" s="34">
        <v>1405</v>
      </c>
      <c r="C130" s="34">
        <f t="shared" si="1"/>
        <v>1400000</v>
      </c>
      <c r="D130" s="34">
        <v>6800</v>
      </c>
      <c r="E130" s="34">
        <v>2300</v>
      </c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>
      <c r="A131" s="34">
        <v>1405</v>
      </c>
      <c r="B131" s="34">
        <v>1410</v>
      </c>
      <c r="C131" s="34">
        <f t="shared" si="1"/>
        <v>1405000</v>
      </c>
      <c r="D131" s="34">
        <v>6910</v>
      </c>
      <c r="E131" s="34">
        <v>2410</v>
      </c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>
      <c r="A132" s="34">
        <v>1410</v>
      </c>
      <c r="B132" s="34">
        <v>1415</v>
      </c>
      <c r="C132" s="34">
        <f t="shared" si="1"/>
        <v>1410000</v>
      </c>
      <c r="D132" s="34">
        <v>7010</v>
      </c>
      <c r="E132" s="34">
        <v>2510</v>
      </c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>
      <c r="A133" s="34">
        <v>1415</v>
      </c>
      <c r="B133" s="34">
        <v>1420</v>
      </c>
      <c r="C133" s="34">
        <f t="shared" ref="C133:C196" si="2">A133*1000</f>
        <v>1415000</v>
      </c>
      <c r="D133" s="34">
        <v>7110</v>
      </c>
      <c r="E133" s="34">
        <v>2610</v>
      </c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>
      <c r="A134" s="34">
        <v>1420</v>
      </c>
      <c r="B134" s="34">
        <v>1425</v>
      </c>
      <c r="C134" s="34">
        <f t="shared" si="2"/>
        <v>1420000</v>
      </c>
      <c r="D134" s="34">
        <v>7210</v>
      </c>
      <c r="E134" s="34">
        <v>2710</v>
      </c>
      <c r="F134" s="35"/>
      <c r="G134" s="35"/>
      <c r="H134" s="35"/>
      <c r="I134" s="35"/>
      <c r="J134" s="35"/>
      <c r="K134" s="35"/>
      <c r="L134" s="35"/>
      <c r="M134" s="35"/>
      <c r="N134" s="35"/>
    </row>
    <row r="135" spans="1:14">
      <c r="A135" s="34">
        <v>1425</v>
      </c>
      <c r="B135" s="34">
        <v>1430</v>
      </c>
      <c r="C135" s="34">
        <f t="shared" si="2"/>
        <v>1425000</v>
      </c>
      <c r="D135" s="34">
        <v>7320</v>
      </c>
      <c r="E135" s="34">
        <v>2820</v>
      </c>
      <c r="F135" s="35"/>
      <c r="G135" s="35"/>
      <c r="H135" s="35"/>
      <c r="I135" s="35"/>
      <c r="J135" s="35"/>
      <c r="K135" s="35"/>
      <c r="L135" s="35"/>
      <c r="M135" s="35"/>
      <c r="N135" s="35"/>
    </row>
    <row r="136" spans="1:14">
      <c r="A136" s="34">
        <v>1430</v>
      </c>
      <c r="B136" s="34">
        <v>1435</v>
      </c>
      <c r="C136" s="34">
        <f t="shared" si="2"/>
        <v>1430000</v>
      </c>
      <c r="D136" s="34">
        <v>7420</v>
      </c>
      <c r="E136" s="34">
        <v>2920</v>
      </c>
      <c r="F136" s="35"/>
      <c r="G136" s="35"/>
      <c r="H136" s="35"/>
      <c r="I136" s="35"/>
      <c r="J136" s="35"/>
      <c r="K136" s="35"/>
      <c r="L136" s="35"/>
      <c r="M136" s="35"/>
      <c r="N136" s="35"/>
    </row>
    <row r="137" spans="1:14">
      <c r="A137" s="34">
        <v>1435</v>
      </c>
      <c r="B137" s="34">
        <v>1440</v>
      </c>
      <c r="C137" s="34">
        <f t="shared" si="2"/>
        <v>1435000</v>
      </c>
      <c r="D137" s="34">
        <v>7520</v>
      </c>
      <c r="E137" s="34">
        <v>3020</v>
      </c>
      <c r="F137" s="35"/>
      <c r="G137" s="35"/>
      <c r="H137" s="35"/>
      <c r="I137" s="35"/>
      <c r="J137" s="35"/>
      <c r="K137" s="35"/>
      <c r="L137" s="35"/>
      <c r="M137" s="35"/>
      <c r="N137" s="35"/>
    </row>
    <row r="138" spans="1:14">
      <c r="A138" s="34">
        <v>1440</v>
      </c>
      <c r="B138" s="34">
        <v>1445</v>
      </c>
      <c r="C138" s="34">
        <f t="shared" si="2"/>
        <v>1440000</v>
      </c>
      <c r="D138" s="34">
        <v>7630</v>
      </c>
      <c r="E138" s="34">
        <v>3130</v>
      </c>
      <c r="F138" s="35"/>
      <c r="G138" s="35"/>
      <c r="H138" s="35"/>
      <c r="I138" s="35"/>
      <c r="J138" s="35"/>
      <c r="K138" s="35"/>
      <c r="L138" s="35"/>
      <c r="M138" s="35"/>
      <c r="N138" s="35"/>
    </row>
    <row r="139" spans="1:14">
      <c r="A139" s="34">
        <v>1445</v>
      </c>
      <c r="B139" s="34">
        <v>1450</v>
      </c>
      <c r="C139" s="34">
        <f t="shared" si="2"/>
        <v>1445000</v>
      </c>
      <c r="D139" s="34">
        <v>7730</v>
      </c>
      <c r="E139" s="34">
        <v>3230</v>
      </c>
      <c r="F139" s="35"/>
      <c r="G139" s="35"/>
      <c r="H139" s="35"/>
      <c r="I139" s="35"/>
      <c r="J139" s="35"/>
      <c r="K139" s="35"/>
      <c r="L139" s="35"/>
      <c r="M139" s="35"/>
      <c r="N139" s="35"/>
    </row>
    <row r="140" spans="1:14">
      <c r="A140" s="34">
        <v>1450</v>
      </c>
      <c r="B140" s="34">
        <v>1455</v>
      </c>
      <c r="C140" s="34">
        <f t="shared" si="2"/>
        <v>1450000</v>
      </c>
      <c r="D140" s="34">
        <v>7830</v>
      </c>
      <c r="E140" s="34">
        <v>3330</v>
      </c>
      <c r="F140" s="35"/>
      <c r="G140" s="35"/>
      <c r="H140" s="35"/>
      <c r="I140" s="35"/>
      <c r="J140" s="35"/>
      <c r="K140" s="35"/>
      <c r="L140" s="35"/>
      <c r="M140" s="35"/>
      <c r="N140" s="35"/>
    </row>
    <row r="141" spans="1:14">
      <c r="A141" s="34">
        <v>1455</v>
      </c>
      <c r="B141" s="34">
        <v>1460</v>
      </c>
      <c r="C141" s="34">
        <f t="shared" si="2"/>
        <v>1455000</v>
      </c>
      <c r="D141" s="34">
        <v>7940</v>
      </c>
      <c r="E141" s="34">
        <v>3440</v>
      </c>
      <c r="F141" s="35"/>
      <c r="G141" s="35"/>
      <c r="H141" s="35"/>
      <c r="I141" s="35"/>
      <c r="J141" s="35"/>
      <c r="K141" s="35"/>
      <c r="L141" s="35"/>
      <c r="M141" s="35"/>
      <c r="N141" s="35"/>
    </row>
    <row r="142" spans="1:14">
      <c r="A142" s="34">
        <v>1460</v>
      </c>
      <c r="B142" s="34">
        <v>1465</v>
      </c>
      <c r="C142" s="34">
        <f t="shared" si="2"/>
        <v>1460000</v>
      </c>
      <c r="D142" s="34">
        <v>8040</v>
      </c>
      <c r="E142" s="34">
        <v>3540</v>
      </c>
      <c r="F142" s="35"/>
      <c r="G142" s="35"/>
      <c r="H142" s="35"/>
      <c r="I142" s="35"/>
      <c r="J142" s="35"/>
      <c r="K142" s="35"/>
      <c r="L142" s="35"/>
      <c r="M142" s="35"/>
      <c r="N142" s="35"/>
    </row>
    <row r="143" spans="1:14">
      <c r="A143" s="34">
        <v>1465</v>
      </c>
      <c r="B143" s="34">
        <v>1470</v>
      </c>
      <c r="C143" s="34">
        <f t="shared" si="2"/>
        <v>1465000</v>
      </c>
      <c r="D143" s="34">
        <v>8140</v>
      </c>
      <c r="E143" s="34">
        <v>3640</v>
      </c>
      <c r="F143" s="35"/>
      <c r="G143" s="35"/>
      <c r="H143" s="35"/>
      <c r="I143" s="35"/>
      <c r="J143" s="35"/>
      <c r="K143" s="35"/>
      <c r="L143" s="35"/>
      <c r="M143" s="35"/>
      <c r="N143" s="35"/>
    </row>
    <row r="144" spans="1:14">
      <c r="A144" s="34">
        <v>1470</v>
      </c>
      <c r="B144" s="34">
        <v>1475</v>
      </c>
      <c r="C144" s="34">
        <f t="shared" si="2"/>
        <v>1470000</v>
      </c>
      <c r="D144" s="34">
        <v>8250</v>
      </c>
      <c r="E144" s="34">
        <v>3750</v>
      </c>
      <c r="F144" s="35"/>
      <c r="G144" s="35"/>
      <c r="H144" s="35"/>
      <c r="I144" s="35"/>
      <c r="J144" s="35"/>
      <c r="K144" s="35"/>
      <c r="L144" s="35"/>
      <c r="M144" s="35"/>
      <c r="N144" s="35"/>
    </row>
    <row r="145" spans="1:14">
      <c r="A145" s="34">
        <v>1475</v>
      </c>
      <c r="B145" s="34">
        <v>1480</v>
      </c>
      <c r="C145" s="34">
        <f t="shared" si="2"/>
        <v>1475000</v>
      </c>
      <c r="D145" s="34">
        <v>8350</v>
      </c>
      <c r="E145" s="34">
        <v>3850</v>
      </c>
      <c r="F145" s="35"/>
      <c r="G145" s="35"/>
      <c r="H145" s="35"/>
      <c r="I145" s="35"/>
      <c r="J145" s="35"/>
      <c r="K145" s="35"/>
      <c r="L145" s="35"/>
      <c r="M145" s="35"/>
      <c r="N145" s="35"/>
    </row>
    <row r="146" spans="1:14">
      <c r="A146" s="34">
        <v>1480</v>
      </c>
      <c r="B146" s="34">
        <v>1485</v>
      </c>
      <c r="C146" s="34">
        <f t="shared" si="2"/>
        <v>1480000</v>
      </c>
      <c r="D146" s="34">
        <v>8450</v>
      </c>
      <c r="E146" s="34">
        <v>3950</v>
      </c>
      <c r="F146" s="35"/>
      <c r="G146" s="35"/>
      <c r="H146" s="35"/>
      <c r="I146" s="35"/>
      <c r="J146" s="35"/>
      <c r="K146" s="35"/>
      <c r="L146" s="35"/>
      <c r="M146" s="35"/>
      <c r="N146" s="35"/>
    </row>
    <row r="147" spans="1:14">
      <c r="A147" s="34">
        <v>1485</v>
      </c>
      <c r="B147" s="34">
        <v>1490</v>
      </c>
      <c r="C147" s="34">
        <f t="shared" si="2"/>
        <v>1485000</v>
      </c>
      <c r="D147" s="34">
        <v>8560</v>
      </c>
      <c r="E147" s="34">
        <v>4060</v>
      </c>
      <c r="F147" s="35"/>
      <c r="G147" s="35"/>
      <c r="H147" s="35"/>
      <c r="I147" s="35"/>
      <c r="J147" s="35"/>
      <c r="K147" s="35"/>
      <c r="L147" s="35"/>
      <c r="M147" s="35"/>
      <c r="N147" s="35"/>
    </row>
    <row r="148" spans="1:14">
      <c r="A148" s="34">
        <v>1490</v>
      </c>
      <c r="B148" s="34">
        <v>1495</v>
      </c>
      <c r="C148" s="34">
        <f t="shared" si="2"/>
        <v>1490000</v>
      </c>
      <c r="D148" s="34">
        <v>8660</v>
      </c>
      <c r="E148" s="34">
        <v>4160</v>
      </c>
      <c r="F148" s="35"/>
      <c r="G148" s="35"/>
      <c r="H148" s="35"/>
      <c r="I148" s="35"/>
      <c r="J148" s="35"/>
      <c r="K148" s="35"/>
      <c r="L148" s="35"/>
      <c r="M148" s="35"/>
      <c r="N148" s="35"/>
    </row>
    <row r="149" spans="1:14">
      <c r="A149" s="34">
        <v>1495</v>
      </c>
      <c r="B149" s="34">
        <v>1500</v>
      </c>
      <c r="C149" s="34">
        <f t="shared" si="2"/>
        <v>1495000</v>
      </c>
      <c r="D149" s="34">
        <v>8760</v>
      </c>
      <c r="E149" s="34">
        <v>4260</v>
      </c>
      <c r="F149" s="35"/>
      <c r="G149" s="35"/>
      <c r="H149" s="35"/>
      <c r="I149" s="35"/>
      <c r="J149" s="35"/>
      <c r="K149" s="35"/>
      <c r="L149" s="35"/>
      <c r="M149" s="35"/>
      <c r="N149" s="35"/>
    </row>
    <row r="150" spans="1:14">
      <c r="A150" s="34">
        <v>1500</v>
      </c>
      <c r="B150" s="34">
        <v>1510</v>
      </c>
      <c r="C150" s="34">
        <f t="shared" si="2"/>
        <v>1500000</v>
      </c>
      <c r="D150" s="34">
        <v>8920</v>
      </c>
      <c r="E150" s="34">
        <v>4420</v>
      </c>
      <c r="F150" s="35"/>
      <c r="G150" s="35"/>
      <c r="H150" s="35"/>
      <c r="I150" s="35"/>
      <c r="J150" s="35"/>
      <c r="K150" s="35"/>
      <c r="L150" s="35"/>
      <c r="M150" s="35"/>
      <c r="N150" s="35"/>
    </row>
    <row r="151" spans="1:14">
      <c r="A151" s="34">
        <v>1510</v>
      </c>
      <c r="B151" s="34">
        <v>1520</v>
      </c>
      <c r="C151" s="34">
        <f t="shared" si="2"/>
        <v>1510000</v>
      </c>
      <c r="D151" s="34">
        <v>9120</v>
      </c>
      <c r="E151" s="34">
        <v>4620</v>
      </c>
      <c r="F151" s="35"/>
      <c r="G151" s="35"/>
      <c r="H151" s="35"/>
      <c r="I151" s="35"/>
      <c r="J151" s="35"/>
      <c r="K151" s="35"/>
      <c r="L151" s="35"/>
      <c r="M151" s="35"/>
      <c r="N151" s="35"/>
    </row>
    <row r="152" spans="1:14">
      <c r="A152" s="34">
        <v>1520</v>
      </c>
      <c r="B152" s="34">
        <v>1530</v>
      </c>
      <c r="C152" s="34">
        <f t="shared" si="2"/>
        <v>1520000</v>
      </c>
      <c r="D152" s="34">
        <v>9330</v>
      </c>
      <c r="E152" s="34">
        <v>4830</v>
      </c>
      <c r="F152" s="35"/>
      <c r="G152" s="35"/>
      <c r="H152" s="35"/>
      <c r="I152" s="35"/>
      <c r="J152" s="35"/>
      <c r="K152" s="35"/>
      <c r="L152" s="35"/>
      <c r="M152" s="35"/>
      <c r="N152" s="35"/>
    </row>
    <row r="153" spans="1:14">
      <c r="A153" s="34">
        <v>1530</v>
      </c>
      <c r="B153" s="34">
        <v>1540</v>
      </c>
      <c r="C153" s="34">
        <f t="shared" si="2"/>
        <v>1530000</v>
      </c>
      <c r="D153" s="34">
        <v>9540</v>
      </c>
      <c r="E153" s="34">
        <v>5040</v>
      </c>
      <c r="F153" s="35"/>
      <c r="G153" s="35"/>
      <c r="H153" s="35"/>
      <c r="I153" s="35"/>
      <c r="J153" s="35"/>
      <c r="K153" s="35"/>
      <c r="L153" s="35"/>
      <c r="M153" s="35"/>
      <c r="N153" s="35"/>
    </row>
    <row r="154" spans="1:14">
      <c r="A154" s="34">
        <v>1540</v>
      </c>
      <c r="B154" s="34">
        <v>1550</v>
      </c>
      <c r="C154" s="34">
        <f t="shared" si="2"/>
        <v>1540000</v>
      </c>
      <c r="D154" s="34">
        <v>9740</v>
      </c>
      <c r="E154" s="34">
        <v>5240</v>
      </c>
      <c r="F154" s="35"/>
      <c r="G154" s="35"/>
      <c r="H154" s="35"/>
      <c r="I154" s="35"/>
      <c r="J154" s="35"/>
      <c r="K154" s="35"/>
      <c r="L154" s="35"/>
      <c r="M154" s="35"/>
      <c r="N154" s="35"/>
    </row>
    <row r="155" spans="1:14">
      <c r="A155" s="34">
        <v>1550</v>
      </c>
      <c r="B155" s="34">
        <v>1560</v>
      </c>
      <c r="C155" s="34">
        <f t="shared" si="2"/>
        <v>1550000</v>
      </c>
      <c r="D155" s="34">
        <v>9950</v>
      </c>
      <c r="E155" s="34">
        <v>5450</v>
      </c>
      <c r="F155" s="35"/>
      <c r="G155" s="35"/>
      <c r="H155" s="35"/>
      <c r="I155" s="35"/>
      <c r="J155" s="35"/>
      <c r="K155" s="35"/>
      <c r="L155" s="35"/>
      <c r="M155" s="35"/>
      <c r="N155" s="35"/>
    </row>
    <row r="156" spans="1:14">
      <c r="A156" s="34">
        <v>1560</v>
      </c>
      <c r="B156" s="34">
        <v>1570</v>
      </c>
      <c r="C156" s="34">
        <f t="shared" si="2"/>
        <v>1560000</v>
      </c>
      <c r="D156" s="34">
        <v>10160</v>
      </c>
      <c r="E156" s="34">
        <v>5660</v>
      </c>
      <c r="F156" s="35"/>
      <c r="G156" s="35"/>
      <c r="H156" s="35"/>
      <c r="I156" s="35"/>
      <c r="J156" s="35"/>
      <c r="K156" s="35"/>
      <c r="L156" s="35"/>
      <c r="M156" s="35"/>
      <c r="N156" s="35"/>
    </row>
    <row r="157" spans="1:14">
      <c r="A157" s="34">
        <v>1570</v>
      </c>
      <c r="B157" s="34">
        <v>1580</v>
      </c>
      <c r="C157" s="34">
        <f t="shared" si="2"/>
        <v>1570000</v>
      </c>
      <c r="D157" s="34">
        <v>10360</v>
      </c>
      <c r="E157" s="34">
        <v>5860</v>
      </c>
      <c r="F157" s="35"/>
      <c r="G157" s="35"/>
      <c r="H157" s="35"/>
      <c r="I157" s="35"/>
      <c r="J157" s="35"/>
      <c r="K157" s="35"/>
      <c r="L157" s="35"/>
      <c r="M157" s="35"/>
      <c r="N157" s="35"/>
    </row>
    <row r="158" spans="1:14">
      <c r="A158" s="34">
        <v>1580</v>
      </c>
      <c r="B158" s="34">
        <v>1590</v>
      </c>
      <c r="C158" s="34">
        <f t="shared" si="2"/>
        <v>1580000</v>
      </c>
      <c r="D158" s="34">
        <v>10570</v>
      </c>
      <c r="E158" s="34">
        <v>6070</v>
      </c>
      <c r="F158" s="35"/>
      <c r="G158" s="35"/>
      <c r="H158" s="35"/>
      <c r="I158" s="35"/>
      <c r="J158" s="35"/>
      <c r="K158" s="35"/>
      <c r="L158" s="35"/>
      <c r="M158" s="35"/>
      <c r="N158" s="35"/>
    </row>
    <row r="159" spans="1:14">
      <c r="A159" s="34">
        <v>1590</v>
      </c>
      <c r="B159" s="34">
        <v>1600</v>
      </c>
      <c r="C159" s="34">
        <f t="shared" si="2"/>
        <v>1590000</v>
      </c>
      <c r="D159" s="34">
        <v>10780</v>
      </c>
      <c r="E159" s="34">
        <v>6280</v>
      </c>
      <c r="F159" s="35"/>
      <c r="G159" s="35"/>
      <c r="H159" s="35"/>
      <c r="I159" s="35"/>
      <c r="J159" s="35"/>
      <c r="K159" s="35"/>
      <c r="L159" s="35"/>
      <c r="M159" s="35"/>
      <c r="N159" s="35"/>
    </row>
    <row r="160" spans="1:14">
      <c r="A160" s="34">
        <v>1600</v>
      </c>
      <c r="B160" s="34">
        <v>1610</v>
      </c>
      <c r="C160" s="34">
        <f t="shared" si="2"/>
        <v>1600000</v>
      </c>
      <c r="D160" s="34">
        <v>10980</v>
      </c>
      <c r="E160" s="34">
        <v>6480</v>
      </c>
      <c r="F160" s="35"/>
      <c r="G160" s="35"/>
      <c r="H160" s="35"/>
      <c r="I160" s="35"/>
      <c r="J160" s="35"/>
      <c r="K160" s="35"/>
      <c r="L160" s="35"/>
      <c r="M160" s="35"/>
      <c r="N160" s="35"/>
    </row>
    <row r="161" spans="1:14">
      <c r="A161" s="34">
        <v>1610</v>
      </c>
      <c r="B161" s="34">
        <v>1620</v>
      </c>
      <c r="C161" s="34">
        <f t="shared" si="2"/>
        <v>1610000</v>
      </c>
      <c r="D161" s="34">
        <v>11190</v>
      </c>
      <c r="E161" s="34">
        <v>6690</v>
      </c>
      <c r="F161" s="35"/>
      <c r="G161" s="35"/>
      <c r="H161" s="35"/>
      <c r="I161" s="35"/>
      <c r="J161" s="35"/>
      <c r="K161" s="35"/>
      <c r="L161" s="35"/>
      <c r="M161" s="35"/>
      <c r="N161" s="35"/>
    </row>
    <row r="162" spans="1:14">
      <c r="A162" s="34">
        <v>1620</v>
      </c>
      <c r="B162" s="34">
        <v>1630</v>
      </c>
      <c r="C162" s="34">
        <f t="shared" si="2"/>
        <v>1620000</v>
      </c>
      <c r="D162" s="34">
        <v>11400</v>
      </c>
      <c r="E162" s="34">
        <v>6900</v>
      </c>
      <c r="F162" s="35"/>
      <c r="G162" s="35"/>
      <c r="H162" s="35"/>
      <c r="I162" s="35"/>
      <c r="J162" s="35"/>
      <c r="K162" s="35"/>
      <c r="L162" s="35"/>
      <c r="M162" s="35"/>
      <c r="N162" s="35"/>
    </row>
    <row r="163" spans="1:14">
      <c r="A163" s="34">
        <v>1630</v>
      </c>
      <c r="B163" s="34">
        <v>1640</v>
      </c>
      <c r="C163" s="34">
        <f t="shared" si="2"/>
        <v>1630000</v>
      </c>
      <c r="D163" s="34">
        <v>11600</v>
      </c>
      <c r="E163" s="34">
        <v>7100</v>
      </c>
      <c r="F163" s="35"/>
      <c r="G163" s="35"/>
      <c r="H163" s="35"/>
      <c r="I163" s="35"/>
      <c r="J163" s="35"/>
      <c r="K163" s="35"/>
      <c r="L163" s="35"/>
      <c r="M163" s="35"/>
      <c r="N163" s="35"/>
    </row>
    <row r="164" spans="1:14">
      <c r="A164" s="34">
        <v>1640</v>
      </c>
      <c r="B164" s="34">
        <v>1650</v>
      </c>
      <c r="C164" s="34">
        <f t="shared" si="2"/>
        <v>1640000</v>
      </c>
      <c r="D164" s="34">
        <v>11810</v>
      </c>
      <c r="E164" s="34">
        <v>7310</v>
      </c>
      <c r="F164" s="35"/>
      <c r="G164" s="35"/>
      <c r="H164" s="35"/>
      <c r="I164" s="35"/>
      <c r="J164" s="35"/>
      <c r="K164" s="35"/>
      <c r="L164" s="35"/>
      <c r="M164" s="35"/>
      <c r="N164" s="35"/>
    </row>
    <row r="165" spans="1:14">
      <c r="A165" s="34">
        <v>1650</v>
      </c>
      <c r="B165" s="34">
        <v>1660</v>
      </c>
      <c r="C165" s="34">
        <f t="shared" si="2"/>
        <v>1650000</v>
      </c>
      <c r="D165" s="34">
        <v>12020</v>
      </c>
      <c r="E165" s="34">
        <v>7520</v>
      </c>
      <c r="F165" s="35"/>
      <c r="G165" s="35"/>
      <c r="H165" s="35"/>
      <c r="I165" s="35"/>
      <c r="J165" s="35"/>
      <c r="K165" s="35"/>
      <c r="L165" s="35"/>
      <c r="M165" s="35"/>
      <c r="N165" s="35"/>
    </row>
    <row r="166" spans="1:14">
      <c r="A166" s="34">
        <v>1660</v>
      </c>
      <c r="B166" s="34">
        <v>1670</v>
      </c>
      <c r="C166" s="34">
        <f t="shared" si="2"/>
        <v>1660000</v>
      </c>
      <c r="D166" s="34">
        <v>12220</v>
      </c>
      <c r="E166" s="34">
        <v>7720</v>
      </c>
      <c r="F166" s="35"/>
      <c r="G166" s="35"/>
      <c r="H166" s="35"/>
      <c r="I166" s="35"/>
      <c r="J166" s="35"/>
      <c r="K166" s="35"/>
      <c r="L166" s="35"/>
      <c r="M166" s="35"/>
      <c r="N166" s="35"/>
    </row>
    <row r="167" spans="1:14">
      <c r="A167" s="34">
        <v>1670</v>
      </c>
      <c r="B167" s="34">
        <v>1680</v>
      </c>
      <c r="C167" s="34">
        <f t="shared" si="2"/>
        <v>1670000</v>
      </c>
      <c r="D167" s="34">
        <v>12430</v>
      </c>
      <c r="E167" s="34">
        <v>7930</v>
      </c>
      <c r="F167" s="35"/>
      <c r="G167" s="35"/>
      <c r="H167" s="35"/>
      <c r="I167" s="35"/>
      <c r="J167" s="35"/>
      <c r="K167" s="35"/>
      <c r="L167" s="35"/>
      <c r="M167" s="35"/>
      <c r="N167" s="35"/>
    </row>
    <row r="168" spans="1:14">
      <c r="A168" s="34">
        <v>1680</v>
      </c>
      <c r="B168" s="34">
        <v>1690</v>
      </c>
      <c r="C168" s="34">
        <f t="shared" si="2"/>
        <v>1680000</v>
      </c>
      <c r="D168" s="34">
        <v>12640</v>
      </c>
      <c r="E168" s="34">
        <v>8140</v>
      </c>
      <c r="F168" s="35"/>
      <c r="G168" s="35"/>
      <c r="H168" s="35"/>
      <c r="I168" s="35"/>
      <c r="J168" s="35"/>
      <c r="K168" s="35"/>
      <c r="L168" s="35"/>
      <c r="M168" s="35"/>
      <c r="N168" s="35"/>
    </row>
    <row r="169" spans="1:14">
      <c r="A169" s="34">
        <v>1690</v>
      </c>
      <c r="B169" s="34">
        <v>1700</v>
      </c>
      <c r="C169" s="34">
        <f t="shared" si="2"/>
        <v>1690000</v>
      </c>
      <c r="D169" s="34">
        <v>12840</v>
      </c>
      <c r="E169" s="34">
        <v>8340</v>
      </c>
      <c r="F169" s="35"/>
      <c r="G169" s="35"/>
      <c r="H169" s="35"/>
      <c r="I169" s="35"/>
      <c r="J169" s="35"/>
      <c r="K169" s="35"/>
      <c r="L169" s="35"/>
      <c r="M169" s="35"/>
      <c r="N169" s="35"/>
    </row>
    <row r="170" spans="1:14">
      <c r="A170" s="34">
        <v>1700</v>
      </c>
      <c r="B170" s="34">
        <v>1710</v>
      </c>
      <c r="C170" s="34">
        <f t="shared" si="2"/>
        <v>1700000</v>
      </c>
      <c r="D170" s="34">
        <v>13050</v>
      </c>
      <c r="E170" s="34">
        <v>8550</v>
      </c>
      <c r="F170" s="35"/>
      <c r="G170" s="35"/>
      <c r="H170" s="35"/>
      <c r="I170" s="35"/>
      <c r="J170" s="35"/>
      <c r="K170" s="35"/>
      <c r="L170" s="35"/>
      <c r="M170" s="35"/>
      <c r="N170" s="35"/>
    </row>
    <row r="171" spans="1:14">
      <c r="A171" s="34">
        <v>1710</v>
      </c>
      <c r="B171" s="34">
        <v>1720</v>
      </c>
      <c r="C171" s="34">
        <f t="shared" si="2"/>
        <v>1710000</v>
      </c>
      <c r="D171" s="34">
        <v>13260</v>
      </c>
      <c r="E171" s="34">
        <v>8760</v>
      </c>
      <c r="F171" s="35"/>
      <c r="G171" s="35"/>
      <c r="H171" s="35"/>
      <c r="I171" s="35"/>
      <c r="J171" s="35"/>
      <c r="K171" s="35"/>
      <c r="L171" s="35"/>
      <c r="M171" s="35"/>
      <c r="N171" s="35"/>
    </row>
    <row r="172" spans="1:14">
      <c r="A172" s="34">
        <v>1720</v>
      </c>
      <c r="B172" s="34">
        <v>1730</v>
      </c>
      <c r="C172" s="34">
        <f t="shared" si="2"/>
        <v>1720000</v>
      </c>
      <c r="D172" s="34">
        <v>13460</v>
      </c>
      <c r="E172" s="34">
        <v>8960</v>
      </c>
      <c r="F172" s="34">
        <v>1040</v>
      </c>
      <c r="G172" s="35"/>
      <c r="H172" s="35"/>
      <c r="I172" s="35"/>
      <c r="J172" s="35"/>
      <c r="K172" s="35"/>
      <c r="L172" s="35"/>
      <c r="M172" s="35"/>
      <c r="N172" s="35"/>
    </row>
    <row r="173" spans="1:14">
      <c r="A173" s="34">
        <v>1730</v>
      </c>
      <c r="B173" s="34">
        <v>1740</v>
      </c>
      <c r="C173" s="34">
        <f t="shared" si="2"/>
        <v>1730000</v>
      </c>
      <c r="D173" s="34">
        <v>13670</v>
      </c>
      <c r="E173" s="34">
        <v>9170</v>
      </c>
      <c r="F173" s="34">
        <v>1240</v>
      </c>
      <c r="G173" s="35"/>
      <c r="H173" s="35"/>
      <c r="I173" s="35"/>
      <c r="J173" s="35"/>
      <c r="K173" s="35"/>
      <c r="L173" s="35"/>
      <c r="M173" s="35"/>
      <c r="N173" s="35"/>
    </row>
    <row r="174" spans="1:14">
      <c r="A174" s="34">
        <v>1740</v>
      </c>
      <c r="B174" s="34">
        <v>1750</v>
      </c>
      <c r="C174" s="34">
        <f t="shared" si="2"/>
        <v>1740000</v>
      </c>
      <c r="D174" s="34">
        <v>13880</v>
      </c>
      <c r="E174" s="34">
        <v>9380</v>
      </c>
      <c r="F174" s="34">
        <v>1440</v>
      </c>
      <c r="G174" s="35"/>
      <c r="H174" s="35"/>
      <c r="I174" s="35"/>
      <c r="J174" s="35"/>
      <c r="K174" s="35"/>
      <c r="L174" s="35"/>
      <c r="M174" s="35"/>
      <c r="N174" s="35"/>
    </row>
    <row r="175" spans="1:14">
      <c r="A175" s="34">
        <v>1750</v>
      </c>
      <c r="B175" s="34">
        <v>1760</v>
      </c>
      <c r="C175" s="34">
        <f t="shared" si="2"/>
        <v>1750000</v>
      </c>
      <c r="D175" s="34">
        <v>14080</v>
      </c>
      <c r="E175" s="34">
        <v>9580</v>
      </c>
      <c r="F175" s="34">
        <v>1640</v>
      </c>
      <c r="G175" s="35"/>
      <c r="H175" s="35"/>
      <c r="I175" s="35"/>
      <c r="J175" s="35"/>
      <c r="K175" s="35"/>
      <c r="L175" s="35"/>
      <c r="M175" s="35"/>
      <c r="N175" s="35"/>
    </row>
    <row r="176" spans="1:14">
      <c r="A176" s="34">
        <v>1760</v>
      </c>
      <c r="B176" s="34">
        <v>1770</v>
      </c>
      <c r="C176" s="34">
        <f t="shared" si="2"/>
        <v>1760000</v>
      </c>
      <c r="D176" s="34">
        <v>14290</v>
      </c>
      <c r="E176" s="34">
        <v>9790</v>
      </c>
      <c r="F176" s="34">
        <v>1830</v>
      </c>
      <c r="G176" s="35"/>
      <c r="H176" s="35"/>
      <c r="I176" s="35"/>
      <c r="J176" s="35"/>
      <c r="K176" s="35"/>
      <c r="L176" s="35"/>
      <c r="M176" s="35"/>
      <c r="N176" s="35"/>
    </row>
    <row r="177" spans="1:14">
      <c r="A177" s="34">
        <v>1770</v>
      </c>
      <c r="B177" s="34">
        <v>1780</v>
      </c>
      <c r="C177" s="34">
        <f t="shared" si="2"/>
        <v>1770000</v>
      </c>
      <c r="D177" s="34">
        <v>14500</v>
      </c>
      <c r="E177" s="34">
        <v>10000</v>
      </c>
      <c r="F177" s="34">
        <v>2030</v>
      </c>
      <c r="G177" s="35"/>
      <c r="H177" s="35"/>
      <c r="I177" s="35"/>
      <c r="J177" s="35"/>
      <c r="K177" s="35"/>
      <c r="L177" s="35"/>
      <c r="M177" s="35"/>
      <c r="N177" s="35"/>
    </row>
    <row r="178" spans="1:14">
      <c r="A178" s="34">
        <v>1780</v>
      </c>
      <c r="B178" s="34">
        <v>1790</v>
      </c>
      <c r="C178" s="34">
        <f t="shared" si="2"/>
        <v>1780000</v>
      </c>
      <c r="D178" s="34">
        <v>14700</v>
      </c>
      <c r="E178" s="34">
        <v>10200</v>
      </c>
      <c r="F178" s="34">
        <v>2230</v>
      </c>
      <c r="G178" s="35"/>
      <c r="H178" s="35"/>
      <c r="I178" s="35"/>
      <c r="J178" s="35"/>
      <c r="K178" s="35"/>
      <c r="L178" s="35"/>
      <c r="M178" s="35"/>
      <c r="N178" s="35"/>
    </row>
    <row r="179" spans="1:14">
      <c r="A179" s="34">
        <v>1790</v>
      </c>
      <c r="B179" s="34">
        <v>1800</v>
      </c>
      <c r="C179" s="34">
        <f t="shared" si="2"/>
        <v>1790000</v>
      </c>
      <c r="D179" s="34">
        <v>14910</v>
      </c>
      <c r="E179" s="34">
        <v>10410</v>
      </c>
      <c r="F179" s="34">
        <v>2430</v>
      </c>
      <c r="G179" s="35"/>
      <c r="H179" s="35"/>
      <c r="I179" s="35"/>
      <c r="J179" s="35"/>
      <c r="K179" s="35"/>
      <c r="L179" s="35"/>
      <c r="M179" s="35"/>
      <c r="N179" s="35"/>
    </row>
    <row r="180" spans="1:14">
      <c r="A180" s="34">
        <v>1800</v>
      </c>
      <c r="B180" s="34">
        <v>1810</v>
      </c>
      <c r="C180" s="34">
        <f t="shared" si="2"/>
        <v>1800000</v>
      </c>
      <c r="D180" s="34">
        <v>15110</v>
      </c>
      <c r="E180" s="34">
        <v>10610</v>
      </c>
      <c r="F180" s="34">
        <v>2630</v>
      </c>
      <c r="G180" s="35"/>
      <c r="H180" s="35"/>
      <c r="I180" s="35"/>
      <c r="J180" s="35"/>
      <c r="K180" s="35"/>
      <c r="L180" s="35"/>
      <c r="M180" s="35"/>
      <c r="N180" s="35"/>
    </row>
    <row r="181" spans="1:14">
      <c r="A181" s="34">
        <v>1810</v>
      </c>
      <c r="B181" s="34">
        <v>1820</v>
      </c>
      <c r="C181" s="34">
        <f t="shared" si="2"/>
        <v>1810000</v>
      </c>
      <c r="D181" s="34">
        <v>15320</v>
      </c>
      <c r="E181" s="34">
        <v>10820</v>
      </c>
      <c r="F181" s="34">
        <v>2830</v>
      </c>
      <c r="G181" s="35"/>
      <c r="H181" s="35"/>
      <c r="I181" s="35"/>
      <c r="J181" s="35"/>
      <c r="K181" s="35"/>
      <c r="L181" s="35"/>
      <c r="M181" s="35"/>
      <c r="N181" s="35"/>
    </row>
    <row r="182" spans="1:14">
      <c r="A182" s="34">
        <v>1820</v>
      </c>
      <c r="B182" s="34">
        <v>1830</v>
      </c>
      <c r="C182" s="34">
        <f t="shared" si="2"/>
        <v>1820000</v>
      </c>
      <c r="D182" s="34">
        <v>15530</v>
      </c>
      <c r="E182" s="34">
        <v>11030</v>
      </c>
      <c r="F182" s="34">
        <v>3020</v>
      </c>
      <c r="G182" s="35"/>
      <c r="H182" s="35"/>
      <c r="I182" s="35"/>
      <c r="J182" s="35"/>
      <c r="K182" s="35"/>
      <c r="L182" s="35"/>
      <c r="M182" s="35"/>
      <c r="N182" s="35"/>
    </row>
    <row r="183" spans="1:14">
      <c r="A183" s="34">
        <v>1830</v>
      </c>
      <c r="B183" s="34">
        <v>1840</v>
      </c>
      <c r="C183" s="34">
        <f t="shared" si="2"/>
        <v>1830000</v>
      </c>
      <c r="D183" s="34">
        <v>15730</v>
      </c>
      <c r="E183" s="34">
        <v>11230</v>
      </c>
      <c r="F183" s="34">
        <v>3220</v>
      </c>
      <c r="G183" s="35"/>
      <c r="H183" s="35"/>
      <c r="I183" s="35"/>
      <c r="J183" s="35"/>
      <c r="K183" s="35"/>
      <c r="L183" s="35"/>
      <c r="M183" s="35"/>
      <c r="N183" s="35"/>
    </row>
    <row r="184" spans="1:14">
      <c r="A184" s="34">
        <v>1840</v>
      </c>
      <c r="B184" s="34">
        <v>1850</v>
      </c>
      <c r="C184" s="34">
        <f t="shared" si="2"/>
        <v>1840000</v>
      </c>
      <c r="D184" s="34">
        <v>15940</v>
      </c>
      <c r="E184" s="34">
        <v>11440</v>
      </c>
      <c r="F184" s="34">
        <v>3420</v>
      </c>
      <c r="G184" s="35"/>
      <c r="H184" s="35"/>
      <c r="I184" s="35"/>
      <c r="J184" s="35"/>
      <c r="K184" s="35"/>
      <c r="L184" s="35"/>
      <c r="M184" s="35"/>
      <c r="N184" s="35"/>
    </row>
    <row r="185" spans="1:14">
      <c r="A185" s="34">
        <v>1850</v>
      </c>
      <c r="B185" s="34">
        <v>1860</v>
      </c>
      <c r="C185" s="34">
        <f t="shared" si="2"/>
        <v>1850000</v>
      </c>
      <c r="D185" s="34">
        <v>16150</v>
      </c>
      <c r="E185" s="34">
        <v>11650</v>
      </c>
      <c r="F185" s="34">
        <v>3620</v>
      </c>
      <c r="G185" s="35"/>
      <c r="H185" s="35"/>
      <c r="I185" s="35"/>
      <c r="J185" s="35"/>
      <c r="K185" s="35"/>
      <c r="L185" s="35"/>
      <c r="M185" s="35"/>
      <c r="N185" s="35"/>
    </row>
    <row r="186" spans="1:14">
      <c r="A186" s="34">
        <v>1860</v>
      </c>
      <c r="B186" s="34">
        <v>1870</v>
      </c>
      <c r="C186" s="34">
        <f t="shared" si="2"/>
        <v>1860000</v>
      </c>
      <c r="D186" s="34">
        <v>16350</v>
      </c>
      <c r="E186" s="34">
        <v>11850</v>
      </c>
      <c r="F186" s="34">
        <v>3820</v>
      </c>
      <c r="G186" s="35"/>
      <c r="H186" s="35"/>
      <c r="I186" s="35"/>
      <c r="J186" s="35"/>
      <c r="K186" s="35"/>
      <c r="L186" s="35"/>
      <c r="M186" s="35"/>
      <c r="N186" s="35"/>
    </row>
    <row r="187" spans="1:14">
      <c r="A187" s="34">
        <v>1870</v>
      </c>
      <c r="B187" s="34">
        <v>1880</v>
      </c>
      <c r="C187" s="34">
        <f t="shared" si="2"/>
        <v>1870000</v>
      </c>
      <c r="D187" s="34">
        <v>16560</v>
      </c>
      <c r="E187" s="34">
        <v>12060</v>
      </c>
      <c r="F187" s="34">
        <v>4020</v>
      </c>
      <c r="G187" s="35"/>
      <c r="H187" s="35"/>
      <c r="I187" s="35"/>
      <c r="J187" s="35"/>
      <c r="K187" s="35"/>
      <c r="L187" s="35"/>
      <c r="M187" s="35"/>
      <c r="N187" s="35"/>
    </row>
    <row r="188" spans="1:14">
      <c r="A188" s="34">
        <v>1880</v>
      </c>
      <c r="B188" s="34">
        <v>1890</v>
      </c>
      <c r="C188" s="34">
        <f t="shared" si="2"/>
        <v>1880000</v>
      </c>
      <c r="D188" s="34">
        <v>16770</v>
      </c>
      <c r="E188" s="34">
        <v>12270</v>
      </c>
      <c r="F188" s="34">
        <v>4220</v>
      </c>
      <c r="G188" s="35"/>
      <c r="H188" s="35"/>
      <c r="I188" s="35"/>
      <c r="J188" s="35"/>
      <c r="K188" s="35"/>
      <c r="L188" s="35"/>
      <c r="M188" s="35"/>
      <c r="N188" s="35"/>
    </row>
    <row r="189" spans="1:14">
      <c r="A189" s="34">
        <v>1890</v>
      </c>
      <c r="B189" s="34">
        <v>1900</v>
      </c>
      <c r="C189" s="34">
        <f t="shared" si="2"/>
        <v>1890000</v>
      </c>
      <c r="D189" s="34">
        <v>16970</v>
      </c>
      <c r="E189" s="34">
        <v>12470</v>
      </c>
      <c r="F189" s="34">
        <v>4410</v>
      </c>
      <c r="G189" s="34">
        <v>1040</v>
      </c>
      <c r="H189" s="35"/>
      <c r="I189" s="35"/>
      <c r="J189" s="35"/>
      <c r="K189" s="35"/>
      <c r="L189" s="35"/>
      <c r="M189" s="35"/>
      <c r="N189" s="35"/>
    </row>
    <row r="190" spans="1:14">
      <c r="A190" s="34">
        <v>1900</v>
      </c>
      <c r="B190" s="34">
        <v>1910</v>
      </c>
      <c r="C190" s="34">
        <f t="shared" si="2"/>
        <v>1900000</v>
      </c>
      <c r="D190" s="34">
        <v>17180</v>
      </c>
      <c r="E190" s="34">
        <v>12680</v>
      </c>
      <c r="F190" s="34">
        <v>4610</v>
      </c>
      <c r="G190" s="34">
        <v>1240</v>
      </c>
      <c r="H190" s="35"/>
      <c r="I190" s="35"/>
      <c r="J190" s="35"/>
      <c r="K190" s="35"/>
      <c r="L190" s="35"/>
      <c r="M190" s="35"/>
      <c r="N190" s="35"/>
    </row>
    <row r="191" spans="1:14">
      <c r="A191" s="34">
        <v>1910</v>
      </c>
      <c r="B191" s="34">
        <v>1920</v>
      </c>
      <c r="C191" s="34">
        <f t="shared" si="2"/>
        <v>1910000</v>
      </c>
      <c r="D191" s="34">
        <v>17390</v>
      </c>
      <c r="E191" s="34">
        <v>12890</v>
      </c>
      <c r="F191" s="34">
        <v>4810</v>
      </c>
      <c r="G191" s="34">
        <v>1440</v>
      </c>
      <c r="H191" s="35"/>
      <c r="I191" s="35"/>
      <c r="J191" s="35"/>
      <c r="K191" s="35"/>
      <c r="L191" s="35"/>
      <c r="M191" s="35"/>
      <c r="N191" s="35"/>
    </row>
    <row r="192" spans="1:14">
      <c r="A192" s="34">
        <v>1920</v>
      </c>
      <c r="B192" s="34">
        <v>1930</v>
      </c>
      <c r="C192" s="34">
        <f t="shared" si="2"/>
        <v>1920000</v>
      </c>
      <c r="D192" s="34">
        <v>17590</v>
      </c>
      <c r="E192" s="34">
        <v>13090</v>
      </c>
      <c r="F192" s="34">
        <v>5010</v>
      </c>
      <c r="G192" s="34">
        <v>1630</v>
      </c>
      <c r="H192" s="35"/>
      <c r="I192" s="35"/>
      <c r="J192" s="35"/>
      <c r="K192" s="35"/>
      <c r="L192" s="35"/>
      <c r="M192" s="35"/>
      <c r="N192" s="35"/>
    </row>
    <row r="193" spans="1:14">
      <c r="A193" s="34">
        <v>1930</v>
      </c>
      <c r="B193" s="34">
        <v>1940</v>
      </c>
      <c r="C193" s="34">
        <f t="shared" si="2"/>
        <v>1930000</v>
      </c>
      <c r="D193" s="34">
        <v>17800</v>
      </c>
      <c r="E193" s="34">
        <v>13300</v>
      </c>
      <c r="F193" s="34">
        <v>5210</v>
      </c>
      <c r="G193" s="34">
        <v>1830</v>
      </c>
      <c r="H193" s="35"/>
      <c r="I193" s="35"/>
      <c r="J193" s="35"/>
      <c r="K193" s="35"/>
      <c r="L193" s="35"/>
      <c r="M193" s="35"/>
      <c r="N193" s="35"/>
    </row>
    <row r="194" spans="1:14">
      <c r="A194" s="34">
        <v>1940</v>
      </c>
      <c r="B194" s="34">
        <v>1950</v>
      </c>
      <c r="C194" s="34">
        <f t="shared" si="2"/>
        <v>1940000</v>
      </c>
      <c r="D194" s="34">
        <v>18010</v>
      </c>
      <c r="E194" s="34">
        <v>13510</v>
      </c>
      <c r="F194" s="34">
        <v>5410</v>
      </c>
      <c r="G194" s="34">
        <v>2030</v>
      </c>
      <c r="H194" s="35"/>
      <c r="I194" s="35"/>
      <c r="J194" s="35"/>
      <c r="K194" s="35"/>
      <c r="L194" s="35"/>
      <c r="M194" s="35"/>
      <c r="N194" s="35"/>
    </row>
    <row r="195" spans="1:14">
      <c r="A195" s="34">
        <v>1950</v>
      </c>
      <c r="B195" s="34">
        <v>1960</v>
      </c>
      <c r="C195" s="34">
        <f t="shared" si="2"/>
        <v>1950000</v>
      </c>
      <c r="D195" s="34">
        <v>18210</v>
      </c>
      <c r="E195" s="34">
        <v>13710</v>
      </c>
      <c r="F195" s="34">
        <v>5600</v>
      </c>
      <c r="G195" s="34">
        <v>2230</v>
      </c>
      <c r="H195" s="35"/>
      <c r="I195" s="35"/>
      <c r="J195" s="35"/>
      <c r="K195" s="35"/>
      <c r="L195" s="35"/>
      <c r="M195" s="35"/>
      <c r="N195" s="35"/>
    </row>
    <row r="196" spans="1:14">
      <c r="A196" s="34">
        <v>1960</v>
      </c>
      <c r="B196" s="34">
        <v>1970</v>
      </c>
      <c r="C196" s="34">
        <f t="shared" si="2"/>
        <v>1960000</v>
      </c>
      <c r="D196" s="34">
        <v>18420</v>
      </c>
      <c r="E196" s="34">
        <v>13920</v>
      </c>
      <c r="F196" s="34">
        <v>5800</v>
      </c>
      <c r="G196" s="34">
        <v>2430</v>
      </c>
      <c r="H196" s="35"/>
      <c r="I196" s="35"/>
      <c r="J196" s="35"/>
      <c r="K196" s="35"/>
      <c r="L196" s="35"/>
      <c r="M196" s="35"/>
      <c r="N196" s="35"/>
    </row>
    <row r="197" spans="1:14">
      <c r="A197" s="34">
        <v>1970</v>
      </c>
      <c r="B197" s="34">
        <v>1980</v>
      </c>
      <c r="C197" s="34">
        <f t="shared" ref="C197:C260" si="3">A197*1000</f>
        <v>1970000</v>
      </c>
      <c r="D197" s="34">
        <v>18630</v>
      </c>
      <c r="E197" s="34">
        <v>14130</v>
      </c>
      <c r="F197" s="34">
        <v>6000</v>
      </c>
      <c r="G197" s="34">
        <v>2630</v>
      </c>
      <c r="H197" s="35"/>
      <c r="I197" s="35"/>
      <c r="J197" s="35"/>
      <c r="K197" s="35"/>
      <c r="L197" s="35"/>
      <c r="M197" s="35"/>
      <c r="N197" s="35"/>
    </row>
    <row r="198" spans="1:14">
      <c r="A198" s="34">
        <v>1980</v>
      </c>
      <c r="B198" s="34">
        <v>1990</v>
      </c>
      <c r="C198" s="34">
        <f t="shared" si="3"/>
        <v>1980000</v>
      </c>
      <c r="D198" s="34">
        <v>18880</v>
      </c>
      <c r="E198" s="34">
        <v>14330</v>
      </c>
      <c r="F198" s="34">
        <v>6200</v>
      </c>
      <c r="G198" s="34">
        <v>2820</v>
      </c>
      <c r="H198" s="35"/>
      <c r="I198" s="35"/>
      <c r="J198" s="35"/>
      <c r="K198" s="35"/>
      <c r="L198" s="35"/>
      <c r="M198" s="35"/>
      <c r="N198" s="35"/>
    </row>
    <row r="199" spans="1:14">
      <c r="A199" s="34">
        <v>1990</v>
      </c>
      <c r="B199" s="34">
        <v>2000</v>
      </c>
      <c r="C199" s="34">
        <f t="shared" si="3"/>
        <v>1990000</v>
      </c>
      <c r="D199" s="34">
        <v>19200</v>
      </c>
      <c r="E199" s="34">
        <v>14540</v>
      </c>
      <c r="F199" s="34">
        <v>6400</v>
      </c>
      <c r="G199" s="34">
        <v>3020</v>
      </c>
      <c r="H199" s="35"/>
      <c r="I199" s="35"/>
      <c r="J199" s="35"/>
      <c r="K199" s="35"/>
      <c r="L199" s="35"/>
      <c r="M199" s="35"/>
      <c r="N199" s="35"/>
    </row>
    <row r="200" spans="1:14">
      <c r="A200" s="34">
        <v>2000</v>
      </c>
      <c r="B200" s="34">
        <v>2010</v>
      </c>
      <c r="C200" s="34">
        <f t="shared" si="3"/>
        <v>2000000</v>
      </c>
      <c r="D200" s="34">
        <v>19520</v>
      </c>
      <c r="E200" s="34">
        <v>14750</v>
      </c>
      <c r="F200" s="34">
        <v>6600</v>
      </c>
      <c r="G200" s="34">
        <v>3220</v>
      </c>
      <c r="H200" s="35"/>
      <c r="I200" s="35"/>
      <c r="J200" s="35"/>
      <c r="K200" s="35"/>
      <c r="L200" s="35"/>
      <c r="M200" s="35"/>
      <c r="N200" s="35"/>
    </row>
    <row r="201" spans="1:14">
      <c r="A201" s="34">
        <v>2010</v>
      </c>
      <c r="B201" s="34">
        <v>2020</v>
      </c>
      <c r="C201" s="34">
        <f t="shared" si="3"/>
        <v>2010000</v>
      </c>
      <c r="D201" s="34">
        <v>19850</v>
      </c>
      <c r="E201" s="34">
        <v>14950</v>
      </c>
      <c r="F201" s="34">
        <v>6800</v>
      </c>
      <c r="G201" s="34">
        <v>3420</v>
      </c>
      <c r="H201" s="35"/>
      <c r="I201" s="35"/>
      <c r="J201" s="35"/>
      <c r="K201" s="35"/>
      <c r="L201" s="35"/>
      <c r="M201" s="35"/>
      <c r="N201" s="35"/>
    </row>
    <row r="202" spans="1:14">
      <c r="A202" s="34">
        <v>2020</v>
      </c>
      <c r="B202" s="34">
        <v>2030</v>
      </c>
      <c r="C202" s="34">
        <f t="shared" si="3"/>
        <v>2020000</v>
      </c>
      <c r="D202" s="34">
        <v>20170</v>
      </c>
      <c r="E202" s="34">
        <v>15160</v>
      </c>
      <c r="F202" s="34">
        <v>6990</v>
      </c>
      <c r="G202" s="34">
        <v>3620</v>
      </c>
      <c r="H202" s="35"/>
      <c r="I202" s="35"/>
      <c r="J202" s="35"/>
      <c r="K202" s="35"/>
      <c r="L202" s="35"/>
      <c r="M202" s="35"/>
      <c r="N202" s="35"/>
    </row>
    <row r="203" spans="1:14">
      <c r="A203" s="34">
        <v>2030</v>
      </c>
      <c r="B203" s="34">
        <v>2040</v>
      </c>
      <c r="C203" s="34">
        <f t="shared" si="3"/>
        <v>2030000</v>
      </c>
      <c r="D203" s="34">
        <v>20490</v>
      </c>
      <c r="E203" s="34">
        <v>15370</v>
      </c>
      <c r="F203" s="34">
        <v>7190</v>
      </c>
      <c r="G203" s="34">
        <v>3820</v>
      </c>
      <c r="H203" s="35"/>
      <c r="I203" s="35"/>
      <c r="J203" s="35"/>
      <c r="K203" s="35"/>
      <c r="L203" s="35"/>
      <c r="M203" s="35"/>
      <c r="N203" s="35"/>
    </row>
    <row r="204" spans="1:14">
      <c r="A204" s="34">
        <v>2040</v>
      </c>
      <c r="B204" s="34">
        <v>2050</v>
      </c>
      <c r="C204" s="34">
        <f t="shared" si="3"/>
        <v>2040000</v>
      </c>
      <c r="D204" s="34">
        <v>20810</v>
      </c>
      <c r="E204" s="34">
        <v>15570</v>
      </c>
      <c r="F204" s="34">
        <v>7390</v>
      </c>
      <c r="G204" s="34">
        <v>4020</v>
      </c>
      <c r="H204" s="35"/>
      <c r="I204" s="35"/>
      <c r="J204" s="35"/>
      <c r="K204" s="35"/>
      <c r="L204" s="35"/>
      <c r="M204" s="35"/>
      <c r="N204" s="35"/>
    </row>
    <row r="205" spans="1:14">
      <c r="A205" s="34">
        <v>2050</v>
      </c>
      <c r="B205" s="34">
        <v>2060</v>
      </c>
      <c r="C205" s="34">
        <f t="shared" si="3"/>
        <v>2050000</v>
      </c>
      <c r="D205" s="34">
        <v>21130</v>
      </c>
      <c r="E205" s="34">
        <v>15780</v>
      </c>
      <c r="F205" s="34">
        <v>7590</v>
      </c>
      <c r="G205" s="34">
        <v>4210</v>
      </c>
      <c r="H205" s="35"/>
      <c r="I205" s="35"/>
      <c r="J205" s="35"/>
      <c r="K205" s="35"/>
      <c r="L205" s="35"/>
      <c r="M205" s="35"/>
      <c r="N205" s="35"/>
    </row>
    <row r="206" spans="1:14">
      <c r="A206" s="34">
        <v>2060</v>
      </c>
      <c r="B206" s="34">
        <v>2070</v>
      </c>
      <c r="C206" s="34">
        <f t="shared" si="3"/>
        <v>2060000</v>
      </c>
      <c r="D206" s="34">
        <v>21450</v>
      </c>
      <c r="E206" s="34">
        <v>15990</v>
      </c>
      <c r="F206" s="34">
        <v>7790</v>
      </c>
      <c r="G206" s="34">
        <v>4410</v>
      </c>
      <c r="H206" s="34">
        <v>1040</v>
      </c>
      <c r="I206" s="35"/>
      <c r="J206" s="35"/>
      <c r="K206" s="35"/>
      <c r="L206" s="35"/>
      <c r="M206" s="35"/>
      <c r="N206" s="35"/>
    </row>
    <row r="207" spans="1:14">
      <c r="A207" s="34">
        <v>2070</v>
      </c>
      <c r="B207" s="34">
        <v>2080</v>
      </c>
      <c r="C207" s="34">
        <f t="shared" si="3"/>
        <v>2070000</v>
      </c>
      <c r="D207" s="34">
        <v>21770</v>
      </c>
      <c r="E207" s="34">
        <v>16190</v>
      </c>
      <c r="F207" s="34">
        <v>7990</v>
      </c>
      <c r="G207" s="34">
        <v>4610</v>
      </c>
      <c r="H207" s="34">
        <v>1240</v>
      </c>
      <c r="I207" s="35"/>
      <c r="J207" s="35"/>
      <c r="K207" s="35"/>
      <c r="L207" s="35"/>
      <c r="M207" s="35"/>
      <c r="N207" s="35"/>
    </row>
    <row r="208" spans="1:14">
      <c r="A208" s="34">
        <v>2080</v>
      </c>
      <c r="B208" s="34">
        <v>2090</v>
      </c>
      <c r="C208" s="34">
        <f t="shared" si="3"/>
        <v>2080000</v>
      </c>
      <c r="D208" s="34">
        <v>22090</v>
      </c>
      <c r="E208" s="34">
        <v>16400</v>
      </c>
      <c r="F208" s="34">
        <v>8180</v>
      </c>
      <c r="G208" s="34">
        <v>4810</v>
      </c>
      <c r="H208" s="34">
        <v>1430</v>
      </c>
      <c r="I208" s="35"/>
      <c r="J208" s="35"/>
      <c r="K208" s="35"/>
      <c r="L208" s="35"/>
      <c r="M208" s="35"/>
      <c r="N208" s="35"/>
    </row>
    <row r="209" spans="1:14">
      <c r="A209" s="34">
        <v>2090</v>
      </c>
      <c r="B209" s="34">
        <v>2100</v>
      </c>
      <c r="C209" s="34">
        <f t="shared" si="3"/>
        <v>2090000</v>
      </c>
      <c r="D209" s="34">
        <v>22420</v>
      </c>
      <c r="E209" s="34">
        <v>16600</v>
      </c>
      <c r="F209" s="34">
        <v>8380</v>
      </c>
      <c r="G209" s="34">
        <v>5010</v>
      </c>
      <c r="H209" s="34">
        <v>1630</v>
      </c>
      <c r="I209" s="35"/>
      <c r="J209" s="35"/>
      <c r="K209" s="35"/>
      <c r="L209" s="35"/>
      <c r="M209" s="35"/>
      <c r="N209" s="35"/>
    </row>
    <row r="210" spans="1:14">
      <c r="A210" s="34">
        <v>2100</v>
      </c>
      <c r="B210" s="34">
        <v>2110</v>
      </c>
      <c r="C210" s="34">
        <f t="shared" si="3"/>
        <v>2100000</v>
      </c>
      <c r="D210" s="34">
        <v>22740</v>
      </c>
      <c r="E210" s="34">
        <v>16810</v>
      </c>
      <c r="F210" s="34">
        <v>8580</v>
      </c>
      <c r="G210" s="34">
        <v>5210</v>
      </c>
      <c r="H210" s="34">
        <v>1830</v>
      </c>
      <c r="I210" s="35"/>
      <c r="J210" s="35"/>
      <c r="K210" s="35"/>
      <c r="L210" s="35"/>
      <c r="M210" s="35"/>
      <c r="N210" s="35"/>
    </row>
    <row r="211" spans="1:14">
      <c r="A211" s="34">
        <v>2110</v>
      </c>
      <c r="B211" s="34">
        <v>2120</v>
      </c>
      <c r="C211" s="34">
        <f t="shared" si="3"/>
        <v>2110000</v>
      </c>
      <c r="D211" s="34">
        <v>23060</v>
      </c>
      <c r="E211" s="34">
        <v>17020</v>
      </c>
      <c r="F211" s="34">
        <v>8780</v>
      </c>
      <c r="G211" s="34">
        <v>5400</v>
      </c>
      <c r="H211" s="34">
        <v>2030</v>
      </c>
      <c r="I211" s="35"/>
      <c r="J211" s="35"/>
      <c r="K211" s="35"/>
      <c r="L211" s="35"/>
      <c r="M211" s="35"/>
      <c r="N211" s="35"/>
    </row>
    <row r="212" spans="1:14">
      <c r="A212" s="34">
        <v>2120</v>
      </c>
      <c r="B212" s="34">
        <v>2130</v>
      </c>
      <c r="C212" s="34">
        <f t="shared" si="3"/>
        <v>2120000</v>
      </c>
      <c r="D212" s="34">
        <v>23380</v>
      </c>
      <c r="E212" s="34">
        <v>17220</v>
      </c>
      <c r="F212" s="34">
        <v>8980</v>
      </c>
      <c r="G212" s="34">
        <v>5600</v>
      </c>
      <c r="H212" s="34">
        <v>2230</v>
      </c>
      <c r="I212" s="35"/>
      <c r="J212" s="35"/>
      <c r="K212" s="35"/>
      <c r="L212" s="35"/>
      <c r="M212" s="35"/>
      <c r="N212" s="35"/>
    </row>
    <row r="213" spans="1:14">
      <c r="A213" s="34">
        <v>2130</v>
      </c>
      <c r="B213" s="34">
        <v>2140</v>
      </c>
      <c r="C213" s="34">
        <f t="shared" si="3"/>
        <v>2130000</v>
      </c>
      <c r="D213" s="34">
        <v>23700</v>
      </c>
      <c r="E213" s="34">
        <v>17430</v>
      </c>
      <c r="F213" s="34">
        <v>9180</v>
      </c>
      <c r="G213" s="34">
        <v>5800</v>
      </c>
      <c r="H213" s="34">
        <v>2430</v>
      </c>
      <c r="I213" s="35"/>
      <c r="J213" s="35"/>
      <c r="K213" s="35"/>
      <c r="L213" s="35"/>
      <c r="M213" s="35"/>
      <c r="N213" s="35"/>
    </row>
    <row r="214" spans="1:14">
      <c r="A214" s="34">
        <v>2140</v>
      </c>
      <c r="B214" s="34">
        <v>2150</v>
      </c>
      <c r="C214" s="34">
        <f t="shared" si="3"/>
        <v>2140000</v>
      </c>
      <c r="D214" s="34">
        <v>24020</v>
      </c>
      <c r="E214" s="34">
        <v>17640</v>
      </c>
      <c r="F214" s="34">
        <v>9380</v>
      </c>
      <c r="G214" s="34">
        <v>6000</v>
      </c>
      <c r="H214" s="34">
        <v>2630</v>
      </c>
      <c r="I214" s="35"/>
      <c r="J214" s="35"/>
      <c r="K214" s="35"/>
      <c r="L214" s="35"/>
      <c r="M214" s="35"/>
      <c r="N214" s="35"/>
    </row>
    <row r="215" spans="1:14">
      <c r="A215" s="34">
        <v>2150</v>
      </c>
      <c r="B215" s="34">
        <v>2160</v>
      </c>
      <c r="C215" s="34">
        <f t="shared" si="3"/>
        <v>2150000</v>
      </c>
      <c r="D215" s="34">
        <v>24340</v>
      </c>
      <c r="E215" s="34">
        <v>17840</v>
      </c>
      <c r="F215" s="34">
        <v>9570</v>
      </c>
      <c r="G215" s="34">
        <v>6200</v>
      </c>
      <c r="H215" s="34">
        <v>2820</v>
      </c>
      <c r="I215" s="35"/>
      <c r="J215" s="35"/>
      <c r="K215" s="35"/>
      <c r="L215" s="35"/>
      <c r="M215" s="35"/>
      <c r="N215" s="35"/>
    </row>
    <row r="216" spans="1:14">
      <c r="A216" s="34">
        <v>2160</v>
      </c>
      <c r="B216" s="34">
        <v>2170</v>
      </c>
      <c r="C216" s="34">
        <f t="shared" si="3"/>
        <v>2160000</v>
      </c>
      <c r="D216" s="34">
        <v>24660</v>
      </c>
      <c r="E216" s="34">
        <v>18050</v>
      </c>
      <c r="F216" s="34">
        <v>9770</v>
      </c>
      <c r="G216" s="34">
        <v>6400</v>
      </c>
      <c r="H216" s="34">
        <v>3020</v>
      </c>
      <c r="I216" s="35"/>
      <c r="J216" s="35"/>
      <c r="K216" s="35"/>
      <c r="L216" s="35"/>
      <c r="M216" s="35"/>
      <c r="N216" s="35"/>
    </row>
    <row r="217" spans="1:14">
      <c r="A217" s="34">
        <v>2170</v>
      </c>
      <c r="B217" s="34">
        <v>2180</v>
      </c>
      <c r="C217" s="34">
        <f t="shared" si="3"/>
        <v>2170000</v>
      </c>
      <c r="D217" s="34">
        <v>24990</v>
      </c>
      <c r="E217" s="34">
        <v>18260</v>
      </c>
      <c r="F217" s="34">
        <v>9970</v>
      </c>
      <c r="G217" s="34">
        <v>6600</v>
      </c>
      <c r="H217" s="34">
        <v>3220</v>
      </c>
      <c r="I217" s="35"/>
      <c r="J217" s="35"/>
      <c r="K217" s="35"/>
      <c r="L217" s="35"/>
      <c r="M217" s="35"/>
      <c r="N217" s="35"/>
    </row>
    <row r="218" spans="1:14">
      <c r="A218" s="34">
        <v>2180</v>
      </c>
      <c r="B218" s="34">
        <v>2190</v>
      </c>
      <c r="C218" s="34">
        <f t="shared" si="3"/>
        <v>2180000</v>
      </c>
      <c r="D218" s="34">
        <v>25310</v>
      </c>
      <c r="E218" s="34">
        <v>18460</v>
      </c>
      <c r="F218" s="34">
        <v>10170</v>
      </c>
      <c r="G218" s="34">
        <v>6790</v>
      </c>
      <c r="H218" s="34">
        <v>3420</v>
      </c>
      <c r="I218" s="35"/>
      <c r="J218" s="35"/>
      <c r="K218" s="35"/>
      <c r="L218" s="35"/>
      <c r="M218" s="35"/>
      <c r="N218" s="35"/>
    </row>
    <row r="219" spans="1:14">
      <c r="A219" s="34">
        <v>2190</v>
      </c>
      <c r="B219" s="34">
        <v>2200</v>
      </c>
      <c r="C219" s="34">
        <f t="shared" si="3"/>
        <v>2190000</v>
      </c>
      <c r="D219" s="34">
        <v>25630</v>
      </c>
      <c r="E219" s="34">
        <v>18670</v>
      </c>
      <c r="F219" s="34">
        <v>10370</v>
      </c>
      <c r="G219" s="34">
        <v>6990</v>
      </c>
      <c r="H219" s="34">
        <v>3620</v>
      </c>
      <c r="I219" s="35"/>
      <c r="J219" s="35"/>
      <c r="K219" s="35"/>
      <c r="L219" s="35"/>
      <c r="M219" s="35"/>
      <c r="N219" s="35"/>
    </row>
    <row r="220" spans="1:14">
      <c r="A220" s="34">
        <v>2200</v>
      </c>
      <c r="B220" s="34">
        <v>2210</v>
      </c>
      <c r="C220" s="34">
        <f t="shared" si="3"/>
        <v>2200000</v>
      </c>
      <c r="D220" s="34">
        <v>25950</v>
      </c>
      <c r="E220" s="34">
        <v>18950</v>
      </c>
      <c r="F220" s="34">
        <v>10570</v>
      </c>
      <c r="G220" s="34">
        <v>7190</v>
      </c>
      <c r="H220" s="34">
        <v>3820</v>
      </c>
      <c r="I220" s="35"/>
      <c r="J220" s="35"/>
      <c r="K220" s="35"/>
      <c r="L220" s="35"/>
      <c r="M220" s="35"/>
      <c r="N220" s="35"/>
    </row>
    <row r="221" spans="1:14">
      <c r="A221" s="34">
        <v>2210</v>
      </c>
      <c r="B221" s="34">
        <v>2220</v>
      </c>
      <c r="C221" s="34">
        <f t="shared" si="3"/>
        <v>2210000</v>
      </c>
      <c r="D221" s="34">
        <v>26270</v>
      </c>
      <c r="E221" s="34">
        <v>19270</v>
      </c>
      <c r="F221" s="34">
        <v>10760</v>
      </c>
      <c r="G221" s="34">
        <v>7390</v>
      </c>
      <c r="H221" s="34">
        <v>4010</v>
      </c>
      <c r="I221" s="35"/>
      <c r="J221" s="35"/>
      <c r="K221" s="35"/>
      <c r="L221" s="35"/>
      <c r="M221" s="35"/>
      <c r="N221" s="35"/>
    </row>
    <row r="222" spans="1:14">
      <c r="A222" s="34">
        <v>2220</v>
      </c>
      <c r="B222" s="34">
        <v>2230</v>
      </c>
      <c r="C222" s="34">
        <f t="shared" si="3"/>
        <v>2220000</v>
      </c>
      <c r="D222" s="34">
        <v>26590</v>
      </c>
      <c r="E222" s="34">
        <v>19590</v>
      </c>
      <c r="F222" s="34">
        <v>10960</v>
      </c>
      <c r="G222" s="34">
        <v>7590</v>
      </c>
      <c r="H222" s="34">
        <v>4210</v>
      </c>
      <c r="I222" s="35"/>
      <c r="J222" s="35"/>
      <c r="K222" s="35"/>
      <c r="L222" s="35"/>
      <c r="M222" s="35"/>
      <c r="N222" s="35"/>
    </row>
    <row r="223" spans="1:14">
      <c r="A223" s="34">
        <v>2230</v>
      </c>
      <c r="B223" s="34">
        <v>2240</v>
      </c>
      <c r="C223" s="34">
        <f t="shared" si="3"/>
        <v>2230000</v>
      </c>
      <c r="D223" s="34">
        <v>26910</v>
      </c>
      <c r="E223" s="34">
        <v>19910</v>
      </c>
      <c r="F223" s="34">
        <v>11160</v>
      </c>
      <c r="G223" s="34">
        <v>7790</v>
      </c>
      <c r="H223" s="34">
        <v>4410</v>
      </c>
      <c r="I223" s="34">
        <v>1040</v>
      </c>
      <c r="J223" s="35"/>
      <c r="K223" s="35"/>
      <c r="L223" s="35"/>
      <c r="M223" s="35"/>
      <c r="N223" s="35"/>
    </row>
    <row r="224" spans="1:14">
      <c r="A224" s="34">
        <v>2240</v>
      </c>
      <c r="B224" s="34">
        <v>2250</v>
      </c>
      <c r="C224" s="34">
        <f t="shared" si="3"/>
        <v>2240000</v>
      </c>
      <c r="D224" s="34">
        <v>27240</v>
      </c>
      <c r="E224" s="34">
        <v>20240</v>
      </c>
      <c r="F224" s="34">
        <v>11360</v>
      </c>
      <c r="G224" s="34">
        <v>7980</v>
      </c>
      <c r="H224" s="34">
        <v>4610</v>
      </c>
      <c r="I224" s="34">
        <v>1230</v>
      </c>
      <c r="J224" s="35"/>
      <c r="K224" s="35"/>
      <c r="L224" s="35"/>
      <c r="M224" s="35"/>
      <c r="N224" s="35"/>
    </row>
    <row r="225" spans="1:14">
      <c r="A225" s="34">
        <v>2250</v>
      </c>
      <c r="B225" s="34">
        <v>2260</v>
      </c>
      <c r="C225" s="34">
        <f t="shared" si="3"/>
        <v>2250000</v>
      </c>
      <c r="D225" s="34">
        <v>27560</v>
      </c>
      <c r="E225" s="34">
        <v>20560</v>
      </c>
      <c r="F225" s="34">
        <v>11560</v>
      </c>
      <c r="G225" s="34">
        <v>8180</v>
      </c>
      <c r="H225" s="34">
        <v>4810</v>
      </c>
      <c r="I225" s="34">
        <v>1430</v>
      </c>
      <c r="J225" s="35"/>
      <c r="K225" s="35"/>
      <c r="L225" s="35"/>
      <c r="M225" s="35"/>
      <c r="N225" s="35"/>
    </row>
    <row r="226" spans="1:14">
      <c r="A226" s="34">
        <v>2260</v>
      </c>
      <c r="B226" s="34">
        <v>2270</v>
      </c>
      <c r="C226" s="34">
        <f t="shared" si="3"/>
        <v>2260000</v>
      </c>
      <c r="D226" s="34">
        <v>27880</v>
      </c>
      <c r="E226" s="34">
        <v>20880</v>
      </c>
      <c r="F226" s="34">
        <v>11760</v>
      </c>
      <c r="G226" s="34">
        <v>8380</v>
      </c>
      <c r="H226" s="34">
        <v>5010</v>
      </c>
      <c r="I226" s="34">
        <v>1630</v>
      </c>
      <c r="J226" s="35"/>
      <c r="K226" s="35"/>
      <c r="L226" s="35"/>
      <c r="M226" s="35"/>
      <c r="N226" s="35"/>
    </row>
    <row r="227" spans="1:14">
      <c r="A227" s="34">
        <v>2270</v>
      </c>
      <c r="B227" s="34">
        <v>2280</v>
      </c>
      <c r="C227" s="34">
        <f t="shared" si="3"/>
        <v>2270000</v>
      </c>
      <c r="D227" s="34">
        <v>28200</v>
      </c>
      <c r="E227" s="34">
        <v>21200</v>
      </c>
      <c r="F227" s="34">
        <v>11960</v>
      </c>
      <c r="G227" s="34">
        <v>8580</v>
      </c>
      <c r="H227" s="34">
        <v>5210</v>
      </c>
      <c r="I227" s="34">
        <v>1830</v>
      </c>
      <c r="J227" s="35"/>
      <c r="K227" s="35"/>
      <c r="L227" s="35"/>
      <c r="M227" s="35"/>
      <c r="N227" s="35"/>
    </row>
    <row r="228" spans="1:14">
      <c r="A228" s="34">
        <v>2280</v>
      </c>
      <c r="B228" s="34">
        <v>2290</v>
      </c>
      <c r="C228" s="34">
        <f t="shared" si="3"/>
        <v>2280000</v>
      </c>
      <c r="D228" s="34">
        <v>28520</v>
      </c>
      <c r="E228" s="34">
        <v>21520</v>
      </c>
      <c r="F228" s="34">
        <v>12150</v>
      </c>
      <c r="G228" s="34">
        <v>8780</v>
      </c>
      <c r="H228" s="34">
        <v>5400</v>
      </c>
      <c r="I228" s="34">
        <v>2030</v>
      </c>
      <c r="J228" s="35"/>
      <c r="K228" s="35"/>
      <c r="L228" s="35"/>
      <c r="M228" s="35"/>
      <c r="N228" s="35"/>
    </row>
    <row r="229" spans="1:14">
      <c r="A229" s="34">
        <v>2290</v>
      </c>
      <c r="B229" s="34">
        <v>2300</v>
      </c>
      <c r="C229" s="34">
        <f t="shared" si="3"/>
        <v>2290000</v>
      </c>
      <c r="D229" s="34">
        <v>28840</v>
      </c>
      <c r="E229" s="34">
        <v>21840</v>
      </c>
      <c r="F229" s="34">
        <v>12350</v>
      </c>
      <c r="G229" s="34">
        <v>8980</v>
      </c>
      <c r="H229" s="34">
        <v>5600</v>
      </c>
      <c r="I229" s="34">
        <v>2230</v>
      </c>
      <c r="J229" s="35"/>
      <c r="K229" s="35"/>
      <c r="L229" s="35"/>
      <c r="M229" s="35"/>
      <c r="N229" s="35"/>
    </row>
    <row r="230" spans="1:14">
      <c r="A230" s="34">
        <v>2300</v>
      </c>
      <c r="B230" s="34">
        <v>2310</v>
      </c>
      <c r="C230" s="34">
        <f t="shared" si="3"/>
        <v>2300000</v>
      </c>
      <c r="D230" s="34">
        <v>29160</v>
      </c>
      <c r="E230" s="34">
        <v>22160</v>
      </c>
      <c r="F230" s="34">
        <v>12550</v>
      </c>
      <c r="G230" s="34">
        <v>9180</v>
      </c>
      <c r="H230" s="34">
        <v>5800</v>
      </c>
      <c r="I230" s="34">
        <v>2430</v>
      </c>
      <c r="J230" s="35"/>
      <c r="K230" s="35"/>
      <c r="L230" s="35"/>
      <c r="M230" s="35"/>
      <c r="N230" s="35"/>
    </row>
    <row r="231" spans="1:14">
      <c r="A231" s="34">
        <v>2310</v>
      </c>
      <c r="B231" s="34">
        <v>2320</v>
      </c>
      <c r="C231" s="34">
        <f t="shared" si="3"/>
        <v>2310000</v>
      </c>
      <c r="D231" s="34">
        <v>29480</v>
      </c>
      <c r="E231" s="34">
        <v>22480</v>
      </c>
      <c r="F231" s="34">
        <v>12750</v>
      </c>
      <c r="G231" s="34">
        <v>9370</v>
      </c>
      <c r="H231" s="34">
        <v>6000</v>
      </c>
      <c r="I231" s="34">
        <v>2620</v>
      </c>
      <c r="J231" s="35"/>
      <c r="K231" s="35"/>
      <c r="L231" s="35"/>
      <c r="M231" s="35"/>
      <c r="N231" s="35"/>
    </row>
    <row r="232" spans="1:14">
      <c r="A232" s="34">
        <v>2320</v>
      </c>
      <c r="B232" s="34">
        <v>2330</v>
      </c>
      <c r="C232" s="34">
        <f t="shared" si="3"/>
        <v>2320000</v>
      </c>
      <c r="D232" s="34">
        <v>29810</v>
      </c>
      <c r="E232" s="34">
        <v>22810</v>
      </c>
      <c r="F232" s="34">
        <v>12950</v>
      </c>
      <c r="G232" s="34">
        <v>9570</v>
      </c>
      <c r="H232" s="34">
        <v>6200</v>
      </c>
      <c r="I232" s="34">
        <v>2820</v>
      </c>
      <c r="J232" s="35"/>
      <c r="K232" s="35"/>
      <c r="L232" s="35"/>
      <c r="M232" s="35"/>
      <c r="N232" s="35"/>
    </row>
    <row r="233" spans="1:14">
      <c r="A233" s="34">
        <v>2330</v>
      </c>
      <c r="B233" s="34">
        <v>2340</v>
      </c>
      <c r="C233" s="34">
        <f t="shared" si="3"/>
        <v>2330000</v>
      </c>
      <c r="D233" s="34">
        <v>30130</v>
      </c>
      <c r="E233" s="34">
        <v>23130</v>
      </c>
      <c r="F233" s="34">
        <v>13150</v>
      </c>
      <c r="G233" s="34">
        <v>9770</v>
      </c>
      <c r="H233" s="34">
        <v>6400</v>
      </c>
      <c r="I233" s="34">
        <v>3020</v>
      </c>
      <c r="J233" s="35"/>
      <c r="K233" s="35"/>
      <c r="L233" s="35"/>
      <c r="M233" s="35"/>
      <c r="N233" s="35"/>
    </row>
    <row r="234" spans="1:14">
      <c r="A234" s="34">
        <v>2340</v>
      </c>
      <c r="B234" s="34">
        <v>2350</v>
      </c>
      <c r="C234" s="34">
        <f t="shared" si="3"/>
        <v>2340000</v>
      </c>
      <c r="D234" s="34">
        <v>30450</v>
      </c>
      <c r="E234" s="34">
        <v>23450</v>
      </c>
      <c r="F234" s="34">
        <v>13340</v>
      </c>
      <c r="G234" s="34">
        <v>9970</v>
      </c>
      <c r="H234" s="34">
        <v>6590</v>
      </c>
      <c r="I234" s="34">
        <v>3220</v>
      </c>
      <c r="J234" s="35"/>
      <c r="K234" s="35"/>
      <c r="L234" s="35"/>
      <c r="M234" s="35"/>
      <c r="N234" s="35"/>
    </row>
    <row r="235" spans="1:14">
      <c r="A235" s="34">
        <v>2350</v>
      </c>
      <c r="B235" s="34">
        <v>2360</v>
      </c>
      <c r="C235" s="34">
        <f t="shared" si="3"/>
        <v>2350000</v>
      </c>
      <c r="D235" s="34">
        <v>30770</v>
      </c>
      <c r="E235" s="34">
        <v>23770</v>
      </c>
      <c r="F235" s="34">
        <v>13540</v>
      </c>
      <c r="G235" s="34">
        <v>10170</v>
      </c>
      <c r="H235" s="34">
        <v>6790</v>
      </c>
      <c r="I235" s="34">
        <v>3420</v>
      </c>
      <c r="J235" s="35"/>
      <c r="K235" s="35"/>
      <c r="L235" s="35"/>
      <c r="M235" s="35"/>
      <c r="N235" s="35"/>
    </row>
    <row r="236" spans="1:14">
      <c r="A236" s="34">
        <v>2360</v>
      </c>
      <c r="B236" s="34">
        <v>2370</v>
      </c>
      <c r="C236" s="34">
        <f t="shared" si="3"/>
        <v>2360000</v>
      </c>
      <c r="D236" s="34">
        <v>31090</v>
      </c>
      <c r="E236" s="34">
        <v>24090</v>
      </c>
      <c r="F236" s="34">
        <v>13740</v>
      </c>
      <c r="G236" s="34">
        <v>10370</v>
      </c>
      <c r="H236" s="34">
        <v>6990</v>
      </c>
      <c r="I236" s="34">
        <v>3620</v>
      </c>
      <c r="J236" s="35"/>
      <c r="K236" s="35"/>
      <c r="L236" s="35"/>
      <c r="M236" s="35"/>
      <c r="N236" s="35"/>
    </row>
    <row r="237" spans="1:14">
      <c r="A237" s="34">
        <v>2370</v>
      </c>
      <c r="B237" s="34">
        <v>2380</v>
      </c>
      <c r="C237" s="34">
        <f t="shared" si="3"/>
        <v>2370000</v>
      </c>
      <c r="D237" s="34">
        <v>31410</v>
      </c>
      <c r="E237" s="34">
        <v>24410</v>
      </c>
      <c r="F237" s="34">
        <v>13940</v>
      </c>
      <c r="G237" s="34">
        <v>10560</v>
      </c>
      <c r="H237" s="34">
        <v>7190</v>
      </c>
      <c r="I237" s="34">
        <v>3810</v>
      </c>
      <c r="J237" s="35"/>
      <c r="K237" s="35"/>
      <c r="L237" s="35"/>
      <c r="M237" s="35"/>
      <c r="N237" s="35"/>
    </row>
    <row r="238" spans="1:14">
      <c r="A238" s="34">
        <v>2380</v>
      </c>
      <c r="B238" s="34">
        <v>2390</v>
      </c>
      <c r="C238" s="34">
        <f t="shared" si="3"/>
        <v>2380000</v>
      </c>
      <c r="D238" s="34">
        <v>31970</v>
      </c>
      <c r="E238" s="34">
        <v>24730</v>
      </c>
      <c r="F238" s="34">
        <v>14140</v>
      </c>
      <c r="G238" s="34">
        <v>10760</v>
      </c>
      <c r="H238" s="34">
        <v>7390</v>
      </c>
      <c r="I238" s="34">
        <v>4010</v>
      </c>
      <c r="J238" s="35"/>
      <c r="K238" s="35"/>
      <c r="L238" s="35"/>
      <c r="M238" s="35"/>
      <c r="N238" s="35"/>
    </row>
    <row r="239" spans="1:14">
      <c r="A239" s="34">
        <v>2390</v>
      </c>
      <c r="B239" s="34">
        <v>2400</v>
      </c>
      <c r="C239" s="34">
        <f t="shared" si="3"/>
        <v>2390000</v>
      </c>
      <c r="D239" s="34">
        <v>32770</v>
      </c>
      <c r="E239" s="34">
        <v>25050</v>
      </c>
      <c r="F239" s="34">
        <v>14340</v>
      </c>
      <c r="G239" s="34">
        <v>10960</v>
      </c>
      <c r="H239" s="34">
        <v>7590</v>
      </c>
      <c r="I239" s="34">
        <v>4210</v>
      </c>
      <c r="J239" s="35"/>
      <c r="K239" s="35"/>
      <c r="L239" s="35"/>
      <c r="M239" s="35"/>
      <c r="N239" s="35"/>
    </row>
    <row r="240" spans="1:14">
      <c r="A240" s="34">
        <v>2400</v>
      </c>
      <c r="B240" s="34">
        <v>2410</v>
      </c>
      <c r="C240" s="34">
        <f t="shared" si="3"/>
        <v>2400000</v>
      </c>
      <c r="D240" s="34">
        <v>33570</v>
      </c>
      <c r="E240" s="34">
        <v>25380</v>
      </c>
      <c r="F240" s="34">
        <v>14530</v>
      </c>
      <c r="G240" s="34">
        <v>11160</v>
      </c>
      <c r="H240" s="34">
        <v>7780</v>
      </c>
      <c r="I240" s="34">
        <v>4410</v>
      </c>
      <c r="J240" s="34">
        <v>1030</v>
      </c>
      <c r="K240" s="35"/>
      <c r="L240" s="35"/>
      <c r="M240" s="35"/>
      <c r="N240" s="35"/>
    </row>
    <row r="241" spans="1:14">
      <c r="A241" s="34">
        <v>2410</v>
      </c>
      <c r="B241" s="34">
        <v>2420</v>
      </c>
      <c r="C241" s="34">
        <f t="shared" si="3"/>
        <v>2410000</v>
      </c>
      <c r="D241" s="34">
        <v>34380</v>
      </c>
      <c r="E241" s="34">
        <v>25700</v>
      </c>
      <c r="F241" s="34">
        <v>14730</v>
      </c>
      <c r="G241" s="34">
        <v>11360</v>
      </c>
      <c r="H241" s="34">
        <v>7980</v>
      </c>
      <c r="I241" s="34">
        <v>4610</v>
      </c>
      <c r="J241" s="34">
        <v>1230</v>
      </c>
      <c r="K241" s="35"/>
      <c r="L241" s="35"/>
      <c r="M241" s="35"/>
      <c r="N241" s="35"/>
    </row>
    <row r="242" spans="1:14">
      <c r="A242" s="34">
        <v>2420</v>
      </c>
      <c r="B242" s="34">
        <v>2430</v>
      </c>
      <c r="C242" s="34">
        <f t="shared" si="3"/>
        <v>2420000</v>
      </c>
      <c r="D242" s="34">
        <v>35180</v>
      </c>
      <c r="E242" s="34">
        <v>26020</v>
      </c>
      <c r="F242" s="34">
        <v>14930</v>
      </c>
      <c r="G242" s="34">
        <v>11560</v>
      </c>
      <c r="H242" s="34">
        <v>8180</v>
      </c>
      <c r="I242" s="34">
        <v>4810</v>
      </c>
      <c r="J242" s="34">
        <v>1430</v>
      </c>
      <c r="K242" s="35"/>
      <c r="L242" s="35"/>
      <c r="M242" s="35"/>
      <c r="N242" s="35"/>
    </row>
    <row r="243" spans="1:14">
      <c r="A243" s="34">
        <v>2430</v>
      </c>
      <c r="B243" s="34">
        <v>2440</v>
      </c>
      <c r="C243" s="34">
        <f t="shared" si="3"/>
        <v>2430000</v>
      </c>
      <c r="D243" s="34">
        <v>35980</v>
      </c>
      <c r="E243" s="34">
        <v>26340</v>
      </c>
      <c r="F243" s="34">
        <v>15130</v>
      </c>
      <c r="G243" s="34">
        <v>11760</v>
      </c>
      <c r="H243" s="34">
        <v>8380</v>
      </c>
      <c r="I243" s="34">
        <v>5010</v>
      </c>
      <c r="J243" s="34">
        <v>1630</v>
      </c>
      <c r="K243" s="35"/>
      <c r="L243" s="35"/>
      <c r="M243" s="35"/>
      <c r="N243" s="35"/>
    </row>
    <row r="244" spans="1:14">
      <c r="A244" s="34">
        <v>2440</v>
      </c>
      <c r="B244" s="34">
        <v>2450</v>
      </c>
      <c r="C244" s="34">
        <f t="shared" si="3"/>
        <v>2440000</v>
      </c>
      <c r="D244" s="34">
        <v>36790</v>
      </c>
      <c r="E244" s="34">
        <v>26660</v>
      </c>
      <c r="F244" s="34">
        <v>15330</v>
      </c>
      <c r="G244" s="34">
        <v>11950</v>
      </c>
      <c r="H244" s="34">
        <v>8580</v>
      </c>
      <c r="I244" s="34">
        <v>5200</v>
      </c>
      <c r="J244" s="34">
        <v>1830</v>
      </c>
      <c r="K244" s="35"/>
      <c r="L244" s="35"/>
      <c r="M244" s="35"/>
      <c r="N244" s="35"/>
    </row>
    <row r="245" spans="1:14">
      <c r="A245" s="34">
        <v>2450</v>
      </c>
      <c r="B245" s="34">
        <v>2460</v>
      </c>
      <c r="C245" s="34">
        <f t="shared" si="3"/>
        <v>2450000</v>
      </c>
      <c r="D245" s="34">
        <v>37590</v>
      </c>
      <c r="E245" s="34">
        <v>26980</v>
      </c>
      <c r="F245" s="34">
        <v>15530</v>
      </c>
      <c r="G245" s="34">
        <v>12150</v>
      </c>
      <c r="H245" s="34">
        <v>8780</v>
      </c>
      <c r="I245" s="34">
        <v>5400</v>
      </c>
      <c r="J245" s="34">
        <v>2030</v>
      </c>
      <c r="K245" s="35"/>
      <c r="L245" s="35"/>
      <c r="M245" s="35"/>
      <c r="N245" s="35"/>
    </row>
    <row r="246" spans="1:14">
      <c r="A246" s="34">
        <v>2460</v>
      </c>
      <c r="B246" s="34">
        <v>2470</v>
      </c>
      <c r="C246" s="34">
        <f t="shared" si="3"/>
        <v>2460000</v>
      </c>
      <c r="D246" s="34">
        <v>38390</v>
      </c>
      <c r="E246" s="34">
        <v>27300</v>
      </c>
      <c r="F246" s="34">
        <v>15730</v>
      </c>
      <c r="G246" s="34">
        <v>12350</v>
      </c>
      <c r="H246" s="34">
        <v>8980</v>
      </c>
      <c r="I246" s="34">
        <v>5600</v>
      </c>
      <c r="J246" s="34">
        <v>2230</v>
      </c>
      <c r="K246" s="35"/>
      <c r="L246" s="35"/>
      <c r="M246" s="35"/>
      <c r="N246" s="35"/>
    </row>
    <row r="247" spans="1:14">
      <c r="A247" s="34">
        <v>2470</v>
      </c>
      <c r="B247" s="34">
        <v>2480</v>
      </c>
      <c r="C247" s="34">
        <f t="shared" si="3"/>
        <v>2470000</v>
      </c>
      <c r="D247" s="34">
        <v>39200</v>
      </c>
      <c r="E247" s="34">
        <v>27630</v>
      </c>
      <c r="F247" s="34">
        <v>15920</v>
      </c>
      <c r="G247" s="34">
        <v>12550</v>
      </c>
      <c r="H247" s="34">
        <v>9170</v>
      </c>
      <c r="I247" s="34">
        <v>5800</v>
      </c>
      <c r="J247" s="34">
        <v>2420</v>
      </c>
      <c r="K247" s="35"/>
      <c r="L247" s="35"/>
      <c r="M247" s="35"/>
      <c r="N247" s="35"/>
    </row>
    <row r="248" spans="1:14">
      <c r="A248" s="34">
        <v>2480</v>
      </c>
      <c r="B248" s="34">
        <v>2490</v>
      </c>
      <c r="C248" s="34">
        <f t="shared" si="3"/>
        <v>2480000</v>
      </c>
      <c r="D248" s="34">
        <v>40000</v>
      </c>
      <c r="E248" s="34">
        <v>27950</v>
      </c>
      <c r="F248" s="34">
        <v>16120</v>
      </c>
      <c r="G248" s="34">
        <v>12750</v>
      </c>
      <c r="H248" s="34">
        <v>9370</v>
      </c>
      <c r="I248" s="34">
        <v>6000</v>
      </c>
      <c r="J248" s="34">
        <v>2620</v>
      </c>
      <c r="K248" s="35"/>
      <c r="L248" s="35"/>
      <c r="M248" s="35"/>
      <c r="N248" s="35"/>
    </row>
    <row r="249" spans="1:14">
      <c r="A249" s="34">
        <v>2490</v>
      </c>
      <c r="B249" s="34">
        <v>2500</v>
      </c>
      <c r="C249" s="34">
        <f t="shared" si="3"/>
        <v>2490000</v>
      </c>
      <c r="D249" s="34">
        <v>40800</v>
      </c>
      <c r="E249" s="34">
        <v>28270</v>
      </c>
      <c r="F249" s="34">
        <v>16320</v>
      </c>
      <c r="G249" s="34">
        <v>12950</v>
      </c>
      <c r="H249" s="34">
        <v>9570</v>
      </c>
      <c r="I249" s="34">
        <v>6200</v>
      </c>
      <c r="J249" s="34">
        <v>2820</v>
      </c>
      <c r="K249" s="35"/>
      <c r="L249" s="35"/>
      <c r="M249" s="35"/>
      <c r="N249" s="35"/>
    </row>
    <row r="250" spans="1:14">
      <c r="A250" s="34">
        <v>2500</v>
      </c>
      <c r="B250" s="34">
        <v>2510</v>
      </c>
      <c r="C250" s="34">
        <f t="shared" si="3"/>
        <v>2500000</v>
      </c>
      <c r="D250" s="34">
        <v>41630</v>
      </c>
      <c r="E250" s="34">
        <v>28600</v>
      </c>
      <c r="F250" s="34">
        <v>16530</v>
      </c>
      <c r="G250" s="34">
        <v>13150</v>
      </c>
      <c r="H250" s="34">
        <v>9780</v>
      </c>
      <c r="I250" s="34">
        <v>6400</v>
      </c>
      <c r="J250" s="34">
        <v>3030</v>
      </c>
      <c r="K250" s="35"/>
      <c r="L250" s="35"/>
      <c r="M250" s="35"/>
      <c r="N250" s="35"/>
    </row>
    <row r="251" spans="1:14">
      <c r="A251" s="34">
        <v>2510</v>
      </c>
      <c r="B251" s="34">
        <v>2520</v>
      </c>
      <c r="C251" s="34">
        <f t="shared" si="3"/>
        <v>2510000</v>
      </c>
      <c r="D251" s="34">
        <v>42490</v>
      </c>
      <c r="E251" s="34">
        <v>28940</v>
      </c>
      <c r="F251" s="34">
        <v>16740</v>
      </c>
      <c r="G251" s="34">
        <v>13360</v>
      </c>
      <c r="H251" s="34">
        <v>9990</v>
      </c>
      <c r="I251" s="34">
        <v>6610</v>
      </c>
      <c r="J251" s="34">
        <v>3240</v>
      </c>
      <c r="K251" s="35"/>
      <c r="L251" s="35"/>
      <c r="M251" s="35"/>
      <c r="N251" s="35"/>
    </row>
    <row r="252" spans="1:14">
      <c r="A252" s="34">
        <v>2520</v>
      </c>
      <c r="B252" s="34">
        <v>2530</v>
      </c>
      <c r="C252" s="34">
        <f t="shared" si="3"/>
        <v>2520000</v>
      </c>
      <c r="D252" s="34">
        <v>43340</v>
      </c>
      <c r="E252" s="34">
        <v>29280</v>
      </c>
      <c r="F252" s="34">
        <v>16950</v>
      </c>
      <c r="G252" s="34">
        <v>13580</v>
      </c>
      <c r="H252" s="34">
        <v>10200</v>
      </c>
      <c r="I252" s="34">
        <v>6830</v>
      </c>
      <c r="J252" s="34">
        <v>3450</v>
      </c>
      <c r="K252" s="35"/>
      <c r="L252" s="35"/>
      <c r="M252" s="35"/>
      <c r="N252" s="35"/>
    </row>
    <row r="253" spans="1:14">
      <c r="A253" s="34">
        <v>2530</v>
      </c>
      <c r="B253" s="34">
        <v>2540</v>
      </c>
      <c r="C253" s="34">
        <f t="shared" si="3"/>
        <v>2530000</v>
      </c>
      <c r="D253" s="34">
        <v>44200</v>
      </c>
      <c r="E253" s="34">
        <v>29630</v>
      </c>
      <c r="F253" s="34">
        <v>17160</v>
      </c>
      <c r="G253" s="34">
        <v>13790</v>
      </c>
      <c r="H253" s="34">
        <v>10410</v>
      </c>
      <c r="I253" s="34">
        <v>7040</v>
      </c>
      <c r="J253" s="34">
        <v>3660</v>
      </c>
      <c r="K253" s="35"/>
      <c r="L253" s="35"/>
      <c r="M253" s="35"/>
      <c r="N253" s="35"/>
    </row>
    <row r="254" spans="1:14">
      <c r="A254" s="34">
        <v>2540</v>
      </c>
      <c r="B254" s="34">
        <v>2550</v>
      </c>
      <c r="C254" s="34">
        <f t="shared" si="3"/>
        <v>2540000</v>
      </c>
      <c r="D254" s="34">
        <v>45050</v>
      </c>
      <c r="E254" s="34">
        <v>29970</v>
      </c>
      <c r="F254" s="34">
        <v>17370</v>
      </c>
      <c r="G254" s="34">
        <v>14000</v>
      </c>
      <c r="H254" s="34">
        <v>10620</v>
      </c>
      <c r="I254" s="34">
        <v>7250</v>
      </c>
      <c r="J254" s="34">
        <v>3870</v>
      </c>
      <c r="K254" s="35"/>
      <c r="L254" s="35"/>
      <c r="M254" s="35"/>
      <c r="N254" s="35"/>
    </row>
    <row r="255" spans="1:14">
      <c r="A255" s="34">
        <v>2550</v>
      </c>
      <c r="B255" s="34">
        <v>2560</v>
      </c>
      <c r="C255" s="34">
        <f t="shared" si="3"/>
        <v>2550000</v>
      </c>
      <c r="D255" s="34">
        <v>45910</v>
      </c>
      <c r="E255" s="34">
        <v>30310</v>
      </c>
      <c r="F255" s="34">
        <v>17590</v>
      </c>
      <c r="G255" s="34">
        <v>14210</v>
      </c>
      <c r="H255" s="34">
        <v>10840</v>
      </c>
      <c r="I255" s="34">
        <v>7460</v>
      </c>
      <c r="J255" s="34">
        <v>4090</v>
      </c>
      <c r="K255" s="35"/>
      <c r="L255" s="35"/>
      <c r="M255" s="35"/>
      <c r="N255" s="35"/>
    </row>
    <row r="256" spans="1:14">
      <c r="A256" s="34">
        <v>2560</v>
      </c>
      <c r="B256" s="34">
        <v>2570</v>
      </c>
      <c r="C256" s="34">
        <f t="shared" si="3"/>
        <v>2560000</v>
      </c>
      <c r="D256" s="34">
        <v>46770</v>
      </c>
      <c r="E256" s="34">
        <v>30650</v>
      </c>
      <c r="F256" s="34">
        <v>17800</v>
      </c>
      <c r="G256" s="34">
        <v>14420</v>
      </c>
      <c r="H256" s="34">
        <v>11050</v>
      </c>
      <c r="I256" s="34">
        <v>7670</v>
      </c>
      <c r="J256" s="34">
        <v>4300</v>
      </c>
      <c r="K256" s="35"/>
      <c r="L256" s="35"/>
      <c r="M256" s="35"/>
      <c r="N256" s="35"/>
    </row>
    <row r="257" spans="1:14">
      <c r="A257" s="34">
        <v>2570</v>
      </c>
      <c r="B257" s="34">
        <v>2580</v>
      </c>
      <c r="C257" s="34">
        <f t="shared" si="3"/>
        <v>2570000</v>
      </c>
      <c r="D257" s="34">
        <v>47620</v>
      </c>
      <c r="E257" s="34">
        <v>31000</v>
      </c>
      <c r="F257" s="34">
        <v>18010</v>
      </c>
      <c r="G257" s="34">
        <v>14630</v>
      </c>
      <c r="H257" s="34">
        <v>11260</v>
      </c>
      <c r="I257" s="34">
        <v>7880</v>
      </c>
      <c r="J257" s="34">
        <v>4510</v>
      </c>
      <c r="K257" s="34">
        <v>1130</v>
      </c>
      <c r="L257" s="35"/>
      <c r="M257" s="35"/>
      <c r="N257" s="35"/>
    </row>
    <row r="258" spans="1:14">
      <c r="A258" s="34">
        <v>2580</v>
      </c>
      <c r="B258" s="34">
        <v>2590</v>
      </c>
      <c r="C258" s="34">
        <f t="shared" si="3"/>
        <v>2580000</v>
      </c>
      <c r="D258" s="34">
        <v>48480</v>
      </c>
      <c r="E258" s="34">
        <v>31340</v>
      </c>
      <c r="F258" s="34">
        <v>18220</v>
      </c>
      <c r="G258" s="34">
        <v>14850</v>
      </c>
      <c r="H258" s="34">
        <v>11470</v>
      </c>
      <c r="I258" s="34">
        <v>8100</v>
      </c>
      <c r="J258" s="34">
        <v>4720</v>
      </c>
      <c r="K258" s="34">
        <v>1350</v>
      </c>
      <c r="L258" s="35"/>
      <c r="M258" s="35"/>
      <c r="N258" s="35"/>
    </row>
    <row r="259" spans="1:14">
      <c r="A259" s="34">
        <v>2590</v>
      </c>
      <c r="B259" s="34">
        <v>2600</v>
      </c>
      <c r="C259" s="34">
        <f t="shared" si="3"/>
        <v>2590000</v>
      </c>
      <c r="D259" s="34">
        <v>49330</v>
      </c>
      <c r="E259" s="34">
        <v>31830</v>
      </c>
      <c r="F259" s="34">
        <v>18430</v>
      </c>
      <c r="G259" s="34">
        <v>15060</v>
      </c>
      <c r="H259" s="34">
        <v>11680</v>
      </c>
      <c r="I259" s="34">
        <v>8310</v>
      </c>
      <c r="J259" s="34">
        <v>4930</v>
      </c>
      <c r="K259" s="34">
        <v>1560</v>
      </c>
      <c r="L259" s="35"/>
      <c r="M259" s="35"/>
      <c r="N259" s="35"/>
    </row>
    <row r="260" spans="1:14">
      <c r="A260" s="34">
        <v>2600</v>
      </c>
      <c r="B260" s="34">
        <v>2610</v>
      </c>
      <c r="C260" s="34">
        <f t="shared" si="3"/>
        <v>2600000</v>
      </c>
      <c r="D260" s="34">
        <v>50190</v>
      </c>
      <c r="E260" s="34">
        <v>32690</v>
      </c>
      <c r="F260" s="34">
        <v>18650</v>
      </c>
      <c r="G260" s="34">
        <v>15270</v>
      </c>
      <c r="H260" s="34">
        <v>11900</v>
      </c>
      <c r="I260" s="34">
        <v>8520</v>
      </c>
      <c r="J260" s="34">
        <v>5150</v>
      </c>
      <c r="K260" s="34">
        <v>1770</v>
      </c>
      <c r="L260" s="35"/>
      <c r="M260" s="35"/>
      <c r="N260" s="35"/>
    </row>
    <row r="261" spans="1:14">
      <c r="A261" s="34">
        <v>2610</v>
      </c>
      <c r="B261" s="34">
        <v>2620</v>
      </c>
      <c r="C261" s="34">
        <f t="shared" ref="C261:C324" si="4">A261*1000</f>
        <v>2610000</v>
      </c>
      <c r="D261" s="34">
        <v>51040</v>
      </c>
      <c r="E261" s="34">
        <v>33540</v>
      </c>
      <c r="F261" s="34">
        <v>18920</v>
      </c>
      <c r="G261" s="34">
        <v>15480</v>
      </c>
      <c r="H261" s="34">
        <v>12110</v>
      </c>
      <c r="I261" s="34">
        <v>8730</v>
      </c>
      <c r="J261" s="34">
        <v>5360</v>
      </c>
      <c r="K261" s="34">
        <v>1980</v>
      </c>
      <c r="L261" s="35"/>
      <c r="M261" s="35"/>
      <c r="N261" s="35"/>
    </row>
    <row r="262" spans="1:14">
      <c r="A262" s="34">
        <v>2620</v>
      </c>
      <c r="B262" s="34">
        <v>2630</v>
      </c>
      <c r="C262" s="34">
        <f t="shared" si="4"/>
        <v>2620000</v>
      </c>
      <c r="D262" s="34">
        <v>51900</v>
      </c>
      <c r="E262" s="34">
        <v>34400</v>
      </c>
      <c r="F262" s="34">
        <v>19250</v>
      </c>
      <c r="G262" s="34">
        <v>15690</v>
      </c>
      <c r="H262" s="34">
        <v>12320</v>
      </c>
      <c r="I262" s="34">
        <v>8940</v>
      </c>
      <c r="J262" s="34">
        <v>5570</v>
      </c>
      <c r="K262" s="34">
        <v>2190</v>
      </c>
      <c r="L262" s="35"/>
      <c r="M262" s="35"/>
      <c r="N262" s="35"/>
    </row>
    <row r="263" spans="1:14">
      <c r="A263" s="34">
        <v>2630</v>
      </c>
      <c r="B263" s="34">
        <v>2640</v>
      </c>
      <c r="C263" s="34">
        <f t="shared" si="4"/>
        <v>2630000</v>
      </c>
      <c r="D263" s="34">
        <v>52760</v>
      </c>
      <c r="E263" s="34">
        <v>35260</v>
      </c>
      <c r="F263" s="34">
        <v>19580</v>
      </c>
      <c r="G263" s="34">
        <v>15910</v>
      </c>
      <c r="H263" s="34">
        <v>12530</v>
      </c>
      <c r="I263" s="34">
        <v>9160</v>
      </c>
      <c r="J263" s="34">
        <v>5780</v>
      </c>
      <c r="K263" s="34">
        <v>2410</v>
      </c>
      <c r="L263" s="35"/>
      <c r="M263" s="35"/>
      <c r="N263" s="35"/>
    </row>
    <row r="264" spans="1:14">
      <c r="A264" s="34">
        <v>2640</v>
      </c>
      <c r="B264" s="34">
        <v>2650</v>
      </c>
      <c r="C264" s="34">
        <f t="shared" si="4"/>
        <v>2640000</v>
      </c>
      <c r="D264" s="34">
        <v>53610</v>
      </c>
      <c r="E264" s="34">
        <v>36110</v>
      </c>
      <c r="F264" s="34">
        <v>19910</v>
      </c>
      <c r="G264" s="34">
        <v>16120</v>
      </c>
      <c r="H264" s="34">
        <v>12740</v>
      </c>
      <c r="I264" s="34">
        <v>9370</v>
      </c>
      <c r="J264" s="34">
        <v>5990</v>
      </c>
      <c r="K264" s="34">
        <v>2620</v>
      </c>
      <c r="L264" s="35"/>
      <c r="M264" s="35"/>
      <c r="N264" s="35"/>
    </row>
    <row r="265" spans="1:14">
      <c r="A265" s="34">
        <v>2650</v>
      </c>
      <c r="B265" s="34">
        <v>2660</v>
      </c>
      <c r="C265" s="34">
        <f t="shared" si="4"/>
        <v>2650000</v>
      </c>
      <c r="D265" s="34">
        <v>54470</v>
      </c>
      <c r="E265" s="34">
        <v>36970</v>
      </c>
      <c r="F265" s="34">
        <v>20240</v>
      </c>
      <c r="G265" s="34">
        <v>16330</v>
      </c>
      <c r="H265" s="34">
        <v>12960</v>
      </c>
      <c r="I265" s="34">
        <v>9580</v>
      </c>
      <c r="J265" s="34">
        <v>6210</v>
      </c>
      <c r="K265" s="34">
        <v>2830</v>
      </c>
      <c r="L265" s="35"/>
      <c r="M265" s="35"/>
      <c r="N265" s="35"/>
    </row>
    <row r="266" spans="1:14">
      <c r="A266" s="34">
        <v>2660</v>
      </c>
      <c r="B266" s="34">
        <v>2670</v>
      </c>
      <c r="C266" s="34">
        <f t="shared" si="4"/>
        <v>2660000</v>
      </c>
      <c r="D266" s="34">
        <v>55320</v>
      </c>
      <c r="E266" s="34">
        <v>37820</v>
      </c>
      <c r="F266" s="34">
        <v>20570</v>
      </c>
      <c r="G266" s="34">
        <v>16540</v>
      </c>
      <c r="H266" s="34">
        <v>13170</v>
      </c>
      <c r="I266" s="34">
        <v>9790</v>
      </c>
      <c r="J266" s="34">
        <v>6420</v>
      </c>
      <c r="K266" s="34">
        <v>3040</v>
      </c>
      <c r="L266" s="35"/>
      <c r="M266" s="35"/>
      <c r="N266" s="35"/>
    </row>
    <row r="267" spans="1:14">
      <c r="A267" s="34">
        <v>2670</v>
      </c>
      <c r="B267" s="34">
        <v>2680</v>
      </c>
      <c r="C267" s="34">
        <f t="shared" si="4"/>
        <v>2670000</v>
      </c>
      <c r="D267" s="34">
        <v>56180</v>
      </c>
      <c r="E267" s="34">
        <v>38680</v>
      </c>
      <c r="F267" s="34">
        <v>20900</v>
      </c>
      <c r="G267" s="34">
        <v>16750</v>
      </c>
      <c r="H267" s="34">
        <v>13380</v>
      </c>
      <c r="I267" s="34">
        <v>10000</v>
      </c>
      <c r="J267" s="34">
        <v>6630</v>
      </c>
      <c r="K267" s="34">
        <v>3250</v>
      </c>
      <c r="L267" s="35"/>
      <c r="M267" s="35"/>
      <c r="N267" s="35"/>
    </row>
    <row r="268" spans="1:14">
      <c r="A268" s="34">
        <v>2680</v>
      </c>
      <c r="B268" s="34">
        <v>2690</v>
      </c>
      <c r="C268" s="34">
        <f t="shared" si="4"/>
        <v>2680000</v>
      </c>
      <c r="D268" s="34">
        <v>57040</v>
      </c>
      <c r="E268" s="34">
        <v>39540</v>
      </c>
      <c r="F268" s="34">
        <v>21230</v>
      </c>
      <c r="G268" s="34">
        <v>16970</v>
      </c>
      <c r="H268" s="34">
        <v>13590</v>
      </c>
      <c r="I268" s="34">
        <v>10220</v>
      </c>
      <c r="J268" s="34">
        <v>6840</v>
      </c>
      <c r="K268" s="34">
        <v>3470</v>
      </c>
      <c r="L268" s="35"/>
      <c r="M268" s="35"/>
      <c r="N268" s="35"/>
    </row>
    <row r="269" spans="1:14">
      <c r="A269" s="34">
        <v>2690</v>
      </c>
      <c r="B269" s="34">
        <v>2700</v>
      </c>
      <c r="C269" s="34">
        <f t="shared" si="4"/>
        <v>2690000</v>
      </c>
      <c r="D269" s="34">
        <v>57890</v>
      </c>
      <c r="E269" s="34">
        <v>40390</v>
      </c>
      <c r="F269" s="34">
        <v>21560</v>
      </c>
      <c r="G269" s="34">
        <v>17180</v>
      </c>
      <c r="H269" s="34">
        <v>13800</v>
      </c>
      <c r="I269" s="34">
        <v>10430</v>
      </c>
      <c r="J269" s="34">
        <v>7050</v>
      </c>
      <c r="K269" s="34">
        <v>3680</v>
      </c>
      <c r="L269" s="35"/>
      <c r="M269" s="35"/>
      <c r="N269" s="35"/>
    </row>
    <row r="270" spans="1:14">
      <c r="A270" s="34">
        <v>2700</v>
      </c>
      <c r="B270" s="34">
        <v>2710</v>
      </c>
      <c r="C270" s="34">
        <f t="shared" si="4"/>
        <v>2700000</v>
      </c>
      <c r="D270" s="34">
        <v>58750</v>
      </c>
      <c r="E270" s="34">
        <v>41250</v>
      </c>
      <c r="F270" s="34">
        <v>21890</v>
      </c>
      <c r="G270" s="34">
        <v>17390</v>
      </c>
      <c r="H270" s="34">
        <v>14020</v>
      </c>
      <c r="I270" s="34">
        <v>10640</v>
      </c>
      <c r="J270" s="34">
        <v>7270</v>
      </c>
      <c r="K270" s="34">
        <v>3890</v>
      </c>
      <c r="L270" s="35"/>
      <c r="M270" s="35"/>
      <c r="N270" s="35"/>
    </row>
    <row r="271" spans="1:14">
      <c r="A271" s="34">
        <v>2710</v>
      </c>
      <c r="B271" s="34">
        <v>2720</v>
      </c>
      <c r="C271" s="34">
        <f t="shared" si="4"/>
        <v>2710000</v>
      </c>
      <c r="D271" s="34">
        <v>59600</v>
      </c>
      <c r="E271" s="34">
        <v>42100</v>
      </c>
      <c r="F271" s="34">
        <v>22220</v>
      </c>
      <c r="G271" s="34">
        <v>17600</v>
      </c>
      <c r="H271" s="34">
        <v>14230</v>
      </c>
      <c r="I271" s="34">
        <v>10850</v>
      </c>
      <c r="J271" s="34">
        <v>7480</v>
      </c>
      <c r="K271" s="34">
        <v>4100</v>
      </c>
      <c r="L271" s="35"/>
      <c r="M271" s="35"/>
      <c r="N271" s="35"/>
    </row>
    <row r="272" spans="1:14">
      <c r="A272" s="34">
        <v>2720</v>
      </c>
      <c r="B272" s="34">
        <v>2730</v>
      </c>
      <c r="C272" s="34">
        <f t="shared" si="4"/>
        <v>2720000</v>
      </c>
      <c r="D272" s="34">
        <v>60460</v>
      </c>
      <c r="E272" s="34">
        <v>42960</v>
      </c>
      <c r="F272" s="34">
        <v>22550</v>
      </c>
      <c r="G272" s="34">
        <v>17810</v>
      </c>
      <c r="H272" s="34">
        <v>14440</v>
      </c>
      <c r="I272" s="34">
        <v>11060</v>
      </c>
      <c r="J272" s="34">
        <v>7690</v>
      </c>
      <c r="K272" s="34">
        <v>4310</v>
      </c>
      <c r="L272" s="35"/>
      <c r="M272" s="35"/>
      <c r="N272" s="35"/>
    </row>
    <row r="273" spans="1:14">
      <c r="A273" s="34">
        <v>2730</v>
      </c>
      <c r="B273" s="34">
        <v>2740</v>
      </c>
      <c r="C273" s="34">
        <f t="shared" si="4"/>
        <v>2730000</v>
      </c>
      <c r="D273" s="34">
        <v>61310</v>
      </c>
      <c r="E273" s="34">
        <v>43810</v>
      </c>
      <c r="F273" s="34">
        <v>22880</v>
      </c>
      <c r="G273" s="34">
        <v>18030</v>
      </c>
      <c r="H273" s="34">
        <v>14650</v>
      </c>
      <c r="I273" s="34">
        <v>11280</v>
      </c>
      <c r="J273" s="34">
        <v>7900</v>
      </c>
      <c r="K273" s="34">
        <v>4530</v>
      </c>
      <c r="L273" s="34">
        <v>1150</v>
      </c>
      <c r="M273" s="35"/>
      <c r="N273" s="35"/>
    </row>
    <row r="274" spans="1:14">
      <c r="A274" s="34">
        <v>2740</v>
      </c>
      <c r="B274" s="34">
        <v>2750</v>
      </c>
      <c r="C274" s="34">
        <f t="shared" si="4"/>
        <v>2740000</v>
      </c>
      <c r="D274" s="34">
        <v>62170</v>
      </c>
      <c r="E274" s="34">
        <v>44670</v>
      </c>
      <c r="F274" s="34">
        <v>23210</v>
      </c>
      <c r="G274" s="34">
        <v>18240</v>
      </c>
      <c r="H274" s="34">
        <v>14860</v>
      </c>
      <c r="I274" s="34">
        <v>11490</v>
      </c>
      <c r="J274" s="34">
        <v>8110</v>
      </c>
      <c r="K274" s="34">
        <v>4740</v>
      </c>
      <c r="L274" s="34">
        <v>1360</v>
      </c>
      <c r="M274" s="35"/>
      <c r="N274" s="35"/>
    </row>
    <row r="275" spans="1:14">
      <c r="A275" s="34">
        <v>2750</v>
      </c>
      <c r="B275" s="34">
        <v>2760</v>
      </c>
      <c r="C275" s="34">
        <f t="shared" si="4"/>
        <v>2750000</v>
      </c>
      <c r="D275" s="34">
        <v>63030</v>
      </c>
      <c r="E275" s="34">
        <v>45530</v>
      </c>
      <c r="F275" s="34">
        <v>23540</v>
      </c>
      <c r="G275" s="34">
        <v>18450</v>
      </c>
      <c r="H275" s="34">
        <v>15070</v>
      </c>
      <c r="I275" s="34">
        <v>11700</v>
      </c>
      <c r="J275" s="34">
        <v>8320</v>
      </c>
      <c r="K275" s="34">
        <v>4950</v>
      </c>
      <c r="L275" s="34">
        <v>1570</v>
      </c>
      <c r="M275" s="35"/>
      <c r="N275" s="35"/>
    </row>
    <row r="276" spans="1:14">
      <c r="A276" s="34">
        <v>2760</v>
      </c>
      <c r="B276" s="34">
        <v>2770</v>
      </c>
      <c r="C276" s="34">
        <f t="shared" si="4"/>
        <v>2760000</v>
      </c>
      <c r="D276" s="34">
        <v>63880</v>
      </c>
      <c r="E276" s="34">
        <v>46380</v>
      </c>
      <c r="F276" s="34">
        <v>23870</v>
      </c>
      <c r="G276" s="34">
        <v>18660</v>
      </c>
      <c r="H276" s="34">
        <v>15290</v>
      </c>
      <c r="I276" s="34">
        <v>11910</v>
      </c>
      <c r="J276" s="34">
        <v>8540</v>
      </c>
      <c r="K276" s="34">
        <v>5160</v>
      </c>
      <c r="L276" s="34">
        <v>1790</v>
      </c>
      <c r="M276" s="35"/>
      <c r="N276" s="35"/>
    </row>
    <row r="277" spans="1:14">
      <c r="A277" s="34">
        <v>2770</v>
      </c>
      <c r="B277" s="34">
        <v>2780</v>
      </c>
      <c r="C277" s="34">
        <f t="shared" si="4"/>
        <v>2770000</v>
      </c>
      <c r="D277" s="34">
        <v>64740</v>
      </c>
      <c r="E277" s="34">
        <v>47240</v>
      </c>
      <c r="F277" s="34">
        <v>24200</v>
      </c>
      <c r="G277" s="34">
        <v>18950</v>
      </c>
      <c r="H277" s="34">
        <v>15500</v>
      </c>
      <c r="I277" s="34">
        <v>12120</v>
      </c>
      <c r="J277" s="34">
        <v>8750</v>
      </c>
      <c r="K277" s="34">
        <v>5370</v>
      </c>
      <c r="L277" s="34">
        <v>2000</v>
      </c>
      <c r="M277" s="35"/>
      <c r="N277" s="35"/>
    </row>
    <row r="278" spans="1:14">
      <c r="A278" s="34">
        <v>2780</v>
      </c>
      <c r="B278" s="34">
        <v>2790</v>
      </c>
      <c r="C278" s="34">
        <f t="shared" si="4"/>
        <v>2780000</v>
      </c>
      <c r="D278" s="34">
        <v>65590</v>
      </c>
      <c r="E278" s="34">
        <v>48090</v>
      </c>
      <c r="F278" s="34">
        <v>24520</v>
      </c>
      <c r="G278" s="34">
        <v>19270</v>
      </c>
      <c r="H278" s="34">
        <v>15710</v>
      </c>
      <c r="I278" s="34">
        <v>12340</v>
      </c>
      <c r="J278" s="34">
        <v>8960</v>
      </c>
      <c r="K278" s="34">
        <v>5590</v>
      </c>
      <c r="L278" s="34">
        <v>2210</v>
      </c>
      <c r="M278" s="35"/>
      <c r="N278" s="35"/>
    </row>
    <row r="279" spans="1:14">
      <c r="A279" s="34">
        <v>2790</v>
      </c>
      <c r="B279" s="34">
        <v>2800</v>
      </c>
      <c r="C279" s="34">
        <f t="shared" si="4"/>
        <v>2790000</v>
      </c>
      <c r="D279" s="34">
        <v>66450</v>
      </c>
      <c r="E279" s="34">
        <v>48950</v>
      </c>
      <c r="F279" s="34">
        <v>24850</v>
      </c>
      <c r="G279" s="34">
        <v>19600</v>
      </c>
      <c r="H279" s="34">
        <v>15920</v>
      </c>
      <c r="I279" s="34">
        <v>12550</v>
      </c>
      <c r="J279" s="34">
        <v>9170</v>
      </c>
      <c r="K279" s="34">
        <v>5800</v>
      </c>
      <c r="L279" s="34">
        <v>2420</v>
      </c>
      <c r="M279" s="35"/>
      <c r="N279" s="35"/>
    </row>
    <row r="280" spans="1:14">
      <c r="A280" s="34">
        <v>2800</v>
      </c>
      <c r="B280" s="34">
        <v>2810</v>
      </c>
      <c r="C280" s="34">
        <f t="shared" si="4"/>
        <v>2800000</v>
      </c>
      <c r="D280" s="34">
        <v>67300</v>
      </c>
      <c r="E280" s="34">
        <v>49800</v>
      </c>
      <c r="F280" s="34">
        <v>25180</v>
      </c>
      <c r="G280" s="34">
        <v>19930</v>
      </c>
      <c r="H280" s="34">
        <v>16130</v>
      </c>
      <c r="I280" s="34">
        <v>12760</v>
      </c>
      <c r="J280" s="34">
        <v>9380</v>
      </c>
      <c r="K280" s="34">
        <v>6010</v>
      </c>
      <c r="L280" s="34">
        <v>2630</v>
      </c>
      <c r="M280" s="35"/>
      <c r="N280" s="35"/>
    </row>
    <row r="281" spans="1:14">
      <c r="A281" s="34">
        <v>2810</v>
      </c>
      <c r="B281" s="34">
        <v>2820</v>
      </c>
      <c r="C281" s="34">
        <f t="shared" si="4"/>
        <v>2810000</v>
      </c>
      <c r="D281" s="34">
        <v>68160</v>
      </c>
      <c r="E281" s="34">
        <v>50660</v>
      </c>
      <c r="F281" s="34">
        <v>25510</v>
      </c>
      <c r="G281" s="34">
        <v>20260</v>
      </c>
      <c r="H281" s="34">
        <v>16350</v>
      </c>
      <c r="I281" s="34">
        <v>12970</v>
      </c>
      <c r="J281" s="34">
        <v>9600</v>
      </c>
      <c r="K281" s="34">
        <v>6220</v>
      </c>
      <c r="L281" s="34">
        <v>2850</v>
      </c>
      <c r="M281" s="35"/>
      <c r="N281" s="35"/>
    </row>
    <row r="282" spans="1:14">
      <c r="A282" s="34">
        <v>2820</v>
      </c>
      <c r="B282" s="34">
        <v>2830</v>
      </c>
      <c r="C282" s="34">
        <f t="shared" si="4"/>
        <v>2820000</v>
      </c>
      <c r="D282" s="34">
        <v>69020</v>
      </c>
      <c r="E282" s="34">
        <v>51520</v>
      </c>
      <c r="F282" s="34">
        <v>25840</v>
      </c>
      <c r="G282" s="34">
        <v>20590</v>
      </c>
      <c r="H282" s="34">
        <v>16560</v>
      </c>
      <c r="I282" s="34">
        <v>13180</v>
      </c>
      <c r="J282" s="34">
        <v>9810</v>
      </c>
      <c r="K282" s="34">
        <v>6430</v>
      </c>
      <c r="L282" s="34">
        <v>3060</v>
      </c>
      <c r="M282" s="35"/>
      <c r="N282" s="35"/>
    </row>
    <row r="283" spans="1:14">
      <c r="A283" s="34">
        <v>2830</v>
      </c>
      <c r="B283" s="34">
        <v>2840</v>
      </c>
      <c r="C283" s="34">
        <f t="shared" si="4"/>
        <v>2830000</v>
      </c>
      <c r="D283" s="34">
        <v>69870</v>
      </c>
      <c r="E283" s="34">
        <v>52370</v>
      </c>
      <c r="F283" s="34">
        <v>26170</v>
      </c>
      <c r="G283" s="34">
        <v>20920</v>
      </c>
      <c r="H283" s="34">
        <v>16770</v>
      </c>
      <c r="I283" s="34">
        <v>13400</v>
      </c>
      <c r="J283" s="34">
        <v>10020</v>
      </c>
      <c r="K283" s="34">
        <v>6650</v>
      </c>
      <c r="L283" s="34">
        <v>3270</v>
      </c>
      <c r="M283" s="35"/>
      <c r="N283" s="35"/>
    </row>
    <row r="284" spans="1:14">
      <c r="A284" s="34">
        <v>2840</v>
      </c>
      <c r="B284" s="34">
        <v>2850</v>
      </c>
      <c r="C284" s="34">
        <f t="shared" si="4"/>
        <v>2840000</v>
      </c>
      <c r="D284" s="34">
        <v>70730</v>
      </c>
      <c r="E284" s="34">
        <v>53230</v>
      </c>
      <c r="F284" s="34">
        <v>26500</v>
      </c>
      <c r="G284" s="34">
        <v>21250</v>
      </c>
      <c r="H284" s="34">
        <v>16980</v>
      </c>
      <c r="I284" s="34">
        <v>13610</v>
      </c>
      <c r="J284" s="34">
        <v>10230</v>
      </c>
      <c r="K284" s="34">
        <v>6860</v>
      </c>
      <c r="L284" s="34">
        <v>3480</v>
      </c>
      <c r="M284" s="35"/>
      <c r="N284" s="35"/>
    </row>
    <row r="285" spans="1:14">
      <c r="A285" s="34">
        <v>2850</v>
      </c>
      <c r="B285" s="34">
        <v>2860</v>
      </c>
      <c r="C285" s="34">
        <f t="shared" si="4"/>
        <v>2850000</v>
      </c>
      <c r="D285" s="34">
        <v>71580</v>
      </c>
      <c r="E285" s="34">
        <v>54080</v>
      </c>
      <c r="F285" s="34">
        <v>26830</v>
      </c>
      <c r="G285" s="34">
        <v>21580</v>
      </c>
      <c r="H285" s="34">
        <v>17190</v>
      </c>
      <c r="I285" s="34">
        <v>13820</v>
      </c>
      <c r="J285" s="34">
        <v>10440</v>
      </c>
      <c r="K285" s="34">
        <v>7070</v>
      </c>
      <c r="L285" s="34">
        <v>3690</v>
      </c>
      <c r="M285" s="35"/>
      <c r="N285" s="35"/>
    </row>
    <row r="286" spans="1:14">
      <c r="A286" s="34">
        <v>2860</v>
      </c>
      <c r="B286" s="34">
        <v>2870</v>
      </c>
      <c r="C286" s="34">
        <f t="shared" si="4"/>
        <v>2860000</v>
      </c>
      <c r="D286" s="34">
        <v>72440</v>
      </c>
      <c r="E286" s="34">
        <v>54940</v>
      </c>
      <c r="F286" s="34">
        <v>27160</v>
      </c>
      <c r="G286" s="34">
        <v>21910</v>
      </c>
      <c r="H286" s="34">
        <v>17410</v>
      </c>
      <c r="I286" s="34">
        <v>14030</v>
      </c>
      <c r="J286" s="34">
        <v>10660</v>
      </c>
      <c r="K286" s="34">
        <v>7280</v>
      </c>
      <c r="L286" s="34">
        <v>3910</v>
      </c>
      <c r="M286" s="35"/>
      <c r="N286" s="35"/>
    </row>
    <row r="287" spans="1:14">
      <c r="A287" s="34">
        <v>2870</v>
      </c>
      <c r="B287" s="34">
        <v>2880</v>
      </c>
      <c r="C287" s="34">
        <f t="shared" si="4"/>
        <v>2870000</v>
      </c>
      <c r="D287" s="34">
        <v>73290</v>
      </c>
      <c r="E287" s="34">
        <v>55790</v>
      </c>
      <c r="F287" s="34">
        <v>27490</v>
      </c>
      <c r="G287" s="34">
        <v>22240</v>
      </c>
      <c r="H287" s="34">
        <v>17620</v>
      </c>
      <c r="I287" s="34">
        <v>14240</v>
      </c>
      <c r="J287" s="34">
        <v>10870</v>
      </c>
      <c r="K287" s="34">
        <v>7490</v>
      </c>
      <c r="L287" s="34">
        <v>4120</v>
      </c>
      <c r="M287" s="35"/>
      <c r="N287" s="35"/>
    </row>
    <row r="288" spans="1:14">
      <c r="A288" s="34">
        <v>2880</v>
      </c>
      <c r="B288" s="34">
        <v>2890</v>
      </c>
      <c r="C288" s="34">
        <f t="shared" si="4"/>
        <v>2880000</v>
      </c>
      <c r="D288" s="34">
        <v>74150</v>
      </c>
      <c r="E288" s="34">
        <v>56650</v>
      </c>
      <c r="F288" s="34">
        <v>27820</v>
      </c>
      <c r="G288" s="34">
        <v>22570</v>
      </c>
      <c r="H288" s="34">
        <v>17830</v>
      </c>
      <c r="I288" s="34">
        <v>14460</v>
      </c>
      <c r="J288" s="34">
        <v>11080</v>
      </c>
      <c r="K288" s="34">
        <v>7710</v>
      </c>
      <c r="L288" s="34">
        <v>4330</v>
      </c>
      <c r="M288" s="35"/>
      <c r="N288" s="35"/>
    </row>
    <row r="289" spans="1:14">
      <c r="A289" s="34">
        <v>2890</v>
      </c>
      <c r="B289" s="34">
        <v>2900</v>
      </c>
      <c r="C289" s="34">
        <f t="shared" si="4"/>
        <v>2890000</v>
      </c>
      <c r="D289" s="34">
        <v>75010</v>
      </c>
      <c r="E289" s="34">
        <v>57510</v>
      </c>
      <c r="F289" s="34">
        <v>28150</v>
      </c>
      <c r="G289" s="34">
        <v>22900</v>
      </c>
      <c r="H289" s="34">
        <v>18040</v>
      </c>
      <c r="I289" s="34">
        <v>14670</v>
      </c>
      <c r="J289" s="34">
        <v>11290</v>
      </c>
      <c r="K289" s="34">
        <v>7920</v>
      </c>
      <c r="L289" s="34">
        <v>4540</v>
      </c>
      <c r="M289" s="34">
        <v>1170</v>
      </c>
      <c r="N289" s="35"/>
    </row>
    <row r="290" spans="1:14">
      <c r="A290" s="34">
        <v>2900</v>
      </c>
      <c r="B290" s="34">
        <v>2910</v>
      </c>
      <c r="C290" s="34">
        <f t="shared" si="4"/>
        <v>2900000</v>
      </c>
      <c r="D290" s="34">
        <v>75860</v>
      </c>
      <c r="E290" s="34">
        <v>58360</v>
      </c>
      <c r="F290" s="34">
        <v>28480</v>
      </c>
      <c r="G290" s="34">
        <v>23230</v>
      </c>
      <c r="H290" s="34">
        <v>18250</v>
      </c>
      <c r="I290" s="34">
        <v>14880</v>
      </c>
      <c r="J290" s="34">
        <v>11500</v>
      </c>
      <c r="K290" s="34">
        <v>8130</v>
      </c>
      <c r="L290" s="34">
        <v>4750</v>
      </c>
      <c r="M290" s="34">
        <v>1380</v>
      </c>
      <c r="N290" s="35"/>
    </row>
    <row r="291" spans="1:14">
      <c r="A291" s="34">
        <v>2910</v>
      </c>
      <c r="B291" s="34">
        <v>2920</v>
      </c>
      <c r="C291" s="34">
        <f t="shared" si="4"/>
        <v>2910000</v>
      </c>
      <c r="D291" s="34">
        <v>76720</v>
      </c>
      <c r="E291" s="34">
        <v>59220</v>
      </c>
      <c r="F291" s="34">
        <v>28810</v>
      </c>
      <c r="G291" s="34">
        <v>23560</v>
      </c>
      <c r="H291" s="34">
        <v>18470</v>
      </c>
      <c r="I291" s="34">
        <v>15090</v>
      </c>
      <c r="J291" s="34">
        <v>11720</v>
      </c>
      <c r="K291" s="34">
        <v>8340</v>
      </c>
      <c r="L291" s="34">
        <v>4970</v>
      </c>
      <c r="M291" s="34">
        <v>1590</v>
      </c>
      <c r="N291" s="35"/>
    </row>
    <row r="292" spans="1:14">
      <c r="A292" s="34">
        <v>2920</v>
      </c>
      <c r="B292" s="34">
        <v>2930</v>
      </c>
      <c r="C292" s="34">
        <f t="shared" si="4"/>
        <v>2920000</v>
      </c>
      <c r="D292" s="34">
        <v>77570</v>
      </c>
      <c r="E292" s="34">
        <v>60070</v>
      </c>
      <c r="F292" s="34">
        <v>29140</v>
      </c>
      <c r="G292" s="34">
        <v>23890</v>
      </c>
      <c r="H292" s="34">
        <v>18680</v>
      </c>
      <c r="I292" s="34">
        <v>15300</v>
      </c>
      <c r="J292" s="34">
        <v>11930</v>
      </c>
      <c r="K292" s="34">
        <v>8550</v>
      </c>
      <c r="L292" s="34">
        <v>5180</v>
      </c>
      <c r="M292" s="34">
        <v>1800</v>
      </c>
      <c r="N292" s="35"/>
    </row>
    <row r="293" spans="1:14">
      <c r="A293" s="34">
        <v>2930</v>
      </c>
      <c r="B293" s="34">
        <v>2940</v>
      </c>
      <c r="C293" s="34">
        <f t="shared" si="4"/>
        <v>2930000</v>
      </c>
      <c r="D293" s="34">
        <v>78430</v>
      </c>
      <c r="E293" s="34">
        <v>60930</v>
      </c>
      <c r="F293" s="34">
        <v>29470</v>
      </c>
      <c r="G293" s="34">
        <v>24220</v>
      </c>
      <c r="H293" s="34">
        <v>18970</v>
      </c>
      <c r="I293" s="34">
        <v>15510</v>
      </c>
      <c r="J293" s="34">
        <v>12140</v>
      </c>
      <c r="K293" s="34">
        <v>8760</v>
      </c>
      <c r="L293" s="34">
        <v>5390</v>
      </c>
      <c r="M293" s="34">
        <v>2010</v>
      </c>
      <c r="N293" s="35"/>
    </row>
    <row r="294" spans="1:14">
      <c r="A294" s="34">
        <v>2940</v>
      </c>
      <c r="B294" s="34">
        <v>2950</v>
      </c>
      <c r="C294" s="34">
        <f t="shared" si="4"/>
        <v>2940000</v>
      </c>
      <c r="D294" s="34">
        <v>79280</v>
      </c>
      <c r="E294" s="34">
        <v>61780</v>
      </c>
      <c r="F294" s="34">
        <v>29800</v>
      </c>
      <c r="G294" s="34">
        <v>24550</v>
      </c>
      <c r="H294" s="34">
        <v>19300</v>
      </c>
      <c r="I294" s="34">
        <v>15730</v>
      </c>
      <c r="J294" s="34">
        <v>12350</v>
      </c>
      <c r="K294" s="34">
        <v>8980</v>
      </c>
      <c r="L294" s="34">
        <v>5600</v>
      </c>
      <c r="M294" s="34">
        <v>2230</v>
      </c>
      <c r="N294" s="35"/>
    </row>
    <row r="295" spans="1:14">
      <c r="A295" s="34">
        <v>2950</v>
      </c>
      <c r="B295" s="34">
        <v>2960</v>
      </c>
      <c r="C295" s="34">
        <f t="shared" si="4"/>
        <v>2950000</v>
      </c>
      <c r="D295" s="34">
        <v>80140</v>
      </c>
      <c r="E295" s="34">
        <v>62640</v>
      </c>
      <c r="F295" s="34">
        <v>30130</v>
      </c>
      <c r="G295" s="34">
        <v>24880</v>
      </c>
      <c r="H295" s="34">
        <v>19630</v>
      </c>
      <c r="I295" s="34">
        <v>15940</v>
      </c>
      <c r="J295" s="34">
        <v>12560</v>
      </c>
      <c r="K295" s="34">
        <v>9190</v>
      </c>
      <c r="L295" s="34">
        <v>5810</v>
      </c>
      <c r="M295" s="34">
        <v>2440</v>
      </c>
      <c r="N295" s="35"/>
    </row>
    <row r="296" spans="1:14">
      <c r="A296" s="34">
        <v>2960</v>
      </c>
      <c r="B296" s="34">
        <v>2970</v>
      </c>
      <c r="C296" s="34">
        <f t="shared" si="4"/>
        <v>2960000</v>
      </c>
      <c r="D296" s="34">
        <v>81000</v>
      </c>
      <c r="E296" s="34">
        <v>63500</v>
      </c>
      <c r="F296" s="34">
        <v>30460</v>
      </c>
      <c r="G296" s="34">
        <v>25210</v>
      </c>
      <c r="H296" s="34">
        <v>19960</v>
      </c>
      <c r="I296" s="34">
        <v>16150</v>
      </c>
      <c r="J296" s="34">
        <v>12780</v>
      </c>
      <c r="K296" s="34">
        <v>9400</v>
      </c>
      <c r="L296" s="34">
        <v>6030</v>
      </c>
      <c r="M296" s="34">
        <v>2650</v>
      </c>
      <c r="N296" s="35"/>
    </row>
    <row r="297" spans="1:14">
      <c r="A297" s="34">
        <v>2970</v>
      </c>
      <c r="B297" s="34">
        <v>2980</v>
      </c>
      <c r="C297" s="34">
        <f t="shared" si="4"/>
        <v>2970000</v>
      </c>
      <c r="D297" s="34">
        <v>81850</v>
      </c>
      <c r="E297" s="34">
        <v>64350</v>
      </c>
      <c r="F297" s="34">
        <v>30790</v>
      </c>
      <c r="G297" s="34">
        <v>25540</v>
      </c>
      <c r="H297" s="34">
        <v>20290</v>
      </c>
      <c r="I297" s="34">
        <v>16360</v>
      </c>
      <c r="J297" s="34">
        <v>12990</v>
      </c>
      <c r="K297" s="34">
        <v>9610</v>
      </c>
      <c r="L297" s="34">
        <v>6240</v>
      </c>
      <c r="M297" s="34">
        <v>2860</v>
      </c>
      <c r="N297" s="35"/>
    </row>
    <row r="298" spans="1:14">
      <c r="A298" s="34">
        <v>2980</v>
      </c>
      <c r="B298" s="34">
        <v>2990</v>
      </c>
      <c r="C298" s="34">
        <f t="shared" si="4"/>
        <v>2980000</v>
      </c>
      <c r="D298" s="34">
        <v>82710</v>
      </c>
      <c r="E298" s="34">
        <v>65210</v>
      </c>
      <c r="F298" s="34">
        <v>31120</v>
      </c>
      <c r="G298" s="34">
        <v>25870</v>
      </c>
      <c r="H298" s="34">
        <v>20620</v>
      </c>
      <c r="I298" s="34">
        <v>16570</v>
      </c>
      <c r="J298" s="34">
        <v>13200</v>
      </c>
      <c r="K298" s="34">
        <v>9820</v>
      </c>
      <c r="L298" s="34">
        <v>6450</v>
      </c>
      <c r="M298" s="34">
        <v>3070</v>
      </c>
      <c r="N298" s="35"/>
    </row>
    <row r="299" spans="1:14">
      <c r="A299" s="34">
        <v>2990</v>
      </c>
      <c r="B299" s="34">
        <v>3000</v>
      </c>
      <c r="C299" s="34">
        <f t="shared" si="4"/>
        <v>2990000</v>
      </c>
      <c r="D299" s="34">
        <v>83560</v>
      </c>
      <c r="E299" s="34">
        <v>66060</v>
      </c>
      <c r="F299" s="34">
        <v>31450</v>
      </c>
      <c r="G299" s="34">
        <v>26200</v>
      </c>
      <c r="H299" s="34">
        <v>20950</v>
      </c>
      <c r="I299" s="34">
        <v>16790</v>
      </c>
      <c r="J299" s="34">
        <v>13410</v>
      </c>
      <c r="K299" s="34">
        <v>10040</v>
      </c>
      <c r="L299" s="34">
        <v>6660</v>
      </c>
      <c r="M299" s="34">
        <v>3290</v>
      </c>
      <c r="N299" s="35"/>
    </row>
    <row r="300" spans="1:14">
      <c r="A300" s="34">
        <v>3000</v>
      </c>
      <c r="B300" s="34">
        <v>3020</v>
      </c>
      <c r="C300" s="34">
        <f t="shared" si="4"/>
        <v>3000000</v>
      </c>
      <c r="D300" s="34">
        <v>84850</v>
      </c>
      <c r="E300" s="34">
        <v>67350</v>
      </c>
      <c r="F300" s="34">
        <v>32490</v>
      </c>
      <c r="G300" s="34">
        <v>26690</v>
      </c>
      <c r="H300" s="34">
        <v>21440</v>
      </c>
      <c r="I300" s="34">
        <v>17100</v>
      </c>
      <c r="J300" s="34">
        <v>13730</v>
      </c>
      <c r="K300" s="34">
        <v>10350</v>
      </c>
      <c r="L300" s="34">
        <v>6980</v>
      </c>
      <c r="M300" s="34">
        <v>3600</v>
      </c>
      <c r="N300" s="35"/>
    </row>
    <row r="301" spans="1:14">
      <c r="A301" s="34">
        <v>3020</v>
      </c>
      <c r="B301" s="34">
        <v>3040</v>
      </c>
      <c r="C301" s="34">
        <f t="shared" si="4"/>
        <v>3020000</v>
      </c>
      <c r="D301" s="34">
        <v>86560</v>
      </c>
      <c r="E301" s="34">
        <v>69060</v>
      </c>
      <c r="F301" s="34">
        <v>34140</v>
      </c>
      <c r="G301" s="34">
        <v>27350</v>
      </c>
      <c r="H301" s="34">
        <v>22100</v>
      </c>
      <c r="I301" s="34">
        <v>17530</v>
      </c>
      <c r="J301" s="34">
        <v>14150</v>
      </c>
      <c r="K301" s="34">
        <v>10780</v>
      </c>
      <c r="L301" s="34">
        <v>7400</v>
      </c>
      <c r="M301" s="34">
        <v>4030</v>
      </c>
      <c r="N301" s="35"/>
    </row>
    <row r="302" spans="1:14">
      <c r="A302" s="34">
        <v>3040</v>
      </c>
      <c r="B302" s="34">
        <v>3060</v>
      </c>
      <c r="C302" s="34">
        <f t="shared" si="4"/>
        <v>3040000</v>
      </c>
      <c r="D302" s="34">
        <v>88270</v>
      </c>
      <c r="E302" s="34">
        <v>70770</v>
      </c>
      <c r="F302" s="34">
        <v>35790</v>
      </c>
      <c r="G302" s="34">
        <v>28010</v>
      </c>
      <c r="H302" s="34">
        <v>22760</v>
      </c>
      <c r="I302" s="34">
        <v>17950</v>
      </c>
      <c r="J302" s="34">
        <v>14580</v>
      </c>
      <c r="K302" s="34">
        <v>11200</v>
      </c>
      <c r="L302" s="34">
        <v>7830</v>
      </c>
      <c r="M302" s="34">
        <v>4450</v>
      </c>
      <c r="N302" s="34">
        <v>1080</v>
      </c>
    </row>
    <row r="303" spans="1:14">
      <c r="A303" s="34">
        <v>3060</v>
      </c>
      <c r="B303" s="34">
        <v>3080</v>
      </c>
      <c r="C303" s="34">
        <f t="shared" si="4"/>
        <v>3060000</v>
      </c>
      <c r="D303" s="34">
        <v>89980</v>
      </c>
      <c r="E303" s="34">
        <v>72480</v>
      </c>
      <c r="F303" s="34">
        <v>37440</v>
      </c>
      <c r="G303" s="34">
        <v>28670</v>
      </c>
      <c r="H303" s="34">
        <v>23420</v>
      </c>
      <c r="I303" s="34">
        <v>18380</v>
      </c>
      <c r="J303" s="34">
        <v>15000</v>
      </c>
      <c r="K303" s="34">
        <v>11630</v>
      </c>
      <c r="L303" s="34">
        <v>8250</v>
      </c>
      <c r="M303" s="34">
        <v>4880</v>
      </c>
      <c r="N303" s="34">
        <v>1500</v>
      </c>
    </row>
    <row r="304" spans="1:14">
      <c r="A304" s="34">
        <v>3080</v>
      </c>
      <c r="B304" s="34">
        <v>3100</v>
      </c>
      <c r="C304" s="34">
        <f t="shared" si="4"/>
        <v>3080000</v>
      </c>
      <c r="D304" s="34">
        <v>91690</v>
      </c>
      <c r="E304" s="34">
        <v>74190</v>
      </c>
      <c r="F304" s="34">
        <v>39080</v>
      </c>
      <c r="G304" s="34">
        <v>29330</v>
      </c>
      <c r="H304" s="34">
        <v>24080</v>
      </c>
      <c r="I304" s="34">
        <v>18830</v>
      </c>
      <c r="J304" s="34">
        <v>15430</v>
      </c>
      <c r="K304" s="34">
        <v>12050</v>
      </c>
      <c r="L304" s="34">
        <v>8680</v>
      </c>
      <c r="M304" s="34">
        <v>5300</v>
      </c>
      <c r="N304" s="34">
        <v>1930</v>
      </c>
    </row>
    <row r="305" spans="1:14">
      <c r="A305" s="34">
        <v>3100</v>
      </c>
      <c r="B305" s="34">
        <v>3120</v>
      </c>
      <c r="C305" s="34">
        <f t="shared" si="4"/>
        <v>3100000</v>
      </c>
      <c r="D305" s="34">
        <v>93400</v>
      </c>
      <c r="E305" s="34">
        <v>75900</v>
      </c>
      <c r="F305" s="34">
        <v>40730</v>
      </c>
      <c r="G305" s="34">
        <v>29990</v>
      </c>
      <c r="H305" s="34">
        <v>24740</v>
      </c>
      <c r="I305" s="34">
        <v>19490</v>
      </c>
      <c r="J305" s="34">
        <v>15850</v>
      </c>
      <c r="K305" s="34">
        <v>12470</v>
      </c>
      <c r="L305" s="34">
        <v>9100</v>
      </c>
      <c r="M305" s="34">
        <v>5720</v>
      </c>
      <c r="N305" s="34">
        <v>2350</v>
      </c>
    </row>
    <row r="306" spans="1:14">
      <c r="A306" s="34">
        <v>3120</v>
      </c>
      <c r="B306" s="34">
        <v>3140</v>
      </c>
      <c r="C306" s="34">
        <f t="shared" si="4"/>
        <v>3120000</v>
      </c>
      <c r="D306" s="34">
        <v>95760</v>
      </c>
      <c r="E306" s="34">
        <v>77620</v>
      </c>
      <c r="F306" s="34">
        <v>42380</v>
      </c>
      <c r="G306" s="34">
        <v>30650</v>
      </c>
      <c r="H306" s="34">
        <v>25400</v>
      </c>
      <c r="I306" s="34">
        <v>20150</v>
      </c>
      <c r="J306" s="34">
        <v>16270</v>
      </c>
      <c r="K306" s="34">
        <v>12900</v>
      </c>
      <c r="L306" s="34">
        <v>9520</v>
      </c>
      <c r="M306" s="34">
        <v>6150</v>
      </c>
      <c r="N306" s="34">
        <v>2770</v>
      </c>
    </row>
    <row r="307" spans="1:14">
      <c r="A307" s="34">
        <v>3140</v>
      </c>
      <c r="B307" s="34">
        <v>3160</v>
      </c>
      <c r="C307" s="34">
        <f t="shared" si="4"/>
        <v>3140000</v>
      </c>
      <c r="D307" s="34">
        <v>98210</v>
      </c>
      <c r="E307" s="34">
        <v>79330</v>
      </c>
      <c r="F307" s="34">
        <v>44030</v>
      </c>
      <c r="G307" s="34">
        <v>31310</v>
      </c>
      <c r="H307" s="34">
        <v>26060</v>
      </c>
      <c r="I307" s="34">
        <v>20810</v>
      </c>
      <c r="J307" s="34">
        <v>16700</v>
      </c>
      <c r="K307" s="34">
        <v>13320</v>
      </c>
      <c r="L307" s="34">
        <v>9950</v>
      </c>
      <c r="M307" s="34">
        <v>6570</v>
      </c>
      <c r="N307" s="34">
        <v>3200</v>
      </c>
    </row>
    <row r="308" spans="1:14">
      <c r="A308" s="34">
        <v>3160</v>
      </c>
      <c r="B308" s="34">
        <v>3180</v>
      </c>
      <c r="C308" s="34">
        <f t="shared" si="4"/>
        <v>3160000</v>
      </c>
      <c r="D308" s="34">
        <v>100650</v>
      </c>
      <c r="E308" s="34">
        <v>81040</v>
      </c>
      <c r="F308" s="34">
        <v>45680</v>
      </c>
      <c r="G308" s="34">
        <v>32550</v>
      </c>
      <c r="H308" s="34">
        <v>26720</v>
      </c>
      <c r="I308" s="34">
        <v>21470</v>
      </c>
      <c r="J308" s="34">
        <v>17120</v>
      </c>
      <c r="K308" s="34">
        <v>13750</v>
      </c>
      <c r="L308" s="34">
        <v>10370</v>
      </c>
      <c r="M308" s="34">
        <v>7000</v>
      </c>
      <c r="N308" s="34">
        <v>3620</v>
      </c>
    </row>
    <row r="309" spans="1:14">
      <c r="A309" s="34">
        <v>3180</v>
      </c>
      <c r="B309" s="34">
        <v>3200</v>
      </c>
      <c r="C309" s="34">
        <f t="shared" si="4"/>
        <v>3180000</v>
      </c>
      <c r="D309" s="34">
        <v>103100</v>
      </c>
      <c r="E309" s="34">
        <v>82750</v>
      </c>
      <c r="F309" s="34">
        <v>47330</v>
      </c>
      <c r="G309" s="34">
        <v>34200</v>
      </c>
      <c r="H309" s="34">
        <v>27380</v>
      </c>
      <c r="I309" s="34">
        <v>22130</v>
      </c>
      <c r="J309" s="34">
        <v>17540</v>
      </c>
      <c r="K309" s="34">
        <v>14170</v>
      </c>
      <c r="L309" s="34">
        <v>10790</v>
      </c>
      <c r="M309" s="34">
        <v>7420</v>
      </c>
      <c r="N309" s="34">
        <v>4040</v>
      </c>
    </row>
    <row r="310" spans="1:14">
      <c r="A310" s="34">
        <v>3200</v>
      </c>
      <c r="B310" s="34">
        <v>3220</v>
      </c>
      <c r="C310" s="34">
        <f t="shared" si="4"/>
        <v>3200000</v>
      </c>
      <c r="D310" s="34">
        <v>105540</v>
      </c>
      <c r="E310" s="34">
        <v>84460</v>
      </c>
      <c r="F310" s="34">
        <v>48980</v>
      </c>
      <c r="G310" s="34">
        <v>35850</v>
      </c>
      <c r="H310" s="34">
        <v>28040</v>
      </c>
      <c r="I310" s="34">
        <v>22790</v>
      </c>
      <c r="J310" s="34">
        <v>17970</v>
      </c>
      <c r="K310" s="34">
        <v>14590</v>
      </c>
      <c r="L310" s="34">
        <v>11220</v>
      </c>
      <c r="M310" s="34">
        <v>7840</v>
      </c>
      <c r="N310" s="34">
        <v>4470</v>
      </c>
    </row>
    <row r="311" spans="1:14">
      <c r="A311" s="34">
        <v>3220</v>
      </c>
      <c r="B311" s="34">
        <v>3240</v>
      </c>
      <c r="C311" s="34">
        <f t="shared" si="4"/>
        <v>3220000</v>
      </c>
      <c r="D311" s="34">
        <v>107990</v>
      </c>
      <c r="E311" s="34">
        <v>86170</v>
      </c>
      <c r="F311" s="34">
        <v>50620</v>
      </c>
      <c r="G311" s="34">
        <v>37500</v>
      </c>
      <c r="H311" s="34">
        <v>28700</v>
      </c>
      <c r="I311" s="34">
        <v>23450</v>
      </c>
      <c r="J311" s="34">
        <v>18390</v>
      </c>
      <c r="K311" s="34">
        <v>15020</v>
      </c>
      <c r="L311" s="34">
        <v>11640</v>
      </c>
      <c r="M311" s="34">
        <v>8270</v>
      </c>
      <c r="N311" s="34">
        <v>4890</v>
      </c>
    </row>
    <row r="312" spans="1:14">
      <c r="A312" s="34">
        <v>3240</v>
      </c>
      <c r="B312" s="34">
        <v>3260</v>
      </c>
      <c r="C312" s="34">
        <f t="shared" si="4"/>
        <v>3240000</v>
      </c>
      <c r="D312" s="34">
        <v>110430</v>
      </c>
      <c r="E312" s="34">
        <v>87880</v>
      </c>
      <c r="F312" s="34">
        <v>52270</v>
      </c>
      <c r="G312" s="34">
        <v>39150</v>
      </c>
      <c r="H312" s="34">
        <v>29360</v>
      </c>
      <c r="I312" s="34">
        <v>24110</v>
      </c>
      <c r="J312" s="34">
        <v>18860</v>
      </c>
      <c r="K312" s="34">
        <v>15440</v>
      </c>
      <c r="L312" s="34">
        <v>12070</v>
      </c>
      <c r="M312" s="34">
        <v>8690</v>
      </c>
      <c r="N312" s="34">
        <v>5320</v>
      </c>
    </row>
    <row r="313" spans="1:14">
      <c r="A313" s="34">
        <v>3260</v>
      </c>
      <c r="B313" s="34">
        <v>3280</v>
      </c>
      <c r="C313" s="34">
        <f t="shared" si="4"/>
        <v>3260000</v>
      </c>
      <c r="D313" s="34">
        <v>112880</v>
      </c>
      <c r="E313" s="34">
        <v>89600</v>
      </c>
      <c r="F313" s="34">
        <v>53920</v>
      </c>
      <c r="G313" s="34">
        <v>40800</v>
      </c>
      <c r="H313" s="34">
        <v>30020</v>
      </c>
      <c r="I313" s="34">
        <v>24770</v>
      </c>
      <c r="J313" s="34">
        <v>19520</v>
      </c>
      <c r="K313" s="34">
        <v>15870</v>
      </c>
      <c r="L313" s="34">
        <v>12490</v>
      </c>
      <c r="M313" s="34">
        <v>9120</v>
      </c>
      <c r="N313" s="34">
        <v>5740</v>
      </c>
    </row>
    <row r="314" spans="1:14">
      <c r="A314" s="34">
        <v>3280</v>
      </c>
      <c r="B314" s="34">
        <v>3300</v>
      </c>
      <c r="C314" s="34">
        <f t="shared" si="4"/>
        <v>3280000</v>
      </c>
      <c r="D314" s="34">
        <v>115320</v>
      </c>
      <c r="E314" s="34">
        <v>91310</v>
      </c>
      <c r="F314" s="34">
        <v>55570</v>
      </c>
      <c r="G314" s="34">
        <v>42440</v>
      </c>
      <c r="H314" s="34">
        <v>30670</v>
      </c>
      <c r="I314" s="34">
        <v>25420</v>
      </c>
      <c r="J314" s="34">
        <v>20170</v>
      </c>
      <c r="K314" s="34">
        <v>16290</v>
      </c>
      <c r="L314" s="34">
        <v>12910</v>
      </c>
      <c r="M314" s="34">
        <v>9540</v>
      </c>
      <c r="N314" s="34">
        <v>6160</v>
      </c>
    </row>
    <row r="315" spans="1:14">
      <c r="A315" s="34">
        <v>3300</v>
      </c>
      <c r="B315" s="34">
        <v>3320</v>
      </c>
      <c r="C315" s="34">
        <f t="shared" si="4"/>
        <v>3300000</v>
      </c>
      <c r="D315" s="34">
        <v>117770</v>
      </c>
      <c r="E315" s="34">
        <v>93020</v>
      </c>
      <c r="F315" s="34">
        <v>57220</v>
      </c>
      <c r="G315" s="34">
        <v>44090</v>
      </c>
      <c r="H315" s="34">
        <v>31330</v>
      </c>
      <c r="I315" s="34">
        <v>26080</v>
      </c>
      <c r="J315" s="34">
        <v>20830</v>
      </c>
      <c r="K315" s="34">
        <v>16710</v>
      </c>
      <c r="L315" s="34">
        <v>13340</v>
      </c>
      <c r="M315" s="34">
        <v>9960</v>
      </c>
      <c r="N315" s="34">
        <v>6590</v>
      </c>
    </row>
    <row r="316" spans="1:14">
      <c r="A316" s="34">
        <v>3320</v>
      </c>
      <c r="B316" s="34">
        <v>3340</v>
      </c>
      <c r="C316" s="34">
        <f t="shared" si="4"/>
        <v>3320000</v>
      </c>
      <c r="D316" s="34">
        <v>120210</v>
      </c>
      <c r="E316" s="34">
        <v>95210</v>
      </c>
      <c r="F316" s="34">
        <v>58870</v>
      </c>
      <c r="G316" s="34">
        <v>45740</v>
      </c>
      <c r="H316" s="34">
        <v>32620</v>
      </c>
      <c r="I316" s="34">
        <v>26740</v>
      </c>
      <c r="J316" s="34">
        <v>21490</v>
      </c>
      <c r="K316" s="34">
        <v>17140</v>
      </c>
      <c r="L316" s="34">
        <v>13760</v>
      </c>
      <c r="M316" s="34">
        <v>10390</v>
      </c>
      <c r="N316" s="34">
        <v>7010</v>
      </c>
    </row>
    <row r="317" spans="1:14">
      <c r="A317" s="34">
        <v>3340</v>
      </c>
      <c r="B317" s="34">
        <v>3360</v>
      </c>
      <c r="C317" s="34">
        <f t="shared" si="4"/>
        <v>3340000</v>
      </c>
      <c r="D317" s="34">
        <v>122660</v>
      </c>
      <c r="E317" s="34">
        <v>97660</v>
      </c>
      <c r="F317" s="34">
        <v>60440</v>
      </c>
      <c r="G317" s="34">
        <v>47320</v>
      </c>
      <c r="H317" s="34">
        <v>34190</v>
      </c>
      <c r="I317" s="34">
        <v>27370</v>
      </c>
      <c r="J317" s="34">
        <v>22120</v>
      </c>
      <c r="K317" s="34">
        <v>17540</v>
      </c>
      <c r="L317" s="34">
        <v>14170</v>
      </c>
      <c r="M317" s="34">
        <v>10790</v>
      </c>
      <c r="N317" s="34">
        <v>7420</v>
      </c>
    </row>
    <row r="318" spans="1:14">
      <c r="A318" s="34">
        <v>3360</v>
      </c>
      <c r="B318" s="34">
        <v>3380</v>
      </c>
      <c r="C318" s="34">
        <f t="shared" si="4"/>
        <v>3360000</v>
      </c>
      <c r="D318" s="34">
        <v>125100</v>
      </c>
      <c r="E318" s="34">
        <v>100100</v>
      </c>
      <c r="F318" s="34">
        <v>62010</v>
      </c>
      <c r="G318" s="34">
        <v>48880</v>
      </c>
      <c r="H318" s="34">
        <v>35760</v>
      </c>
      <c r="I318" s="34">
        <v>28000</v>
      </c>
      <c r="J318" s="34">
        <v>22750</v>
      </c>
      <c r="K318" s="34">
        <v>17950</v>
      </c>
      <c r="L318" s="34">
        <v>14570</v>
      </c>
      <c r="M318" s="34">
        <v>11200</v>
      </c>
      <c r="N318" s="34">
        <v>7820</v>
      </c>
    </row>
    <row r="319" spans="1:14">
      <c r="A319" s="34">
        <v>3380</v>
      </c>
      <c r="B319" s="34">
        <v>3400</v>
      </c>
      <c r="C319" s="34">
        <f t="shared" si="4"/>
        <v>3380000</v>
      </c>
      <c r="D319" s="34">
        <v>127550</v>
      </c>
      <c r="E319" s="34">
        <v>102550</v>
      </c>
      <c r="F319" s="34">
        <v>63570</v>
      </c>
      <c r="G319" s="34">
        <v>50450</v>
      </c>
      <c r="H319" s="34">
        <v>37320</v>
      </c>
      <c r="I319" s="34">
        <v>28630</v>
      </c>
      <c r="J319" s="34">
        <v>23380</v>
      </c>
      <c r="K319" s="34">
        <v>18350</v>
      </c>
      <c r="L319" s="34">
        <v>14970</v>
      </c>
      <c r="M319" s="34">
        <v>11600</v>
      </c>
      <c r="N319" s="34">
        <v>8220</v>
      </c>
    </row>
    <row r="320" spans="1:14">
      <c r="A320" s="34">
        <v>3400</v>
      </c>
      <c r="B320" s="34">
        <v>3420</v>
      </c>
      <c r="C320" s="34">
        <f t="shared" si="4"/>
        <v>3400000</v>
      </c>
      <c r="D320" s="34">
        <v>129990</v>
      </c>
      <c r="E320" s="34">
        <v>104990</v>
      </c>
      <c r="F320" s="34">
        <v>65140</v>
      </c>
      <c r="G320" s="34">
        <v>52010</v>
      </c>
      <c r="H320" s="34">
        <v>38890</v>
      </c>
      <c r="I320" s="34">
        <v>29250</v>
      </c>
      <c r="J320" s="34">
        <v>24000</v>
      </c>
      <c r="K320" s="34">
        <v>18750</v>
      </c>
      <c r="L320" s="34">
        <v>15370</v>
      </c>
      <c r="M320" s="34">
        <v>12000</v>
      </c>
      <c r="N320" s="34">
        <v>8620</v>
      </c>
    </row>
    <row r="321" spans="1:14">
      <c r="A321" s="34">
        <v>3420</v>
      </c>
      <c r="B321" s="34">
        <v>3440</v>
      </c>
      <c r="C321" s="34">
        <f t="shared" si="4"/>
        <v>3420000</v>
      </c>
      <c r="D321" s="34">
        <v>132440</v>
      </c>
      <c r="E321" s="34">
        <v>107440</v>
      </c>
      <c r="F321" s="34">
        <v>66700</v>
      </c>
      <c r="G321" s="34">
        <v>53580</v>
      </c>
      <c r="H321" s="34">
        <v>40450</v>
      </c>
      <c r="I321" s="34">
        <v>29880</v>
      </c>
      <c r="J321" s="34">
        <v>24630</v>
      </c>
      <c r="K321" s="34">
        <v>19380</v>
      </c>
      <c r="L321" s="34">
        <v>15780</v>
      </c>
      <c r="M321" s="34">
        <v>12400</v>
      </c>
      <c r="N321" s="34">
        <v>9030</v>
      </c>
    </row>
    <row r="322" spans="1:14">
      <c r="A322" s="34">
        <v>3440</v>
      </c>
      <c r="B322" s="34">
        <v>3460</v>
      </c>
      <c r="C322" s="34">
        <f t="shared" si="4"/>
        <v>3440000</v>
      </c>
      <c r="D322" s="34">
        <v>134880</v>
      </c>
      <c r="E322" s="34">
        <v>109880</v>
      </c>
      <c r="F322" s="34">
        <v>68270</v>
      </c>
      <c r="G322" s="34">
        <v>55140</v>
      </c>
      <c r="H322" s="34">
        <v>42020</v>
      </c>
      <c r="I322" s="34">
        <v>30500</v>
      </c>
      <c r="J322" s="34">
        <v>25250</v>
      </c>
      <c r="K322" s="34">
        <v>20000</v>
      </c>
      <c r="L322" s="34">
        <v>16180</v>
      </c>
      <c r="M322" s="34">
        <v>12800</v>
      </c>
      <c r="N322" s="34">
        <v>9430</v>
      </c>
    </row>
    <row r="323" spans="1:14">
      <c r="A323" s="34">
        <v>3460</v>
      </c>
      <c r="B323" s="34">
        <v>3480</v>
      </c>
      <c r="C323" s="34">
        <f t="shared" si="4"/>
        <v>3460000</v>
      </c>
      <c r="D323" s="34">
        <v>137330</v>
      </c>
      <c r="E323" s="34">
        <v>112330</v>
      </c>
      <c r="F323" s="34">
        <v>69830</v>
      </c>
      <c r="G323" s="34">
        <v>56710</v>
      </c>
      <c r="H323" s="34">
        <v>43580</v>
      </c>
      <c r="I323" s="34">
        <v>31130</v>
      </c>
      <c r="J323" s="34">
        <v>25880</v>
      </c>
      <c r="K323" s="34">
        <v>20630</v>
      </c>
      <c r="L323" s="34">
        <v>16580</v>
      </c>
      <c r="M323" s="34">
        <v>13210</v>
      </c>
      <c r="N323" s="34">
        <v>9830</v>
      </c>
    </row>
    <row r="324" spans="1:14">
      <c r="A324" s="34">
        <v>3480</v>
      </c>
      <c r="B324" s="34">
        <v>3500</v>
      </c>
      <c r="C324" s="34">
        <f t="shared" si="4"/>
        <v>3480000</v>
      </c>
      <c r="D324" s="34">
        <v>139770</v>
      </c>
      <c r="E324" s="34">
        <v>114770</v>
      </c>
      <c r="F324" s="34">
        <v>71400</v>
      </c>
      <c r="G324" s="34">
        <v>58270</v>
      </c>
      <c r="H324" s="34">
        <v>45150</v>
      </c>
      <c r="I324" s="34">
        <v>32020</v>
      </c>
      <c r="J324" s="34">
        <v>26510</v>
      </c>
      <c r="K324" s="34">
        <v>21260</v>
      </c>
      <c r="L324" s="34">
        <v>16980</v>
      </c>
      <c r="M324" s="34">
        <v>13610</v>
      </c>
      <c r="N324" s="34">
        <v>10230</v>
      </c>
    </row>
    <row r="325" spans="1:14">
      <c r="A325" s="34">
        <v>3500</v>
      </c>
      <c r="B325" s="34">
        <v>3520</v>
      </c>
      <c r="C325" s="34">
        <f t="shared" ref="C325:C388" si="5">A325*1000</f>
        <v>3500000</v>
      </c>
      <c r="D325" s="34">
        <v>142220</v>
      </c>
      <c r="E325" s="34">
        <v>117220</v>
      </c>
      <c r="F325" s="34">
        <v>72960</v>
      </c>
      <c r="G325" s="34">
        <v>59840</v>
      </c>
      <c r="H325" s="34">
        <v>46710</v>
      </c>
      <c r="I325" s="34">
        <v>33590</v>
      </c>
      <c r="J325" s="34">
        <v>27130</v>
      </c>
      <c r="K325" s="34">
        <v>21880</v>
      </c>
      <c r="L325" s="34">
        <v>17390</v>
      </c>
      <c r="M325" s="34">
        <v>14010</v>
      </c>
      <c r="N325" s="34">
        <v>10640</v>
      </c>
    </row>
    <row r="326" spans="1:14">
      <c r="A326" s="34">
        <v>3520</v>
      </c>
      <c r="B326" s="34">
        <v>3540</v>
      </c>
      <c r="C326" s="34">
        <f t="shared" si="5"/>
        <v>3520000</v>
      </c>
      <c r="D326" s="34">
        <v>144660</v>
      </c>
      <c r="E326" s="34">
        <v>119660</v>
      </c>
      <c r="F326" s="34">
        <v>74530</v>
      </c>
      <c r="G326" s="34">
        <v>61400</v>
      </c>
      <c r="H326" s="34">
        <v>48280</v>
      </c>
      <c r="I326" s="34">
        <v>35150</v>
      </c>
      <c r="J326" s="34">
        <v>27760</v>
      </c>
      <c r="K326" s="34">
        <v>22510</v>
      </c>
      <c r="L326" s="34">
        <v>17790</v>
      </c>
      <c r="M326" s="34">
        <v>14410</v>
      </c>
      <c r="N326" s="34">
        <v>11040</v>
      </c>
    </row>
    <row r="327" spans="1:14">
      <c r="A327" s="34">
        <v>3540</v>
      </c>
      <c r="B327" s="34">
        <v>3560</v>
      </c>
      <c r="C327" s="34">
        <f t="shared" si="5"/>
        <v>3540000</v>
      </c>
      <c r="D327" s="34">
        <v>147110</v>
      </c>
      <c r="E327" s="34">
        <v>122110</v>
      </c>
      <c r="F327" s="34">
        <v>76090</v>
      </c>
      <c r="G327" s="34">
        <v>62960</v>
      </c>
      <c r="H327" s="34">
        <v>49840</v>
      </c>
      <c r="I327" s="34">
        <v>36710</v>
      </c>
      <c r="J327" s="34">
        <v>28380</v>
      </c>
      <c r="K327" s="34">
        <v>23130</v>
      </c>
      <c r="L327" s="34">
        <v>18190</v>
      </c>
      <c r="M327" s="34">
        <v>14820</v>
      </c>
      <c r="N327" s="34">
        <v>11440</v>
      </c>
    </row>
    <row r="328" spans="1:14">
      <c r="A328" s="34">
        <v>3560</v>
      </c>
      <c r="B328" s="34">
        <v>3580</v>
      </c>
      <c r="C328" s="34">
        <f t="shared" si="5"/>
        <v>3560000</v>
      </c>
      <c r="D328" s="34">
        <v>149550</v>
      </c>
      <c r="E328" s="34">
        <v>124550</v>
      </c>
      <c r="F328" s="34">
        <v>77650</v>
      </c>
      <c r="G328" s="34">
        <v>64530</v>
      </c>
      <c r="H328" s="34">
        <v>51400</v>
      </c>
      <c r="I328" s="34">
        <v>38280</v>
      </c>
      <c r="J328" s="34">
        <v>29010</v>
      </c>
      <c r="K328" s="34">
        <v>23760</v>
      </c>
      <c r="L328" s="34">
        <v>18590</v>
      </c>
      <c r="M328" s="34">
        <v>15220</v>
      </c>
      <c r="N328" s="34">
        <v>11840</v>
      </c>
    </row>
    <row r="329" spans="1:14">
      <c r="A329" s="34">
        <v>3580</v>
      </c>
      <c r="B329" s="34">
        <v>3600</v>
      </c>
      <c r="C329" s="34">
        <f t="shared" si="5"/>
        <v>3580000</v>
      </c>
      <c r="D329" s="34">
        <v>152000</v>
      </c>
      <c r="E329" s="34">
        <v>127000</v>
      </c>
      <c r="F329" s="34">
        <v>79220</v>
      </c>
      <c r="G329" s="34">
        <v>66090</v>
      </c>
      <c r="H329" s="34">
        <v>52970</v>
      </c>
      <c r="I329" s="34">
        <v>39840</v>
      </c>
      <c r="J329" s="34">
        <v>29630</v>
      </c>
      <c r="K329" s="34">
        <v>24380</v>
      </c>
      <c r="L329" s="34">
        <v>19130</v>
      </c>
      <c r="M329" s="34">
        <v>15620</v>
      </c>
      <c r="N329" s="34">
        <v>12250</v>
      </c>
    </row>
    <row r="330" spans="1:14">
      <c r="A330" s="34">
        <v>3600</v>
      </c>
      <c r="B330" s="34">
        <v>3620</v>
      </c>
      <c r="C330" s="34">
        <f t="shared" si="5"/>
        <v>3600000</v>
      </c>
      <c r="D330" s="34">
        <v>154440</v>
      </c>
      <c r="E330" s="34">
        <v>129440</v>
      </c>
      <c r="F330" s="34">
        <v>80780</v>
      </c>
      <c r="G330" s="34">
        <v>67660</v>
      </c>
      <c r="H330" s="34">
        <v>54530</v>
      </c>
      <c r="I330" s="34">
        <v>41410</v>
      </c>
      <c r="J330" s="34">
        <v>30260</v>
      </c>
      <c r="K330" s="34">
        <v>25010</v>
      </c>
      <c r="L330" s="34">
        <v>19760</v>
      </c>
      <c r="M330" s="34">
        <v>16020</v>
      </c>
      <c r="N330" s="34">
        <v>12650</v>
      </c>
    </row>
    <row r="331" spans="1:14">
      <c r="A331" s="34">
        <v>3620</v>
      </c>
      <c r="B331" s="34">
        <v>3640</v>
      </c>
      <c r="C331" s="34">
        <f t="shared" si="5"/>
        <v>3620000</v>
      </c>
      <c r="D331" s="34">
        <v>156890</v>
      </c>
      <c r="E331" s="34">
        <v>131890</v>
      </c>
      <c r="F331" s="34">
        <v>82350</v>
      </c>
      <c r="G331" s="34">
        <v>69220</v>
      </c>
      <c r="H331" s="34">
        <v>56100</v>
      </c>
      <c r="I331" s="34">
        <v>42970</v>
      </c>
      <c r="J331" s="34">
        <v>30890</v>
      </c>
      <c r="K331" s="34">
        <v>25640</v>
      </c>
      <c r="L331" s="34">
        <v>20390</v>
      </c>
      <c r="M331" s="34">
        <v>16420</v>
      </c>
      <c r="N331" s="34">
        <v>13050</v>
      </c>
    </row>
    <row r="332" spans="1:14">
      <c r="A332" s="34">
        <v>3640</v>
      </c>
      <c r="B332" s="34">
        <v>3660</v>
      </c>
      <c r="C332" s="34">
        <f t="shared" si="5"/>
        <v>3640000</v>
      </c>
      <c r="D332" s="34">
        <v>159330</v>
      </c>
      <c r="E332" s="34">
        <v>134330</v>
      </c>
      <c r="F332" s="34">
        <v>83910</v>
      </c>
      <c r="G332" s="34">
        <v>70790</v>
      </c>
      <c r="H332" s="34">
        <v>57660</v>
      </c>
      <c r="I332" s="34">
        <v>44540</v>
      </c>
      <c r="J332" s="34">
        <v>31510</v>
      </c>
      <c r="K332" s="34">
        <v>26260</v>
      </c>
      <c r="L332" s="34">
        <v>21010</v>
      </c>
      <c r="M332" s="34">
        <v>16830</v>
      </c>
      <c r="N332" s="34">
        <v>13450</v>
      </c>
    </row>
    <row r="333" spans="1:14">
      <c r="A333" s="34">
        <v>3660</v>
      </c>
      <c r="B333" s="34">
        <v>3680</v>
      </c>
      <c r="C333" s="34">
        <f t="shared" si="5"/>
        <v>3660000</v>
      </c>
      <c r="D333" s="34">
        <v>161780</v>
      </c>
      <c r="E333" s="34">
        <v>136780</v>
      </c>
      <c r="F333" s="34">
        <v>85480</v>
      </c>
      <c r="G333" s="34">
        <v>72350</v>
      </c>
      <c r="H333" s="34">
        <v>59230</v>
      </c>
      <c r="I333" s="34">
        <v>46100</v>
      </c>
      <c r="J333" s="34">
        <v>32980</v>
      </c>
      <c r="K333" s="34">
        <v>26890</v>
      </c>
      <c r="L333" s="34">
        <v>21640</v>
      </c>
      <c r="M333" s="34">
        <v>17230</v>
      </c>
      <c r="N333" s="34">
        <v>13850</v>
      </c>
    </row>
    <row r="334" spans="1:14">
      <c r="A334" s="34">
        <v>3680</v>
      </c>
      <c r="B334" s="34">
        <v>3700</v>
      </c>
      <c r="C334" s="34">
        <f t="shared" si="5"/>
        <v>3680000</v>
      </c>
      <c r="D334" s="34">
        <v>164220</v>
      </c>
      <c r="E334" s="34">
        <v>139220</v>
      </c>
      <c r="F334" s="34">
        <v>87040</v>
      </c>
      <c r="G334" s="34">
        <v>73920</v>
      </c>
      <c r="H334" s="34">
        <v>60790</v>
      </c>
      <c r="I334" s="34">
        <v>47670</v>
      </c>
      <c r="J334" s="34">
        <v>34540</v>
      </c>
      <c r="K334" s="34">
        <v>27510</v>
      </c>
      <c r="L334" s="34">
        <v>22260</v>
      </c>
      <c r="M334" s="34">
        <v>17630</v>
      </c>
      <c r="N334" s="34">
        <v>14260</v>
      </c>
    </row>
    <row r="335" spans="1:14">
      <c r="A335" s="34">
        <v>3700</v>
      </c>
      <c r="B335" s="34">
        <v>3720</v>
      </c>
      <c r="C335" s="34">
        <f t="shared" si="5"/>
        <v>3700000</v>
      </c>
      <c r="D335" s="34">
        <v>166670</v>
      </c>
      <c r="E335" s="34">
        <v>141670</v>
      </c>
      <c r="F335" s="34">
        <v>88610</v>
      </c>
      <c r="G335" s="34">
        <v>75480</v>
      </c>
      <c r="H335" s="34">
        <v>62360</v>
      </c>
      <c r="I335" s="34">
        <v>49230</v>
      </c>
      <c r="J335" s="34">
        <v>36110</v>
      </c>
      <c r="K335" s="34">
        <v>28140</v>
      </c>
      <c r="L335" s="34">
        <v>22890</v>
      </c>
      <c r="M335" s="34">
        <v>18030</v>
      </c>
      <c r="N335" s="34">
        <v>14660</v>
      </c>
    </row>
    <row r="336" spans="1:14">
      <c r="A336" s="34">
        <v>3720</v>
      </c>
      <c r="B336" s="34">
        <v>3740</v>
      </c>
      <c r="C336" s="34">
        <f t="shared" si="5"/>
        <v>3720000</v>
      </c>
      <c r="D336" s="34">
        <v>169110</v>
      </c>
      <c r="E336" s="34">
        <v>144110</v>
      </c>
      <c r="F336" s="34">
        <v>90170</v>
      </c>
      <c r="G336" s="34">
        <v>77050</v>
      </c>
      <c r="H336" s="34">
        <v>63920</v>
      </c>
      <c r="I336" s="34">
        <v>50800</v>
      </c>
      <c r="J336" s="34">
        <v>37670</v>
      </c>
      <c r="K336" s="34">
        <v>28770</v>
      </c>
      <c r="L336" s="34">
        <v>23520</v>
      </c>
      <c r="M336" s="34">
        <v>18440</v>
      </c>
      <c r="N336" s="34">
        <v>15060</v>
      </c>
    </row>
    <row r="337" spans="1:14">
      <c r="A337" s="34">
        <v>3740</v>
      </c>
      <c r="B337" s="34">
        <v>3760</v>
      </c>
      <c r="C337" s="34">
        <f t="shared" si="5"/>
        <v>3740000</v>
      </c>
      <c r="D337" s="34">
        <v>171560</v>
      </c>
      <c r="E337" s="34">
        <v>146560</v>
      </c>
      <c r="F337" s="34">
        <v>91730</v>
      </c>
      <c r="G337" s="34">
        <v>78610</v>
      </c>
      <c r="H337" s="34">
        <v>65480</v>
      </c>
      <c r="I337" s="34">
        <v>52360</v>
      </c>
      <c r="J337" s="34">
        <v>39230</v>
      </c>
      <c r="K337" s="34">
        <v>29390</v>
      </c>
      <c r="L337" s="34">
        <v>24140</v>
      </c>
      <c r="M337" s="34">
        <v>18890</v>
      </c>
      <c r="N337" s="34">
        <v>15460</v>
      </c>
    </row>
    <row r="338" spans="1:14">
      <c r="A338" s="34">
        <v>3760</v>
      </c>
      <c r="B338" s="34">
        <v>3780</v>
      </c>
      <c r="C338" s="34">
        <f t="shared" si="5"/>
        <v>3760000</v>
      </c>
      <c r="D338" s="34">
        <v>178920</v>
      </c>
      <c r="E338" s="34">
        <v>151090</v>
      </c>
      <c r="F338" s="34">
        <v>95250</v>
      </c>
      <c r="G338" s="34">
        <v>81630</v>
      </c>
      <c r="H338" s="34">
        <v>68510</v>
      </c>
      <c r="I338" s="34">
        <v>55380</v>
      </c>
      <c r="J338" s="34">
        <v>42260</v>
      </c>
      <c r="K338" s="34">
        <v>30600</v>
      </c>
      <c r="L338" s="34">
        <v>25350</v>
      </c>
      <c r="M338" s="34">
        <v>20100</v>
      </c>
      <c r="N338" s="34">
        <v>16240</v>
      </c>
    </row>
    <row r="339" spans="1:14">
      <c r="A339" s="34">
        <v>3780</v>
      </c>
      <c r="B339" s="34">
        <v>3800</v>
      </c>
      <c r="C339" s="34">
        <f t="shared" si="5"/>
        <v>3780000</v>
      </c>
      <c r="D339" s="34">
        <v>181590</v>
      </c>
      <c r="E339" s="34">
        <v>153740</v>
      </c>
      <c r="F339" s="34">
        <v>97700</v>
      </c>
      <c r="G339" s="34">
        <v>83350</v>
      </c>
      <c r="H339" s="34">
        <v>70220</v>
      </c>
      <c r="I339" s="34">
        <v>57100</v>
      </c>
      <c r="J339" s="34">
        <v>43970</v>
      </c>
      <c r="K339" s="34">
        <v>31290</v>
      </c>
      <c r="L339" s="34">
        <v>26040</v>
      </c>
      <c r="M339" s="34">
        <v>20790</v>
      </c>
      <c r="N339" s="34">
        <v>16680</v>
      </c>
    </row>
    <row r="340" spans="1:14">
      <c r="A340" s="34">
        <v>3800</v>
      </c>
      <c r="B340" s="34">
        <v>3820</v>
      </c>
      <c r="C340" s="34">
        <f t="shared" si="5"/>
        <v>3800000</v>
      </c>
      <c r="D340" s="34">
        <v>184260</v>
      </c>
      <c r="E340" s="34">
        <v>156400</v>
      </c>
      <c r="F340" s="34">
        <v>100140</v>
      </c>
      <c r="G340" s="34">
        <v>85060</v>
      </c>
      <c r="H340" s="34">
        <v>71930</v>
      </c>
      <c r="I340" s="34">
        <v>58810</v>
      </c>
      <c r="J340" s="34">
        <v>45680</v>
      </c>
      <c r="K340" s="34">
        <v>32560</v>
      </c>
      <c r="L340" s="34">
        <v>26720</v>
      </c>
      <c r="M340" s="34">
        <v>21470</v>
      </c>
      <c r="N340" s="34">
        <v>17120</v>
      </c>
    </row>
    <row r="341" spans="1:14">
      <c r="A341" s="34">
        <v>3820</v>
      </c>
      <c r="B341" s="34">
        <v>3840</v>
      </c>
      <c r="C341" s="34">
        <f t="shared" si="5"/>
        <v>3820000</v>
      </c>
      <c r="D341" s="34">
        <v>186930</v>
      </c>
      <c r="E341" s="34">
        <v>159050</v>
      </c>
      <c r="F341" s="34">
        <v>102590</v>
      </c>
      <c r="G341" s="34">
        <v>86770</v>
      </c>
      <c r="H341" s="34">
        <v>73640</v>
      </c>
      <c r="I341" s="34">
        <v>60520</v>
      </c>
      <c r="J341" s="34">
        <v>47390</v>
      </c>
      <c r="K341" s="34">
        <v>34270</v>
      </c>
      <c r="L341" s="34">
        <v>27400</v>
      </c>
      <c r="M341" s="34">
        <v>22150</v>
      </c>
      <c r="N341" s="34">
        <v>17560</v>
      </c>
    </row>
    <row r="342" spans="1:14">
      <c r="A342" s="34">
        <v>3840</v>
      </c>
      <c r="B342" s="34">
        <v>3860</v>
      </c>
      <c r="C342" s="34">
        <f t="shared" si="5"/>
        <v>3840000</v>
      </c>
      <c r="D342" s="34">
        <v>189600</v>
      </c>
      <c r="E342" s="34">
        <v>161710</v>
      </c>
      <c r="F342" s="34">
        <v>105030</v>
      </c>
      <c r="G342" s="34">
        <v>88480</v>
      </c>
      <c r="H342" s="34">
        <v>75350</v>
      </c>
      <c r="I342" s="34">
        <v>62230</v>
      </c>
      <c r="J342" s="34">
        <v>49100</v>
      </c>
      <c r="K342" s="34">
        <v>35980</v>
      </c>
      <c r="L342" s="34">
        <v>28090</v>
      </c>
      <c r="M342" s="34">
        <v>22840</v>
      </c>
      <c r="N342" s="34">
        <v>18000</v>
      </c>
    </row>
    <row r="343" spans="1:14">
      <c r="A343" s="34">
        <v>3860</v>
      </c>
      <c r="B343" s="34">
        <v>3880</v>
      </c>
      <c r="C343" s="34">
        <f t="shared" si="5"/>
        <v>3860000</v>
      </c>
      <c r="D343" s="34">
        <v>192270</v>
      </c>
      <c r="E343" s="34">
        <v>164360</v>
      </c>
      <c r="F343" s="34">
        <v>107480</v>
      </c>
      <c r="G343" s="34">
        <v>90190</v>
      </c>
      <c r="H343" s="34">
        <v>77070</v>
      </c>
      <c r="I343" s="34">
        <v>63940</v>
      </c>
      <c r="J343" s="34">
        <v>50820</v>
      </c>
      <c r="K343" s="34">
        <v>37690</v>
      </c>
      <c r="L343" s="34">
        <v>28770</v>
      </c>
      <c r="M343" s="34">
        <v>23520</v>
      </c>
      <c r="N343" s="34">
        <v>18440</v>
      </c>
    </row>
    <row r="344" spans="1:14">
      <c r="A344" s="34">
        <v>3880</v>
      </c>
      <c r="B344" s="34">
        <v>3900</v>
      </c>
      <c r="C344" s="34">
        <f t="shared" si="5"/>
        <v>3880000</v>
      </c>
      <c r="D344" s="34">
        <v>194940</v>
      </c>
      <c r="E344" s="34">
        <v>167020</v>
      </c>
      <c r="F344" s="34">
        <v>109920</v>
      </c>
      <c r="G344" s="34">
        <v>91900</v>
      </c>
      <c r="H344" s="34">
        <v>78780</v>
      </c>
      <c r="I344" s="34">
        <v>65650</v>
      </c>
      <c r="J344" s="34">
        <v>52530</v>
      </c>
      <c r="K344" s="34">
        <v>39400</v>
      </c>
      <c r="L344" s="34">
        <v>29460</v>
      </c>
      <c r="M344" s="34">
        <v>24210</v>
      </c>
      <c r="N344" s="34">
        <v>18960</v>
      </c>
    </row>
    <row r="345" spans="1:14">
      <c r="A345" s="34">
        <v>3900</v>
      </c>
      <c r="B345" s="34">
        <v>3920</v>
      </c>
      <c r="C345" s="34">
        <f t="shared" si="5"/>
        <v>3900000</v>
      </c>
      <c r="D345" s="34">
        <v>197610</v>
      </c>
      <c r="E345" s="34">
        <v>169670</v>
      </c>
      <c r="F345" s="34">
        <v>112370</v>
      </c>
      <c r="G345" s="34">
        <v>93620</v>
      </c>
      <c r="H345" s="34">
        <v>80490</v>
      </c>
      <c r="I345" s="34">
        <v>67360</v>
      </c>
      <c r="J345" s="34">
        <v>54240</v>
      </c>
      <c r="K345" s="34">
        <v>41110</v>
      </c>
      <c r="L345" s="34">
        <v>30140</v>
      </c>
      <c r="M345" s="34">
        <v>24890</v>
      </c>
      <c r="N345" s="34">
        <v>19640</v>
      </c>
    </row>
    <row r="346" spans="1:14">
      <c r="A346" s="34">
        <v>3920</v>
      </c>
      <c r="B346" s="34">
        <v>3940</v>
      </c>
      <c r="C346" s="34">
        <f t="shared" si="5"/>
        <v>3920000</v>
      </c>
      <c r="D346" s="34">
        <v>200280</v>
      </c>
      <c r="E346" s="34">
        <v>172330</v>
      </c>
      <c r="F346" s="34">
        <v>114810</v>
      </c>
      <c r="G346" s="34">
        <v>96060</v>
      </c>
      <c r="H346" s="34">
        <v>82200</v>
      </c>
      <c r="I346" s="34">
        <v>69080</v>
      </c>
      <c r="J346" s="34">
        <v>55950</v>
      </c>
      <c r="K346" s="34">
        <v>42830</v>
      </c>
      <c r="L346" s="34">
        <v>30830</v>
      </c>
      <c r="M346" s="34">
        <v>25580</v>
      </c>
      <c r="N346" s="34">
        <v>20330</v>
      </c>
    </row>
    <row r="347" spans="1:14">
      <c r="A347" s="34">
        <v>3940</v>
      </c>
      <c r="B347" s="34">
        <v>3960</v>
      </c>
      <c r="C347" s="34">
        <f t="shared" si="5"/>
        <v>3940000</v>
      </c>
      <c r="D347" s="34">
        <v>202950</v>
      </c>
      <c r="E347" s="34">
        <v>174980</v>
      </c>
      <c r="F347" s="34">
        <v>117260</v>
      </c>
      <c r="G347" s="34">
        <v>98510</v>
      </c>
      <c r="H347" s="34">
        <v>83910</v>
      </c>
      <c r="I347" s="34">
        <v>70790</v>
      </c>
      <c r="J347" s="34">
        <v>57660</v>
      </c>
      <c r="K347" s="34">
        <v>44540</v>
      </c>
      <c r="L347" s="34">
        <v>31510</v>
      </c>
      <c r="M347" s="34">
        <v>26260</v>
      </c>
      <c r="N347" s="34">
        <v>21010</v>
      </c>
    </row>
    <row r="348" spans="1:14">
      <c r="A348" s="34">
        <v>3960</v>
      </c>
      <c r="B348" s="34">
        <v>3980</v>
      </c>
      <c r="C348" s="34">
        <f t="shared" si="5"/>
        <v>3960000</v>
      </c>
      <c r="D348" s="34">
        <v>205620</v>
      </c>
      <c r="E348" s="34">
        <v>177640</v>
      </c>
      <c r="F348" s="34">
        <v>119700</v>
      </c>
      <c r="G348" s="34">
        <v>100950</v>
      </c>
      <c r="H348" s="34">
        <v>85620</v>
      </c>
      <c r="I348" s="34">
        <v>72500</v>
      </c>
      <c r="J348" s="34">
        <v>59370</v>
      </c>
      <c r="K348" s="34">
        <v>46250</v>
      </c>
      <c r="L348" s="34">
        <v>33120</v>
      </c>
      <c r="M348" s="34">
        <v>26950</v>
      </c>
      <c r="N348" s="34">
        <v>21700</v>
      </c>
    </row>
    <row r="349" spans="1:14">
      <c r="A349" s="34">
        <v>3980</v>
      </c>
      <c r="B349" s="34">
        <v>4000</v>
      </c>
      <c r="C349" s="34">
        <f t="shared" si="5"/>
        <v>3980000</v>
      </c>
      <c r="D349" s="34">
        <v>208350</v>
      </c>
      <c r="E349" s="34">
        <v>180360</v>
      </c>
      <c r="F349" s="34">
        <v>122220</v>
      </c>
      <c r="G349" s="34">
        <v>103470</v>
      </c>
      <c r="H349" s="34">
        <v>87380</v>
      </c>
      <c r="I349" s="34">
        <v>74260</v>
      </c>
      <c r="J349" s="34">
        <v>61130</v>
      </c>
      <c r="K349" s="34">
        <v>48010</v>
      </c>
      <c r="L349" s="34">
        <v>34880</v>
      </c>
      <c r="M349" s="34">
        <v>27650</v>
      </c>
      <c r="N349" s="34">
        <v>22400</v>
      </c>
    </row>
    <row r="350" spans="1:14">
      <c r="A350" s="34">
        <v>4000</v>
      </c>
      <c r="B350" s="34">
        <v>4020</v>
      </c>
      <c r="C350" s="34">
        <f t="shared" si="5"/>
        <v>4000000</v>
      </c>
      <c r="D350" s="34">
        <v>211160</v>
      </c>
      <c r="E350" s="34">
        <v>183150</v>
      </c>
      <c r="F350" s="34">
        <v>124800</v>
      </c>
      <c r="G350" s="34">
        <v>106050</v>
      </c>
      <c r="H350" s="34">
        <v>89190</v>
      </c>
      <c r="I350" s="34">
        <v>76060</v>
      </c>
      <c r="J350" s="34">
        <v>62940</v>
      </c>
      <c r="K350" s="34">
        <v>49810</v>
      </c>
      <c r="L350" s="34">
        <v>36690</v>
      </c>
      <c r="M350" s="34">
        <v>28370</v>
      </c>
      <c r="N350" s="34">
        <v>23120</v>
      </c>
    </row>
    <row r="351" spans="1:14">
      <c r="A351" s="34">
        <v>4020</v>
      </c>
      <c r="B351" s="34">
        <v>4040</v>
      </c>
      <c r="C351" s="34">
        <f t="shared" si="5"/>
        <v>4020000</v>
      </c>
      <c r="D351" s="34">
        <v>213960</v>
      </c>
      <c r="E351" s="34">
        <v>185940</v>
      </c>
      <c r="F351" s="34">
        <v>127380</v>
      </c>
      <c r="G351" s="34">
        <v>108630</v>
      </c>
      <c r="H351" s="34">
        <v>90990</v>
      </c>
      <c r="I351" s="34">
        <v>77870</v>
      </c>
      <c r="J351" s="34">
        <v>64740</v>
      </c>
      <c r="K351" s="34">
        <v>51620</v>
      </c>
      <c r="L351" s="34">
        <v>38490</v>
      </c>
      <c r="M351" s="34">
        <v>29090</v>
      </c>
      <c r="N351" s="34">
        <v>23840</v>
      </c>
    </row>
    <row r="352" spans="1:14">
      <c r="A352" s="34">
        <v>4040</v>
      </c>
      <c r="B352" s="34">
        <v>4060</v>
      </c>
      <c r="C352" s="34">
        <f t="shared" si="5"/>
        <v>4040000</v>
      </c>
      <c r="D352" s="34">
        <v>216770</v>
      </c>
      <c r="E352" s="34">
        <v>188730</v>
      </c>
      <c r="F352" s="34">
        <v>129960</v>
      </c>
      <c r="G352" s="34">
        <v>111210</v>
      </c>
      <c r="H352" s="34">
        <v>92800</v>
      </c>
      <c r="I352" s="34">
        <v>79680</v>
      </c>
      <c r="J352" s="34">
        <v>66550</v>
      </c>
      <c r="K352" s="34">
        <v>53430</v>
      </c>
      <c r="L352" s="34">
        <v>40300</v>
      </c>
      <c r="M352" s="34">
        <v>29820</v>
      </c>
      <c r="N352" s="34">
        <v>24570</v>
      </c>
    </row>
    <row r="353" spans="1:14">
      <c r="A353" s="34">
        <v>4060</v>
      </c>
      <c r="B353" s="34">
        <v>4080</v>
      </c>
      <c r="C353" s="34">
        <f t="shared" si="5"/>
        <v>4060000</v>
      </c>
      <c r="D353" s="34">
        <v>219570</v>
      </c>
      <c r="E353" s="34">
        <v>191520</v>
      </c>
      <c r="F353" s="34">
        <v>132540</v>
      </c>
      <c r="G353" s="34">
        <v>113790</v>
      </c>
      <c r="H353" s="34">
        <v>95040</v>
      </c>
      <c r="I353" s="34">
        <v>81480</v>
      </c>
      <c r="J353" s="34">
        <v>68360</v>
      </c>
      <c r="K353" s="34">
        <v>55230</v>
      </c>
      <c r="L353" s="34">
        <v>42110</v>
      </c>
      <c r="M353" s="34">
        <v>30540</v>
      </c>
      <c r="N353" s="34">
        <v>25290</v>
      </c>
    </row>
    <row r="354" spans="1:14">
      <c r="A354" s="34">
        <v>4080</v>
      </c>
      <c r="B354" s="34">
        <v>4100</v>
      </c>
      <c r="C354" s="34">
        <f t="shared" si="5"/>
        <v>4080000</v>
      </c>
      <c r="D354" s="34">
        <v>222380</v>
      </c>
      <c r="E354" s="34">
        <v>194310</v>
      </c>
      <c r="F354" s="34">
        <v>135120</v>
      </c>
      <c r="G354" s="34">
        <v>116370</v>
      </c>
      <c r="H354" s="34">
        <v>97620</v>
      </c>
      <c r="I354" s="34">
        <v>83290</v>
      </c>
      <c r="J354" s="34">
        <v>70160</v>
      </c>
      <c r="K354" s="34">
        <v>57040</v>
      </c>
      <c r="L354" s="34">
        <v>43910</v>
      </c>
      <c r="M354" s="34">
        <v>31260</v>
      </c>
      <c r="N354" s="34">
        <v>26010</v>
      </c>
    </row>
    <row r="355" spans="1:14">
      <c r="A355" s="34">
        <v>4100</v>
      </c>
      <c r="B355" s="34">
        <v>4120</v>
      </c>
      <c r="C355" s="34">
        <f t="shared" si="5"/>
        <v>4100000</v>
      </c>
      <c r="D355" s="34">
        <v>225180</v>
      </c>
      <c r="E355" s="34">
        <v>197100</v>
      </c>
      <c r="F355" s="34">
        <v>137700</v>
      </c>
      <c r="G355" s="34">
        <v>118950</v>
      </c>
      <c r="H355" s="34">
        <v>100200</v>
      </c>
      <c r="I355" s="34">
        <v>85090</v>
      </c>
      <c r="J355" s="34">
        <v>71970</v>
      </c>
      <c r="K355" s="34">
        <v>58840</v>
      </c>
      <c r="L355" s="34">
        <v>45720</v>
      </c>
      <c r="M355" s="34">
        <v>32590</v>
      </c>
      <c r="N355" s="34">
        <v>26730</v>
      </c>
    </row>
    <row r="356" spans="1:14">
      <c r="A356" s="34">
        <v>4120</v>
      </c>
      <c r="B356" s="34">
        <v>4140</v>
      </c>
      <c r="C356" s="34">
        <f t="shared" si="5"/>
        <v>4120000</v>
      </c>
      <c r="D356" s="34">
        <v>227990</v>
      </c>
      <c r="E356" s="34">
        <v>199890</v>
      </c>
      <c r="F356" s="34">
        <v>140280</v>
      </c>
      <c r="G356" s="34">
        <v>121530</v>
      </c>
      <c r="H356" s="34">
        <v>102780</v>
      </c>
      <c r="I356" s="34">
        <v>86900</v>
      </c>
      <c r="J356" s="34">
        <v>73770</v>
      </c>
      <c r="K356" s="34">
        <v>60650</v>
      </c>
      <c r="L356" s="34">
        <v>47520</v>
      </c>
      <c r="M356" s="34">
        <v>34400</v>
      </c>
      <c r="N356" s="34">
        <v>27460</v>
      </c>
    </row>
    <row r="357" spans="1:14">
      <c r="A357" s="34">
        <v>4140</v>
      </c>
      <c r="B357" s="34">
        <v>4160</v>
      </c>
      <c r="C357" s="34">
        <f t="shared" si="5"/>
        <v>4140000</v>
      </c>
      <c r="D357" s="34">
        <v>230790</v>
      </c>
      <c r="E357" s="34">
        <v>202680</v>
      </c>
      <c r="F357" s="34">
        <v>142860</v>
      </c>
      <c r="G357" s="34">
        <v>124110</v>
      </c>
      <c r="H357" s="34">
        <v>105360</v>
      </c>
      <c r="I357" s="34">
        <v>88710</v>
      </c>
      <c r="J357" s="34">
        <v>75580</v>
      </c>
      <c r="K357" s="34">
        <v>62460</v>
      </c>
      <c r="L357" s="34">
        <v>49330</v>
      </c>
      <c r="M357" s="34">
        <v>36210</v>
      </c>
      <c r="N357" s="34">
        <v>28180</v>
      </c>
    </row>
    <row r="358" spans="1:14">
      <c r="A358" s="34">
        <v>4160</v>
      </c>
      <c r="B358" s="34">
        <v>4180</v>
      </c>
      <c r="C358" s="34">
        <f t="shared" si="5"/>
        <v>4160000</v>
      </c>
      <c r="D358" s="34">
        <v>233600</v>
      </c>
      <c r="E358" s="34">
        <v>205470</v>
      </c>
      <c r="F358" s="34">
        <v>145440</v>
      </c>
      <c r="G358" s="34">
        <v>126690</v>
      </c>
      <c r="H358" s="34">
        <v>107940</v>
      </c>
      <c r="I358" s="34">
        <v>90510</v>
      </c>
      <c r="J358" s="34">
        <v>77390</v>
      </c>
      <c r="K358" s="34">
        <v>64260</v>
      </c>
      <c r="L358" s="34">
        <v>51140</v>
      </c>
      <c r="M358" s="34">
        <v>38010</v>
      </c>
      <c r="N358" s="34">
        <v>28900</v>
      </c>
    </row>
    <row r="359" spans="1:14">
      <c r="A359" s="34">
        <v>4180</v>
      </c>
      <c r="B359" s="34">
        <v>4200</v>
      </c>
      <c r="C359" s="34">
        <f t="shared" si="5"/>
        <v>4180000</v>
      </c>
      <c r="D359" s="34">
        <v>236400</v>
      </c>
      <c r="E359" s="34">
        <v>208260</v>
      </c>
      <c r="F359" s="34">
        <v>148020</v>
      </c>
      <c r="G359" s="34">
        <v>129270</v>
      </c>
      <c r="H359" s="34">
        <v>110520</v>
      </c>
      <c r="I359" s="34">
        <v>92320</v>
      </c>
      <c r="J359" s="34">
        <v>79190</v>
      </c>
      <c r="K359" s="34">
        <v>66070</v>
      </c>
      <c r="L359" s="34">
        <v>52940</v>
      </c>
      <c r="M359" s="34">
        <v>39820</v>
      </c>
      <c r="N359" s="34">
        <v>29620</v>
      </c>
    </row>
    <row r="360" spans="1:14">
      <c r="A360" s="34">
        <v>4200</v>
      </c>
      <c r="B360" s="34">
        <v>4220</v>
      </c>
      <c r="C360" s="34">
        <f t="shared" si="5"/>
        <v>4200000</v>
      </c>
      <c r="D360" s="34">
        <v>239210</v>
      </c>
      <c r="E360" s="34">
        <v>211050</v>
      </c>
      <c r="F360" s="34">
        <v>150600</v>
      </c>
      <c r="G360" s="34">
        <v>131850</v>
      </c>
      <c r="H360" s="34">
        <v>113100</v>
      </c>
      <c r="I360" s="34">
        <v>94350</v>
      </c>
      <c r="J360" s="34">
        <v>81000</v>
      </c>
      <c r="K360" s="34">
        <v>67870</v>
      </c>
      <c r="L360" s="34">
        <v>54750</v>
      </c>
      <c r="M360" s="34">
        <v>41620</v>
      </c>
      <c r="N360" s="34">
        <v>30350</v>
      </c>
    </row>
    <row r="361" spans="1:14">
      <c r="A361" s="34">
        <v>4220</v>
      </c>
      <c r="B361" s="34">
        <v>4240</v>
      </c>
      <c r="C361" s="34">
        <f t="shared" si="5"/>
        <v>4220000</v>
      </c>
      <c r="D361" s="34">
        <v>242010</v>
      </c>
      <c r="E361" s="34">
        <v>213840</v>
      </c>
      <c r="F361" s="34">
        <v>153180</v>
      </c>
      <c r="G361" s="34">
        <v>134430</v>
      </c>
      <c r="H361" s="34">
        <v>115680</v>
      </c>
      <c r="I361" s="34">
        <v>96930</v>
      </c>
      <c r="J361" s="34">
        <v>82800</v>
      </c>
      <c r="K361" s="34">
        <v>69680</v>
      </c>
      <c r="L361" s="34">
        <v>56550</v>
      </c>
      <c r="M361" s="34">
        <v>43430</v>
      </c>
      <c r="N361" s="34">
        <v>31070</v>
      </c>
    </row>
    <row r="362" spans="1:14">
      <c r="A362" s="34">
        <v>4240</v>
      </c>
      <c r="B362" s="34">
        <v>4260</v>
      </c>
      <c r="C362" s="34">
        <f t="shared" si="5"/>
        <v>4240000</v>
      </c>
      <c r="D362" s="34">
        <v>244820</v>
      </c>
      <c r="E362" s="34">
        <v>216630</v>
      </c>
      <c r="F362" s="34">
        <v>155760</v>
      </c>
      <c r="G362" s="34">
        <v>137010</v>
      </c>
      <c r="H362" s="34">
        <v>118260</v>
      </c>
      <c r="I362" s="34">
        <v>99510</v>
      </c>
      <c r="J362" s="34">
        <v>84610</v>
      </c>
      <c r="K362" s="34">
        <v>71490</v>
      </c>
      <c r="L362" s="34">
        <v>58360</v>
      </c>
      <c r="M362" s="34">
        <v>45240</v>
      </c>
      <c r="N362" s="34">
        <v>32110</v>
      </c>
    </row>
    <row r="363" spans="1:14">
      <c r="A363" s="34">
        <v>4260</v>
      </c>
      <c r="B363" s="34">
        <v>4280</v>
      </c>
      <c r="C363" s="34">
        <f t="shared" si="5"/>
        <v>4260000</v>
      </c>
      <c r="D363" s="34">
        <v>247620</v>
      </c>
      <c r="E363" s="34">
        <v>219420</v>
      </c>
      <c r="F363" s="34">
        <v>158340</v>
      </c>
      <c r="G363" s="34">
        <v>139590</v>
      </c>
      <c r="H363" s="34">
        <v>120840</v>
      </c>
      <c r="I363" s="34">
        <v>102090</v>
      </c>
      <c r="J363" s="34">
        <v>86420</v>
      </c>
      <c r="K363" s="34">
        <v>73290</v>
      </c>
      <c r="L363" s="34">
        <v>60170</v>
      </c>
      <c r="M363" s="34">
        <v>47040</v>
      </c>
      <c r="N363" s="34">
        <v>33920</v>
      </c>
    </row>
    <row r="364" spans="1:14">
      <c r="A364" s="34">
        <v>4280</v>
      </c>
      <c r="B364" s="34">
        <v>4300</v>
      </c>
      <c r="C364" s="34">
        <f t="shared" si="5"/>
        <v>4280000</v>
      </c>
      <c r="D364" s="34">
        <v>250430</v>
      </c>
      <c r="E364" s="34">
        <v>222210</v>
      </c>
      <c r="F364" s="34">
        <v>160920</v>
      </c>
      <c r="G364" s="34">
        <v>142170</v>
      </c>
      <c r="H364" s="34">
        <v>123420</v>
      </c>
      <c r="I364" s="34">
        <v>104670</v>
      </c>
      <c r="J364" s="34">
        <v>88220</v>
      </c>
      <c r="K364" s="34">
        <v>75100</v>
      </c>
      <c r="L364" s="34">
        <v>61970</v>
      </c>
      <c r="M364" s="34">
        <v>48850</v>
      </c>
      <c r="N364" s="34">
        <v>35720</v>
      </c>
    </row>
    <row r="365" spans="1:14">
      <c r="A365" s="34">
        <v>4300</v>
      </c>
      <c r="B365" s="34">
        <v>4320</v>
      </c>
      <c r="C365" s="34">
        <f t="shared" si="5"/>
        <v>4300000</v>
      </c>
      <c r="D365" s="34">
        <v>253230</v>
      </c>
      <c r="E365" s="34">
        <v>225000</v>
      </c>
      <c r="F365" s="34">
        <v>163500</v>
      </c>
      <c r="G365" s="34">
        <v>144750</v>
      </c>
      <c r="H365" s="34">
        <v>126000</v>
      </c>
      <c r="I365" s="34">
        <v>107250</v>
      </c>
      <c r="J365" s="34">
        <v>90030</v>
      </c>
      <c r="K365" s="34">
        <v>76900</v>
      </c>
      <c r="L365" s="34">
        <v>63780</v>
      </c>
      <c r="M365" s="34">
        <v>50650</v>
      </c>
      <c r="N365" s="34">
        <v>37530</v>
      </c>
    </row>
    <row r="366" spans="1:14">
      <c r="A366" s="34">
        <v>4320</v>
      </c>
      <c r="B366" s="34">
        <v>4340</v>
      </c>
      <c r="C366" s="34">
        <f t="shared" si="5"/>
        <v>4320000</v>
      </c>
      <c r="D366" s="34">
        <v>256040</v>
      </c>
      <c r="E366" s="34">
        <v>227790</v>
      </c>
      <c r="F366" s="34">
        <v>166080</v>
      </c>
      <c r="G366" s="34">
        <v>147330</v>
      </c>
      <c r="H366" s="34">
        <v>128580</v>
      </c>
      <c r="I366" s="34">
        <v>109830</v>
      </c>
      <c r="J366" s="34">
        <v>91830</v>
      </c>
      <c r="K366" s="34">
        <v>78710</v>
      </c>
      <c r="L366" s="34">
        <v>65580</v>
      </c>
      <c r="M366" s="34">
        <v>52460</v>
      </c>
      <c r="N366" s="34">
        <v>39330</v>
      </c>
    </row>
    <row r="367" spans="1:14">
      <c r="A367" s="34">
        <v>4340</v>
      </c>
      <c r="B367" s="34">
        <v>4360</v>
      </c>
      <c r="C367" s="34">
        <f t="shared" si="5"/>
        <v>4340000</v>
      </c>
      <c r="D367" s="34">
        <v>258840</v>
      </c>
      <c r="E367" s="34">
        <v>230580</v>
      </c>
      <c r="F367" s="34">
        <v>168660</v>
      </c>
      <c r="G367" s="34">
        <v>149910</v>
      </c>
      <c r="H367" s="34">
        <v>131160</v>
      </c>
      <c r="I367" s="34">
        <v>112410</v>
      </c>
      <c r="J367" s="34">
        <v>93660</v>
      </c>
      <c r="K367" s="34">
        <v>80520</v>
      </c>
      <c r="L367" s="34">
        <v>67390</v>
      </c>
      <c r="M367" s="34">
        <v>54270</v>
      </c>
      <c r="N367" s="34">
        <v>41140</v>
      </c>
    </row>
    <row r="368" spans="1:14">
      <c r="A368" s="34">
        <v>4360</v>
      </c>
      <c r="B368" s="34">
        <v>4380</v>
      </c>
      <c r="C368" s="34">
        <f t="shared" si="5"/>
        <v>4360000</v>
      </c>
      <c r="D368" s="34">
        <v>261650</v>
      </c>
      <c r="E368" s="34">
        <v>233370</v>
      </c>
      <c r="F368" s="34">
        <v>171240</v>
      </c>
      <c r="G368" s="34">
        <v>152490</v>
      </c>
      <c r="H368" s="34">
        <v>133740</v>
      </c>
      <c r="I368" s="34">
        <v>114990</v>
      </c>
      <c r="J368" s="34">
        <v>96240</v>
      </c>
      <c r="K368" s="34">
        <v>82320</v>
      </c>
      <c r="L368" s="34">
        <v>69200</v>
      </c>
      <c r="M368" s="34">
        <v>56070</v>
      </c>
      <c r="N368" s="34">
        <v>42950</v>
      </c>
    </row>
    <row r="369" spans="1:14">
      <c r="A369" s="34">
        <v>4380</v>
      </c>
      <c r="B369" s="34">
        <v>4400</v>
      </c>
      <c r="C369" s="34">
        <f t="shared" si="5"/>
        <v>4380000</v>
      </c>
      <c r="D369" s="34">
        <v>264450</v>
      </c>
      <c r="E369" s="34">
        <v>236160</v>
      </c>
      <c r="F369" s="34">
        <v>173820</v>
      </c>
      <c r="G369" s="34">
        <v>155070</v>
      </c>
      <c r="H369" s="34">
        <v>136320</v>
      </c>
      <c r="I369" s="34">
        <v>117570</v>
      </c>
      <c r="J369" s="34">
        <v>98820</v>
      </c>
      <c r="K369" s="34">
        <v>84130</v>
      </c>
      <c r="L369" s="34">
        <v>71000</v>
      </c>
      <c r="M369" s="34">
        <v>57880</v>
      </c>
      <c r="N369" s="34">
        <v>44750</v>
      </c>
    </row>
    <row r="370" spans="1:14">
      <c r="A370" s="34">
        <v>4400</v>
      </c>
      <c r="B370" s="34">
        <v>4420</v>
      </c>
      <c r="C370" s="34">
        <f t="shared" si="5"/>
        <v>4400000</v>
      </c>
      <c r="D370" s="34">
        <v>267260</v>
      </c>
      <c r="E370" s="34">
        <v>238950</v>
      </c>
      <c r="F370" s="34">
        <v>176400</v>
      </c>
      <c r="G370" s="34">
        <v>157650</v>
      </c>
      <c r="H370" s="34">
        <v>138900</v>
      </c>
      <c r="I370" s="34">
        <v>120150</v>
      </c>
      <c r="J370" s="34">
        <v>101400</v>
      </c>
      <c r="K370" s="34">
        <v>85930</v>
      </c>
      <c r="L370" s="34">
        <v>72810</v>
      </c>
      <c r="M370" s="34">
        <v>59680</v>
      </c>
      <c r="N370" s="34">
        <v>46560</v>
      </c>
    </row>
    <row r="371" spans="1:14">
      <c r="A371" s="34">
        <v>4420</v>
      </c>
      <c r="B371" s="34">
        <v>4440</v>
      </c>
      <c r="C371" s="34">
        <f t="shared" si="5"/>
        <v>4420000</v>
      </c>
      <c r="D371" s="34">
        <v>270060</v>
      </c>
      <c r="E371" s="34">
        <v>241740</v>
      </c>
      <c r="F371" s="34">
        <v>178980</v>
      </c>
      <c r="G371" s="34">
        <v>160230</v>
      </c>
      <c r="H371" s="34">
        <v>141480</v>
      </c>
      <c r="I371" s="34">
        <v>122730</v>
      </c>
      <c r="J371" s="34">
        <v>103980</v>
      </c>
      <c r="K371" s="34">
        <v>87740</v>
      </c>
      <c r="L371" s="34">
        <v>74610</v>
      </c>
      <c r="M371" s="34">
        <v>61490</v>
      </c>
      <c r="N371" s="34">
        <v>48360</v>
      </c>
    </row>
    <row r="372" spans="1:14">
      <c r="A372" s="34">
        <v>4440</v>
      </c>
      <c r="B372" s="34">
        <v>4460</v>
      </c>
      <c r="C372" s="34">
        <f t="shared" si="5"/>
        <v>4440000</v>
      </c>
      <c r="D372" s="34">
        <v>272870</v>
      </c>
      <c r="E372" s="34">
        <v>244530</v>
      </c>
      <c r="F372" s="34">
        <v>181560</v>
      </c>
      <c r="G372" s="34">
        <v>162810</v>
      </c>
      <c r="H372" s="34">
        <v>144060</v>
      </c>
      <c r="I372" s="34">
        <v>125310</v>
      </c>
      <c r="J372" s="34">
        <v>106560</v>
      </c>
      <c r="K372" s="34">
        <v>89550</v>
      </c>
      <c r="L372" s="34">
        <v>76420</v>
      </c>
      <c r="M372" s="34">
        <v>63300</v>
      </c>
      <c r="N372" s="34">
        <v>50170</v>
      </c>
    </row>
    <row r="373" spans="1:14">
      <c r="A373" s="34">
        <v>4460</v>
      </c>
      <c r="B373" s="34">
        <v>4480</v>
      </c>
      <c r="C373" s="34">
        <f t="shared" si="5"/>
        <v>4460000</v>
      </c>
      <c r="D373" s="34">
        <v>275670</v>
      </c>
      <c r="E373" s="34">
        <v>247320</v>
      </c>
      <c r="F373" s="34">
        <v>184140</v>
      </c>
      <c r="G373" s="34">
        <v>165390</v>
      </c>
      <c r="H373" s="34">
        <v>146640</v>
      </c>
      <c r="I373" s="34">
        <v>127890</v>
      </c>
      <c r="J373" s="34">
        <v>109140</v>
      </c>
      <c r="K373" s="34">
        <v>91350</v>
      </c>
      <c r="L373" s="34">
        <v>78230</v>
      </c>
      <c r="M373" s="34">
        <v>65100</v>
      </c>
      <c r="N373" s="34">
        <v>51980</v>
      </c>
    </row>
    <row r="374" spans="1:14">
      <c r="A374" s="34">
        <v>4480</v>
      </c>
      <c r="B374" s="34">
        <v>4500</v>
      </c>
      <c r="C374" s="34">
        <f t="shared" si="5"/>
        <v>4480000</v>
      </c>
      <c r="D374" s="34">
        <v>278480</v>
      </c>
      <c r="E374" s="34">
        <v>250110</v>
      </c>
      <c r="F374" s="34">
        <v>186720</v>
      </c>
      <c r="G374" s="34">
        <v>167970</v>
      </c>
      <c r="H374" s="34">
        <v>149220</v>
      </c>
      <c r="I374" s="34">
        <v>130470</v>
      </c>
      <c r="J374" s="34">
        <v>111720</v>
      </c>
      <c r="K374" s="34">
        <v>93160</v>
      </c>
      <c r="L374" s="34">
        <v>80030</v>
      </c>
      <c r="M374" s="34">
        <v>66910</v>
      </c>
      <c r="N374" s="34">
        <v>53780</v>
      </c>
    </row>
    <row r="375" spans="1:14">
      <c r="A375" s="34">
        <v>4500</v>
      </c>
      <c r="B375" s="34">
        <v>4520</v>
      </c>
      <c r="C375" s="34">
        <f t="shared" si="5"/>
        <v>4500000</v>
      </c>
      <c r="D375" s="34">
        <v>281280</v>
      </c>
      <c r="E375" s="34">
        <v>252900</v>
      </c>
      <c r="F375" s="34">
        <v>189300</v>
      </c>
      <c r="G375" s="34">
        <v>170550</v>
      </c>
      <c r="H375" s="34">
        <v>151800</v>
      </c>
      <c r="I375" s="34">
        <v>133050</v>
      </c>
      <c r="J375" s="34">
        <v>114300</v>
      </c>
      <c r="K375" s="34">
        <v>95550</v>
      </c>
      <c r="L375" s="34">
        <v>81840</v>
      </c>
      <c r="M375" s="34">
        <v>68710</v>
      </c>
      <c r="N375" s="34">
        <v>55590</v>
      </c>
    </row>
    <row r="376" spans="1:14">
      <c r="A376" s="34">
        <v>4520</v>
      </c>
      <c r="B376" s="34">
        <v>4540</v>
      </c>
      <c r="C376" s="34">
        <f t="shared" si="5"/>
        <v>4520000</v>
      </c>
      <c r="D376" s="34">
        <v>284090</v>
      </c>
      <c r="E376" s="34">
        <v>255690</v>
      </c>
      <c r="F376" s="34">
        <v>191880</v>
      </c>
      <c r="G376" s="34">
        <v>173130</v>
      </c>
      <c r="H376" s="34">
        <v>154380</v>
      </c>
      <c r="I376" s="34">
        <v>135630</v>
      </c>
      <c r="J376" s="34">
        <v>116880</v>
      </c>
      <c r="K376" s="34">
        <v>98130</v>
      </c>
      <c r="L376" s="34">
        <v>83640</v>
      </c>
      <c r="M376" s="34">
        <v>70520</v>
      </c>
      <c r="N376" s="34">
        <v>57390</v>
      </c>
    </row>
    <row r="377" spans="1:14">
      <c r="A377" s="34">
        <v>4540</v>
      </c>
      <c r="B377" s="34">
        <v>4560</v>
      </c>
      <c r="C377" s="34">
        <f t="shared" si="5"/>
        <v>4540000</v>
      </c>
      <c r="D377" s="34">
        <v>286890</v>
      </c>
      <c r="E377" s="34">
        <v>258480</v>
      </c>
      <c r="F377" s="34">
        <v>194460</v>
      </c>
      <c r="G377" s="34">
        <v>175710</v>
      </c>
      <c r="H377" s="34">
        <v>156960</v>
      </c>
      <c r="I377" s="34">
        <v>138210</v>
      </c>
      <c r="J377" s="34">
        <v>119460</v>
      </c>
      <c r="K377" s="34">
        <v>100710</v>
      </c>
      <c r="L377" s="34">
        <v>85450</v>
      </c>
      <c r="M377" s="34">
        <v>72330</v>
      </c>
      <c r="N377" s="34">
        <v>59200</v>
      </c>
    </row>
    <row r="378" spans="1:14">
      <c r="A378" s="34">
        <v>4560</v>
      </c>
      <c r="B378" s="34">
        <v>4580</v>
      </c>
      <c r="C378" s="34">
        <f t="shared" si="5"/>
        <v>4560000</v>
      </c>
      <c r="D378" s="34">
        <v>289700</v>
      </c>
      <c r="E378" s="34">
        <v>261270</v>
      </c>
      <c r="F378" s="34">
        <v>197040</v>
      </c>
      <c r="G378" s="34">
        <v>178290</v>
      </c>
      <c r="H378" s="34">
        <v>159540</v>
      </c>
      <c r="I378" s="34">
        <v>140790</v>
      </c>
      <c r="J378" s="34">
        <v>122040</v>
      </c>
      <c r="K378" s="34">
        <v>103290</v>
      </c>
      <c r="L378" s="34">
        <v>87260</v>
      </c>
      <c r="M378" s="34">
        <v>74130</v>
      </c>
      <c r="N378" s="34">
        <v>61010</v>
      </c>
    </row>
    <row r="379" spans="1:14">
      <c r="A379" s="34">
        <v>4580</v>
      </c>
      <c r="B379" s="34">
        <v>4600</v>
      </c>
      <c r="C379" s="34">
        <f t="shared" si="5"/>
        <v>4580000</v>
      </c>
      <c r="D379" s="34">
        <v>295000</v>
      </c>
      <c r="E379" s="34">
        <v>266560</v>
      </c>
      <c r="F379" s="34">
        <v>202120</v>
      </c>
      <c r="G379" s="34">
        <v>183370</v>
      </c>
      <c r="H379" s="34">
        <v>164620</v>
      </c>
      <c r="I379" s="34">
        <v>145870</v>
      </c>
      <c r="J379" s="34">
        <v>127120</v>
      </c>
      <c r="K379" s="34">
        <v>108370</v>
      </c>
      <c r="L379" s="34">
        <v>89620</v>
      </c>
      <c r="M379" s="34">
        <v>75940</v>
      </c>
      <c r="N379" s="34">
        <v>62810</v>
      </c>
    </row>
    <row r="380" spans="1:14">
      <c r="A380" s="34">
        <v>4600</v>
      </c>
      <c r="B380" s="34">
        <v>4620</v>
      </c>
      <c r="C380" s="34">
        <f t="shared" si="5"/>
        <v>4600000</v>
      </c>
      <c r="D380" s="34">
        <v>297810</v>
      </c>
      <c r="E380" s="34">
        <v>269350</v>
      </c>
      <c r="F380" s="34">
        <v>204700</v>
      </c>
      <c r="G380" s="34">
        <v>185950</v>
      </c>
      <c r="H380" s="34">
        <v>167200</v>
      </c>
      <c r="I380" s="34">
        <v>148450</v>
      </c>
      <c r="J380" s="34">
        <v>129700</v>
      </c>
      <c r="K380" s="34">
        <v>110950</v>
      </c>
      <c r="L380" s="34">
        <v>92200</v>
      </c>
      <c r="M380" s="34">
        <v>77740</v>
      </c>
      <c r="N380" s="34">
        <v>64620</v>
      </c>
    </row>
    <row r="381" spans="1:14">
      <c r="A381" s="34">
        <v>4620</v>
      </c>
      <c r="B381" s="34">
        <v>4640</v>
      </c>
      <c r="C381" s="34">
        <f t="shared" si="5"/>
        <v>4620000</v>
      </c>
      <c r="D381" s="34">
        <v>300610</v>
      </c>
      <c r="E381" s="34">
        <v>272140</v>
      </c>
      <c r="F381" s="34">
        <v>207280</v>
      </c>
      <c r="G381" s="34">
        <v>188530</v>
      </c>
      <c r="H381" s="34">
        <v>169780</v>
      </c>
      <c r="I381" s="34">
        <v>151030</v>
      </c>
      <c r="J381" s="34">
        <v>132280</v>
      </c>
      <c r="K381" s="34">
        <v>113530</v>
      </c>
      <c r="L381" s="34">
        <v>94780</v>
      </c>
      <c r="M381" s="34">
        <v>79550</v>
      </c>
      <c r="N381" s="34">
        <v>66420</v>
      </c>
    </row>
    <row r="382" spans="1:14">
      <c r="A382" s="34">
        <v>4640</v>
      </c>
      <c r="B382" s="34">
        <v>4660</v>
      </c>
      <c r="C382" s="34">
        <f t="shared" si="5"/>
        <v>4640000</v>
      </c>
      <c r="D382" s="34">
        <v>303420</v>
      </c>
      <c r="E382" s="34">
        <v>274930</v>
      </c>
      <c r="F382" s="34">
        <v>209860</v>
      </c>
      <c r="G382" s="34">
        <v>191110</v>
      </c>
      <c r="H382" s="34">
        <v>172360</v>
      </c>
      <c r="I382" s="34">
        <v>153610</v>
      </c>
      <c r="J382" s="34">
        <v>134860</v>
      </c>
      <c r="K382" s="34">
        <v>116110</v>
      </c>
      <c r="L382" s="34">
        <v>97360</v>
      </c>
      <c r="M382" s="34">
        <v>81360</v>
      </c>
      <c r="N382" s="34">
        <v>68230</v>
      </c>
    </row>
    <row r="383" spans="1:14">
      <c r="A383" s="34">
        <v>4660</v>
      </c>
      <c r="B383" s="34">
        <v>4680</v>
      </c>
      <c r="C383" s="34">
        <f t="shared" si="5"/>
        <v>4660000</v>
      </c>
      <c r="D383" s="34">
        <v>306220</v>
      </c>
      <c r="E383" s="34">
        <v>277720</v>
      </c>
      <c r="F383" s="34">
        <v>212440</v>
      </c>
      <c r="G383" s="34">
        <v>193690</v>
      </c>
      <c r="H383" s="34">
        <v>174940</v>
      </c>
      <c r="I383" s="34">
        <v>156190</v>
      </c>
      <c r="J383" s="34">
        <v>137440</v>
      </c>
      <c r="K383" s="34">
        <v>118690</v>
      </c>
      <c r="L383" s="34">
        <v>99940</v>
      </c>
      <c r="M383" s="34">
        <v>83160</v>
      </c>
      <c r="N383" s="34">
        <v>70040</v>
      </c>
    </row>
    <row r="384" spans="1:14">
      <c r="A384" s="34">
        <v>4680</v>
      </c>
      <c r="B384" s="34">
        <v>4700</v>
      </c>
      <c r="C384" s="34">
        <f t="shared" si="5"/>
        <v>4680000</v>
      </c>
      <c r="D384" s="34">
        <v>309030</v>
      </c>
      <c r="E384" s="34">
        <v>280510</v>
      </c>
      <c r="F384" s="34">
        <v>215020</v>
      </c>
      <c r="G384" s="34">
        <v>196270</v>
      </c>
      <c r="H384" s="34">
        <v>177520</v>
      </c>
      <c r="I384" s="34">
        <v>158770</v>
      </c>
      <c r="J384" s="34">
        <v>140020</v>
      </c>
      <c r="K384" s="34">
        <v>121270</v>
      </c>
      <c r="L384" s="34">
        <v>102520</v>
      </c>
      <c r="M384" s="34">
        <v>84970</v>
      </c>
      <c r="N384" s="34">
        <v>71840</v>
      </c>
    </row>
    <row r="385" spans="1:14">
      <c r="A385" s="34">
        <v>4700</v>
      </c>
      <c r="B385" s="34">
        <v>4720</v>
      </c>
      <c r="C385" s="34">
        <f t="shared" si="5"/>
        <v>4700000</v>
      </c>
      <c r="D385" s="34">
        <v>311830</v>
      </c>
      <c r="E385" s="34">
        <v>283300</v>
      </c>
      <c r="F385" s="34">
        <v>217600</v>
      </c>
      <c r="G385" s="34">
        <v>198850</v>
      </c>
      <c r="H385" s="34">
        <v>180100</v>
      </c>
      <c r="I385" s="34">
        <v>161350</v>
      </c>
      <c r="J385" s="34">
        <v>142600</v>
      </c>
      <c r="K385" s="34">
        <v>123850</v>
      </c>
      <c r="L385" s="34">
        <v>105100</v>
      </c>
      <c r="M385" s="34">
        <v>86770</v>
      </c>
      <c r="N385" s="34">
        <v>73650</v>
      </c>
    </row>
    <row r="386" spans="1:14">
      <c r="A386" s="34">
        <v>4720</v>
      </c>
      <c r="B386" s="34">
        <v>4740</v>
      </c>
      <c r="C386" s="34">
        <f t="shared" si="5"/>
        <v>4720000</v>
      </c>
      <c r="D386" s="34">
        <v>314640</v>
      </c>
      <c r="E386" s="34">
        <v>286090</v>
      </c>
      <c r="F386" s="34">
        <v>220180</v>
      </c>
      <c r="G386" s="34">
        <v>201430</v>
      </c>
      <c r="H386" s="34">
        <v>182680</v>
      </c>
      <c r="I386" s="34">
        <v>163930</v>
      </c>
      <c r="J386" s="34">
        <v>145180</v>
      </c>
      <c r="K386" s="34">
        <v>126430</v>
      </c>
      <c r="L386" s="34">
        <v>107680</v>
      </c>
      <c r="M386" s="34">
        <v>88930</v>
      </c>
      <c r="N386" s="34">
        <v>75450</v>
      </c>
    </row>
    <row r="387" spans="1:14">
      <c r="A387" s="34">
        <v>4740</v>
      </c>
      <c r="B387" s="34">
        <v>4760</v>
      </c>
      <c r="C387" s="34">
        <f t="shared" si="5"/>
        <v>4740000</v>
      </c>
      <c r="D387" s="34">
        <v>317440</v>
      </c>
      <c r="E387" s="34">
        <v>288880</v>
      </c>
      <c r="F387" s="34">
        <v>222760</v>
      </c>
      <c r="G387" s="34">
        <v>204010</v>
      </c>
      <c r="H387" s="34">
        <v>185260</v>
      </c>
      <c r="I387" s="34">
        <v>166510</v>
      </c>
      <c r="J387" s="34">
        <v>147760</v>
      </c>
      <c r="K387" s="34">
        <v>129010</v>
      </c>
      <c r="L387" s="34">
        <v>110260</v>
      </c>
      <c r="M387" s="34">
        <v>91510</v>
      </c>
      <c r="N387" s="34">
        <v>77260</v>
      </c>
    </row>
    <row r="388" spans="1:14">
      <c r="A388" s="34">
        <v>4760</v>
      </c>
      <c r="B388" s="34">
        <v>4780</v>
      </c>
      <c r="C388" s="34">
        <f t="shared" si="5"/>
        <v>4760000</v>
      </c>
      <c r="D388" s="34">
        <v>320250</v>
      </c>
      <c r="E388" s="34">
        <v>291670</v>
      </c>
      <c r="F388" s="34">
        <v>225340</v>
      </c>
      <c r="G388" s="34">
        <v>206590</v>
      </c>
      <c r="H388" s="34">
        <v>187840</v>
      </c>
      <c r="I388" s="34">
        <v>169090</v>
      </c>
      <c r="J388" s="34">
        <v>150340</v>
      </c>
      <c r="K388" s="34">
        <v>131590</v>
      </c>
      <c r="L388" s="34">
        <v>112840</v>
      </c>
      <c r="M388" s="34">
        <v>94090</v>
      </c>
      <c r="N388" s="34">
        <v>79070</v>
      </c>
    </row>
    <row r="389" spans="1:14">
      <c r="A389" s="34">
        <v>4780</v>
      </c>
      <c r="B389" s="34">
        <v>4800</v>
      </c>
      <c r="C389" s="34">
        <f t="shared" ref="C389:C452" si="6">A389*1000</f>
        <v>4780000</v>
      </c>
      <c r="D389" s="34">
        <v>323050</v>
      </c>
      <c r="E389" s="34">
        <v>294460</v>
      </c>
      <c r="F389" s="34">
        <v>227920</v>
      </c>
      <c r="G389" s="34">
        <v>209170</v>
      </c>
      <c r="H389" s="34">
        <v>190420</v>
      </c>
      <c r="I389" s="34">
        <v>171670</v>
      </c>
      <c r="J389" s="34">
        <v>152920</v>
      </c>
      <c r="K389" s="34">
        <v>134170</v>
      </c>
      <c r="L389" s="34">
        <v>115420</v>
      </c>
      <c r="M389" s="34">
        <v>96670</v>
      </c>
      <c r="N389" s="34">
        <v>80870</v>
      </c>
    </row>
    <row r="390" spans="1:14">
      <c r="A390" s="34">
        <v>4800</v>
      </c>
      <c r="B390" s="34">
        <v>4820</v>
      </c>
      <c r="C390" s="34">
        <f t="shared" si="6"/>
        <v>4800000</v>
      </c>
      <c r="D390" s="34">
        <v>325860</v>
      </c>
      <c r="E390" s="34">
        <v>297250</v>
      </c>
      <c r="F390" s="34">
        <v>230500</v>
      </c>
      <c r="G390" s="34">
        <v>211750</v>
      </c>
      <c r="H390" s="34">
        <v>193000</v>
      </c>
      <c r="I390" s="34">
        <v>174250</v>
      </c>
      <c r="J390" s="34">
        <v>155500</v>
      </c>
      <c r="K390" s="34">
        <v>136750</v>
      </c>
      <c r="L390" s="34">
        <v>118000</v>
      </c>
      <c r="M390" s="34">
        <v>99250</v>
      </c>
      <c r="N390" s="34">
        <v>82680</v>
      </c>
    </row>
    <row r="391" spans="1:14">
      <c r="A391" s="34">
        <v>4820</v>
      </c>
      <c r="B391" s="34">
        <v>4840</v>
      </c>
      <c r="C391" s="34">
        <f t="shared" si="6"/>
        <v>4820000</v>
      </c>
      <c r="D391" s="34">
        <v>328660</v>
      </c>
      <c r="E391" s="34">
        <v>300040</v>
      </c>
      <c r="F391" s="34">
        <v>233080</v>
      </c>
      <c r="G391" s="34">
        <v>214330</v>
      </c>
      <c r="H391" s="34">
        <v>195580</v>
      </c>
      <c r="I391" s="34">
        <v>176830</v>
      </c>
      <c r="J391" s="34">
        <v>158080</v>
      </c>
      <c r="K391" s="34">
        <v>139330</v>
      </c>
      <c r="L391" s="34">
        <v>120580</v>
      </c>
      <c r="M391" s="34">
        <v>101830</v>
      </c>
      <c r="N391" s="34">
        <v>84480</v>
      </c>
    </row>
    <row r="392" spans="1:14">
      <c r="A392" s="34">
        <v>4840</v>
      </c>
      <c r="B392" s="34">
        <v>4860</v>
      </c>
      <c r="C392" s="34">
        <f t="shared" si="6"/>
        <v>4840000</v>
      </c>
      <c r="D392" s="34">
        <v>331470</v>
      </c>
      <c r="E392" s="34">
        <v>302830</v>
      </c>
      <c r="F392" s="34">
        <v>235660</v>
      </c>
      <c r="G392" s="34">
        <v>216910</v>
      </c>
      <c r="H392" s="34">
        <v>198160</v>
      </c>
      <c r="I392" s="34">
        <v>179410</v>
      </c>
      <c r="J392" s="34">
        <v>160660</v>
      </c>
      <c r="K392" s="34">
        <v>141910</v>
      </c>
      <c r="L392" s="34">
        <v>123160</v>
      </c>
      <c r="M392" s="34">
        <v>104410</v>
      </c>
      <c r="N392" s="34">
        <v>86290</v>
      </c>
    </row>
    <row r="393" spans="1:14">
      <c r="A393" s="34">
        <v>4860</v>
      </c>
      <c r="B393" s="34">
        <v>4880</v>
      </c>
      <c r="C393" s="34">
        <f t="shared" si="6"/>
        <v>4860000</v>
      </c>
      <c r="D393" s="34">
        <v>334270</v>
      </c>
      <c r="E393" s="34">
        <v>305620</v>
      </c>
      <c r="F393" s="34">
        <v>238240</v>
      </c>
      <c r="G393" s="34">
        <v>219490</v>
      </c>
      <c r="H393" s="34">
        <v>200740</v>
      </c>
      <c r="I393" s="34">
        <v>181990</v>
      </c>
      <c r="J393" s="34">
        <v>163240</v>
      </c>
      <c r="K393" s="34">
        <v>144490</v>
      </c>
      <c r="L393" s="34">
        <v>125740</v>
      </c>
      <c r="M393" s="34">
        <v>106990</v>
      </c>
      <c r="N393" s="34">
        <v>88240</v>
      </c>
    </row>
    <row r="394" spans="1:14">
      <c r="A394" s="34">
        <v>4880</v>
      </c>
      <c r="B394" s="34">
        <v>4900</v>
      </c>
      <c r="C394" s="34">
        <f t="shared" si="6"/>
        <v>4880000</v>
      </c>
      <c r="D394" s="34">
        <v>337080</v>
      </c>
      <c r="E394" s="34">
        <v>308410</v>
      </c>
      <c r="F394" s="34">
        <v>240820</v>
      </c>
      <c r="G394" s="34">
        <v>222070</v>
      </c>
      <c r="H394" s="34">
        <v>203320</v>
      </c>
      <c r="I394" s="34">
        <v>184570</v>
      </c>
      <c r="J394" s="34">
        <v>165820</v>
      </c>
      <c r="K394" s="34">
        <v>147070</v>
      </c>
      <c r="L394" s="34">
        <v>128320</v>
      </c>
      <c r="M394" s="34">
        <v>109570</v>
      </c>
      <c r="N394" s="34">
        <v>90820</v>
      </c>
    </row>
    <row r="395" spans="1:14">
      <c r="A395" s="34">
        <v>4900</v>
      </c>
      <c r="B395" s="34">
        <v>4920</v>
      </c>
      <c r="C395" s="34">
        <f t="shared" si="6"/>
        <v>4900000</v>
      </c>
      <c r="D395" s="34">
        <v>339880</v>
      </c>
      <c r="E395" s="34">
        <v>311200</v>
      </c>
      <c r="F395" s="34">
        <v>243400</v>
      </c>
      <c r="G395" s="34">
        <v>224650</v>
      </c>
      <c r="H395" s="34">
        <v>205900</v>
      </c>
      <c r="I395" s="34">
        <v>187150</v>
      </c>
      <c r="J395" s="34">
        <v>168400</v>
      </c>
      <c r="K395" s="34">
        <v>149650</v>
      </c>
      <c r="L395" s="34">
        <v>130900</v>
      </c>
      <c r="M395" s="34">
        <v>112150</v>
      </c>
      <c r="N395" s="34">
        <v>93400</v>
      </c>
    </row>
    <row r="396" spans="1:14">
      <c r="A396" s="34">
        <v>4920</v>
      </c>
      <c r="B396" s="34">
        <v>4940</v>
      </c>
      <c r="C396" s="34">
        <f t="shared" si="6"/>
        <v>4920000</v>
      </c>
      <c r="D396" s="34">
        <v>342690</v>
      </c>
      <c r="E396" s="34">
        <v>313990</v>
      </c>
      <c r="F396" s="34">
        <v>245980</v>
      </c>
      <c r="G396" s="34">
        <v>227230</v>
      </c>
      <c r="H396" s="34">
        <v>208480</v>
      </c>
      <c r="I396" s="34">
        <v>189730</v>
      </c>
      <c r="J396" s="34">
        <v>170980</v>
      </c>
      <c r="K396" s="34">
        <v>152230</v>
      </c>
      <c r="L396" s="34">
        <v>133480</v>
      </c>
      <c r="M396" s="34">
        <v>114730</v>
      </c>
      <c r="N396" s="34">
        <v>95980</v>
      </c>
    </row>
    <row r="397" spans="1:14">
      <c r="A397" s="34">
        <v>4940</v>
      </c>
      <c r="B397" s="34">
        <v>4960</v>
      </c>
      <c r="C397" s="34">
        <f t="shared" si="6"/>
        <v>4940000</v>
      </c>
      <c r="D397" s="34">
        <v>345490</v>
      </c>
      <c r="E397" s="34">
        <v>316780</v>
      </c>
      <c r="F397" s="34">
        <v>248560</v>
      </c>
      <c r="G397" s="34">
        <v>229810</v>
      </c>
      <c r="H397" s="34">
        <v>211060</v>
      </c>
      <c r="I397" s="34">
        <v>192310</v>
      </c>
      <c r="J397" s="34">
        <v>173560</v>
      </c>
      <c r="K397" s="34">
        <v>154810</v>
      </c>
      <c r="L397" s="34">
        <v>136060</v>
      </c>
      <c r="M397" s="34">
        <v>117310</v>
      </c>
      <c r="N397" s="34">
        <v>98560</v>
      </c>
    </row>
    <row r="398" spans="1:14">
      <c r="A398" s="34">
        <v>4960</v>
      </c>
      <c r="B398" s="34">
        <v>4980</v>
      </c>
      <c r="C398" s="34">
        <f t="shared" si="6"/>
        <v>4960000</v>
      </c>
      <c r="D398" s="34">
        <v>348300</v>
      </c>
      <c r="E398" s="34">
        <v>319570</v>
      </c>
      <c r="F398" s="34">
        <v>251140</v>
      </c>
      <c r="G398" s="34">
        <v>232390</v>
      </c>
      <c r="H398" s="34">
        <v>213640</v>
      </c>
      <c r="I398" s="34">
        <v>194890</v>
      </c>
      <c r="J398" s="34">
        <v>176140</v>
      </c>
      <c r="K398" s="34">
        <v>157390</v>
      </c>
      <c r="L398" s="34">
        <v>138640</v>
      </c>
      <c r="M398" s="34">
        <v>119890</v>
      </c>
      <c r="N398" s="34">
        <v>101140</v>
      </c>
    </row>
    <row r="399" spans="1:14">
      <c r="A399" s="34">
        <v>4980</v>
      </c>
      <c r="B399" s="34">
        <v>5000</v>
      </c>
      <c r="C399" s="34">
        <f t="shared" si="6"/>
        <v>4980000</v>
      </c>
      <c r="D399" s="34">
        <v>351100</v>
      </c>
      <c r="E399" s="34">
        <v>322360</v>
      </c>
      <c r="F399" s="34">
        <v>253720</v>
      </c>
      <c r="G399" s="34">
        <v>234970</v>
      </c>
      <c r="H399" s="34">
        <v>216220</v>
      </c>
      <c r="I399" s="34">
        <v>197470</v>
      </c>
      <c r="J399" s="34">
        <v>178720</v>
      </c>
      <c r="K399" s="34">
        <v>159970</v>
      </c>
      <c r="L399" s="34">
        <v>141220</v>
      </c>
      <c r="M399" s="34">
        <v>122470</v>
      </c>
      <c r="N399" s="34">
        <v>103720</v>
      </c>
    </row>
    <row r="400" spans="1:14">
      <c r="A400" s="34">
        <v>5000</v>
      </c>
      <c r="B400" s="34">
        <v>5020</v>
      </c>
      <c r="C400" s="34">
        <f t="shared" si="6"/>
        <v>5000000</v>
      </c>
      <c r="D400" s="34">
        <v>353910</v>
      </c>
      <c r="E400" s="34">
        <v>325150</v>
      </c>
      <c r="F400" s="34">
        <v>256300</v>
      </c>
      <c r="G400" s="34">
        <v>237550</v>
      </c>
      <c r="H400" s="34">
        <v>218800</v>
      </c>
      <c r="I400" s="34">
        <v>200050</v>
      </c>
      <c r="J400" s="34">
        <v>181300</v>
      </c>
      <c r="K400" s="34">
        <v>162550</v>
      </c>
      <c r="L400" s="34">
        <v>143800</v>
      </c>
      <c r="M400" s="34">
        <v>125050</v>
      </c>
      <c r="N400" s="34">
        <v>106300</v>
      </c>
    </row>
    <row r="401" spans="1:14">
      <c r="A401" s="34">
        <v>5020</v>
      </c>
      <c r="B401" s="34">
        <v>5040</v>
      </c>
      <c r="C401" s="34">
        <f t="shared" si="6"/>
        <v>5020000</v>
      </c>
      <c r="D401" s="34">
        <v>356710</v>
      </c>
      <c r="E401" s="34">
        <v>327940</v>
      </c>
      <c r="F401" s="34">
        <v>258880</v>
      </c>
      <c r="G401" s="34">
        <v>240130</v>
      </c>
      <c r="H401" s="34">
        <v>221380</v>
      </c>
      <c r="I401" s="34">
        <v>202630</v>
      </c>
      <c r="J401" s="34">
        <v>183880</v>
      </c>
      <c r="K401" s="34">
        <v>165130</v>
      </c>
      <c r="L401" s="34">
        <v>146380</v>
      </c>
      <c r="M401" s="34">
        <v>127630</v>
      </c>
      <c r="N401" s="34">
        <v>108880</v>
      </c>
    </row>
    <row r="402" spans="1:14">
      <c r="A402" s="34">
        <v>5040</v>
      </c>
      <c r="B402" s="34">
        <v>5060</v>
      </c>
      <c r="C402" s="34">
        <f t="shared" si="6"/>
        <v>5040000</v>
      </c>
      <c r="D402" s="34">
        <v>359520</v>
      </c>
      <c r="E402" s="34">
        <v>330730</v>
      </c>
      <c r="F402" s="34">
        <v>261460</v>
      </c>
      <c r="G402" s="34">
        <v>242710</v>
      </c>
      <c r="H402" s="34">
        <v>223960</v>
      </c>
      <c r="I402" s="34">
        <v>205210</v>
      </c>
      <c r="J402" s="34">
        <v>186460</v>
      </c>
      <c r="K402" s="34">
        <v>167710</v>
      </c>
      <c r="L402" s="34">
        <v>148960</v>
      </c>
      <c r="M402" s="34">
        <v>130210</v>
      </c>
      <c r="N402" s="34">
        <v>111460</v>
      </c>
    </row>
    <row r="403" spans="1:14">
      <c r="A403" s="34">
        <v>5060</v>
      </c>
      <c r="B403" s="34">
        <v>5080</v>
      </c>
      <c r="C403" s="34">
        <f t="shared" si="6"/>
        <v>5060000</v>
      </c>
      <c r="D403" s="34">
        <v>362320</v>
      </c>
      <c r="E403" s="34">
        <v>333520</v>
      </c>
      <c r="F403" s="34">
        <v>264040</v>
      </c>
      <c r="G403" s="34">
        <v>245290</v>
      </c>
      <c r="H403" s="34">
        <v>226540</v>
      </c>
      <c r="I403" s="34">
        <v>207790</v>
      </c>
      <c r="J403" s="34">
        <v>189040</v>
      </c>
      <c r="K403" s="34">
        <v>170290</v>
      </c>
      <c r="L403" s="34">
        <v>151540</v>
      </c>
      <c r="M403" s="34">
        <v>132790</v>
      </c>
      <c r="N403" s="34">
        <v>114040</v>
      </c>
    </row>
    <row r="404" spans="1:14">
      <c r="A404" s="34">
        <v>5080</v>
      </c>
      <c r="B404" s="34">
        <v>5100</v>
      </c>
      <c r="C404" s="34">
        <f t="shared" si="6"/>
        <v>5080000</v>
      </c>
      <c r="D404" s="34">
        <v>365130</v>
      </c>
      <c r="E404" s="34">
        <v>336310</v>
      </c>
      <c r="F404" s="34">
        <v>266620</v>
      </c>
      <c r="G404" s="34">
        <v>247870</v>
      </c>
      <c r="H404" s="34">
        <v>229120</v>
      </c>
      <c r="I404" s="34">
        <v>210370</v>
      </c>
      <c r="J404" s="34">
        <v>191620</v>
      </c>
      <c r="K404" s="34">
        <v>172870</v>
      </c>
      <c r="L404" s="34">
        <v>154120</v>
      </c>
      <c r="M404" s="34">
        <v>135370</v>
      </c>
      <c r="N404" s="34">
        <v>116620</v>
      </c>
    </row>
    <row r="405" spans="1:14">
      <c r="A405" s="34">
        <v>5100</v>
      </c>
      <c r="B405" s="34">
        <v>5120</v>
      </c>
      <c r="C405" s="34">
        <f t="shared" si="6"/>
        <v>5100000</v>
      </c>
      <c r="D405" s="34">
        <v>367930</v>
      </c>
      <c r="E405" s="34">
        <v>339100</v>
      </c>
      <c r="F405" s="34">
        <v>269200</v>
      </c>
      <c r="G405" s="34">
        <v>250450</v>
      </c>
      <c r="H405" s="34">
        <v>231700</v>
      </c>
      <c r="I405" s="34">
        <v>212950</v>
      </c>
      <c r="J405" s="34">
        <v>194200</v>
      </c>
      <c r="K405" s="34">
        <v>175450</v>
      </c>
      <c r="L405" s="34">
        <v>156700</v>
      </c>
      <c r="M405" s="34">
        <v>137950</v>
      </c>
      <c r="N405" s="34">
        <v>119200</v>
      </c>
    </row>
    <row r="406" spans="1:14">
      <c r="A406" s="34">
        <v>5120</v>
      </c>
      <c r="B406" s="34">
        <v>5140</v>
      </c>
      <c r="C406" s="34">
        <f t="shared" si="6"/>
        <v>5120000</v>
      </c>
      <c r="D406" s="34">
        <v>370740</v>
      </c>
      <c r="E406" s="34">
        <v>341890</v>
      </c>
      <c r="F406" s="34">
        <v>271780</v>
      </c>
      <c r="G406" s="34">
        <v>253030</v>
      </c>
      <c r="H406" s="34">
        <v>234280</v>
      </c>
      <c r="I406" s="34">
        <v>215530</v>
      </c>
      <c r="J406" s="34">
        <v>196780</v>
      </c>
      <c r="K406" s="34">
        <v>178030</v>
      </c>
      <c r="L406" s="34">
        <v>159280</v>
      </c>
      <c r="M406" s="34">
        <v>140530</v>
      </c>
      <c r="N406" s="34">
        <v>121780</v>
      </c>
    </row>
    <row r="407" spans="1:14">
      <c r="A407" s="34">
        <v>5140</v>
      </c>
      <c r="B407" s="34">
        <v>5160</v>
      </c>
      <c r="C407" s="34">
        <f t="shared" si="6"/>
        <v>5140000</v>
      </c>
      <c r="D407" s="34">
        <v>373540</v>
      </c>
      <c r="E407" s="34">
        <v>344680</v>
      </c>
      <c r="F407" s="34">
        <v>274360</v>
      </c>
      <c r="G407" s="34">
        <v>255610</v>
      </c>
      <c r="H407" s="34">
        <v>236860</v>
      </c>
      <c r="I407" s="34">
        <v>218110</v>
      </c>
      <c r="J407" s="34">
        <v>199360</v>
      </c>
      <c r="K407" s="34">
        <v>180610</v>
      </c>
      <c r="L407" s="34">
        <v>161860</v>
      </c>
      <c r="M407" s="34">
        <v>143110</v>
      </c>
      <c r="N407" s="34">
        <v>124360</v>
      </c>
    </row>
    <row r="408" spans="1:14">
      <c r="A408" s="34">
        <v>5160</v>
      </c>
      <c r="B408" s="34">
        <v>5180</v>
      </c>
      <c r="C408" s="34">
        <f t="shared" si="6"/>
        <v>5160000</v>
      </c>
      <c r="D408" s="34">
        <v>376350</v>
      </c>
      <c r="E408" s="34">
        <v>347470</v>
      </c>
      <c r="F408" s="34">
        <v>276940</v>
      </c>
      <c r="G408" s="34">
        <v>258190</v>
      </c>
      <c r="H408" s="34">
        <v>239440</v>
      </c>
      <c r="I408" s="34">
        <v>220690</v>
      </c>
      <c r="J408" s="34">
        <v>201940</v>
      </c>
      <c r="K408" s="34">
        <v>183190</v>
      </c>
      <c r="L408" s="34">
        <v>164440</v>
      </c>
      <c r="M408" s="34">
        <v>145690</v>
      </c>
      <c r="N408" s="34">
        <v>126940</v>
      </c>
    </row>
    <row r="409" spans="1:14">
      <c r="A409" s="34">
        <v>5180</v>
      </c>
      <c r="B409" s="34">
        <v>5200</v>
      </c>
      <c r="C409" s="34">
        <f t="shared" si="6"/>
        <v>5180000</v>
      </c>
      <c r="D409" s="34">
        <v>379150</v>
      </c>
      <c r="E409" s="34">
        <v>350260</v>
      </c>
      <c r="F409" s="34">
        <v>279520</v>
      </c>
      <c r="G409" s="34">
        <v>260770</v>
      </c>
      <c r="H409" s="34">
        <v>242020</v>
      </c>
      <c r="I409" s="34">
        <v>223270</v>
      </c>
      <c r="J409" s="34">
        <v>204520</v>
      </c>
      <c r="K409" s="34">
        <v>185770</v>
      </c>
      <c r="L409" s="34">
        <v>167020</v>
      </c>
      <c r="M409" s="34">
        <v>148270</v>
      </c>
      <c r="N409" s="34">
        <v>129520</v>
      </c>
    </row>
    <row r="410" spans="1:14">
      <c r="A410" s="34">
        <v>5200</v>
      </c>
      <c r="B410" s="34">
        <v>5220</v>
      </c>
      <c r="C410" s="34">
        <f t="shared" si="6"/>
        <v>5200000</v>
      </c>
      <c r="D410" s="34">
        <v>381960</v>
      </c>
      <c r="E410" s="34">
        <v>353050</v>
      </c>
      <c r="F410" s="34">
        <v>282100</v>
      </c>
      <c r="G410" s="34">
        <v>263350</v>
      </c>
      <c r="H410" s="34">
        <v>244600</v>
      </c>
      <c r="I410" s="34">
        <v>225850</v>
      </c>
      <c r="J410" s="34">
        <v>207100</v>
      </c>
      <c r="K410" s="34">
        <v>188350</v>
      </c>
      <c r="L410" s="34">
        <v>169600</v>
      </c>
      <c r="M410" s="34">
        <v>150850</v>
      </c>
      <c r="N410" s="34">
        <v>132100</v>
      </c>
    </row>
    <row r="411" spans="1:14">
      <c r="A411" s="34">
        <v>5220</v>
      </c>
      <c r="B411" s="34">
        <v>5240</v>
      </c>
      <c r="C411" s="34">
        <f t="shared" si="6"/>
        <v>5220000</v>
      </c>
      <c r="D411" s="34">
        <v>384760</v>
      </c>
      <c r="E411" s="34">
        <v>355840</v>
      </c>
      <c r="F411" s="34">
        <v>284680</v>
      </c>
      <c r="G411" s="34">
        <v>265930</v>
      </c>
      <c r="H411" s="34">
        <v>247180</v>
      </c>
      <c r="I411" s="34">
        <v>228430</v>
      </c>
      <c r="J411" s="34">
        <v>209680</v>
      </c>
      <c r="K411" s="34">
        <v>190930</v>
      </c>
      <c r="L411" s="34">
        <v>172180</v>
      </c>
      <c r="M411" s="34">
        <v>153430</v>
      </c>
      <c r="N411" s="34">
        <v>134680</v>
      </c>
    </row>
    <row r="412" spans="1:14">
      <c r="A412" s="34">
        <v>5240</v>
      </c>
      <c r="B412" s="34">
        <v>5260</v>
      </c>
      <c r="C412" s="34">
        <f t="shared" si="6"/>
        <v>5240000</v>
      </c>
      <c r="D412" s="34">
        <v>387570</v>
      </c>
      <c r="E412" s="34">
        <v>358630</v>
      </c>
      <c r="F412" s="34">
        <v>287260</v>
      </c>
      <c r="G412" s="34">
        <v>268510</v>
      </c>
      <c r="H412" s="34">
        <v>249760</v>
      </c>
      <c r="I412" s="34">
        <v>231010</v>
      </c>
      <c r="J412" s="34">
        <v>212260</v>
      </c>
      <c r="K412" s="34">
        <v>193510</v>
      </c>
      <c r="L412" s="34">
        <v>174760</v>
      </c>
      <c r="M412" s="34">
        <v>156010</v>
      </c>
      <c r="N412" s="34">
        <v>137260</v>
      </c>
    </row>
    <row r="413" spans="1:14">
      <c r="A413" s="34">
        <v>5260</v>
      </c>
      <c r="B413" s="34">
        <v>5280</v>
      </c>
      <c r="C413" s="34">
        <f t="shared" si="6"/>
        <v>5260000</v>
      </c>
      <c r="D413" s="34">
        <v>390370</v>
      </c>
      <c r="E413" s="34">
        <v>361420</v>
      </c>
      <c r="F413" s="34">
        <v>289840</v>
      </c>
      <c r="G413" s="34">
        <v>271090</v>
      </c>
      <c r="H413" s="34">
        <v>252340</v>
      </c>
      <c r="I413" s="34">
        <v>233590</v>
      </c>
      <c r="J413" s="34">
        <v>214840</v>
      </c>
      <c r="K413" s="34">
        <v>196090</v>
      </c>
      <c r="L413" s="34">
        <v>177340</v>
      </c>
      <c r="M413" s="34">
        <v>158590</v>
      </c>
      <c r="N413" s="34">
        <v>139840</v>
      </c>
    </row>
    <row r="414" spans="1:14">
      <c r="A414" s="34">
        <v>5280</v>
      </c>
      <c r="B414" s="34">
        <v>5300</v>
      </c>
      <c r="C414" s="34">
        <f t="shared" si="6"/>
        <v>5280000</v>
      </c>
      <c r="D414" s="34">
        <v>393180</v>
      </c>
      <c r="E414" s="34">
        <v>364210</v>
      </c>
      <c r="F414" s="34">
        <v>292420</v>
      </c>
      <c r="G414" s="34">
        <v>273670</v>
      </c>
      <c r="H414" s="34">
        <v>254920</v>
      </c>
      <c r="I414" s="34">
        <v>236170</v>
      </c>
      <c r="J414" s="34">
        <v>217420</v>
      </c>
      <c r="K414" s="34">
        <v>198670</v>
      </c>
      <c r="L414" s="34">
        <v>179920</v>
      </c>
      <c r="M414" s="34">
        <v>161170</v>
      </c>
      <c r="N414" s="34">
        <v>142420</v>
      </c>
    </row>
    <row r="415" spans="1:14">
      <c r="A415" s="34">
        <v>5300</v>
      </c>
      <c r="B415" s="34">
        <v>5320</v>
      </c>
      <c r="C415" s="34">
        <f t="shared" si="6"/>
        <v>5300000</v>
      </c>
      <c r="D415" s="34">
        <v>395980</v>
      </c>
      <c r="E415" s="34">
        <v>367000</v>
      </c>
      <c r="F415" s="34">
        <v>295000</v>
      </c>
      <c r="G415" s="34">
        <v>276250</v>
      </c>
      <c r="H415" s="34">
        <v>257500</v>
      </c>
      <c r="I415" s="34">
        <v>238750</v>
      </c>
      <c r="J415" s="34">
        <v>220000</v>
      </c>
      <c r="K415" s="34">
        <v>201250</v>
      </c>
      <c r="L415" s="34">
        <v>182500</v>
      </c>
      <c r="M415" s="34">
        <v>163750</v>
      </c>
      <c r="N415" s="34">
        <v>145000</v>
      </c>
    </row>
    <row r="416" spans="1:14">
      <c r="A416" s="34">
        <v>5320</v>
      </c>
      <c r="B416" s="34">
        <v>5340</v>
      </c>
      <c r="C416" s="34">
        <f t="shared" si="6"/>
        <v>5320000</v>
      </c>
      <c r="D416" s="34">
        <v>398790</v>
      </c>
      <c r="E416" s="34">
        <v>369790</v>
      </c>
      <c r="F416" s="34">
        <v>297580</v>
      </c>
      <c r="G416" s="34">
        <v>278830</v>
      </c>
      <c r="H416" s="34">
        <v>260080</v>
      </c>
      <c r="I416" s="34">
        <v>241330</v>
      </c>
      <c r="J416" s="34">
        <v>222580</v>
      </c>
      <c r="K416" s="34">
        <v>203830</v>
      </c>
      <c r="L416" s="34">
        <v>185080</v>
      </c>
      <c r="M416" s="34">
        <v>166330</v>
      </c>
      <c r="N416" s="34">
        <v>147580</v>
      </c>
    </row>
    <row r="417" spans="1:14">
      <c r="A417" s="34">
        <v>5340</v>
      </c>
      <c r="B417" s="34">
        <v>5360</v>
      </c>
      <c r="C417" s="34">
        <f t="shared" si="6"/>
        <v>5340000</v>
      </c>
      <c r="D417" s="34">
        <v>401590</v>
      </c>
      <c r="E417" s="34">
        <v>372580</v>
      </c>
      <c r="F417" s="34">
        <v>300160</v>
      </c>
      <c r="G417" s="34">
        <v>281410</v>
      </c>
      <c r="H417" s="34">
        <v>262660</v>
      </c>
      <c r="I417" s="34">
        <v>243910</v>
      </c>
      <c r="J417" s="34">
        <v>225160</v>
      </c>
      <c r="K417" s="34">
        <v>206410</v>
      </c>
      <c r="L417" s="34">
        <v>187660</v>
      </c>
      <c r="M417" s="34">
        <v>168910</v>
      </c>
      <c r="N417" s="34">
        <v>150160</v>
      </c>
    </row>
    <row r="418" spans="1:14">
      <c r="A418" s="34">
        <v>5360</v>
      </c>
      <c r="B418" s="34">
        <v>5380</v>
      </c>
      <c r="C418" s="34">
        <f t="shared" si="6"/>
        <v>5360000</v>
      </c>
      <c r="D418" s="34">
        <v>404400</v>
      </c>
      <c r="E418" s="34">
        <v>375370</v>
      </c>
      <c r="F418" s="34">
        <v>302740</v>
      </c>
      <c r="G418" s="34">
        <v>283990</v>
      </c>
      <c r="H418" s="34">
        <v>265240</v>
      </c>
      <c r="I418" s="34">
        <v>246490</v>
      </c>
      <c r="J418" s="34">
        <v>227740</v>
      </c>
      <c r="K418" s="34">
        <v>208990</v>
      </c>
      <c r="L418" s="34">
        <v>190240</v>
      </c>
      <c r="M418" s="34">
        <v>171490</v>
      </c>
      <c r="N418" s="34">
        <v>152740</v>
      </c>
    </row>
    <row r="419" spans="1:14">
      <c r="A419" s="34">
        <v>5380</v>
      </c>
      <c r="B419" s="34">
        <v>5400</v>
      </c>
      <c r="C419" s="34">
        <f t="shared" si="6"/>
        <v>5380000</v>
      </c>
      <c r="D419" s="34">
        <v>407200</v>
      </c>
      <c r="E419" s="34">
        <v>378160</v>
      </c>
      <c r="F419" s="34">
        <v>305320</v>
      </c>
      <c r="G419" s="34">
        <v>286570</v>
      </c>
      <c r="H419" s="34">
        <v>267820</v>
      </c>
      <c r="I419" s="34">
        <v>249070</v>
      </c>
      <c r="J419" s="34">
        <v>230320</v>
      </c>
      <c r="K419" s="34">
        <v>211570</v>
      </c>
      <c r="L419" s="34">
        <v>192820</v>
      </c>
      <c r="M419" s="34">
        <v>174070</v>
      </c>
      <c r="N419" s="34">
        <v>155320</v>
      </c>
    </row>
    <row r="420" spans="1:14">
      <c r="A420" s="34">
        <v>5400</v>
      </c>
      <c r="B420" s="34">
        <v>5420</v>
      </c>
      <c r="C420" s="34">
        <f t="shared" si="6"/>
        <v>5400000</v>
      </c>
      <c r="D420" s="34">
        <v>410010</v>
      </c>
      <c r="E420" s="34">
        <v>380950</v>
      </c>
      <c r="F420" s="34">
        <v>307900</v>
      </c>
      <c r="G420" s="34">
        <v>289150</v>
      </c>
      <c r="H420" s="34">
        <v>270400</v>
      </c>
      <c r="I420" s="34">
        <v>251650</v>
      </c>
      <c r="J420" s="34">
        <v>232900</v>
      </c>
      <c r="K420" s="34">
        <v>214150</v>
      </c>
      <c r="L420" s="34">
        <v>195400</v>
      </c>
      <c r="M420" s="34">
        <v>176650</v>
      </c>
      <c r="N420" s="34">
        <v>157900</v>
      </c>
    </row>
    <row r="421" spans="1:14">
      <c r="A421" s="34">
        <v>5420</v>
      </c>
      <c r="B421" s="34">
        <v>5440</v>
      </c>
      <c r="C421" s="34">
        <f t="shared" si="6"/>
        <v>5420000</v>
      </c>
      <c r="D421" s="34">
        <v>412810</v>
      </c>
      <c r="E421" s="34">
        <v>383740</v>
      </c>
      <c r="F421" s="34">
        <v>310480</v>
      </c>
      <c r="G421" s="34">
        <v>291730</v>
      </c>
      <c r="H421" s="34">
        <v>272980</v>
      </c>
      <c r="I421" s="34">
        <v>254230</v>
      </c>
      <c r="J421" s="34">
        <v>235480</v>
      </c>
      <c r="K421" s="34">
        <v>216730</v>
      </c>
      <c r="L421" s="34">
        <v>197980</v>
      </c>
      <c r="M421" s="34">
        <v>179230</v>
      </c>
      <c r="N421" s="34">
        <v>160480</v>
      </c>
    </row>
    <row r="422" spans="1:14">
      <c r="A422" s="34">
        <v>5440</v>
      </c>
      <c r="B422" s="34">
        <v>5460</v>
      </c>
      <c r="C422" s="34">
        <f t="shared" si="6"/>
        <v>5440000</v>
      </c>
      <c r="D422" s="34">
        <v>415620</v>
      </c>
      <c r="E422" s="34">
        <v>386530</v>
      </c>
      <c r="F422" s="34">
        <v>313060</v>
      </c>
      <c r="G422" s="34">
        <v>294310</v>
      </c>
      <c r="H422" s="34">
        <v>275560</v>
      </c>
      <c r="I422" s="34">
        <v>256810</v>
      </c>
      <c r="J422" s="34">
        <v>238060</v>
      </c>
      <c r="K422" s="34">
        <v>219310</v>
      </c>
      <c r="L422" s="34">
        <v>200560</v>
      </c>
      <c r="M422" s="34">
        <v>181810</v>
      </c>
      <c r="N422" s="34">
        <v>163060</v>
      </c>
    </row>
    <row r="423" spans="1:14">
      <c r="A423" s="34">
        <v>5460</v>
      </c>
      <c r="B423" s="34">
        <v>5480</v>
      </c>
      <c r="C423" s="34">
        <f t="shared" si="6"/>
        <v>5460000</v>
      </c>
      <c r="D423" s="34">
        <v>418420</v>
      </c>
      <c r="E423" s="34">
        <v>389320</v>
      </c>
      <c r="F423" s="34">
        <v>315640</v>
      </c>
      <c r="G423" s="34">
        <v>296890</v>
      </c>
      <c r="H423" s="34">
        <v>278140</v>
      </c>
      <c r="I423" s="34">
        <v>259390</v>
      </c>
      <c r="J423" s="34">
        <v>240640</v>
      </c>
      <c r="K423" s="34">
        <v>221890</v>
      </c>
      <c r="L423" s="34">
        <v>203140</v>
      </c>
      <c r="M423" s="34">
        <v>184390</v>
      </c>
      <c r="N423" s="34">
        <v>165640</v>
      </c>
    </row>
    <row r="424" spans="1:14">
      <c r="A424" s="34">
        <v>5480</v>
      </c>
      <c r="B424" s="34">
        <v>5500</v>
      </c>
      <c r="C424" s="34">
        <f t="shared" si="6"/>
        <v>5480000</v>
      </c>
      <c r="D424" s="34">
        <v>421230</v>
      </c>
      <c r="E424" s="34">
        <v>392110</v>
      </c>
      <c r="F424" s="34">
        <v>318220</v>
      </c>
      <c r="G424" s="34">
        <v>299470</v>
      </c>
      <c r="H424" s="34">
        <v>280720</v>
      </c>
      <c r="I424" s="34">
        <v>261970</v>
      </c>
      <c r="J424" s="34">
        <v>243220</v>
      </c>
      <c r="K424" s="34">
        <v>224470</v>
      </c>
      <c r="L424" s="34">
        <v>205720</v>
      </c>
      <c r="M424" s="34">
        <v>186970</v>
      </c>
      <c r="N424" s="34">
        <v>168220</v>
      </c>
    </row>
    <row r="425" spans="1:14">
      <c r="A425" s="34">
        <v>5500</v>
      </c>
      <c r="B425" s="34">
        <v>5520</v>
      </c>
      <c r="C425" s="34">
        <f t="shared" si="6"/>
        <v>5500000</v>
      </c>
      <c r="D425" s="34">
        <v>424030</v>
      </c>
      <c r="E425" s="34">
        <v>394900</v>
      </c>
      <c r="F425" s="34">
        <v>320800</v>
      </c>
      <c r="G425" s="34">
        <v>302050</v>
      </c>
      <c r="H425" s="34">
        <v>283300</v>
      </c>
      <c r="I425" s="34">
        <v>264550</v>
      </c>
      <c r="J425" s="34">
        <v>245800</v>
      </c>
      <c r="K425" s="34">
        <v>227050</v>
      </c>
      <c r="L425" s="34">
        <v>208300</v>
      </c>
      <c r="M425" s="34">
        <v>189550</v>
      </c>
      <c r="N425" s="34">
        <v>170800</v>
      </c>
    </row>
    <row r="426" spans="1:14">
      <c r="A426" s="34">
        <v>5520</v>
      </c>
      <c r="B426" s="34">
        <v>5540</v>
      </c>
      <c r="C426" s="34">
        <f t="shared" si="6"/>
        <v>5520000</v>
      </c>
      <c r="D426" s="34">
        <v>426840</v>
      </c>
      <c r="E426" s="34">
        <v>397690</v>
      </c>
      <c r="F426" s="34">
        <v>323380</v>
      </c>
      <c r="G426" s="34">
        <v>304630</v>
      </c>
      <c r="H426" s="34">
        <v>285880</v>
      </c>
      <c r="I426" s="34">
        <v>267130</v>
      </c>
      <c r="J426" s="34">
        <v>248380</v>
      </c>
      <c r="K426" s="34">
        <v>229630</v>
      </c>
      <c r="L426" s="34">
        <v>210880</v>
      </c>
      <c r="M426" s="34">
        <v>192130</v>
      </c>
      <c r="N426" s="34">
        <v>173380</v>
      </c>
    </row>
    <row r="427" spans="1:14">
      <c r="A427" s="34">
        <v>5540</v>
      </c>
      <c r="B427" s="34">
        <v>5560</v>
      </c>
      <c r="C427" s="34">
        <f t="shared" si="6"/>
        <v>5540000</v>
      </c>
      <c r="D427" s="34">
        <v>429640</v>
      </c>
      <c r="E427" s="34">
        <v>400480</v>
      </c>
      <c r="F427" s="34">
        <v>325960</v>
      </c>
      <c r="G427" s="34">
        <v>307210</v>
      </c>
      <c r="H427" s="34">
        <v>288460</v>
      </c>
      <c r="I427" s="34">
        <v>269710</v>
      </c>
      <c r="J427" s="34">
        <v>250960</v>
      </c>
      <c r="K427" s="34">
        <v>232210</v>
      </c>
      <c r="L427" s="34">
        <v>213460</v>
      </c>
      <c r="M427" s="34">
        <v>194710</v>
      </c>
      <c r="N427" s="34">
        <v>175960</v>
      </c>
    </row>
    <row r="428" spans="1:14">
      <c r="A428" s="34">
        <v>5560</v>
      </c>
      <c r="B428" s="34">
        <v>5580</v>
      </c>
      <c r="C428" s="34">
        <f t="shared" si="6"/>
        <v>5560000</v>
      </c>
      <c r="D428" s="34">
        <v>432450</v>
      </c>
      <c r="E428" s="34">
        <v>403270</v>
      </c>
      <c r="F428" s="34">
        <v>328540</v>
      </c>
      <c r="G428" s="34">
        <v>309790</v>
      </c>
      <c r="H428" s="34">
        <v>291040</v>
      </c>
      <c r="I428" s="34">
        <v>272290</v>
      </c>
      <c r="J428" s="34">
        <v>253540</v>
      </c>
      <c r="K428" s="34">
        <v>234790</v>
      </c>
      <c r="L428" s="34">
        <v>216040</v>
      </c>
      <c r="M428" s="34">
        <v>197290</v>
      </c>
      <c r="N428" s="34">
        <v>178540</v>
      </c>
    </row>
    <row r="429" spans="1:14">
      <c r="A429" s="34">
        <v>5580</v>
      </c>
      <c r="B429" s="34">
        <v>5600</v>
      </c>
      <c r="C429" s="34">
        <f t="shared" si="6"/>
        <v>5580000</v>
      </c>
      <c r="D429" s="34">
        <v>436910</v>
      </c>
      <c r="E429" s="34">
        <v>406060</v>
      </c>
      <c r="F429" s="34">
        <v>331120</v>
      </c>
      <c r="G429" s="34">
        <v>312370</v>
      </c>
      <c r="H429" s="34">
        <v>293620</v>
      </c>
      <c r="I429" s="34">
        <v>274870</v>
      </c>
      <c r="J429" s="34">
        <v>256120</v>
      </c>
      <c r="K429" s="34">
        <v>237370</v>
      </c>
      <c r="L429" s="34">
        <v>218620</v>
      </c>
      <c r="M429" s="34">
        <v>199870</v>
      </c>
      <c r="N429" s="34">
        <v>181120</v>
      </c>
    </row>
    <row r="430" spans="1:14">
      <c r="A430" s="34">
        <v>5600</v>
      </c>
      <c r="B430" s="34">
        <v>5620</v>
      </c>
      <c r="C430" s="34">
        <f t="shared" si="6"/>
        <v>5600000</v>
      </c>
      <c r="D430" s="34">
        <v>441400</v>
      </c>
      <c r="E430" s="34">
        <v>408850</v>
      </c>
      <c r="F430" s="34">
        <v>333700</v>
      </c>
      <c r="G430" s="34">
        <v>314950</v>
      </c>
      <c r="H430" s="34">
        <v>296200</v>
      </c>
      <c r="I430" s="34">
        <v>277450</v>
      </c>
      <c r="J430" s="34">
        <v>258700</v>
      </c>
      <c r="K430" s="34">
        <v>239950</v>
      </c>
      <c r="L430" s="34">
        <v>221200</v>
      </c>
      <c r="M430" s="34">
        <v>202450</v>
      </c>
      <c r="N430" s="34">
        <v>183700</v>
      </c>
    </row>
    <row r="431" spans="1:14">
      <c r="A431" s="34">
        <v>5620</v>
      </c>
      <c r="B431" s="34">
        <v>5640</v>
      </c>
      <c r="C431" s="34">
        <f t="shared" si="6"/>
        <v>5620000</v>
      </c>
      <c r="D431" s="34">
        <v>445880</v>
      </c>
      <c r="E431" s="34">
        <v>411640</v>
      </c>
      <c r="F431" s="34">
        <v>336280</v>
      </c>
      <c r="G431" s="34">
        <v>317530</v>
      </c>
      <c r="H431" s="34">
        <v>298780</v>
      </c>
      <c r="I431" s="34">
        <v>280030</v>
      </c>
      <c r="J431" s="34">
        <v>261280</v>
      </c>
      <c r="K431" s="34">
        <v>242530</v>
      </c>
      <c r="L431" s="34">
        <v>223780</v>
      </c>
      <c r="M431" s="34">
        <v>205030</v>
      </c>
      <c r="N431" s="34">
        <v>186280</v>
      </c>
    </row>
    <row r="432" spans="1:14">
      <c r="A432" s="34">
        <v>5640</v>
      </c>
      <c r="B432" s="34">
        <v>5660</v>
      </c>
      <c r="C432" s="34">
        <f t="shared" si="6"/>
        <v>5640000</v>
      </c>
      <c r="D432" s="34">
        <v>450370</v>
      </c>
      <c r="E432" s="34">
        <v>414430</v>
      </c>
      <c r="F432" s="34">
        <v>338860</v>
      </c>
      <c r="G432" s="34">
        <v>320110</v>
      </c>
      <c r="H432" s="34">
        <v>301360</v>
      </c>
      <c r="I432" s="34">
        <v>282610</v>
      </c>
      <c r="J432" s="34">
        <v>263860</v>
      </c>
      <c r="K432" s="34">
        <v>245110</v>
      </c>
      <c r="L432" s="34">
        <v>226360</v>
      </c>
      <c r="M432" s="34">
        <v>207610</v>
      </c>
      <c r="N432" s="34">
        <v>188860</v>
      </c>
    </row>
    <row r="433" spans="1:14">
      <c r="A433" s="34">
        <v>5660</v>
      </c>
      <c r="B433" s="34">
        <v>5680</v>
      </c>
      <c r="C433" s="34">
        <f t="shared" si="6"/>
        <v>5660000</v>
      </c>
      <c r="D433" s="34">
        <v>454860</v>
      </c>
      <c r="E433" s="34">
        <v>417220</v>
      </c>
      <c r="F433" s="34">
        <v>341440</v>
      </c>
      <c r="G433" s="34">
        <v>322690</v>
      </c>
      <c r="H433" s="34">
        <v>303940</v>
      </c>
      <c r="I433" s="34">
        <v>285190</v>
      </c>
      <c r="J433" s="34">
        <v>266440</v>
      </c>
      <c r="K433" s="34">
        <v>247690</v>
      </c>
      <c r="L433" s="34">
        <v>228940</v>
      </c>
      <c r="M433" s="34">
        <v>210190</v>
      </c>
      <c r="N433" s="34">
        <v>191440</v>
      </c>
    </row>
    <row r="434" spans="1:14">
      <c r="A434" s="34">
        <v>5680</v>
      </c>
      <c r="B434" s="34">
        <v>5700</v>
      </c>
      <c r="C434" s="34">
        <f t="shared" si="6"/>
        <v>5680000</v>
      </c>
      <c r="D434" s="34">
        <v>459350</v>
      </c>
      <c r="E434" s="34">
        <v>420010</v>
      </c>
      <c r="F434" s="34">
        <v>344020</v>
      </c>
      <c r="G434" s="34">
        <v>325270</v>
      </c>
      <c r="H434" s="34">
        <v>306520</v>
      </c>
      <c r="I434" s="34">
        <v>287770</v>
      </c>
      <c r="J434" s="34">
        <v>269020</v>
      </c>
      <c r="K434" s="34">
        <v>250270</v>
      </c>
      <c r="L434" s="34">
        <v>231520</v>
      </c>
      <c r="M434" s="34">
        <v>212770</v>
      </c>
      <c r="N434" s="34">
        <v>194020</v>
      </c>
    </row>
    <row r="435" spans="1:14">
      <c r="A435" s="34">
        <v>5700</v>
      </c>
      <c r="B435" s="34">
        <v>5720</v>
      </c>
      <c r="C435" s="34">
        <f t="shared" si="6"/>
        <v>5700000</v>
      </c>
      <c r="D435" s="34">
        <v>463840</v>
      </c>
      <c r="E435" s="34">
        <v>422800</v>
      </c>
      <c r="F435" s="34">
        <v>346600</v>
      </c>
      <c r="G435" s="34">
        <v>327850</v>
      </c>
      <c r="H435" s="34">
        <v>309100</v>
      </c>
      <c r="I435" s="34">
        <v>290350</v>
      </c>
      <c r="J435" s="34">
        <v>271600</v>
      </c>
      <c r="K435" s="34">
        <v>252850</v>
      </c>
      <c r="L435" s="34">
        <v>234100</v>
      </c>
      <c r="M435" s="34">
        <v>215350</v>
      </c>
      <c r="N435" s="34">
        <v>196600</v>
      </c>
    </row>
    <row r="436" spans="1:14">
      <c r="A436" s="34">
        <v>5720</v>
      </c>
      <c r="B436" s="34">
        <v>5740</v>
      </c>
      <c r="C436" s="34">
        <f t="shared" si="6"/>
        <v>5720000</v>
      </c>
      <c r="D436" s="34">
        <v>468320</v>
      </c>
      <c r="E436" s="34">
        <v>425590</v>
      </c>
      <c r="F436" s="34">
        <v>349180</v>
      </c>
      <c r="G436" s="34">
        <v>330430</v>
      </c>
      <c r="H436" s="34">
        <v>311680</v>
      </c>
      <c r="I436" s="34">
        <v>292930</v>
      </c>
      <c r="J436" s="34">
        <v>274180</v>
      </c>
      <c r="K436" s="34">
        <v>255430</v>
      </c>
      <c r="L436" s="34">
        <v>236680</v>
      </c>
      <c r="M436" s="34">
        <v>217930</v>
      </c>
      <c r="N436" s="34">
        <v>199180</v>
      </c>
    </row>
    <row r="437" spans="1:14">
      <c r="A437" s="34">
        <v>5740</v>
      </c>
      <c r="B437" s="34">
        <v>5760</v>
      </c>
      <c r="C437" s="34">
        <f t="shared" si="6"/>
        <v>5740000</v>
      </c>
      <c r="D437" s="34">
        <v>472810</v>
      </c>
      <c r="E437" s="34">
        <v>428380</v>
      </c>
      <c r="F437" s="34">
        <v>351760</v>
      </c>
      <c r="G437" s="34">
        <v>333010</v>
      </c>
      <c r="H437" s="34">
        <v>314260</v>
      </c>
      <c r="I437" s="34">
        <v>295510</v>
      </c>
      <c r="J437" s="34">
        <v>276760</v>
      </c>
      <c r="K437" s="34">
        <v>258010</v>
      </c>
      <c r="L437" s="34">
        <v>239260</v>
      </c>
      <c r="M437" s="34">
        <v>220510</v>
      </c>
      <c r="N437" s="34">
        <v>201760</v>
      </c>
    </row>
    <row r="438" spans="1:14">
      <c r="A438" s="34">
        <v>5760</v>
      </c>
      <c r="B438" s="34">
        <v>5780</v>
      </c>
      <c r="C438" s="34">
        <f t="shared" si="6"/>
        <v>5760000</v>
      </c>
      <c r="D438" s="34">
        <v>477300</v>
      </c>
      <c r="E438" s="34">
        <v>431170</v>
      </c>
      <c r="F438" s="34">
        <v>354340</v>
      </c>
      <c r="G438" s="34">
        <v>335590</v>
      </c>
      <c r="H438" s="34">
        <v>316840</v>
      </c>
      <c r="I438" s="34">
        <v>298090</v>
      </c>
      <c r="J438" s="34">
        <v>279340</v>
      </c>
      <c r="K438" s="34">
        <v>260590</v>
      </c>
      <c r="L438" s="34">
        <v>241840</v>
      </c>
      <c r="M438" s="34">
        <v>223090</v>
      </c>
      <c r="N438" s="34">
        <v>204340</v>
      </c>
    </row>
    <row r="439" spans="1:14">
      <c r="A439" s="34">
        <v>5780</v>
      </c>
      <c r="B439" s="34">
        <v>5800</v>
      </c>
      <c r="C439" s="34">
        <f t="shared" si="6"/>
        <v>5780000</v>
      </c>
      <c r="D439" s="34">
        <v>481790</v>
      </c>
      <c r="E439" s="34">
        <v>434840</v>
      </c>
      <c r="F439" s="34">
        <v>356920</v>
      </c>
      <c r="G439" s="34">
        <v>338170</v>
      </c>
      <c r="H439" s="34">
        <v>319420</v>
      </c>
      <c r="I439" s="34">
        <v>300670</v>
      </c>
      <c r="J439" s="34">
        <v>281920</v>
      </c>
      <c r="K439" s="34">
        <v>263170</v>
      </c>
      <c r="L439" s="34">
        <v>244420</v>
      </c>
      <c r="M439" s="34">
        <v>225670</v>
      </c>
      <c r="N439" s="34">
        <v>206920</v>
      </c>
    </row>
    <row r="440" spans="1:14">
      <c r="A440" s="34">
        <v>5800</v>
      </c>
      <c r="B440" s="34">
        <v>5820</v>
      </c>
      <c r="C440" s="34">
        <f t="shared" si="6"/>
        <v>5800000</v>
      </c>
      <c r="D440" s="34">
        <v>486280</v>
      </c>
      <c r="E440" s="34">
        <v>439300</v>
      </c>
      <c r="F440" s="34">
        <v>359500</v>
      </c>
      <c r="G440" s="34">
        <v>340750</v>
      </c>
      <c r="H440" s="34">
        <v>322000</v>
      </c>
      <c r="I440" s="34">
        <v>303250</v>
      </c>
      <c r="J440" s="34">
        <v>284500</v>
      </c>
      <c r="K440" s="34">
        <v>265750</v>
      </c>
      <c r="L440" s="34">
        <v>247000</v>
      </c>
      <c r="M440" s="34">
        <v>228250</v>
      </c>
      <c r="N440" s="34">
        <v>209500</v>
      </c>
    </row>
    <row r="441" spans="1:14">
      <c r="A441" s="34">
        <v>5820</v>
      </c>
      <c r="B441" s="34">
        <v>5840</v>
      </c>
      <c r="C441" s="34">
        <f t="shared" si="6"/>
        <v>5820000</v>
      </c>
      <c r="D441" s="34">
        <v>490760</v>
      </c>
      <c r="E441" s="34">
        <v>443770</v>
      </c>
      <c r="F441" s="34">
        <v>362080</v>
      </c>
      <c r="G441" s="34">
        <v>343330</v>
      </c>
      <c r="H441" s="34">
        <v>324580</v>
      </c>
      <c r="I441" s="34">
        <v>305830</v>
      </c>
      <c r="J441" s="34">
        <v>287080</v>
      </c>
      <c r="K441" s="34">
        <v>268330</v>
      </c>
      <c r="L441" s="34">
        <v>249580</v>
      </c>
      <c r="M441" s="34">
        <v>230830</v>
      </c>
      <c r="N441" s="34">
        <v>212080</v>
      </c>
    </row>
    <row r="442" spans="1:14">
      <c r="A442" s="34">
        <v>5840</v>
      </c>
      <c r="B442" s="34">
        <v>5860</v>
      </c>
      <c r="C442" s="34">
        <f t="shared" si="6"/>
        <v>5840000</v>
      </c>
      <c r="D442" s="34">
        <v>517620</v>
      </c>
      <c r="E442" s="34">
        <v>470600</v>
      </c>
      <c r="F442" s="34">
        <v>390540</v>
      </c>
      <c r="G442" s="34">
        <v>371790</v>
      </c>
      <c r="H442" s="34">
        <v>353040</v>
      </c>
      <c r="I442" s="34">
        <v>334290</v>
      </c>
      <c r="J442" s="34">
        <v>315540</v>
      </c>
      <c r="K442" s="34">
        <v>296790</v>
      </c>
      <c r="L442" s="34">
        <v>278040</v>
      </c>
      <c r="M442" s="34">
        <v>259290</v>
      </c>
      <c r="N442" s="34">
        <v>240540</v>
      </c>
    </row>
    <row r="443" spans="1:14">
      <c r="A443" s="34">
        <v>5860</v>
      </c>
      <c r="B443" s="34">
        <v>5880</v>
      </c>
      <c r="C443" s="34">
        <f t="shared" si="6"/>
        <v>5860000</v>
      </c>
      <c r="D443" s="34">
        <v>524660</v>
      </c>
      <c r="E443" s="34">
        <v>477620</v>
      </c>
      <c r="F443" s="34">
        <v>395680</v>
      </c>
      <c r="G443" s="34">
        <v>376930</v>
      </c>
      <c r="H443" s="34">
        <v>358180</v>
      </c>
      <c r="I443" s="34">
        <v>339430</v>
      </c>
      <c r="J443" s="34">
        <v>320680</v>
      </c>
      <c r="K443" s="34">
        <v>301930</v>
      </c>
      <c r="L443" s="34">
        <v>283180</v>
      </c>
      <c r="M443" s="34">
        <v>264430</v>
      </c>
      <c r="N443" s="34">
        <v>245680</v>
      </c>
    </row>
    <row r="444" spans="1:14">
      <c r="A444" s="34">
        <v>5880</v>
      </c>
      <c r="B444" s="34">
        <v>5900</v>
      </c>
      <c r="C444" s="34">
        <f t="shared" si="6"/>
        <v>5880000</v>
      </c>
      <c r="D444" s="34">
        <v>529200</v>
      </c>
      <c r="E444" s="34">
        <v>482130</v>
      </c>
      <c r="F444" s="34">
        <v>398320</v>
      </c>
      <c r="G444" s="34">
        <v>379570</v>
      </c>
      <c r="H444" s="34">
        <v>360820</v>
      </c>
      <c r="I444" s="34">
        <v>342070</v>
      </c>
      <c r="J444" s="34">
        <v>323320</v>
      </c>
      <c r="K444" s="34">
        <v>304570</v>
      </c>
      <c r="L444" s="34">
        <v>285820</v>
      </c>
      <c r="M444" s="34">
        <v>267070</v>
      </c>
      <c r="N444" s="34">
        <v>248320</v>
      </c>
    </row>
    <row r="445" spans="1:14">
      <c r="A445" s="34">
        <v>5900</v>
      </c>
      <c r="B445" s="34">
        <v>5920</v>
      </c>
      <c r="C445" s="34">
        <f t="shared" si="6"/>
        <v>5900000</v>
      </c>
      <c r="D445" s="34">
        <v>533730</v>
      </c>
      <c r="E445" s="34">
        <v>486640</v>
      </c>
      <c r="F445" s="34">
        <v>400960</v>
      </c>
      <c r="G445" s="34">
        <v>382210</v>
      </c>
      <c r="H445" s="34">
        <v>363460</v>
      </c>
      <c r="I445" s="34">
        <v>344710</v>
      </c>
      <c r="J445" s="34">
        <v>325960</v>
      </c>
      <c r="K445" s="34">
        <v>307210</v>
      </c>
      <c r="L445" s="34">
        <v>288460</v>
      </c>
      <c r="M445" s="34">
        <v>269710</v>
      </c>
      <c r="N445" s="34">
        <v>250960</v>
      </c>
    </row>
    <row r="446" spans="1:14">
      <c r="A446" s="34">
        <v>5920</v>
      </c>
      <c r="B446" s="34">
        <v>5940</v>
      </c>
      <c r="C446" s="34">
        <f t="shared" si="6"/>
        <v>5920000</v>
      </c>
      <c r="D446" s="34">
        <v>538270</v>
      </c>
      <c r="E446" s="34">
        <v>491150</v>
      </c>
      <c r="F446" s="34">
        <v>403600</v>
      </c>
      <c r="G446" s="34">
        <v>384850</v>
      </c>
      <c r="H446" s="34">
        <v>366100</v>
      </c>
      <c r="I446" s="34">
        <v>347350</v>
      </c>
      <c r="J446" s="34">
        <v>328600</v>
      </c>
      <c r="K446" s="34">
        <v>309850</v>
      </c>
      <c r="L446" s="34">
        <v>291100</v>
      </c>
      <c r="M446" s="34">
        <v>272350</v>
      </c>
      <c r="N446" s="34">
        <v>253600</v>
      </c>
    </row>
    <row r="447" spans="1:14">
      <c r="A447" s="34">
        <v>5940</v>
      </c>
      <c r="B447" s="34">
        <v>5960</v>
      </c>
      <c r="C447" s="34">
        <f t="shared" si="6"/>
        <v>5940000</v>
      </c>
      <c r="D447" s="34">
        <v>542800</v>
      </c>
      <c r="E447" s="34">
        <v>495660</v>
      </c>
      <c r="F447" s="34">
        <v>406240</v>
      </c>
      <c r="G447" s="34">
        <v>387490</v>
      </c>
      <c r="H447" s="34">
        <v>368740</v>
      </c>
      <c r="I447" s="34">
        <v>349990</v>
      </c>
      <c r="J447" s="34">
        <v>331240</v>
      </c>
      <c r="K447" s="34">
        <v>312490</v>
      </c>
      <c r="L447" s="34">
        <v>293740</v>
      </c>
      <c r="M447" s="34">
        <v>274990</v>
      </c>
      <c r="N447" s="34">
        <v>256240</v>
      </c>
    </row>
    <row r="448" spans="1:14">
      <c r="A448" s="34">
        <v>5960</v>
      </c>
      <c r="B448" s="34">
        <v>5980</v>
      </c>
      <c r="C448" s="34">
        <f t="shared" si="6"/>
        <v>5960000</v>
      </c>
      <c r="D448" s="34">
        <v>547340</v>
      </c>
      <c r="E448" s="34">
        <v>500180</v>
      </c>
      <c r="F448" s="34">
        <v>408880</v>
      </c>
      <c r="G448" s="34">
        <v>390130</v>
      </c>
      <c r="H448" s="34">
        <v>371380</v>
      </c>
      <c r="I448" s="34">
        <v>352630</v>
      </c>
      <c r="J448" s="34">
        <v>333880</v>
      </c>
      <c r="K448" s="34">
        <v>315130</v>
      </c>
      <c r="L448" s="34">
        <v>296380</v>
      </c>
      <c r="M448" s="34">
        <v>277630</v>
      </c>
      <c r="N448" s="34">
        <v>258880</v>
      </c>
    </row>
    <row r="449" spans="1:14">
      <c r="A449" s="34">
        <v>5980</v>
      </c>
      <c r="B449" s="34">
        <v>6000</v>
      </c>
      <c r="C449" s="34">
        <f t="shared" si="6"/>
        <v>5980000</v>
      </c>
      <c r="D449" s="34">
        <v>551880</v>
      </c>
      <c r="E449" s="34">
        <v>504690</v>
      </c>
      <c r="F449" s="34">
        <v>411520</v>
      </c>
      <c r="G449" s="34">
        <v>392770</v>
      </c>
      <c r="H449" s="34">
        <v>374020</v>
      </c>
      <c r="I449" s="34">
        <v>355270</v>
      </c>
      <c r="J449" s="34">
        <v>336520</v>
      </c>
      <c r="K449" s="34">
        <v>317770</v>
      </c>
      <c r="L449" s="34">
        <v>299020</v>
      </c>
      <c r="M449" s="34">
        <v>280270</v>
      </c>
      <c r="N449" s="34">
        <v>261520</v>
      </c>
    </row>
    <row r="450" spans="1:14">
      <c r="A450" s="34">
        <v>6000</v>
      </c>
      <c r="B450" s="34">
        <v>6020</v>
      </c>
      <c r="C450" s="34">
        <f t="shared" si="6"/>
        <v>6000000</v>
      </c>
      <c r="D450" s="34">
        <v>556410</v>
      </c>
      <c r="E450" s="34">
        <v>509200</v>
      </c>
      <c r="F450" s="34">
        <v>414160</v>
      </c>
      <c r="G450" s="34">
        <v>395410</v>
      </c>
      <c r="H450" s="34">
        <v>376660</v>
      </c>
      <c r="I450" s="34">
        <v>357910</v>
      </c>
      <c r="J450" s="34">
        <v>339160</v>
      </c>
      <c r="K450" s="34">
        <v>320410</v>
      </c>
      <c r="L450" s="34">
        <v>301660</v>
      </c>
      <c r="M450" s="34">
        <v>282910</v>
      </c>
      <c r="N450" s="34">
        <v>264160</v>
      </c>
    </row>
    <row r="451" spans="1:14">
      <c r="A451" s="34">
        <v>6020</v>
      </c>
      <c r="B451" s="34">
        <v>6040</v>
      </c>
      <c r="C451" s="34">
        <f t="shared" si="6"/>
        <v>6020000</v>
      </c>
      <c r="D451" s="34">
        <v>560950</v>
      </c>
      <c r="E451" s="34">
        <v>513710</v>
      </c>
      <c r="F451" s="34">
        <v>416800</v>
      </c>
      <c r="G451" s="34">
        <v>398050</v>
      </c>
      <c r="H451" s="34">
        <v>379300</v>
      </c>
      <c r="I451" s="34">
        <v>360550</v>
      </c>
      <c r="J451" s="34">
        <v>341800</v>
      </c>
      <c r="K451" s="34">
        <v>323050</v>
      </c>
      <c r="L451" s="34">
        <v>304300</v>
      </c>
      <c r="M451" s="34">
        <v>285550</v>
      </c>
      <c r="N451" s="34">
        <v>266800</v>
      </c>
    </row>
    <row r="452" spans="1:14">
      <c r="A452" s="34">
        <v>6040</v>
      </c>
      <c r="B452" s="34">
        <v>6060</v>
      </c>
      <c r="C452" s="34">
        <f t="shared" si="6"/>
        <v>6040000</v>
      </c>
      <c r="D452" s="34">
        <v>565480</v>
      </c>
      <c r="E452" s="34">
        <v>518220</v>
      </c>
      <c r="F452" s="34">
        <v>419440</v>
      </c>
      <c r="G452" s="34">
        <v>400690</v>
      </c>
      <c r="H452" s="34">
        <v>381940</v>
      </c>
      <c r="I452" s="34">
        <v>363190</v>
      </c>
      <c r="J452" s="34">
        <v>344440</v>
      </c>
      <c r="K452" s="34">
        <v>325690</v>
      </c>
      <c r="L452" s="34">
        <v>306940</v>
      </c>
      <c r="M452" s="34">
        <v>288190</v>
      </c>
      <c r="N452" s="34">
        <v>269440</v>
      </c>
    </row>
    <row r="453" spans="1:14">
      <c r="A453" s="34">
        <v>6060</v>
      </c>
      <c r="B453" s="34">
        <v>6080</v>
      </c>
      <c r="C453" s="34">
        <f t="shared" ref="C453:C516" si="7">A453*1000</f>
        <v>6060000</v>
      </c>
      <c r="D453" s="34">
        <v>570020</v>
      </c>
      <c r="E453" s="34">
        <v>522740</v>
      </c>
      <c r="F453" s="34">
        <v>422080</v>
      </c>
      <c r="G453" s="34">
        <v>403330</v>
      </c>
      <c r="H453" s="34">
        <v>384580</v>
      </c>
      <c r="I453" s="34">
        <v>365830</v>
      </c>
      <c r="J453" s="34">
        <v>347080</v>
      </c>
      <c r="K453" s="34">
        <v>328330</v>
      </c>
      <c r="L453" s="34">
        <v>309580</v>
      </c>
      <c r="M453" s="34">
        <v>290830</v>
      </c>
      <c r="N453" s="34">
        <v>272080</v>
      </c>
    </row>
    <row r="454" spans="1:14">
      <c r="A454" s="34">
        <v>6080</v>
      </c>
      <c r="B454" s="34">
        <v>6100</v>
      </c>
      <c r="C454" s="34">
        <f t="shared" si="7"/>
        <v>6080000</v>
      </c>
      <c r="D454" s="34">
        <v>574560</v>
      </c>
      <c r="E454" s="34">
        <v>527250</v>
      </c>
      <c r="F454" s="34">
        <v>424720</v>
      </c>
      <c r="G454" s="34">
        <v>405970</v>
      </c>
      <c r="H454" s="34">
        <v>387220</v>
      </c>
      <c r="I454" s="34">
        <v>368470</v>
      </c>
      <c r="J454" s="34">
        <v>349720</v>
      </c>
      <c r="K454" s="34">
        <v>330970</v>
      </c>
      <c r="L454" s="34">
        <v>312220</v>
      </c>
      <c r="M454" s="34">
        <v>293470</v>
      </c>
      <c r="N454" s="34">
        <v>274720</v>
      </c>
    </row>
    <row r="455" spans="1:14">
      <c r="A455" s="34">
        <v>6100</v>
      </c>
      <c r="B455" s="34">
        <v>6120</v>
      </c>
      <c r="C455" s="34">
        <f t="shared" si="7"/>
        <v>6100000</v>
      </c>
      <c r="D455" s="34">
        <v>579090</v>
      </c>
      <c r="E455" s="34">
        <v>531760</v>
      </c>
      <c r="F455" s="34">
        <v>427360</v>
      </c>
      <c r="G455" s="34">
        <v>408610</v>
      </c>
      <c r="H455" s="34">
        <v>389860</v>
      </c>
      <c r="I455" s="34">
        <v>371110</v>
      </c>
      <c r="J455" s="34">
        <v>352360</v>
      </c>
      <c r="K455" s="34">
        <v>333610</v>
      </c>
      <c r="L455" s="34">
        <v>314860</v>
      </c>
      <c r="M455" s="34">
        <v>296110</v>
      </c>
      <c r="N455" s="34">
        <v>277360</v>
      </c>
    </row>
    <row r="456" spans="1:14">
      <c r="A456" s="34">
        <v>6120</v>
      </c>
      <c r="B456" s="34">
        <v>6140</v>
      </c>
      <c r="C456" s="34">
        <f t="shared" si="7"/>
        <v>6120000</v>
      </c>
      <c r="D456" s="34">
        <v>583630</v>
      </c>
      <c r="E456" s="34">
        <v>536270</v>
      </c>
      <c r="F456" s="34">
        <v>430000</v>
      </c>
      <c r="G456" s="34">
        <v>411250</v>
      </c>
      <c r="H456" s="34">
        <v>392500</v>
      </c>
      <c r="I456" s="34">
        <v>373750</v>
      </c>
      <c r="J456" s="34">
        <v>355000</v>
      </c>
      <c r="K456" s="34">
        <v>336250</v>
      </c>
      <c r="L456" s="34">
        <v>317500</v>
      </c>
      <c r="M456" s="34">
        <v>298750</v>
      </c>
      <c r="N456" s="34">
        <v>280000</v>
      </c>
    </row>
    <row r="457" spans="1:14">
      <c r="A457" s="34">
        <v>6140</v>
      </c>
      <c r="B457" s="34">
        <v>6160</v>
      </c>
      <c r="C457" s="34">
        <f t="shared" si="7"/>
        <v>6140000</v>
      </c>
      <c r="D457" s="34">
        <v>588160</v>
      </c>
      <c r="E457" s="34">
        <v>540780</v>
      </c>
      <c r="F457" s="34">
        <v>432640</v>
      </c>
      <c r="G457" s="34">
        <v>413890</v>
      </c>
      <c r="H457" s="34">
        <v>395140</v>
      </c>
      <c r="I457" s="34">
        <v>376390</v>
      </c>
      <c r="J457" s="34">
        <v>357640</v>
      </c>
      <c r="K457" s="34">
        <v>338890</v>
      </c>
      <c r="L457" s="34">
        <v>320140</v>
      </c>
      <c r="M457" s="34">
        <v>301390</v>
      </c>
      <c r="N457" s="34">
        <v>282640</v>
      </c>
    </row>
    <row r="458" spans="1:14">
      <c r="A458" s="34">
        <v>6160</v>
      </c>
      <c r="B458" s="34">
        <v>6180</v>
      </c>
      <c r="C458" s="34">
        <f t="shared" si="7"/>
        <v>6160000</v>
      </c>
      <c r="D458" s="34">
        <v>592700</v>
      </c>
      <c r="E458" s="34">
        <v>545300</v>
      </c>
      <c r="F458" s="34">
        <v>435280</v>
      </c>
      <c r="G458" s="34">
        <v>416530</v>
      </c>
      <c r="H458" s="34">
        <v>397780</v>
      </c>
      <c r="I458" s="34">
        <v>379030</v>
      </c>
      <c r="J458" s="34">
        <v>360280</v>
      </c>
      <c r="K458" s="34">
        <v>341530</v>
      </c>
      <c r="L458" s="34">
        <v>322780</v>
      </c>
      <c r="M458" s="34">
        <v>304030</v>
      </c>
      <c r="N458" s="34">
        <v>285280</v>
      </c>
    </row>
    <row r="459" spans="1:14">
      <c r="A459" s="34">
        <v>6180</v>
      </c>
      <c r="B459" s="34">
        <v>6200</v>
      </c>
      <c r="C459" s="34">
        <f t="shared" si="7"/>
        <v>6180000</v>
      </c>
      <c r="D459" s="34">
        <v>597240</v>
      </c>
      <c r="E459" s="34">
        <v>549810</v>
      </c>
      <c r="F459" s="34">
        <v>437920</v>
      </c>
      <c r="G459" s="34">
        <v>419170</v>
      </c>
      <c r="H459" s="34">
        <v>400420</v>
      </c>
      <c r="I459" s="34">
        <v>381670</v>
      </c>
      <c r="J459" s="34">
        <v>362920</v>
      </c>
      <c r="K459" s="34">
        <v>344170</v>
      </c>
      <c r="L459" s="34">
        <v>325420</v>
      </c>
      <c r="M459" s="34">
        <v>306670</v>
      </c>
      <c r="N459" s="34">
        <v>287920</v>
      </c>
    </row>
    <row r="460" spans="1:14">
      <c r="A460" s="34">
        <v>6200</v>
      </c>
      <c r="B460" s="34">
        <v>6220</v>
      </c>
      <c r="C460" s="34">
        <f t="shared" si="7"/>
        <v>6200000</v>
      </c>
      <c r="D460" s="34">
        <v>601770</v>
      </c>
      <c r="E460" s="34">
        <v>554320</v>
      </c>
      <c r="F460" s="34">
        <v>440560</v>
      </c>
      <c r="G460" s="34">
        <v>421810</v>
      </c>
      <c r="H460" s="34">
        <v>403060</v>
      </c>
      <c r="I460" s="34">
        <v>384310</v>
      </c>
      <c r="J460" s="34">
        <v>365560</v>
      </c>
      <c r="K460" s="34">
        <v>346810</v>
      </c>
      <c r="L460" s="34">
        <v>328060</v>
      </c>
      <c r="M460" s="34">
        <v>309310</v>
      </c>
      <c r="N460" s="34">
        <v>290560</v>
      </c>
    </row>
    <row r="461" spans="1:14">
      <c r="A461" s="34">
        <v>6220</v>
      </c>
      <c r="B461" s="34">
        <v>6240</v>
      </c>
      <c r="C461" s="34">
        <f t="shared" si="7"/>
        <v>6220000</v>
      </c>
      <c r="D461" s="34">
        <v>606310</v>
      </c>
      <c r="E461" s="34">
        <v>558830</v>
      </c>
      <c r="F461" s="34">
        <v>443200</v>
      </c>
      <c r="G461" s="34">
        <v>424450</v>
      </c>
      <c r="H461" s="34">
        <v>405700</v>
      </c>
      <c r="I461" s="34">
        <v>386950</v>
      </c>
      <c r="J461" s="34">
        <v>368200</v>
      </c>
      <c r="K461" s="34">
        <v>349450</v>
      </c>
      <c r="L461" s="34">
        <v>330700</v>
      </c>
      <c r="M461" s="34">
        <v>311950</v>
      </c>
      <c r="N461" s="34">
        <v>293200</v>
      </c>
    </row>
    <row r="462" spans="1:14">
      <c r="A462" s="34">
        <v>6240</v>
      </c>
      <c r="B462" s="34">
        <v>6260</v>
      </c>
      <c r="C462" s="34">
        <f t="shared" si="7"/>
        <v>6240000</v>
      </c>
      <c r="D462" s="34">
        <v>610840</v>
      </c>
      <c r="E462" s="34">
        <v>563340</v>
      </c>
      <c r="F462" s="34">
        <v>447340</v>
      </c>
      <c r="G462" s="34">
        <v>427090</v>
      </c>
      <c r="H462" s="34">
        <v>408340</v>
      </c>
      <c r="I462" s="34">
        <v>389590</v>
      </c>
      <c r="J462" s="34">
        <v>370840</v>
      </c>
      <c r="K462" s="34">
        <v>352090</v>
      </c>
      <c r="L462" s="34">
        <v>333340</v>
      </c>
      <c r="M462" s="34">
        <v>314590</v>
      </c>
      <c r="N462" s="34">
        <v>295840</v>
      </c>
    </row>
    <row r="463" spans="1:14">
      <c r="A463" s="34">
        <v>6260</v>
      </c>
      <c r="B463" s="34">
        <v>6280</v>
      </c>
      <c r="C463" s="34">
        <f t="shared" si="7"/>
        <v>6260000</v>
      </c>
      <c r="D463" s="34">
        <v>615380</v>
      </c>
      <c r="E463" s="34">
        <v>567860</v>
      </c>
      <c r="F463" s="34">
        <v>451570</v>
      </c>
      <c r="G463" s="34">
        <v>429730</v>
      </c>
      <c r="H463" s="34">
        <v>410980</v>
      </c>
      <c r="I463" s="34">
        <v>392230</v>
      </c>
      <c r="J463" s="34">
        <v>373480</v>
      </c>
      <c r="K463" s="34">
        <v>354730</v>
      </c>
      <c r="L463" s="34">
        <v>335980</v>
      </c>
      <c r="M463" s="34">
        <v>317230</v>
      </c>
      <c r="N463" s="34">
        <v>298480</v>
      </c>
    </row>
    <row r="464" spans="1:14">
      <c r="A464" s="34">
        <v>6280</v>
      </c>
      <c r="B464" s="34">
        <v>6300</v>
      </c>
      <c r="C464" s="34">
        <f t="shared" si="7"/>
        <v>6280000</v>
      </c>
      <c r="D464" s="34">
        <v>619920</v>
      </c>
      <c r="E464" s="34">
        <v>572370</v>
      </c>
      <c r="F464" s="34">
        <v>455790</v>
      </c>
      <c r="G464" s="34">
        <v>432370</v>
      </c>
      <c r="H464" s="34">
        <v>413620</v>
      </c>
      <c r="I464" s="34">
        <v>394870</v>
      </c>
      <c r="J464" s="34">
        <v>376120</v>
      </c>
      <c r="K464" s="34">
        <v>357370</v>
      </c>
      <c r="L464" s="34">
        <v>338620</v>
      </c>
      <c r="M464" s="34">
        <v>319870</v>
      </c>
      <c r="N464" s="34">
        <v>301120</v>
      </c>
    </row>
    <row r="465" spans="1:14">
      <c r="A465" s="34">
        <v>6300</v>
      </c>
      <c r="B465" s="34">
        <v>6320</v>
      </c>
      <c r="C465" s="34">
        <f t="shared" si="7"/>
        <v>6300000</v>
      </c>
      <c r="D465" s="34">
        <v>624450</v>
      </c>
      <c r="E465" s="34">
        <v>576880</v>
      </c>
      <c r="F465" s="34">
        <v>460020</v>
      </c>
      <c r="G465" s="34">
        <v>435010</v>
      </c>
      <c r="H465" s="34">
        <v>416260</v>
      </c>
      <c r="I465" s="34">
        <v>397510</v>
      </c>
      <c r="J465" s="34">
        <v>378760</v>
      </c>
      <c r="K465" s="34">
        <v>360010</v>
      </c>
      <c r="L465" s="34">
        <v>341260</v>
      </c>
      <c r="M465" s="34">
        <v>322510</v>
      </c>
      <c r="N465" s="34">
        <v>303760</v>
      </c>
    </row>
    <row r="466" spans="1:14">
      <c r="A466" s="34">
        <v>6320</v>
      </c>
      <c r="B466" s="34">
        <v>6340</v>
      </c>
      <c r="C466" s="34">
        <f t="shared" si="7"/>
        <v>6320000</v>
      </c>
      <c r="D466" s="34">
        <v>628990</v>
      </c>
      <c r="E466" s="34">
        <v>581390</v>
      </c>
      <c r="F466" s="34">
        <v>464240</v>
      </c>
      <c r="G466" s="34">
        <v>437650</v>
      </c>
      <c r="H466" s="34">
        <v>418900</v>
      </c>
      <c r="I466" s="34">
        <v>400150</v>
      </c>
      <c r="J466" s="34">
        <v>381400</v>
      </c>
      <c r="K466" s="34">
        <v>362650</v>
      </c>
      <c r="L466" s="34">
        <v>343900</v>
      </c>
      <c r="M466" s="34">
        <v>325150</v>
      </c>
      <c r="N466" s="34">
        <v>306400</v>
      </c>
    </row>
    <row r="467" spans="1:14">
      <c r="A467" s="34">
        <v>6340</v>
      </c>
      <c r="B467" s="34">
        <v>6360</v>
      </c>
      <c r="C467" s="34">
        <f t="shared" si="7"/>
        <v>6340000</v>
      </c>
      <c r="D467" s="34">
        <v>633520</v>
      </c>
      <c r="E467" s="34">
        <v>585900</v>
      </c>
      <c r="F467" s="34">
        <v>468460</v>
      </c>
      <c r="G467" s="34">
        <v>440290</v>
      </c>
      <c r="H467" s="34">
        <v>421540</v>
      </c>
      <c r="I467" s="34">
        <v>402790</v>
      </c>
      <c r="J467" s="34">
        <v>384040</v>
      </c>
      <c r="K467" s="34">
        <v>365290</v>
      </c>
      <c r="L467" s="34">
        <v>346540</v>
      </c>
      <c r="M467" s="34">
        <v>327790</v>
      </c>
      <c r="N467" s="34">
        <v>309040</v>
      </c>
    </row>
    <row r="468" spans="1:14">
      <c r="A468" s="34">
        <v>6360</v>
      </c>
      <c r="B468" s="34">
        <v>6380</v>
      </c>
      <c r="C468" s="34">
        <f t="shared" si="7"/>
        <v>6360000</v>
      </c>
      <c r="D468" s="34">
        <v>638060</v>
      </c>
      <c r="E468" s="34">
        <v>590420</v>
      </c>
      <c r="F468" s="34">
        <v>472690</v>
      </c>
      <c r="G468" s="34">
        <v>442930</v>
      </c>
      <c r="H468" s="34">
        <v>424180</v>
      </c>
      <c r="I468" s="34">
        <v>405430</v>
      </c>
      <c r="J468" s="34">
        <v>386680</v>
      </c>
      <c r="K468" s="34">
        <v>367930</v>
      </c>
      <c r="L468" s="34">
        <v>349180</v>
      </c>
      <c r="M468" s="34">
        <v>330430</v>
      </c>
      <c r="N468" s="34">
        <v>311680</v>
      </c>
    </row>
    <row r="469" spans="1:14">
      <c r="A469" s="34">
        <v>6380</v>
      </c>
      <c r="B469" s="34">
        <v>6400</v>
      </c>
      <c r="C469" s="34">
        <f t="shared" si="7"/>
        <v>6380000</v>
      </c>
      <c r="D469" s="34">
        <v>642600</v>
      </c>
      <c r="E469" s="34">
        <v>594930</v>
      </c>
      <c r="F469" s="34">
        <v>476910</v>
      </c>
      <c r="G469" s="34">
        <v>446910</v>
      </c>
      <c r="H469" s="34">
        <v>426820</v>
      </c>
      <c r="I469" s="34">
        <v>408070</v>
      </c>
      <c r="J469" s="34">
        <v>389320</v>
      </c>
      <c r="K469" s="34">
        <v>370570</v>
      </c>
      <c r="L469" s="34">
        <v>351820</v>
      </c>
      <c r="M469" s="34">
        <v>333070</v>
      </c>
      <c r="N469" s="34">
        <v>314320</v>
      </c>
    </row>
    <row r="470" spans="1:14">
      <c r="A470" s="34">
        <v>6400</v>
      </c>
      <c r="B470" s="34">
        <v>6420</v>
      </c>
      <c r="C470" s="34">
        <f t="shared" si="7"/>
        <v>6400000</v>
      </c>
      <c r="D470" s="34">
        <v>647130</v>
      </c>
      <c r="E470" s="34">
        <v>599440</v>
      </c>
      <c r="F470" s="34">
        <v>481140</v>
      </c>
      <c r="G470" s="34">
        <v>451140</v>
      </c>
      <c r="H470" s="34">
        <v>429460</v>
      </c>
      <c r="I470" s="34">
        <v>410710</v>
      </c>
      <c r="J470" s="34">
        <v>391960</v>
      </c>
      <c r="K470" s="34">
        <v>373210</v>
      </c>
      <c r="L470" s="34">
        <v>354460</v>
      </c>
      <c r="M470" s="34">
        <v>335710</v>
      </c>
      <c r="N470" s="34">
        <v>316960</v>
      </c>
    </row>
    <row r="471" spans="1:14">
      <c r="A471" s="34">
        <v>6420</v>
      </c>
      <c r="B471" s="34">
        <v>6440</v>
      </c>
      <c r="C471" s="34">
        <f t="shared" si="7"/>
        <v>6420000</v>
      </c>
      <c r="D471" s="34">
        <v>651670</v>
      </c>
      <c r="E471" s="34">
        <v>603950</v>
      </c>
      <c r="F471" s="34">
        <v>485360</v>
      </c>
      <c r="G471" s="34">
        <v>455360</v>
      </c>
      <c r="H471" s="34">
        <v>432100</v>
      </c>
      <c r="I471" s="34">
        <v>413350</v>
      </c>
      <c r="J471" s="34">
        <v>394600</v>
      </c>
      <c r="K471" s="34">
        <v>375850</v>
      </c>
      <c r="L471" s="34">
        <v>357100</v>
      </c>
      <c r="M471" s="34">
        <v>338350</v>
      </c>
      <c r="N471" s="34">
        <v>319600</v>
      </c>
    </row>
    <row r="472" spans="1:14">
      <c r="A472" s="34">
        <v>6440</v>
      </c>
      <c r="B472" s="34">
        <v>6460</v>
      </c>
      <c r="C472" s="34">
        <f t="shared" si="7"/>
        <v>6440000</v>
      </c>
      <c r="D472" s="34">
        <v>656200</v>
      </c>
      <c r="E472" s="34">
        <v>608460</v>
      </c>
      <c r="F472" s="34">
        <v>489580</v>
      </c>
      <c r="G472" s="34">
        <v>459580</v>
      </c>
      <c r="H472" s="34">
        <v>434740</v>
      </c>
      <c r="I472" s="34">
        <v>415990</v>
      </c>
      <c r="J472" s="34">
        <v>397240</v>
      </c>
      <c r="K472" s="34">
        <v>378490</v>
      </c>
      <c r="L472" s="34">
        <v>359740</v>
      </c>
      <c r="M472" s="34">
        <v>340990</v>
      </c>
      <c r="N472" s="34">
        <v>322240</v>
      </c>
    </row>
    <row r="473" spans="1:14">
      <c r="A473" s="34">
        <v>6460</v>
      </c>
      <c r="B473" s="34">
        <v>6480</v>
      </c>
      <c r="C473" s="34">
        <f t="shared" si="7"/>
        <v>6460000</v>
      </c>
      <c r="D473" s="34">
        <v>660740</v>
      </c>
      <c r="E473" s="34">
        <v>612980</v>
      </c>
      <c r="F473" s="34">
        <v>493810</v>
      </c>
      <c r="G473" s="34">
        <v>463810</v>
      </c>
      <c r="H473" s="34">
        <v>437380</v>
      </c>
      <c r="I473" s="34">
        <v>418630</v>
      </c>
      <c r="J473" s="34">
        <v>399880</v>
      </c>
      <c r="K473" s="34">
        <v>381130</v>
      </c>
      <c r="L473" s="34">
        <v>362380</v>
      </c>
      <c r="M473" s="34">
        <v>343630</v>
      </c>
      <c r="N473" s="34">
        <v>324880</v>
      </c>
    </row>
    <row r="474" spans="1:14">
      <c r="A474" s="34">
        <v>6480</v>
      </c>
      <c r="B474" s="34">
        <v>6500</v>
      </c>
      <c r="C474" s="34">
        <f t="shared" si="7"/>
        <v>6480000</v>
      </c>
      <c r="D474" s="34">
        <v>665280</v>
      </c>
      <c r="E474" s="34">
        <v>617490</v>
      </c>
      <c r="F474" s="34">
        <v>498030</v>
      </c>
      <c r="G474" s="34">
        <v>468030</v>
      </c>
      <c r="H474" s="34">
        <v>440020</v>
      </c>
      <c r="I474" s="34">
        <v>421270</v>
      </c>
      <c r="J474" s="34">
        <v>402520</v>
      </c>
      <c r="K474" s="34">
        <v>383770</v>
      </c>
      <c r="L474" s="34">
        <v>365020</v>
      </c>
      <c r="M474" s="34">
        <v>346270</v>
      </c>
      <c r="N474" s="34">
        <v>327520</v>
      </c>
    </row>
    <row r="475" spans="1:14">
      <c r="A475" s="34">
        <v>6500</v>
      </c>
      <c r="B475" s="34">
        <v>6520</v>
      </c>
      <c r="C475" s="34">
        <f t="shared" si="7"/>
        <v>6500000</v>
      </c>
      <c r="D475" s="34">
        <v>669810</v>
      </c>
      <c r="E475" s="34">
        <v>622000</v>
      </c>
      <c r="F475" s="34">
        <v>502260</v>
      </c>
      <c r="G475" s="34">
        <v>472260</v>
      </c>
      <c r="H475" s="34">
        <v>442660</v>
      </c>
      <c r="I475" s="34">
        <v>423910</v>
      </c>
      <c r="J475" s="34">
        <v>405160</v>
      </c>
      <c r="K475" s="34">
        <v>386410</v>
      </c>
      <c r="L475" s="34">
        <v>367660</v>
      </c>
      <c r="M475" s="34">
        <v>348910</v>
      </c>
      <c r="N475" s="34">
        <v>330160</v>
      </c>
    </row>
    <row r="476" spans="1:14">
      <c r="A476" s="34">
        <v>6520</v>
      </c>
      <c r="B476" s="34">
        <v>6540</v>
      </c>
      <c r="C476" s="34">
        <f t="shared" si="7"/>
        <v>6520000</v>
      </c>
      <c r="D476" s="34">
        <v>674350</v>
      </c>
      <c r="E476" s="34">
        <v>626510</v>
      </c>
      <c r="F476" s="34">
        <v>506480</v>
      </c>
      <c r="G476" s="34">
        <v>476480</v>
      </c>
      <c r="H476" s="34">
        <v>446480</v>
      </c>
      <c r="I476" s="34">
        <v>426550</v>
      </c>
      <c r="J476" s="34">
        <v>407800</v>
      </c>
      <c r="K476" s="34">
        <v>389050</v>
      </c>
      <c r="L476" s="34">
        <v>370300</v>
      </c>
      <c r="M476" s="34">
        <v>351550</v>
      </c>
      <c r="N476" s="34">
        <v>332800</v>
      </c>
    </row>
    <row r="477" spans="1:14">
      <c r="A477" s="34">
        <v>6540</v>
      </c>
      <c r="B477" s="34">
        <v>6560</v>
      </c>
      <c r="C477" s="34">
        <f t="shared" si="7"/>
        <v>6540000</v>
      </c>
      <c r="D477" s="34">
        <v>678880</v>
      </c>
      <c r="E477" s="34">
        <v>631020</v>
      </c>
      <c r="F477" s="34">
        <v>510700</v>
      </c>
      <c r="G477" s="34">
        <v>480700</v>
      </c>
      <c r="H477" s="34">
        <v>450700</v>
      </c>
      <c r="I477" s="34">
        <v>429190</v>
      </c>
      <c r="J477" s="34">
        <v>410440</v>
      </c>
      <c r="K477" s="34">
        <v>391690</v>
      </c>
      <c r="L477" s="34">
        <v>372940</v>
      </c>
      <c r="M477" s="34">
        <v>354190</v>
      </c>
      <c r="N477" s="34">
        <v>335440</v>
      </c>
    </row>
    <row r="478" spans="1:14">
      <c r="A478" s="34">
        <v>6560</v>
      </c>
      <c r="B478" s="34">
        <v>6580</v>
      </c>
      <c r="C478" s="34">
        <f t="shared" si="7"/>
        <v>6560000</v>
      </c>
      <c r="D478" s="34">
        <v>683420</v>
      </c>
      <c r="E478" s="34">
        <v>635540</v>
      </c>
      <c r="F478" s="34">
        <v>514930</v>
      </c>
      <c r="G478" s="34">
        <v>484930</v>
      </c>
      <c r="H478" s="34">
        <v>454930</v>
      </c>
      <c r="I478" s="34">
        <v>431830</v>
      </c>
      <c r="J478" s="34">
        <v>413080</v>
      </c>
      <c r="K478" s="34">
        <v>394330</v>
      </c>
      <c r="L478" s="34">
        <v>375580</v>
      </c>
      <c r="M478" s="34">
        <v>356830</v>
      </c>
      <c r="N478" s="34">
        <v>338080</v>
      </c>
    </row>
    <row r="479" spans="1:14">
      <c r="A479" s="34">
        <v>6580</v>
      </c>
      <c r="B479" s="34">
        <v>6600</v>
      </c>
      <c r="C479" s="34">
        <f t="shared" si="7"/>
        <v>6580000</v>
      </c>
      <c r="D479" s="34">
        <v>687960</v>
      </c>
      <c r="E479" s="34">
        <v>640050</v>
      </c>
      <c r="F479" s="34">
        <v>519150</v>
      </c>
      <c r="G479" s="34">
        <v>489150</v>
      </c>
      <c r="H479" s="34">
        <v>459150</v>
      </c>
      <c r="I479" s="34">
        <v>434470</v>
      </c>
      <c r="J479" s="34">
        <v>415720</v>
      </c>
      <c r="K479" s="34">
        <v>396970</v>
      </c>
      <c r="L479" s="34">
        <v>378220</v>
      </c>
      <c r="M479" s="34">
        <v>359470</v>
      </c>
      <c r="N479" s="34">
        <v>340720</v>
      </c>
    </row>
    <row r="480" spans="1:14">
      <c r="A480" s="34">
        <v>6600</v>
      </c>
      <c r="B480" s="34">
        <v>6620</v>
      </c>
      <c r="C480" s="34">
        <f t="shared" si="7"/>
        <v>6600000</v>
      </c>
      <c r="D480" s="34">
        <v>692490</v>
      </c>
      <c r="E480" s="34">
        <v>644560</v>
      </c>
      <c r="F480" s="34">
        <v>523380</v>
      </c>
      <c r="G480" s="34">
        <v>493380</v>
      </c>
      <c r="H480" s="34">
        <v>463380</v>
      </c>
      <c r="I480" s="34">
        <v>437110</v>
      </c>
      <c r="J480" s="34">
        <v>418360</v>
      </c>
      <c r="K480" s="34">
        <v>399610</v>
      </c>
      <c r="L480" s="34">
        <v>380860</v>
      </c>
      <c r="M480" s="34">
        <v>362110</v>
      </c>
      <c r="N480" s="34">
        <v>343360</v>
      </c>
    </row>
    <row r="481" spans="1:14">
      <c r="A481" s="34">
        <v>6620</v>
      </c>
      <c r="B481" s="34">
        <v>6640</v>
      </c>
      <c r="C481" s="34">
        <f t="shared" si="7"/>
        <v>6620000</v>
      </c>
      <c r="D481" s="34">
        <v>697030</v>
      </c>
      <c r="E481" s="34">
        <v>649070</v>
      </c>
      <c r="F481" s="34">
        <v>527600</v>
      </c>
      <c r="G481" s="34">
        <v>497600</v>
      </c>
      <c r="H481" s="34">
        <v>467600</v>
      </c>
      <c r="I481" s="34">
        <v>439750</v>
      </c>
      <c r="J481" s="34">
        <v>421000</v>
      </c>
      <c r="K481" s="34">
        <v>402250</v>
      </c>
      <c r="L481" s="34">
        <v>383500</v>
      </c>
      <c r="M481" s="34">
        <v>364750</v>
      </c>
      <c r="N481" s="34">
        <v>346000</v>
      </c>
    </row>
    <row r="482" spans="1:14">
      <c r="A482" s="34">
        <v>6640</v>
      </c>
      <c r="B482" s="34">
        <v>6660</v>
      </c>
      <c r="C482" s="34">
        <f t="shared" si="7"/>
        <v>6640000</v>
      </c>
      <c r="D482" s="34">
        <v>701560</v>
      </c>
      <c r="E482" s="34">
        <v>653580</v>
      </c>
      <c r="F482" s="34">
        <v>531820</v>
      </c>
      <c r="G482" s="34">
        <v>501820</v>
      </c>
      <c r="H482" s="34">
        <v>471820</v>
      </c>
      <c r="I482" s="34">
        <v>442390</v>
      </c>
      <c r="J482" s="34">
        <v>423640</v>
      </c>
      <c r="K482" s="34">
        <v>404890</v>
      </c>
      <c r="L482" s="34">
        <v>386140</v>
      </c>
      <c r="M482" s="34">
        <v>367390</v>
      </c>
      <c r="N482" s="34">
        <v>348640</v>
      </c>
    </row>
    <row r="483" spans="1:14">
      <c r="A483" s="34">
        <v>6660</v>
      </c>
      <c r="B483" s="34">
        <v>6680</v>
      </c>
      <c r="C483" s="34">
        <f t="shared" si="7"/>
        <v>6660000</v>
      </c>
      <c r="D483" s="34">
        <v>706100</v>
      </c>
      <c r="E483" s="34">
        <v>658100</v>
      </c>
      <c r="F483" s="34">
        <v>536050</v>
      </c>
      <c r="G483" s="34">
        <v>506050</v>
      </c>
      <c r="H483" s="34">
        <v>476050</v>
      </c>
      <c r="I483" s="34">
        <v>446050</v>
      </c>
      <c r="J483" s="34">
        <v>426280</v>
      </c>
      <c r="K483" s="34">
        <v>407530</v>
      </c>
      <c r="L483" s="34">
        <v>388780</v>
      </c>
      <c r="M483" s="34">
        <v>370030</v>
      </c>
      <c r="N483" s="34">
        <v>351280</v>
      </c>
    </row>
    <row r="484" spans="1:14">
      <c r="A484" s="34">
        <v>6680</v>
      </c>
      <c r="B484" s="34">
        <v>6700</v>
      </c>
      <c r="C484" s="34">
        <f t="shared" si="7"/>
        <v>6680000</v>
      </c>
      <c r="D484" s="34">
        <v>710640</v>
      </c>
      <c r="E484" s="34">
        <v>662610</v>
      </c>
      <c r="F484" s="34">
        <v>540270</v>
      </c>
      <c r="G484" s="34">
        <v>510270</v>
      </c>
      <c r="H484" s="34">
        <v>480270</v>
      </c>
      <c r="I484" s="34">
        <v>450270</v>
      </c>
      <c r="J484" s="34">
        <v>428920</v>
      </c>
      <c r="K484" s="34">
        <v>410170</v>
      </c>
      <c r="L484" s="34">
        <v>391420</v>
      </c>
      <c r="M484" s="34">
        <v>372670</v>
      </c>
      <c r="N484" s="34">
        <v>353920</v>
      </c>
    </row>
    <row r="485" spans="1:14">
      <c r="A485" s="34">
        <v>6700</v>
      </c>
      <c r="B485" s="34">
        <v>6720</v>
      </c>
      <c r="C485" s="34">
        <f t="shared" si="7"/>
        <v>6700000</v>
      </c>
      <c r="D485" s="34">
        <v>715170</v>
      </c>
      <c r="E485" s="34">
        <v>667120</v>
      </c>
      <c r="F485" s="34">
        <v>544500</v>
      </c>
      <c r="G485" s="34">
        <v>514500</v>
      </c>
      <c r="H485" s="34">
        <v>484500</v>
      </c>
      <c r="I485" s="34">
        <v>454500</v>
      </c>
      <c r="J485" s="34">
        <v>431560</v>
      </c>
      <c r="K485" s="34">
        <v>412810</v>
      </c>
      <c r="L485" s="34">
        <v>394060</v>
      </c>
      <c r="M485" s="34">
        <v>375310</v>
      </c>
      <c r="N485" s="34">
        <v>356560</v>
      </c>
    </row>
    <row r="486" spans="1:14">
      <c r="A486" s="34">
        <v>6720</v>
      </c>
      <c r="B486" s="34">
        <v>6740</v>
      </c>
      <c r="C486" s="34">
        <f t="shared" si="7"/>
        <v>6720000</v>
      </c>
      <c r="D486" s="34">
        <v>719710</v>
      </c>
      <c r="E486" s="34">
        <v>671630</v>
      </c>
      <c r="F486" s="34">
        <v>548720</v>
      </c>
      <c r="G486" s="34">
        <v>518720</v>
      </c>
      <c r="H486" s="34">
        <v>488720</v>
      </c>
      <c r="I486" s="34">
        <v>458720</v>
      </c>
      <c r="J486" s="34">
        <v>434200</v>
      </c>
      <c r="K486" s="34">
        <v>415450</v>
      </c>
      <c r="L486" s="34">
        <v>396700</v>
      </c>
      <c r="M486" s="34">
        <v>377950</v>
      </c>
      <c r="N486" s="34">
        <v>359200</v>
      </c>
    </row>
    <row r="487" spans="1:14">
      <c r="A487" s="34">
        <v>6740</v>
      </c>
      <c r="B487" s="34">
        <v>6760</v>
      </c>
      <c r="C487" s="34">
        <f t="shared" si="7"/>
        <v>6740000</v>
      </c>
      <c r="D487" s="34">
        <v>724240</v>
      </c>
      <c r="E487" s="34">
        <v>676140</v>
      </c>
      <c r="F487" s="34">
        <v>552940</v>
      </c>
      <c r="G487" s="34">
        <v>522940</v>
      </c>
      <c r="H487" s="34">
        <v>492940</v>
      </c>
      <c r="I487" s="34">
        <v>462940</v>
      </c>
      <c r="J487" s="34">
        <v>436840</v>
      </c>
      <c r="K487" s="34">
        <v>418090</v>
      </c>
      <c r="L487" s="34">
        <v>399340</v>
      </c>
      <c r="M487" s="34">
        <v>380590</v>
      </c>
      <c r="N487" s="34">
        <v>361840</v>
      </c>
    </row>
    <row r="488" spans="1:14">
      <c r="A488" s="34">
        <v>6760</v>
      </c>
      <c r="B488" s="34">
        <v>6780</v>
      </c>
      <c r="C488" s="34">
        <f t="shared" si="7"/>
        <v>6760000</v>
      </c>
      <c r="D488" s="34">
        <v>728780</v>
      </c>
      <c r="E488" s="34">
        <v>680660</v>
      </c>
      <c r="F488" s="34">
        <v>557170</v>
      </c>
      <c r="G488" s="34">
        <v>527170</v>
      </c>
      <c r="H488" s="34">
        <v>497170</v>
      </c>
      <c r="I488" s="34">
        <v>467170</v>
      </c>
      <c r="J488" s="34">
        <v>439480</v>
      </c>
      <c r="K488" s="34">
        <v>420730</v>
      </c>
      <c r="L488" s="34">
        <v>401980</v>
      </c>
      <c r="M488" s="34">
        <v>383230</v>
      </c>
      <c r="N488" s="34">
        <v>364480</v>
      </c>
    </row>
    <row r="489" spans="1:14">
      <c r="A489" s="34">
        <v>6780</v>
      </c>
      <c r="B489" s="34">
        <v>6800</v>
      </c>
      <c r="C489" s="34">
        <f t="shared" si="7"/>
        <v>6780000</v>
      </c>
      <c r="D489" s="34">
        <v>733320</v>
      </c>
      <c r="E489" s="34">
        <v>685170</v>
      </c>
      <c r="F489" s="34">
        <v>561390</v>
      </c>
      <c r="G489" s="34">
        <v>531390</v>
      </c>
      <c r="H489" s="34">
        <v>501390</v>
      </c>
      <c r="I489" s="34">
        <v>471390</v>
      </c>
      <c r="J489" s="34">
        <v>442120</v>
      </c>
      <c r="K489" s="34">
        <v>423370</v>
      </c>
      <c r="L489" s="34">
        <v>404620</v>
      </c>
      <c r="M489" s="34">
        <v>385870</v>
      </c>
      <c r="N489" s="34">
        <v>367120</v>
      </c>
    </row>
    <row r="490" spans="1:14">
      <c r="A490" s="34">
        <v>6800</v>
      </c>
      <c r="B490" s="34">
        <v>6820</v>
      </c>
      <c r="C490" s="34">
        <f t="shared" si="7"/>
        <v>6800000</v>
      </c>
      <c r="D490" s="34">
        <v>737850</v>
      </c>
      <c r="E490" s="34">
        <v>689680</v>
      </c>
      <c r="F490" s="34">
        <v>565620</v>
      </c>
      <c r="G490" s="34">
        <v>535620</v>
      </c>
      <c r="H490" s="34">
        <v>505620</v>
      </c>
      <c r="I490" s="34">
        <v>475620</v>
      </c>
      <c r="J490" s="34">
        <v>445620</v>
      </c>
      <c r="K490" s="34">
        <v>426010</v>
      </c>
      <c r="L490" s="34">
        <v>407260</v>
      </c>
      <c r="M490" s="34">
        <v>388510</v>
      </c>
      <c r="N490" s="34">
        <v>369760</v>
      </c>
    </row>
    <row r="491" spans="1:14">
      <c r="A491" s="34">
        <v>6820</v>
      </c>
      <c r="B491" s="34">
        <v>6840</v>
      </c>
      <c r="C491" s="34">
        <f t="shared" si="7"/>
        <v>6820000</v>
      </c>
      <c r="D491" s="34">
        <v>742390</v>
      </c>
      <c r="E491" s="34">
        <v>694190</v>
      </c>
      <c r="F491" s="34">
        <v>569840</v>
      </c>
      <c r="G491" s="34">
        <v>539840</v>
      </c>
      <c r="H491" s="34">
        <v>509840</v>
      </c>
      <c r="I491" s="34">
        <v>479840</v>
      </c>
      <c r="J491" s="34">
        <v>449840</v>
      </c>
      <c r="K491" s="34">
        <v>428650</v>
      </c>
      <c r="L491" s="34">
        <v>409900</v>
      </c>
      <c r="M491" s="34">
        <v>391150</v>
      </c>
      <c r="N491" s="34">
        <v>372400</v>
      </c>
    </row>
    <row r="492" spans="1:14">
      <c r="A492" s="34">
        <v>6840</v>
      </c>
      <c r="B492" s="34">
        <v>6860</v>
      </c>
      <c r="C492" s="34">
        <f t="shared" si="7"/>
        <v>6840000</v>
      </c>
      <c r="D492" s="34">
        <v>746920</v>
      </c>
      <c r="E492" s="34">
        <v>698700</v>
      </c>
      <c r="F492" s="34">
        <v>574060</v>
      </c>
      <c r="G492" s="34">
        <v>544060</v>
      </c>
      <c r="H492" s="34">
        <v>514060</v>
      </c>
      <c r="I492" s="34">
        <v>484060</v>
      </c>
      <c r="J492" s="34">
        <v>454060</v>
      </c>
      <c r="K492" s="34">
        <v>431290</v>
      </c>
      <c r="L492" s="34">
        <v>412540</v>
      </c>
      <c r="M492" s="34">
        <v>393790</v>
      </c>
      <c r="N492" s="34">
        <v>375040</v>
      </c>
    </row>
    <row r="493" spans="1:14">
      <c r="A493" s="34">
        <v>6860</v>
      </c>
      <c r="B493" s="34">
        <v>6880</v>
      </c>
      <c r="C493" s="34">
        <f t="shared" si="7"/>
        <v>6860000</v>
      </c>
      <c r="D493" s="34">
        <v>751460</v>
      </c>
      <c r="E493" s="34">
        <v>703220</v>
      </c>
      <c r="F493" s="34">
        <v>578290</v>
      </c>
      <c r="G493" s="34">
        <v>548290</v>
      </c>
      <c r="H493" s="34">
        <v>518290</v>
      </c>
      <c r="I493" s="34">
        <v>488290</v>
      </c>
      <c r="J493" s="34">
        <v>458290</v>
      </c>
      <c r="K493" s="34">
        <v>433930</v>
      </c>
      <c r="L493" s="34">
        <v>415180</v>
      </c>
      <c r="M493" s="34">
        <v>396430</v>
      </c>
      <c r="N493" s="34">
        <v>377680</v>
      </c>
    </row>
    <row r="494" spans="1:14">
      <c r="A494" s="34">
        <v>6880</v>
      </c>
      <c r="B494" s="34">
        <v>6900</v>
      </c>
      <c r="C494" s="34">
        <f t="shared" si="7"/>
        <v>6880000</v>
      </c>
      <c r="D494" s="34">
        <v>756000</v>
      </c>
      <c r="E494" s="34">
        <v>707730</v>
      </c>
      <c r="F494" s="34">
        <v>582510</v>
      </c>
      <c r="G494" s="34">
        <v>552510</v>
      </c>
      <c r="H494" s="34">
        <v>522510</v>
      </c>
      <c r="I494" s="34">
        <v>492510</v>
      </c>
      <c r="J494" s="34">
        <v>462510</v>
      </c>
      <c r="K494" s="34">
        <v>436570</v>
      </c>
      <c r="L494" s="34">
        <v>417820</v>
      </c>
      <c r="M494" s="34">
        <v>399070</v>
      </c>
      <c r="N494" s="34">
        <v>380320</v>
      </c>
    </row>
    <row r="495" spans="1:14">
      <c r="A495" s="34">
        <v>6900</v>
      </c>
      <c r="B495" s="34">
        <v>6920</v>
      </c>
      <c r="C495" s="34">
        <f t="shared" si="7"/>
        <v>6900000</v>
      </c>
      <c r="D495" s="34">
        <v>760530</v>
      </c>
      <c r="E495" s="34">
        <v>712240</v>
      </c>
      <c r="F495" s="34">
        <v>586740</v>
      </c>
      <c r="G495" s="34">
        <v>556740</v>
      </c>
      <c r="H495" s="34">
        <v>526740</v>
      </c>
      <c r="I495" s="34">
        <v>496740</v>
      </c>
      <c r="J495" s="34">
        <v>466740</v>
      </c>
      <c r="K495" s="34">
        <v>439210</v>
      </c>
      <c r="L495" s="34">
        <v>420460</v>
      </c>
      <c r="M495" s="34">
        <v>401710</v>
      </c>
      <c r="N495" s="34">
        <v>382960</v>
      </c>
    </row>
    <row r="496" spans="1:14">
      <c r="A496" s="34">
        <v>6920</v>
      </c>
      <c r="B496" s="34">
        <v>6940</v>
      </c>
      <c r="C496" s="34">
        <f t="shared" si="7"/>
        <v>6920000</v>
      </c>
      <c r="D496" s="34">
        <v>765070</v>
      </c>
      <c r="E496" s="34">
        <v>716750</v>
      </c>
      <c r="F496" s="34">
        <v>590960</v>
      </c>
      <c r="G496" s="34">
        <v>560960</v>
      </c>
      <c r="H496" s="34">
        <v>530960</v>
      </c>
      <c r="I496" s="34">
        <v>500960</v>
      </c>
      <c r="J496" s="34">
        <v>470960</v>
      </c>
      <c r="K496" s="34">
        <v>441850</v>
      </c>
      <c r="L496" s="34">
        <v>423100</v>
      </c>
      <c r="M496" s="34">
        <v>404350</v>
      </c>
      <c r="N496" s="34">
        <v>385600</v>
      </c>
    </row>
    <row r="497" spans="1:14">
      <c r="A497" s="34">
        <v>6940</v>
      </c>
      <c r="B497" s="34">
        <v>6960</v>
      </c>
      <c r="C497" s="34">
        <f t="shared" si="7"/>
        <v>6940000</v>
      </c>
      <c r="D497" s="34">
        <v>769600</v>
      </c>
      <c r="E497" s="34">
        <v>721260</v>
      </c>
      <c r="F497" s="34">
        <v>595180</v>
      </c>
      <c r="G497" s="34">
        <v>565180</v>
      </c>
      <c r="H497" s="34">
        <v>535180</v>
      </c>
      <c r="I497" s="34">
        <v>505180</v>
      </c>
      <c r="J497" s="34">
        <v>475180</v>
      </c>
      <c r="K497" s="34">
        <v>445180</v>
      </c>
      <c r="L497" s="34">
        <v>425740</v>
      </c>
      <c r="M497" s="34">
        <v>406990</v>
      </c>
      <c r="N497" s="34">
        <v>388240</v>
      </c>
    </row>
    <row r="498" spans="1:14">
      <c r="A498" s="34">
        <v>6960</v>
      </c>
      <c r="B498" s="34">
        <v>6980</v>
      </c>
      <c r="C498" s="34">
        <f t="shared" si="7"/>
        <v>6960000</v>
      </c>
      <c r="D498" s="34">
        <v>774140</v>
      </c>
      <c r="E498" s="34">
        <v>725780</v>
      </c>
      <c r="F498" s="34">
        <v>599410</v>
      </c>
      <c r="G498" s="34">
        <v>569410</v>
      </c>
      <c r="H498" s="34">
        <v>539410</v>
      </c>
      <c r="I498" s="34">
        <v>509410</v>
      </c>
      <c r="J498" s="34">
        <v>479410</v>
      </c>
      <c r="K498" s="34">
        <v>449410</v>
      </c>
      <c r="L498" s="34">
        <v>428380</v>
      </c>
      <c r="M498" s="34">
        <v>409630</v>
      </c>
      <c r="N498" s="34">
        <v>390880</v>
      </c>
    </row>
    <row r="499" spans="1:14">
      <c r="A499" s="34">
        <v>6980</v>
      </c>
      <c r="B499" s="34">
        <v>7000</v>
      </c>
      <c r="C499" s="34">
        <f t="shared" si="7"/>
        <v>6980000</v>
      </c>
      <c r="D499" s="34">
        <v>778680</v>
      </c>
      <c r="E499" s="34">
        <v>730290</v>
      </c>
      <c r="F499" s="34">
        <v>603630</v>
      </c>
      <c r="G499" s="34">
        <v>573630</v>
      </c>
      <c r="H499" s="34">
        <v>543630</v>
      </c>
      <c r="I499" s="34">
        <v>513630</v>
      </c>
      <c r="J499" s="34">
        <v>483630</v>
      </c>
      <c r="K499" s="34">
        <v>453630</v>
      </c>
      <c r="L499" s="34">
        <v>431020</v>
      </c>
      <c r="M499" s="34">
        <v>412270</v>
      </c>
      <c r="N499" s="34">
        <v>393520</v>
      </c>
    </row>
    <row r="500" spans="1:14">
      <c r="A500" s="34">
        <v>7000</v>
      </c>
      <c r="B500" s="34">
        <v>7020</v>
      </c>
      <c r="C500" s="34">
        <f t="shared" si="7"/>
        <v>7000000</v>
      </c>
      <c r="D500" s="34">
        <v>783210</v>
      </c>
      <c r="E500" s="34">
        <v>734800</v>
      </c>
      <c r="F500" s="34">
        <v>607860</v>
      </c>
      <c r="G500" s="34">
        <v>577860</v>
      </c>
      <c r="H500" s="34">
        <v>547860</v>
      </c>
      <c r="I500" s="34">
        <v>517860</v>
      </c>
      <c r="J500" s="34">
        <v>487860</v>
      </c>
      <c r="K500" s="34">
        <v>457860</v>
      </c>
      <c r="L500" s="34">
        <v>433660</v>
      </c>
      <c r="M500" s="34">
        <v>414910</v>
      </c>
      <c r="N500" s="34">
        <v>396160</v>
      </c>
    </row>
    <row r="501" spans="1:14">
      <c r="A501" s="34">
        <v>7020</v>
      </c>
      <c r="B501" s="34">
        <v>7040</v>
      </c>
      <c r="C501" s="34">
        <f t="shared" si="7"/>
        <v>7020000</v>
      </c>
      <c r="D501" s="34">
        <v>787750</v>
      </c>
      <c r="E501" s="34">
        <v>739310</v>
      </c>
      <c r="F501" s="34">
        <v>612080</v>
      </c>
      <c r="G501" s="34">
        <v>582080</v>
      </c>
      <c r="H501" s="34">
        <v>552080</v>
      </c>
      <c r="I501" s="34">
        <v>522080</v>
      </c>
      <c r="J501" s="34">
        <v>492080</v>
      </c>
      <c r="K501" s="34">
        <v>462080</v>
      </c>
      <c r="L501" s="34">
        <v>436300</v>
      </c>
      <c r="M501" s="34">
        <v>417550</v>
      </c>
      <c r="N501" s="34">
        <v>398800</v>
      </c>
    </row>
    <row r="502" spans="1:14">
      <c r="A502" s="34">
        <v>7040</v>
      </c>
      <c r="B502" s="34">
        <v>7060</v>
      </c>
      <c r="C502" s="34">
        <f t="shared" si="7"/>
        <v>7040000</v>
      </c>
      <c r="D502" s="34">
        <v>792280</v>
      </c>
      <c r="E502" s="34">
        <v>743820</v>
      </c>
      <c r="F502" s="34">
        <v>616300</v>
      </c>
      <c r="G502" s="34">
        <v>586300</v>
      </c>
      <c r="H502" s="34">
        <v>556300</v>
      </c>
      <c r="I502" s="34">
        <v>526300</v>
      </c>
      <c r="J502" s="34">
        <v>496300</v>
      </c>
      <c r="K502" s="34">
        <v>466300</v>
      </c>
      <c r="L502" s="34">
        <v>438940</v>
      </c>
      <c r="M502" s="34">
        <v>420190</v>
      </c>
      <c r="N502" s="34">
        <v>401440</v>
      </c>
    </row>
    <row r="503" spans="1:14">
      <c r="A503" s="34">
        <v>7060</v>
      </c>
      <c r="B503" s="34">
        <v>7080</v>
      </c>
      <c r="C503" s="34">
        <f t="shared" si="7"/>
        <v>7060000</v>
      </c>
      <c r="D503" s="34">
        <v>796820</v>
      </c>
      <c r="E503" s="34">
        <v>748340</v>
      </c>
      <c r="F503" s="34">
        <v>620530</v>
      </c>
      <c r="G503" s="34">
        <v>590530</v>
      </c>
      <c r="H503" s="34">
        <v>560530</v>
      </c>
      <c r="I503" s="34">
        <v>530530</v>
      </c>
      <c r="J503" s="34">
        <v>500530</v>
      </c>
      <c r="K503" s="34">
        <v>470530</v>
      </c>
      <c r="L503" s="34">
        <v>441580</v>
      </c>
      <c r="M503" s="34">
        <v>422830</v>
      </c>
      <c r="N503" s="34">
        <v>404080</v>
      </c>
    </row>
    <row r="504" spans="1:14">
      <c r="A504" s="34">
        <v>7080</v>
      </c>
      <c r="B504" s="34">
        <v>7100</v>
      </c>
      <c r="C504" s="34">
        <f t="shared" si="7"/>
        <v>7080000</v>
      </c>
      <c r="D504" s="34">
        <v>801360</v>
      </c>
      <c r="E504" s="34">
        <v>752850</v>
      </c>
      <c r="F504" s="34">
        <v>624750</v>
      </c>
      <c r="G504" s="34">
        <v>594750</v>
      </c>
      <c r="H504" s="34">
        <v>564750</v>
      </c>
      <c r="I504" s="34">
        <v>534750</v>
      </c>
      <c r="J504" s="34">
        <v>504750</v>
      </c>
      <c r="K504" s="34">
        <v>474750</v>
      </c>
      <c r="L504" s="34">
        <v>444750</v>
      </c>
      <c r="M504" s="34">
        <v>425470</v>
      </c>
      <c r="N504" s="34">
        <v>406720</v>
      </c>
    </row>
    <row r="505" spans="1:14">
      <c r="A505" s="34">
        <v>7100</v>
      </c>
      <c r="B505" s="34">
        <v>7120</v>
      </c>
      <c r="C505" s="34">
        <f t="shared" si="7"/>
        <v>7100000</v>
      </c>
      <c r="D505" s="34">
        <v>805890</v>
      </c>
      <c r="E505" s="34">
        <v>757360</v>
      </c>
      <c r="F505" s="34">
        <v>628980</v>
      </c>
      <c r="G505" s="34">
        <v>598980</v>
      </c>
      <c r="H505" s="34">
        <v>568980</v>
      </c>
      <c r="I505" s="34">
        <v>538980</v>
      </c>
      <c r="J505" s="34">
        <v>508980</v>
      </c>
      <c r="K505" s="34">
        <v>478980</v>
      </c>
      <c r="L505" s="34">
        <v>448980</v>
      </c>
      <c r="M505" s="34">
        <v>428110</v>
      </c>
      <c r="N505" s="34">
        <v>409360</v>
      </c>
    </row>
    <row r="506" spans="1:14">
      <c r="A506" s="34">
        <v>7120</v>
      </c>
      <c r="B506" s="34">
        <v>7140</v>
      </c>
      <c r="C506" s="34">
        <f t="shared" si="7"/>
        <v>7120000</v>
      </c>
      <c r="D506" s="34">
        <v>810430</v>
      </c>
      <c r="E506" s="34">
        <v>761870</v>
      </c>
      <c r="F506" s="34">
        <v>633200</v>
      </c>
      <c r="G506" s="34">
        <v>603200</v>
      </c>
      <c r="H506" s="34">
        <v>573200</v>
      </c>
      <c r="I506" s="34">
        <v>543200</v>
      </c>
      <c r="J506" s="34">
        <v>513200</v>
      </c>
      <c r="K506" s="34">
        <v>483200</v>
      </c>
      <c r="L506" s="34">
        <v>453200</v>
      </c>
      <c r="M506" s="34">
        <v>430750</v>
      </c>
      <c r="N506" s="34">
        <v>412000</v>
      </c>
    </row>
    <row r="507" spans="1:14">
      <c r="A507" s="34">
        <v>7140</v>
      </c>
      <c r="B507" s="34">
        <v>7160</v>
      </c>
      <c r="C507" s="34">
        <f t="shared" si="7"/>
        <v>7140000</v>
      </c>
      <c r="D507" s="34">
        <v>814960</v>
      </c>
      <c r="E507" s="34">
        <v>766380</v>
      </c>
      <c r="F507" s="34">
        <v>637420</v>
      </c>
      <c r="G507" s="34">
        <v>607420</v>
      </c>
      <c r="H507" s="34">
        <v>577420</v>
      </c>
      <c r="I507" s="34">
        <v>547420</v>
      </c>
      <c r="J507" s="34">
        <v>517420</v>
      </c>
      <c r="K507" s="34">
        <v>487420</v>
      </c>
      <c r="L507" s="34">
        <v>457420</v>
      </c>
      <c r="M507" s="34">
        <v>433390</v>
      </c>
      <c r="N507" s="34">
        <v>414640</v>
      </c>
    </row>
    <row r="508" spans="1:14">
      <c r="A508" s="34">
        <v>7160</v>
      </c>
      <c r="B508" s="34">
        <v>7180</v>
      </c>
      <c r="C508" s="34">
        <f t="shared" si="7"/>
        <v>7160000</v>
      </c>
      <c r="D508" s="34">
        <v>819500</v>
      </c>
      <c r="E508" s="34">
        <v>770900</v>
      </c>
      <c r="F508" s="34">
        <v>641650</v>
      </c>
      <c r="G508" s="34">
        <v>611650</v>
      </c>
      <c r="H508" s="34">
        <v>581650</v>
      </c>
      <c r="I508" s="34">
        <v>551650</v>
      </c>
      <c r="J508" s="34">
        <v>521650</v>
      </c>
      <c r="K508" s="34">
        <v>491650</v>
      </c>
      <c r="L508" s="34">
        <v>461650</v>
      </c>
      <c r="M508" s="34">
        <v>436030</v>
      </c>
      <c r="N508" s="34">
        <v>417280</v>
      </c>
    </row>
    <row r="509" spans="1:14">
      <c r="A509" s="34">
        <v>7180</v>
      </c>
      <c r="B509" s="34">
        <v>7200</v>
      </c>
      <c r="C509" s="34">
        <f t="shared" si="7"/>
        <v>7180000</v>
      </c>
      <c r="D509" s="34">
        <v>824040</v>
      </c>
      <c r="E509" s="34">
        <v>775410</v>
      </c>
      <c r="F509" s="34">
        <v>645870</v>
      </c>
      <c r="G509" s="34">
        <v>615870</v>
      </c>
      <c r="H509" s="34">
        <v>585870</v>
      </c>
      <c r="I509" s="34">
        <v>555870</v>
      </c>
      <c r="J509" s="34">
        <v>525870</v>
      </c>
      <c r="K509" s="34">
        <v>495870</v>
      </c>
      <c r="L509" s="34">
        <v>465870</v>
      </c>
      <c r="M509" s="34">
        <v>438670</v>
      </c>
      <c r="N509" s="34">
        <v>419920</v>
      </c>
    </row>
    <row r="510" spans="1:14">
      <c r="A510" s="34">
        <v>7200</v>
      </c>
      <c r="B510" s="34">
        <v>7220</v>
      </c>
      <c r="C510" s="34">
        <f t="shared" si="7"/>
        <v>7200000</v>
      </c>
      <c r="D510" s="34">
        <v>828570</v>
      </c>
      <c r="E510" s="34">
        <v>779920</v>
      </c>
      <c r="F510" s="34">
        <v>650100</v>
      </c>
      <c r="G510" s="34">
        <v>620100</v>
      </c>
      <c r="H510" s="34">
        <v>590100</v>
      </c>
      <c r="I510" s="34">
        <v>560100</v>
      </c>
      <c r="J510" s="34">
        <v>530100</v>
      </c>
      <c r="K510" s="34">
        <v>500100</v>
      </c>
      <c r="L510" s="34">
        <v>470100</v>
      </c>
      <c r="M510" s="34">
        <v>441310</v>
      </c>
      <c r="N510" s="34">
        <v>422560</v>
      </c>
    </row>
    <row r="511" spans="1:14">
      <c r="A511" s="34">
        <v>7220</v>
      </c>
      <c r="B511" s="34">
        <v>7240</v>
      </c>
      <c r="C511" s="34">
        <f t="shared" si="7"/>
        <v>7220000</v>
      </c>
      <c r="D511" s="34">
        <v>833110</v>
      </c>
      <c r="E511" s="34">
        <v>784430</v>
      </c>
      <c r="F511" s="34">
        <v>654320</v>
      </c>
      <c r="G511" s="34">
        <v>624320</v>
      </c>
      <c r="H511" s="34">
        <v>594320</v>
      </c>
      <c r="I511" s="34">
        <v>564320</v>
      </c>
      <c r="J511" s="34">
        <v>534320</v>
      </c>
      <c r="K511" s="34">
        <v>504320</v>
      </c>
      <c r="L511" s="34">
        <v>474320</v>
      </c>
      <c r="M511" s="34">
        <v>444320</v>
      </c>
      <c r="N511" s="34">
        <v>425200</v>
      </c>
    </row>
    <row r="512" spans="1:14">
      <c r="A512" s="34">
        <v>7240</v>
      </c>
      <c r="B512" s="34">
        <v>7260</v>
      </c>
      <c r="C512" s="34">
        <f t="shared" si="7"/>
        <v>7240000</v>
      </c>
      <c r="D512" s="34">
        <v>837640</v>
      </c>
      <c r="E512" s="34">
        <v>788940</v>
      </c>
      <c r="F512" s="34">
        <v>658540</v>
      </c>
      <c r="G512" s="34">
        <v>628540</v>
      </c>
      <c r="H512" s="34">
        <v>598540</v>
      </c>
      <c r="I512" s="34">
        <v>568540</v>
      </c>
      <c r="J512" s="34">
        <v>538540</v>
      </c>
      <c r="K512" s="34">
        <v>508540</v>
      </c>
      <c r="L512" s="34">
        <v>478540</v>
      </c>
      <c r="M512" s="34">
        <v>448540</v>
      </c>
      <c r="N512" s="34">
        <v>427840</v>
      </c>
    </row>
    <row r="513" spans="1:14">
      <c r="A513" s="34">
        <v>7260</v>
      </c>
      <c r="B513" s="34">
        <v>7280</v>
      </c>
      <c r="C513" s="34">
        <f t="shared" si="7"/>
        <v>7260000</v>
      </c>
      <c r="D513" s="34">
        <v>842180</v>
      </c>
      <c r="E513" s="34">
        <v>793460</v>
      </c>
      <c r="F513" s="34">
        <v>662770</v>
      </c>
      <c r="G513" s="34">
        <v>632770</v>
      </c>
      <c r="H513" s="34">
        <v>602770</v>
      </c>
      <c r="I513" s="34">
        <v>572770</v>
      </c>
      <c r="J513" s="34">
        <v>542770</v>
      </c>
      <c r="K513" s="34">
        <v>512770</v>
      </c>
      <c r="L513" s="34">
        <v>482770</v>
      </c>
      <c r="M513" s="34">
        <v>452770</v>
      </c>
      <c r="N513" s="34">
        <v>430480</v>
      </c>
    </row>
    <row r="514" spans="1:14">
      <c r="A514" s="34">
        <v>7280</v>
      </c>
      <c r="B514" s="34">
        <v>7300</v>
      </c>
      <c r="C514" s="34">
        <f t="shared" si="7"/>
        <v>7280000</v>
      </c>
      <c r="D514" s="34">
        <v>846720</v>
      </c>
      <c r="E514" s="34">
        <v>797970</v>
      </c>
      <c r="F514" s="34">
        <v>666990</v>
      </c>
      <c r="G514" s="34">
        <v>636990</v>
      </c>
      <c r="H514" s="34">
        <v>606990</v>
      </c>
      <c r="I514" s="34">
        <v>576990</v>
      </c>
      <c r="J514" s="34">
        <v>546990</v>
      </c>
      <c r="K514" s="34">
        <v>516990</v>
      </c>
      <c r="L514" s="34">
        <v>486990</v>
      </c>
      <c r="M514" s="34">
        <v>456990</v>
      </c>
      <c r="N514" s="34">
        <v>433120</v>
      </c>
    </row>
    <row r="515" spans="1:14">
      <c r="A515" s="34">
        <v>7300</v>
      </c>
      <c r="B515" s="34">
        <v>7320</v>
      </c>
      <c r="C515" s="34">
        <f t="shared" si="7"/>
        <v>7300000</v>
      </c>
      <c r="D515" s="34">
        <v>851250</v>
      </c>
      <c r="E515" s="34">
        <v>802480</v>
      </c>
      <c r="F515" s="34">
        <v>671220</v>
      </c>
      <c r="G515" s="34">
        <v>641220</v>
      </c>
      <c r="H515" s="34">
        <v>611220</v>
      </c>
      <c r="I515" s="34">
        <v>581220</v>
      </c>
      <c r="J515" s="34">
        <v>551220</v>
      </c>
      <c r="K515" s="34">
        <v>521220</v>
      </c>
      <c r="L515" s="34">
        <v>491220</v>
      </c>
      <c r="M515" s="34">
        <v>461220</v>
      </c>
      <c r="N515" s="34">
        <v>435760</v>
      </c>
    </row>
    <row r="516" spans="1:14">
      <c r="A516" s="34">
        <v>7320</v>
      </c>
      <c r="B516" s="34">
        <v>7340</v>
      </c>
      <c r="C516" s="34">
        <f t="shared" si="7"/>
        <v>7320000</v>
      </c>
      <c r="D516" s="34">
        <v>855790</v>
      </c>
      <c r="E516" s="34">
        <v>806990</v>
      </c>
      <c r="F516" s="34">
        <v>675440</v>
      </c>
      <c r="G516" s="34">
        <v>645440</v>
      </c>
      <c r="H516" s="34">
        <v>615440</v>
      </c>
      <c r="I516" s="34">
        <v>585440</v>
      </c>
      <c r="J516" s="34">
        <v>555440</v>
      </c>
      <c r="K516" s="34">
        <v>525440</v>
      </c>
      <c r="L516" s="34">
        <v>495440</v>
      </c>
      <c r="M516" s="34">
        <v>465440</v>
      </c>
      <c r="N516" s="34">
        <v>438400</v>
      </c>
    </row>
    <row r="517" spans="1:14">
      <c r="A517" s="34">
        <v>7340</v>
      </c>
      <c r="B517" s="34">
        <v>7360</v>
      </c>
      <c r="C517" s="34">
        <f t="shared" ref="C517:C580" si="8">A517*1000</f>
        <v>7340000</v>
      </c>
      <c r="D517" s="34">
        <v>860320</v>
      </c>
      <c r="E517" s="34">
        <v>811500</v>
      </c>
      <c r="F517" s="34">
        <v>679660</v>
      </c>
      <c r="G517" s="34">
        <v>649660</v>
      </c>
      <c r="H517" s="34">
        <v>619660</v>
      </c>
      <c r="I517" s="34">
        <v>589660</v>
      </c>
      <c r="J517" s="34">
        <v>559660</v>
      </c>
      <c r="K517" s="34">
        <v>529660</v>
      </c>
      <c r="L517" s="34">
        <v>499660</v>
      </c>
      <c r="M517" s="34">
        <v>469660</v>
      </c>
      <c r="N517" s="34">
        <v>441040</v>
      </c>
    </row>
    <row r="518" spans="1:14">
      <c r="A518" s="34">
        <v>7360</v>
      </c>
      <c r="B518" s="34">
        <v>7380</v>
      </c>
      <c r="C518" s="34">
        <f t="shared" si="8"/>
        <v>7360000</v>
      </c>
      <c r="D518" s="34">
        <v>864860</v>
      </c>
      <c r="E518" s="34">
        <v>816020</v>
      </c>
      <c r="F518" s="34">
        <v>683890</v>
      </c>
      <c r="G518" s="34">
        <v>653890</v>
      </c>
      <c r="H518" s="34">
        <v>623890</v>
      </c>
      <c r="I518" s="34">
        <v>593890</v>
      </c>
      <c r="J518" s="34">
        <v>563890</v>
      </c>
      <c r="K518" s="34">
        <v>533890</v>
      </c>
      <c r="L518" s="34">
        <v>503890</v>
      </c>
      <c r="M518" s="34">
        <v>473890</v>
      </c>
      <c r="N518" s="34">
        <v>443890</v>
      </c>
    </row>
    <row r="519" spans="1:14">
      <c r="A519" s="34">
        <v>7380</v>
      </c>
      <c r="B519" s="34">
        <v>7400</v>
      </c>
      <c r="C519" s="34">
        <f t="shared" si="8"/>
        <v>7380000</v>
      </c>
      <c r="D519" s="34">
        <v>869400</v>
      </c>
      <c r="E519" s="34">
        <v>820530</v>
      </c>
      <c r="F519" s="34">
        <v>688110</v>
      </c>
      <c r="G519" s="34">
        <v>658110</v>
      </c>
      <c r="H519" s="34">
        <v>628110</v>
      </c>
      <c r="I519" s="34">
        <v>598110</v>
      </c>
      <c r="J519" s="34">
        <v>568110</v>
      </c>
      <c r="K519" s="34">
        <v>538110</v>
      </c>
      <c r="L519" s="34">
        <v>508110</v>
      </c>
      <c r="M519" s="34">
        <v>478110</v>
      </c>
      <c r="N519" s="34">
        <v>448110</v>
      </c>
    </row>
    <row r="520" spans="1:14">
      <c r="A520" s="34">
        <v>7400</v>
      </c>
      <c r="B520" s="34">
        <v>7420</v>
      </c>
      <c r="C520" s="34">
        <f t="shared" si="8"/>
        <v>7400000</v>
      </c>
      <c r="D520" s="34">
        <v>873930</v>
      </c>
      <c r="E520" s="34">
        <v>825040</v>
      </c>
      <c r="F520" s="34">
        <v>692340</v>
      </c>
      <c r="G520" s="34">
        <v>662340</v>
      </c>
      <c r="H520" s="34">
        <v>632340</v>
      </c>
      <c r="I520" s="34">
        <v>602340</v>
      </c>
      <c r="J520" s="34">
        <v>572340</v>
      </c>
      <c r="K520" s="34">
        <v>542340</v>
      </c>
      <c r="L520" s="34">
        <v>512340</v>
      </c>
      <c r="M520" s="34">
        <v>482340</v>
      </c>
      <c r="N520" s="34">
        <v>452340</v>
      </c>
    </row>
    <row r="521" spans="1:14">
      <c r="A521" s="34">
        <v>7420</v>
      </c>
      <c r="B521" s="34">
        <v>7440</v>
      </c>
      <c r="C521" s="34">
        <f t="shared" si="8"/>
        <v>7420000</v>
      </c>
      <c r="D521" s="34">
        <v>878470</v>
      </c>
      <c r="E521" s="34">
        <v>829550</v>
      </c>
      <c r="F521" s="34">
        <v>696560</v>
      </c>
      <c r="G521" s="34">
        <v>666560</v>
      </c>
      <c r="H521" s="34">
        <v>636560</v>
      </c>
      <c r="I521" s="34">
        <v>606560</v>
      </c>
      <c r="J521" s="34">
        <v>576560</v>
      </c>
      <c r="K521" s="34">
        <v>546560</v>
      </c>
      <c r="L521" s="34">
        <v>516560</v>
      </c>
      <c r="M521" s="34">
        <v>486560</v>
      </c>
      <c r="N521" s="34">
        <v>456560</v>
      </c>
    </row>
    <row r="522" spans="1:14">
      <c r="A522" s="34">
        <v>7440</v>
      </c>
      <c r="B522" s="34">
        <v>7460</v>
      </c>
      <c r="C522" s="34">
        <f t="shared" si="8"/>
        <v>7440000</v>
      </c>
      <c r="D522" s="34">
        <v>883000</v>
      </c>
      <c r="E522" s="34">
        <v>834060</v>
      </c>
      <c r="F522" s="34">
        <v>700780</v>
      </c>
      <c r="G522" s="34">
        <v>670780</v>
      </c>
      <c r="H522" s="34">
        <v>640780</v>
      </c>
      <c r="I522" s="34">
        <v>610780</v>
      </c>
      <c r="J522" s="34">
        <v>580780</v>
      </c>
      <c r="K522" s="34">
        <v>550780</v>
      </c>
      <c r="L522" s="34">
        <v>520780</v>
      </c>
      <c r="M522" s="34">
        <v>490780</v>
      </c>
      <c r="N522" s="34">
        <v>460780</v>
      </c>
    </row>
    <row r="523" spans="1:14">
      <c r="A523" s="34">
        <v>7460</v>
      </c>
      <c r="B523" s="34">
        <v>7480</v>
      </c>
      <c r="C523" s="34">
        <f t="shared" si="8"/>
        <v>7460000</v>
      </c>
      <c r="D523" s="34">
        <v>887540</v>
      </c>
      <c r="E523" s="34">
        <v>838580</v>
      </c>
      <c r="F523" s="34">
        <v>705010</v>
      </c>
      <c r="G523" s="34">
        <v>675010</v>
      </c>
      <c r="H523" s="34">
        <v>645010</v>
      </c>
      <c r="I523" s="34">
        <v>615010</v>
      </c>
      <c r="J523" s="34">
        <v>585010</v>
      </c>
      <c r="K523" s="34">
        <v>555010</v>
      </c>
      <c r="L523" s="34">
        <v>525010</v>
      </c>
      <c r="M523" s="34">
        <v>495010</v>
      </c>
      <c r="N523" s="34">
        <v>465010</v>
      </c>
    </row>
    <row r="524" spans="1:14">
      <c r="A524" s="34">
        <v>7480</v>
      </c>
      <c r="B524" s="34">
        <v>7500</v>
      </c>
      <c r="C524" s="34">
        <f t="shared" si="8"/>
        <v>7480000</v>
      </c>
      <c r="D524" s="34">
        <v>892080</v>
      </c>
      <c r="E524" s="34">
        <v>843090</v>
      </c>
      <c r="F524" s="34">
        <v>709230</v>
      </c>
      <c r="G524" s="34">
        <v>679230</v>
      </c>
      <c r="H524" s="34">
        <v>649230</v>
      </c>
      <c r="I524" s="34">
        <v>619230</v>
      </c>
      <c r="J524" s="34">
        <v>589230</v>
      </c>
      <c r="K524" s="34">
        <v>559230</v>
      </c>
      <c r="L524" s="34">
        <v>529230</v>
      </c>
      <c r="M524" s="34">
        <v>499230</v>
      </c>
      <c r="N524" s="34">
        <v>469230</v>
      </c>
    </row>
    <row r="525" spans="1:14">
      <c r="A525" s="34">
        <v>7500</v>
      </c>
      <c r="B525" s="34">
        <v>7520</v>
      </c>
      <c r="C525" s="34">
        <f t="shared" si="8"/>
        <v>7500000</v>
      </c>
      <c r="D525" s="34">
        <v>896610</v>
      </c>
      <c r="E525" s="34">
        <v>847600</v>
      </c>
      <c r="F525" s="34">
        <v>713460</v>
      </c>
      <c r="G525" s="34">
        <v>683460</v>
      </c>
      <c r="H525" s="34">
        <v>653460</v>
      </c>
      <c r="I525" s="34">
        <v>623460</v>
      </c>
      <c r="J525" s="34">
        <v>593460</v>
      </c>
      <c r="K525" s="34">
        <v>563460</v>
      </c>
      <c r="L525" s="34">
        <v>533460</v>
      </c>
      <c r="M525" s="34">
        <v>503460</v>
      </c>
      <c r="N525" s="34">
        <v>473460</v>
      </c>
    </row>
    <row r="526" spans="1:14">
      <c r="A526" s="34">
        <v>7520</v>
      </c>
      <c r="B526" s="34">
        <v>7540</v>
      </c>
      <c r="C526" s="34">
        <f t="shared" si="8"/>
        <v>7520000</v>
      </c>
      <c r="D526" s="34">
        <v>901150</v>
      </c>
      <c r="E526" s="34">
        <v>852110</v>
      </c>
      <c r="F526" s="34">
        <v>717680</v>
      </c>
      <c r="G526" s="34">
        <v>687680</v>
      </c>
      <c r="H526" s="34">
        <v>657680</v>
      </c>
      <c r="I526" s="34">
        <v>627680</v>
      </c>
      <c r="J526" s="34">
        <v>597680</v>
      </c>
      <c r="K526" s="34">
        <v>567680</v>
      </c>
      <c r="L526" s="34">
        <v>537680</v>
      </c>
      <c r="M526" s="34">
        <v>507680</v>
      </c>
      <c r="N526" s="34">
        <v>477680</v>
      </c>
    </row>
    <row r="527" spans="1:14">
      <c r="A527" s="34">
        <v>7540</v>
      </c>
      <c r="B527" s="34">
        <v>7560</v>
      </c>
      <c r="C527" s="34">
        <f t="shared" si="8"/>
        <v>7540000</v>
      </c>
      <c r="D527" s="34">
        <v>905680</v>
      </c>
      <c r="E527" s="34">
        <v>856620</v>
      </c>
      <c r="F527" s="34">
        <v>721900</v>
      </c>
      <c r="G527" s="34">
        <v>691900</v>
      </c>
      <c r="H527" s="34">
        <v>661900</v>
      </c>
      <c r="I527" s="34">
        <v>631900</v>
      </c>
      <c r="J527" s="34">
        <v>601900</v>
      </c>
      <c r="K527" s="34">
        <v>571900</v>
      </c>
      <c r="L527" s="34">
        <v>541900</v>
      </c>
      <c r="M527" s="34">
        <v>511900</v>
      </c>
      <c r="N527" s="34">
        <v>481900</v>
      </c>
    </row>
    <row r="528" spans="1:14">
      <c r="A528" s="34">
        <v>7560</v>
      </c>
      <c r="B528" s="34">
        <v>7580</v>
      </c>
      <c r="C528" s="34">
        <f t="shared" si="8"/>
        <v>7560000</v>
      </c>
      <c r="D528" s="34">
        <v>910220</v>
      </c>
      <c r="E528" s="34">
        <v>861140</v>
      </c>
      <c r="F528" s="34">
        <v>726130</v>
      </c>
      <c r="G528" s="34">
        <v>696130</v>
      </c>
      <c r="H528" s="34">
        <v>666130</v>
      </c>
      <c r="I528" s="34">
        <v>636130</v>
      </c>
      <c r="J528" s="34">
        <v>606130</v>
      </c>
      <c r="K528" s="34">
        <v>576130</v>
      </c>
      <c r="L528" s="34">
        <v>546130</v>
      </c>
      <c r="M528" s="34">
        <v>516130</v>
      </c>
      <c r="N528" s="34">
        <v>486130</v>
      </c>
    </row>
    <row r="529" spans="1:14">
      <c r="A529" s="34">
        <v>7580</v>
      </c>
      <c r="B529" s="34">
        <v>7600</v>
      </c>
      <c r="C529" s="34">
        <f t="shared" si="8"/>
        <v>7580000</v>
      </c>
      <c r="D529" s="34">
        <v>914760</v>
      </c>
      <c r="E529" s="34">
        <v>865650</v>
      </c>
      <c r="F529" s="34">
        <v>730350</v>
      </c>
      <c r="G529" s="34">
        <v>700350</v>
      </c>
      <c r="H529" s="34">
        <v>670350</v>
      </c>
      <c r="I529" s="34">
        <v>640350</v>
      </c>
      <c r="J529" s="34">
        <v>610350</v>
      </c>
      <c r="K529" s="34">
        <v>580350</v>
      </c>
      <c r="L529" s="34">
        <v>550350</v>
      </c>
      <c r="M529" s="34">
        <v>520350</v>
      </c>
      <c r="N529" s="34">
        <v>490350</v>
      </c>
    </row>
    <row r="530" spans="1:14">
      <c r="A530" s="34">
        <v>7600</v>
      </c>
      <c r="B530" s="34">
        <v>7620</v>
      </c>
      <c r="C530" s="34">
        <f t="shared" si="8"/>
        <v>7600000</v>
      </c>
      <c r="D530" s="34">
        <v>919290</v>
      </c>
      <c r="E530" s="34">
        <v>870160</v>
      </c>
      <c r="F530" s="34">
        <v>734580</v>
      </c>
      <c r="G530" s="34">
        <v>704580</v>
      </c>
      <c r="H530" s="34">
        <v>674580</v>
      </c>
      <c r="I530" s="34">
        <v>644580</v>
      </c>
      <c r="J530" s="34">
        <v>614580</v>
      </c>
      <c r="K530" s="34">
        <v>584580</v>
      </c>
      <c r="L530" s="34">
        <v>554580</v>
      </c>
      <c r="M530" s="34">
        <v>524580</v>
      </c>
      <c r="N530" s="34">
        <v>494580</v>
      </c>
    </row>
    <row r="531" spans="1:14">
      <c r="A531" s="34">
        <v>7620</v>
      </c>
      <c r="B531" s="34">
        <v>7640</v>
      </c>
      <c r="C531" s="34">
        <f t="shared" si="8"/>
        <v>7620000</v>
      </c>
      <c r="D531" s="34">
        <v>923830</v>
      </c>
      <c r="E531" s="34">
        <v>874670</v>
      </c>
      <c r="F531" s="34">
        <v>738800</v>
      </c>
      <c r="G531" s="34">
        <v>708800</v>
      </c>
      <c r="H531" s="34">
        <v>678800</v>
      </c>
      <c r="I531" s="34">
        <v>648800</v>
      </c>
      <c r="J531" s="34">
        <v>618800</v>
      </c>
      <c r="K531" s="34">
        <v>588800</v>
      </c>
      <c r="L531" s="34">
        <v>558800</v>
      </c>
      <c r="M531" s="34">
        <v>528800</v>
      </c>
      <c r="N531" s="34">
        <v>498800</v>
      </c>
    </row>
    <row r="532" spans="1:14">
      <c r="A532" s="34">
        <v>7640</v>
      </c>
      <c r="B532" s="34">
        <v>7660</v>
      </c>
      <c r="C532" s="34">
        <f t="shared" si="8"/>
        <v>7640000</v>
      </c>
      <c r="D532" s="34">
        <v>928360</v>
      </c>
      <c r="E532" s="34">
        <v>879180</v>
      </c>
      <c r="F532" s="34">
        <v>743020</v>
      </c>
      <c r="G532" s="34">
        <v>713020</v>
      </c>
      <c r="H532" s="34">
        <v>683020</v>
      </c>
      <c r="I532" s="34">
        <v>653020</v>
      </c>
      <c r="J532" s="34">
        <v>623020</v>
      </c>
      <c r="K532" s="34">
        <v>593020</v>
      </c>
      <c r="L532" s="34">
        <v>563020</v>
      </c>
      <c r="M532" s="34">
        <v>533020</v>
      </c>
      <c r="N532" s="34">
        <v>503020</v>
      </c>
    </row>
    <row r="533" spans="1:14">
      <c r="A533" s="34">
        <v>7660</v>
      </c>
      <c r="B533" s="34">
        <v>7680</v>
      </c>
      <c r="C533" s="34">
        <f t="shared" si="8"/>
        <v>7660000</v>
      </c>
      <c r="D533" s="34">
        <v>932900</v>
      </c>
      <c r="E533" s="34">
        <v>883700</v>
      </c>
      <c r="F533" s="34">
        <v>747250</v>
      </c>
      <c r="G533" s="34">
        <v>717250</v>
      </c>
      <c r="H533" s="34">
        <v>687250</v>
      </c>
      <c r="I533" s="34">
        <v>657250</v>
      </c>
      <c r="J533" s="34">
        <v>627250</v>
      </c>
      <c r="K533" s="34">
        <v>597250</v>
      </c>
      <c r="L533" s="34">
        <v>567250</v>
      </c>
      <c r="M533" s="34">
        <v>537250</v>
      </c>
      <c r="N533" s="34">
        <v>507250</v>
      </c>
    </row>
    <row r="534" spans="1:14">
      <c r="A534" s="34">
        <v>7680</v>
      </c>
      <c r="B534" s="34">
        <v>7700</v>
      </c>
      <c r="C534" s="34">
        <f t="shared" si="8"/>
        <v>7680000</v>
      </c>
      <c r="D534" s="34">
        <v>937440</v>
      </c>
      <c r="E534" s="34">
        <v>888210</v>
      </c>
      <c r="F534" s="34">
        <v>751470</v>
      </c>
      <c r="G534" s="34">
        <v>721470</v>
      </c>
      <c r="H534" s="34">
        <v>691470</v>
      </c>
      <c r="I534" s="34">
        <v>661470</v>
      </c>
      <c r="J534" s="34">
        <v>631470</v>
      </c>
      <c r="K534" s="34">
        <v>601470</v>
      </c>
      <c r="L534" s="34">
        <v>571470</v>
      </c>
      <c r="M534" s="34">
        <v>541470</v>
      </c>
      <c r="N534" s="34">
        <v>511470</v>
      </c>
    </row>
    <row r="535" spans="1:14">
      <c r="A535" s="34">
        <v>7700</v>
      </c>
      <c r="B535" s="34">
        <v>7720</v>
      </c>
      <c r="C535" s="34">
        <f t="shared" si="8"/>
        <v>7700000</v>
      </c>
      <c r="D535" s="34">
        <v>941970</v>
      </c>
      <c r="E535" s="34">
        <v>892720</v>
      </c>
      <c r="F535" s="34">
        <v>755700</v>
      </c>
      <c r="G535" s="34">
        <v>725700</v>
      </c>
      <c r="H535" s="34">
        <v>695700</v>
      </c>
      <c r="I535" s="34">
        <v>665700</v>
      </c>
      <c r="J535" s="34">
        <v>635700</v>
      </c>
      <c r="K535" s="34">
        <v>605700</v>
      </c>
      <c r="L535" s="34">
        <v>575700</v>
      </c>
      <c r="M535" s="34">
        <v>545700</v>
      </c>
      <c r="N535" s="34">
        <v>515700</v>
      </c>
    </row>
    <row r="536" spans="1:14">
      <c r="A536" s="34">
        <v>7720</v>
      </c>
      <c r="B536" s="34">
        <v>7740</v>
      </c>
      <c r="C536" s="34">
        <f t="shared" si="8"/>
        <v>7720000</v>
      </c>
      <c r="D536" s="34">
        <v>946510</v>
      </c>
      <c r="E536" s="34">
        <v>897230</v>
      </c>
      <c r="F536" s="34">
        <v>759920</v>
      </c>
      <c r="G536" s="34">
        <v>729920</v>
      </c>
      <c r="H536" s="34">
        <v>699920</v>
      </c>
      <c r="I536" s="34">
        <v>669920</v>
      </c>
      <c r="J536" s="34">
        <v>639920</v>
      </c>
      <c r="K536" s="34">
        <v>609920</v>
      </c>
      <c r="L536" s="34">
        <v>579920</v>
      </c>
      <c r="M536" s="34">
        <v>549920</v>
      </c>
      <c r="N536" s="34">
        <v>519920</v>
      </c>
    </row>
    <row r="537" spans="1:14">
      <c r="A537" s="34">
        <v>7740</v>
      </c>
      <c r="B537" s="34">
        <v>7760</v>
      </c>
      <c r="C537" s="34">
        <f t="shared" si="8"/>
        <v>7740000</v>
      </c>
      <c r="D537" s="34">
        <v>951040</v>
      </c>
      <c r="E537" s="34">
        <v>901740</v>
      </c>
      <c r="F537" s="34">
        <v>764140</v>
      </c>
      <c r="G537" s="34">
        <v>734140</v>
      </c>
      <c r="H537" s="34">
        <v>704140</v>
      </c>
      <c r="I537" s="34">
        <v>674140</v>
      </c>
      <c r="J537" s="34">
        <v>644140</v>
      </c>
      <c r="K537" s="34">
        <v>614140</v>
      </c>
      <c r="L537" s="34">
        <v>584140</v>
      </c>
      <c r="M537" s="34">
        <v>554140</v>
      </c>
      <c r="N537" s="34">
        <v>524140</v>
      </c>
    </row>
    <row r="538" spans="1:14">
      <c r="A538" s="34">
        <v>7760</v>
      </c>
      <c r="B538" s="34">
        <v>7780</v>
      </c>
      <c r="C538" s="34">
        <f t="shared" si="8"/>
        <v>7760000</v>
      </c>
      <c r="D538" s="34">
        <v>955580</v>
      </c>
      <c r="E538" s="34">
        <v>906260</v>
      </c>
      <c r="F538" s="34">
        <v>768370</v>
      </c>
      <c r="G538" s="34">
        <v>738370</v>
      </c>
      <c r="H538" s="34">
        <v>708370</v>
      </c>
      <c r="I538" s="34">
        <v>678370</v>
      </c>
      <c r="J538" s="34">
        <v>648370</v>
      </c>
      <c r="K538" s="34">
        <v>618370</v>
      </c>
      <c r="L538" s="34">
        <v>588370</v>
      </c>
      <c r="M538" s="34">
        <v>558370</v>
      </c>
      <c r="N538" s="34">
        <v>528370</v>
      </c>
    </row>
    <row r="539" spans="1:14">
      <c r="A539" s="34">
        <v>7780</v>
      </c>
      <c r="B539" s="34">
        <v>7800</v>
      </c>
      <c r="C539" s="34">
        <f t="shared" si="8"/>
        <v>7780000</v>
      </c>
      <c r="D539" s="34">
        <v>960120</v>
      </c>
      <c r="E539" s="34">
        <v>910770</v>
      </c>
      <c r="F539" s="34">
        <v>772590</v>
      </c>
      <c r="G539" s="34">
        <v>742590</v>
      </c>
      <c r="H539" s="34">
        <v>712590</v>
      </c>
      <c r="I539" s="34">
        <v>682590</v>
      </c>
      <c r="J539" s="34">
        <v>652590</v>
      </c>
      <c r="K539" s="34">
        <v>622590</v>
      </c>
      <c r="L539" s="34">
        <v>592590</v>
      </c>
      <c r="M539" s="34">
        <v>562590</v>
      </c>
      <c r="N539" s="34">
        <v>532590</v>
      </c>
    </row>
    <row r="540" spans="1:14">
      <c r="A540" s="34">
        <v>7800</v>
      </c>
      <c r="B540" s="34">
        <v>7820</v>
      </c>
      <c r="C540" s="34">
        <f t="shared" si="8"/>
        <v>7800000</v>
      </c>
      <c r="D540" s="34">
        <v>964650</v>
      </c>
      <c r="E540" s="34">
        <v>915280</v>
      </c>
      <c r="F540" s="34">
        <v>776820</v>
      </c>
      <c r="G540" s="34">
        <v>746820</v>
      </c>
      <c r="H540" s="34">
        <v>716820</v>
      </c>
      <c r="I540" s="34">
        <v>686820</v>
      </c>
      <c r="J540" s="34">
        <v>656820</v>
      </c>
      <c r="K540" s="34">
        <v>626820</v>
      </c>
      <c r="L540" s="34">
        <v>596820</v>
      </c>
      <c r="M540" s="34">
        <v>566820</v>
      </c>
      <c r="N540" s="34">
        <v>536820</v>
      </c>
    </row>
    <row r="541" spans="1:14">
      <c r="A541" s="34">
        <v>7820</v>
      </c>
      <c r="B541" s="34">
        <v>7840</v>
      </c>
      <c r="C541" s="34">
        <f t="shared" si="8"/>
        <v>7820000</v>
      </c>
      <c r="D541" s="34">
        <v>969190</v>
      </c>
      <c r="E541" s="34">
        <v>919790</v>
      </c>
      <c r="F541" s="34">
        <v>781040</v>
      </c>
      <c r="G541" s="34">
        <v>751040</v>
      </c>
      <c r="H541" s="34">
        <v>721040</v>
      </c>
      <c r="I541" s="34">
        <v>691040</v>
      </c>
      <c r="J541" s="34">
        <v>661040</v>
      </c>
      <c r="K541" s="34">
        <v>631040</v>
      </c>
      <c r="L541" s="34">
        <v>601040</v>
      </c>
      <c r="M541" s="34">
        <v>571040</v>
      </c>
      <c r="N541" s="34">
        <v>541040</v>
      </c>
    </row>
    <row r="542" spans="1:14">
      <c r="A542" s="34">
        <v>7840</v>
      </c>
      <c r="B542" s="34">
        <v>7860</v>
      </c>
      <c r="C542" s="34">
        <f t="shared" si="8"/>
        <v>7840000</v>
      </c>
      <c r="D542" s="34">
        <v>973720</v>
      </c>
      <c r="E542" s="34">
        <v>924300</v>
      </c>
      <c r="F542" s="34">
        <v>785260</v>
      </c>
      <c r="G542" s="34">
        <v>755260</v>
      </c>
      <c r="H542" s="34">
        <v>725260</v>
      </c>
      <c r="I542" s="34">
        <v>695260</v>
      </c>
      <c r="J542" s="34">
        <v>665260</v>
      </c>
      <c r="K542" s="34">
        <v>635260</v>
      </c>
      <c r="L542" s="34">
        <v>605260</v>
      </c>
      <c r="M542" s="34">
        <v>575260</v>
      </c>
      <c r="N542" s="34">
        <v>545260</v>
      </c>
    </row>
    <row r="543" spans="1:14">
      <c r="A543" s="34">
        <v>7860</v>
      </c>
      <c r="B543" s="34">
        <v>7880</v>
      </c>
      <c r="C543" s="34">
        <f t="shared" si="8"/>
        <v>7860000</v>
      </c>
      <c r="D543" s="34">
        <v>978260</v>
      </c>
      <c r="E543" s="34">
        <v>928820</v>
      </c>
      <c r="F543" s="34">
        <v>789490</v>
      </c>
      <c r="G543" s="34">
        <v>759490</v>
      </c>
      <c r="H543" s="34">
        <v>729490</v>
      </c>
      <c r="I543" s="34">
        <v>699490</v>
      </c>
      <c r="J543" s="34">
        <v>669490</v>
      </c>
      <c r="K543" s="34">
        <v>639490</v>
      </c>
      <c r="L543" s="34">
        <v>609490</v>
      </c>
      <c r="M543" s="34">
        <v>579490</v>
      </c>
      <c r="N543" s="34">
        <v>549490</v>
      </c>
    </row>
    <row r="544" spans="1:14">
      <c r="A544" s="34">
        <v>7880</v>
      </c>
      <c r="B544" s="34">
        <v>7900</v>
      </c>
      <c r="C544" s="34">
        <f t="shared" si="8"/>
        <v>7880000</v>
      </c>
      <c r="D544" s="34">
        <v>982800</v>
      </c>
      <c r="E544" s="34">
        <v>933330</v>
      </c>
      <c r="F544" s="34">
        <v>793710</v>
      </c>
      <c r="G544" s="34">
        <v>763710</v>
      </c>
      <c r="H544" s="34">
        <v>733710</v>
      </c>
      <c r="I544" s="34">
        <v>703710</v>
      </c>
      <c r="J544" s="34">
        <v>673710</v>
      </c>
      <c r="K544" s="34">
        <v>643710</v>
      </c>
      <c r="L544" s="34">
        <v>613710</v>
      </c>
      <c r="M544" s="34">
        <v>583710</v>
      </c>
      <c r="N544" s="34">
        <v>553710</v>
      </c>
    </row>
    <row r="545" spans="1:14">
      <c r="A545" s="34">
        <v>7900</v>
      </c>
      <c r="B545" s="34">
        <v>7920</v>
      </c>
      <c r="C545" s="34">
        <f t="shared" si="8"/>
        <v>7900000</v>
      </c>
      <c r="D545" s="34">
        <v>987330</v>
      </c>
      <c r="E545" s="34">
        <v>937840</v>
      </c>
      <c r="F545" s="34">
        <v>797940</v>
      </c>
      <c r="G545" s="34">
        <v>767940</v>
      </c>
      <c r="H545" s="34">
        <v>737940</v>
      </c>
      <c r="I545" s="34">
        <v>707940</v>
      </c>
      <c r="J545" s="34">
        <v>677940</v>
      </c>
      <c r="K545" s="34">
        <v>647940</v>
      </c>
      <c r="L545" s="34">
        <v>617940</v>
      </c>
      <c r="M545" s="34">
        <v>587940</v>
      </c>
      <c r="N545" s="34">
        <v>557940</v>
      </c>
    </row>
    <row r="546" spans="1:14">
      <c r="A546" s="34">
        <v>7920</v>
      </c>
      <c r="B546" s="34">
        <v>7940</v>
      </c>
      <c r="C546" s="34">
        <f t="shared" si="8"/>
        <v>7920000</v>
      </c>
      <c r="D546" s="34">
        <v>991870</v>
      </c>
      <c r="E546" s="34">
        <v>942350</v>
      </c>
      <c r="F546" s="34">
        <v>802160</v>
      </c>
      <c r="G546" s="34">
        <v>772160</v>
      </c>
      <c r="H546" s="34">
        <v>742160</v>
      </c>
      <c r="I546" s="34">
        <v>712160</v>
      </c>
      <c r="J546" s="34">
        <v>682160</v>
      </c>
      <c r="K546" s="34">
        <v>652160</v>
      </c>
      <c r="L546" s="34">
        <v>622160</v>
      </c>
      <c r="M546" s="34">
        <v>592160</v>
      </c>
      <c r="N546" s="34">
        <v>562160</v>
      </c>
    </row>
    <row r="547" spans="1:14">
      <c r="A547" s="34">
        <v>7940</v>
      </c>
      <c r="B547" s="34">
        <v>7960</v>
      </c>
      <c r="C547" s="34">
        <f t="shared" si="8"/>
        <v>7940000</v>
      </c>
      <c r="D547" s="34">
        <v>996400</v>
      </c>
      <c r="E547" s="34">
        <v>946860</v>
      </c>
      <c r="F547" s="34">
        <v>806380</v>
      </c>
      <c r="G547" s="34">
        <v>776380</v>
      </c>
      <c r="H547" s="34">
        <v>746380</v>
      </c>
      <c r="I547" s="34">
        <v>716380</v>
      </c>
      <c r="J547" s="34">
        <v>686380</v>
      </c>
      <c r="K547" s="34">
        <v>656380</v>
      </c>
      <c r="L547" s="34">
        <v>626380</v>
      </c>
      <c r="M547" s="34">
        <v>596380</v>
      </c>
      <c r="N547" s="34">
        <v>566380</v>
      </c>
    </row>
    <row r="548" spans="1:14">
      <c r="A548" s="34">
        <v>7960</v>
      </c>
      <c r="B548" s="34">
        <v>7980</v>
      </c>
      <c r="C548" s="34">
        <f t="shared" si="8"/>
        <v>7960000</v>
      </c>
      <c r="D548" s="34">
        <v>1000940</v>
      </c>
      <c r="E548" s="34">
        <v>951380</v>
      </c>
      <c r="F548" s="34">
        <v>810610</v>
      </c>
      <c r="G548" s="34">
        <v>780610</v>
      </c>
      <c r="H548" s="34">
        <v>750610</v>
      </c>
      <c r="I548" s="34">
        <v>720610</v>
      </c>
      <c r="J548" s="34">
        <v>690610</v>
      </c>
      <c r="K548" s="34">
        <v>660610</v>
      </c>
      <c r="L548" s="34">
        <v>630610</v>
      </c>
      <c r="M548" s="34">
        <v>600610</v>
      </c>
      <c r="N548" s="34">
        <v>570610</v>
      </c>
    </row>
    <row r="549" spans="1:14">
      <c r="A549" s="34">
        <v>7980</v>
      </c>
      <c r="B549" s="34">
        <v>8000</v>
      </c>
      <c r="C549" s="34">
        <f t="shared" si="8"/>
        <v>7980000</v>
      </c>
      <c r="D549" s="34">
        <v>1005480</v>
      </c>
      <c r="E549" s="34">
        <v>955890</v>
      </c>
      <c r="F549" s="34">
        <v>814830</v>
      </c>
      <c r="G549" s="34">
        <v>784830</v>
      </c>
      <c r="H549" s="34">
        <v>754830</v>
      </c>
      <c r="I549" s="34">
        <v>724830</v>
      </c>
      <c r="J549" s="34">
        <v>694830</v>
      </c>
      <c r="K549" s="34">
        <v>664830</v>
      </c>
      <c r="L549" s="34">
        <v>634830</v>
      </c>
      <c r="M549" s="34">
        <v>604830</v>
      </c>
      <c r="N549" s="34">
        <v>574830</v>
      </c>
    </row>
    <row r="550" spans="1:14">
      <c r="A550" s="34">
        <v>8000</v>
      </c>
      <c r="B550" s="34">
        <v>8020</v>
      </c>
      <c r="C550" s="34">
        <f t="shared" si="8"/>
        <v>8000000</v>
      </c>
      <c r="D550" s="34">
        <v>1010010</v>
      </c>
      <c r="E550" s="34">
        <v>960400</v>
      </c>
      <c r="F550" s="34">
        <v>819060</v>
      </c>
      <c r="G550" s="34">
        <v>789060</v>
      </c>
      <c r="H550" s="34">
        <v>759060</v>
      </c>
      <c r="I550" s="34">
        <v>729060</v>
      </c>
      <c r="J550" s="34">
        <v>699060</v>
      </c>
      <c r="K550" s="34">
        <v>669060</v>
      </c>
      <c r="L550" s="34">
        <v>639060</v>
      </c>
      <c r="M550" s="34">
        <v>609060</v>
      </c>
      <c r="N550" s="34">
        <v>579060</v>
      </c>
    </row>
    <row r="551" spans="1:14">
      <c r="A551" s="34">
        <v>8020</v>
      </c>
      <c r="B551" s="34">
        <v>8040</v>
      </c>
      <c r="C551" s="34">
        <f t="shared" si="8"/>
        <v>8020000</v>
      </c>
      <c r="D551" s="34">
        <v>1014550</v>
      </c>
      <c r="E551" s="34">
        <v>964910</v>
      </c>
      <c r="F551" s="34">
        <v>823280</v>
      </c>
      <c r="G551" s="34">
        <v>793280</v>
      </c>
      <c r="H551" s="34">
        <v>763280</v>
      </c>
      <c r="I551" s="34">
        <v>733280</v>
      </c>
      <c r="J551" s="34">
        <v>703280</v>
      </c>
      <c r="K551" s="34">
        <v>673280</v>
      </c>
      <c r="L551" s="34">
        <v>643280</v>
      </c>
      <c r="M551" s="34">
        <v>613280</v>
      </c>
      <c r="N551" s="34">
        <v>583280</v>
      </c>
    </row>
    <row r="552" spans="1:14">
      <c r="A552" s="34">
        <v>8040</v>
      </c>
      <c r="B552" s="34">
        <v>8060</v>
      </c>
      <c r="C552" s="34">
        <f t="shared" si="8"/>
        <v>8040000</v>
      </c>
      <c r="D552" s="34">
        <v>1019080</v>
      </c>
      <c r="E552" s="34">
        <v>969420</v>
      </c>
      <c r="F552" s="34">
        <v>827500</v>
      </c>
      <c r="G552" s="34">
        <v>797500</v>
      </c>
      <c r="H552" s="34">
        <v>767500</v>
      </c>
      <c r="I552" s="34">
        <v>737500</v>
      </c>
      <c r="J552" s="34">
        <v>707500</v>
      </c>
      <c r="K552" s="34">
        <v>677500</v>
      </c>
      <c r="L552" s="34">
        <v>647500</v>
      </c>
      <c r="M552" s="34">
        <v>617500</v>
      </c>
      <c r="N552" s="34">
        <v>587500</v>
      </c>
    </row>
    <row r="553" spans="1:14">
      <c r="A553" s="34">
        <v>8060</v>
      </c>
      <c r="B553" s="34">
        <v>8080</v>
      </c>
      <c r="C553" s="34">
        <f t="shared" si="8"/>
        <v>8060000</v>
      </c>
      <c r="D553" s="34">
        <v>1023620</v>
      </c>
      <c r="E553" s="34">
        <v>973940</v>
      </c>
      <c r="F553" s="34">
        <v>831730</v>
      </c>
      <c r="G553" s="34">
        <v>801730</v>
      </c>
      <c r="H553" s="34">
        <v>771730</v>
      </c>
      <c r="I553" s="34">
        <v>741730</v>
      </c>
      <c r="J553" s="34">
        <v>711730</v>
      </c>
      <c r="K553" s="34">
        <v>681730</v>
      </c>
      <c r="L553" s="34">
        <v>651730</v>
      </c>
      <c r="M553" s="34">
        <v>621730</v>
      </c>
      <c r="N553" s="34">
        <v>591730</v>
      </c>
    </row>
    <row r="554" spans="1:14">
      <c r="A554" s="34">
        <v>8080</v>
      </c>
      <c r="B554" s="34">
        <v>8100</v>
      </c>
      <c r="C554" s="34">
        <f t="shared" si="8"/>
        <v>8080000</v>
      </c>
      <c r="D554" s="34">
        <v>1028160</v>
      </c>
      <c r="E554" s="34">
        <v>978450</v>
      </c>
      <c r="F554" s="34">
        <v>835950</v>
      </c>
      <c r="G554" s="34">
        <v>805950</v>
      </c>
      <c r="H554" s="34">
        <v>775950</v>
      </c>
      <c r="I554" s="34">
        <v>745950</v>
      </c>
      <c r="J554" s="34">
        <v>715950</v>
      </c>
      <c r="K554" s="34">
        <v>685950</v>
      </c>
      <c r="L554" s="34">
        <v>655950</v>
      </c>
      <c r="M554" s="34">
        <v>625950</v>
      </c>
      <c r="N554" s="34">
        <v>595950</v>
      </c>
    </row>
    <row r="555" spans="1:14">
      <c r="A555" s="34">
        <v>8100</v>
      </c>
      <c r="B555" s="34">
        <v>8120</v>
      </c>
      <c r="C555" s="34">
        <f t="shared" si="8"/>
        <v>8100000</v>
      </c>
      <c r="D555" s="34">
        <v>1032690</v>
      </c>
      <c r="E555" s="34">
        <v>982960</v>
      </c>
      <c r="F555" s="34">
        <v>840180</v>
      </c>
      <c r="G555" s="34">
        <v>810180</v>
      </c>
      <c r="H555" s="34">
        <v>780180</v>
      </c>
      <c r="I555" s="34">
        <v>750180</v>
      </c>
      <c r="J555" s="34">
        <v>720180</v>
      </c>
      <c r="K555" s="34">
        <v>690180</v>
      </c>
      <c r="L555" s="34">
        <v>660180</v>
      </c>
      <c r="M555" s="34">
        <v>630180</v>
      </c>
      <c r="N555" s="34">
        <v>600180</v>
      </c>
    </row>
    <row r="556" spans="1:14">
      <c r="A556" s="34">
        <v>8120</v>
      </c>
      <c r="B556" s="34">
        <v>8140</v>
      </c>
      <c r="C556" s="34">
        <f t="shared" si="8"/>
        <v>8120000</v>
      </c>
      <c r="D556" s="34">
        <v>1037230</v>
      </c>
      <c r="E556" s="34">
        <v>987470</v>
      </c>
      <c r="F556" s="34">
        <v>844400</v>
      </c>
      <c r="G556" s="34">
        <v>814400</v>
      </c>
      <c r="H556" s="34">
        <v>784400</v>
      </c>
      <c r="I556" s="34">
        <v>754400</v>
      </c>
      <c r="J556" s="34">
        <v>724400</v>
      </c>
      <c r="K556" s="34">
        <v>694400</v>
      </c>
      <c r="L556" s="34">
        <v>664400</v>
      </c>
      <c r="M556" s="34">
        <v>634400</v>
      </c>
      <c r="N556" s="34">
        <v>604400</v>
      </c>
    </row>
    <row r="557" spans="1:14">
      <c r="A557" s="34">
        <v>8140</v>
      </c>
      <c r="B557" s="34">
        <v>8160</v>
      </c>
      <c r="C557" s="34">
        <f t="shared" si="8"/>
        <v>8140000</v>
      </c>
      <c r="D557" s="34">
        <v>1041760</v>
      </c>
      <c r="E557" s="34">
        <v>991980</v>
      </c>
      <c r="F557" s="34">
        <v>848620</v>
      </c>
      <c r="G557" s="34">
        <v>818620</v>
      </c>
      <c r="H557" s="34">
        <v>788620</v>
      </c>
      <c r="I557" s="34">
        <v>758620</v>
      </c>
      <c r="J557" s="34">
        <v>728620</v>
      </c>
      <c r="K557" s="34">
        <v>698620</v>
      </c>
      <c r="L557" s="34">
        <v>668620</v>
      </c>
      <c r="M557" s="34">
        <v>638620</v>
      </c>
      <c r="N557" s="34">
        <v>608620</v>
      </c>
    </row>
    <row r="558" spans="1:14">
      <c r="A558" s="34">
        <v>8160</v>
      </c>
      <c r="B558" s="34">
        <v>8180</v>
      </c>
      <c r="C558" s="34">
        <f t="shared" si="8"/>
        <v>8160000</v>
      </c>
      <c r="D558" s="34">
        <v>1046300</v>
      </c>
      <c r="E558" s="34">
        <v>996500</v>
      </c>
      <c r="F558" s="34">
        <v>852850</v>
      </c>
      <c r="G558" s="34">
        <v>822850</v>
      </c>
      <c r="H558" s="34">
        <v>792850</v>
      </c>
      <c r="I558" s="34">
        <v>762850</v>
      </c>
      <c r="J558" s="34">
        <v>732850</v>
      </c>
      <c r="K558" s="34">
        <v>702850</v>
      </c>
      <c r="L558" s="34">
        <v>672850</v>
      </c>
      <c r="M558" s="34">
        <v>642850</v>
      </c>
      <c r="N558" s="34">
        <v>612850</v>
      </c>
    </row>
    <row r="559" spans="1:14">
      <c r="A559" s="34">
        <v>8180</v>
      </c>
      <c r="B559" s="34">
        <v>8200</v>
      </c>
      <c r="C559" s="34">
        <f t="shared" si="8"/>
        <v>8180000</v>
      </c>
      <c r="D559" s="34">
        <v>1050840</v>
      </c>
      <c r="E559" s="34">
        <v>1001010</v>
      </c>
      <c r="F559" s="34">
        <v>857070</v>
      </c>
      <c r="G559" s="34">
        <v>827070</v>
      </c>
      <c r="H559" s="34">
        <v>797070</v>
      </c>
      <c r="I559" s="34">
        <v>767070</v>
      </c>
      <c r="J559" s="34">
        <v>737070</v>
      </c>
      <c r="K559" s="34">
        <v>707070</v>
      </c>
      <c r="L559" s="34">
        <v>677070</v>
      </c>
      <c r="M559" s="34">
        <v>647070</v>
      </c>
      <c r="N559" s="34">
        <v>617070</v>
      </c>
    </row>
    <row r="560" spans="1:14">
      <c r="A560" s="34">
        <v>8200</v>
      </c>
      <c r="B560" s="34">
        <v>8220</v>
      </c>
      <c r="C560" s="34">
        <f t="shared" si="8"/>
        <v>8200000</v>
      </c>
      <c r="D560" s="34">
        <v>1055370</v>
      </c>
      <c r="E560" s="34">
        <v>1005520</v>
      </c>
      <c r="F560" s="34">
        <v>861300</v>
      </c>
      <c r="G560" s="34">
        <v>831300</v>
      </c>
      <c r="H560" s="34">
        <v>801300</v>
      </c>
      <c r="I560" s="34">
        <v>771300</v>
      </c>
      <c r="J560" s="34">
        <v>741300</v>
      </c>
      <c r="K560" s="34">
        <v>711300</v>
      </c>
      <c r="L560" s="34">
        <v>681300</v>
      </c>
      <c r="M560" s="34">
        <v>651300</v>
      </c>
      <c r="N560" s="34">
        <v>621300</v>
      </c>
    </row>
    <row r="561" spans="1:14">
      <c r="A561" s="34">
        <v>8220</v>
      </c>
      <c r="B561" s="34">
        <v>8240</v>
      </c>
      <c r="C561" s="34">
        <f t="shared" si="8"/>
        <v>8220000</v>
      </c>
      <c r="D561" s="34">
        <v>1059910</v>
      </c>
      <c r="E561" s="34">
        <v>1010030</v>
      </c>
      <c r="F561" s="34">
        <v>865520</v>
      </c>
      <c r="G561" s="34">
        <v>835520</v>
      </c>
      <c r="H561" s="34">
        <v>805520</v>
      </c>
      <c r="I561" s="34">
        <v>775520</v>
      </c>
      <c r="J561" s="34">
        <v>745520</v>
      </c>
      <c r="K561" s="34">
        <v>715520</v>
      </c>
      <c r="L561" s="34">
        <v>685520</v>
      </c>
      <c r="M561" s="34">
        <v>655520</v>
      </c>
      <c r="N561" s="34">
        <v>625520</v>
      </c>
    </row>
    <row r="562" spans="1:14">
      <c r="A562" s="34">
        <v>8240</v>
      </c>
      <c r="B562" s="34">
        <v>8260</v>
      </c>
      <c r="C562" s="34">
        <f t="shared" si="8"/>
        <v>8240000</v>
      </c>
      <c r="D562" s="34">
        <v>1064440</v>
      </c>
      <c r="E562" s="34">
        <v>1014540</v>
      </c>
      <c r="F562" s="34">
        <v>869740</v>
      </c>
      <c r="G562" s="34">
        <v>839740</v>
      </c>
      <c r="H562" s="34">
        <v>809740</v>
      </c>
      <c r="I562" s="34">
        <v>779740</v>
      </c>
      <c r="J562" s="34">
        <v>749740</v>
      </c>
      <c r="K562" s="34">
        <v>719740</v>
      </c>
      <c r="L562" s="34">
        <v>689740</v>
      </c>
      <c r="M562" s="34">
        <v>659740</v>
      </c>
      <c r="N562" s="34">
        <v>629740</v>
      </c>
    </row>
    <row r="563" spans="1:14">
      <c r="A563" s="34">
        <v>8260</v>
      </c>
      <c r="B563" s="34">
        <v>8280</v>
      </c>
      <c r="C563" s="34">
        <f t="shared" si="8"/>
        <v>8260000</v>
      </c>
      <c r="D563" s="34">
        <v>1068980</v>
      </c>
      <c r="E563" s="34">
        <v>1019060</v>
      </c>
      <c r="F563" s="34">
        <v>873970</v>
      </c>
      <c r="G563" s="34">
        <v>843970</v>
      </c>
      <c r="H563" s="34">
        <v>813970</v>
      </c>
      <c r="I563" s="34">
        <v>783970</v>
      </c>
      <c r="J563" s="34">
        <v>753970</v>
      </c>
      <c r="K563" s="34">
        <v>723970</v>
      </c>
      <c r="L563" s="34">
        <v>693970</v>
      </c>
      <c r="M563" s="34">
        <v>663970</v>
      </c>
      <c r="N563" s="34">
        <v>633970</v>
      </c>
    </row>
    <row r="564" spans="1:14">
      <c r="A564" s="34">
        <v>8280</v>
      </c>
      <c r="B564" s="34">
        <v>8300</v>
      </c>
      <c r="C564" s="34">
        <f t="shared" si="8"/>
        <v>8280000</v>
      </c>
      <c r="D564" s="34">
        <v>1073520</v>
      </c>
      <c r="E564" s="34">
        <v>1023570</v>
      </c>
      <c r="F564" s="34">
        <v>878190</v>
      </c>
      <c r="G564" s="34">
        <v>848190</v>
      </c>
      <c r="H564" s="34">
        <v>818190</v>
      </c>
      <c r="I564" s="34">
        <v>788190</v>
      </c>
      <c r="J564" s="34">
        <v>758190</v>
      </c>
      <c r="K564" s="34">
        <v>728190</v>
      </c>
      <c r="L564" s="34">
        <v>698190</v>
      </c>
      <c r="M564" s="34">
        <v>668190</v>
      </c>
      <c r="N564" s="34">
        <v>638190</v>
      </c>
    </row>
    <row r="565" spans="1:14">
      <c r="A565" s="34">
        <v>8300</v>
      </c>
      <c r="B565" s="34">
        <v>8320</v>
      </c>
      <c r="C565" s="34">
        <f t="shared" si="8"/>
        <v>8300000</v>
      </c>
      <c r="D565" s="34">
        <v>1078050</v>
      </c>
      <c r="E565" s="34">
        <v>1028080</v>
      </c>
      <c r="F565" s="34">
        <v>882420</v>
      </c>
      <c r="G565" s="34">
        <v>852420</v>
      </c>
      <c r="H565" s="34">
        <v>822420</v>
      </c>
      <c r="I565" s="34">
        <v>792420</v>
      </c>
      <c r="J565" s="34">
        <v>762420</v>
      </c>
      <c r="K565" s="34">
        <v>732420</v>
      </c>
      <c r="L565" s="34">
        <v>702420</v>
      </c>
      <c r="M565" s="34">
        <v>672420</v>
      </c>
      <c r="N565" s="34">
        <v>642420</v>
      </c>
    </row>
    <row r="566" spans="1:14">
      <c r="A566" s="34">
        <v>8320</v>
      </c>
      <c r="B566" s="34">
        <v>8340</v>
      </c>
      <c r="C566" s="34">
        <f t="shared" si="8"/>
        <v>8320000</v>
      </c>
      <c r="D566" s="34">
        <v>1082590</v>
      </c>
      <c r="E566" s="34">
        <v>1032590</v>
      </c>
      <c r="F566" s="34">
        <v>886640</v>
      </c>
      <c r="G566" s="34">
        <v>856640</v>
      </c>
      <c r="H566" s="34">
        <v>826640</v>
      </c>
      <c r="I566" s="34">
        <v>796640</v>
      </c>
      <c r="J566" s="34">
        <v>766640</v>
      </c>
      <c r="K566" s="34">
        <v>736640</v>
      </c>
      <c r="L566" s="34">
        <v>706640</v>
      </c>
      <c r="M566" s="34">
        <v>676640</v>
      </c>
      <c r="N566" s="34">
        <v>646640</v>
      </c>
    </row>
    <row r="567" spans="1:14">
      <c r="A567" s="34">
        <v>8340</v>
      </c>
      <c r="B567" s="34">
        <v>8360</v>
      </c>
      <c r="C567" s="34">
        <f t="shared" si="8"/>
        <v>8340000</v>
      </c>
      <c r="D567" s="34">
        <v>1087240</v>
      </c>
      <c r="E567" s="34">
        <v>1037220</v>
      </c>
      <c r="F567" s="34">
        <v>890980</v>
      </c>
      <c r="G567" s="34">
        <v>860980</v>
      </c>
      <c r="H567" s="34">
        <v>830980</v>
      </c>
      <c r="I567" s="34">
        <v>800980</v>
      </c>
      <c r="J567" s="34">
        <v>770980</v>
      </c>
      <c r="K567" s="34">
        <v>740980</v>
      </c>
      <c r="L567" s="34">
        <v>710980</v>
      </c>
      <c r="M567" s="34">
        <v>680980</v>
      </c>
      <c r="N567" s="34">
        <v>650980</v>
      </c>
    </row>
    <row r="568" spans="1:14">
      <c r="A568" s="34">
        <v>8360</v>
      </c>
      <c r="B568" s="34">
        <v>8380</v>
      </c>
      <c r="C568" s="34">
        <f t="shared" si="8"/>
        <v>8360000</v>
      </c>
      <c r="D568" s="34">
        <v>1091920</v>
      </c>
      <c r="E568" s="34">
        <v>1041880</v>
      </c>
      <c r="F568" s="34">
        <v>895350</v>
      </c>
      <c r="G568" s="34">
        <v>865350</v>
      </c>
      <c r="H568" s="34">
        <v>835350</v>
      </c>
      <c r="I568" s="34">
        <v>805350</v>
      </c>
      <c r="J568" s="34">
        <v>775350</v>
      </c>
      <c r="K568" s="34">
        <v>745350</v>
      </c>
      <c r="L568" s="34">
        <v>715350</v>
      </c>
      <c r="M568" s="34">
        <v>685350</v>
      </c>
      <c r="N568" s="34">
        <v>655350</v>
      </c>
    </row>
    <row r="569" spans="1:14">
      <c r="A569" s="34">
        <v>8380</v>
      </c>
      <c r="B569" s="34">
        <v>8400</v>
      </c>
      <c r="C569" s="34">
        <f t="shared" si="8"/>
        <v>8380000</v>
      </c>
      <c r="D569" s="34">
        <v>1096600</v>
      </c>
      <c r="E569" s="34">
        <v>1046540</v>
      </c>
      <c r="F569" s="34">
        <v>899720</v>
      </c>
      <c r="G569" s="34">
        <v>869720</v>
      </c>
      <c r="H569" s="34">
        <v>839720</v>
      </c>
      <c r="I569" s="34">
        <v>809720</v>
      </c>
      <c r="J569" s="34">
        <v>779720</v>
      </c>
      <c r="K569" s="34">
        <v>749720</v>
      </c>
      <c r="L569" s="34">
        <v>719720</v>
      </c>
      <c r="M569" s="34">
        <v>689720</v>
      </c>
      <c r="N569" s="34">
        <v>659720</v>
      </c>
    </row>
    <row r="570" spans="1:14">
      <c r="A570" s="34">
        <v>8400</v>
      </c>
      <c r="B570" s="34">
        <v>8420</v>
      </c>
      <c r="C570" s="34">
        <f t="shared" si="8"/>
        <v>8400000</v>
      </c>
      <c r="D570" s="34">
        <v>1101280</v>
      </c>
      <c r="E570" s="34">
        <v>1051190</v>
      </c>
      <c r="F570" s="34">
        <v>904090</v>
      </c>
      <c r="G570" s="34">
        <v>874090</v>
      </c>
      <c r="H570" s="34">
        <v>844090</v>
      </c>
      <c r="I570" s="34">
        <v>814090</v>
      </c>
      <c r="J570" s="34">
        <v>784090</v>
      </c>
      <c r="K570" s="34">
        <v>754090</v>
      </c>
      <c r="L570" s="34">
        <v>724090</v>
      </c>
      <c r="M570" s="34">
        <v>694090</v>
      </c>
      <c r="N570" s="34">
        <v>664090</v>
      </c>
    </row>
    <row r="571" spans="1:14">
      <c r="A571" s="34">
        <v>8420</v>
      </c>
      <c r="B571" s="34">
        <v>8440</v>
      </c>
      <c r="C571" s="34">
        <f t="shared" si="8"/>
        <v>8420000</v>
      </c>
      <c r="D571" s="34">
        <v>1105960</v>
      </c>
      <c r="E571" s="34">
        <v>1055850</v>
      </c>
      <c r="F571" s="34">
        <v>908460</v>
      </c>
      <c r="G571" s="34">
        <v>878460</v>
      </c>
      <c r="H571" s="34">
        <v>848460</v>
      </c>
      <c r="I571" s="34">
        <v>818460</v>
      </c>
      <c r="J571" s="34">
        <v>788460</v>
      </c>
      <c r="K571" s="34">
        <v>758460</v>
      </c>
      <c r="L571" s="34">
        <v>728460</v>
      </c>
      <c r="M571" s="34">
        <v>698460</v>
      </c>
      <c r="N571" s="34">
        <v>668460</v>
      </c>
    </row>
    <row r="572" spans="1:14">
      <c r="A572" s="34">
        <v>8440</v>
      </c>
      <c r="B572" s="34">
        <v>8460</v>
      </c>
      <c r="C572" s="34">
        <f t="shared" si="8"/>
        <v>8440000</v>
      </c>
      <c r="D572" s="34">
        <v>1110640</v>
      </c>
      <c r="E572" s="34">
        <v>1060500</v>
      </c>
      <c r="F572" s="34">
        <v>912820</v>
      </c>
      <c r="G572" s="34">
        <v>882820</v>
      </c>
      <c r="H572" s="34">
        <v>852820</v>
      </c>
      <c r="I572" s="34">
        <v>822820</v>
      </c>
      <c r="J572" s="34">
        <v>792820</v>
      </c>
      <c r="K572" s="34">
        <v>762820</v>
      </c>
      <c r="L572" s="34">
        <v>732820</v>
      </c>
      <c r="M572" s="34">
        <v>702820</v>
      </c>
      <c r="N572" s="34">
        <v>672820</v>
      </c>
    </row>
    <row r="573" spans="1:14">
      <c r="A573" s="34">
        <v>8460</v>
      </c>
      <c r="B573" s="34">
        <v>8480</v>
      </c>
      <c r="C573" s="34">
        <f t="shared" si="8"/>
        <v>8460000</v>
      </c>
      <c r="D573" s="34">
        <v>1115320</v>
      </c>
      <c r="E573" s="34">
        <v>1065160</v>
      </c>
      <c r="F573" s="34">
        <v>917190</v>
      </c>
      <c r="G573" s="34">
        <v>887190</v>
      </c>
      <c r="H573" s="34">
        <v>857190</v>
      </c>
      <c r="I573" s="34">
        <v>827190</v>
      </c>
      <c r="J573" s="34">
        <v>797190</v>
      </c>
      <c r="K573" s="34">
        <v>767190</v>
      </c>
      <c r="L573" s="34">
        <v>737190</v>
      </c>
      <c r="M573" s="34">
        <v>707190</v>
      </c>
      <c r="N573" s="34">
        <v>677190</v>
      </c>
    </row>
    <row r="574" spans="1:14">
      <c r="A574" s="34">
        <v>8480</v>
      </c>
      <c r="B574" s="34">
        <v>8500</v>
      </c>
      <c r="C574" s="34">
        <f t="shared" si="8"/>
        <v>8480000</v>
      </c>
      <c r="D574" s="34">
        <v>1120000</v>
      </c>
      <c r="E574" s="34">
        <v>1069820</v>
      </c>
      <c r="F574" s="34">
        <v>921560</v>
      </c>
      <c r="G574" s="34">
        <v>891560</v>
      </c>
      <c r="H574" s="34">
        <v>861560</v>
      </c>
      <c r="I574" s="34">
        <v>831560</v>
      </c>
      <c r="J574" s="34">
        <v>801560</v>
      </c>
      <c r="K574" s="34">
        <v>771560</v>
      </c>
      <c r="L574" s="34">
        <v>741560</v>
      </c>
      <c r="M574" s="34">
        <v>711560</v>
      </c>
      <c r="N574" s="34">
        <v>681560</v>
      </c>
    </row>
    <row r="575" spans="1:14">
      <c r="A575" s="34">
        <v>8500</v>
      </c>
      <c r="B575" s="34">
        <v>8520</v>
      </c>
      <c r="C575" s="34">
        <f t="shared" si="8"/>
        <v>8500000</v>
      </c>
      <c r="D575" s="34">
        <v>1124680</v>
      </c>
      <c r="E575" s="34">
        <v>1074470</v>
      </c>
      <c r="F575" s="34">
        <v>925930</v>
      </c>
      <c r="G575" s="34">
        <v>895930</v>
      </c>
      <c r="H575" s="34">
        <v>865930</v>
      </c>
      <c r="I575" s="34">
        <v>835930</v>
      </c>
      <c r="J575" s="34">
        <v>805930</v>
      </c>
      <c r="K575" s="34">
        <v>775930</v>
      </c>
      <c r="L575" s="34">
        <v>745930</v>
      </c>
      <c r="M575" s="34">
        <v>715930</v>
      </c>
      <c r="N575" s="34">
        <v>685930</v>
      </c>
    </row>
    <row r="576" spans="1:14">
      <c r="A576" s="34">
        <v>8520</v>
      </c>
      <c r="B576" s="34">
        <v>8540</v>
      </c>
      <c r="C576" s="34">
        <f t="shared" si="8"/>
        <v>8520000</v>
      </c>
      <c r="D576" s="34">
        <v>1129360</v>
      </c>
      <c r="E576" s="34">
        <v>1079130</v>
      </c>
      <c r="F576" s="34">
        <v>930300</v>
      </c>
      <c r="G576" s="34">
        <v>900300</v>
      </c>
      <c r="H576" s="34">
        <v>870300</v>
      </c>
      <c r="I576" s="34">
        <v>840300</v>
      </c>
      <c r="J576" s="34">
        <v>810300</v>
      </c>
      <c r="K576" s="34">
        <v>780300</v>
      </c>
      <c r="L576" s="34">
        <v>750300</v>
      </c>
      <c r="M576" s="34">
        <v>720300</v>
      </c>
      <c r="N576" s="34">
        <v>690300</v>
      </c>
    </row>
    <row r="577" spans="1:14">
      <c r="A577" s="34">
        <v>8540</v>
      </c>
      <c r="B577" s="34">
        <v>8560</v>
      </c>
      <c r="C577" s="34">
        <f t="shared" si="8"/>
        <v>8540000</v>
      </c>
      <c r="D577" s="34">
        <v>1134040</v>
      </c>
      <c r="E577" s="34">
        <v>1083780</v>
      </c>
      <c r="F577" s="34">
        <v>934660</v>
      </c>
      <c r="G577" s="34">
        <v>904660</v>
      </c>
      <c r="H577" s="34">
        <v>874660</v>
      </c>
      <c r="I577" s="34">
        <v>844660</v>
      </c>
      <c r="J577" s="34">
        <v>814660</v>
      </c>
      <c r="K577" s="34">
        <v>784660</v>
      </c>
      <c r="L577" s="34">
        <v>754660</v>
      </c>
      <c r="M577" s="34">
        <v>724660</v>
      </c>
      <c r="N577" s="34">
        <v>694660</v>
      </c>
    </row>
    <row r="578" spans="1:14">
      <c r="A578" s="34">
        <v>8560</v>
      </c>
      <c r="B578" s="34">
        <v>8580</v>
      </c>
      <c r="C578" s="34">
        <f t="shared" si="8"/>
        <v>8560000</v>
      </c>
      <c r="D578" s="34">
        <v>1138720</v>
      </c>
      <c r="E578" s="34">
        <v>1088440</v>
      </c>
      <c r="F578" s="34">
        <v>939030</v>
      </c>
      <c r="G578" s="34">
        <v>909030</v>
      </c>
      <c r="H578" s="34">
        <v>879030</v>
      </c>
      <c r="I578" s="34">
        <v>849030</v>
      </c>
      <c r="J578" s="34">
        <v>819030</v>
      </c>
      <c r="K578" s="34">
        <v>789030</v>
      </c>
      <c r="L578" s="34">
        <v>759030</v>
      </c>
      <c r="M578" s="34">
        <v>729030</v>
      </c>
      <c r="N578" s="34">
        <v>699030</v>
      </c>
    </row>
    <row r="579" spans="1:14">
      <c r="A579" s="34">
        <v>8580</v>
      </c>
      <c r="B579" s="34">
        <v>8600</v>
      </c>
      <c r="C579" s="34">
        <f t="shared" si="8"/>
        <v>8580000</v>
      </c>
      <c r="D579" s="34">
        <v>1143400</v>
      </c>
      <c r="E579" s="34">
        <v>1093100</v>
      </c>
      <c r="F579" s="34">
        <v>943400</v>
      </c>
      <c r="G579" s="34">
        <v>913400</v>
      </c>
      <c r="H579" s="34">
        <v>883400</v>
      </c>
      <c r="I579" s="34">
        <v>853400</v>
      </c>
      <c r="J579" s="34">
        <v>823400</v>
      </c>
      <c r="K579" s="34">
        <v>793400</v>
      </c>
      <c r="L579" s="34">
        <v>763400</v>
      </c>
      <c r="M579" s="34">
        <v>733400</v>
      </c>
      <c r="N579" s="34">
        <v>703400</v>
      </c>
    </row>
    <row r="580" spans="1:14">
      <c r="A580" s="34">
        <v>8600</v>
      </c>
      <c r="B580" s="34">
        <v>8620</v>
      </c>
      <c r="C580" s="34">
        <f t="shared" si="8"/>
        <v>8600000</v>
      </c>
      <c r="D580" s="34">
        <v>1148080</v>
      </c>
      <c r="E580" s="34">
        <v>1097750</v>
      </c>
      <c r="F580" s="34">
        <v>947770</v>
      </c>
      <c r="G580" s="34">
        <v>917770</v>
      </c>
      <c r="H580" s="34">
        <v>887770</v>
      </c>
      <c r="I580" s="34">
        <v>857770</v>
      </c>
      <c r="J580" s="34">
        <v>827770</v>
      </c>
      <c r="K580" s="34">
        <v>797770</v>
      </c>
      <c r="L580" s="34">
        <v>767770</v>
      </c>
      <c r="M580" s="34">
        <v>737770</v>
      </c>
      <c r="N580" s="34">
        <v>707770</v>
      </c>
    </row>
    <row r="581" spans="1:14">
      <c r="A581" s="34">
        <v>8620</v>
      </c>
      <c r="B581" s="34">
        <v>8640</v>
      </c>
      <c r="C581" s="34">
        <f t="shared" ref="C581:C644" si="9">A581*1000</f>
        <v>8620000</v>
      </c>
      <c r="D581" s="34">
        <v>1152760</v>
      </c>
      <c r="E581" s="34">
        <v>1102410</v>
      </c>
      <c r="F581" s="34">
        <v>952140</v>
      </c>
      <c r="G581" s="34">
        <v>922140</v>
      </c>
      <c r="H581" s="34">
        <v>892140</v>
      </c>
      <c r="I581" s="34">
        <v>862140</v>
      </c>
      <c r="J581" s="34">
        <v>832140</v>
      </c>
      <c r="K581" s="34">
        <v>802140</v>
      </c>
      <c r="L581" s="34">
        <v>772140</v>
      </c>
      <c r="M581" s="34">
        <v>742140</v>
      </c>
      <c r="N581" s="34">
        <v>712140</v>
      </c>
    </row>
    <row r="582" spans="1:14">
      <c r="A582" s="34">
        <v>8640</v>
      </c>
      <c r="B582" s="34">
        <v>8660</v>
      </c>
      <c r="C582" s="34">
        <f t="shared" si="9"/>
        <v>8640000</v>
      </c>
      <c r="D582" s="34">
        <v>1157440</v>
      </c>
      <c r="E582" s="34">
        <v>1107060</v>
      </c>
      <c r="F582" s="34">
        <v>956500</v>
      </c>
      <c r="G582" s="34">
        <v>926500</v>
      </c>
      <c r="H582" s="34">
        <v>896500</v>
      </c>
      <c r="I582" s="34">
        <v>866500</v>
      </c>
      <c r="J582" s="34">
        <v>836500</v>
      </c>
      <c r="K582" s="34">
        <v>806500</v>
      </c>
      <c r="L582" s="34">
        <v>776500</v>
      </c>
      <c r="M582" s="34">
        <v>746500</v>
      </c>
      <c r="N582" s="34">
        <v>716500</v>
      </c>
    </row>
    <row r="583" spans="1:14">
      <c r="A583" s="34">
        <v>8660</v>
      </c>
      <c r="B583" s="34">
        <v>8680</v>
      </c>
      <c r="C583" s="34">
        <f t="shared" si="9"/>
        <v>8660000</v>
      </c>
      <c r="D583" s="34">
        <v>1162120</v>
      </c>
      <c r="E583" s="34">
        <v>1111720</v>
      </c>
      <c r="F583" s="34">
        <v>960870</v>
      </c>
      <c r="G583" s="34">
        <v>930870</v>
      </c>
      <c r="H583" s="34">
        <v>900870</v>
      </c>
      <c r="I583" s="34">
        <v>870870</v>
      </c>
      <c r="J583" s="34">
        <v>840870</v>
      </c>
      <c r="K583" s="34">
        <v>810870</v>
      </c>
      <c r="L583" s="34">
        <v>780870</v>
      </c>
      <c r="M583" s="34">
        <v>750870</v>
      </c>
      <c r="N583" s="34">
        <v>720870</v>
      </c>
    </row>
    <row r="584" spans="1:14">
      <c r="A584" s="34">
        <v>8680</v>
      </c>
      <c r="B584" s="34">
        <v>8700</v>
      </c>
      <c r="C584" s="34">
        <f t="shared" si="9"/>
        <v>8680000</v>
      </c>
      <c r="D584" s="34">
        <v>1166800</v>
      </c>
      <c r="E584" s="34">
        <v>1116380</v>
      </c>
      <c r="F584" s="34">
        <v>965240</v>
      </c>
      <c r="G584" s="34">
        <v>935240</v>
      </c>
      <c r="H584" s="34">
        <v>905240</v>
      </c>
      <c r="I584" s="34">
        <v>875240</v>
      </c>
      <c r="J584" s="34">
        <v>845240</v>
      </c>
      <c r="K584" s="34">
        <v>815240</v>
      </c>
      <c r="L584" s="34">
        <v>785240</v>
      </c>
      <c r="M584" s="34">
        <v>755240</v>
      </c>
      <c r="N584" s="34">
        <v>725240</v>
      </c>
    </row>
    <row r="585" spans="1:14">
      <c r="A585" s="34">
        <v>8700</v>
      </c>
      <c r="B585" s="34">
        <v>8720</v>
      </c>
      <c r="C585" s="34">
        <f t="shared" si="9"/>
        <v>8700000</v>
      </c>
      <c r="D585" s="34">
        <v>1171480</v>
      </c>
      <c r="E585" s="34">
        <v>1121030</v>
      </c>
      <c r="F585" s="34">
        <v>969610</v>
      </c>
      <c r="G585" s="34">
        <v>939610</v>
      </c>
      <c r="H585" s="34">
        <v>909610</v>
      </c>
      <c r="I585" s="34">
        <v>879610</v>
      </c>
      <c r="J585" s="34">
        <v>849610</v>
      </c>
      <c r="K585" s="34">
        <v>819610</v>
      </c>
      <c r="L585" s="34">
        <v>789610</v>
      </c>
      <c r="M585" s="34">
        <v>759610</v>
      </c>
      <c r="N585" s="34">
        <v>729610</v>
      </c>
    </row>
    <row r="586" spans="1:14">
      <c r="A586" s="34">
        <v>8720</v>
      </c>
      <c r="B586" s="34">
        <v>8740</v>
      </c>
      <c r="C586" s="34">
        <f t="shared" si="9"/>
        <v>8720000</v>
      </c>
      <c r="D586" s="34">
        <v>1176160</v>
      </c>
      <c r="E586" s="34">
        <v>1125690</v>
      </c>
      <c r="F586" s="34">
        <v>973980</v>
      </c>
      <c r="G586" s="34">
        <v>943980</v>
      </c>
      <c r="H586" s="34">
        <v>913980</v>
      </c>
      <c r="I586" s="34">
        <v>883980</v>
      </c>
      <c r="J586" s="34">
        <v>853980</v>
      </c>
      <c r="K586" s="34">
        <v>823980</v>
      </c>
      <c r="L586" s="34">
        <v>793980</v>
      </c>
      <c r="M586" s="34">
        <v>763980</v>
      </c>
      <c r="N586" s="34">
        <v>733980</v>
      </c>
    </row>
    <row r="587" spans="1:14">
      <c r="A587" s="34">
        <v>8740</v>
      </c>
      <c r="B587" s="34">
        <v>8760</v>
      </c>
      <c r="C587" s="34">
        <f t="shared" si="9"/>
        <v>8740000</v>
      </c>
      <c r="D587" s="34">
        <v>1180840</v>
      </c>
      <c r="E587" s="34">
        <v>1130340</v>
      </c>
      <c r="F587" s="34">
        <v>978340</v>
      </c>
      <c r="G587" s="34">
        <v>948340</v>
      </c>
      <c r="H587" s="34">
        <v>918340</v>
      </c>
      <c r="I587" s="34">
        <v>888340</v>
      </c>
      <c r="J587" s="34">
        <v>858340</v>
      </c>
      <c r="K587" s="34">
        <v>828340</v>
      </c>
      <c r="L587" s="34">
        <v>798340</v>
      </c>
      <c r="M587" s="34">
        <v>768340</v>
      </c>
      <c r="N587" s="34">
        <v>738340</v>
      </c>
    </row>
    <row r="588" spans="1:14">
      <c r="A588" s="34">
        <v>8760</v>
      </c>
      <c r="B588" s="34">
        <v>8780</v>
      </c>
      <c r="C588" s="34">
        <f t="shared" si="9"/>
        <v>8760000</v>
      </c>
      <c r="D588" s="34">
        <v>1185520</v>
      </c>
      <c r="E588" s="34">
        <v>1135000</v>
      </c>
      <c r="F588" s="34">
        <v>982710</v>
      </c>
      <c r="G588" s="34">
        <v>952710</v>
      </c>
      <c r="H588" s="34">
        <v>922710</v>
      </c>
      <c r="I588" s="34">
        <v>892710</v>
      </c>
      <c r="J588" s="34">
        <v>862710</v>
      </c>
      <c r="K588" s="34">
        <v>832710</v>
      </c>
      <c r="L588" s="34">
        <v>802710</v>
      </c>
      <c r="M588" s="34">
        <v>772710</v>
      </c>
      <c r="N588" s="34">
        <v>742710</v>
      </c>
    </row>
    <row r="589" spans="1:14">
      <c r="A589" s="34">
        <v>8780</v>
      </c>
      <c r="B589" s="34">
        <v>8800</v>
      </c>
      <c r="C589" s="34">
        <f t="shared" si="9"/>
        <v>8780000</v>
      </c>
      <c r="D589" s="34">
        <v>1190200</v>
      </c>
      <c r="E589" s="34">
        <v>1139660</v>
      </c>
      <c r="F589" s="34">
        <v>987080</v>
      </c>
      <c r="G589" s="34">
        <v>957080</v>
      </c>
      <c r="H589" s="34">
        <v>927080</v>
      </c>
      <c r="I589" s="34">
        <v>897080</v>
      </c>
      <c r="J589" s="34">
        <v>867080</v>
      </c>
      <c r="K589" s="34">
        <v>837080</v>
      </c>
      <c r="L589" s="34">
        <v>807080</v>
      </c>
      <c r="M589" s="34">
        <v>777080</v>
      </c>
      <c r="N589" s="34">
        <v>747080</v>
      </c>
    </row>
    <row r="590" spans="1:14">
      <c r="A590" s="34">
        <v>8800</v>
      </c>
      <c r="B590" s="34">
        <v>8820</v>
      </c>
      <c r="C590" s="34">
        <f t="shared" si="9"/>
        <v>8800000</v>
      </c>
      <c r="D590" s="34">
        <v>1194880</v>
      </c>
      <c r="E590" s="34">
        <v>1144310</v>
      </c>
      <c r="F590" s="34">
        <v>991450</v>
      </c>
      <c r="G590" s="34">
        <v>961450</v>
      </c>
      <c r="H590" s="34">
        <v>931450</v>
      </c>
      <c r="I590" s="34">
        <v>901450</v>
      </c>
      <c r="J590" s="34">
        <v>871450</v>
      </c>
      <c r="K590" s="34">
        <v>841450</v>
      </c>
      <c r="L590" s="34">
        <v>811450</v>
      </c>
      <c r="M590" s="34">
        <v>781450</v>
      </c>
      <c r="N590" s="34">
        <v>751450</v>
      </c>
    </row>
    <row r="591" spans="1:14">
      <c r="A591" s="34">
        <v>8820</v>
      </c>
      <c r="B591" s="34">
        <v>8840</v>
      </c>
      <c r="C591" s="34">
        <f t="shared" si="9"/>
        <v>8820000</v>
      </c>
      <c r="D591" s="34">
        <v>1199560</v>
      </c>
      <c r="E591" s="34">
        <v>1148970</v>
      </c>
      <c r="F591" s="34">
        <v>995820</v>
      </c>
      <c r="G591" s="34">
        <v>965820</v>
      </c>
      <c r="H591" s="34">
        <v>935820</v>
      </c>
      <c r="I591" s="34">
        <v>905820</v>
      </c>
      <c r="J591" s="34">
        <v>875820</v>
      </c>
      <c r="K591" s="34">
        <v>845820</v>
      </c>
      <c r="L591" s="34">
        <v>815820</v>
      </c>
      <c r="M591" s="34">
        <v>785820</v>
      </c>
      <c r="N591" s="34">
        <v>755820</v>
      </c>
    </row>
    <row r="592" spans="1:14">
      <c r="A592" s="34">
        <v>8840</v>
      </c>
      <c r="B592" s="34">
        <v>8860</v>
      </c>
      <c r="C592" s="34">
        <f t="shared" si="9"/>
        <v>8840000</v>
      </c>
      <c r="D592" s="34">
        <v>1204240</v>
      </c>
      <c r="E592" s="34">
        <v>1153620</v>
      </c>
      <c r="F592" s="34">
        <v>1000180</v>
      </c>
      <c r="G592" s="34">
        <v>970180</v>
      </c>
      <c r="H592" s="34">
        <v>940180</v>
      </c>
      <c r="I592" s="34">
        <v>910180</v>
      </c>
      <c r="J592" s="34">
        <v>880180</v>
      </c>
      <c r="K592" s="34">
        <v>850180</v>
      </c>
      <c r="L592" s="34">
        <v>820180</v>
      </c>
      <c r="M592" s="34">
        <v>790180</v>
      </c>
      <c r="N592" s="34">
        <v>760180</v>
      </c>
    </row>
    <row r="593" spans="1:14">
      <c r="A593" s="34">
        <v>8860</v>
      </c>
      <c r="B593" s="34">
        <v>8880</v>
      </c>
      <c r="C593" s="34">
        <f t="shared" si="9"/>
        <v>8860000</v>
      </c>
      <c r="D593" s="34">
        <v>1208920</v>
      </c>
      <c r="E593" s="34">
        <v>1158280</v>
      </c>
      <c r="F593" s="34">
        <v>1004550</v>
      </c>
      <c r="G593" s="34">
        <v>974550</v>
      </c>
      <c r="H593" s="34">
        <v>944550</v>
      </c>
      <c r="I593" s="34">
        <v>914550</v>
      </c>
      <c r="J593" s="34">
        <v>884550</v>
      </c>
      <c r="K593" s="34">
        <v>854550</v>
      </c>
      <c r="L593" s="34">
        <v>824550</v>
      </c>
      <c r="M593" s="34">
        <v>794550</v>
      </c>
      <c r="N593" s="34">
        <v>764550</v>
      </c>
    </row>
    <row r="594" spans="1:14">
      <c r="A594" s="34">
        <v>8880</v>
      </c>
      <c r="B594" s="34">
        <v>8900</v>
      </c>
      <c r="C594" s="34">
        <f t="shared" si="9"/>
        <v>8880000</v>
      </c>
      <c r="D594" s="34">
        <v>1213600</v>
      </c>
      <c r="E594" s="34">
        <v>1162940</v>
      </c>
      <c r="F594" s="34">
        <v>1008920</v>
      </c>
      <c r="G594" s="34">
        <v>978920</v>
      </c>
      <c r="H594" s="34">
        <v>948920</v>
      </c>
      <c r="I594" s="34">
        <v>918920</v>
      </c>
      <c r="J594" s="34">
        <v>888920</v>
      </c>
      <c r="K594" s="34">
        <v>858920</v>
      </c>
      <c r="L594" s="34">
        <v>828920</v>
      </c>
      <c r="M594" s="34">
        <v>798920</v>
      </c>
      <c r="N594" s="34">
        <v>768920</v>
      </c>
    </row>
    <row r="595" spans="1:14">
      <c r="A595" s="34">
        <v>8900</v>
      </c>
      <c r="B595" s="34">
        <v>8920</v>
      </c>
      <c r="C595" s="34">
        <f t="shared" si="9"/>
        <v>8900000</v>
      </c>
      <c r="D595" s="34">
        <v>1218280</v>
      </c>
      <c r="E595" s="34">
        <v>1167590</v>
      </c>
      <c r="F595" s="34">
        <v>1013290</v>
      </c>
      <c r="G595" s="34">
        <v>983290</v>
      </c>
      <c r="H595" s="34">
        <v>953290</v>
      </c>
      <c r="I595" s="34">
        <v>923290</v>
      </c>
      <c r="J595" s="34">
        <v>893290</v>
      </c>
      <c r="K595" s="34">
        <v>863290</v>
      </c>
      <c r="L595" s="34">
        <v>833290</v>
      </c>
      <c r="M595" s="34">
        <v>803290</v>
      </c>
      <c r="N595" s="34">
        <v>773290</v>
      </c>
    </row>
    <row r="596" spans="1:14">
      <c r="A596" s="34">
        <v>8920</v>
      </c>
      <c r="B596" s="34">
        <v>8940</v>
      </c>
      <c r="C596" s="34">
        <f t="shared" si="9"/>
        <v>8920000</v>
      </c>
      <c r="D596" s="34">
        <v>1222960</v>
      </c>
      <c r="E596" s="34">
        <v>1172250</v>
      </c>
      <c r="F596" s="34">
        <v>1017660</v>
      </c>
      <c r="G596" s="34">
        <v>987660</v>
      </c>
      <c r="H596" s="34">
        <v>957660</v>
      </c>
      <c r="I596" s="34">
        <v>927660</v>
      </c>
      <c r="J596" s="34">
        <v>897660</v>
      </c>
      <c r="K596" s="34">
        <v>867660</v>
      </c>
      <c r="L596" s="34">
        <v>837660</v>
      </c>
      <c r="M596" s="34">
        <v>807660</v>
      </c>
      <c r="N596" s="34">
        <v>777660</v>
      </c>
    </row>
    <row r="597" spans="1:14">
      <c r="A597" s="34">
        <v>8940</v>
      </c>
      <c r="B597" s="34">
        <v>8960</v>
      </c>
      <c r="C597" s="34">
        <f t="shared" si="9"/>
        <v>8940000</v>
      </c>
      <c r="D597" s="34">
        <v>1227640</v>
      </c>
      <c r="E597" s="34">
        <v>1176900</v>
      </c>
      <c r="F597" s="34">
        <v>1022020</v>
      </c>
      <c r="G597" s="34">
        <v>992020</v>
      </c>
      <c r="H597" s="34">
        <v>962020</v>
      </c>
      <c r="I597" s="34">
        <v>932020</v>
      </c>
      <c r="J597" s="34">
        <v>902020</v>
      </c>
      <c r="K597" s="34">
        <v>872020</v>
      </c>
      <c r="L597" s="34">
        <v>842020</v>
      </c>
      <c r="M597" s="34">
        <v>812020</v>
      </c>
      <c r="N597" s="34">
        <v>782020</v>
      </c>
    </row>
    <row r="598" spans="1:14">
      <c r="A598" s="34">
        <v>8960</v>
      </c>
      <c r="B598" s="34">
        <v>8980</v>
      </c>
      <c r="C598" s="34">
        <f t="shared" si="9"/>
        <v>8960000</v>
      </c>
      <c r="D598" s="34">
        <v>1232320</v>
      </c>
      <c r="E598" s="34">
        <v>1181560</v>
      </c>
      <c r="F598" s="34">
        <v>1026390</v>
      </c>
      <c r="G598" s="34">
        <v>996390</v>
      </c>
      <c r="H598" s="34">
        <v>966390</v>
      </c>
      <c r="I598" s="34">
        <v>936390</v>
      </c>
      <c r="J598" s="34">
        <v>906390</v>
      </c>
      <c r="K598" s="34">
        <v>876390</v>
      </c>
      <c r="L598" s="34">
        <v>846390</v>
      </c>
      <c r="M598" s="34">
        <v>816390</v>
      </c>
      <c r="N598" s="34">
        <v>786390</v>
      </c>
    </row>
    <row r="599" spans="1:14">
      <c r="A599" s="34">
        <v>8980</v>
      </c>
      <c r="B599" s="34">
        <v>9000</v>
      </c>
      <c r="C599" s="34">
        <f t="shared" si="9"/>
        <v>8980000</v>
      </c>
      <c r="D599" s="34">
        <v>1237000</v>
      </c>
      <c r="E599" s="34">
        <v>1186220</v>
      </c>
      <c r="F599" s="34">
        <v>1030760</v>
      </c>
      <c r="G599" s="34">
        <v>1000760</v>
      </c>
      <c r="H599" s="34">
        <v>970760</v>
      </c>
      <c r="I599" s="34">
        <v>940760</v>
      </c>
      <c r="J599" s="34">
        <v>910760</v>
      </c>
      <c r="K599" s="34">
        <v>880760</v>
      </c>
      <c r="L599" s="34">
        <v>850760</v>
      </c>
      <c r="M599" s="34">
        <v>820760</v>
      </c>
      <c r="N599" s="34">
        <v>790760</v>
      </c>
    </row>
    <row r="600" spans="1:14">
      <c r="A600" s="34">
        <v>9000</v>
      </c>
      <c r="B600" s="34">
        <v>9020</v>
      </c>
      <c r="C600" s="34">
        <f t="shared" si="9"/>
        <v>9000000</v>
      </c>
      <c r="D600" s="34">
        <v>1241680</v>
      </c>
      <c r="E600" s="34">
        <v>1190870</v>
      </c>
      <c r="F600" s="34">
        <v>1035130</v>
      </c>
      <c r="G600" s="34">
        <v>1005130</v>
      </c>
      <c r="H600" s="34">
        <v>975130</v>
      </c>
      <c r="I600" s="34">
        <v>945130</v>
      </c>
      <c r="J600" s="34">
        <v>915130</v>
      </c>
      <c r="K600" s="34">
        <v>885130</v>
      </c>
      <c r="L600" s="34">
        <v>855130</v>
      </c>
      <c r="M600" s="34">
        <v>825130</v>
      </c>
      <c r="N600" s="34">
        <v>795130</v>
      </c>
    </row>
    <row r="601" spans="1:14">
      <c r="A601" s="34">
        <v>9020</v>
      </c>
      <c r="B601" s="34">
        <v>9040</v>
      </c>
      <c r="C601" s="34">
        <f t="shared" si="9"/>
        <v>9020000</v>
      </c>
      <c r="D601" s="34">
        <v>1246360</v>
      </c>
      <c r="E601" s="34">
        <v>1195530</v>
      </c>
      <c r="F601" s="34">
        <v>1039500</v>
      </c>
      <c r="G601" s="34">
        <v>1009500</v>
      </c>
      <c r="H601" s="34">
        <v>979500</v>
      </c>
      <c r="I601" s="34">
        <v>949500</v>
      </c>
      <c r="J601" s="34">
        <v>919500</v>
      </c>
      <c r="K601" s="34">
        <v>889500</v>
      </c>
      <c r="L601" s="34">
        <v>859500</v>
      </c>
      <c r="M601" s="34">
        <v>829500</v>
      </c>
      <c r="N601" s="34">
        <v>799500</v>
      </c>
    </row>
    <row r="602" spans="1:14">
      <c r="A602" s="34">
        <v>9040</v>
      </c>
      <c r="B602" s="34">
        <v>9060</v>
      </c>
      <c r="C602" s="34">
        <f t="shared" si="9"/>
        <v>9040000</v>
      </c>
      <c r="D602" s="34">
        <v>1251040</v>
      </c>
      <c r="E602" s="34">
        <v>1200180</v>
      </c>
      <c r="F602" s="34">
        <v>1043860</v>
      </c>
      <c r="G602" s="34">
        <v>1013860</v>
      </c>
      <c r="H602" s="34">
        <v>983860</v>
      </c>
      <c r="I602" s="34">
        <v>953860</v>
      </c>
      <c r="J602" s="34">
        <v>923860</v>
      </c>
      <c r="K602" s="34">
        <v>893860</v>
      </c>
      <c r="L602" s="34">
        <v>863860</v>
      </c>
      <c r="M602" s="34">
        <v>833860</v>
      </c>
      <c r="N602" s="34">
        <v>803860</v>
      </c>
    </row>
    <row r="603" spans="1:14">
      <c r="A603" s="34">
        <v>9060</v>
      </c>
      <c r="B603" s="34">
        <v>9080</v>
      </c>
      <c r="C603" s="34">
        <f t="shared" si="9"/>
        <v>9060000</v>
      </c>
      <c r="D603" s="34">
        <v>1255720</v>
      </c>
      <c r="E603" s="34">
        <v>1204840</v>
      </c>
      <c r="F603" s="34">
        <v>1048230</v>
      </c>
      <c r="G603" s="34">
        <v>1018230</v>
      </c>
      <c r="H603" s="34">
        <v>988230</v>
      </c>
      <c r="I603" s="34">
        <v>958230</v>
      </c>
      <c r="J603" s="34">
        <v>928230</v>
      </c>
      <c r="K603" s="34">
        <v>898230</v>
      </c>
      <c r="L603" s="34">
        <v>868230</v>
      </c>
      <c r="M603" s="34">
        <v>838230</v>
      </c>
      <c r="N603" s="34">
        <v>808230</v>
      </c>
    </row>
    <row r="604" spans="1:14">
      <c r="A604" s="34">
        <v>9080</v>
      </c>
      <c r="B604" s="34">
        <v>9100</v>
      </c>
      <c r="C604" s="34">
        <f t="shared" si="9"/>
        <v>9080000</v>
      </c>
      <c r="D604" s="34">
        <v>1260400</v>
      </c>
      <c r="E604" s="34">
        <v>1209500</v>
      </c>
      <c r="F604" s="34">
        <v>1052600</v>
      </c>
      <c r="G604" s="34">
        <v>1022600</v>
      </c>
      <c r="H604" s="34">
        <v>992600</v>
      </c>
      <c r="I604" s="34">
        <v>962600</v>
      </c>
      <c r="J604" s="34">
        <v>932600</v>
      </c>
      <c r="K604" s="34">
        <v>902600</v>
      </c>
      <c r="L604" s="34">
        <v>872600</v>
      </c>
      <c r="M604" s="34">
        <v>842600</v>
      </c>
      <c r="N604" s="34">
        <v>812600</v>
      </c>
    </row>
    <row r="605" spans="1:14">
      <c r="A605" s="34">
        <v>9100</v>
      </c>
      <c r="B605" s="34">
        <v>9120</v>
      </c>
      <c r="C605" s="34">
        <f t="shared" si="9"/>
        <v>9100000</v>
      </c>
      <c r="D605" s="34">
        <v>1265080</v>
      </c>
      <c r="E605" s="34">
        <v>1214150</v>
      </c>
      <c r="F605" s="34">
        <v>1056970</v>
      </c>
      <c r="G605" s="34">
        <v>1026970</v>
      </c>
      <c r="H605" s="34">
        <v>996970</v>
      </c>
      <c r="I605" s="34">
        <v>966970</v>
      </c>
      <c r="J605" s="34">
        <v>936970</v>
      </c>
      <c r="K605" s="34">
        <v>906970</v>
      </c>
      <c r="L605" s="34">
        <v>876970</v>
      </c>
      <c r="M605" s="34">
        <v>846970</v>
      </c>
      <c r="N605" s="34">
        <v>816970</v>
      </c>
    </row>
    <row r="606" spans="1:14">
      <c r="A606" s="34">
        <v>9120</v>
      </c>
      <c r="B606" s="34">
        <v>9140</v>
      </c>
      <c r="C606" s="34">
        <f t="shared" si="9"/>
        <v>9120000</v>
      </c>
      <c r="D606" s="34">
        <v>1269760</v>
      </c>
      <c r="E606" s="34">
        <v>1218810</v>
      </c>
      <c r="F606" s="34">
        <v>1061340</v>
      </c>
      <c r="G606" s="34">
        <v>1031340</v>
      </c>
      <c r="H606" s="34">
        <v>1001340</v>
      </c>
      <c r="I606" s="34">
        <v>971340</v>
      </c>
      <c r="J606" s="34">
        <v>941340</v>
      </c>
      <c r="K606" s="34">
        <v>911340</v>
      </c>
      <c r="L606" s="34">
        <v>881340</v>
      </c>
      <c r="M606" s="34">
        <v>851340</v>
      </c>
      <c r="N606" s="34">
        <v>821340</v>
      </c>
    </row>
    <row r="607" spans="1:14">
      <c r="A607" s="34">
        <v>9140</v>
      </c>
      <c r="B607" s="34">
        <v>9160</v>
      </c>
      <c r="C607" s="34">
        <f t="shared" si="9"/>
        <v>9140000</v>
      </c>
      <c r="D607" s="34">
        <v>1274440</v>
      </c>
      <c r="E607" s="34">
        <v>1223460</v>
      </c>
      <c r="F607" s="34">
        <v>1065700</v>
      </c>
      <c r="G607" s="34">
        <v>1035700</v>
      </c>
      <c r="H607" s="34">
        <v>1005700</v>
      </c>
      <c r="I607" s="34">
        <v>975700</v>
      </c>
      <c r="J607" s="34">
        <v>945700</v>
      </c>
      <c r="K607" s="34">
        <v>915700</v>
      </c>
      <c r="L607" s="34">
        <v>885700</v>
      </c>
      <c r="M607" s="34">
        <v>855700</v>
      </c>
      <c r="N607" s="34">
        <v>825700</v>
      </c>
    </row>
    <row r="608" spans="1:14">
      <c r="A608" s="34">
        <v>9160</v>
      </c>
      <c r="B608" s="34">
        <v>9180</v>
      </c>
      <c r="C608" s="34">
        <f t="shared" si="9"/>
        <v>9160000</v>
      </c>
      <c r="D608" s="34">
        <v>1279120</v>
      </c>
      <c r="E608" s="34">
        <v>1228120</v>
      </c>
      <c r="F608" s="34">
        <v>1070070</v>
      </c>
      <c r="G608" s="34">
        <v>1040070</v>
      </c>
      <c r="H608" s="34">
        <v>1010070</v>
      </c>
      <c r="I608" s="34">
        <v>980070</v>
      </c>
      <c r="J608" s="34">
        <v>950070</v>
      </c>
      <c r="K608" s="34">
        <v>920070</v>
      </c>
      <c r="L608" s="34">
        <v>890070</v>
      </c>
      <c r="M608" s="34">
        <v>860070</v>
      </c>
      <c r="N608" s="34">
        <v>830070</v>
      </c>
    </row>
    <row r="609" spans="1:14">
      <c r="A609" s="34">
        <v>9180</v>
      </c>
      <c r="B609" s="34">
        <v>9200</v>
      </c>
      <c r="C609" s="34">
        <f t="shared" si="9"/>
        <v>9180000</v>
      </c>
      <c r="D609" s="34">
        <v>1284020</v>
      </c>
      <c r="E609" s="34">
        <v>1232780</v>
      </c>
      <c r="F609" s="34">
        <v>1074440</v>
      </c>
      <c r="G609" s="34">
        <v>1044440</v>
      </c>
      <c r="H609" s="34">
        <v>1014440</v>
      </c>
      <c r="I609" s="34">
        <v>984440</v>
      </c>
      <c r="J609" s="34">
        <v>954440</v>
      </c>
      <c r="K609" s="34">
        <v>924440</v>
      </c>
      <c r="L609" s="34">
        <v>894440</v>
      </c>
      <c r="M609" s="34">
        <v>864440</v>
      </c>
      <c r="N609" s="34">
        <v>834440</v>
      </c>
    </row>
    <row r="610" spans="1:14">
      <c r="A610" s="34">
        <v>9200</v>
      </c>
      <c r="B610" s="34">
        <v>9220</v>
      </c>
      <c r="C610" s="34">
        <f t="shared" si="9"/>
        <v>9200000</v>
      </c>
      <c r="D610" s="34">
        <v>1290850</v>
      </c>
      <c r="E610" s="34">
        <v>1237430</v>
      </c>
      <c r="F610" s="34">
        <v>1078810</v>
      </c>
      <c r="G610" s="34">
        <v>1048810</v>
      </c>
      <c r="H610" s="34">
        <v>1018810</v>
      </c>
      <c r="I610" s="34">
        <v>988810</v>
      </c>
      <c r="J610" s="34">
        <v>958810</v>
      </c>
      <c r="K610" s="34">
        <v>928810</v>
      </c>
      <c r="L610" s="34">
        <v>898810</v>
      </c>
      <c r="M610" s="34">
        <v>868810</v>
      </c>
      <c r="N610" s="34">
        <v>838810</v>
      </c>
    </row>
    <row r="611" spans="1:14">
      <c r="A611" s="34">
        <v>9220</v>
      </c>
      <c r="B611" s="34">
        <v>9240</v>
      </c>
      <c r="C611" s="34">
        <f t="shared" si="9"/>
        <v>9220000</v>
      </c>
      <c r="D611" s="34">
        <v>1297670</v>
      </c>
      <c r="E611" s="34">
        <v>1242090</v>
      </c>
      <c r="F611" s="34">
        <v>1083180</v>
      </c>
      <c r="G611" s="34">
        <v>1053180</v>
      </c>
      <c r="H611" s="34">
        <v>1023180</v>
      </c>
      <c r="I611" s="34">
        <v>993180</v>
      </c>
      <c r="J611" s="34">
        <v>963180</v>
      </c>
      <c r="K611" s="34">
        <v>933180</v>
      </c>
      <c r="L611" s="34">
        <v>903180</v>
      </c>
      <c r="M611" s="34">
        <v>873180</v>
      </c>
      <c r="N611" s="34">
        <v>843180</v>
      </c>
    </row>
    <row r="612" spans="1:14">
      <c r="A612" s="34">
        <v>9240</v>
      </c>
      <c r="B612" s="34">
        <v>9260</v>
      </c>
      <c r="C612" s="34">
        <f t="shared" si="9"/>
        <v>9240000</v>
      </c>
      <c r="D612" s="34">
        <v>1304500</v>
      </c>
      <c r="E612" s="34">
        <v>1246740</v>
      </c>
      <c r="F612" s="34">
        <v>1087540</v>
      </c>
      <c r="G612" s="34">
        <v>1057540</v>
      </c>
      <c r="H612" s="34">
        <v>1027540</v>
      </c>
      <c r="I612" s="34">
        <v>997540</v>
      </c>
      <c r="J612" s="34">
        <v>967540</v>
      </c>
      <c r="K612" s="34">
        <v>937540</v>
      </c>
      <c r="L612" s="34">
        <v>907540</v>
      </c>
      <c r="M612" s="34">
        <v>877540</v>
      </c>
      <c r="N612" s="34">
        <v>847540</v>
      </c>
    </row>
    <row r="613" spans="1:14">
      <c r="A613" s="34">
        <v>9260</v>
      </c>
      <c r="B613" s="34">
        <v>9280</v>
      </c>
      <c r="C613" s="34">
        <f t="shared" si="9"/>
        <v>9260000</v>
      </c>
      <c r="D613" s="34">
        <v>1311320</v>
      </c>
      <c r="E613" s="34">
        <v>1251400</v>
      </c>
      <c r="F613" s="34">
        <v>1091910</v>
      </c>
      <c r="G613" s="34">
        <v>1061910</v>
      </c>
      <c r="H613" s="34">
        <v>1031910</v>
      </c>
      <c r="I613" s="34">
        <v>1001910</v>
      </c>
      <c r="J613" s="34">
        <v>971910</v>
      </c>
      <c r="K613" s="34">
        <v>941910</v>
      </c>
      <c r="L613" s="34">
        <v>911910</v>
      </c>
      <c r="M613" s="34">
        <v>881910</v>
      </c>
      <c r="N613" s="34">
        <v>851910</v>
      </c>
    </row>
    <row r="614" spans="1:14">
      <c r="A614" s="34">
        <v>9280</v>
      </c>
      <c r="B614" s="34">
        <v>9300</v>
      </c>
      <c r="C614" s="34">
        <f t="shared" si="9"/>
        <v>9280000</v>
      </c>
      <c r="D614" s="34">
        <v>1318150</v>
      </c>
      <c r="E614" s="34">
        <v>1256060</v>
      </c>
      <c r="F614" s="34">
        <v>1096280</v>
      </c>
      <c r="G614" s="34">
        <v>1066280</v>
      </c>
      <c r="H614" s="34">
        <v>1036280</v>
      </c>
      <c r="I614" s="34">
        <v>1006280</v>
      </c>
      <c r="J614" s="34">
        <v>976280</v>
      </c>
      <c r="K614" s="34">
        <v>946280</v>
      </c>
      <c r="L614" s="34">
        <v>916280</v>
      </c>
      <c r="M614" s="34">
        <v>886280</v>
      </c>
      <c r="N614" s="34">
        <v>856280</v>
      </c>
    </row>
    <row r="615" spans="1:14">
      <c r="A615" s="34">
        <v>9300</v>
      </c>
      <c r="B615" s="34">
        <v>9320</v>
      </c>
      <c r="C615" s="34">
        <f t="shared" si="9"/>
        <v>9300000</v>
      </c>
      <c r="D615" s="34">
        <v>1324970</v>
      </c>
      <c r="E615" s="34">
        <v>1260710</v>
      </c>
      <c r="F615" s="34">
        <v>1100650</v>
      </c>
      <c r="G615" s="34">
        <v>1070650</v>
      </c>
      <c r="H615" s="34">
        <v>1040650</v>
      </c>
      <c r="I615" s="34">
        <v>1010650</v>
      </c>
      <c r="J615" s="34">
        <v>980650</v>
      </c>
      <c r="K615" s="34">
        <v>950650</v>
      </c>
      <c r="L615" s="34">
        <v>920650</v>
      </c>
      <c r="M615" s="34">
        <v>890650</v>
      </c>
      <c r="N615" s="34">
        <v>860650</v>
      </c>
    </row>
    <row r="616" spans="1:14">
      <c r="A616" s="34">
        <v>9320</v>
      </c>
      <c r="B616" s="34">
        <v>9340</v>
      </c>
      <c r="C616" s="34">
        <f t="shared" si="9"/>
        <v>9320000</v>
      </c>
      <c r="D616" s="34">
        <v>1331800</v>
      </c>
      <c r="E616" s="34">
        <v>1265370</v>
      </c>
      <c r="F616" s="34">
        <v>1105020</v>
      </c>
      <c r="G616" s="34">
        <v>1075020</v>
      </c>
      <c r="H616" s="34">
        <v>1045020</v>
      </c>
      <c r="I616" s="34">
        <v>1015020</v>
      </c>
      <c r="J616" s="34">
        <v>985020</v>
      </c>
      <c r="K616" s="34">
        <v>955020</v>
      </c>
      <c r="L616" s="34">
        <v>925020</v>
      </c>
      <c r="M616" s="34">
        <v>895020</v>
      </c>
      <c r="N616" s="34">
        <v>865020</v>
      </c>
    </row>
    <row r="617" spans="1:14">
      <c r="A617" s="34">
        <v>9340</v>
      </c>
      <c r="B617" s="34">
        <v>9360</v>
      </c>
      <c r="C617" s="34">
        <f t="shared" si="9"/>
        <v>9340000</v>
      </c>
      <c r="D617" s="34">
        <v>1338620</v>
      </c>
      <c r="E617" s="34">
        <v>1270020</v>
      </c>
      <c r="F617" s="34">
        <v>1109380</v>
      </c>
      <c r="G617" s="34">
        <v>1079380</v>
      </c>
      <c r="H617" s="34">
        <v>1049380</v>
      </c>
      <c r="I617" s="34">
        <v>1019380</v>
      </c>
      <c r="J617" s="34">
        <v>989380</v>
      </c>
      <c r="K617" s="34">
        <v>959380</v>
      </c>
      <c r="L617" s="34">
        <v>929380</v>
      </c>
      <c r="M617" s="34">
        <v>899380</v>
      </c>
      <c r="N617" s="34">
        <v>869380</v>
      </c>
    </row>
    <row r="618" spans="1:14">
      <c r="A618" s="34">
        <v>9360</v>
      </c>
      <c r="B618" s="34">
        <v>9380</v>
      </c>
      <c r="C618" s="34">
        <f t="shared" si="9"/>
        <v>9360000</v>
      </c>
      <c r="D618" s="34">
        <v>1345450</v>
      </c>
      <c r="E618" s="34">
        <v>1274680</v>
      </c>
      <c r="F618" s="34">
        <v>1113750</v>
      </c>
      <c r="G618" s="34">
        <v>1083750</v>
      </c>
      <c r="H618" s="34">
        <v>1053750</v>
      </c>
      <c r="I618" s="34">
        <v>1023750</v>
      </c>
      <c r="J618" s="34">
        <v>993750</v>
      </c>
      <c r="K618" s="34">
        <v>963750</v>
      </c>
      <c r="L618" s="34">
        <v>933750</v>
      </c>
      <c r="M618" s="34">
        <v>903750</v>
      </c>
      <c r="N618" s="34">
        <v>873750</v>
      </c>
    </row>
    <row r="619" spans="1:14">
      <c r="A619" s="34">
        <v>9380</v>
      </c>
      <c r="B619" s="34">
        <v>9400</v>
      </c>
      <c r="C619" s="34">
        <f t="shared" si="9"/>
        <v>9380000</v>
      </c>
      <c r="D619" s="34">
        <v>1352270</v>
      </c>
      <c r="E619" s="34">
        <v>1279340</v>
      </c>
      <c r="F619" s="34">
        <v>1118120</v>
      </c>
      <c r="G619" s="34">
        <v>1088120</v>
      </c>
      <c r="H619" s="34">
        <v>1058120</v>
      </c>
      <c r="I619" s="34">
        <v>1028120</v>
      </c>
      <c r="J619" s="34">
        <v>998120</v>
      </c>
      <c r="K619" s="34">
        <v>968120</v>
      </c>
      <c r="L619" s="34">
        <v>938120</v>
      </c>
      <c r="M619" s="34">
        <v>908120</v>
      </c>
      <c r="N619" s="34">
        <v>878120</v>
      </c>
    </row>
    <row r="620" spans="1:14">
      <c r="A620" s="34">
        <v>9400</v>
      </c>
      <c r="B620" s="34">
        <v>9420</v>
      </c>
      <c r="C620" s="34">
        <f t="shared" si="9"/>
        <v>9400000</v>
      </c>
      <c r="D620" s="34">
        <v>1359100</v>
      </c>
      <c r="E620" s="34">
        <v>1284300</v>
      </c>
      <c r="F620" s="34">
        <v>1122490</v>
      </c>
      <c r="G620" s="34">
        <v>1092490</v>
      </c>
      <c r="H620" s="34">
        <v>1062490</v>
      </c>
      <c r="I620" s="34">
        <v>1032490</v>
      </c>
      <c r="J620" s="34">
        <v>1002490</v>
      </c>
      <c r="K620" s="34">
        <v>972490</v>
      </c>
      <c r="L620" s="34">
        <v>942490</v>
      </c>
      <c r="M620" s="34">
        <v>912490</v>
      </c>
      <c r="N620" s="34">
        <v>882490</v>
      </c>
    </row>
    <row r="621" spans="1:14">
      <c r="A621" s="34">
        <v>9420</v>
      </c>
      <c r="B621" s="34">
        <v>9440</v>
      </c>
      <c r="C621" s="34">
        <f t="shared" si="9"/>
        <v>9420000</v>
      </c>
      <c r="D621" s="34">
        <v>1365920</v>
      </c>
      <c r="E621" s="34">
        <v>1291090</v>
      </c>
      <c r="F621" s="34">
        <v>1126860</v>
      </c>
      <c r="G621" s="34">
        <v>1096860</v>
      </c>
      <c r="H621" s="34">
        <v>1066860</v>
      </c>
      <c r="I621" s="34">
        <v>1036860</v>
      </c>
      <c r="J621" s="34">
        <v>1006860</v>
      </c>
      <c r="K621" s="34">
        <v>976860</v>
      </c>
      <c r="L621" s="34">
        <v>946860</v>
      </c>
      <c r="M621" s="34">
        <v>916860</v>
      </c>
      <c r="N621" s="34">
        <v>886860</v>
      </c>
    </row>
    <row r="622" spans="1:14">
      <c r="A622" s="34">
        <v>9440</v>
      </c>
      <c r="B622" s="34">
        <v>9460</v>
      </c>
      <c r="C622" s="34">
        <f t="shared" si="9"/>
        <v>9440000</v>
      </c>
      <c r="D622" s="34">
        <v>1372750</v>
      </c>
      <c r="E622" s="34">
        <v>1297880</v>
      </c>
      <c r="F622" s="34">
        <v>1131220</v>
      </c>
      <c r="G622" s="34">
        <v>1101220</v>
      </c>
      <c r="H622" s="34">
        <v>1071220</v>
      </c>
      <c r="I622" s="34">
        <v>1041220</v>
      </c>
      <c r="J622" s="34">
        <v>1011220</v>
      </c>
      <c r="K622" s="34">
        <v>981220</v>
      </c>
      <c r="L622" s="34">
        <v>951220</v>
      </c>
      <c r="M622" s="34">
        <v>921220</v>
      </c>
      <c r="N622" s="34">
        <v>891220</v>
      </c>
    </row>
    <row r="623" spans="1:14">
      <c r="A623" s="34">
        <v>9460</v>
      </c>
      <c r="B623" s="34">
        <v>9480</v>
      </c>
      <c r="C623" s="34">
        <f t="shared" si="9"/>
        <v>9460000</v>
      </c>
      <c r="D623" s="34">
        <v>1379570</v>
      </c>
      <c r="E623" s="34">
        <v>1304670</v>
      </c>
      <c r="F623" s="34">
        <v>1135590</v>
      </c>
      <c r="G623" s="34">
        <v>1105590</v>
      </c>
      <c r="H623" s="34">
        <v>1075590</v>
      </c>
      <c r="I623" s="34">
        <v>1045590</v>
      </c>
      <c r="J623" s="34">
        <v>1015590</v>
      </c>
      <c r="K623" s="34">
        <v>985590</v>
      </c>
      <c r="L623" s="34">
        <v>955590</v>
      </c>
      <c r="M623" s="34">
        <v>925590</v>
      </c>
      <c r="N623" s="34">
        <v>895590</v>
      </c>
    </row>
    <row r="624" spans="1:14">
      <c r="A624" s="34">
        <v>9480</v>
      </c>
      <c r="B624" s="34">
        <v>9500</v>
      </c>
      <c r="C624" s="34">
        <f t="shared" si="9"/>
        <v>9480000</v>
      </c>
      <c r="D624" s="34">
        <v>1386400</v>
      </c>
      <c r="E624" s="34">
        <v>1311460</v>
      </c>
      <c r="F624" s="34">
        <v>1139960</v>
      </c>
      <c r="G624" s="34">
        <v>1109960</v>
      </c>
      <c r="H624" s="34">
        <v>1079960</v>
      </c>
      <c r="I624" s="34">
        <v>1049960</v>
      </c>
      <c r="J624" s="34">
        <v>1019960</v>
      </c>
      <c r="K624" s="34">
        <v>989960</v>
      </c>
      <c r="L624" s="34">
        <v>959960</v>
      </c>
      <c r="M624" s="34">
        <v>929960</v>
      </c>
      <c r="N624" s="34">
        <v>899960</v>
      </c>
    </row>
    <row r="625" spans="1:14">
      <c r="A625" s="34">
        <v>9500</v>
      </c>
      <c r="B625" s="34">
        <v>9520</v>
      </c>
      <c r="C625" s="34">
        <f t="shared" si="9"/>
        <v>9500000</v>
      </c>
      <c r="D625" s="34">
        <v>1393220</v>
      </c>
      <c r="E625" s="34">
        <v>1318250</v>
      </c>
      <c r="F625" s="34">
        <v>1144330</v>
      </c>
      <c r="G625" s="34">
        <v>1114330</v>
      </c>
      <c r="H625" s="34">
        <v>1084330</v>
      </c>
      <c r="I625" s="34">
        <v>1054330</v>
      </c>
      <c r="J625" s="34">
        <v>1024330</v>
      </c>
      <c r="K625" s="34">
        <v>994330</v>
      </c>
      <c r="L625" s="34">
        <v>964330</v>
      </c>
      <c r="M625" s="34">
        <v>934330</v>
      </c>
      <c r="N625" s="34">
        <v>904330</v>
      </c>
    </row>
    <row r="626" spans="1:14">
      <c r="A626" s="34">
        <v>9520</v>
      </c>
      <c r="B626" s="34">
        <v>9540</v>
      </c>
      <c r="C626" s="34">
        <f t="shared" si="9"/>
        <v>9520000</v>
      </c>
      <c r="D626" s="34">
        <v>1400050</v>
      </c>
      <c r="E626" s="34">
        <v>1325040</v>
      </c>
      <c r="F626" s="34">
        <v>1148700</v>
      </c>
      <c r="G626" s="34">
        <v>1118700</v>
      </c>
      <c r="H626" s="34">
        <v>1088700</v>
      </c>
      <c r="I626" s="34">
        <v>1058700</v>
      </c>
      <c r="J626" s="34">
        <v>1028700</v>
      </c>
      <c r="K626" s="34">
        <v>998700</v>
      </c>
      <c r="L626" s="34">
        <v>968700</v>
      </c>
      <c r="M626" s="34">
        <v>938700</v>
      </c>
      <c r="N626" s="34">
        <v>908700</v>
      </c>
    </row>
    <row r="627" spans="1:14">
      <c r="A627" s="34">
        <v>9540</v>
      </c>
      <c r="B627" s="34">
        <v>9560</v>
      </c>
      <c r="C627" s="34">
        <f t="shared" si="9"/>
        <v>9540000</v>
      </c>
      <c r="D627" s="34">
        <v>1406870</v>
      </c>
      <c r="E627" s="34">
        <v>1331830</v>
      </c>
      <c r="F627" s="34">
        <v>1153060</v>
      </c>
      <c r="G627" s="34">
        <v>1123060</v>
      </c>
      <c r="H627" s="34">
        <v>1093060</v>
      </c>
      <c r="I627" s="34">
        <v>1063060</v>
      </c>
      <c r="J627" s="34">
        <v>1033060</v>
      </c>
      <c r="K627" s="34">
        <v>1003060</v>
      </c>
      <c r="L627" s="34">
        <v>973060</v>
      </c>
      <c r="M627" s="34">
        <v>943060</v>
      </c>
      <c r="N627" s="34">
        <v>913060</v>
      </c>
    </row>
    <row r="628" spans="1:14">
      <c r="A628" s="34">
        <v>9560</v>
      </c>
      <c r="B628" s="34">
        <v>9580</v>
      </c>
      <c r="C628" s="34">
        <f t="shared" si="9"/>
        <v>9560000</v>
      </c>
      <c r="D628" s="34">
        <v>1413700</v>
      </c>
      <c r="E628" s="34">
        <v>1338620</v>
      </c>
      <c r="F628" s="34">
        <v>1157430</v>
      </c>
      <c r="G628" s="34">
        <v>1127430</v>
      </c>
      <c r="H628" s="34">
        <v>1097430</v>
      </c>
      <c r="I628" s="34">
        <v>1067430</v>
      </c>
      <c r="J628" s="34">
        <v>1037430</v>
      </c>
      <c r="K628" s="34">
        <v>1007430</v>
      </c>
      <c r="L628" s="34">
        <v>977430</v>
      </c>
      <c r="M628" s="34">
        <v>947430</v>
      </c>
      <c r="N628" s="34">
        <v>917430</v>
      </c>
    </row>
    <row r="629" spans="1:14">
      <c r="A629" s="34">
        <v>9580</v>
      </c>
      <c r="B629" s="34">
        <v>9600</v>
      </c>
      <c r="C629" s="34">
        <f t="shared" si="9"/>
        <v>9580000</v>
      </c>
      <c r="D629" s="34">
        <v>1420520</v>
      </c>
      <c r="E629" s="34">
        <v>1345410</v>
      </c>
      <c r="F629" s="34">
        <v>1161800</v>
      </c>
      <c r="G629" s="34">
        <v>1131800</v>
      </c>
      <c r="H629" s="34">
        <v>1101800</v>
      </c>
      <c r="I629" s="34">
        <v>1071800</v>
      </c>
      <c r="J629" s="34">
        <v>1041800</v>
      </c>
      <c r="K629" s="34">
        <v>1011800</v>
      </c>
      <c r="L629" s="34">
        <v>981800</v>
      </c>
      <c r="M629" s="34">
        <v>951800</v>
      </c>
      <c r="N629" s="34">
        <v>921800</v>
      </c>
    </row>
    <row r="630" spans="1:14">
      <c r="A630" s="34">
        <v>9600</v>
      </c>
      <c r="B630" s="34">
        <v>9620</v>
      </c>
      <c r="C630" s="34">
        <f t="shared" si="9"/>
        <v>9600000</v>
      </c>
      <c r="D630" s="34">
        <v>1427350</v>
      </c>
      <c r="E630" s="34">
        <v>1352200</v>
      </c>
      <c r="F630" s="34">
        <v>1166170</v>
      </c>
      <c r="G630" s="34">
        <v>1136170</v>
      </c>
      <c r="H630" s="34">
        <v>1106170</v>
      </c>
      <c r="I630" s="34">
        <v>1076170</v>
      </c>
      <c r="J630" s="34">
        <v>1046170</v>
      </c>
      <c r="K630" s="34">
        <v>1016170</v>
      </c>
      <c r="L630" s="34">
        <v>986170</v>
      </c>
      <c r="M630" s="34">
        <v>956170</v>
      </c>
      <c r="N630" s="34">
        <v>926170</v>
      </c>
    </row>
    <row r="631" spans="1:14">
      <c r="A631" s="34">
        <v>9620</v>
      </c>
      <c r="B631" s="34">
        <v>9640</v>
      </c>
      <c r="C631" s="34">
        <f t="shared" si="9"/>
        <v>9620000</v>
      </c>
      <c r="D631" s="34">
        <v>1434170</v>
      </c>
      <c r="E631" s="34">
        <v>1358990</v>
      </c>
      <c r="F631" s="34">
        <v>1170540</v>
      </c>
      <c r="G631" s="34">
        <v>1140540</v>
      </c>
      <c r="H631" s="34">
        <v>1110540</v>
      </c>
      <c r="I631" s="34">
        <v>1080540</v>
      </c>
      <c r="J631" s="34">
        <v>1050540</v>
      </c>
      <c r="K631" s="34">
        <v>1020540</v>
      </c>
      <c r="L631" s="34">
        <v>990540</v>
      </c>
      <c r="M631" s="34">
        <v>960540</v>
      </c>
      <c r="N631" s="34">
        <v>930540</v>
      </c>
    </row>
    <row r="632" spans="1:14">
      <c r="A632" s="34">
        <v>9640</v>
      </c>
      <c r="B632" s="34">
        <v>9660</v>
      </c>
      <c r="C632" s="34">
        <f t="shared" si="9"/>
        <v>9640000</v>
      </c>
      <c r="D632" s="34">
        <v>1441000</v>
      </c>
      <c r="E632" s="34">
        <v>1365780</v>
      </c>
      <c r="F632" s="34">
        <v>1174900</v>
      </c>
      <c r="G632" s="34">
        <v>1144900</v>
      </c>
      <c r="H632" s="34">
        <v>1114900</v>
      </c>
      <c r="I632" s="34">
        <v>1084900</v>
      </c>
      <c r="J632" s="34">
        <v>1054900</v>
      </c>
      <c r="K632" s="34">
        <v>1024900</v>
      </c>
      <c r="L632" s="34">
        <v>994900</v>
      </c>
      <c r="M632" s="34">
        <v>964900</v>
      </c>
      <c r="N632" s="34">
        <v>934900</v>
      </c>
    </row>
    <row r="633" spans="1:14">
      <c r="A633" s="34">
        <v>9660</v>
      </c>
      <c r="B633" s="34">
        <v>9680</v>
      </c>
      <c r="C633" s="34">
        <f t="shared" si="9"/>
        <v>9660000</v>
      </c>
      <c r="D633" s="34">
        <v>1447820</v>
      </c>
      <c r="E633" s="34">
        <v>1372570</v>
      </c>
      <c r="F633" s="34">
        <v>1179270</v>
      </c>
      <c r="G633" s="34">
        <v>1149270</v>
      </c>
      <c r="H633" s="34">
        <v>1119270</v>
      </c>
      <c r="I633" s="34">
        <v>1089270</v>
      </c>
      <c r="J633" s="34">
        <v>1059270</v>
      </c>
      <c r="K633" s="34">
        <v>1029270</v>
      </c>
      <c r="L633" s="34">
        <v>999270</v>
      </c>
      <c r="M633" s="34">
        <v>969270</v>
      </c>
      <c r="N633" s="34">
        <v>939270</v>
      </c>
    </row>
    <row r="634" spans="1:14">
      <c r="A634" s="34">
        <v>9680</v>
      </c>
      <c r="B634" s="34">
        <v>9700</v>
      </c>
      <c r="C634" s="34">
        <f t="shared" si="9"/>
        <v>9680000</v>
      </c>
      <c r="D634" s="34">
        <v>1454650</v>
      </c>
      <c r="E634" s="34">
        <v>1379360</v>
      </c>
      <c r="F634" s="34">
        <v>1183640</v>
      </c>
      <c r="G634" s="34">
        <v>1153640</v>
      </c>
      <c r="H634" s="34">
        <v>1123640</v>
      </c>
      <c r="I634" s="34">
        <v>1093640</v>
      </c>
      <c r="J634" s="34">
        <v>1063640</v>
      </c>
      <c r="K634" s="34">
        <v>1033640</v>
      </c>
      <c r="L634" s="34">
        <v>1003640</v>
      </c>
      <c r="M634" s="34">
        <v>973640</v>
      </c>
      <c r="N634" s="34">
        <v>943640</v>
      </c>
    </row>
    <row r="635" spans="1:14">
      <c r="A635" s="34">
        <v>9700</v>
      </c>
      <c r="B635" s="34">
        <v>9720</v>
      </c>
      <c r="C635" s="34">
        <f t="shared" si="9"/>
        <v>9700000</v>
      </c>
      <c r="D635" s="34">
        <v>1461470</v>
      </c>
      <c r="E635" s="34">
        <v>1386150</v>
      </c>
      <c r="F635" s="34">
        <v>1188010</v>
      </c>
      <c r="G635" s="34">
        <v>1158010</v>
      </c>
      <c r="H635" s="34">
        <v>1128010</v>
      </c>
      <c r="I635" s="34">
        <v>1098010</v>
      </c>
      <c r="J635" s="34">
        <v>1068010</v>
      </c>
      <c r="K635" s="34">
        <v>1038010</v>
      </c>
      <c r="L635" s="34">
        <v>1008010</v>
      </c>
      <c r="M635" s="34">
        <v>978010</v>
      </c>
      <c r="N635" s="34">
        <v>948010</v>
      </c>
    </row>
    <row r="636" spans="1:14">
      <c r="A636" s="34">
        <v>9720</v>
      </c>
      <c r="B636" s="34">
        <v>9740</v>
      </c>
      <c r="C636" s="34">
        <f t="shared" si="9"/>
        <v>9720000</v>
      </c>
      <c r="D636" s="34">
        <v>1468300</v>
      </c>
      <c r="E636" s="34">
        <v>1392940</v>
      </c>
      <c r="F636" s="34">
        <v>1192380</v>
      </c>
      <c r="G636" s="34">
        <v>1162380</v>
      </c>
      <c r="H636" s="34">
        <v>1132380</v>
      </c>
      <c r="I636" s="34">
        <v>1102380</v>
      </c>
      <c r="J636" s="34">
        <v>1072380</v>
      </c>
      <c r="K636" s="34">
        <v>1042380</v>
      </c>
      <c r="L636" s="34">
        <v>1012380</v>
      </c>
      <c r="M636" s="34">
        <v>982380</v>
      </c>
      <c r="N636" s="34">
        <v>952380</v>
      </c>
    </row>
    <row r="637" spans="1:14">
      <c r="A637" s="34">
        <v>9740</v>
      </c>
      <c r="B637" s="34">
        <v>9760</v>
      </c>
      <c r="C637" s="34">
        <f t="shared" si="9"/>
        <v>9740000</v>
      </c>
      <c r="D637" s="34">
        <v>1475120</v>
      </c>
      <c r="E637" s="34">
        <v>1399730</v>
      </c>
      <c r="F637" s="34">
        <v>1196740</v>
      </c>
      <c r="G637" s="34">
        <v>1166740</v>
      </c>
      <c r="H637" s="34">
        <v>1136740</v>
      </c>
      <c r="I637" s="34">
        <v>1106740</v>
      </c>
      <c r="J637" s="34">
        <v>1076740</v>
      </c>
      <c r="K637" s="34">
        <v>1046740</v>
      </c>
      <c r="L637" s="34">
        <v>1016740</v>
      </c>
      <c r="M637" s="34">
        <v>986740</v>
      </c>
      <c r="N637" s="34">
        <v>956740</v>
      </c>
    </row>
    <row r="638" spans="1:14">
      <c r="A638" s="34">
        <v>9760</v>
      </c>
      <c r="B638" s="34">
        <v>9780</v>
      </c>
      <c r="C638" s="34">
        <f t="shared" si="9"/>
        <v>9760000</v>
      </c>
      <c r="D638" s="34">
        <v>1481950</v>
      </c>
      <c r="E638" s="34">
        <v>1406520</v>
      </c>
      <c r="F638" s="34">
        <v>1201110</v>
      </c>
      <c r="G638" s="34">
        <v>1171110</v>
      </c>
      <c r="H638" s="34">
        <v>1141110</v>
      </c>
      <c r="I638" s="34">
        <v>1111110</v>
      </c>
      <c r="J638" s="34">
        <v>1081110</v>
      </c>
      <c r="K638" s="34">
        <v>1051110</v>
      </c>
      <c r="L638" s="34">
        <v>1021110</v>
      </c>
      <c r="M638" s="34">
        <v>991110</v>
      </c>
      <c r="N638" s="34">
        <v>961110</v>
      </c>
    </row>
    <row r="639" spans="1:14">
      <c r="A639" s="34">
        <v>9780</v>
      </c>
      <c r="B639" s="34">
        <v>9800</v>
      </c>
      <c r="C639" s="34">
        <f t="shared" si="9"/>
        <v>9780000</v>
      </c>
      <c r="D639" s="34">
        <v>1488770</v>
      </c>
      <c r="E639" s="34">
        <v>1413310</v>
      </c>
      <c r="F639" s="34">
        <v>1205480</v>
      </c>
      <c r="G639" s="34">
        <v>1175480</v>
      </c>
      <c r="H639" s="34">
        <v>1145480</v>
      </c>
      <c r="I639" s="34">
        <v>1115480</v>
      </c>
      <c r="J639" s="34">
        <v>1085480</v>
      </c>
      <c r="K639" s="34">
        <v>1055480</v>
      </c>
      <c r="L639" s="34">
        <v>1025480</v>
      </c>
      <c r="M639" s="34">
        <v>995480</v>
      </c>
      <c r="N639" s="34">
        <v>965480</v>
      </c>
    </row>
    <row r="640" spans="1:14">
      <c r="A640" s="34">
        <v>9800</v>
      </c>
      <c r="B640" s="34">
        <v>9820</v>
      </c>
      <c r="C640" s="34">
        <f t="shared" si="9"/>
        <v>9800000</v>
      </c>
      <c r="D640" s="34">
        <v>1495600</v>
      </c>
      <c r="E640" s="34">
        <v>1420100</v>
      </c>
      <c r="F640" s="34">
        <v>1209850</v>
      </c>
      <c r="G640" s="34">
        <v>1179850</v>
      </c>
      <c r="H640" s="34">
        <v>1149850</v>
      </c>
      <c r="I640" s="34">
        <v>1119850</v>
      </c>
      <c r="J640" s="34">
        <v>1089850</v>
      </c>
      <c r="K640" s="34">
        <v>1059850</v>
      </c>
      <c r="L640" s="34">
        <v>1029850</v>
      </c>
      <c r="M640" s="34">
        <v>999850</v>
      </c>
      <c r="N640" s="34">
        <v>969850</v>
      </c>
    </row>
    <row r="641" spans="1:14">
      <c r="A641" s="34">
        <v>9820</v>
      </c>
      <c r="B641" s="34">
        <v>9840</v>
      </c>
      <c r="C641" s="34">
        <f t="shared" si="9"/>
        <v>9820000</v>
      </c>
      <c r="D641" s="34">
        <v>1502420</v>
      </c>
      <c r="E641" s="34">
        <v>1426890</v>
      </c>
      <c r="F641" s="34">
        <v>1214220</v>
      </c>
      <c r="G641" s="34">
        <v>1184220</v>
      </c>
      <c r="H641" s="34">
        <v>1154220</v>
      </c>
      <c r="I641" s="34">
        <v>1124220</v>
      </c>
      <c r="J641" s="34">
        <v>1094220</v>
      </c>
      <c r="K641" s="34">
        <v>1064220</v>
      </c>
      <c r="L641" s="34">
        <v>1034220</v>
      </c>
      <c r="M641" s="34">
        <v>1004220</v>
      </c>
      <c r="N641" s="34">
        <v>974220</v>
      </c>
    </row>
    <row r="642" spans="1:14">
      <c r="A642" s="34">
        <v>9840</v>
      </c>
      <c r="B642" s="34">
        <v>9860</v>
      </c>
      <c r="C642" s="34">
        <f t="shared" si="9"/>
        <v>9840000</v>
      </c>
      <c r="D642" s="34">
        <v>1509250</v>
      </c>
      <c r="E642" s="34">
        <v>1433680</v>
      </c>
      <c r="F642" s="34">
        <v>1218580</v>
      </c>
      <c r="G642" s="34">
        <v>1188580</v>
      </c>
      <c r="H642" s="34">
        <v>1158580</v>
      </c>
      <c r="I642" s="34">
        <v>1128580</v>
      </c>
      <c r="J642" s="34">
        <v>1098580</v>
      </c>
      <c r="K642" s="34">
        <v>1068580</v>
      </c>
      <c r="L642" s="34">
        <v>1038580</v>
      </c>
      <c r="M642" s="34">
        <v>1008580</v>
      </c>
      <c r="N642" s="34">
        <v>978580</v>
      </c>
    </row>
    <row r="643" spans="1:14">
      <c r="A643" s="34">
        <v>9860</v>
      </c>
      <c r="B643" s="34">
        <v>9880</v>
      </c>
      <c r="C643" s="34">
        <f t="shared" si="9"/>
        <v>9860000</v>
      </c>
      <c r="D643" s="34">
        <v>1516070</v>
      </c>
      <c r="E643" s="34">
        <v>1440470</v>
      </c>
      <c r="F643" s="34">
        <v>1222950</v>
      </c>
      <c r="G643" s="34">
        <v>1192950</v>
      </c>
      <c r="H643" s="34">
        <v>1162950</v>
      </c>
      <c r="I643" s="34">
        <v>1132950</v>
      </c>
      <c r="J643" s="34">
        <v>1102950</v>
      </c>
      <c r="K643" s="34">
        <v>1072950</v>
      </c>
      <c r="L643" s="34">
        <v>1042950</v>
      </c>
      <c r="M643" s="34">
        <v>1012950</v>
      </c>
      <c r="N643" s="34">
        <v>982950</v>
      </c>
    </row>
    <row r="644" spans="1:14">
      <c r="A644" s="34">
        <v>9880</v>
      </c>
      <c r="B644" s="34">
        <v>9900</v>
      </c>
      <c r="C644" s="34">
        <f t="shared" si="9"/>
        <v>9880000</v>
      </c>
      <c r="D644" s="34">
        <v>1522900</v>
      </c>
      <c r="E644" s="34">
        <v>1447260</v>
      </c>
      <c r="F644" s="34">
        <v>1227320</v>
      </c>
      <c r="G644" s="34">
        <v>1197320</v>
      </c>
      <c r="H644" s="34">
        <v>1167320</v>
      </c>
      <c r="I644" s="34">
        <v>1137320</v>
      </c>
      <c r="J644" s="34">
        <v>1107320</v>
      </c>
      <c r="K644" s="34">
        <v>1077320</v>
      </c>
      <c r="L644" s="34">
        <v>1047320</v>
      </c>
      <c r="M644" s="34">
        <v>1017320</v>
      </c>
      <c r="N644" s="34">
        <v>987320</v>
      </c>
    </row>
    <row r="645" spans="1:14">
      <c r="A645" s="34">
        <v>9900</v>
      </c>
      <c r="B645" s="34">
        <v>9920</v>
      </c>
      <c r="C645" s="34">
        <f t="shared" ref="C645:C650" si="10">A645*1000</f>
        <v>9900000</v>
      </c>
      <c r="D645" s="34">
        <v>1529720</v>
      </c>
      <c r="E645" s="34">
        <v>1454050</v>
      </c>
      <c r="F645" s="34">
        <v>1231690</v>
      </c>
      <c r="G645" s="34">
        <v>1201690</v>
      </c>
      <c r="H645" s="34">
        <v>1171690</v>
      </c>
      <c r="I645" s="34">
        <v>1141690</v>
      </c>
      <c r="J645" s="34">
        <v>1111690</v>
      </c>
      <c r="K645" s="34">
        <v>1081690</v>
      </c>
      <c r="L645" s="34">
        <v>1051690</v>
      </c>
      <c r="M645" s="34">
        <v>1021690</v>
      </c>
      <c r="N645" s="34">
        <v>991690</v>
      </c>
    </row>
    <row r="646" spans="1:14">
      <c r="A646" s="34">
        <v>9920</v>
      </c>
      <c r="B646" s="34">
        <v>9940</v>
      </c>
      <c r="C646" s="34">
        <f t="shared" si="10"/>
        <v>9920000</v>
      </c>
      <c r="D646" s="34">
        <v>1536550</v>
      </c>
      <c r="E646" s="34">
        <v>1460840</v>
      </c>
      <c r="F646" s="34">
        <v>1236060</v>
      </c>
      <c r="G646" s="34">
        <v>1206060</v>
      </c>
      <c r="H646" s="34">
        <v>1176060</v>
      </c>
      <c r="I646" s="34">
        <v>1146060</v>
      </c>
      <c r="J646" s="34">
        <v>1116060</v>
      </c>
      <c r="K646" s="34">
        <v>1086060</v>
      </c>
      <c r="L646" s="34">
        <v>1056060</v>
      </c>
      <c r="M646" s="34">
        <v>1026060</v>
      </c>
      <c r="N646" s="34">
        <v>996060</v>
      </c>
    </row>
    <row r="647" spans="1:14">
      <c r="A647" s="34">
        <v>9940</v>
      </c>
      <c r="B647" s="34">
        <v>9960</v>
      </c>
      <c r="C647" s="34">
        <f t="shared" si="10"/>
        <v>9940000</v>
      </c>
      <c r="D647" s="34">
        <v>1543370</v>
      </c>
      <c r="E647" s="34">
        <v>1467630</v>
      </c>
      <c r="F647" s="34">
        <v>1240420</v>
      </c>
      <c r="G647" s="34">
        <v>1210420</v>
      </c>
      <c r="H647" s="34">
        <v>1180420</v>
      </c>
      <c r="I647" s="34">
        <v>1150420</v>
      </c>
      <c r="J647" s="34">
        <v>1120420</v>
      </c>
      <c r="K647" s="34">
        <v>1090420</v>
      </c>
      <c r="L647" s="34">
        <v>1060420</v>
      </c>
      <c r="M647" s="34">
        <v>1030420</v>
      </c>
      <c r="N647" s="34">
        <v>1000420</v>
      </c>
    </row>
    <row r="648" spans="1:14">
      <c r="A648" s="34">
        <v>9960</v>
      </c>
      <c r="B648" s="34">
        <v>9980</v>
      </c>
      <c r="C648" s="34">
        <f t="shared" si="10"/>
        <v>9960000</v>
      </c>
      <c r="D648" s="34">
        <v>1550200</v>
      </c>
      <c r="E648" s="34">
        <v>1474420</v>
      </c>
      <c r="F648" s="34">
        <v>1244790</v>
      </c>
      <c r="G648" s="34">
        <v>1214790</v>
      </c>
      <c r="H648" s="34">
        <v>1184790</v>
      </c>
      <c r="I648" s="34">
        <v>1154790</v>
      </c>
      <c r="J648" s="34">
        <v>1124790</v>
      </c>
      <c r="K648" s="34">
        <v>1094790</v>
      </c>
      <c r="L648" s="34">
        <v>1064790</v>
      </c>
      <c r="M648" s="34">
        <v>1034790</v>
      </c>
      <c r="N648" s="34">
        <v>1004790</v>
      </c>
    </row>
    <row r="649" spans="1:14">
      <c r="A649" s="34">
        <v>9980</v>
      </c>
      <c r="B649" s="34">
        <v>10000</v>
      </c>
      <c r="C649" s="34">
        <f t="shared" si="10"/>
        <v>9980000</v>
      </c>
      <c r="D649" s="34">
        <v>1557020</v>
      </c>
      <c r="E649" s="34">
        <v>1481210</v>
      </c>
      <c r="F649" s="34">
        <v>1249160</v>
      </c>
      <c r="G649" s="34">
        <v>1219160</v>
      </c>
      <c r="H649" s="34">
        <v>1189160</v>
      </c>
      <c r="I649" s="34">
        <v>1159160</v>
      </c>
      <c r="J649" s="34">
        <v>1129160</v>
      </c>
      <c r="K649" s="34">
        <v>1099160</v>
      </c>
      <c r="L649" s="34">
        <v>1069160</v>
      </c>
      <c r="M649" s="34">
        <v>1039160</v>
      </c>
      <c r="N649" s="34">
        <v>1009160</v>
      </c>
    </row>
    <row r="650" spans="1:14" ht="16.5" customHeight="1">
      <c r="A650" s="34">
        <v>10000</v>
      </c>
      <c r="B650" s="34">
        <v>10000</v>
      </c>
      <c r="C650" s="34">
        <f t="shared" si="10"/>
        <v>10000000</v>
      </c>
      <c r="D650" s="34">
        <v>1560440</v>
      </c>
      <c r="E650" s="34">
        <v>1484600</v>
      </c>
      <c r="F650" s="34">
        <v>1251340</v>
      </c>
      <c r="G650" s="34">
        <v>1221340</v>
      </c>
      <c r="H650" s="34">
        <v>1191340</v>
      </c>
      <c r="I650" s="34">
        <v>1161340</v>
      </c>
      <c r="J650" s="34">
        <v>1131340</v>
      </c>
      <c r="K650" s="34">
        <v>1101340</v>
      </c>
      <c r="L650" s="34">
        <v>1071340</v>
      </c>
      <c r="M650" s="34">
        <v>1041340</v>
      </c>
      <c r="N650" s="34">
        <v>1011340</v>
      </c>
    </row>
    <row r="651" spans="1:14" ht="16.5" customHeight="1">
      <c r="A651" s="1189" t="s">
        <v>637</v>
      </c>
      <c r="B651" s="1189"/>
      <c r="C651" s="35"/>
      <c r="D651" s="1190" t="s">
        <v>24</v>
      </c>
      <c r="E651" s="1190"/>
      <c r="F651" s="1190"/>
      <c r="G651" s="1190"/>
      <c r="H651" s="1190"/>
      <c r="I651" s="1190"/>
      <c r="J651" s="1190"/>
      <c r="K651" s="1190"/>
      <c r="L651" s="1190"/>
      <c r="M651" s="1190"/>
      <c r="N651" s="1190"/>
    </row>
    <row r="652" spans="1:14" ht="16.5" customHeight="1">
      <c r="A652" s="1189" t="s">
        <v>639</v>
      </c>
      <c r="B652" s="1189"/>
      <c r="C652" s="35"/>
      <c r="D652" s="1190"/>
      <c r="E652" s="1190"/>
      <c r="F652" s="1190"/>
      <c r="G652" s="1190"/>
      <c r="H652" s="1190"/>
      <c r="I652" s="1190"/>
      <c r="J652" s="1190"/>
      <c r="K652" s="1190"/>
      <c r="L652" s="1190"/>
      <c r="M652" s="1190"/>
      <c r="N652" s="1190"/>
    </row>
    <row r="653" spans="1:14" ht="16.5" customHeight="1">
      <c r="A653" s="1189" t="s">
        <v>634</v>
      </c>
      <c r="B653" s="1189"/>
      <c r="C653" s="35"/>
      <c r="D653" s="1190" t="s">
        <v>23</v>
      </c>
      <c r="E653" s="1190"/>
      <c r="F653" s="1190"/>
      <c r="G653" s="1190"/>
      <c r="H653" s="1190"/>
      <c r="I653" s="1190"/>
      <c r="J653" s="1190"/>
      <c r="K653" s="1190"/>
      <c r="L653" s="1190"/>
      <c r="M653" s="1190"/>
      <c r="N653" s="1190"/>
    </row>
  </sheetData>
  <mergeCells count="8">
    <mergeCell ref="A653:B653"/>
    <mergeCell ref="D653:N653"/>
    <mergeCell ref="A1:N1"/>
    <mergeCell ref="A2:B2"/>
    <mergeCell ref="D2:N2"/>
    <mergeCell ref="A651:B651"/>
    <mergeCell ref="D651:N652"/>
    <mergeCell ref="A652:B652"/>
  </mergeCells>
  <phoneticPr fontId="167" type="noConversion"/>
  <printOptions horizontalCentered="1"/>
  <pageMargins left="0.39347222447395325" right="0.39347222447395325" top="0.74777776002883911" bottom="0.40000000596046448" header="0.31486111879348755" footer="0.15000000596046448"/>
  <pageSetup paperSize="9" scale="74" fitToHeight="0" orientation="portrait"/>
  <headerFooter>
    <oddFooter>&amp;C&amp;"맑은 고딕,Regular"&amp;N페이지 중 &amp;P페이지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HE4211"/>
  <sheetViews>
    <sheetView zoomScaleNormal="100" zoomScaleSheetLayoutView="100" workbookViewId="0">
      <pane xSplit="1" ySplit="3" topLeftCell="T142" activePane="bottomRight" state="frozen"/>
      <selection pane="topRight"/>
      <selection pane="bottomLeft"/>
      <selection pane="bottomRight" activeCell="W154" sqref="W154"/>
    </sheetView>
  </sheetViews>
  <sheetFormatPr baseColWidth="10" defaultColWidth="9" defaultRowHeight="17"/>
  <cols>
    <col min="1" max="2" width="4.6640625" style="22" bestFit="1" customWidth="1"/>
    <col min="3" max="3" width="10.1640625" style="22" bestFit="1" customWidth="1"/>
    <col min="4" max="4" width="28.5" style="22" bestFit="1" customWidth="1"/>
    <col min="5" max="5" width="10.1640625" style="22" bestFit="1" customWidth="1"/>
    <col min="6" max="6" width="10.6640625" style="22" bestFit="1" customWidth="1"/>
    <col min="7" max="7" width="8" style="22" bestFit="1" customWidth="1"/>
    <col min="8" max="8" width="7.1640625" style="22" bestFit="1" customWidth="1"/>
    <col min="9" max="9" width="29.1640625" style="25" bestFit="1" customWidth="1"/>
    <col min="10" max="10" width="7.5" style="25" customWidth="1"/>
    <col min="11" max="11" width="9.5" style="25" bestFit="1" customWidth="1"/>
    <col min="12" max="12" width="9" style="25" bestFit="1" customWidth="1"/>
    <col min="13" max="13" width="19" style="25" bestFit="1" customWidth="1"/>
    <col min="14" max="14" width="19.5" style="136" bestFit="1" customWidth="1"/>
    <col min="15" max="15" width="12.5" style="136" bestFit="1" customWidth="1"/>
    <col min="16" max="16" width="13" style="136" bestFit="1" customWidth="1"/>
    <col min="17" max="17" width="11.33203125" style="25" bestFit="1" customWidth="1"/>
    <col min="18" max="18" width="9.5" style="25" customWidth="1"/>
    <col min="19" max="19" width="22.33203125" style="25" bestFit="1" customWidth="1"/>
    <col min="20" max="20" width="9.5" style="25" customWidth="1"/>
    <col min="21" max="21" width="29.1640625" style="25" bestFit="1" customWidth="1"/>
    <col min="22" max="22" width="19" style="25" customWidth="1"/>
    <col min="23" max="25" width="15.5" style="25" bestFit="1" customWidth="1"/>
    <col min="26" max="26" width="16.5" style="25" bestFit="1" customWidth="1"/>
    <col min="27" max="27" width="24.1640625" style="772" bestFit="1" customWidth="1"/>
    <col min="28" max="30" width="15.5" style="25" bestFit="1" customWidth="1"/>
    <col min="31" max="31" width="7" style="25" bestFit="1" customWidth="1"/>
    <col min="32" max="32" width="24" style="781" customWidth="1"/>
    <col min="33" max="34" width="15.5" style="25" bestFit="1" customWidth="1"/>
    <col min="35" max="35" width="15.5" style="22" bestFit="1" customWidth="1"/>
    <col min="36" max="36" width="14" style="22" bestFit="1" customWidth="1"/>
    <col min="37" max="37" width="24" style="22" bestFit="1" customWidth="1"/>
    <col min="38" max="40" width="15.5" style="22" bestFit="1" customWidth="1"/>
    <col min="41" max="41" width="13.33203125" style="22" bestFit="1" customWidth="1"/>
    <col min="42" max="42" width="24" style="22" bestFit="1" customWidth="1"/>
    <col min="43" max="43" width="11.6640625" style="22" bestFit="1" customWidth="1"/>
    <col min="44" max="44" width="14" style="22" bestFit="1" customWidth="1"/>
    <col min="45" max="45" width="15" style="22" bestFit="1" customWidth="1"/>
    <col min="46" max="46" width="13.1640625" style="22" bestFit="1" customWidth="1"/>
    <col min="47" max="48" width="11.6640625" style="22" bestFit="1" customWidth="1"/>
    <col min="49" max="49" width="13.1640625" style="22" bestFit="1" customWidth="1"/>
    <col min="50" max="50" width="13.5" style="22" bestFit="1" customWidth="1"/>
    <col min="51" max="51" width="11.6640625" style="92" bestFit="1" customWidth="1"/>
    <col min="52" max="52" width="11.6640625" style="22" bestFit="1" customWidth="1"/>
    <col min="53" max="53" width="13.5" style="93" bestFit="1" customWidth="1"/>
    <col min="54" max="54" width="13.5" style="22" bestFit="1" customWidth="1"/>
    <col min="55" max="56" width="11.6640625" style="22" bestFit="1" customWidth="1"/>
    <col min="57" max="58" width="13.5" style="22" bestFit="1" customWidth="1"/>
    <col min="59" max="60" width="11.6640625" style="22" bestFit="1" customWidth="1"/>
    <col min="61" max="62" width="13.5" style="22" bestFit="1" customWidth="1"/>
    <col min="63" max="64" width="11.6640625" style="22" bestFit="1" customWidth="1"/>
    <col min="65" max="66" width="13.5" style="22" bestFit="1" customWidth="1"/>
    <col min="67" max="68" width="11.6640625" style="22" bestFit="1" customWidth="1"/>
    <col min="69" max="70" width="13.5" style="22" bestFit="1" customWidth="1"/>
    <col min="71" max="72" width="11.6640625" style="22" bestFit="1" customWidth="1"/>
    <col min="73" max="74" width="13.5" style="22" bestFit="1" customWidth="1"/>
    <col min="75" max="76" width="11.6640625" style="22" bestFit="1" customWidth="1"/>
    <col min="77" max="78" width="13.5" style="22" bestFit="1" customWidth="1"/>
    <col min="79" max="79" width="13" style="22" bestFit="1" customWidth="1"/>
    <col min="80" max="80" width="11.1640625" style="22" bestFit="1" customWidth="1"/>
    <col min="81" max="82" width="13.33203125" style="22" bestFit="1" customWidth="1"/>
    <col min="83" max="83" width="9.5" style="22" bestFit="1" customWidth="1"/>
    <col min="84" max="84" width="11.1640625" style="22" bestFit="1" customWidth="1"/>
    <col min="85" max="86" width="13.33203125" style="22" bestFit="1" customWidth="1"/>
    <col min="87" max="87" width="9.5" style="22" bestFit="1" customWidth="1"/>
    <col min="88" max="88" width="11.1640625" style="22" bestFit="1" customWidth="1"/>
    <col min="89" max="90" width="13.33203125" style="22" bestFit="1" customWidth="1"/>
    <col min="91" max="91" width="9.5" style="22" bestFit="1" customWidth="1"/>
    <col min="92" max="92" width="11.1640625" style="22" bestFit="1" customWidth="1"/>
    <col min="93" max="94" width="13.33203125" style="22" bestFit="1" customWidth="1"/>
    <col min="95" max="95" width="9.5" style="22" bestFit="1" customWidth="1"/>
    <col min="96" max="96" width="11.1640625" style="22" bestFit="1" customWidth="1"/>
    <col min="97" max="98" width="13.33203125" style="22" bestFit="1" customWidth="1"/>
    <col min="99" max="99" width="11" style="22" bestFit="1" customWidth="1"/>
    <col min="100" max="100" width="11.1640625" style="22" bestFit="1" customWidth="1"/>
    <col min="101" max="102" width="13.33203125" style="22" bestFit="1" customWidth="1"/>
    <col min="103" max="103" width="11" style="22" bestFit="1" customWidth="1"/>
    <col min="104" max="104" width="11.1640625" style="22" bestFit="1" customWidth="1"/>
    <col min="105" max="106" width="13.33203125" style="22" bestFit="1" customWidth="1"/>
    <col min="107" max="107" width="11" style="22" bestFit="1" customWidth="1"/>
    <col min="108" max="108" width="11.1640625" style="22" bestFit="1" customWidth="1"/>
    <col min="109" max="110" width="13.33203125" style="22" bestFit="1" customWidth="1"/>
    <col min="111" max="111" width="11" style="22" bestFit="1" customWidth="1"/>
    <col min="112" max="112" width="11.1640625" style="22" bestFit="1" customWidth="1"/>
    <col min="113" max="114" width="13.33203125" style="22" bestFit="1" customWidth="1"/>
    <col min="115" max="115" width="11" style="22" bestFit="1" customWidth="1"/>
    <col min="116" max="116" width="11.1640625" style="22" bestFit="1" customWidth="1"/>
    <col min="117" max="118" width="13.33203125" style="22" bestFit="1" customWidth="1"/>
    <col min="119" max="119" width="11" style="22" bestFit="1" customWidth="1"/>
    <col min="120" max="120" width="11.1640625" style="22" bestFit="1" customWidth="1"/>
    <col min="121" max="122" width="13.33203125" style="22" bestFit="1" customWidth="1"/>
    <col min="123" max="123" width="11" style="22" bestFit="1" customWidth="1"/>
    <col min="124" max="124" width="11.1640625" style="22" bestFit="1" customWidth="1"/>
    <col min="125" max="126" width="13.33203125" style="22" bestFit="1" customWidth="1"/>
    <col min="127" max="127" width="11" style="22" bestFit="1" customWidth="1"/>
    <col min="128" max="128" width="11.1640625" style="22" bestFit="1" customWidth="1"/>
    <col min="129" max="130" width="13.33203125" style="22" bestFit="1" customWidth="1"/>
    <col min="131" max="131" width="11" style="22" bestFit="1" customWidth="1"/>
    <col min="132" max="132" width="11.1640625" style="22" bestFit="1" customWidth="1"/>
    <col min="133" max="134" width="13.33203125" style="22" bestFit="1" customWidth="1"/>
    <col min="135" max="135" width="11" style="22" bestFit="1" customWidth="1"/>
    <col min="136" max="136" width="11.1640625" style="22" bestFit="1" customWidth="1"/>
    <col min="137" max="138" width="13.33203125" style="22" bestFit="1" customWidth="1"/>
    <col min="139" max="139" width="11" style="22" bestFit="1" customWidth="1"/>
    <col min="140" max="140" width="11.1640625" style="22" bestFit="1" customWidth="1"/>
    <col min="141" max="142" width="13.33203125" style="22" bestFit="1" customWidth="1"/>
    <col min="143" max="143" width="11" style="22" bestFit="1" customWidth="1"/>
    <col min="144" max="144" width="11.1640625" style="22" bestFit="1" customWidth="1"/>
    <col min="145" max="146" width="13.33203125" style="22" bestFit="1" customWidth="1"/>
    <col min="147" max="147" width="11" style="22" bestFit="1" customWidth="1"/>
    <col min="148" max="148" width="11.1640625" style="22" bestFit="1" customWidth="1"/>
    <col min="149" max="150" width="13.33203125" style="22" bestFit="1" customWidth="1"/>
    <col min="151" max="151" width="11" style="22" bestFit="1" customWidth="1"/>
    <col min="152" max="152" width="11.1640625" style="22" bestFit="1" customWidth="1"/>
    <col min="153" max="154" width="13.33203125" style="22" bestFit="1" customWidth="1"/>
    <col min="155" max="155" width="11" style="22" bestFit="1" customWidth="1"/>
    <col min="156" max="156" width="11.1640625" style="22" bestFit="1" customWidth="1"/>
    <col min="157" max="158" width="13.33203125" style="22" bestFit="1" customWidth="1"/>
    <col min="159" max="159" width="11" style="22" bestFit="1" customWidth="1"/>
    <col min="160" max="160" width="11.1640625" style="22" bestFit="1" customWidth="1"/>
    <col min="161" max="162" width="13.33203125" style="22" bestFit="1" customWidth="1"/>
    <col min="163" max="163" width="11" style="22" bestFit="1" customWidth="1"/>
    <col min="164" max="164" width="11.1640625" style="22" bestFit="1" customWidth="1"/>
    <col min="165" max="166" width="13.33203125" style="22" bestFit="1" customWidth="1"/>
    <col min="167" max="167" width="11" style="22" bestFit="1" customWidth="1"/>
    <col min="168" max="168" width="11.1640625" style="22" bestFit="1" customWidth="1"/>
    <col min="169" max="170" width="13.33203125" style="22" bestFit="1" customWidth="1"/>
    <col min="171" max="171" width="11" style="22" bestFit="1" customWidth="1"/>
    <col min="172" max="172" width="11.1640625" style="22" bestFit="1" customWidth="1"/>
    <col min="173" max="174" width="13.33203125" style="22" bestFit="1" customWidth="1"/>
    <col min="175" max="175" width="11" style="22" bestFit="1" customWidth="1"/>
    <col min="176" max="176" width="11.1640625" style="22" bestFit="1" customWidth="1"/>
    <col min="177" max="178" width="13.33203125" style="22" bestFit="1" customWidth="1"/>
    <col min="179" max="179" width="11" style="22" bestFit="1" customWidth="1"/>
    <col min="180" max="180" width="11.1640625" style="22" bestFit="1" customWidth="1"/>
    <col min="181" max="182" width="13.33203125" style="22" bestFit="1" customWidth="1"/>
    <col min="183" max="183" width="11" style="22" bestFit="1" customWidth="1"/>
    <col min="184" max="184" width="11.1640625" style="22" bestFit="1" customWidth="1"/>
    <col min="185" max="186" width="13.33203125" style="22" bestFit="1" customWidth="1"/>
    <col min="187" max="187" width="11" style="22" bestFit="1" customWidth="1"/>
    <col min="188" max="188" width="11.1640625" style="22" bestFit="1" customWidth="1"/>
    <col min="189" max="190" width="13.33203125" style="22" bestFit="1" customWidth="1"/>
    <col min="191" max="191" width="11" style="22" bestFit="1" customWidth="1"/>
    <col min="192" max="192" width="11.1640625" style="22" bestFit="1" customWidth="1"/>
    <col min="193" max="194" width="13.33203125" style="22" bestFit="1" customWidth="1"/>
    <col min="195" max="195" width="11" style="22" bestFit="1" customWidth="1"/>
    <col min="196" max="196" width="11.1640625" style="22" bestFit="1" customWidth="1"/>
    <col min="197" max="198" width="13.33203125" style="22" bestFit="1" customWidth="1"/>
    <col min="199" max="199" width="11" style="22" bestFit="1" customWidth="1"/>
    <col min="200" max="200" width="11.1640625" style="22" bestFit="1" customWidth="1"/>
    <col min="201" max="202" width="13.33203125" style="22" bestFit="1" customWidth="1"/>
    <col min="203" max="203" width="11" style="22" bestFit="1" customWidth="1"/>
    <col min="204" max="204" width="11.1640625" style="22" bestFit="1" customWidth="1"/>
    <col min="205" max="206" width="13.33203125" style="22" bestFit="1" customWidth="1"/>
    <col min="207" max="207" width="11" style="22" bestFit="1" customWidth="1"/>
    <col min="208" max="208" width="11.1640625" style="22" bestFit="1" customWidth="1"/>
    <col min="209" max="210" width="13.33203125" style="22" bestFit="1" customWidth="1"/>
    <col min="211" max="211" width="9.33203125" style="22" bestFit="1" customWidth="1"/>
    <col min="212" max="212" width="11.1640625" style="22" bestFit="1" customWidth="1"/>
    <col min="213" max="213" width="13.33203125" style="22" bestFit="1" customWidth="1"/>
    <col min="214" max="16384" width="9" style="22"/>
  </cols>
  <sheetData>
    <row r="1" spans="1:213">
      <c r="A1" s="1225">
        <f>E2</f>
        <v>2021</v>
      </c>
      <c r="B1" s="1225"/>
      <c r="C1" s="1225"/>
      <c r="D1" s="84" t="s">
        <v>65</v>
      </c>
      <c r="E1" s="98">
        <v>1093</v>
      </c>
      <c r="F1" s="96" t="e">
        <f>#REF!</f>
        <v>#REF!</v>
      </c>
      <c r="G1" s="88"/>
      <c r="K1" s="24"/>
      <c r="L1" s="24"/>
      <c r="M1" s="24"/>
      <c r="R1" s="25" t="s">
        <v>246</v>
      </c>
      <c r="AD1" s="24" t="s">
        <v>467</v>
      </c>
      <c r="AE1" s="24" t="s">
        <v>450</v>
      </c>
      <c r="AF1" s="779">
        <f>W6</f>
        <v>0</v>
      </c>
      <c r="AG1" s="29">
        <f>W7</f>
        <v>0</v>
      </c>
      <c r="AH1" s="29">
        <f>W8</f>
        <v>0</v>
      </c>
      <c r="AK1" s="22">
        <v>1</v>
      </c>
      <c r="AL1" s="22">
        <v>2</v>
      </c>
      <c r="AM1" s="22">
        <v>3</v>
      </c>
      <c r="AN1" s="22">
        <v>4</v>
      </c>
      <c r="AO1" s="22">
        <v>5</v>
      </c>
      <c r="AP1" s="22">
        <v>6</v>
      </c>
      <c r="AQ1" s="22">
        <v>7</v>
      </c>
      <c r="AR1" s="22">
        <v>8</v>
      </c>
      <c r="AS1" s="22">
        <v>9</v>
      </c>
      <c r="AT1" s="22">
        <v>10</v>
      </c>
      <c r="AU1" s="22">
        <v>11</v>
      </c>
      <c r="AV1" s="22">
        <v>12</v>
      </c>
      <c r="AW1" s="22">
        <v>13</v>
      </c>
      <c r="AX1" s="22">
        <v>14</v>
      </c>
      <c r="AY1" s="22">
        <v>15</v>
      </c>
      <c r="AZ1" s="22">
        <v>16</v>
      </c>
      <c r="BA1" s="22">
        <v>17</v>
      </c>
      <c r="BB1" s="22">
        <v>18</v>
      </c>
      <c r="BC1" s="22">
        <v>19</v>
      </c>
      <c r="BD1" s="22">
        <v>20</v>
      </c>
      <c r="BE1" s="22">
        <v>21</v>
      </c>
      <c r="BF1" s="22">
        <v>22</v>
      </c>
      <c r="BG1" s="22">
        <v>23</v>
      </c>
      <c r="BH1" s="22">
        <v>24</v>
      </c>
      <c r="BI1" s="22">
        <v>25</v>
      </c>
      <c r="BJ1" s="22">
        <v>26</v>
      </c>
      <c r="BK1" s="22">
        <v>27</v>
      </c>
      <c r="BL1" s="22">
        <v>28</v>
      </c>
      <c r="BM1" s="22">
        <v>29</v>
      </c>
      <c r="BN1" s="22">
        <v>30</v>
      </c>
      <c r="BO1" s="22">
        <v>31</v>
      </c>
      <c r="BP1" s="22">
        <v>32</v>
      </c>
      <c r="BQ1" s="22">
        <v>33</v>
      </c>
      <c r="BR1" s="22">
        <v>34</v>
      </c>
      <c r="BS1" s="22">
        <v>35</v>
      </c>
      <c r="BT1" s="22">
        <v>36</v>
      </c>
      <c r="BU1" s="22">
        <v>37</v>
      </c>
      <c r="BV1" s="22">
        <v>38</v>
      </c>
      <c r="BW1" s="22">
        <v>39</v>
      </c>
      <c r="BX1" s="22">
        <v>40</v>
      </c>
      <c r="BY1" s="22">
        <v>41</v>
      </c>
      <c r="BZ1" s="22">
        <v>42</v>
      </c>
      <c r="CA1" s="22">
        <v>43</v>
      </c>
      <c r="CB1" s="22">
        <v>44</v>
      </c>
      <c r="CC1" s="22">
        <v>45</v>
      </c>
      <c r="CD1" s="22">
        <v>46</v>
      </c>
      <c r="CE1" s="22">
        <v>47</v>
      </c>
      <c r="CF1" s="22">
        <v>48</v>
      </c>
      <c r="CG1" s="22">
        <v>49</v>
      </c>
      <c r="CH1" s="22">
        <v>50</v>
      </c>
      <c r="CI1" s="22">
        <v>51</v>
      </c>
      <c r="CJ1" s="22">
        <v>52</v>
      </c>
      <c r="CK1" s="22">
        <v>53</v>
      </c>
      <c r="CL1" s="22">
        <v>54</v>
      </c>
      <c r="CM1" s="22">
        <v>55</v>
      </c>
      <c r="CN1" s="22">
        <v>56</v>
      </c>
      <c r="CO1" s="22">
        <v>57</v>
      </c>
      <c r="CP1" s="22">
        <v>58</v>
      </c>
      <c r="CQ1" s="22">
        <v>59</v>
      </c>
      <c r="CR1" s="22">
        <v>60</v>
      </c>
      <c r="CS1" s="22">
        <v>61</v>
      </c>
      <c r="CT1" s="22">
        <v>62</v>
      </c>
      <c r="CU1" s="22">
        <v>63</v>
      </c>
      <c r="CV1" s="22">
        <v>64</v>
      </c>
      <c r="CW1" s="22">
        <v>65</v>
      </c>
      <c r="CX1" s="22">
        <v>66</v>
      </c>
      <c r="CY1" s="22">
        <v>67</v>
      </c>
      <c r="CZ1" s="22">
        <v>68</v>
      </c>
      <c r="DA1" s="22">
        <v>69</v>
      </c>
      <c r="DB1" s="22">
        <v>70</v>
      </c>
      <c r="DC1" s="22">
        <v>71</v>
      </c>
      <c r="DD1" s="22">
        <v>72</v>
      </c>
      <c r="DE1" s="22">
        <v>73</v>
      </c>
      <c r="DF1" s="22">
        <v>74</v>
      </c>
      <c r="DG1" s="22">
        <v>75</v>
      </c>
      <c r="DH1" s="22">
        <v>76</v>
      </c>
      <c r="DI1" s="22">
        <v>77</v>
      </c>
      <c r="DJ1" s="22">
        <v>78</v>
      </c>
      <c r="DK1" s="22">
        <v>79</v>
      </c>
      <c r="DL1" s="22">
        <v>80</v>
      </c>
      <c r="DM1" s="22">
        <v>81</v>
      </c>
      <c r="DN1" s="22">
        <v>82</v>
      </c>
      <c r="DO1" s="22">
        <v>83</v>
      </c>
      <c r="DP1" s="22">
        <v>84</v>
      </c>
      <c r="DQ1" s="22">
        <v>85</v>
      </c>
      <c r="DR1" s="22">
        <v>86</v>
      </c>
      <c r="DS1" s="22">
        <v>87</v>
      </c>
      <c r="DT1" s="22">
        <v>88</v>
      </c>
      <c r="DU1" s="22">
        <v>89</v>
      </c>
      <c r="DV1" s="22">
        <v>90</v>
      </c>
      <c r="DW1" s="22">
        <v>91</v>
      </c>
      <c r="DX1" s="22">
        <v>92</v>
      </c>
      <c r="DY1" s="22">
        <v>93</v>
      </c>
      <c r="DZ1" s="22">
        <v>94</v>
      </c>
      <c r="EA1" s="22">
        <v>95</v>
      </c>
      <c r="EB1" s="22">
        <v>96</v>
      </c>
      <c r="EC1" s="22">
        <v>97</v>
      </c>
      <c r="ED1" s="22">
        <v>98</v>
      </c>
      <c r="EE1" s="22">
        <v>99</v>
      </c>
      <c r="EF1" s="22">
        <v>100</v>
      </c>
      <c r="EG1" s="22">
        <v>101</v>
      </c>
      <c r="EH1" s="22">
        <v>102</v>
      </c>
      <c r="EI1" s="22">
        <v>103</v>
      </c>
      <c r="EJ1" s="22">
        <v>104</v>
      </c>
      <c r="EK1" s="22">
        <v>105</v>
      </c>
      <c r="EL1" s="22">
        <v>106</v>
      </c>
      <c r="EM1" s="22">
        <v>107</v>
      </c>
      <c r="EN1" s="22">
        <v>108</v>
      </c>
      <c r="EO1" s="22">
        <v>109</v>
      </c>
      <c r="EP1" s="22">
        <v>110</v>
      </c>
      <c r="EQ1" s="22">
        <v>111</v>
      </c>
      <c r="ER1" s="22">
        <v>112</v>
      </c>
      <c r="ES1" s="22">
        <v>113</v>
      </c>
      <c r="ET1" s="22">
        <v>114</v>
      </c>
      <c r="EU1" s="22">
        <v>115</v>
      </c>
      <c r="EV1" s="22">
        <v>116</v>
      </c>
      <c r="EW1" s="22">
        <v>117</v>
      </c>
      <c r="EX1" s="22">
        <v>118</v>
      </c>
      <c r="EY1" s="22">
        <v>119</v>
      </c>
      <c r="EZ1" s="22">
        <v>120</v>
      </c>
      <c r="FA1" s="22">
        <v>121</v>
      </c>
      <c r="FB1" s="22">
        <v>122</v>
      </c>
      <c r="FC1" s="22">
        <v>123</v>
      </c>
      <c r="FD1" s="22">
        <v>124</v>
      </c>
      <c r="FE1" s="22">
        <v>125</v>
      </c>
      <c r="FF1" s="22">
        <v>126</v>
      </c>
      <c r="FG1" s="22">
        <v>127</v>
      </c>
      <c r="FH1" s="22">
        <v>128</v>
      </c>
      <c r="FI1" s="22">
        <v>129</v>
      </c>
      <c r="FJ1" s="22">
        <v>130</v>
      </c>
      <c r="FK1" s="22">
        <v>131</v>
      </c>
      <c r="FL1" s="22">
        <v>132</v>
      </c>
      <c r="FM1" s="22">
        <v>133</v>
      </c>
      <c r="FN1" s="22">
        <v>134</v>
      </c>
      <c r="FO1" s="22">
        <v>135</v>
      </c>
      <c r="FP1" s="22">
        <v>136</v>
      </c>
      <c r="FQ1" s="22">
        <v>137</v>
      </c>
      <c r="FR1" s="22">
        <v>138</v>
      </c>
      <c r="FS1" s="22">
        <v>139</v>
      </c>
      <c r="FT1" s="22">
        <v>140</v>
      </c>
      <c r="FU1" s="22">
        <v>141</v>
      </c>
      <c r="FV1" s="22">
        <v>142</v>
      </c>
      <c r="FW1" s="22">
        <v>143</v>
      </c>
      <c r="FX1" s="22">
        <v>144</v>
      </c>
      <c r="FY1" s="22">
        <v>145</v>
      </c>
      <c r="FZ1" s="22">
        <v>146</v>
      </c>
      <c r="GA1" s="22">
        <v>147</v>
      </c>
      <c r="GB1" s="22">
        <v>148</v>
      </c>
      <c r="GC1" s="22">
        <v>149</v>
      </c>
      <c r="GD1" s="22">
        <v>150</v>
      </c>
      <c r="GE1" s="22">
        <v>151</v>
      </c>
      <c r="GF1" s="22">
        <v>152</v>
      </c>
      <c r="GG1" s="22">
        <v>153</v>
      </c>
      <c r="GH1" s="22">
        <v>154</v>
      </c>
      <c r="GI1" s="22">
        <v>155</v>
      </c>
      <c r="GJ1" s="22">
        <v>156</v>
      </c>
      <c r="GK1" s="22">
        <v>157</v>
      </c>
      <c r="GL1" s="22">
        <v>158</v>
      </c>
      <c r="GM1" s="22">
        <v>159</v>
      </c>
      <c r="GN1" s="22">
        <v>160</v>
      </c>
      <c r="GO1" s="22">
        <v>161</v>
      </c>
      <c r="GP1" s="22">
        <v>162</v>
      </c>
      <c r="GQ1" s="22">
        <v>163</v>
      </c>
      <c r="GR1" s="22">
        <v>164</v>
      </c>
      <c r="GS1" s="22">
        <v>165</v>
      </c>
      <c r="GT1" s="22">
        <v>166</v>
      </c>
      <c r="GU1" s="22">
        <v>167</v>
      </c>
      <c r="GV1" s="22">
        <v>168</v>
      </c>
      <c r="GW1" s="22">
        <v>169</v>
      </c>
      <c r="GX1" s="22">
        <v>170</v>
      </c>
      <c r="GY1" s="22">
        <v>171</v>
      </c>
      <c r="GZ1" s="22">
        <v>172</v>
      </c>
      <c r="HA1" s="22">
        <v>173</v>
      </c>
      <c r="HB1" s="22">
        <v>174</v>
      </c>
      <c r="HC1" s="22">
        <v>175</v>
      </c>
      <c r="HD1" s="22">
        <v>176</v>
      </c>
      <c r="HE1" s="22">
        <v>177</v>
      </c>
    </row>
    <row r="2" spans="1:213" ht="16.5" customHeight="1">
      <c r="A2" s="1226" t="s">
        <v>464</v>
      </c>
      <c r="B2" s="1227" t="s">
        <v>439</v>
      </c>
      <c r="C2" s="1228">
        <v>2020</v>
      </c>
      <c r="D2" s="1229"/>
      <c r="E2" s="1230">
        <v>2021</v>
      </c>
      <c r="F2" s="1231"/>
      <c r="G2" s="89"/>
      <c r="K2" s="24"/>
      <c r="L2" s="24"/>
      <c r="M2" s="24"/>
      <c r="R2" s="25" t="s">
        <v>553</v>
      </c>
      <c r="AD2" s="24"/>
      <c r="AE2" s="24"/>
      <c r="AF2" s="780"/>
      <c r="AG2" s="24"/>
      <c r="AH2" s="24"/>
      <c r="AJ2" s="1220"/>
      <c r="AK2" s="1221"/>
      <c r="AL2" s="1222">
        <v>2023</v>
      </c>
      <c r="AM2" s="1223"/>
      <c r="AN2" s="1223"/>
      <c r="AO2" s="1224"/>
      <c r="AP2" s="1214">
        <f>AL2+1</f>
        <v>2024</v>
      </c>
      <c r="AQ2" s="1215"/>
      <c r="AR2" s="1215"/>
      <c r="AS2" s="1216"/>
      <c r="AT2" s="1217">
        <f>AP2+1</f>
        <v>2025</v>
      </c>
      <c r="AU2" s="1218"/>
      <c r="AV2" s="1218"/>
      <c r="AW2" s="1219"/>
      <c r="AX2" s="1214">
        <f>AT2+1</f>
        <v>2026</v>
      </c>
      <c r="AY2" s="1215"/>
      <c r="AZ2" s="1215"/>
      <c r="BA2" s="1216"/>
      <c r="BB2" s="1217">
        <f>AX2+1</f>
        <v>2027</v>
      </c>
      <c r="BC2" s="1218"/>
      <c r="BD2" s="1218"/>
      <c r="BE2" s="1219"/>
      <c r="BF2" s="1214">
        <f>BB2+1</f>
        <v>2028</v>
      </c>
      <c r="BG2" s="1215"/>
      <c r="BH2" s="1215"/>
      <c r="BI2" s="1216"/>
      <c r="BJ2" s="1217">
        <f>BF2+1</f>
        <v>2029</v>
      </c>
      <c r="BK2" s="1218"/>
      <c r="BL2" s="1218"/>
      <c r="BM2" s="1219"/>
      <c r="BN2" s="1214">
        <f>BJ2+1</f>
        <v>2030</v>
      </c>
      <c r="BO2" s="1215"/>
      <c r="BP2" s="1215"/>
      <c r="BQ2" s="1216"/>
      <c r="BR2" s="1217">
        <f>BN2+1</f>
        <v>2031</v>
      </c>
      <c r="BS2" s="1218"/>
      <c r="BT2" s="1218"/>
      <c r="BU2" s="1219"/>
      <c r="BV2" s="1214">
        <f>BR2+1</f>
        <v>2032</v>
      </c>
      <c r="BW2" s="1215"/>
      <c r="BX2" s="1215"/>
      <c r="BY2" s="1216"/>
      <c r="BZ2" s="1217">
        <f>BV2+1</f>
        <v>2033</v>
      </c>
      <c r="CA2" s="1218"/>
      <c r="CB2" s="1218"/>
      <c r="CC2" s="1219"/>
      <c r="CD2" s="1214">
        <f>BZ2+1</f>
        <v>2034</v>
      </c>
      <c r="CE2" s="1215"/>
      <c r="CF2" s="1215"/>
      <c r="CG2" s="1216"/>
      <c r="CH2" s="1217">
        <f>CD2+1</f>
        <v>2035</v>
      </c>
      <c r="CI2" s="1218"/>
      <c r="CJ2" s="1218"/>
      <c r="CK2" s="1219"/>
      <c r="CL2" s="1214">
        <f>CH2+1</f>
        <v>2036</v>
      </c>
      <c r="CM2" s="1215"/>
      <c r="CN2" s="1215"/>
      <c r="CO2" s="1216"/>
      <c r="CP2" s="1217">
        <f>CL2+1</f>
        <v>2037</v>
      </c>
      <c r="CQ2" s="1218"/>
      <c r="CR2" s="1218"/>
      <c r="CS2" s="1219"/>
      <c r="CT2" s="1214">
        <f>CP2+1</f>
        <v>2038</v>
      </c>
      <c r="CU2" s="1215"/>
      <c r="CV2" s="1215"/>
      <c r="CW2" s="1216"/>
      <c r="CX2" s="1217">
        <f>CT2+1</f>
        <v>2039</v>
      </c>
      <c r="CY2" s="1218"/>
      <c r="CZ2" s="1218"/>
      <c r="DA2" s="1219"/>
      <c r="DB2" s="1214">
        <f>CX2+1</f>
        <v>2040</v>
      </c>
      <c r="DC2" s="1215"/>
      <c r="DD2" s="1215"/>
      <c r="DE2" s="1216"/>
      <c r="DF2" s="1217">
        <f>DB2+1</f>
        <v>2041</v>
      </c>
      <c r="DG2" s="1218"/>
      <c r="DH2" s="1218"/>
      <c r="DI2" s="1219"/>
      <c r="DJ2" s="1214">
        <f>DF2+1</f>
        <v>2042</v>
      </c>
      <c r="DK2" s="1215"/>
      <c r="DL2" s="1215"/>
      <c r="DM2" s="1216"/>
      <c r="DN2" s="1217">
        <f>DJ2+1</f>
        <v>2043</v>
      </c>
      <c r="DO2" s="1218"/>
      <c r="DP2" s="1218"/>
      <c r="DQ2" s="1219"/>
      <c r="DR2" s="1214">
        <f>DN2+1</f>
        <v>2044</v>
      </c>
      <c r="DS2" s="1215"/>
      <c r="DT2" s="1215"/>
      <c r="DU2" s="1216"/>
      <c r="DV2" s="1217">
        <f>DR2+1</f>
        <v>2045</v>
      </c>
      <c r="DW2" s="1218"/>
      <c r="DX2" s="1218"/>
      <c r="DY2" s="1219"/>
      <c r="DZ2" s="1214">
        <f>DV2+1</f>
        <v>2046</v>
      </c>
      <c r="EA2" s="1215"/>
      <c r="EB2" s="1215"/>
      <c r="EC2" s="1216"/>
      <c r="ED2" s="1217">
        <f>DZ2+1</f>
        <v>2047</v>
      </c>
      <c r="EE2" s="1218"/>
      <c r="EF2" s="1218"/>
      <c r="EG2" s="1219"/>
      <c r="EH2" s="1214">
        <f>ED2+1</f>
        <v>2048</v>
      </c>
      <c r="EI2" s="1215"/>
      <c r="EJ2" s="1215"/>
      <c r="EK2" s="1216"/>
      <c r="EL2" s="1217">
        <f>EH2+1</f>
        <v>2049</v>
      </c>
      <c r="EM2" s="1218"/>
      <c r="EN2" s="1218"/>
      <c r="EO2" s="1219"/>
      <c r="EP2" s="1214">
        <f>EL2+1</f>
        <v>2050</v>
      </c>
      <c r="EQ2" s="1215"/>
      <c r="ER2" s="1215"/>
      <c r="ES2" s="1216"/>
      <c r="ET2" s="1217">
        <f>EP2+1</f>
        <v>2051</v>
      </c>
      <c r="EU2" s="1218"/>
      <c r="EV2" s="1218"/>
      <c r="EW2" s="1219"/>
      <c r="EX2" s="1214">
        <f>ET2+1</f>
        <v>2052</v>
      </c>
      <c r="EY2" s="1215"/>
      <c r="EZ2" s="1215"/>
      <c r="FA2" s="1216"/>
      <c r="FB2" s="1217">
        <f>EX2+1</f>
        <v>2053</v>
      </c>
      <c r="FC2" s="1218"/>
      <c r="FD2" s="1218"/>
      <c r="FE2" s="1219"/>
      <c r="FF2" s="1214">
        <f>FB2+1</f>
        <v>2054</v>
      </c>
      <c r="FG2" s="1215"/>
      <c r="FH2" s="1215"/>
      <c r="FI2" s="1216"/>
      <c r="FJ2" s="1217">
        <f>FF2+1</f>
        <v>2055</v>
      </c>
      <c r="FK2" s="1218"/>
      <c r="FL2" s="1218"/>
      <c r="FM2" s="1219"/>
      <c r="FN2" s="1214">
        <f>FJ2+1</f>
        <v>2056</v>
      </c>
      <c r="FO2" s="1215"/>
      <c r="FP2" s="1215"/>
      <c r="FQ2" s="1216"/>
      <c r="FR2" s="1217">
        <f>FN2+1</f>
        <v>2057</v>
      </c>
      <c r="FS2" s="1218"/>
      <c r="FT2" s="1218"/>
      <c r="FU2" s="1219"/>
      <c r="FV2" s="1214">
        <f>FR2+1</f>
        <v>2058</v>
      </c>
      <c r="FW2" s="1215"/>
      <c r="FX2" s="1215"/>
      <c r="FY2" s="1216"/>
      <c r="FZ2" s="1217">
        <f>FV2+1</f>
        <v>2059</v>
      </c>
      <c r="GA2" s="1218"/>
      <c r="GB2" s="1218"/>
      <c r="GC2" s="1219"/>
      <c r="GD2" s="1214">
        <f>FZ2+1</f>
        <v>2060</v>
      </c>
      <c r="GE2" s="1215"/>
      <c r="GF2" s="1215"/>
      <c r="GG2" s="1216"/>
      <c r="GH2" s="1217">
        <f>GD2+1</f>
        <v>2061</v>
      </c>
      <c r="GI2" s="1218"/>
      <c r="GJ2" s="1218"/>
      <c r="GK2" s="1219"/>
      <c r="GL2" s="1214">
        <f>GH2+1</f>
        <v>2062</v>
      </c>
      <c r="GM2" s="1215"/>
      <c r="GN2" s="1215"/>
      <c r="GO2" s="1216"/>
      <c r="GP2" s="1217">
        <f>GL2+1</f>
        <v>2063</v>
      </c>
      <c r="GQ2" s="1218"/>
      <c r="GR2" s="1218"/>
      <c r="GS2" s="1219"/>
      <c r="GT2" s="1214">
        <f>GP2+1</f>
        <v>2064</v>
      </c>
      <c r="GU2" s="1215"/>
      <c r="GV2" s="1215"/>
      <c r="GW2" s="1216"/>
      <c r="GX2" s="1217">
        <f>GT2+1</f>
        <v>2065</v>
      </c>
      <c r="GY2" s="1218"/>
      <c r="GZ2" s="1218"/>
      <c r="HA2" s="1219"/>
      <c r="HB2" s="1217">
        <f>GX2+1</f>
        <v>2066</v>
      </c>
      <c r="HC2" s="1218"/>
      <c r="HD2" s="1218"/>
      <c r="HE2" s="1219"/>
    </row>
    <row r="3" spans="1:213" ht="27">
      <c r="A3" s="1226"/>
      <c r="B3" s="1227"/>
      <c r="C3" s="8" t="s">
        <v>454</v>
      </c>
      <c r="D3" s="2" t="s">
        <v>64</v>
      </c>
      <c r="E3" s="62" t="s">
        <v>454</v>
      </c>
      <c r="F3" s="54" t="s">
        <v>64</v>
      </c>
      <c r="G3" s="85"/>
      <c r="I3" s="603">
        <v>3</v>
      </c>
      <c r="K3" s="106"/>
      <c r="M3" s="158"/>
      <c r="N3" s="136" t="s">
        <v>73</v>
      </c>
      <c r="P3" s="135" t="s">
        <v>78</v>
      </c>
      <c r="Q3" s="24" t="s">
        <v>448</v>
      </c>
      <c r="R3" s="25" t="s">
        <v>581</v>
      </c>
      <c r="T3" s="23"/>
      <c r="U3" s="23"/>
      <c r="V3" s="1207"/>
      <c r="W3" s="1208"/>
      <c r="X3" s="1208"/>
      <c r="Y3" s="1208"/>
      <c r="Z3" s="1208"/>
      <c r="AA3" s="1208"/>
      <c r="AB3" s="1209"/>
      <c r="AD3" s="26"/>
      <c r="AE3" s="27"/>
      <c r="AF3" s="778"/>
      <c r="AG3" s="28"/>
      <c r="AH3" s="28"/>
      <c r="AJ3" s="41" t="s">
        <v>55</v>
      </c>
      <c r="AK3" s="41"/>
      <c r="AL3" s="94" t="s">
        <v>401</v>
      </c>
      <c r="AM3" s="38">
        <v>0.09</v>
      </c>
      <c r="AN3" s="1040">
        <v>3.5450000000000002E-2</v>
      </c>
      <c r="AO3" s="892">
        <f>12.81%/2</f>
        <v>6.4049999999999996E-2</v>
      </c>
      <c r="AP3" s="892">
        <v>1.7000000000000001E-2</v>
      </c>
      <c r="AQ3" s="127">
        <v>0.09</v>
      </c>
      <c r="AR3" s="962">
        <f>7.09%/2</f>
        <v>3.5450000000000002E-2</v>
      </c>
      <c r="AS3" s="894">
        <f>12.95%/2</f>
        <v>6.4750000000000002E-2</v>
      </c>
      <c r="AT3" s="893">
        <f>'2026'!D2</f>
        <v>3.5000000000000003E-2</v>
      </c>
      <c r="AU3" s="38">
        <v>0.09</v>
      </c>
      <c r="AV3" s="892">
        <f>AR3*(1+AP3)</f>
        <v>3.6052649999999999E-2</v>
      </c>
      <c r="AW3" s="38">
        <f>AS3</f>
        <v>6.4750000000000002E-2</v>
      </c>
      <c r="AX3" s="126">
        <f>'2027'!$D2</f>
        <v>2.5000000000000001E-2</v>
      </c>
      <c r="AY3" s="127">
        <v>0.09</v>
      </c>
      <c r="AZ3" s="127">
        <f>AV3</f>
        <v>3.6052649999999999E-2</v>
      </c>
      <c r="BA3" s="127">
        <f>AW3</f>
        <v>6.4750000000000002E-2</v>
      </c>
      <c r="BB3" s="94">
        <f>'2028'!$D2</f>
        <v>2.5000000000000001E-2</v>
      </c>
      <c r="BC3" s="38">
        <v>0.09</v>
      </c>
      <c r="BD3" s="892">
        <f>AZ3*(1+AX3)</f>
        <v>3.6953966249999998E-2</v>
      </c>
      <c r="BE3" s="38">
        <f>BA3</f>
        <v>6.4750000000000002E-2</v>
      </c>
      <c r="BF3" s="126">
        <f>'2029'!$D2</f>
        <v>2.5000000000000001E-2</v>
      </c>
      <c r="BG3" s="127">
        <v>0.09</v>
      </c>
      <c r="BH3" s="127">
        <f>BD3</f>
        <v>3.6953966249999998E-2</v>
      </c>
      <c r="BI3" s="127">
        <f>BE3</f>
        <v>6.4750000000000002E-2</v>
      </c>
      <c r="BJ3" s="94">
        <f>'2030'!$D2</f>
        <v>2.5000000000000001E-2</v>
      </c>
      <c r="BK3" s="38">
        <v>0.09</v>
      </c>
      <c r="BL3" s="892">
        <f>BH3*(1+BF3)</f>
        <v>3.7877815406249994E-2</v>
      </c>
      <c r="BM3" s="38">
        <f>BI3</f>
        <v>6.4750000000000002E-2</v>
      </c>
      <c r="BN3" s="126">
        <f>'2031'!$D2</f>
        <v>2.5000000000000001E-2</v>
      </c>
      <c r="BO3" s="127">
        <v>0.09</v>
      </c>
      <c r="BP3" s="892">
        <f>BL3*(1+BJ3)</f>
        <v>3.8824760791406239E-2</v>
      </c>
      <c r="BQ3" s="127">
        <f>BM3</f>
        <v>6.4750000000000002E-2</v>
      </c>
      <c r="BR3" s="94">
        <f>'2032'!$D2</f>
        <v>2.5000000000000001E-2</v>
      </c>
      <c r="BS3" s="38">
        <v>0.09</v>
      </c>
      <c r="BT3" s="38">
        <f>BP3</f>
        <v>3.8824760791406239E-2</v>
      </c>
      <c r="BU3" s="38">
        <f>BQ3</f>
        <v>6.4750000000000002E-2</v>
      </c>
      <c r="BV3" s="126">
        <f>'2033'!$D2</f>
        <v>2.5000000000000001E-2</v>
      </c>
      <c r="BW3" s="127">
        <v>0.09</v>
      </c>
      <c r="BX3" s="892">
        <f>BT3*(1+BR3)</f>
        <v>3.9795379811191391E-2</v>
      </c>
      <c r="BY3" s="127">
        <f>BU3</f>
        <v>6.4750000000000002E-2</v>
      </c>
      <c r="BZ3" s="94">
        <f>'2034'!$D2</f>
        <v>2.5000000000000001E-2</v>
      </c>
      <c r="CA3" s="38">
        <v>0.09</v>
      </c>
      <c r="CB3" s="38">
        <f>BX3</f>
        <v>3.9795379811191391E-2</v>
      </c>
      <c r="CC3" s="38">
        <f>BY3</f>
        <v>6.4750000000000002E-2</v>
      </c>
      <c r="CD3" s="126">
        <f>'2035'!$D2</f>
        <v>2.5000000000000001E-2</v>
      </c>
      <c r="CE3" s="127">
        <v>0.09</v>
      </c>
      <c r="CF3" s="127">
        <f>CB3</f>
        <v>3.9795379811191391E-2</v>
      </c>
      <c r="CG3" s="127">
        <f>CC3</f>
        <v>6.4750000000000002E-2</v>
      </c>
      <c r="CH3" s="94">
        <f>'2036'!$D2</f>
        <v>2.5000000000000001E-2</v>
      </c>
      <c r="CI3" s="38">
        <v>0.09</v>
      </c>
      <c r="CJ3" s="38">
        <f>CF3</f>
        <v>3.9795379811191391E-2</v>
      </c>
      <c r="CK3" s="38">
        <f>CG3</f>
        <v>6.4750000000000002E-2</v>
      </c>
      <c r="CL3" s="126">
        <f>'2037'!$D2</f>
        <v>2.5000000000000001E-2</v>
      </c>
      <c r="CM3" s="127">
        <v>0.09</v>
      </c>
      <c r="CN3" s="127">
        <f>CJ3</f>
        <v>3.9795379811191391E-2</v>
      </c>
      <c r="CO3" s="127">
        <f>CK3</f>
        <v>6.4750000000000002E-2</v>
      </c>
      <c r="CP3" s="94">
        <f>'2038'!$D2</f>
        <v>2.5000000000000001E-2</v>
      </c>
      <c r="CQ3" s="38">
        <v>0.09</v>
      </c>
      <c r="CR3" s="38">
        <f>CN3</f>
        <v>3.9795379811191391E-2</v>
      </c>
      <c r="CS3" s="38">
        <f>CO3</f>
        <v>6.4750000000000002E-2</v>
      </c>
      <c r="CT3" s="126">
        <f>'2039'!$D2</f>
        <v>2.5000000000000001E-2</v>
      </c>
      <c r="CU3" s="127">
        <v>0.09</v>
      </c>
      <c r="CV3" s="127">
        <f>CR3</f>
        <v>3.9795379811191391E-2</v>
      </c>
      <c r="CW3" s="127">
        <f>CS3</f>
        <v>6.4750000000000002E-2</v>
      </c>
      <c r="CX3" s="94">
        <f>'2040'!$D2</f>
        <v>2.5000000000000001E-2</v>
      </c>
      <c r="CY3" s="38">
        <v>0.09</v>
      </c>
      <c r="CZ3" s="38">
        <f>CV3</f>
        <v>3.9795379811191391E-2</v>
      </c>
      <c r="DA3" s="38">
        <f>CW3</f>
        <v>6.4750000000000002E-2</v>
      </c>
      <c r="DB3" s="126">
        <f>'2041'!$D2</f>
        <v>2.5000000000000001E-2</v>
      </c>
      <c r="DC3" s="127">
        <v>0.09</v>
      </c>
      <c r="DD3" s="127">
        <f>CZ3</f>
        <v>3.9795379811191391E-2</v>
      </c>
      <c r="DE3" s="127">
        <f>DA3</f>
        <v>6.4750000000000002E-2</v>
      </c>
      <c r="DF3" s="94">
        <f>'2042'!$D2</f>
        <v>2.5000000000000001E-2</v>
      </c>
      <c r="DG3" s="38">
        <v>0.09</v>
      </c>
      <c r="DH3" s="38">
        <f>DD3</f>
        <v>3.9795379811191391E-2</v>
      </c>
      <c r="DI3" s="38">
        <f>DE3</f>
        <v>6.4750000000000002E-2</v>
      </c>
      <c r="DJ3" s="126">
        <f>'2043'!$D2</f>
        <v>2.5000000000000001E-2</v>
      </c>
      <c r="DK3" s="127">
        <v>0.09</v>
      </c>
      <c r="DL3" s="127">
        <f>DH3</f>
        <v>3.9795379811191391E-2</v>
      </c>
      <c r="DM3" s="127">
        <f>DI3</f>
        <v>6.4750000000000002E-2</v>
      </c>
      <c r="DN3" s="94">
        <f>'2044'!$D2</f>
        <v>2.5000000000000001E-2</v>
      </c>
      <c r="DO3" s="38">
        <v>0.09</v>
      </c>
      <c r="DP3" s="38">
        <f>DL3</f>
        <v>3.9795379811191391E-2</v>
      </c>
      <c r="DQ3" s="38">
        <f>DM3</f>
        <v>6.4750000000000002E-2</v>
      </c>
      <c r="DR3" s="126">
        <f>'2045'!$D2</f>
        <v>2.5000000000000001E-2</v>
      </c>
      <c r="DS3" s="127">
        <v>0.09</v>
      </c>
      <c r="DT3" s="127">
        <f>DP3</f>
        <v>3.9795379811191391E-2</v>
      </c>
      <c r="DU3" s="127">
        <f>DQ3</f>
        <v>6.4750000000000002E-2</v>
      </c>
      <c r="DV3" s="94">
        <f>'2046'!$D2</f>
        <v>2.5000000000000001E-2</v>
      </c>
      <c r="DW3" s="38">
        <v>0.09</v>
      </c>
      <c r="DX3" s="38">
        <f>DT3</f>
        <v>3.9795379811191391E-2</v>
      </c>
      <c r="DY3" s="38">
        <f>DU3</f>
        <v>6.4750000000000002E-2</v>
      </c>
      <c r="DZ3" s="126">
        <f>'2047'!$D2</f>
        <v>2.5000000000000001E-2</v>
      </c>
      <c r="EA3" s="127">
        <v>0.09</v>
      </c>
      <c r="EB3" s="127">
        <f>DX3</f>
        <v>3.9795379811191391E-2</v>
      </c>
      <c r="EC3" s="127">
        <f>DY3</f>
        <v>6.4750000000000002E-2</v>
      </c>
      <c r="ED3" s="94">
        <f>'2048'!$D2</f>
        <v>2.5000000000000001E-2</v>
      </c>
      <c r="EE3" s="38">
        <v>0.09</v>
      </c>
      <c r="EF3" s="38">
        <f>EB3</f>
        <v>3.9795379811191391E-2</v>
      </c>
      <c r="EG3" s="38">
        <f>EC3</f>
        <v>6.4750000000000002E-2</v>
      </c>
      <c r="EH3" s="126">
        <f>'2049'!$D2</f>
        <v>2.5000000000000001E-2</v>
      </c>
      <c r="EI3" s="127">
        <v>0.09</v>
      </c>
      <c r="EJ3" s="127">
        <f>EF3</f>
        <v>3.9795379811191391E-2</v>
      </c>
      <c r="EK3" s="127">
        <f>EG3</f>
        <v>6.4750000000000002E-2</v>
      </c>
      <c r="EL3" s="94">
        <f>'2050'!$D2</f>
        <v>2.5000000000000001E-2</v>
      </c>
      <c r="EM3" s="38">
        <v>0.09</v>
      </c>
      <c r="EN3" s="38">
        <f>EJ3</f>
        <v>3.9795379811191391E-2</v>
      </c>
      <c r="EO3" s="38">
        <f>EK3</f>
        <v>6.4750000000000002E-2</v>
      </c>
      <c r="EP3" s="126">
        <f>'2051'!$D2</f>
        <v>2.5000000000000001E-2</v>
      </c>
      <c r="EQ3" s="127">
        <v>0.09</v>
      </c>
      <c r="ER3" s="127">
        <f>EN3</f>
        <v>3.9795379811191391E-2</v>
      </c>
      <c r="ES3" s="127">
        <f>EO3</f>
        <v>6.4750000000000002E-2</v>
      </c>
      <c r="ET3" s="94">
        <f>'2052'!$D2</f>
        <v>2.5000000000000001E-2</v>
      </c>
      <c r="EU3" s="38">
        <v>0.09</v>
      </c>
      <c r="EV3" s="38">
        <f>ER3</f>
        <v>3.9795379811191391E-2</v>
      </c>
      <c r="EW3" s="38">
        <f>ES3</f>
        <v>6.4750000000000002E-2</v>
      </c>
      <c r="EX3" s="126">
        <f>'2053'!$D2</f>
        <v>2.5000000000000001E-2</v>
      </c>
      <c r="EY3" s="127">
        <v>0.09</v>
      </c>
      <c r="EZ3" s="127">
        <f>EV3</f>
        <v>3.9795379811191391E-2</v>
      </c>
      <c r="FA3" s="127">
        <f>EW3</f>
        <v>6.4750000000000002E-2</v>
      </c>
      <c r="FB3" s="94">
        <f>'2054'!$D2</f>
        <v>2.5000000000000001E-2</v>
      </c>
      <c r="FC3" s="38">
        <v>0.09</v>
      </c>
      <c r="FD3" s="38">
        <f>EZ3</f>
        <v>3.9795379811191391E-2</v>
      </c>
      <c r="FE3" s="38">
        <f>FA3</f>
        <v>6.4750000000000002E-2</v>
      </c>
      <c r="FF3" s="126">
        <f>'2055'!$D2</f>
        <v>2.5000000000000001E-2</v>
      </c>
      <c r="FG3" s="127">
        <v>0.09</v>
      </c>
      <c r="FH3" s="127">
        <f>FD3</f>
        <v>3.9795379811191391E-2</v>
      </c>
      <c r="FI3" s="127">
        <f>FE3</f>
        <v>6.4750000000000002E-2</v>
      </c>
      <c r="FJ3" s="94">
        <f>'2056'!$D2</f>
        <v>2.5000000000000001E-2</v>
      </c>
      <c r="FK3" s="38">
        <v>0.09</v>
      </c>
      <c r="FL3" s="38">
        <f>FH3</f>
        <v>3.9795379811191391E-2</v>
      </c>
      <c r="FM3" s="38">
        <f>FI3</f>
        <v>6.4750000000000002E-2</v>
      </c>
      <c r="FN3" s="126">
        <f>'2057'!$D2</f>
        <v>2.5000000000000001E-2</v>
      </c>
      <c r="FO3" s="127">
        <v>0.09</v>
      </c>
      <c r="FP3" s="127">
        <f>FL3</f>
        <v>3.9795379811191391E-2</v>
      </c>
      <c r="FQ3" s="127">
        <f>FM3</f>
        <v>6.4750000000000002E-2</v>
      </c>
      <c r="FR3" s="94">
        <f>'2058'!$D2</f>
        <v>2.5000000000000001E-2</v>
      </c>
      <c r="FS3" s="38">
        <v>0.09</v>
      </c>
      <c r="FT3" s="38">
        <f>FP3</f>
        <v>3.9795379811191391E-2</v>
      </c>
      <c r="FU3" s="38">
        <f>FQ3</f>
        <v>6.4750000000000002E-2</v>
      </c>
      <c r="FV3" s="126">
        <f>'2059'!$D2</f>
        <v>2.5000000000000001E-2</v>
      </c>
      <c r="FW3" s="127">
        <v>0.09</v>
      </c>
      <c r="FX3" s="127">
        <f>FT3</f>
        <v>3.9795379811191391E-2</v>
      </c>
      <c r="FY3" s="127">
        <f>FU3</f>
        <v>6.4750000000000002E-2</v>
      </c>
      <c r="FZ3" s="94">
        <f>'2060'!$D2</f>
        <v>2.5000000000000001E-2</v>
      </c>
      <c r="GA3" s="38">
        <v>0.09</v>
      </c>
      <c r="GB3" s="38">
        <f>FX3</f>
        <v>3.9795379811191391E-2</v>
      </c>
      <c r="GC3" s="38">
        <f>FY3</f>
        <v>6.4750000000000002E-2</v>
      </c>
      <c r="GD3" s="126">
        <f>'2061'!$D2</f>
        <v>2.5000000000000001E-2</v>
      </c>
      <c r="GE3" s="127">
        <v>0.09</v>
      </c>
      <c r="GF3" s="127">
        <f>GB3</f>
        <v>3.9795379811191391E-2</v>
      </c>
      <c r="GG3" s="127">
        <f>GC3</f>
        <v>6.4750000000000002E-2</v>
      </c>
      <c r="GH3" s="94">
        <f>'2062'!$D2</f>
        <v>2.5000000000000001E-2</v>
      </c>
      <c r="GI3" s="38">
        <v>0.09</v>
      </c>
      <c r="GJ3" s="38">
        <f>GF3</f>
        <v>3.9795379811191391E-2</v>
      </c>
      <c r="GK3" s="38">
        <f>GG3</f>
        <v>6.4750000000000002E-2</v>
      </c>
      <c r="GL3" s="126">
        <f>'2063'!$D2</f>
        <v>2.5000000000000001E-2</v>
      </c>
      <c r="GM3" s="127">
        <v>0.09</v>
      </c>
      <c r="GN3" s="127">
        <f>GJ3</f>
        <v>3.9795379811191391E-2</v>
      </c>
      <c r="GO3" s="127">
        <f>GK3</f>
        <v>6.4750000000000002E-2</v>
      </c>
      <c r="GP3" s="94">
        <f>'2064'!$D2</f>
        <v>2.5000000000000001E-2</v>
      </c>
      <c r="GQ3" s="38">
        <v>0.09</v>
      </c>
      <c r="GR3" s="38">
        <f>GN3</f>
        <v>3.9795379811191391E-2</v>
      </c>
      <c r="GS3" s="38">
        <f>GO3</f>
        <v>6.4750000000000002E-2</v>
      </c>
      <c r="GT3" s="126">
        <f>'2065'!$D2</f>
        <v>2.5000000000000001E-2</v>
      </c>
      <c r="GU3" s="127">
        <v>0.09</v>
      </c>
      <c r="GV3" s="127">
        <f>GR3</f>
        <v>3.9795379811191391E-2</v>
      </c>
      <c r="GW3" s="127">
        <f>GS3</f>
        <v>6.4750000000000002E-2</v>
      </c>
      <c r="GX3" s="94">
        <f>'2066'!$D2</f>
        <v>2.5000000000000001E-2</v>
      </c>
      <c r="GY3" s="38">
        <v>0.09</v>
      </c>
      <c r="GZ3" s="38">
        <f>GV3</f>
        <v>3.9795379811191391E-2</v>
      </c>
      <c r="HA3" s="38">
        <f>GW3</f>
        <v>6.4750000000000002E-2</v>
      </c>
      <c r="HB3" s="94" t="e">
        <v>#REF!</v>
      </c>
      <c r="HC3" s="127">
        <v>0.09</v>
      </c>
      <c r="HD3" s="127">
        <f>GZ3</f>
        <v>3.9795379811191391E-2</v>
      </c>
      <c r="HE3" s="127">
        <f>HA3</f>
        <v>6.4750000000000002E-2</v>
      </c>
    </row>
    <row r="4" spans="1:213">
      <c r="A4" s="61"/>
      <c r="B4" s="1"/>
      <c r="C4" s="71"/>
      <c r="D4" s="61"/>
      <c r="E4" s="63"/>
      <c r="F4" s="90"/>
      <c r="G4" s="86"/>
      <c r="I4" s="24" t="s">
        <v>462</v>
      </c>
      <c r="K4" s="46"/>
      <c r="M4" s="28"/>
      <c r="N4" s="137">
        <v>0</v>
      </c>
      <c r="P4" s="138">
        <v>5</v>
      </c>
      <c r="Q4" s="29">
        <v>50000</v>
      </c>
      <c r="R4" s="25" t="s">
        <v>262</v>
      </c>
      <c r="T4" s="23"/>
      <c r="U4" s="23"/>
      <c r="V4" s="23"/>
      <c r="W4" s="23"/>
      <c r="X4" s="23"/>
      <c r="Y4" s="23"/>
      <c r="Z4" s="23"/>
      <c r="AA4" s="773"/>
      <c r="AB4" s="23"/>
      <c r="AD4" s="26"/>
      <c r="AE4" s="27"/>
      <c r="AF4" s="778"/>
      <c r="AG4" s="28"/>
      <c r="AH4" s="28"/>
      <c r="AJ4" s="41" t="s">
        <v>60</v>
      </c>
      <c r="AK4" s="41" t="s">
        <v>439</v>
      </c>
      <c r="AL4" s="889" t="s">
        <v>53</v>
      </c>
      <c r="AM4" s="39" t="s">
        <v>57</v>
      </c>
      <c r="AN4" s="39" t="s">
        <v>58</v>
      </c>
      <c r="AO4" s="39" t="s">
        <v>56</v>
      </c>
      <c r="AP4" s="889" t="s">
        <v>53</v>
      </c>
      <c r="AQ4" s="125" t="s">
        <v>57</v>
      </c>
      <c r="AR4" s="125" t="s">
        <v>58</v>
      </c>
      <c r="AS4" s="125" t="s">
        <v>310</v>
      </c>
      <c r="AT4" s="39" t="s">
        <v>53</v>
      </c>
      <c r="AU4" s="39" t="s">
        <v>57</v>
      </c>
      <c r="AV4" s="39" t="s">
        <v>58</v>
      </c>
      <c r="AW4" s="39" t="s">
        <v>56</v>
      </c>
      <c r="AX4" s="125" t="s">
        <v>53</v>
      </c>
      <c r="AY4" s="125" t="s">
        <v>57</v>
      </c>
      <c r="AZ4" s="125" t="s">
        <v>58</v>
      </c>
      <c r="BA4" s="125" t="s">
        <v>56</v>
      </c>
      <c r="BB4" s="39" t="s">
        <v>53</v>
      </c>
      <c r="BC4" s="39" t="s">
        <v>57</v>
      </c>
      <c r="BD4" s="39" t="s">
        <v>58</v>
      </c>
      <c r="BE4" s="39" t="s">
        <v>56</v>
      </c>
      <c r="BF4" s="125" t="s">
        <v>53</v>
      </c>
      <c r="BG4" s="125" t="s">
        <v>57</v>
      </c>
      <c r="BH4" s="125" t="s">
        <v>58</v>
      </c>
      <c r="BI4" s="125" t="s">
        <v>56</v>
      </c>
      <c r="BJ4" s="39" t="s">
        <v>53</v>
      </c>
      <c r="BK4" s="39" t="s">
        <v>57</v>
      </c>
      <c r="BL4" s="39" t="s">
        <v>58</v>
      </c>
      <c r="BM4" s="39" t="s">
        <v>56</v>
      </c>
      <c r="BN4" s="125" t="s">
        <v>53</v>
      </c>
      <c r="BO4" s="125" t="s">
        <v>57</v>
      </c>
      <c r="BP4" s="125" t="s">
        <v>58</v>
      </c>
      <c r="BQ4" s="125" t="s">
        <v>56</v>
      </c>
      <c r="BR4" s="39" t="s">
        <v>53</v>
      </c>
      <c r="BS4" s="39" t="s">
        <v>57</v>
      </c>
      <c r="BT4" s="39" t="s">
        <v>58</v>
      </c>
      <c r="BU4" s="39" t="s">
        <v>56</v>
      </c>
      <c r="BV4" s="125" t="s">
        <v>53</v>
      </c>
      <c r="BW4" s="125" t="s">
        <v>57</v>
      </c>
      <c r="BX4" s="125" t="s">
        <v>58</v>
      </c>
      <c r="BY4" s="125" t="s">
        <v>56</v>
      </c>
      <c r="BZ4" s="39" t="s">
        <v>53</v>
      </c>
      <c r="CA4" s="39" t="s">
        <v>57</v>
      </c>
      <c r="CB4" s="39" t="s">
        <v>58</v>
      </c>
      <c r="CC4" s="39" t="s">
        <v>56</v>
      </c>
      <c r="CD4" s="125" t="s">
        <v>53</v>
      </c>
      <c r="CE4" s="125" t="s">
        <v>57</v>
      </c>
      <c r="CF4" s="125" t="s">
        <v>58</v>
      </c>
      <c r="CG4" s="125" t="s">
        <v>56</v>
      </c>
      <c r="CH4" s="39" t="s">
        <v>53</v>
      </c>
      <c r="CI4" s="39" t="s">
        <v>57</v>
      </c>
      <c r="CJ4" s="39" t="s">
        <v>58</v>
      </c>
      <c r="CK4" s="39" t="s">
        <v>56</v>
      </c>
      <c r="CL4" s="125" t="s">
        <v>53</v>
      </c>
      <c r="CM4" s="125" t="s">
        <v>57</v>
      </c>
      <c r="CN4" s="125" t="s">
        <v>58</v>
      </c>
      <c r="CO4" s="125" t="s">
        <v>56</v>
      </c>
      <c r="CP4" s="39" t="s">
        <v>53</v>
      </c>
      <c r="CQ4" s="39" t="s">
        <v>57</v>
      </c>
      <c r="CR4" s="39" t="s">
        <v>58</v>
      </c>
      <c r="CS4" s="39" t="s">
        <v>56</v>
      </c>
      <c r="CT4" s="125" t="s">
        <v>53</v>
      </c>
      <c r="CU4" s="125" t="s">
        <v>57</v>
      </c>
      <c r="CV4" s="125" t="s">
        <v>58</v>
      </c>
      <c r="CW4" s="125" t="s">
        <v>56</v>
      </c>
      <c r="CX4" s="39" t="s">
        <v>53</v>
      </c>
      <c r="CY4" s="39" t="s">
        <v>57</v>
      </c>
      <c r="CZ4" s="39" t="s">
        <v>58</v>
      </c>
      <c r="DA4" s="39" t="s">
        <v>56</v>
      </c>
      <c r="DB4" s="125" t="s">
        <v>53</v>
      </c>
      <c r="DC4" s="125" t="s">
        <v>57</v>
      </c>
      <c r="DD4" s="125" t="s">
        <v>58</v>
      </c>
      <c r="DE4" s="125" t="s">
        <v>56</v>
      </c>
      <c r="DF4" s="39" t="s">
        <v>53</v>
      </c>
      <c r="DG4" s="39" t="s">
        <v>57</v>
      </c>
      <c r="DH4" s="39" t="s">
        <v>58</v>
      </c>
      <c r="DI4" s="39" t="s">
        <v>56</v>
      </c>
      <c r="DJ4" s="125" t="s">
        <v>53</v>
      </c>
      <c r="DK4" s="125" t="s">
        <v>57</v>
      </c>
      <c r="DL4" s="125" t="s">
        <v>58</v>
      </c>
      <c r="DM4" s="125" t="s">
        <v>56</v>
      </c>
      <c r="DN4" s="39" t="s">
        <v>53</v>
      </c>
      <c r="DO4" s="39" t="s">
        <v>57</v>
      </c>
      <c r="DP4" s="39" t="s">
        <v>58</v>
      </c>
      <c r="DQ4" s="39" t="s">
        <v>56</v>
      </c>
      <c r="DR4" s="125" t="s">
        <v>53</v>
      </c>
      <c r="DS4" s="125" t="s">
        <v>57</v>
      </c>
      <c r="DT4" s="125" t="s">
        <v>58</v>
      </c>
      <c r="DU4" s="125" t="s">
        <v>56</v>
      </c>
      <c r="DV4" s="39" t="s">
        <v>53</v>
      </c>
      <c r="DW4" s="39" t="s">
        <v>57</v>
      </c>
      <c r="DX4" s="39" t="s">
        <v>58</v>
      </c>
      <c r="DY4" s="39" t="s">
        <v>56</v>
      </c>
      <c r="DZ4" s="125" t="s">
        <v>53</v>
      </c>
      <c r="EA4" s="125" t="s">
        <v>57</v>
      </c>
      <c r="EB4" s="125" t="s">
        <v>58</v>
      </c>
      <c r="EC4" s="125" t="s">
        <v>56</v>
      </c>
      <c r="ED4" s="39" t="s">
        <v>53</v>
      </c>
      <c r="EE4" s="39" t="s">
        <v>57</v>
      </c>
      <c r="EF4" s="39" t="s">
        <v>58</v>
      </c>
      <c r="EG4" s="39" t="s">
        <v>56</v>
      </c>
      <c r="EH4" s="125" t="s">
        <v>53</v>
      </c>
      <c r="EI4" s="125" t="s">
        <v>57</v>
      </c>
      <c r="EJ4" s="125" t="s">
        <v>58</v>
      </c>
      <c r="EK4" s="125" t="s">
        <v>56</v>
      </c>
      <c r="EL4" s="39" t="s">
        <v>53</v>
      </c>
      <c r="EM4" s="39" t="s">
        <v>57</v>
      </c>
      <c r="EN4" s="39" t="s">
        <v>58</v>
      </c>
      <c r="EO4" s="39" t="s">
        <v>56</v>
      </c>
      <c r="EP4" s="125" t="s">
        <v>53</v>
      </c>
      <c r="EQ4" s="125" t="s">
        <v>57</v>
      </c>
      <c r="ER4" s="125" t="s">
        <v>58</v>
      </c>
      <c r="ES4" s="125" t="s">
        <v>56</v>
      </c>
      <c r="ET4" s="39" t="s">
        <v>53</v>
      </c>
      <c r="EU4" s="39" t="s">
        <v>57</v>
      </c>
      <c r="EV4" s="39" t="s">
        <v>58</v>
      </c>
      <c r="EW4" s="39" t="s">
        <v>56</v>
      </c>
      <c r="EX4" s="125" t="s">
        <v>53</v>
      </c>
      <c r="EY4" s="125" t="s">
        <v>57</v>
      </c>
      <c r="EZ4" s="125" t="s">
        <v>58</v>
      </c>
      <c r="FA4" s="125" t="s">
        <v>56</v>
      </c>
      <c r="FB4" s="39" t="s">
        <v>53</v>
      </c>
      <c r="FC4" s="39" t="s">
        <v>57</v>
      </c>
      <c r="FD4" s="39" t="s">
        <v>58</v>
      </c>
      <c r="FE4" s="39" t="s">
        <v>56</v>
      </c>
      <c r="FF4" s="125" t="s">
        <v>53</v>
      </c>
      <c r="FG4" s="125" t="s">
        <v>57</v>
      </c>
      <c r="FH4" s="125" t="s">
        <v>58</v>
      </c>
      <c r="FI4" s="125" t="s">
        <v>56</v>
      </c>
      <c r="FJ4" s="39" t="s">
        <v>53</v>
      </c>
      <c r="FK4" s="39" t="s">
        <v>57</v>
      </c>
      <c r="FL4" s="39" t="s">
        <v>58</v>
      </c>
      <c r="FM4" s="39" t="s">
        <v>56</v>
      </c>
      <c r="FN4" s="125" t="s">
        <v>53</v>
      </c>
      <c r="FO4" s="125" t="s">
        <v>57</v>
      </c>
      <c r="FP4" s="125" t="s">
        <v>58</v>
      </c>
      <c r="FQ4" s="125" t="s">
        <v>56</v>
      </c>
      <c r="FR4" s="39" t="s">
        <v>53</v>
      </c>
      <c r="FS4" s="39" t="s">
        <v>57</v>
      </c>
      <c r="FT4" s="39" t="s">
        <v>58</v>
      </c>
      <c r="FU4" s="39" t="s">
        <v>56</v>
      </c>
      <c r="FV4" s="125" t="s">
        <v>53</v>
      </c>
      <c r="FW4" s="125" t="s">
        <v>57</v>
      </c>
      <c r="FX4" s="125" t="s">
        <v>58</v>
      </c>
      <c r="FY4" s="125" t="s">
        <v>56</v>
      </c>
      <c r="FZ4" s="39" t="s">
        <v>53</v>
      </c>
      <c r="GA4" s="39" t="s">
        <v>57</v>
      </c>
      <c r="GB4" s="39" t="s">
        <v>58</v>
      </c>
      <c r="GC4" s="39" t="s">
        <v>56</v>
      </c>
      <c r="GD4" s="125" t="s">
        <v>53</v>
      </c>
      <c r="GE4" s="125" t="s">
        <v>57</v>
      </c>
      <c r="GF4" s="125" t="s">
        <v>58</v>
      </c>
      <c r="GG4" s="125" t="s">
        <v>56</v>
      </c>
      <c r="GH4" s="39" t="s">
        <v>53</v>
      </c>
      <c r="GI4" s="39" t="s">
        <v>57</v>
      </c>
      <c r="GJ4" s="39" t="s">
        <v>58</v>
      </c>
      <c r="GK4" s="39" t="s">
        <v>56</v>
      </c>
      <c r="GL4" s="125" t="s">
        <v>53</v>
      </c>
      <c r="GM4" s="125" t="s">
        <v>57</v>
      </c>
      <c r="GN4" s="125" t="s">
        <v>58</v>
      </c>
      <c r="GO4" s="125" t="s">
        <v>56</v>
      </c>
      <c r="GP4" s="39" t="s">
        <v>53</v>
      </c>
      <c r="GQ4" s="39" t="s">
        <v>57</v>
      </c>
      <c r="GR4" s="39" t="s">
        <v>58</v>
      </c>
      <c r="GS4" s="39" t="s">
        <v>56</v>
      </c>
      <c r="GT4" s="125" t="s">
        <v>53</v>
      </c>
      <c r="GU4" s="125" t="s">
        <v>57</v>
      </c>
      <c r="GV4" s="125" t="s">
        <v>58</v>
      </c>
      <c r="GW4" s="125" t="s">
        <v>56</v>
      </c>
      <c r="GX4" s="39" t="s">
        <v>53</v>
      </c>
      <c r="GY4" s="39" t="s">
        <v>57</v>
      </c>
      <c r="GZ4" s="39" t="s">
        <v>58</v>
      </c>
      <c r="HA4" s="39" t="s">
        <v>56</v>
      </c>
      <c r="HB4" s="125" t="s">
        <v>53</v>
      </c>
      <c r="HC4" s="125" t="s">
        <v>57</v>
      </c>
      <c r="HD4" s="125" t="s">
        <v>58</v>
      </c>
      <c r="HE4" s="125" t="s">
        <v>56</v>
      </c>
    </row>
    <row r="5" spans="1:213">
      <c r="A5" s="2"/>
      <c r="B5" s="1"/>
      <c r="C5" s="71"/>
      <c r="D5" s="61"/>
      <c r="E5" s="63"/>
      <c r="F5" s="49"/>
      <c r="G5" s="89"/>
      <c r="I5" s="602">
        <v>1</v>
      </c>
      <c r="K5" s="46"/>
      <c r="M5" s="28"/>
      <c r="N5" s="137">
        <v>1</v>
      </c>
      <c r="P5" s="138">
        <v>10</v>
      </c>
      <c r="Q5" s="29">
        <v>60000</v>
      </c>
      <c r="R5" s="25" t="s">
        <v>257</v>
      </c>
      <c r="T5" s="20"/>
      <c r="U5" s="20"/>
      <c r="V5" s="19"/>
      <c r="W5" s="20"/>
      <c r="X5" s="103"/>
      <c r="Y5" s="103"/>
      <c r="Z5" s="104"/>
      <c r="AA5" s="773"/>
      <c r="AB5" s="21"/>
      <c r="AD5" s="26"/>
      <c r="AE5" s="27"/>
      <c r="AF5" s="778"/>
      <c r="AG5" s="28"/>
      <c r="AH5" s="28"/>
      <c r="AJ5" s="41"/>
      <c r="AK5" s="41">
        <v>8</v>
      </c>
      <c r="AL5" s="890">
        <v>2994440</v>
      </c>
      <c r="AM5" s="40">
        <f>ROUND(AL5*9%,-1)</f>
        <v>269500</v>
      </c>
      <c r="AN5" s="40">
        <v>97230</v>
      </c>
      <c r="AO5" s="40">
        <v>9970</v>
      </c>
      <c r="AP5" s="891">
        <f>ROUND(AL5*(1+$AP$3),-1)</f>
        <v>3045350</v>
      </c>
      <c r="AQ5" s="131">
        <f>ROUND(AP5*$AQ$3,-1)</f>
        <v>274080</v>
      </c>
      <c r="AR5" s="130">
        <f>ROUND(AP5*$AR$3,-1)</f>
        <v>107960</v>
      </c>
      <c r="AS5" s="130">
        <f>ROUND(AR5*$AS$3,-1)</f>
        <v>6990</v>
      </c>
      <c r="AT5" s="40">
        <f>AP5*(1+AT$3)</f>
        <v>3151937.2499999995</v>
      </c>
      <c r="AU5" s="40">
        <f t="shared" ref="AU5:AU47" si="0">ROUNDDOWN(AT5*AU$3,-1)</f>
        <v>283670</v>
      </c>
      <c r="AV5" s="40">
        <f t="shared" ref="AV5:AV48" si="1">ROUNDDOWN(AT5*AV$3,-1)</f>
        <v>113630</v>
      </c>
      <c r="AW5" s="40">
        <f>ROUNDDOWN(AV5*AW$3,-1)</f>
        <v>7350</v>
      </c>
      <c r="AX5" s="128">
        <f>AT5*(1+AX$3)</f>
        <v>3230735.6812499994</v>
      </c>
      <c r="AY5" s="128">
        <f t="shared" ref="AY5:AY47" si="2">ROUNDDOWN(AX5*AY$3,-1)</f>
        <v>290760</v>
      </c>
      <c r="AZ5" s="128">
        <f t="shared" ref="AZ5:AZ47" si="3">ROUNDDOWN(AX5*AZ$3,-1)</f>
        <v>116470</v>
      </c>
      <c r="BA5" s="128">
        <f>ROUNDDOWN(AZ5*BA$3,-1)</f>
        <v>7540</v>
      </c>
      <c r="BB5" s="40">
        <f>AX5*(1+BB$3)</f>
        <v>3311504.073281249</v>
      </c>
      <c r="BC5" s="40">
        <f t="shared" ref="BC5:BC47" si="4">ROUNDDOWN(BB5*BC$3,-1)</f>
        <v>298030</v>
      </c>
      <c r="BD5" s="40">
        <f t="shared" ref="BD5:BD47" si="5">ROUNDDOWN(BB5*BD$3,-1)</f>
        <v>122370</v>
      </c>
      <c r="BE5" s="40">
        <f>ROUNDDOWN(BD5*BE$3,-1)</f>
        <v>7920</v>
      </c>
      <c r="BF5" s="128">
        <f>BB5*(1+BF$3)</f>
        <v>3394291.6751132798</v>
      </c>
      <c r="BG5" s="128">
        <f t="shared" ref="BG5:BG47" si="6">ROUNDDOWN(BF5*BG$3,-1)</f>
        <v>305480</v>
      </c>
      <c r="BH5" s="128">
        <f t="shared" ref="BH5:BH47" si="7">ROUNDDOWN(BF5*BH$3,-1)</f>
        <v>125430</v>
      </c>
      <c r="BI5" s="128">
        <f>ROUNDDOWN(BH5*BI$3,-1)</f>
        <v>8120</v>
      </c>
      <c r="BJ5" s="40">
        <f>BF5*(1+BJ$3)</f>
        <v>3479148.9669911116</v>
      </c>
      <c r="BK5" s="40">
        <f t="shared" ref="BK5:BK47" si="8">ROUNDDOWN(BJ5*BK$3,-1)</f>
        <v>313120</v>
      </c>
      <c r="BL5" s="40">
        <f t="shared" ref="BL5:BL47" si="9">ROUNDDOWN(BJ5*BL$3,-1)</f>
        <v>131780</v>
      </c>
      <c r="BM5" s="40">
        <f>ROUNDDOWN(BL5*BM$3,-1)</f>
        <v>8530</v>
      </c>
      <c r="BN5" s="128">
        <f>BJ5*(1+BN$3)</f>
        <v>3566127.6911658891</v>
      </c>
      <c r="BO5" s="128">
        <f t="shared" ref="BO5:BO47" si="10">ROUNDDOWN(BN5*BO$3,-1)</f>
        <v>320950</v>
      </c>
      <c r="BP5" s="128">
        <f t="shared" ref="BP5:BP47" si="11">ROUNDDOWN(BN5*BP$3,-1)</f>
        <v>138450</v>
      </c>
      <c r="BQ5" s="128">
        <f>ROUNDDOWN(BP5*BQ$3,-1)</f>
        <v>8960</v>
      </c>
      <c r="BR5" s="40">
        <f>BN5*(1+BR$3)</f>
        <v>3655280.8834450361</v>
      </c>
      <c r="BS5" s="40">
        <f t="shared" ref="BS5:BS47" si="12">ROUNDDOWN(BR5*BS$3,-1)</f>
        <v>328970</v>
      </c>
      <c r="BT5" s="40">
        <f t="shared" ref="BT5:BT47" si="13">ROUNDDOWN(BR5*BT$3,-1)</f>
        <v>141910</v>
      </c>
      <c r="BU5" s="40">
        <f>ROUNDDOWN(BT5*BU$3,-1)</f>
        <v>9180</v>
      </c>
      <c r="BV5" s="128">
        <f>BR5*(1+BV$3)</f>
        <v>3746662.9055311619</v>
      </c>
      <c r="BW5" s="128">
        <f t="shared" ref="BW5:BW47" si="14">ROUNDDOWN(BV5*BW$3,-1)</f>
        <v>337190</v>
      </c>
      <c r="BX5" s="128">
        <f t="shared" ref="BX5:BX47" si="15">ROUNDDOWN(BV5*BX$3,-1)</f>
        <v>149090</v>
      </c>
      <c r="BY5" s="128">
        <f>ROUNDDOWN(BX5*BY$3,-1)</f>
        <v>9650</v>
      </c>
      <c r="BZ5" s="40">
        <f>BV5*(1+BZ$3)</f>
        <v>3840329.4781694408</v>
      </c>
      <c r="CA5" s="40">
        <f t="shared" ref="CA5:CA47" si="16">ROUNDDOWN(BZ5*CA$3,-1)</f>
        <v>345620</v>
      </c>
      <c r="CB5" s="40">
        <f t="shared" ref="CB5:CB47" si="17">ROUNDDOWN(BZ5*CB$3,-1)</f>
        <v>152820</v>
      </c>
      <c r="CC5" s="40">
        <f>ROUNDDOWN(CB5*CC$3,-1)</f>
        <v>9890</v>
      </c>
      <c r="CD5" s="128">
        <f>BZ5*(1+CD$3)</f>
        <v>3936337.7151236762</v>
      </c>
      <c r="CE5" s="128">
        <f t="shared" ref="CE5:CE47" si="18">ROUNDDOWN(CD5*CE$3,-1)</f>
        <v>354270</v>
      </c>
      <c r="CF5" s="128">
        <f t="shared" ref="CF5:CF47" si="19">ROUNDDOWN(CD5*CF$3,-1)</f>
        <v>156640</v>
      </c>
      <c r="CG5" s="128">
        <f>ROUNDDOWN(CF5*CG$3,-1)</f>
        <v>10140</v>
      </c>
      <c r="CH5" s="40">
        <f>CD5*(1+CH$3)</f>
        <v>4034746.1580017679</v>
      </c>
      <c r="CI5" s="40">
        <f t="shared" ref="CI5:CI47" si="20">ROUNDDOWN(CH5*CI$3,-1)</f>
        <v>363120</v>
      </c>
      <c r="CJ5" s="40">
        <f t="shared" ref="CJ5:CJ47" si="21">ROUNDDOWN(CH5*CJ$3,-1)</f>
        <v>160560</v>
      </c>
      <c r="CK5" s="40">
        <f>ROUNDDOWN(CJ5*CK$3,-1)</f>
        <v>10390</v>
      </c>
      <c r="CL5" s="128">
        <f>CH5*(1+CL$3)</f>
        <v>4135614.8119518119</v>
      </c>
      <c r="CM5" s="128">
        <f t="shared" ref="CM5:CM47" si="22">ROUNDDOWN(CL5*CM$3,-1)</f>
        <v>372200</v>
      </c>
      <c r="CN5" s="128">
        <f t="shared" ref="CN5:CN47" si="23">ROUNDDOWN(CL5*CN$3,-1)</f>
        <v>164570</v>
      </c>
      <c r="CO5" s="128">
        <f>ROUNDDOWN(CN5*CO$3,-1)</f>
        <v>10650</v>
      </c>
      <c r="CP5" s="40">
        <f>CL5*(1+CP$3)</f>
        <v>4239005.1822506068</v>
      </c>
      <c r="CQ5" s="40">
        <f t="shared" ref="CQ5:CQ47" si="24">ROUNDDOWN(CP5*CQ$3,-1)</f>
        <v>381510</v>
      </c>
      <c r="CR5" s="40">
        <f t="shared" ref="CR5:CR47" si="25">ROUNDDOWN(CP5*CR$3,-1)</f>
        <v>168690</v>
      </c>
      <c r="CS5" s="40">
        <f>ROUNDDOWN(CR5*CS$3,-1)</f>
        <v>10920</v>
      </c>
      <c r="CT5" s="128">
        <f>CP5*(1+CT$3)</f>
        <v>4344980.3118068716</v>
      </c>
      <c r="CU5" s="128">
        <f t="shared" ref="CU5:CU47" si="26">ROUNDDOWN(CT5*CU$3,-1)</f>
        <v>391040</v>
      </c>
      <c r="CV5" s="128">
        <f t="shared" ref="CV5:CV47" si="27">ROUNDDOWN(CT5*CV$3,-1)</f>
        <v>172910</v>
      </c>
      <c r="CW5" s="128">
        <f>ROUNDDOWN(CV5*CW$3,-1)</f>
        <v>11190</v>
      </c>
      <c r="CX5" s="40">
        <f>CT5*(1+CX$3)</f>
        <v>4453604.8196020434</v>
      </c>
      <c r="CY5" s="40">
        <f t="shared" ref="CY5:CY47" si="28">ROUNDDOWN(CX5*CY$3,-1)</f>
        <v>400820</v>
      </c>
      <c r="CZ5" s="40">
        <f t="shared" ref="CZ5:CZ47" si="29">ROUNDDOWN(CX5*CZ$3,-1)</f>
        <v>177230</v>
      </c>
      <c r="DA5" s="40">
        <f>ROUNDDOWN(CZ5*DA$3,-1)</f>
        <v>11470</v>
      </c>
      <c r="DB5" s="128">
        <f>CX5*(1+DB$3)</f>
        <v>4564944.9400920942</v>
      </c>
      <c r="DC5" s="128">
        <f t="shared" ref="DC5:DC47" si="30">ROUNDDOWN(DB5*DC$3,-1)</f>
        <v>410840</v>
      </c>
      <c r="DD5" s="128">
        <f t="shared" ref="DD5:DD47" si="31">ROUNDDOWN(DB5*DD$3,-1)</f>
        <v>181660</v>
      </c>
      <c r="DE5" s="128">
        <f>ROUNDDOWN(DD5*DE$3,-1)</f>
        <v>11760</v>
      </c>
      <c r="DF5" s="40">
        <f>DB5*(1+DF$3)</f>
        <v>4679068.5635943962</v>
      </c>
      <c r="DG5" s="40">
        <f t="shared" ref="DG5:DG46" si="32">ROUNDDOWN(DF5*DG$3,-1)</f>
        <v>421110</v>
      </c>
      <c r="DH5" s="40">
        <f t="shared" ref="DH5:DH46" si="33">ROUNDDOWN(DF5*DH$3,-1)</f>
        <v>186200</v>
      </c>
      <c r="DI5" s="40">
        <f>ROUNDDOWN(DH5*DI$3,-1)</f>
        <v>12050</v>
      </c>
      <c r="DJ5" s="128">
        <f>DF5*(1+DJ$3)</f>
        <v>4796045.2776842555</v>
      </c>
      <c r="DK5" s="128">
        <f t="shared" ref="DK5:DK46" si="34">ROUNDDOWN(DJ5*DK$3,-1)</f>
        <v>431640</v>
      </c>
      <c r="DL5" s="128">
        <f t="shared" ref="DL5:DL46" si="35">ROUNDDOWN(DJ5*DL$3,-1)</f>
        <v>190860</v>
      </c>
      <c r="DM5" s="128">
        <f>ROUNDDOWN(DL5*DM$3,-1)</f>
        <v>12350</v>
      </c>
      <c r="DN5" s="40">
        <f>DJ5*(1+DN$3)</f>
        <v>4915946.4096263619</v>
      </c>
      <c r="DO5" s="40">
        <f t="shared" ref="DO5:DO46" si="36">ROUNDDOWN(DN5*DO$3,-1)</f>
        <v>442430</v>
      </c>
      <c r="DP5" s="40">
        <f t="shared" ref="DP5:DP46" si="37">ROUNDDOWN(DN5*DP$3,-1)</f>
        <v>195630</v>
      </c>
      <c r="DQ5" s="40">
        <f>ROUNDDOWN(DP5*DQ$3,-1)</f>
        <v>12660</v>
      </c>
      <c r="DR5" s="128">
        <f>DN5*(1+DR$3)</f>
        <v>5038845.0698670205</v>
      </c>
      <c r="DS5" s="128">
        <f t="shared" ref="DS5:DS46" si="38">ROUNDDOWN(DR5*DS$3,-1)</f>
        <v>453490</v>
      </c>
      <c r="DT5" s="128">
        <f t="shared" ref="DT5:DT46" si="39">ROUNDDOWN(DR5*DT$3,-1)</f>
        <v>200520</v>
      </c>
      <c r="DU5" s="128">
        <f>ROUNDDOWN(DT5*DU$3,-1)</f>
        <v>12980</v>
      </c>
      <c r="DV5" s="40">
        <f>DR5*(1+DV$3)</f>
        <v>5164816.1966136955</v>
      </c>
      <c r="DW5" s="40">
        <f t="shared" ref="DW5:DW46" si="40">ROUNDDOWN(DV5*DW$3,-1)</f>
        <v>464830</v>
      </c>
      <c r="DX5" s="40">
        <f t="shared" ref="DX5:DX46" si="41">ROUNDDOWN(DV5*DX$3,-1)</f>
        <v>205530</v>
      </c>
      <c r="DY5" s="40">
        <f>ROUNDDOWN(DX5*DY$3,-1)</f>
        <v>13300</v>
      </c>
      <c r="DZ5" s="128">
        <f>DV5*(1+DZ$3)</f>
        <v>5293936.6015290376</v>
      </c>
      <c r="EA5" s="128">
        <f t="shared" ref="EA5:EA46" si="42">ROUNDDOWN(DZ5*EA$3,-1)</f>
        <v>476450</v>
      </c>
      <c r="EB5" s="128">
        <f t="shared" ref="EB5:EB46" si="43">ROUNDDOWN(DZ5*EB$3,-1)</f>
        <v>210670</v>
      </c>
      <c r="EC5" s="128">
        <f>ROUNDDOWN(EB5*EC$3,-1)</f>
        <v>13640</v>
      </c>
      <c r="ED5" s="40">
        <f>DZ5*(1+ED$3)</f>
        <v>5426285.0165672628</v>
      </c>
      <c r="EE5" s="40">
        <f t="shared" ref="EE5:EE46" si="44">ROUNDDOWN(ED5*EE$3,-1)</f>
        <v>488360</v>
      </c>
      <c r="EF5" s="40">
        <f t="shared" ref="EF5:EF46" si="45">ROUNDDOWN(ED5*EF$3,-1)</f>
        <v>215940</v>
      </c>
      <c r="EG5" s="40">
        <f>ROUNDDOWN(EF5*EG$3,-1)</f>
        <v>13980</v>
      </c>
      <c r="EH5" s="128">
        <f>ED5*(1+EH$3)</f>
        <v>5561942.1419814443</v>
      </c>
      <c r="EI5" s="128">
        <f t="shared" ref="EI5:EI46" si="46">ROUNDDOWN(EH5*EI$3,-1)</f>
        <v>500570</v>
      </c>
      <c r="EJ5" s="128">
        <f t="shared" ref="EJ5:EJ46" si="47">ROUNDDOWN(EH5*EJ$3,-1)</f>
        <v>221330</v>
      </c>
      <c r="EK5" s="128">
        <f>ROUNDDOWN(EJ5*EK$3,-1)</f>
        <v>14330</v>
      </c>
      <c r="EL5" s="40">
        <f>EH5*(1+EL$3)</f>
        <v>5700990.6955309799</v>
      </c>
      <c r="EM5" s="40">
        <f t="shared" ref="EM5:EM46" si="48">ROUNDDOWN(EL5*EM$3,-1)</f>
        <v>513080</v>
      </c>
      <c r="EN5" s="40">
        <f t="shared" ref="EN5:EN46" si="49">ROUNDDOWN(EL5*EN$3,-1)</f>
        <v>226870</v>
      </c>
      <c r="EO5" s="40">
        <f>ROUNDDOWN(EN5*EO$3,-1)</f>
        <v>14680</v>
      </c>
      <c r="EP5" s="128">
        <f>EL5*(1+EP$3)</f>
        <v>5843515.4629192539</v>
      </c>
      <c r="EQ5" s="128">
        <f t="shared" ref="EQ5:EQ46" si="50">ROUNDDOWN(EP5*EQ$3,-1)</f>
        <v>525910</v>
      </c>
      <c r="ER5" s="128">
        <f t="shared" ref="ER5:ER46" si="51">ROUNDDOWN(EP5*ER$3,-1)</f>
        <v>232540</v>
      </c>
      <c r="ES5" s="128">
        <f>ROUNDDOWN(ER5*ES$3,-1)</f>
        <v>15050</v>
      </c>
      <c r="ET5" s="40">
        <f>EP5*(1+ET$3)</f>
        <v>5989603.3494922351</v>
      </c>
      <c r="EU5" s="40">
        <f t="shared" ref="EU5:EU46" si="52">ROUNDDOWN(ET5*EU$3,-1)</f>
        <v>539060</v>
      </c>
      <c r="EV5" s="40">
        <f t="shared" ref="EV5:EV46" si="53">ROUNDDOWN(ET5*EV$3,-1)</f>
        <v>238350</v>
      </c>
      <c r="EW5" s="40">
        <f>ROUNDDOWN(EV5*EW$3,-1)</f>
        <v>15430</v>
      </c>
      <c r="EX5" s="128">
        <f>ET5*(1+EX$3)</f>
        <v>6139343.4332295405</v>
      </c>
      <c r="EY5" s="128">
        <f t="shared" ref="EY5:EY46" si="54">ROUNDDOWN(EX5*EY$3,-1)</f>
        <v>552540</v>
      </c>
      <c r="EZ5" s="128">
        <f t="shared" ref="EZ5:EZ46" si="55">ROUNDDOWN(EX5*EZ$3,-1)</f>
        <v>244310</v>
      </c>
      <c r="FA5" s="128">
        <f>ROUNDDOWN(EZ5*FA$3,-1)</f>
        <v>15810</v>
      </c>
      <c r="FB5" s="40">
        <f>EX5*(1+FB$3)</f>
        <v>6292827.0190602783</v>
      </c>
      <c r="FC5" s="40">
        <f t="shared" ref="FC5:FC46" si="56">ROUNDDOWN(FB5*FC$3,-1)</f>
        <v>566350</v>
      </c>
      <c r="FD5" s="40">
        <f t="shared" ref="FD5:FD46" si="57">ROUNDDOWN(FB5*FD$3,-1)</f>
        <v>250420</v>
      </c>
      <c r="FE5" s="40">
        <f>ROUNDDOWN(FD5*FE$3,-1)</f>
        <v>16210</v>
      </c>
      <c r="FF5" s="128">
        <f>FB5*(1+FF$3)</f>
        <v>6450147.6945367847</v>
      </c>
      <c r="FG5" s="128">
        <f t="shared" ref="FG5:FG46" si="58">ROUNDDOWN(FF5*FG$3,-1)</f>
        <v>580510</v>
      </c>
      <c r="FH5" s="128">
        <f t="shared" ref="FH5:FH46" si="59">ROUNDDOWN(FF5*FH$3,-1)</f>
        <v>256680</v>
      </c>
      <c r="FI5" s="128">
        <f>ROUNDDOWN(FH5*FI$3,-1)</f>
        <v>16620</v>
      </c>
      <c r="FJ5" s="40">
        <f>FF5*(1+FJ$3)</f>
        <v>6611401.3869002033</v>
      </c>
      <c r="FK5" s="40">
        <f t="shared" ref="FK5:FK46" si="60">ROUNDDOWN(FJ5*FK$3,-1)</f>
        <v>595020</v>
      </c>
      <c r="FL5" s="40">
        <f t="shared" ref="FL5:FL46" si="61">ROUNDDOWN(FJ5*FL$3,-1)</f>
        <v>263100</v>
      </c>
      <c r="FM5" s="40">
        <f>ROUNDDOWN(FL5*FM$3,-1)</f>
        <v>17030</v>
      </c>
      <c r="FN5" s="128">
        <f>FJ5*(1+FN$3)</f>
        <v>6776686.4215727076</v>
      </c>
      <c r="FO5" s="128">
        <f t="shared" ref="FO5:FO46" si="62">ROUNDDOWN(FN5*FO$3,-1)</f>
        <v>609900</v>
      </c>
      <c r="FP5" s="128">
        <f t="shared" ref="FP5:FP46" si="63">ROUNDDOWN(FN5*FP$3,-1)</f>
        <v>269680</v>
      </c>
      <c r="FQ5" s="128">
        <f>ROUNDDOWN(FP5*FQ$3,-1)</f>
        <v>17460</v>
      </c>
      <c r="FR5" s="40">
        <f>FN5*(1+FR$3)</f>
        <v>6946103.5821120245</v>
      </c>
      <c r="FS5" s="40">
        <f t="shared" ref="FS5:FS46" si="64">ROUNDDOWN(FR5*FS$3,-1)</f>
        <v>625140</v>
      </c>
      <c r="FT5" s="40">
        <f t="shared" ref="FT5:FT46" si="65">ROUNDDOWN(FR5*FT$3,-1)</f>
        <v>276420</v>
      </c>
      <c r="FU5" s="40">
        <f>ROUNDDOWN(FT5*FU$3,-1)</f>
        <v>17890</v>
      </c>
      <c r="FV5" s="128">
        <f>FR5*(1+FV$3)</f>
        <v>7119756.1716648247</v>
      </c>
      <c r="FW5" s="128">
        <f t="shared" ref="FW5:FW46" si="66">ROUNDDOWN(FV5*FW$3,-1)</f>
        <v>640770</v>
      </c>
      <c r="FX5" s="128">
        <f t="shared" ref="FX5:FX46" si="67">ROUNDDOWN(FV5*FX$3,-1)</f>
        <v>283330</v>
      </c>
      <c r="FY5" s="128">
        <f>ROUNDDOWN(FX5*FY$3,-1)</f>
        <v>18340</v>
      </c>
      <c r="FZ5" s="40">
        <f>FV5*(1+FZ$3)</f>
        <v>7297750.0759564443</v>
      </c>
      <c r="GA5" s="40">
        <f t="shared" ref="GA5:GA46" si="68">ROUNDDOWN(FZ5*GA$3,-1)</f>
        <v>656790</v>
      </c>
      <c r="GB5" s="40">
        <f t="shared" ref="GB5:GB46" si="69">ROUNDDOWN(FZ5*GB$3,-1)</f>
        <v>290410</v>
      </c>
      <c r="GC5" s="40">
        <f>ROUNDDOWN(GB5*GC$3,-1)</f>
        <v>18800</v>
      </c>
      <c r="GD5" s="128">
        <f>FZ5*(1+GD$3)</f>
        <v>7480193.8278553551</v>
      </c>
      <c r="GE5" s="128">
        <f t="shared" ref="GE5:GE46" si="70">ROUNDDOWN(GD5*GE$3,-1)</f>
        <v>673210</v>
      </c>
      <c r="GF5" s="128">
        <f t="shared" ref="GF5:GF46" si="71">ROUNDDOWN(GD5*GF$3,-1)</f>
        <v>297670</v>
      </c>
      <c r="GG5" s="128">
        <f>ROUNDDOWN(GF5*GG$3,-1)</f>
        <v>19270</v>
      </c>
      <c r="GH5" s="40">
        <f>GD5*(1+GH$3)</f>
        <v>7667198.6735517383</v>
      </c>
      <c r="GI5" s="40">
        <f t="shared" ref="GI5:GI46" si="72">ROUNDDOWN(GH5*GI$3,-1)</f>
        <v>690040</v>
      </c>
      <c r="GJ5" s="40">
        <f t="shared" ref="GJ5:GJ46" si="73">ROUNDDOWN(GH5*GJ$3,-1)</f>
        <v>305110</v>
      </c>
      <c r="GK5" s="40">
        <f>ROUNDDOWN(GJ5*GK$3,-1)</f>
        <v>19750</v>
      </c>
      <c r="GL5" s="128">
        <f>GH5*(1+GL$3)</f>
        <v>7858878.6403905312</v>
      </c>
      <c r="GM5" s="128">
        <f t="shared" ref="GM5:GM46" si="74">ROUNDDOWN(GL5*GM$3,-1)</f>
        <v>707290</v>
      </c>
      <c r="GN5" s="128">
        <f t="shared" ref="GN5:GN46" si="75">ROUNDDOWN(GL5*GN$3,-1)</f>
        <v>312740</v>
      </c>
      <c r="GO5" s="128">
        <f>ROUNDDOWN(GN5*GO$3,-1)</f>
        <v>20240</v>
      </c>
      <c r="GP5" s="40">
        <f>GL5*(1+GP$3)</f>
        <v>8055350.6064002933</v>
      </c>
      <c r="GQ5" s="40">
        <f t="shared" ref="GQ5:GQ46" si="76">ROUNDDOWN(GP5*GQ$3,-1)</f>
        <v>724980</v>
      </c>
      <c r="GR5" s="40">
        <f t="shared" ref="GR5:GR46" si="77">ROUNDDOWN(GP5*GR$3,-1)</f>
        <v>320560</v>
      </c>
      <c r="GS5" s="40">
        <f>ROUNDDOWN(GR5*GS$3,-1)</f>
        <v>20750</v>
      </c>
      <c r="GT5" s="128">
        <f>GP5*(1+GT$3)</f>
        <v>8256734.3715602998</v>
      </c>
      <c r="GU5" s="128">
        <f t="shared" ref="GU5:GU46" si="78">ROUNDDOWN(GT5*GU$3,-1)</f>
        <v>743100</v>
      </c>
      <c r="GV5" s="128">
        <f t="shared" ref="GV5:GV46" si="79">ROUNDDOWN(GT5*GV$3,-1)</f>
        <v>328570</v>
      </c>
      <c r="GW5" s="128">
        <f>ROUNDDOWN(GV5*GW$3,-1)</f>
        <v>21270</v>
      </c>
      <c r="GX5" s="40">
        <f>GT5*(1+GX$3)</f>
        <v>8463152.730849307</v>
      </c>
      <c r="GY5" s="40">
        <f t="shared" ref="GY5:GY46" si="80">ROUNDDOWN(GX5*GY$3,-1)</f>
        <v>761680</v>
      </c>
      <c r="GZ5" s="40">
        <f t="shared" ref="GZ5:GZ46" si="81">ROUNDDOWN(GX5*GZ$3,-1)</f>
        <v>336790</v>
      </c>
      <c r="HA5" s="40">
        <f>ROUNDDOWN(GZ5*HA$3,-1)</f>
        <v>21800</v>
      </c>
      <c r="HB5" s="128" t="e">
        <f>GX5*(1+HB$3)</f>
        <v>#REF!</v>
      </c>
      <c r="HC5" s="128" t="e">
        <f t="shared" ref="HC5:HC46" si="82">ROUNDDOWN(HB5*HC$3,-1)</f>
        <v>#REF!</v>
      </c>
      <c r="HD5" s="128" t="e">
        <f t="shared" ref="HD5:HD46" si="83">ROUNDDOWN(HB5*HD$3,-1)</f>
        <v>#REF!</v>
      </c>
      <c r="HE5" s="128" t="e">
        <f>ROUNDDOWN(HD5*HE$3,-1)</f>
        <v>#REF!</v>
      </c>
    </row>
    <row r="6" spans="1:213">
      <c r="A6" s="2"/>
      <c r="B6" s="1"/>
      <c r="C6" s="71"/>
      <c r="D6" s="61"/>
      <c r="E6" s="63"/>
      <c r="F6" s="49"/>
      <c r="G6" s="87"/>
      <c r="I6" s="602">
        <v>2</v>
      </c>
      <c r="K6" s="24"/>
      <c r="M6" s="28"/>
      <c r="N6" s="137">
        <v>2</v>
      </c>
      <c r="P6" s="138">
        <v>15</v>
      </c>
      <c r="Q6" s="30">
        <v>80000</v>
      </c>
      <c r="R6" s="25" t="s">
        <v>222</v>
      </c>
      <c r="T6" s="20"/>
      <c r="U6" s="20"/>
      <c r="V6" s="19"/>
      <c r="W6" s="20"/>
      <c r="X6" s="103"/>
      <c r="Y6" s="103"/>
      <c r="Z6" s="104"/>
      <c r="AA6" s="773"/>
      <c r="AB6" s="21"/>
      <c r="AD6" s="26"/>
      <c r="AE6" s="27"/>
      <c r="AF6" s="778"/>
      <c r="AG6" s="28"/>
      <c r="AH6" s="28"/>
      <c r="AJ6" s="41">
        <v>0</v>
      </c>
      <c r="AK6" s="41">
        <v>9</v>
      </c>
      <c r="AL6" s="890">
        <v>3147350</v>
      </c>
      <c r="AM6" s="40">
        <f t="shared" ref="AM6:AM48" si="84">ROUND(AL6*9%,-1)</f>
        <v>283260</v>
      </c>
      <c r="AN6" s="40">
        <v>102200</v>
      </c>
      <c r="AO6" s="40">
        <v>10480</v>
      </c>
      <c r="AP6" s="891">
        <f t="shared" ref="AP6:AP48" si="85">ROUND(AL6*(1+$AP$3),-1)</f>
        <v>3200850</v>
      </c>
      <c r="AQ6" s="131">
        <f t="shared" ref="AQ6:AQ48" si="86">ROUND(AP6*$AQ$3,-1)</f>
        <v>288080</v>
      </c>
      <c r="AR6" s="130">
        <f t="shared" ref="AR6:AR47" si="87">ROUND(AP6*$AR$3,-1)</f>
        <v>113470</v>
      </c>
      <c r="AS6" s="128">
        <f t="shared" ref="AS6:AS48" si="88">ROUND(AR6*$AS$3,-1)</f>
        <v>7350</v>
      </c>
      <c r="AT6" s="40">
        <f t="shared" ref="AT6:AT48" si="89">AP6*(1+AT$3)</f>
        <v>3312879.7499999995</v>
      </c>
      <c r="AU6" s="40">
        <f t="shared" si="0"/>
        <v>298150</v>
      </c>
      <c r="AV6" s="40">
        <f t="shared" si="1"/>
        <v>119430</v>
      </c>
      <c r="AW6" s="40">
        <f t="shared" ref="AW6:AW47" si="90">ROUNDDOWN(AV6*AW$3,-1)</f>
        <v>7730</v>
      </c>
      <c r="AX6" s="128">
        <f t="shared" ref="AX6:AX48" si="91">AT6*(1+AX$3)</f>
        <v>3395701.7437499994</v>
      </c>
      <c r="AY6" s="128">
        <f t="shared" si="2"/>
        <v>305610</v>
      </c>
      <c r="AZ6" s="128">
        <f t="shared" si="3"/>
        <v>122420</v>
      </c>
      <c r="BA6" s="128">
        <f t="shared" ref="BA6:BA47" si="92">ROUNDDOWN(AZ6*BA$3,-1)</f>
        <v>7920</v>
      </c>
      <c r="BB6" s="40">
        <f t="shared" ref="BB6:BB48" si="93">AX6*(1+BB$3)</f>
        <v>3480594.2873437493</v>
      </c>
      <c r="BC6" s="40">
        <f t="shared" si="4"/>
        <v>313250</v>
      </c>
      <c r="BD6" s="40">
        <f t="shared" si="5"/>
        <v>128620</v>
      </c>
      <c r="BE6" s="40">
        <f t="shared" ref="BE6:BE47" si="94">ROUNDDOWN(BD6*BE$3,-1)</f>
        <v>8320</v>
      </c>
      <c r="BF6" s="128">
        <f t="shared" ref="BF6:BF48" si="95">BB6*(1+BF$3)</f>
        <v>3567609.1445273426</v>
      </c>
      <c r="BG6" s="128">
        <f t="shared" si="6"/>
        <v>321080</v>
      </c>
      <c r="BH6" s="128">
        <f t="shared" si="7"/>
        <v>131830</v>
      </c>
      <c r="BI6" s="128">
        <f t="shared" ref="BI6:BI47" si="96">ROUNDDOWN(BH6*BI$3,-1)</f>
        <v>8530</v>
      </c>
      <c r="BJ6" s="40">
        <f t="shared" ref="BJ6:BJ48" si="97">BF6*(1+BJ$3)</f>
        <v>3656799.373140526</v>
      </c>
      <c r="BK6" s="40">
        <f t="shared" si="8"/>
        <v>329110</v>
      </c>
      <c r="BL6" s="40">
        <f t="shared" si="9"/>
        <v>138510</v>
      </c>
      <c r="BM6" s="40">
        <f t="shared" ref="BM6:BM47" si="98">ROUNDDOWN(BL6*BM$3,-1)</f>
        <v>8960</v>
      </c>
      <c r="BN6" s="128">
        <f t="shared" ref="BN6:BN48" si="99">BJ6*(1+BN$3)</f>
        <v>3748219.357469039</v>
      </c>
      <c r="BO6" s="128">
        <f t="shared" si="10"/>
        <v>337330</v>
      </c>
      <c r="BP6" s="128">
        <f t="shared" si="11"/>
        <v>145520</v>
      </c>
      <c r="BQ6" s="128">
        <f t="shared" ref="BQ6:BQ47" si="100">ROUNDDOWN(BP6*BQ$3,-1)</f>
        <v>9420</v>
      </c>
      <c r="BR6" s="40">
        <f t="shared" ref="BR6:BR48" si="101">BN6*(1+BR$3)</f>
        <v>3841924.8414057647</v>
      </c>
      <c r="BS6" s="40">
        <f t="shared" si="12"/>
        <v>345770</v>
      </c>
      <c r="BT6" s="40">
        <f t="shared" si="13"/>
        <v>149160</v>
      </c>
      <c r="BU6" s="40">
        <f t="shared" ref="BU6:BU47" si="102">ROUNDDOWN(BT6*BU$3,-1)</f>
        <v>9650</v>
      </c>
      <c r="BV6" s="128">
        <f t="shared" ref="BV6:BV48" si="103">BR6*(1+BV$3)</f>
        <v>3937972.9624409084</v>
      </c>
      <c r="BW6" s="128">
        <f t="shared" si="14"/>
        <v>354410</v>
      </c>
      <c r="BX6" s="128">
        <f t="shared" si="15"/>
        <v>156710</v>
      </c>
      <c r="BY6" s="128">
        <f t="shared" ref="BY6:BY47" si="104">ROUNDDOWN(BX6*BY$3,-1)</f>
        <v>10140</v>
      </c>
      <c r="BZ6" s="40">
        <f t="shared" ref="BZ6:BZ48" si="105">BV6*(1+BZ$3)</f>
        <v>4036422.2865019306</v>
      </c>
      <c r="CA6" s="40">
        <f t="shared" si="16"/>
        <v>363270</v>
      </c>
      <c r="CB6" s="40">
        <f t="shared" si="17"/>
        <v>160630</v>
      </c>
      <c r="CC6" s="40">
        <f t="shared" ref="CC6:CC47" si="106">ROUNDDOWN(CB6*CC$3,-1)</f>
        <v>10400</v>
      </c>
      <c r="CD6" s="128">
        <f t="shared" ref="CD6:CD48" si="107">BZ6*(1+CD$3)</f>
        <v>4137332.8436644785</v>
      </c>
      <c r="CE6" s="128">
        <f t="shared" si="18"/>
        <v>372350</v>
      </c>
      <c r="CF6" s="128">
        <f t="shared" si="19"/>
        <v>164640</v>
      </c>
      <c r="CG6" s="128">
        <f t="shared" ref="CG6:CG47" si="108">ROUNDDOWN(CF6*CG$3,-1)</f>
        <v>10660</v>
      </c>
      <c r="CH6" s="40">
        <f t="shared" ref="CH6:CH48" si="109">CD6*(1+CH$3)</f>
        <v>4240766.1647560904</v>
      </c>
      <c r="CI6" s="40">
        <f t="shared" si="20"/>
        <v>381660</v>
      </c>
      <c r="CJ6" s="40">
        <f t="shared" si="21"/>
        <v>168760</v>
      </c>
      <c r="CK6" s="40">
        <f t="shared" ref="CK6:CK47" si="110">ROUNDDOWN(CJ6*CK$3,-1)</f>
        <v>10920</v>
      </c>
      <c r="CL6" s="128">
        <f t="shared" ref="CL6:CL48" si="111">CH6*(1+CL$3)</f>
        <v>4346785.3188749924</v>
      </c>
      <c r="CM6" s="128">
        <f t="shared" si="22"/>
        <v>391210</v>
      </c>
      <c r="CN6" s="128">
        <f t="shared" si="23"/>
        <v>172980</v>
      </c>
      <c r="CO6" s="128">
        <f t="shared" ref="CO6:CO47" si="112">ROUNDDOWN(CN6*CO$3,-1)</f>
        <v>11200</v>
      </c>
      <c r="CP6" s="40">
        <f t="shared" ref="CP6:CP48" si="113">CL6*(1+CP$3)</f>
        <v>4455454.9518468669</v>
      </c>
      <c r="CQ6" s="40">
        <f t="shared" si="24"/>
        <v>400990</v>
      </c>
      <c r="CR6" s="40">
        <f t="shared" si="25"/>
        <v>177300</v>
      </c>
      <c r="CS6" s="40">
        <f t="shared" ref="CS6:CS47" si="114">ROUNDDOWN(CR6*CS$3,-1)</f>
        <v>11480</v>
      </c>
      <c r="CT6" s="128">
        <f t="shared" ref="CT6:CT48" si="115">CP6*(1+CT$3)</f>
        <v>4566841.3256430384</v>
      </c>
      <c r="CU6" s="128">
        <f t="shared" si="26"/>
        <v>411010</v>
      </c>
      <c r="CV6" s="128">
        <f t="shared" si="27"/>
        <v>181730</v>
      </c>
      <c r="CW6" s="128">
        <f t="shared" ref="CW6:CW47" si="116">ROUNDDOWN(CV6*CW$3,-1)</f>
        <v>11760</v>
      </c>
      <c r="CX6" s="40">
        <f t="shared" ref="CX6:CX48" si="117">CT6*(1+CX$3)</f>
        <v>4681012.358784114</v>
      </c>
      <c r="CY6" s="40">
        <f t="shared" si="28"/>
        <v>421290</v>
      </c>
      <c r="CZ6" s="40">
        <f t="shared" si="29"/>
        <v>186280</v>
      </c>
      <c r="DA6" s="40">
        <f t="shared" ref="DA6:DA47" si="118">ROUNDDOWN(CZ6*DA$3,-1)</f>
        <v>12060</v>
      </c>
      <c r="DB6" s="128">
        <f t="shared" ref="DB6:DB48" si="119">CX6*(1+DB$3)</f>
        <v>4798037.667753716</v>
      </c>
      <c r="DC6" s="128">
        <f t="shared" si="30"/>
        <v>431820</v>
      </c>
      <c r="DD6" s="128">
        <f t="shared" si="31"/>
        <v>190930</v>
      </c>
      <c r="DE6" s="128">
        <f t="shared" ref="DE6:DE47" si="120">ROUNDDOWN(DD6*DE$3,-1)</f>
        <v>12360</v>
      </c>
      <c r="DF6" s="40">
        <f t="shared" ref="DF6:DF48" si="121">DB6*(1+DF$3)</f>
        <v>4917988.6094475584</v>
      </c>
      <c r="DG6" s="40">
        <f t="shared" si="32"/>
        <v>442610</v>
      </c>
      <c r="DH6" s="40">
        <f t="shared" si="33"/>
        <v>195710</v>
      </c>
      <c r="DI6" s="40">
        <f t="shared" ref="DI6:DI46" si="122">ROUNDDOWN(DH6*DI$3,-1)</f>
        <v>12670</v>
      </c>
      <c r="DJ6" s="128">
        <f t="shared" ref="DJ6:DJ48" si="123">DF6*(1+DJ$3)</f>
        <v>5040938.3246837473</v>
      </c>
      <c r="DK6" s="128">
        <f t="shared" si="34"/>
        <v>453680</v>
      </c>
      <c r="DL6" s="128">
        <f t="shared" si="35"/>
        <v>200600</v>
      </c>
      <c r="DM6" s="128">
        <f t="shared" ref="DM6:DM46" si="124">ROUNDDOWN(DL6*DM$3,-1)</f>
        <v>12980</v>
      </c>
      <c r="DN6" s="40">
        <f t="shared" ref="DN6:DN48" si="125">DJ6*(1+DN$3)</f>
        <v>5166961.7828008402</v>
      </c>
      <c r="DO6" s="40">
        <f t="shared" si="36"/>
        <v>465020</v>
      </c>
      <c r="DP6" s="40">
        <f t="shared" si="37"/>
        <v>205620</v>
      </c>
      <c r="DQ6" s="40">
        <f t="shared" ref="DQ6:DQ46" si="126">ROUNDDOWN(DP6*DQ$3,-1)</f>
        <v>13310</v>
      </c>
      <c r="DR6" s="128">
        <f t="shared" ref="DR6:DR48" si="127">DN6*(1+DR$3)</f>
        <v>5296135.8273708606</v>
      </c>
      <c r="DS6" s="128">
        <f t="shared" si="38"/>
        <v>476650</v>
      </c>
      <c r="DT6" s="128">
        <f t="shared" si="39"/>
        <v>210760</v>
      </c>
      <c r="DU6" s="128">
        <f t="shared" ref="DU6:DU46" si="128">ROUNDDOWN(DT6*DU$3,-1)</f>
        <v>13640</v>
      </c>
      <c r="DV6" s="40">
        <f t="shared" ref="DV6:DV48" si="129">DR6*(1+DV$3)</f>
        <v>5428539.2230551317</v>
      </c>
      <c r="DW6" s="40">
        <f t="shared" si="40"/>
        <v>488560</v>
      </c>
      <c r="DX6" s="40">
        <f t="shared" si="41"/>
        <v>216030</v>
      </c>
      <c r="DY6" s="40">
        <f t="shared" ref="DY6:DY46" si="130">ROUNDDOWN(DX6*DY$3,-1)</f>
        <v>13980</v>
      </c>
      <c r="DZ6" s="128">
        <f t="shared" ref="DZ6:DZ48" si="131">DV6*(1+DZ$3)</f>
        <v>5564252.7036315091</v>
      </c>
      <c r="EA6" s="128">
        <f t="shared" si="42"/>
        <v>500780</v>
      </c>
      <c r="EB6" s="128">
        <f t="shared" si="43"/>
        <v>221430</v>
      </c>
      <c r="EC6" s="128">
        <f t="shared" ref="EC6:EC46" si="132">ROUNDDOWN(EB6*EC$3,-1)</f>
        <v>14330</v>
      </c>
      <c r="ED6" s="40">
        <f t="shared" ref="ED6:ED48" si="133">DZ6*(1+ED$3)</f>
        <v>5703359.0212222962</v>
      </c>
      <c r="EE6" s="40">
        <f t="shared" si="44"/>
        <v>513300</v>
      </c>
      <c r="EF6" s="40">
        <f t="shared" si="45"/>
        <v>226960</v>
      </c>
      <c r="EG6" s="40">
        <f t="shared" ref="EG6:EG46" si="134">ROUNDDOWN(EF6*EG$3,-1)</f>
        <v>14690</v>
      </c>
      <c r="EH6" s="128">
        <f t="shared" ref="EH6:EH48" si="135">ED6*(1+EH$3)</f>
        <v>5845942.9967528535</v>
      </c>
      <c r="EI6" s="128">
        <f t="shared" si="46"/>
        <v>526130</v>
      </c>
      <c r="EJ6" s="128">
        <f t="shared" si="47"/>
        <v>232640</v>
      </c>
      <c r="EK6" s="128">
        <f t="shared" ref="EK6:EK46" si="136">ROUNDDOWN(EJ6*EK$3,-1)</f>
        <v>15060</v>
      </c>
      <c r="EL6" s="40">
        <f t="shared" ref="EL6:EL48" si="137">EH6*(1+EL$3)</f>
        <v>5992091.571671674</v>
      </c>
      <c r="EM6" s="40">
        <f t="shared" si="48"/>
        <v>539280</v>
      </c>
      <c r="EN6" s="40">
        <f t="shared" si="49"/>
        <v>238450</v>
      </c>
      <c r="EO6" s="40">
        <f t="shared" ref="EO6:EO46" si="138">ROUNDDOWN(EN6*EO$3,-1)</f>
        <v>15430</v>
      </c>
      <c r="EP6" s="128">
        <f t="shared" ref="EP6:EP48" si="139">EL6*(1+EP$3)</f>
        <v>6141893.8609634656</v>
      </c>
      <c r="EQ6" s="128">
        <f t="shared" si="50"/>
        <v>552770</v>
      </c>
      <c r="ER6" s="128">
        <f t="shared" si="51"/>
        <v>244410</v>
      </c>
      <c r="ES6" s="128">
        <f t="shared" ref="ES6:ES46" si="140">ROUNDDOWN(ER6*ES$3,-1)</f>
        <v>15820</v>
      </c>
      <c r="ET6" s="40">
        <f t="shared" ref="ET6:ET48" si="141">EP6*(1+ET$3)</f>
        <v>6295441.2074875515</v>
      </c>
      <c r="EU6" s="40">
        <f t="shared" si="52"/>
        <v>566580</v>
      </c>
      <c r="EV6" s="40">
        <f t="shared" si="53"/>
        <v>250520</v>
      </c>
      <c r="EW6" s="40">
        <f t="shared" ref="EW6:EW46" si="142">ROUNDDOWN(EV6*EW$3,-1)</f>
        <v>16220</v>
      </c>
      <c r="EX6" s="128">
        <f t="shared" ref="EX6:EX48" si="143">ET6*(1+EX$3)</f>
        <v>6452827.2376747401</v>
      </c>
      <c r="EY6" s="128">
        <f t="shared" si="54"/>
        <v>580750</v>
      </c>
      <c r="EZ6" s="128">
        <f t="shared" si="55"/>
        <v>256790</v>
      </c>
      <c r="FA6" s="128">
        <f t="shared" ref="FA6:FA46" si="144">ROUNDDOWN(EZ6*FA$3,-1)</f>
        <v>16620</v>
      </c>
      <c r="FB6" s="40">
        <f t="shared" ref="FB6:FB48" si="145">EX6*(1+FB$3)</f>
        <v>6614147.9186166078</v>
      </c>
      <c r="FC6" s="40">
        <f t="shared" si="56"/>
        <v>595270</v>
      </c>
      <c r="FD6" s="40">
        <f t="shared" si="57"/>
        <v>263210</v>
      </c>
      <c r="FE6" s="40">
        <f t="shared" ref="FE6:FE46" si="146">ROUNDDOWN(FD6*FE$3,-1)</f>
        <v>17040</v>
      </c>
      <c r="FF6" s="128">
        <f t="shared" ref="FF6:FF48" si="147">FB6*(1+FF$3)</f>
        <v>6779501.616582022</v>
      </c>
      <c r="FG6" s="128">
        <f t="shared" si="58"/>
        <v>610150</v>
      </c>
      <c r="FH6" s="128">
        <f t="shared" si="59"/>
        <v>269790</v>
      </c>
      <c r="FI6" s="128">
        <f t="shared" ref="FI6:FI46" si="148">ROUNDDOWN(FH6*FI$3,-1)</f>
        <v>17460</v>
      </c>
      <c r="FJ6" s="40">
        <f t="shared" ref="FJ6:FJ48" si="149">FF6*(1+FJ$3)</f>
        <v>6948989.1569965724</v>
      </c>
      <c r="FK6" s="40">
        <f t="shared" si="60"/>
        <v>625400</v>
      </c>
      <c r="FL6" s="40">
        <f t="shared" si="61"/>
        <v>276530</v>
      </c>
      <c r="FM6" s="40">
        <f t="shared" ref="FM6:FM46" si="150">ROUNDDOWN(FL6*FM$3,-1)</f>
        <v>17900</v>
      </c>
      <c r="FN6" s="128">
        <f t="shared" ref="FN6:FN48" si="151">FJ6*(1+FN$3)</f>
        <v>7122713.8859214857</v>
      </c>
      <c r="FO6" s="128">
        <f t="shared" si="62"/>
        <v>641040</v>
      </c>
      <c r="FP6" s="128">
        <f t="shared" si="63"/>
        <v>283450</v>
      </c>
      <c r="FQ6" s="128">
        <f t="shared" ref="FQ6:FQ46" si="152">ROUNDDOWN(FP6*FQ$3,-1)</f>
        <v>18350</v>
      </c>
      <c r="FR6" s="40">
        <f t="shared" ref="FR6:FR48" si="153">FN6*(1+FR$3)</f>
        <v>7300781.7330695223</v>
      </c>
      <c r="FS6" s="40">
        <f t="shared" si="64"/>
        <v>657070</v>
      </c>
      <c r="FT6" s="40">
        <f t="shared" si="65"/>
        <v>290530</v>
      </c>
      <c r="FU6" s="40">
        <f t="shared" ref="FU6:FU46" si="154">ROUNDDOWN(FT6*FU$3,-1)</f>
        <v>18810</v>
      </c>
      <c r="FV6" s="128">
        <f t="shared" ref="FV6:FV48" si="155">FR6*(1+FV$3)</f>
        <v>7483301.2763962597</v>
      </c>
      <c r="FW6" s="128">
        <f t="shared" si="66"/>
        <v>673490</v>
      </c>
      <c r="FX6" s="128">
        <f t="shared" si="67"/>
        <v>297800</v>
      </c>
      <c r="FY6" s="128">
        <f t="shared" ref="FY6:FY46" si="156">ROUNDDOWN(FX6*FY$3,-1)</f>
        <v>19280</v>
      </c>
      <c r="FZ6" s="40">
        <f t="shared" ref="FZ6:FZ48" si="157">FV6*(1+FZ$3)</f>
        <v>7670383.808306165</v>
      </c>
      <c r="GA6" s="40">
        <f t="shared" si="68"/>
        <v>690330</v>
      </c>
      <c r="GB6" s="40">
        <f t="shared" si="69"/>
        <v>305240</v>
      </c>
      <c r="GC6" s="40">
        <f t="shared" ref="GC6:GC46" si="158">ROUNDDOWN(GB6*GC$3,-1)</f>
        <v>19760</v>
      </c>
      <c r="GD6" s="128">
        <f t="shared" ref="GD6:GD48" si="159">FZ6*(1+GD$3)</f>
        <v>7862143.403513818</v>
      </c>
      <c r="GE6" s="128">
        <f t="shared" si="70"/>
        <v>707590</v>
      </c>
      <c r="GF6" s="128">
        <f t="shared" si="71"/>
        <v>312870</v>
      </c>
      <c r="GG6" s="128">
        <f t="shared" ref="GG6:GG46" si="160">ROUNDDOWN(GF6*GG$3,-1)</f>
        <v>20250</v>
      </c>
      <c r="GH6" s="40">
        <f t="shared" ref="GH6:GH48" si="161">GD6*(1+GH$3)</f>
        <v>8058696.9886016631</v>
      </c>
      <c r="GI6" s="40">
        <f t="shared" si="72"/>
        <v>725280</v>
      </c>
      <c r="GJ6" s="40">
        <f t="shared" si="73"/>
        <v>320690</v>
      </c>
      <c r="GK6" s="40">
        <f t="shared" ref="GK6:GK46" si="162">ROUNDDOWN(GJ6*GK$3,-1)</f>
        <v>20760</v>
      </c>
      <c r="GL6" s="128">
        <f t="shared" ref="GL6:GL48" si="163">GH6*(1+GL$3)</f>
        <v>8260164.4133167043</v>
      </c>
      <c r="GM6" s="128">
        <f t="shared" si="74"/>
        <v>743410</v>
      </c>
      <c r="GN6" s="128">
        <f t="shared" si="75"/>
        <v>328710</v>
      </c>
      <c r="GO6" s="128">
        <f t="shared" ref="GO6:GO46" si="164">ROUNDDOWN(GN6*GO$3,-1)</f>
        <v>21280</v>
      </c>
      <c r="GP6" s="40">
        <f t="shared" ref="GP6:GP48" si="165">GL6*(1+GP$3)</f>
        <v>8466668.5236496218</v>
      </c>
      <c r="GQ6" s="40">
        <f t="shared" si="76"/>
        <v>762000</v>
      </c>
      <c r="GR6" s="40">
        <f t="shared" si="77"/>
        <v>336930</v>
      </c>
      <c r="GS6" s="40">
        <f t="shared" ref="GS6:GS46" si="166">ROUNDDOWN(GR6*GS$3,-1)</f>
        <v>21810</v>
      </c>
      <c r="GT6" s="128">
        <f t="shared" ref="GT6:GT48" si="167">GP6*(1+GT$3)</f>
        <v>8678335.2367408611</v>
      </c>
      <c r="GU6" s="128">
        <f t="shared" si="78"/>
        <v>781050</v>
      </c>
      <c r="GV6" s="128">
        <f t="shared" si="79"/>
        <v>345350</v>
      </c>
      <c r="GW6" s="128">
        <f t="shared" ref="GW6:GW46" si="168">ROUNDDOWN(GV6*GW$3,-1)</f>
        <v>22360</v>
      </c>
      <c r="GX6" s="40">
        <f t="shared" ref="GX6:GX48" si="169">GT6*(1+GX$3)</f>
        <v>8895293.6176593825</v>
      </c>
      <c r="GY6" s="40">
        <f t="shared" si="80"/>
        <v>800570</v>
      </c>
      <c r="GZ6" s="40">
        <f t="shared" si="81"/>
        <v>353990</v>
      </c>
      <c r="HA6" s="40">
        <f t="shared" ref="HA6:HA46" si="170">ROUNDDOWN(GZ6*HA$3,-1)</f>
        <v>22920</v>
      </c>
      <c r="HB6" s="128" t="e">
        <f t="shared" ref="HB6:HB48" si="171">GX6*(1+HB$3)</f>
        <v>#REF!</v>
      </c>
      <c r="HC6" s="128" t="e">
        <f t="shared" si="82"/>
        <v>#REF!</v>
      </c>
      <c r="HD6" s="128" t="e">
        <f t="shared" si="83"/>
        <v>#REF!</v>
      </c>
      <c r="HE6" s="128" t="e">
        <f t="shared" ref="HE6:HE46" si="172">ROUNDDOWN(HD6*HE$3,-1)</f>
        <v>#REF!</v>
      </c>
    </row>
    <row r="7" spans="1:213">
      <c r="A7" s="2"/>
      <c r="B7" s="1"/>
      <c r="C7" s="71"/>
      <c r="D7" s="61"/>
      <c r="E7" s="63"/>
      <c r="F7" s="49"/>
      <c r="G7" s="87"/>
      <c r="H7" s="42"/>
      <c r="I7" s="602">
        <v>3</v>
      </c>
      <c r="N7" s="137">
        <v>3</v>
      </c>
      <c r="P7" s="138">
        <v>20</v>
      </c>
      <c r="Q7" s="30">
        <v>100000</v>
      </c>
      <c r="R7" s="25" t="s">
        <v>263</v>
      </c>
      <c r="T7" s="20"/>
      <c r="U7" s="20"/>
      <c r="V7" s="19"/>
      <c r="W7" s="20"/>
      <c r="X7" s="103"/>
      <c r="Y7" s="103"/>
      <c r="Z7" s="104"/>
      <c r="AA7" s="773"/>
      <c r="AB7" s="21"/>
      <c r="AD7" s="26"/>
      <c r="AE7" s="27"/>
      <c r="AF7" s="778"/>
      <c r="AG7" s="28"/>
      <c r="AH7" s="28"/>
      <c r="AJ7" s="41">
        <v>1</v>
      </c>
      <c r="AK7" s="41">
        <v>10</v>
      </c>
      <c r="AL7" s="890">
        <v>3225430</v>
      </c>
      <c r="AM7" s="40">
        <f t="shared" si="84"/>
        <v>290290</v>
      </c>
      <c r="AN7" s="40">
        <v>104730</v>
      </c>
      <c r="AO7" s="40">
        <v>10740</v>
      </c>
      <c r="AP7" s="891">
        <f t="shared" si="85"/>
        <v>3280260</v>
      </c>
      <c r="AQ7" s="131">
        <f t="shared" si="86"/>
        <v>295220</v>
      </c>
      <c r="AR7" s="130">
        <f t="shared" si="87"/>
        <v>116290</v>
      </c>
      <c r="AS7" s="128">
        <f t="shared" si="88"/>
        <v>7530</v>
      </c>
      <c r="AT7" s="40">
        <f t="shared" si="89"/>
        <v>3395069.0999999996</v>
      </c>
      <c r="AU7" s="132">
        <f t="shared" si="0"/>
        <v>305550</v>
      </c>
      <c r="AV7" s="40">
        <f t="shared" si="1"/>
        <v>122400</v>
      </c>
      <c r="AW7" s="40">
        <f t="shared" si="90"/>
        <v>7920</v>
      </c>
      <c r="AX7" s="128">
        <f t="shared" si="91"/>
        <v>3479945.8274999992</v>
      </c>
      <c r="AY7" s="128">
        <f t="shared" si="2"/>
        <v>313190</v>
      </c>
      <c r="AZ7" s="128">
        <f t="shared" si="3"/>
        <v>125460</v>
      </c>
      <c r="BA7" s="128">
        <f t="shared" si="92"/>
        <v>8120</v>
      </c>
      <c r="BB7" s="40">
        <f t="shared" si="93"/>
        <v>3566944.4731874987</v>
      </c>
      <c r="BC7" s="40">
        <f t="shared" si="4"/>
        <v>321020</v>
      </c>
      <c r="BD7" s="40">
        <f t="shared" si="5"/>
        <v>131810</v>
      </c>
      <c r="BE7" s="40">
        <f t="shared" si="94"/>
        <v>8530</v>
      </c>
      <c r="BF7" s="128">
        <f t="shared" si="95"/>
        <v>3656118.0850171861</v>
      </c>
      <c r="BG7" s="128">
        <f t="shared" si="6"/>
        <v>329050</v>
      </c>
      <c r="BH7" s="128">
        <f t="shared" si="7"/>
        <v>135100</v>
      </c>
      <c r="BI7" s="128">
        <f t="shared" si="96"/>
        <v>8740</v>
      </c>
      <c r="BJ7" s="40">
        <f t="shared" si="97"/>
        <v>3747521.0371426153</v>
      </c>
      <c r="BK7" s="40">
        <f t="shared" si="8"/>
        <v>337270</v>
      </c>
      <c r="BL7" s="40">
        <f t="shared" si="9"/>
        <v>141940</v>
      </c>
      <c r="BM7" s="40">
        <f t="shared" si="98"/>
        <v>9190</v>
      </c>
      <c r="BN7" s="128">
        <f t="shared" si="99"/>
        <v>3841209.0630711801</v>
      </c>
      <c r="BO7" s="128">
        <f t="shared" si="10"/>
        <v>345700</v>
      </c>
      <c r="BP7" s="128">
        <f t="shared" si="11"/>
        <v>149130</v>
      </c>
      <c r="BQ7" s="128">
        <f t="shared" si="100"/>
        <v>9650</v>
      </c>
      <c r="BR7" s="40">
        <f t="shared" si="101"/>
        <v>3937239.2896479592</v>
      </c>
      <c r="BS7" s="40">
        <f t="shared" si="12"/>
        <v>354350</v>
      </c>
      <c r="BT7" s="40">
        <f t="shared" si="13"/>
        <v>152860</v>
      </c>
      <c r="BU7" s="40">
        <f t="shared" si="102"/>
        <v>9890</v>
      </c>
      <c r="BV7" s="128">
        <f t="shared" si="103"/>
        <v>4035670.2718891576</v>
      </c>
      <c r="BW7" s="128">
        <f t="shared" si="14"/>
        <v>363210</v>
      </c>
      <c r="BX7" s="128">
        <f t="shared" si="15"/>
        <v>160600</v>
      </c>
      <c r="BY7" s="128">
        <f t="shared" si="104"/>
        <v>10390</v>
      </c>
      <c r="BZ7" s="40">
        <f t="shared" si="105"/>
        <v>4136562.0286863861</v>
      </c>
      <c r="CA7" s="40">
        <f t="shared" si="16"/>
        <v>372290</v>
      </c>
      <c r="CB7" s="40">
        <f t="shared" si="17"/>
        <v>164610</v>
      </c>
      <c r="CC7" s="40">
        <f t="shared" si="106"/>
        <v>10650</v>
      </c>
      <c r="CD7" s="128">
        <f t="shared" si="107"/>
        <v>4239976.0794035457</v>
      </c>
      <c r="CE7" s="128">
        <f t="shared" si="18"/>
        <v>381590</v>
      </c>
      <c r="CF7" s="128">
        <f t="shared" si="19"/>
        <v>168730</v>
      </c>
      <c r="CG7" s="128">
        <f t="shared" si="108"/>
        <v>10920</v>
      </c>
      <c r="CH7" s="40">
        <f t="shared" si="109"/>
        <v>4345975.4813886341</v>
      </c>
      <c r="CI7" s="40">
        <f t="shared" si="20"/>
        <v>391130</v>
      </c>
      <c r="CJ7" s="40">
        <f t="shared" si="21"/>
        <v>172940</v>
      </c>
      <c r="CK7" s="40">
        <f t="shared" si="110"/>
        <v>11190</v>
      </c>
      <c r="CL7" s="128">
        <f t="shared" si="111"/>
        <v>4454624.8684233492</v>
      </c>
      <c r="CM7" s="128">
        <f t="shared" si="22"/>
        <v>400910</v>
      </c>
      <c r="CN7" s="128">
        <f t="shared" si="23"/>
        <v>177270</v>
      </c>
      <c r="CO7" s="128">
        <f t="shared" si="112"/>
        <v>11470</v>
      </c>
      <c r="CP7" s="40">
        <f t="shared" si="113"/>
        <v>4565990.4901339328</v>
      </c>
      <c r="CQ7" s="40">
        <f t="shared" si="24"/>
        <v>410930</v>
      </c>
      <c r="CR7" s="40">
        <f t="shared" si="25"/>
        <v>181700</v>
      </c>
      <c r="CS7" s="40">
        <f t="shared" si="114"/>
        <v>11760</v>
      </c>
      <c r="CT7" s="128">
        <f t="shared" si="115"/>
        <v>4680140.2523872806</v>
      </c>
      <c r="CU7" s="128">
        <f t="shared" si="26"/>
        <v>421210</v>
      </c>
      <c r="CV7" s="128">
        <f t="shared" si="27"/>
        <v>186240</v>
      </c>
      <c r="CW7" s="128">
        <f t="shared" si="116"/>
        <v>12050</v>
      </c>
      <c r="CX7" s="40">
        <f t="shared" si="117"/>
        <v>4797143.7586969621</v>
      </c>
      <c r="CY7" s="40">
        <f t="shared" si="28"/>
        <v>431740</v>
      </c>
      <c r="CZ7" s="40">
        <f t="shared" si="29"/>
        <v>190900</v>
      </c>
      <c r="DA7" s="40">
        <f t="shared" si="118"/>
        <v>12360</v>
      </c>
      <c r="DB7" s="128">
        <f t="shared" si="119"/>
        <v>4917072.3526643859</v>
      </c>
      <c r="DC7" s="128">
        <f t="shared" si="30"/>
        <v>442530</v>
      </c>
      <c r="DD7" s="128">
        <f t="shared" si="31"/>
        <v>195670</v>
      </c>
      <c r="DE7" s="128">
        <f t="shared" si="120"/>
        <v>12660</v>
      </c>
      <c r="DF7" s="40">
        <f t="shared" si="121"/>
        <v>5039999.1614809949</v>
      </c>
      <c r="DG7" s="40">
        <f t="shared" si="32"/>
        <v>453590</v>
      </c>
      <c r="DH7" s="40">
        <f t="shared" si="33"/>
        <v>200560</v>
      </c>
      <c r="DI7" s="40">
        <f t="shared" si="122"/>
        <v>12980</v>
      </c>
      <c r="DJ7" s="128">
        <f t="shared" si="123"/>
        <v>5165999.140518019</v>
      </c>
      <c r="DK7" s="128">
        <f t="shared" si="34"/>
        <v>464930</v>
      </c>
      <c r="DL7" s="128">
        <f t="shared" si="35"/>
        <v>205580</v>
      </c>
      <c r="DM7" s="128">
        <f t="shared" si="124"/>
        <v>13310</v>
      </c>
      <c r="DN7" s="40">
        <f t="shared" si="125"/>
        <v>5295149.1190309692</v>
      </c>
      <c r="DO7" s="40">
        <f t="shared" si="36"/>
        <v>476560</v>
      </c>
      <c r="DP7" s="40">
        <f t="shared" si="37"/>
        <v>210720</v>
      </c>
      <c r="DQ7" s="40">
        <f t="shared" si="126"/>
        <v>13640</v>
      </c>
      <c r="DR7" s="128">
        <f t="shared" si="127"/>
        <v>5427527.8470067428</v>
      </c>
      <c r="DS7" s="128">
        <f t="shared" si="38"/>
        <v>488470</v>
      </c>
      <c r="DT7" s="128">
        <f t="shared" si="39"/>
        <v>215990</v>
      </c>
      <c r="DU7" s="128">
        <f t="shared" si="128"/>
        <v>13980</v>
      </c>
      <c r="DV7" s="40">
        <f t="shared" si="129"/>
        <v>5563216.0431819111</v>
      </c>
      <c r="DW7" s="40">
        <f t="shared" si="40"/>
        <v>500680</v>
      </c>
      <c r="DX7" s="40">
        <f t="shared" si="41"/>
        <v>221390</v>
      </c>
      <c r="DY7" s="40">
        <f t="shared" si="130"/>
        <v>14330</v>
      </c>
      <c r="DZ7" s="128">
        <f t="shared" si="131"/>
        <v>5702296.4442614587</v>
      </c>
      <c r="EA7" s="128">
        <f t="shared" si="42"/>
        <v>513200</v>
      </c>
      <c r="EB7" s="128">
        <f t="shared" si="43"/>
        <v>226920</v>
      </c>
      <c r="EC7" s="128">
        <f t="shared" si="132"/>
        <v>14690</v>
      </c>
      <c r="ED7" s="40">
        <f t="shared" si="133"/>
        <v>5844853.8553679949</v>
      </c>
      <c r="EE7" s="40">
        <f t="shared" si="44"/>
        <v>526030</v>
      </c>
      <c r="EF7" s="40">
        <f t="shared" si="45"/>
        <v>232590</v>
      </c>
      <c r="EG7" s="40">
        <f t="shared" si="134"/>
        <v>15060</v>
      </c>
      <c r="EH7" s="128">
        <f t="shared" si="135"/>
        <v>5990975.2017521942</v>
      </c>
      <c r="EI7" s="128">
        <f t="shared" si="46"/>
        <v>539180</v>
      </c>
      <c r="EJ7" s="128">
        <f t="shared" si="47"/>
        <v>238410</v>
      </c>
      <c r="EK7" s="128">
        <f t="shared" si="136"/>
        <v>15430</v>
      </c>
      <c r="EL7" s="40">
        <f t="shared" si="137"/>
        <v>6140749.5817959988</v>
      </c>
      <c r="EM7" s="40">
        <f t="shared" si="48"/>
        <v>552660</v>
      </c>
      <c r="EN7" s="40">
        <f t="shared" si="49"/>
        <v>244370</v>
      </c>
      <c r="EO7" s="40">
        <f t="shared" si="138"/>
        <v>15820</v>
      </c>
      <c r="EP7" s="128">
        <f t="shared" si="139"/>
        <v>6294268.3213408981</v>
      </c>
      <c r="EQ7" s="128">
        <f t="shared" si="50"/>
        <v>566480</v>
      </c>
      <c r="ER7" s="128">
        <f t="shared" si="51"/>
        <v>250480</v>
      </c>
      <c r="ES7" s="128">
        <f t="shared" si="140"/>
        <v>16210</v>
      </c>
      <c r="ET7" s="40">
        <f t="shared" si="141"/>
        <v>6451625.0293744197</v>
      </c>
      <c r="EU7" s="40">
        <f t="shared" si="52"/>
        <v>580640</v>
      </c>
      <c r="EV7" s="40">
        <f t="shared" si="53"/>
        <v>256740</v>
      </c>
      <c r="EW7" s="40">
        <f t="shared" si="142"/>
        <v>16620</v>
      </c>
      <c r="EX7" s="128">
        <f t="shared" si="143"/>
        <v>6612915.6551087797</v>
      </c>
      <c r="EY7" s="128">
        <f t="shared" si="54"/>
        <v>595160</v>
      </c>
      <c r="EZ7" s="128">
        <f t="shared" si="55"/>
        <v>263160</v>
      </c>
      <c r="FA7" s="128">
        <f t="shared" si="144"/>
        <v>17030</v>
      </c>
      <c r="FB7" s="40">
        <f t="shared" si="145"/>
        <v>6778238.5464864988</v>
      </c>
      <c r="FC7" s="40">
        <f t="shared" si="56"/>
        <v>610040</v>
      </c>
      <c r="FD7" s="40">
        <f t="shared" si="57"/>
        <v>269740</v>
      </c>
      <c r="FE7" s="40">
        <f t="shared" si="146"/>
        <v>17460</v>
      </c>
      <c r="FF7" s="128">
        <f t="shared" si="147"/>
        <v>6947694.5101486603</v>
      </c>
      <c r="FG7" s="128">
        <f t="shared" si="58"/>
        <v>625290</v>
      </c>
      <c r="FH7" s="128">
        <f t="shared" si="59"/>
        <v>276480</v>
      </c>
      <c r="FI7" s="128">
        <f t="shared" si="148"/>
        <v>17900</v>
      </c>
      <c r="FJ7" s="40">
        <f t="shared" si="149"/>
        <v>7121386.8729023766</v>
      </c>
      <c r="FK7" s="40">
        <f t="shared" si="60"/>
        <v>640920</v>
      </c>
      <c r="FL7" s="40">
        <f t="shared" si="61"/>
        <v>283390</v>
      </c>
      <c r="FM7" s="40">
        <f t="shared" si="150"/>
        <v>18340</v>
      </c>
      <c r="FN7" s="128">
        <f t="shared" si="151"/>
        <v>7299421.5447249357</v>
      </c>
      <c r="FO7" s="128">
        <f t="shared" si="62"/>
        <v>656940</v>
      </c>
      <c r="FP7" s="128">
        <f t="shared" si="63"/>
        <v>290480</v>
      </c>
      <c r="FQ7" s="128">
        <f t="shared" si="152"/>
        <v>18800</v>
      </c>
      <c r="FR7" s="40">
        <f t="shared" si="153"/>
        <v>7481907.0833430588</v>
      </c>
      <c r="FS7" s="40">
        <f t="shared" si="64"/>
        <v>673370</v>
      </c>
      <c r="FT7" s="40">
        <f t="shared" si="65"/>
        <v>297740</v>
      </c>
      <c r="FU7" s="40">
        <f t="shared" si="154"/>
        <v>19270</v>
      </c>
      <c r="FV7" s="128">
        <f t="shared" si="155"/>
        <v>7668954.7604266349</v>
      </c>
      <c r="FW7" s="128">
        <f t="shared" si="66"/>
        <v>690200</v>
      </c>
      <c r="FX7" s="128">
        <f t="shared" si="67"/>
        <v>305180</v>
      </c>
      <c r="FY7" s="128">
        <f t="shared" si="156"/>
        <v>19760</v>
      </c>
      <c r="FZ7" s="40">
        <f t="shared" si="157"/>
        <v>7860678.6294373004</v>
      </c>
      <c r="GA7" s="40">
        <f t="shared" si="68"/>
        <v>707460</v>
      </c>
      <c r="GB7" s="40">
        <f t="shared" si="69"/>
        <v>312810</v>
      </c>
      <c r="GC7" s="40">
        <f t="shared" si="158"/>
        <v>20250</v>
      </c>
      <c r="GD7" s="128">
        <f t="shared" si="159"/>
        <v>8057195.5951732323</v>
      </c>
      <c r="GE7" s="128">
        <f t="shared" si="70"/>
        <v>725140</v>
      </c>
      <c r="GF7" s="128">
        <f t="shared" si="71"/>
        <v>320630</v>
      </c>
      <c r="GG7" s="128">
        <f t="shared" si="160"/>
        <v>20760</v>
      </c>
      <c r="GH7" s="40">
        <f t="shared" si="161"/>
        <v>8258625.4850525623</v>
      </c>
      <c r="GI7" s="40">
        <f t="shared" si="72"/>
        <v>743270</v>
      </c>
      <c r="GJ7" s="40">
        <f t="shared" si="73"/>
        <v>328650</v>
      </c>
      <c r="GK7" s="40">
        <f t="shared" si="162"/>
        <v>21280</v>
      </c>
      <c r="GL7" s="128">
        <f t="shared" si="163"/>
        <v>8465091.1221788749</v>
      </c>
      <c r="GM7" s="128">
        <f t="shared" si="74"/>
        <v>761850</v>
      </c>
      <c r="GN7" s="128">
        <f t="shared" si="75"/>
        <v>336870</v>
      </c>
      <c r="GO7" s="128">
        <f t="shared" si="164"/>
        <v>21810</v>
      </c>
      <c r="GP7" s="40">
        <f t="shared" si="165"/>
        <v>8676718.4002333451</v>
      </c>
      <c r="GQ7" s="40">
        <f t="shared" si="76"/>
        <v>780900</v>
      </c>
      <c r="GR7" s="40">
        <f t="shared" si="77"/>
        <v>345290</v>
      </c>
      <c r="GS7" s="40">
        <f t="shared" si="166"/>
        <v>22350</v>
      </c>
      <c r="GT7" s="128">
        <f t="shared" si="167"/>
        <v>8893636.3602391779</v>
      </c>
      <c r="GU7" s="128">
        <f t="shared" si="78"/>
        <v>800420</v>
      </c>
      <c r="GV7" s="128">
        <f t="shared" si="79"/>
        <v>353920</v>
      </c>
      <c r="GW7" s="128">
        <f t="shared" si="168"/>
        <v>22910</v>
      </c>
      <c r="GX7" s="40">
        <f t="shared" si="169"/>
        <v>9115977.269245157</v>
      </c>
      <c r="GY7" s="40">
        <f t="shared" si="80"/>
        <v>820430</v>
      </c>
      <c r="GZ7" s="40">
        <f t="shared" si="81"/>
        <v>362770</v>
      </c>
      <c r="HA7" s="40">
        <f t="shared" si="170"/>
        <v>23480</v>
      </c>
      <c r="HB7" s="128" t="e">
        <f t="shared" si="171"/>
        <v>#REF!</v>
      </c>
      <c r="HC7" s="128" t="e">
        <f t="shared" si="82"/>
        <v>#REF!</v>
      </c>
      <c r="HD7" s="128" t="e">
        <f t="shared" si="83"/>
        <v>#REF!</v>
      </c>
      <c r="HE7" s="128" t="e">
        <f t="shared" si="172"/>
        <v>#REF!</v>
      </c>
    </row>
    <row r="8" spans="1:213">
      <c r="A8" s="2"/>
      <c r="B8" s="1"/>
      <c r="C8" s="71"/>
      <c r="D8" s="61"/>
      <c r="E8" s="63"/>
      <c r="F8" s="49"/>
      <c r="G8" s="87"/>
      <c r="H8" s="45"/>
      <c r="I8" s="602">
        <v>4</v>
      </c>
      <c r="K8" s="24" t="s">
        <v>61</v>
      </c>
      <c r="L8" s="24" t="s">
        <v>77</v>
      </c>
      <c r="N8" s="137">
        <v>4</v>
      </c>
      <c r="R8" s="25" t="s">
        <v>247</v>
      </c>
      <c r="T8" s="20"/>
      <c r="U8" s="20"/>
      <c r="V8" s="19"/>
      <c r="W8" s="20"/>
      <c r="X8" s="103"/>
      <c r="Y8" s="103"/>
      <c r="Z8" s="104"/>
      <c r="AA8" s="773"/>
      <c r="AB8" s="21"/>
      <c r="AD8" s="26"/>
      <c r="AE8" s="27"/>
      <c r="AF8" s="778"/>
      <c r="AG8" s="28"/>
      <c r="AH8" s="28"/>
      <c r="AJ8" s="41">
        <v>2</v>
      </c>
      <c r="AK8" s="41">
        <v>11</v>
      </c>
      <c r="AL8" s="890">
        <v>3311520</v>
      </c>
      <c r="AM8" s="40">
        <f t="shared" si="84"/>
        <v>298040</v>
      </c>
      <c r="AN8" s="40">
        <v>107530</v>
      </c>
      <c r="AO8" s="40">
        <v>11020</v>
      </c>
      <c r="AP8" s="891">
        <f t="shared" si="85"/>
        <v>3367820</v>
      </c>
      <c r="AQ8" s="131">
        <f t="shared" si="86"/>
        <v>303100</v>
      </c>
      <c r="AR8" s="130">
        <f t="shared" si="87"/>
        <v>119390</v>
      </c>
      <c r="AS8" s="128">
        <f t="shared" si="88"/>
        <v>7730</v>
      </c>
      <c r="AT8" s="40">
        <f t="shared" si="89"/>
        <v>3485693.6999999997</v>
      </c>
      <c r="AU8" s="40">
        <f t="shared" si="0"/>
        <v>313710</v>
      </c>
      <c r="AV8" s="40">
        <f t="shared" si="1"/>
        <v>125660</v>
      </c>
      <c r="AW8" s="40">
        <f t="shared" si="90"/>
        <v>8130</v>
      </c>
      <c r="AX8" s="128">
        <f t="shared" si="91"/>
        <v>3572836.0424999995</v>
      </c>
      <c r="AY8" s="133">
        <f t="shared" si="2"/>
        <v>321550</v>
      </c>
      <c r="AZ8" s="128">
        <f t="shared" si="3"/>
        <v>128810</v>
      </c>
      <c r="BA8" s="128">
        <f t="shared" si="92"/>
        <v>8340</v>
      </c>
      <c r="BB8" s="40">
        <f t="shared" si="93"/>
        <v>3662156.9435624992</v>
      </c>
      <c r="BC8" s="40">
        <f t="shared" si="4"/>
        <v>329590</v>
      </c>
      <c r="BD8" s="40">
        <f t="shared" si="5"/>
        <v>135330</v>
      </c>
      <c r="BE8" s="40">
        <f t="shared" si="94"/>
        <v>8760</v>
      </c>
      <c r="BF8" s="128">
        <f t="shared" si="95"/>
        <v>3753710.8671515612</v>
      </c>
      <c r="BG8" s="128">
        <f t="shared" si="6"/>
        <v>337830</v>
      </c>
      <c r="BH8" s="128">
        <f t="shared" si="7"/>
        <v>138710</v>
      </c>
      <c r="BI8" s="128">
        <f t="shared" si="96"/>
        <v>8980</v>
      </c>
      <c r="BJ8" s="40">
        <f t="shared" si="97"/>
        <v>3847553.6388303498</v>
      </c>
      <c r="BK8" s="40">
        <f t="shared" si="8"/>
        <v>346270</v>
      </c>
      <c r="BL8" s="40">
        <f t="shared" si="9"/>
        <v>145730</v>
      </c>
      <c r="BM8" s="40">
        <f t="shared" si="98"/>
        <v>9430</v>
      </c>
      <c r="BN8" s="128">
        <f t="shared" si="99"/>
        <v>3943742.4798011081</v>
      </c>
      <c r="BO8" s="128">
        <f t="shared" si="10"/>
        <v>354930</v>
      </c>
      <c r="BP8" s="128">
        <f t="shared" si="11"/>
        <v>153110</v>
      </c>
      <c r="BQ8" s="128">
        <f t="shared" si="100"/>
        <v>9910</v>
      </c>
      <c r="BR8" s="40">
        <f t="shared" si="101"/>
        <v>4042336.0417961353</v>
      </c>
      <c r="BS8" s="40">
        <f t="shared" si="12"/>
        <v>363810</v>
      </c>
      <c r="BT8" s="40">
        <f t="shared" si="13"/>
        <v>156940</v>
      </c>
      <c r="BU8" s="40">
        <f t="shared" si="102"/>
        <v>10160</v>
      </c>
      <c r="BV8" s="128">
        <f t="shared" si="103"/>
        <v>4143394.4428410381</v>
      </c>
      <c r="BW8" s="128">
        <f t="shared" si="14"/>
        <v>372900</v>
      </c>
      <c r="BX8" s="128">
        <f t="shared" si="15"/>
        <v>164880</v>
      </c>
      <c r="BY8" s="128">
        <f t="shared" si="104"/>
        <v>10670</v>
      </c>
      <c r="BZ8" s="40">
        <f t="shared" si="105"/>
        <v>4246979.3039120641</v>
      </c>
      <c r="CA8" s="40">
        <f t="shared" si="16"/>
        <v>382220</v>
      </c>
      <c r="CB8" s="40">
        <f t="shared" si="17"/>
        <v>169010</v>
      </c>
      <c r="CC8" s="40">
        <f t="shared" si="106"/>
        <v>10940</v>
      </c>
      <c r="CD8" s="128">
        <f t="shared" si="107"/>
        <v>4353153.786509865</v>
      </c>
      <c r="CE8" s="128">
        <f t="shared" si="18"/>
        <v>391780</v>
      </c>
      <c r="CF8" s="128">
        <f t="shared" si="19"/>
        <v>173230</v>
      </c>
      <c r="CG8" s="128">
        <f t="shared" si="108"/>
        <v>11210</v>
      </c>
      <c r="CH8" s="40">
        <f t="shared" si="109"/>
        <v>4461982.6311726114</v>
      </c>
      <c r="CI8" s="40">
        <f t="shared" si="20"/>
        <v>401570</v>
      </c>
      <c r="CJ8" s="40">
        <f t="shared" si="21"/>
        <v>177560</v>
      </c>
      <c r="CK8" s="40">
        <f t="shared" si="110"/>
        <v>11490</v>
      </c>
      <c r="CL8" s="128">
        <f t="shared" si="111"/>
        <v>4573532.1969519267</v>
      </c>
      <c r="CM8" s="128">
        <f t="shared" si="22"/>
        <v>411610</v>
      </c>
      <c r="CN8" s="128">
        <f t="shared" si="23"/>
        <v>182000</v>
      </c>
      <c r="CO8" s="128">
        <f t="shared" si="112"/>
        <v>11780</v>
      </c>
      <c r="CP8" s="40">
        <f t="shared" si="113"/>
        <v>4687870.5018757246</v>
      </c>
      <c r="CQ8" s="40">
        <f t="shared" si="24"/>
        <v>421900</v>
      </c>
      <c r="CR8" s="40">
        <f t="shared" si="25"/>
        <v>186550</v>
      </c>
      <c r="CS8" s="40">
        <f t="shared" si="114"/>
        <v>12070</v>
      </c>
      <c r="CT8" s="128">
        <f t="shared" si="115"/>
        <v>4805067.2644226169</v>
      </c>
      <c r="CU8" s="128">
        <f t="shared" si="26"/>
        <v>432450</v>
      </c>
      <c r="CV8" s="128">
        <f t="shared" si="27"/>
        <v>191210</v>
      </c>
      <c r="CW8" s="128">
        <f t="shared" si="116"/>
        <v>12380</v>
      </c>
      <c r="CX8" s="40">
        <f t="shared" si="117"/>
        <v>4925193.9460331816</v>
      </c>
      <c r="CY8" s="40">
        <f t="shared" si="28"/>
        <v>443260</v>
      </c>
      <c r="CZ8" s="40">
        <f t="shared" si="29"/>
        <v>195990</v>
      </c>
      <c r="DA8" s="40">
        <f t="shared" si="118"/>
        <v>12690</v>
      </c>
      <c r="DB8" s="128">
        <f t="shared" si="119"/>
        <v>5048323.7946840106</v>
      </c>
      <c r="DC8" s="128">
        <f t="shared" si="30"/>
        <v>454340</v>
      </c>
      <c r="DD8" s="128">
        <f t="shared" si="31"/>
        <v>200890</v>
      </c>
      <c r="DE8" s="128">
        <f t="shared" si="120"/>
        <v>13000</v>
      </c>
      <c r="DF8" s="40">
        <f t="shared" si="121"/>
        <v>5174531.8895511106</v>
      </c>
      <c r="DG8" s="40">
        <f t="shared" si="32"/>
        <v>465700</v>
      </c>
      <c r="DH8" s="40">
        <f t="shared" si="33"/>
        <v>205920</v>
      </c>
      <c r="DI8" s="40">
        <f t="shared" si="122"/>
        <v>13330</v>
      </c>
      <c r="DJ8" s="128">
        <f t="shared" si="123"/>
        <v>5303895.186789888</v>
      </c>
      <c r="DK8" s="128">
        <f t="shared" si="34"/>
        <v>477350</v>
      </c>
      <c r="DL8" s="128">
        <f t="shared" si="35"/>
        <v>211070</v>
      </c>
      <c r="DM8" s="128">
        <f t="shared" si="124"/>
        <v>13660</v>
      </c>
      <c r="DN8" s="40">
        <f t="shared" si="125"/>
        <v>5436492.5664596343</v>
      </c>
      <c r="DO8" s="40">
        <f t="shared" si="36"/>
        <v>489280</v>
      </c>
      <c r="DP8" s="40">
        <f t="shared" si="37"/>
        <v>216340</v>
      </c>
      <c r="DQ8" s="40">
        <f t="shared" si="126"/>
        <v>14000</v>
      </c>
      <c r="DR8" s="128">
        <f t="shared" si="127"/>
        <v>5572404.880621125</v>
      </c>
      <c r="DS8" s="128">
        <f t="shared" si="38"/>
        <v>501510</v>
      </c>
      <c r="DT8" s="128">
        <f t="shared" si="39"/>
        <v>221750</v>
      </c>
      <c r="DU8" s="128">
        <f t="shared" si="128"/>
        <v>14350</v>
      </c>
      <c r="DV8" s="40">
        <f t="shared" si="129"/>
        <v>5711715.0026366524</v>
      </c>
      <c r="DW8" s="40">
        <f t="shared" si="40"/>
        <v>514050</v>
      </c>
      <c r="DX8" s="40">
        <f t="shared" si="41"/>
        <v>227290</v>
      </c>
      <c r="DY8" s="40">
        <f t="shared" si="130"/>
        <v>14710</v>
      </c>
      <c r="DZ8" s="128">
        <f t="shared" si="131"/>
        <v>5854507.8777025687</v>
      </c>
      <c r="EA8" s="128">
        <f t="shared" si="42"/>
        <v>526900</v>
      </c>
      <c r="EB8" s="128">
        <f t="shared" si="43"/>
        <v>232980</v>
      </c>
      <c r="EC8" s="128">
        <f t="shared" si="132"/>
        <v>15080</v>
      </c>
      <c r="ED8" s="40">
        <f t="shared" si="133"/>
        <v>6000870.5746451328</v>
      </c>
      <c r="EE8" s="40">
        <f t="shared" si="44"/>
        <v>540070</v>
      </c>
      <c r="EF8" s="40">
        <f t="shared" si="45"/>
        <v>238800</v>
      </c>
      <c r="EG8" s="40">
        <f t="shared" si="134"/>
        <v>15460</v>
      </c>
      <c r="EH8" s="128">
        <f t="shared" si="135"/>
        <v>6150892.3390112603</v>
      </c>
      <c r="EI8" s="128">
        <f t="shared" si="46"/>
        <v>553580</v>
      </c>
      <c r="EJ8" s="128">
        <f t="shared" si="47"/>
        <v>244770</v>
      </c>
      <c r="EK8" s="128">
        <f t="shared" si="136"/>
        <v>15840</v>
      </c>
      <c r="EL8" s="40">
        <f t="shared" si="137"/>
        <v>6304664.6474865414</v>
      </c>
      <c r="EM8" s="40">
        <f t="shared" si="48"/>
        <v>567410</v>
      </c>
      <c r="EN8" s="40">
        <f t="shared" si="49"/>
        <v>250890</v>
      </c>
      <c r="EO8" s="40">
        <f t="shared" si="138"/>
        <v>16240</v>
      </c>
      <c r="EP8" s="128">
        <f t="shared" si="139"/>
        <v>6462281.2636737041</v>
      </c>
      <c r="EQ8" s="128">
        <f t="shared" si="50"/>
        <v>581600</v>
      </c>
      <c r="ER8" s="128">
        <f t="shared" si="51"/>
        <v>257160</v>
      </c>
      <c r="ES8" s="128">
        <f t="shared" si="140"/>
        <v>16650</v>
      </c>
      <c r="ET8" s="40">
        <f t="shared" si="141"/>
        <v>6623838.2952655461</v>
      </c>
      <c r="EU8" s="40">
        <f t="shared" si="52"/>
        <v>596140</v>
      </c>
      <c r="EV8" s="40">
        <f t="shared" si="53"/>
        <v>263590</v>
      </c>
      <c r="EW8" s="40">
        <f t="shared" si="142"/>
        <v>17060</v>
      </c>
      <c r="EX8" s="128">
        <f t="shared" si="143"/>
        <v>6789434.2526471838</v>
      </c>
      <c r="EY8" s="128">
        <f t="shared" si="54"/>
        <v>611040</v>
      </c>
      <c r="EZ8" s="128">
        <f t="shared" si="55"/>
        <v>270180</v>
      </c>
      <c r="FA8" s="128">
        <f t="shared" si="144"/>
        <v>17490</v>
      </c>
      <c r="FB8" s="40">
        <f t="shared" si="145"/>
        <v>6959170.1089633629</v>
      </c>
      <c r="FC8" s="40">
        <f t="shared" si="56"/>
        <v>626320</v>
      </c>
      <c r="FD8" s="40">
        <f t="shared" si="57"/>
        <v>276940</v>
      </c>
      <c r="FE8" s="40">
        <f t="shared" si="146"/>
        <v>17930</v>
      </c>
      <c r="FF8" s="128">
        <f t="shared" si="147"/>
        <v>7133149.361687446</v>
      </c>
      <c r="FG8" s="128">
        <f t="shared" si="58"/>
        <v>641980</v>
      </c>
      <c r="FH8" s="128">
        <f t="shared" si="59"/>
        <v>283860</v>
      </c>
      <c r="FI8" s="128">
        <f t="shared" si="148"/>
        <v>18370</v>
      </c>
      <c r="FJ8" s="40">
        <f t="shared" si="149"/>
        <v>7311478.0957296314</v>
      </c>
      <c r="FK8" s="40">
        <f t="shared" si="60"/>
        <v>658030</v>
      </c>
      <c r="FL8" s="40">
        <f t="shared" si="61"/>
        <v>290960</v>
      </c>
      <c r="FM8" s="40">
        <f t="shared" si="150"/>
        <v>18830</v>
      </c>
      <c r="FN8" s="128">
        <f t="shared" si="151"/>
        <v>7494265.0481228717</v>
      </c>
      <c r="FO8" s="128">
        <f t="shared" si="62"/>
        <v>674480</v>
      </c>
      <c r="FP8" s="128">
        <f t="shared" si="63"/>
        <v>298230</v>
      </c>
      <c r="FQ8" s="128">
        <f t="shared" si="152"/>
        <v>19310</v>
      </c>
      <c r="FR8" s="40">
        <f t="shared" si="153"/>
        <v>7681621.674325943</v>
      </c>
      <c r="FS8" s="40">
        <f t="shared" si="64"/>
        <v>691340</v>
      </c>
      <c r="FT8" s="40">
        <f t="shared" si="65"/>
        <v>305690</v>
      </c>
      <c r="FU8" s="40">
        <f t="shared" si="154"/>
        <v>19790</v>
      </c>
      <c r="FV8" s="128">
        <f t="shared" si="155"/>
        <v>7873662.2161840908</v>
      </c>
      <c r="FW8" s="128">
        <f t="shared" si="66"/>
        <v>708620</v>
      </c>
      <c r="FX8" s="128">
        <f t="shared" si="67"/>
        <v>313330</v>
      </c>
      <c r="FY8" s="128">
        <f t="shared" si="156"/>
        <v>20280</v>
      </c>
      <c r="FZ8" s="40">
        <f t="shared" si="157"/>
        <v>8070503.7715886924</v>
      </c>
      <c r="GA8" s="40">
        <f t="shared" si="68"/>
        <v>726340</v>
      </c>
      <c r="GB8" s="40">
        <f t="shared" si="69"/>
        <v>321160</v>
      </c>
      <c r="GC8" s="40">
        <f t="shared" si="158"/>
        <v>20790</v>
      </c>
      <c r="GD8" s="128">
        <f t="shared" si="159"/>
        <v>8272266.3658784088</v>
      </c>
      <c r="GE8" s="128">
        <f t="shared" si="70"/>
        <v>744500</v>
      </c>
      <c r="GF8" s="128">
        <f t="shared" si="71"/>
        <v>329190</v>
      </c>
      <c r="GG8" s="128">
        <f t="shared" si="160"/>
        <v>21310</v>
      </c>
      <c r="GH8" s="40">
        <f t="shared" si="161"/>
        <v>8479073.0250253677</v>
      </c>
      <c r="GI8" s="40">
        <f t="shared" si="72"/>
        <v>763110</v>
      </c>
      <c r="GJ8" s="40">
        <f t="shared" si="73"/>
        <v>337420</v>
      </c>
      <c r="GK8" s="40">
        <f t="shared" si="162"/>
        <v>21840</v>
      </c>
      <c r="GL8" s="128">
        <f t="shared" si="163"/>
        <v>8691049.8506510016</v>
      </c>
      <c r="GM8" s="128">
        <f t="shared" si="74"/>
        <v>782190</v>
      </c>
      <c r="GN8" s="128">
        <f t="shared" si="75"/>
        <v>345860</v>
      </c>
      <c r="GO8" s="128">
        <f t="shared" si="164"/>
        <v>22390</v>
      </c>
      <c r="GP8" s="40">
        <f t="shared" si="165"/>
        <v>8908326.0969172753</v>
      </c>
      <c r="GQ8" s="40">
        <f t="shared" si="76"/>
        <v>801740</v>
      </c>
      <c r="GR8" s="40">
        <f t="shared" si="77"/>
        <v>354510</v>
      </c>
      <c r="GS8" s="40">
        <f t="shared" si="166"/>
        <v>22950</v>
      </c>
      <c r="GT8" s="128">
        <f t="shared" si="167"/>
        <v>9131034.2493402064</v>
      </c>
      <c r="GU8" s="128">
        <f t="shared" si="78"/>
        <v>821790</v>
      </c>
      <c r="GV8" s="128">
        <f t="shared" si="79"/>
        <v>363370</v>
      </c>
      <c r="GW8" s="128">
        <f t="shared" si="168"/>
        <v>23520</v>
      </c>
      <c r="GX8" s="40">
        <f t="shared" si="169"/>
        <v>9359310.1055737101</v>
      </c>
      <c r="GY8" s="40">
        <f t="shared" si="80"/>
        <v>842330</v>
      </c>
      <c r="GZ8" s="40">
        <f t="shared" si="81"/>
        <v>372450</v>
      </c>
      <c r="HA8" s="40">
        <f t="shared" si="170"/>
        <v>24110</v>
      </c>
      <c r="HB8" s="128" t="e">
        <f t="shared" si="171"/>
        <v>#REF!</v>
      </c>
      <c r="HC8" s="128" t="e">
        <f t="shared" si="82"/>
        <v>#REF!</v>
      </c>
      <c r="HD8" s="128" t="e">
        <f t="shared" si="83"/>
        <v>#REF!</v>
      </c>
      <c r="HE8" s="128" t="e">
        <f t="shared" si="172"/>
        <v>#REF!</v>
      </c>
    </row>
    <row r="9" spans="1:213">
      <c r="A9" s="2"/>
      <c r="B9" s="1"/>
      <c r="C9" s="71"/>
      <c r="D9" s="61"/>
      <c r="E9" s="63"/>
      <c r="F9" s="49"/>
      <c r="G9" s="87"/>
      <c r="H9" s="45"/>
      <c r="I9" s="602">
        <v>5</v>
      </c>
      <c r="K9" s="47">
        <v>0</v>
      </c>
      <c r="L9" s="159">
        <v>0</v>
      </c>
      <c r="N9" s="137">
        <v>5</v>
      </c>
      <c r="R9" s="25" t="s">
        <v>254</v>
      </c>
      <c r="AD9" s="26"/>
      <c r="AE9" s="27"/>
      <c r="AF9" s="778"/>
      <c r="AG9" s="28"/>
      <c r="AH9" s="28"/>
      <c r="AJ9" s="41">
        <v>3</v>
      </c>
      <c r="AK9" s="41">
        <v>12</v>
      </c>
      <c r="AL9" s="890">
        <v>3391630</v>
      </c>
      <c r="AM9" s="40">
        <f t="shared" si="84"/>
        <v>305250</v>
      </c>
      <c r="AN9" s="40">
        <v>110130</v>
      </c>
      <c r="AO9" s="40">
        <v>11290</v>
      </c>
      <c r="AP9" s="891">
        <f t="shared" si="85"/>
        <v>3449290</v>
      </c>
      <c r="AQ9" s="131">
        <f t="shared" si="86"/>
        <v>310440</v>
      </c>
      <c r="AR9" s="130">
        <f t="shared" si="87"/>
        <v>122280</v>
      </c>
      <c r="AS9" s="128">
        <f t="shared" si="88"/>
        <v>7920</v>
      </c>
      <c r="AT9" s="40">
        <f t="shared" si="89"/>
        <v>3570015.15</v>
      </c>
      <c r="AU9" s="40">
        <f t="shared" si="0"/>
        <v>321300</v>
      </c>
      <c r="AV9" s="40">
        <f t="shared" si="1"/>
        <v>128700</v>
      </c>
      <c r="AW9" s="40">
        <f t="shared" si="90"/>
        <v>8330</v>
      </c>
      <c r="AX9" s="128">
        <f t="shared" si="91"/>
        <v>3659265.5287499996</v>
      </c>
      <c r="AY9" s="128">
        <f t="shared" si="2"/>
        <v>329330</v>
      </c>
      <c r="AZ9" s="128">
        <f t="shared" si="3"/>
        <v>131920</v>
      </c>
      <c r="BA9" s="128">
        <f t="shared" si="92"/>
        <v>8540</v>
      </c>
      <c r="BB9" s="40">
        <f t="shared" si="93"/>
        <v>3750747.1669687494</v>
      </c>
      <c r="BC9" s="40">
        <f t="shared" si="4"/>
        <v>337560</v>
      </c>
      <c r="BD9" s="40">
        <f t="shared" si="5"/>
        <v>138600</v>
      </c>
      <c r="BE9" s="40">
        <f t="shared" si="94"/>
        <v>8970</v>
      </c>
      <c r="BF9" s="128">
        <f t="shared" si="95"/>
        <v>3844515.8461429677</v>
      </c>
      <c r="BG9" s="128">
        <f t="shared" si="6"/>
        <v>346000</v>
      </c>
      <c r="BH9" s="128">
        <f t="shared" si="7"/>
        <v>142070</v>
      </c>
      <c r="BI9" s="128">
        <f t="shared" si="96"/>
        <v>9190</v>
      </c>
      <c r="BJ9" s="40">
        <f t="shared" si="97"/>
        <v>3940628.7422965416</v>
      </c>
      <c r="BK9" s="40">
        <f t="shared" si="8"/>
        <v>354650</v>
      </c>
      <c r="BL9" s="40">
        <f t="shared" si="9"/>
        <v>149260</v>
      </c>
      <c r="BM9" s="40">
        <f t="shared" si="98"/>
        <v>9660</v>
      </c>
      <c r="BN9" s="128">
        <f t="shared" si="99"/>
        <v>4039144.4608539548</v>
      </c>
      <c r="BO9" s="128">
        <f t="shared" si="10"/>
        <v>363520</v>
      </c>
      <c r="BP9" s="128">
        <f t="shared" si="11"/>
        <v>156810</v>
      </c>
      <c r="BQ9" s="128">
        <f t="shared" si="100"/>
        <v>10150</v>
      </c>
      <c r="BR9" s="40">
        <f t="shared" si="101"/>
        <v>4140123.0723753031</v>
      </c>
      <c r="BS9" s="40">
        <f t="shared" si="12"/>
        <v>372610</v>
      </c>
      <c r="BT9" s="40">
        <f t="shared" si="13"/>
        <v>160730</v>
      </c>
      <c r="BU9" s="40">
        <f t="shared" si="102"/>
        <v>10400</v>
      </c>
      <c r="BV9" s="128">
        <f t="shared" si="103"/>
        <v>4243626.1491846852</v>
      </c>
      <c r="BW9" s="128">
        <f t="shared" si="14"/>
        <v>381920</v>
      </c>
      <c r="BX9" s="128">
        <f t="shared" si="15"/>
        <v>168870</v>
      </c>
      <c r="BY9" s="128">
        <f t="shared" si="104"/>
        <v>10930</v>
      </c>
      <c r="BZ9" s="40">
        <f t="shared" si="105"/>
        <v>4349716.8029143019</v>
      </c>
      <c r="CA9" s="40">
        <f t="shared" si="16"/>
        <v>391470</v>
      </c>
      <c r="CB9" s="40">
        <f t="shared" si="17"/>
        <v>173090</v>
      </c>
      <c r="CC9" s="40">
        <f t="shared" si="106"/>
        <v>11200</v>
      </c>
      <c r="CD9" s="128">
        <f t="shared" si="107"/>
        <v>4458459.7229871592</v>
      </c>
      <c r="CE9" s="128">
        <f t="shared" si="18"/>
        <v>401260</v>
      </c>
      <c r="CF9" s="128">
        <f t="shared" si="19"/>
        <v>177420</v>
      </c>
      <c r="CG9" s="128">
        <f t="shared" si="108"/>
        <v>11480</v>
      </c>
      <c r="CH9" s="40">
        <f t="shared" si="109"/>
        <v>4569921.216061838</v>
      </c>
      <c r="CI9" s="40">
        <f t="shared" si="20"/>
        <v>411290</v>
      </c>
      <c r="CJ9" s="40">
        <f t="shared" si="21"/>
        <v>181860</v>
      </c>
      <c r="CK9" s="40">
        <f t="shared" si="110"/>
        <v>11770</v>
      </c>
      <c r="CL9" s="128">
        <f t="shared" si="111"/>
        <v>4684169.2464633835</v>
      </c>
      <c r="CM9" s="128">
        <f t="shared" si="22"/>
        <v>421570</v>
      </c>
      <c r="CN9" s="128">
        <f t="shared" si="23"/>
        <v>186400</v>
      </c>
      <c r="CO9" s="128">
        <f t="shared" si="112"/>
        <v>12060</v>
      </c>
      <c r="CP9" s="40">
        <f t="shared" si="113"/>
        <v>4801273.4776249677</v>
      </c>
      <c r="CQ9" s="40">
        <f t="shared" si="24"/>
        <v>432110</v>
      </c>
      <c r="CR9" s="40">
        <f t="shared" si="25"/>
        <v>191060</v>
      </c>
      <c r="CS9" s="40">
        <f t="shared" si="114"/>
        <v>12370</v>
      </c>
      <c r="CT9" s="128">
        <f t="shared" si="115"/>
        <v>4921305.3145655915</v>
      </c>
      <c r="CU9" s="128">
        <f t="shared" si="26"/>
        <v>442910</v>
      </c>
      <c r="CV9" s="128">
        <f t="shared" si="27"/>
        <v>195840</v>
      </c>
      <c r="CW9" s="128">
        <f t="shared" si="116"/>
        <v>12680</v>
      </c>
      <c r="CX9" s="40">
        <f t="shared" si="117"/>
        <v>5044337.9474297306</v>
      </c>
      <c r="CY9" s="40">
        <f t="shared" si="28"/>
        <v>453990</v>
      </c>
      <c r="CZ9" s="40">
        <f t="shared" si="29"/>
        <v>200740</v>
      </c>
      <c r="DA9" s="40">
        <f t="shared" si="118"/>
        <v>12990</v>
      </c>
      <c r="DB9" s="128">
        <f t="shared" si="119"/>
        <v>5170446.3961154735</v>
      </c>
      <c r="DC9" s="128">
        <f t="shared" si="30"/>
        <v>465340</v>
      </c>
      <c r="DD9" s="128">
        <f t="shared" si="31"/>
        <v>205750</v>
      </c>
      <c r="DE9" s="128">
        <f t="shared" si="120"/>
        <v>13320</v>
      </c>
      <c r="DF9" s="40">
        <f t="shared" si="121"/>
        <v>5299707.55601836</v>
      </c>
      <c r="DG9" s="40">
        <f t="shared" si="32"/>
        <v>476970</v>
      </c>
      <c r="DH9" s="40">
        <f t="shared" si="33"/>
        <v>210900</v>
      </c>
      <c r="DI9" s="40">
        <f t="shared" si="122"/>
        <v>13650</v>
      </c>
      <c r="DJ9" s="128">
        <f t="shared" si="123"/>
        <v>5432200.2449188186</v>
      </c>
      <c r="DK9" s="128">
        <f t="shared" si="34"/>
        <v>488890</v>
      </c>
      <c r="DL9" s="128">
        <f t="shared" si="35"/>
        <v>216170</v>
      </c>
      <c r="DM9" s="128">
        <f t="shared" si="124"/>
        <v>13990</v>
      </c>
      <c r="DN9" s="40">
        <f t="shared" si="125"/>
        <v>5568005.2510417886</v>
      </c>
      <c r="DO9" s="40">
        <f t="shared" si="36"/>
        <v>501120</v>
      </c>
      <c r="DP9" s="40">
        <f t="shared" si="37"/>
        <v>221580</v>
      </c>
      <c r="DQ9" s="40">
        <f t="shared" si="126"/>
        <v>14340</v>
      </c>
      <c r="DR9" s="128">
        <f t="shared" si="127"/>
        <v>5707205.3823178327</v>
      </c>
      <c r="DS9" s="128">
        <f t="shared" si="38"/>
        <v>513640</v>
      </c>
      <c r="DT9" s="128">
        <f t="shared" si="39"/>
        <v>227120</v>
      </c>
      <c r="DU9" s="128">
        <f t="shared" si="128"/>
        <v>14700</v>
      </c>
      <c r="DV9" s="40">
        <f t="shared" si="129"/>
        <v>5849885.5168757783</v>
      </c>
      <c r="DW9" s="40">
        <f t="shared" si="40"/>
        <v>526480</v>
      </c>
      <c r="DX9" s="40">
        <f t="shared" si="41"/>
        <v>232790</v>
      </c>
      <c r="DY9" s="40">
        <f t="shared" si="130"/>
        <v>15070</v>
      </c>
      <c r="DZ9" s="128">
        <f t="shared" si="131"/>
        <v>5996132.6547976723</v>
      </c>
      <c r="EA9" s="128">
        <f t="shared" si="42"/>
        <v>539650</v>
      </c>
      <c r="EB9" s="128">
        <f t="shared" si="43"/>
        <v>238610</v>
      </c>
      <c r="EC9" s="128">
        <f t="shared" si="132"/>
        <v>15440</v>
      </c>
      <c r="ED9" s="40">
        <f t="shared" si="133"/>
        <v>6146035.9711676138</v>
      </c>
      <c r="EE9" s="40">
        <f t="shared" si="44"/>
        <v>553140</v>
      </c>
      <c r="EF9" s="40">
        <f t="shared" si="45"/>
        <v>244580</v>
      </c>
      <c r="EG9" s="40">
        <f t="shared" si="134"/>
        <v>15830</v>
      </c>
      <c r="EH9" s="128">
        <f t="shared" si="135"/>
        <v>6299686.870446804</v>
      </c>
      <c r="EI9" s="128">
        <f t="shared" si="46"/>
        <v>566970</v>
      </c>
      <c r="EJ9" s="128">
        <f t="shared" si="47"/>
        <v>250690</v>
      </c>
      <c r="EK9" s="128">
        <f t="shared" si="136"/>
        <v>16230</v>
      </c>
      <c r="EL9" s="40">
        <f t="shared" si="137"/>
        <v>6457179.0422079731</v>
      </c>
      <c r="EM9" s="40">
        <f t="shared" si="48"/>
        <v>581140</v>
      </c>
      <c r="EN9" s="40">
        <f t="shared" si="49"/>
        <v>256960</v>
      </c>
      <c r="EO9" s="40">
        <f t="shared" si="138"/>
        <v>16630</v>
      </c>
      <c r="EP9" s="128">
        <f t="shared" si="139"/>
        <v>6618608.5182631714</v>
      </c>
      <c r="EQ9" s="128">
        <f t="shared" si="50"/>
        <v>595670</v>
      </c>
      <c r="ER9" s="128">
        <f t="shared" si="51"/>
        <v>263390</v>
      </c>
      <c r="ES9" s="128">
        <f t="shared" si="140"/>
        <v>17050</v>
      </c>
      <c r="ET9" s="40">
        <f t="shared" si="141"/>
        <v>6784073.7312197499</v>
      </c>
      <c r="EU9" s="40">
        <f t="shared" si="52"/>
        <v>610560</v>
      </c>
      <c r="EV9" s="40">
        <f t="shared" si="53"/>
        <v>269970</v>
      </c>
      <c r="EW9" s="40">
        <f t="shared" si="142"/>
        <v>17480</v>
      </c>
      <c r="EX9" s="128">
        <f t="shared" si="143"/>
        <v>6953675.5745002432</v>
      </c>
      <c r="EY9" s="128">
        <f t="shared" si="54"/>
        <v>625830</v>
      </c>
      <c r="EZ9" s="128">
        <f t="shared" si="55"/>
        <v>276720</v>
      </c>
      <c r="FA9" s="128">
        <f t="shared" si="144"/>
        <v>17910</v>
      </c>
      <c r="FB9" s="40">
        <f t="shared" si="145"/>
        <v>7127517.4638627488</v>
      </c>
      <c r="FC9" s="40">
        <f t="shared" si="56"/>
        <v>641470</v>
      </c>
      <c r="FD9" s="40">
        <f t="shared" si="57"/>
        <v>283640</v>
      </c>
      <c r="FE9" s="40">
        <f t="shared" si="146"/>
        <v>18360</v>
      </c>
      <c r="FF9" s="128">
        <f t="shared" si="147"/>
        <v>7305705.4004593166</v>
      </c>
      <c r="FG9" s="128">
        <f t="shared" si="58"/>
        <v>657510</v>
      </c>
      <c r="FH9" s="128">
        <f t="shared" si="59"/>
        <v>290730</v>
      </c>
      <c r="FI9" s="128">
        <f t="shared" si="148"/>
        <v>18820</v>
      </c>
      <c r="FJ9" s="40">
        <f t="shared" si="149"/>
        <v>7488348.0354707986</v>
      </c>
      <c r="FK9" s="40">
        <f t="shared" si="60"/>
        <v>673950</v>
      </c>
      <c r="FL9" s="40">
        <f t="shared" si="61"/>
        <v>298000</v>
      </c>
      <c r="FM9" s="40">
        <f t="shared" si="150"/>
        <v>19290</v>
      </c>
      <c r="FN9" s="128">
        <f t="shared" si="151"/>
        <v>7675556.7363575678</v>
      </c>
      <c r="FO9" s="128">
        <f t="shared" si="62"/>
        <v>690800</v>
      </c>
      <c r="FP9" s="128">
        <f t="shared" si="63"/>
        <v>305450</v>
      </c>
      <c r="FQ9" s="128">
        <f t="shared" si="152"/>
        <v>19770</v>
      </c>
      <c r="FR9" s="40">
        <f t="shared" si="153"/>
        <v>7867445.6547665065</v>
      </c>
      <c r="FS9" s="40">
        <f t="shared" si="64"/>
        <v>708070</v>
      </c>
      <c r="FT9" s="40">
        <f t="shared" si="65"/>
        <v>313080</v>
      </c>
      <c r="FU9" s="40">
        <f t="shared" si="154"/>
        <v>20270</v>
      </c>
      <c r="FV9" s="128">
        <f t="shared" si="155"/>
        <v>8064131.7961356686</v>
      </c>
      <c r="FW9" s="128">
        <f t="shared" si="66"/>
        <v>725770</v>
      </c>
      <c r="FX9" s="128">
        <f t="shared" si="67"/>
        <v>320910</v>
      </c>
      <c r="FY9" s="128">
        <f t="shared" si="156"/>
        <v>20770</v>
      </c>
      <c r="FZ9" s="40">
        <f t="shared" si="157"/>
        <v>8265735.0910390597</v>
      </c>
      <c r="GA9" s="40">
        <f t="shared" si="68"/>
        <v>743910</v>
      </c>
      <c r="GB9" s="40">
        <f t="shared" si="69"/>
        <v>328930</v>
      </c>
      <c r="GC9" s="40">
        <f t="shared" si="158"/>
        <v>21290</v>
      </c>
      <c r="GD9" s="128">
        <f t="shared" si="159"/>
        <v>8472378.4683150351</v>
      </c>
      <c r="GE9" s="128">
        <f t="shared" si="70"/>
        <v>762510</v>
      </c>
      <c r="GF9" s="128">
        <f t="shared" si="71"/>
        <v>337160</v>
      </c>
      <c r="GG9" s="128">
        <f t="shared" si="160"/>
        <v>21830</v>
      </c>
      <c r="GH9" s="40">
        <f t="shared" si="161"/>
        <v>8684187.9300229102</v>
      </c>
      <c r="GI9" s="40">
        <f t="shared" si="72"/>
        <v>781570</v>
      </c>
      <c r="GJ9" s="40">
        <f t="shared" si="73"/>
        <v>345590</v>
      </c>
      <c r="GK9" s="40">
        <f t="shared" si="162"/>
        <v>22370</v>
      </c>
      <c r="GL9" s="128">
        <f t="shared" si="163"/>
        <v>8901292.6282734815</v>
      </c>
      <c r="GM9" s="128">
        <f t="shared" si="74"/>
        <v>801110</v>
      </c>
      <c r="GN9" s="128">
        <f t="shared" si="75"/>
        <v>354230</v>
      </c>
      <c r="GO9" s="128">
        <f t="shared" si="164"/>
        <v>22930</v>
      </c>
      <c r="GP9" s="40">
        <f t="shared" si="165"/>
        <v>9123824.9439803176</v>
      </c>
      <c r="GQ9" s="40">
        <f t="shared" si="76"/>
        <v>821140</v>
      </c>
      <c r="GR9" s="40">
        <f t="shared" si="77"/>
        <v>363080</v>
      </c>
      <c r="GS9" s="40">
        <f t="shared" si="166"/>
        <v>23500</v>
      </c>
      <c r="GT9" s="128">
        <f t="shared" si="167"/>
        <v>9351920.5675798245</v>
      </c>
      <c r="GU9" s="128">
        <f t="shared" si="78"/>
        <v>841670</v>
      </c>
      <c r="GV9" s="128">
        <f t="shared" si="79"/>
        <v>372160</v>
      </c>
      <c r="GW9" s="128">
        <f t="shared" si="168"/>
        <v>24090</v>
      </c>
      <c r="GX9" s="40">
        <f t="shared" si="169"/>
        <v>9585718.5817693193</v>
      </c>
      <c r="GY9" s="40">
        <f t="shared" si="80"/>
        <v>862710</v>
      </c>
      <c r="GZ9" s="40">
        <f t="shared" si="81"/>
        <v>381460</v>
      </c>
      <c r="HA9" s="40">
        <f t="shared" si="170"/>
        <v>24690</v>
      </c>
      <c r="HB9" s="128" t="e">
        <f t="shared" si="171"/>
        <v>#REF!</v>
      </c>
      <c r="HC9" s="128" t="e">
        <f t="shared" si="82"/>
        <v>#REF!</v>
      </c>
      <c r="HD9" s="128" t="e">
        <f t="shared" si="83"/>
        <v>#REF!</v>
      </c>
      <c r="HE9" s="128" t="e">
        <f t="shared" si="172"/>
        <v>#REF!</v>
      </c>
    </row>
    <row r="10" spans="1:213">
      <c r="A10" s="2"/>
      <c r="B10" s="1"/>
      <c r="C10" s="71"/>
      <c r="D10" s="61"/>
      <c r="E10" s="63"/>
      <c r="F10" s="49"/>
      <c r="G10" s="87"/>
      <c r="H10" s="45"/>
      <c r="I10" s="602">
        <v>6</v>
      </c>
      <c r="K10" s="47">
        <v>20000</v>
      </c>
      <c r="L10" s="159">
        <v>1</v>
      </c>
      <c r="N10" s="137">
        <v>6</v>
      </c>
      <c r="R10" s="25" t="s">
        <v>261</v>
      </c>
      <c r="AD10" s="26"/>
      <c r="AE10" s="27"/>
      <c r="AF10" s="778"/>
      <c r="AG10" s="28"/>
      <c r="AH10" s="28"/>
      <c r="AJ10" s="41">
        <v>4</v>
      </c>
      <c r="AK10" s="41">
        <v>13</v>
      </c>
      <c r="AL10" s="890">
        <v>3495460</v>
      </c>
      <c r="AM10" s="40">
        <f t="shared" si="84"/>
        <v>314590</v>
      </c>
      <c r="AN10" s="40">
        <v>113500</v>
      </c>
      <c r="AO10" s="40">
        <v>11630</v>
      </c>
      <c r="AP10" s="891">
        <f t="shared" si="85"/>
        <v>3554880</v>
      </c>
      <c r="AQ10" s="131">
        <f t="shared" si="86"/>
        <v>319940</v>
      </c>
      <c r="AR10" s="130">
        <f t="shared" si="87"/>
        <v>126020</v>
      </c>
      <c r="AS10" s="128">
        <f t="shared" si="88"/>
        <v>8160</v>
      </c>
      <c r="AT10" s="40">
        <f t="shared" si="89"/>
        <v>3679300.8</v>
      </c>
      <c r="AU10" s="40">
        <f t="shared" si="0"/>
        <v>331130</v>
      </c>
      <c r="AV10" s="40">
        <f t="shared" si="1"/>
        <v>132640</v>
      </c>
      <c r="AW10" s="40">
        <f t="shared" si="90"/>
        <v>8580</v>
      </c>
      <c r="AX10" s="128">
        <f t="shared" si="91"/>
        <v>3771283.3199999994</v>
      </c>
      <c r="AY10" s="128">
        <f t="shared" si="2"/>
        <v>339410</v>
      </c>
      <c r="AZ10" s="128">
        <f t="shared" si="3"/>
        <v>135960</v>
      </c>
      <c r="BA10" s="128">
        <f t="shared" si="92"/>
        <v>8800</v>
      </c>
      <c r="BB10" s="40">
        <f t="shared" si="93"/>
        <v>3865565.402999999</v>
      </c>
      <c r="BC10" s="40">
        <f t="shared" si="4"/>
        <v>347900</v>
      </c>
      <c r="BD10" s="40">
        <f t="shared" si="5"/>
        <v>142840</v>
      </c>
      <c r="BE10" s="40">
        <f t="shared" si="94"/>
        <v>9240</v>
      </c>
      <c r="BF10" s="128">
        <f t="shared" si="95"/>
        <v>3962204.5380749987</v>
      </c>
      <c r="BG10" s="128">
        <f t="shared" si="6"/>
        <v>356590</v>
      </c>
      <c r="BH10" s="128">
        <f t="shared" si="7"/>
        <v>146410</v>
      </c>
      <c r="BI10" s="128">
        <f t="shared" si="96"/>
        <v>9480</v>
      </c>
      <c r="BJ10" s="40">
        <f t="shared" si="97"/>
        <v>4061259.6515268735</v>
      </c>
      <c r="BK10" s="40">
        <f t="shared" si="8"/>
        <v>365510</v>
      </c>
      <c r="BL10" s="40">
        <f t="shared" si="9"/>
        <v>153830</v>
      </c>
      <c r="BM10" s="40">
        <f t="shared" si="98"/>
        <v>9960</v>
      </c>
      <c r="BN10" s="128">
        <f t="shared" si="99"/>
        <v>4162791.1428150451</v>
      </c>
      <c r="BO10" s="128">
        <f t="shared" si="10"/>
        <v>374650</v>
      </c>
      <c r="BP10" s="128">
        <f t="shared" si="11"/>
        <v>161610</v>
      </c>
      <c r="BQ10" s="128">
        <f t="shared" si="100"/>
        <v>10460</v>
      </c>
      <c r="BR10" s="40">
        <f t="shared" si="101"/>
        <v>4266860.9213854205</v>
      </c>
      <c r="BS10" s="40">
        <f t="shared" si="12"/>
        <v>384010</v>
      </c>
      <c r="BT10" s="40">
        <f t="shared" si="13"/>
        <v>165650</v>
      </c>
      <c r="BU10" s="40">
        <f t="shared" si="102"/>
        <v>10720</v>
      </c>
      <c r="BV10" s="128">
        <f t="shared" si="103"/>
        <v>4373532.4444200555</v>
      </c>
      <c r="BW10" s="128">
        <f t="shared" si="14"/>
        <v>393610</v>
      </c>
      <c r="BX10" s="128">
        <f t="shared" si="15"/>
        <v>174040</v>
      </c>
      <c r="BY10" s="128">
        <f t="shared" si="104"/>
        <v>11260</v>
      </c>
      <c r="BZ10" s="40">
        <f t="shared" si="105"/>
        <v>4482870.7555305567</v>
      </c>
      <c r="CA10" s="40">
        <f t="shared" si="16"/>
        <v>403450</v>
      </c>
      <c r="CB10" s="40">
        <f t="shared" si="17"/>
        <v>178390</v>
      </c>
      <c r="CC10" s="40">
        <f t="shared" si="106"/>
        <v>11550</v>
      </c>
      <c r="CD10" s="128">
        <f t="shared" si="107"/>
        <v>4594942.5244188206</v>
      </c>
      <c r="CE10" s="128">
        <f t="shared" si="18"/>
        <v>413540</v>
      </c>
      <c r="CF10" s="128">
        <f t="shared" si="19"/>
        <v>182850</v>
      </c>
      <c r="CG10" s="128">
        <f t="shared" si="108"/>
        <v>11830</v>
      </c>
      <c r="CH10" s="40">
        <f t="shared" si="109"/>
        <v>4709816.0875292905</v>
      </c>
      <c r="CI10" s="40">
        <f t="shared" si="20"/>
        <v>423880</v>
      </c>
      <c r="CJ10" s="40">
        <f t="shared" si="21"/>
        <v>187420</v>
      </c>
      <c r="CK10" s="40">
        <f t="shared" si="110"/>
        <v>12130</v>
      </c>
      <c r="CL10" s="128">
        <f t="shared" si="111"/>
        <v>4827561.4897175226</v>
      </c>
      <c r="CM10" s="128">
        <f t="shared" si="22"/>
        <v>434480</v>
      </c>
      <c r="CN10" s="128">
        <f t="shared" si="23"/>
        <v>192110</v>
      </c>
      <c r="CO10" s="128">
        <f t="shared" si="112"/>
        <v>12430</v>
      </c>
      <c r="CP10" s="40">
        <f t="shared" si="113"/>
        <v>4948250.5269604605</v>
      </c>
      <c r="CQ10" s="40">
        <f t="shared" si="24"/>
        <v>445340</v>
      </c>
      <c r="CR10" s="40">
        <f t="shared" si="25"/>
        <v>196910</v>
      </c>
      <c r="CS10" s="40">
        <f t="shared" si="114"/>
        <v>12740</v>
      </c>
      <c r="CT10" s="128">
        <f t="shared" si="115"/>
        <v>5071956.7901344718</v>
      </c>
      <c r="CU10" s="128">
        <f t="shared" si="26"/>
        <v>456470</v>
      </c>
      <c r="CV10" s="128">
        <f t="shared" si="27"/>
        <v>201840</v>
      </c>
      <c r="CW10" s="128">
        <f t="shared" si="116"/>
        <v>13060</v>
      </c>
      <c r="CX10" s="40">
        <f t="shared" si="117"/>
        <v>5198755.7098878333</v>
      </c>
      <c r="CY10" s="40">
        <f t="shared" si="28"/>
        <v>467880</v>
      </c>
      <c r="CZ10" s="40">
        <f t="shared" si="29"/>
        <v>206880</v>
      </c>
      <c r="DA10" s="40">
        <f t="shared" si="118"/>
        <v>13390</v>
      </c>
      <c r="DB10" s="128">
        <f t="shared" si="119"/>
        <v>5328724.6026350288</v>
      </c>
      <c r="DC10" s="128">
        <f t="shared" si="30"/>
        <v>479580</v>
      </c>
      <c r="DD10" s="128">
        <f t="shared" si="31"/>
        <v>212050</v>
      </c>
      <c r="DE10" s="128">
        <f t="shared" si="120"/>
        <v>13730</v>
      </c>
      <c r="DF10" s="40">
        <f t="shared" si="121"/>
        <v>5461942.7177009042</v>
      </c>
      <c r="DG10" s="40">
        <f t="shared" si="32"/>
        <v>491570</v>
      </c>
      <c r="DH10" s="40">
        <f t="shared" si="33"/>
        <v>217360</v>
      </c>
      <c r="DI10" s="40">
        <f t="shared" si="122"/>
        <v>14070</v>
      </c>
      <c r="DJ10" s="128">
        <f t="shared" si="123"/>
        <v>5598491.2856434267</v>
      </c>
      <c r="DK10" s="128">
        <f t="shared" si="34"/>
        <v>503860</v>
      </c>
      <c r="DL10" s="128">
        <f t="shared" si="35"/>
        <v>222790</v>
      </c>
      <c r="DM10" s="128">
        <f t="shared" si="124"/>
        <v>14420</v>
      </c>
      <c r="DN10" s="40">
        <f t="shared" si="125"/>
        <v>5738453.5677845115</v>
      </c>
      <c r="DO10" s="40">
        <f t="shared" si="36"/>
        <v>516460</v>
      </c>
      <c r="DP10" s="40">
        <f t="shared" si="37"/>
        <v>228360</v>
      </c>
      <c r="DQ10" s="40">
        <f t="shared" si="126"/>
        <v>14780</v>
      </c>
      <c r="DR10" s="128">
        <f t="shared" si="127"/>
        <v>5881914.9069791241</v>
      </c>
      <c r="DS10" s="128">
        <f t="shared" si="38"/>
        <v>529370</v>
      </c>
      <c r="DT10" s="128">
        <f t="shared" si="39"/>
        <v>234070</v>
      </c>
      <c r="DU10" s="128">
        <f t="shared" si="128"/>
        <v>15150</v>
      </c>
      <c r="DV10" s="40">
        <f t="shared" si="129"/>
        <v>6028962.7796536013</v>
      </c>
      <c r="DW10" s="40">
        <f t="shared" si="40"/>
        <v>542600</v>
      </c>
      <c r="DX10" s="40">
        <f t="shared" si="41"/>
        <v>239920</v>
      </c>
      <c r="DY10" s="40">
        <f t="shared" si="130"/>
        <v>15530</v>
      </c>
      <c r="DZ10" s="128">
        <f t="shared" si="131"/>
        <v>6179686.8491449412</v>
      </c>
      <c r="EA10" s="128">
        <f t="shared" si="42"/>
        <v>556170</v>
      </c>
      <c r="EB10" s="128">
        <f t="shared" si="43"/>
        <v>245920</v>
      </c>
      <c r="EC10" s="128">
        <f t="shared" si="132"/>
        <v>15920</v>
      </c>
      <c r="ED10" s="40">
        <f t="shared" si="133"/>
        <v>6334179.0203735642</v>
      </c>
      <c r="EE10" s="40">
        <f t="shared" si="44"/>
        <v>570070</v>
      </c>
      <c r="EF10" s="40">
        <f t="shared" si="45"/>
        <v>252070</v>
      </c>
      <c r="EG10" s="40">
        <f t="shared" si="134"/>
        <v>16320</v>
      </c>
      <c r="EH10" s="128">
        <f t="shared" si="135"/>
        <v>6492533.4958829023</v>
      </c>
      <c r="EI10" s="128">
        <f t="shared" si="46"/>
        <v>584320</v>
      </c>
      <c r="EJ10" s="128">
        <f t="shared" si="47"/>
        <v>258370</v>
      </c>
      <c r="EK10" s="128">
        <f t="shared" si="136"/>
        <v>16720</v>
      </c>
      <c r="EL10" s="40">
        <f t="shared" si="137"/>
        <v>6654846.8332799738</v>
      </c>
      <c r="EM10" s="40">
        <f t="shared" si="48"/>
        <v>598930</v>
      </c>
      <c r="EN10" s="40">
        <f t="shared" si="49"/>
        <v>264830</v>
      </c>
      <c r="EO10" s="40">
        <f t="shared" si="138"/>
        <v>17140</v>
      </c>
      <c r="EP10" s="128">
        <f t="shared" si="139"/>
        <v>6821218.0041119726</v>
      </c>
      <c r="EQ10" s="128">
        <f t="shared" si="50"/>
        <v>613900</v>
      </c>
      <c r="ER10" s="128">
        <f t="shared" si="51"/>
        <v>271450</v>
      </c>
      <c r="ES10" s="128">
        <f t="shared" si="140"/>
        <v>17570</v>
      </c>
      <c r="ET10" s="40">
        <f t="shared" si="141"/>
        <v>6991748.4542147713</v>
      </c>
      <c r="EU10" s="40">
        <f t="shared" si="52"/>
        <v>629250</v>
      </c>
      <c r="EV10" s="40">
        <f t="shared" si="53"/>
        <v>278230</v>
      </c>
      <c r="EW10" s="40">
        <f t="shared" si="142"/>
        <v>18010</v>
      </c>
      <c r="EX10" s="128">
        <f t="shared" si="143"/>
        <v>7166542.1655701399</v>
      </c>
      <c r="EY10" s="128">
        <f t="shared" si="54"/>
        <v>644980</v>
      </c>
      <c r="EZ10" s="128">
        <f t="shared" si="55"/>
        <v>285190</v>
      </c>
      <c r="FA10" s="128">
        <f t="shared" si="144"/>
        <v>18460</v>
      </c>
      <c r="FB10" s="40">
        <f t="shared" si="145"/>
        <v>7345705.7197093926</v>
      </c>
      <c r="FC10" s="40">
        <f t="shared" si="56"/>
        <v>661110</v>
      </c>
      <c r="FD10" s="40">
        <f t="shared" si="57"/>
        <v>292320</v>
      </c>
      <c r="FE10" s="40">
        <f t="shared" si="146"/>
        <v>18920</v>
      </c>
      <c r="FF10" s="128">
        <f t="shared" si="147"/>
        <v>7529348.3627021266</v>
      </c>
      <c r="FG10" s="128">
        <f t="shared" si="58"/>
        <v>677640</v>
      </c>
      <c r="FH10" s="128">
        <f t="shared" si="59"/>
        <v>299630</v>
      </c>
      <c r="FI10" s="128">
        <f t="shared" si="148"/>
        <v>19400</v>
      </c>
      <c r="FJ10" s="40">
        <f t="shared" si="149"/>
        <v>7717582.071769679</v>
      </c>
      <c r="FK10" s="40">
        <f t="shared" si="60"/>
        <v>694580</v>
      </c>
      <c r="FL10" s="40">
        <f t="shared" si="61"/>
        <v>307120</v>
      </c>
      <c r="FM10" s="40">
        <f t="shared" si="150"/>
        <v>19880</v>
      </c>
      <c r="FN10" s="128">
        <f t="shared" si="151"/>
        <v>7910521.6235639201</v>
      </c>
      <c r="FO10" s="128">
        <f t="shared" si="62"/>
        <v>711940</v>
      </c>
      <c r="FP10" s="128">
        <f t="shared" si="63"/>
        <v>314800</v>
      </c>
      <c r="FQ10" s="128">
        <f t="shared" si="152"/>
        <v>20380</v>
      </c>
      <c r="FR10" s="40">
        <f t="shared" si="153"/>
        <v>8108284.6641530171</v>
      </c>
      <c r="FS10" s="40">
        <f t="shared" si="64"/>
        <v>729740</v>
      </c>
      <c r="FT10" s="40">
        <f t="shared" si="65"/>
        <v>322670</v>
      </c>
      <c r="FU10" s="40">
        <f t="shared" si="154"/>
        <v>20890</v>
      </c>
      <c r="FV10" s="128">
        <f t="shared" si="155"/>
        <v>8310991.7807568414</v>
      </c>
      <c r="FW10" s="128">
        <f t="shared" si="66"/>
        <v>747980</v>
      </c>
      <c r="FX10" s="128">
        <f t="shared" si="67"/>
        <v>330730</v>
      </c>
      <c r="FY10" s="128">
        <f t="shared" si="156"/>
        <v>21410</v>
      </c>
      <c r="FZ10" s="40">
        <f t="shared" si="157"/>
        <v>8518766.575275762</v>
      </c>
      <c r="GA10" s="40">
        <f t="shared" si="68"/>
        <v>766680</v>
      </c>
      <c r="GB10" s="40">
        <f t="shared" si="69"/>
        <v>339000</v>
      </c>
      <c r="GC10" s="40">
        <f t="shared" si="158"/>
        <v>21950</v>
      </c>
      <c r="GD10" s="128">
        <f t="shared" si="159"/>
        <v>8731735.7396576554</v>
      </c>
      <c r="GE10" s="128">
        <f t="shared" si="70"/>
        <v>785850</v>
      </c>
      <c r="GF10" s="128">
        <f t="shared" si="71"/>
        <v>347480</v>
      </c>
      <c r="GG10" s="128">
        <f t="shared" si="160"/>
        <v>22490</v>
      </c>
      <c r="GH10" s="40">
        <f t="shared" si="161"/>
        <v>8950029.1331490967</v>
      </c>
      <c r="GI10" s="40">
        <f t="shared" si="72"/>
        <v>805500</v>
      </c>
      <c r="GJ10" s="40">
        <f t="shared" si="73"/>
        <v>356160</v>
      </c>
      <c r="GK10" s="40">
        <f t="shared" si="162"/>
        <v>23060</v>
      </c>
      <c r="GL10" s="128">
        <f t="shared" si="163"/>
        <v>9173779.8614778239</v>
      </c>
      <c r="GM10" s="128">
        <f t="shared" si="74"/>
        <v>825640</v>
      </c>
      <c r="GN10" s="128">
        <f t="shared" si="75"/>
        <v>365070</v>
      </c>
      <c r="GO10" s="128">
        <f t="shared" si="164"/>
        <v>23630</v>
      </c>
      <c r="GP10" s="40">
        <f t="shared" si="165"/>
        <v>9403124.358014768</v>
      </c>
      <c r="GQ10" s="40">
        <f t="shared" si="76"/>
        <v>846280</v>
      </c>
      <c r="GR10" s="40">
        <f t="shared" si="77"/>
        <v>374200</v>
      </c>
      <c r="GS10" s="40">
        <f t="shared" si="166"/>
        <v>24220</v>
      </c>
      <c r="GT10" s="128">
        <f t="shared" si="167"/>
        <v>9638202.466965137</v>
      </c>
      <c r="GU10" s="128">
        <f t="shared" si="78"/>
        <v>867430</v>
      </c>
      <c r="GV10" s="128">
        <f t="shared" si="79"/>
        <v>383550</v>
      </c>
      <c r="GW10" s="128">
        <f t="shared" si="168"/>
        <v>24830</v>
      </c>
      <c r="GX10" s="40">
        <f t="shared" si="169"/>
        <v>9879157.5286392644</v>
      </c>
      <c r="GY10" s="40">
        <f t="shared" si="80"/>
        <v>889120</v>
      </c>
      <c r="GZ10" s="40">
        <f t="shared" si="81"/>
        <v>393140</v>
      </c>
      <c r="HA10" s="40">
        <f t="shared" si="170"/>
        <v>25450</v>
      </c>
      <c r="HB10" s="128" t="e">
        <f t="shared" si="171"/>
        <v>#REF!</v>
      </c>
      <c r="HC10" s="128" t="e">
        <f t="shared" si="82"/>
        <v>#REF!</v>
      </c>
      <c r="HD10" s="128" t="e">
        <f t="shared" si="83"/>
        <v>#REF!</v>
      </c>
      <c r="HE10" s="128" t="e">
        <f t="shared" si="172"/>
        <v>#REF!</v>
      </c>
    </row>
    <row r="11" spans="1:213">
      <c r="A11" s="4"/>
      <c r="B11" s="5"/>
      <c r="C11" s="72"/>
      <c r="D11" s="73"/>
      <c r="E11" s="64"/>
      <c r="F11" s="50"/>
      <c r="G11" s="87"/>
      <c r="H11" s="45"/>
      <c r="I11" s="602">
        <v>7</v>
      </c>
      <c r="K11" s="47">
        <v>40000</v>
      </c>
      <c r="L11" s="159">
        <v>2</v>
      </c>
      <c r="N11" s="137">
        <v>7</v>
      </c>
      <c r="R11" s="25" t="s">
        <v>255</v>
      </c>
      <c r="T11"/>
      <c r="AD11" s="26"/>
      <c r="AE11" s="27"/>
      <c r="AF11" s="778"/>
      <c r="AG11" s="28"/>
      <c r="AH11" s="28"/>
      <c r="AJ11" s="41">
        <v>4</v>
      </c>
      <c r="AK11" s="41">
        <v>14</v>
      </c>
      <c r="AL11" s="890">
        <v>3640240</v>
      </c>
      <c r="AM11" s="40">
        <f t="shared" si="84"/>
        <v>327620</v>
      </c>
      <c r="AN11" s="40">
        <v>118200</v>
      </c>
      <c r="AO11" s="40">
        <v>12120</v>
      </c>
      <c r="AP11" s="891">
        <f t="shared" si="85"/>
        <v>3702120</v>
      </c>
      <c r="AQ11" s="131">
        <f t="shared" si="86"/>
        <v>333190</v>
      </c>
      <c r="AR11" s="130">
        <f t="shared" si="87"/>
        <v>131240</v>
      </c>
      <c r="AS11" s="128">
        <f t="shared" si="88"/>
        <v>8500</v>
      </c>
      <c r="AT11" s="40">
        <f t="shared" si="89"/>
        <v>3831694.1999999997</v>
      </c>
      <c r="AU11" s="40">
        <f t="shared" si="0"/>
        <v>344850</v>
      </c>
      <c r="AV11" s="40">
        <f t="shared" si="1"/>
        <v>138140</v>
      </c>
      <c r="AW11" s="40">
        <f t="shared" si="90"/>
        <v>8940</v>
      </c>
      <c r="AX11" s="128">
        <f t="shared" si="91"/>
        <v>3927486.5549999992</v>
      </c>
      <c r="AY11" s="128">
        <f t="shared" si="2"/>
        <v>353470</v>
      </c>
      <c r="AZ11" s="128">
        <f t="shared" si="3"/>
        <v>141590</v>
      </c>
      <c r="BA11" s="128">
        <f t="shared" si="92"/>
        <v>9160</v>
      </c>
      <c r="BB11" s="40">
        <f t="shared" si="93"/>
        <v>4025673.7188749989</v>
      </c>
      <c r="BC11" s="40">
        <f t="shared" si="4"/>
        <v>362310</v>
      </c>
      <c r="BD11" s="40">
        <f t="shared" si="5"/>
        <v>148760</v>
      </c>
      <c r="BE11" s="40">
        <f t="shared" si="94"/>
        <v>9630</v>
      </c>
      <c r="BF11" s="128">
        <f t="shared" si="95"/>
        <v>4126315.5618468733</v>
      </c>
      <c r="BG11" s="128">
        <f t="shared" si="6"/>
        <v>371360</v>
      </c>
      <c r="BH11" s="128">
        <f t="shared" si="7"/>
        <v>152480</v>
      </c>
      <c r="BI11" s="128">
        <f t="shared" si="96"/>
        <v>9870</v>
      </c>
      <c r="BJ11" s="40">
        <f t="shared" si="97"/>
        <v>4229473.4508930445</v>
      </c>
      <c r="BK11" s="40">
        <f t="shared" si="8"/>
        <v>380650</v>
      </c>
      <c r="BL11" s="40">
        <f t="shared" si="9"/>
        <v>160200</v>
      </c>
      <c r="BM11" s="40">
        <f t="shared" si="98"/>
        <v>10370</v>
      </c>
      <c r="BN11" s="128">
        <f t="shared" si="99"/>
        <v>4335210.2871653698</v>
      </c>
      <c r="BO11" s="128">
        <f t="shared" si="10"/>
        <v>390160</v>
      </c>
      <c r="BP11" s="128">
        <f t="shared" si="11"/>
        <v>168310</v>
      </c>
      <c r="BQ11" s="128">
        <f t="shared" si="100"/>
        <v>10890</v>
      </c>
      <c r="BR11" s="40">
        <f t="shared" si="101"/>
        <v>4443590.5443445034</v>
      </c>
      <c r="BS11" s="40">
        <f t="shared" si="12"/>
        <v>399920</v>
      </c>
      <c r="BT11" s="40">
        <f t="shared" si="13"/>
        <v>172520</v>
      </c>
      <c r="BU11" s="40">
        <f t="shared" si="102"/>
        <v>11170</v>
      </c>
      <c r="BV11" s="128">
        <f t="shared" si="103"/>
        <v>4554680.3079531156</v>
      </c>
      <c r="BW11" s="128">
        <f t="shared" si="14"/>
        <v>409920</v>
      </c>
      <c r="BX11" s="128">
        <f t="shared" si="15"/>
        <v>181250</v>
      </c>
      <c r="BY11" s="128">
        <f t="shared" si="104"/>
        <v>11730</v>
      </c>
      <c r="BZ11" s="40">
        <f t="shared" si="105"/>
        <v>4668547.315651943</v>
      </c>
      <c r="CA11" s="40">
        <f t="shared" si="16"/>
        <v>420160</v>
      </c>
      <c r="CB11" s="40">
        <f t="shared" si="17"/>
        <v>185780</v>
      </c>
      <c r="CC11" s="40">
        <f t="shared" si="106"/>
        <v>12020</v>
      </c>
      <c r="CD11" s="128">
        <f t="shared" si="107"/>
        <v>4785260.9985432411</v>
      </c>
      <c r="CE11" s="128">
        <f t="shared" si="18"/>
        <v>430670</v>
      </c>
      <c r="CF11" s="128">
        <f t="shared" si="19"/>
        <v>190430</v>
      </c>
      <c r="CG11" s="128">
        <f t="shared" si="108"/>
        <v>12330</v>
      </c>
      <c r="CH11" s="40">
        <f t="shared" si="109"/>
        <v>4904892.5235068221</v>
      </c>
      <c r="CI11" s="40">
        <f t="shared" si="20"/>
        <v>441440</v>
      </c>
      <c r="CJ11" s="40">
        <f t="shared" si="21"/>
        <v>195190</v>
      </c>
      <c r="CK11" s="40">
        <f t="shared" si="110"/>
        <v>12630</v>
      </c>
      <c r="CL11" s="128">
        <f t="shared" si="111"/>
        <v>5027514.8365944922</v>
      </c>
      <c r="CM11" s="128">
        <f t="shared" si="22"/>
        <v>452470</v>
      </c>
      <c r="CN11" s="128">
        <f t="shared" si="23"/>
        <v>200070</v>
      </c>
      <c r="CO11" s="128">
        <f t="shared" si="112"/>
        <v>12950</v>
      </c>
      <c r="CP11" s="40">
        <f t="shared" si="113"/>
        <v>5153202.7075093538</v>
      </c>
      <c r="CQ11" s="40">
        <f t="shared" si="24"/>
        <v>463780</v>
      </c>
      <c r="CR11" s="40">
        <f t="shared" si="25"/>
        <v>205070</v>
      </c>
      <c r="CS11" s="40">
        <f t="shared" si="114"/>
        <v>13270</v>
      </c>
      <c r="CT11" s="128">
        <f t="shared" si="115"/>
        <v>5282032.7751970869</v>
      </c>
      <c r="CU11" s="128">
        <f t="shared" si="26"/>
        <v>475380</v>
      </c>
      <c r="CV11" s="128">
        <f t="shared" si="27"/>
        <v>210200</v>
      </c>
      <c r="CW11" s="128">
        <f t="shared" si="116"/>
        <v>13610</v>
      </c>
      <c r="CX11" s="40">
        <f t="shared" si="117"/>
        <v>5414083.5945770135</v>
      </c>
      <c r="CY11" s="40">
        <f t="shared" si="28"/>
        <v>487260</v>
      </c>
      <c r="CZ11" s="40">
        <f t="shared" si="29"/>
        <v>215450</v>
      </c>
      <c r="DA11" s="40">
        <f t="shared" si="118"/>
        <v>13950</v>
      </c>
      <c r="DB11" s="128">
        <f t="shared" si="119"/>
        <v>5549435.6844414379</v>
      </c>
      <c r="DC11" s="128">
        <f t="shared" si="30"/>
        <v>499440</v>
      </c>
      <c r="DD11" s="128">
        <f t="shared" si="31"/>
        <v>220840</v>
      </c>
      <c r="DE11" s="128">
        <f t="shared" si="120"/>
        <v>14290</v>
      </c>
      <c r="DF11" s="40">
        <f t="shared" si="121"/>
        <v>5688171.576552473</v>
      </c>
      <c r="DG11" s="40">
        <f t="shared" si="32"/>
        <v>511930</v>
      </c>
      <c r="DH11" s="40">
        <f t="shared" si="33"/>
        <v>226360</v>
      </c>
      <c r="DI11" s="40">
        <f t="shared" si="122"/>
        <v>14650</v>
      </c>
      <c r="DJ11" s="128">
        <f t="shared" si="123"/>
        <v>5830375.8659662846</v>
      </c>
      <c r="DK11" s="128">
        <f t="shared" si="34"/>
        <v>524730</v>
      </c>
      <c r="DL11" s="128">
        <f t="shared" si="35"/>
        <v>232020</v>
      </c>
      <c r="DM11" s="128">
        <f t="shared" si="124"/>
        <v>15020</v>
      </c>
      <c r="DN11" s="40">
        <f t="shared" si="125"/>
        <v>5976135.2626154413</v>
      </c>
      <c r="DO11" s="40">
        <f t="shared" si="36"/>
        <v>537850</v>
      </c>
      <c r="DP11" s="40">
        <f t="shared" si="37"/>
        <v>237820</v>
      </c>
      <c r="DQ11" s="40">
        <f t="shared" si="126"/>
        <v>15390</v>
      </c>
      <c r="DR11" s="128">
        <f t="shared" si="127"/>
        <v>6125538.6441808268</v>
      </c>
      <c r="DS11" s="128">
        <f t="shared" si="38"/>
        <v>551290</v>
      </c>
      <c r="DT11" s="128">
        <f t="shared" si="39"/>
        <v>243760</v>
      </c>
      <c r="DU11" s="128">
        <f t="shared" si="128"/>
        <v>15780</v>
      </c>
      <c r="DV11" s="40">
        <f t="shared" si="129"/>
        <v>6278677.1102853473</v>
      </c>
      <c r="DW11" s="40">
        <f t="shared" si="40"/>
        <v>565080</v>
      </c>
      <c r="DX11" s="40">
        <f t="shared" si="41"/>
        <v>249860</v>
      </c>
      <c r="DY11" s="40">
        <f t="shared" si="130"/>
        <v>16170</v>
      </c>
      <c r="DZ11" s="128">
        <f t="shared" si="131"/>
        <v>6435644.0380424801</v>
      </c>
      <c r="EA11" s="128">
        <f t="shared" si="42"/>
        <v>579200</v>
      </c>
      <c r="EB11" s="128">
        <f t="shared" si="43"/>
        <v>256100</v>
      </c>
      <c r="EC11" s="128">
        <f t="shared" si="132"/>
        <v>16580</v>
      </c>
      <c r="ED11" s="40">
        <f t="shared" si="133"/>
        <v>6596535.1389935417</v>
      </c>
      <c r="EE11" s="40">
        <f t="shared" si="44"/>
        <v>593680</v>
      </c>
      <c r="EF11" s="40">
        <f t="shared" si="45"/>
        <v>262510</v>
      </c>
      <c r="EG11" s="40">
        <f t="shared" si="134"/>
        <v>16990</v>
      </c>
      <c r="EH11" s="128">
        <f t="shared" si="135"/>
        <v>6761448.5174683798</v>
      </c>
      <c r="EI11" s="128">
        <f t="shared" si="46"/>
        <v>608530</v>
      </c>
      <c r="EJ11" s="128">
        <f t="shared" si="47"/>
        <v>269070</v>
      </c>
      <c r="EK11" s="128">
        <f t="shared" si="136"/>
        <v>17420</v>
      </c>
      <c r="EL11" s="40">
        <f t="shared" si="137"/>
        <v>6930484.7304050885</v>
      </c>
      <c r="EM11" s="40">
        <f t="shared" si="48"/>
        <v>623740</v>
      </c>
      <c r="EN11" s="40">
        <f t="shared" si="49"/>
        <v>275800</v>
      </c>
      <c r="EO11" s="40">
        <f t="shared" si="138"/>
        <v>17850</v>
      </c>
      <c r="EP11" s="128">
        <f t="shared" si="139"/>
        <v>7103746.8486652151</v>
      </c>
      <c r="EQ11" s="128">
        <f t="shared" si="50"/>
        <v>639330</v>
      </c>
      <c r="ER11" s="128">
        <f t="shared" si="51"/>
        <v>282690</v>
      </c>
      <c r="ES11" s="128">
        <f t="shared" si="140"/>
        <v>18300</v>
      </c>
      <c r="ET11" s="40">
        <f t="shared" si="141"/>
        <v>7281340.5198818445</v>
      </c>
      <c r="EU11" s="40">
        <f t="shared" si="52"/>
        <v>655320</v>
      </c>
      <c r="EV11" s="40">
        <f t="shared" si="53"/>
        <v>289760</v>
      </c>
      <c r="EW11" s="40">
        <f t="shared" si="142"/>
        <v>18760</v>
      </c>
      <c r="EX11" s="128">
        <f t="shared" si="143"/>
        <v>7463374.0328788897</v>
      </c>
      <c r="EY11" s="128">
        <f t="shared" si="54"/>
        <v>671700</v>
      </c>
      <c r="EZ11" s="128">
        <f t="shared" si="55"/>
        <v>297000</v>
      </c>
      <c r="FA11" s="128">
        <f t="shared" si="144"/>
        <v>19230</v>
      </c>
      <c r="FB11" s="40">
        <f t="shared" si="145"/>
        <v>7649958.3837008616</v>
      </c>
      <c r="FC11" s="40">
        <f t="shared" si="56"/>
        <v>688490</v>
      </c>
      <c r="FD11" s="40">
        <f t="shared" si="57"/>
        <v>304430</v>
      </c>
      <c r="FE11" s="40">
        <f t="shared" si="146"/>
        <v>19710</v>
      </c>
      <c r="FF11" s="128">
        <f t="shared" si="147"/>
        <v>7841207.3432933828</v>
      </c>
      <c r="FG11" s="128">
        <f t="shared" si="58"/>
        <v>705700</v>
      </c>
      <c r="FH11" s="128">
        <f t="shared" si="59"/>
        <v>312040</v>
      </c>
      <c r="FI11" s="128">
        <f t="shared" si="148"/>
        <v>20200</v>
      </c>
      <c r="FJ11" s="40">
        <f t="shared" si="149"/>
        <v>8037237.5268757166</v>
      </c>
      <c r="FK11" s="40">
        <f t="shared" si="60"/>
        <v>723350</v>
      </c>
      <c r="FL11" s="40">
        <f t="shared" si="61"/>
        <v>319840</v>
      </c>
      <c r="FM11" s="40">
        <f t="shared" si="150"/>
        <v>20700</v>
      </c>
      <c r="FN11" s="128">
        <f t="shared" si="151"/>
        <v>8238168.4650476091</v>
      </c>
      <c r="FO11" s="128">
        <f t="shared" si="62"/>
        <v>741430</v>
      </c>
      <c r="FP11" s="128">
        <f t="shared" si="63"/>
        <v>327840</v>
      </c>
      <c r="FQ11" s="128">
        <f t="shared" si="152"/>
        <v>21220</v>
      </c>
      <c r="FR11" s="40">
        <f t="shared" si="153"/>
        <v>8444122.6766737979</v>
      </c>
      <c r="FS11" s="40">
        <f t="shared" si="64"/>
        <v>759970</v>
      </c>
      <c r="FT11" s="40">
        <f t="shared" si="65"/>
        <v>336030</v>
      </c>
      <c r="FU11" s="40">
        <f t="shared" si="154"/>
        <v>21750</v>
      </c>
      <c r="FV11" s="128">
        <f t="shared" si="155"/>
        <v>8655225.7435906418</v>
      </c>
      <c r="FW11" s="128">
        <f t="shared" si="66"/>
        <v>778970</v>
      </c>
      <c r="FX11" s="128">
        <f t="shared" si="67"/>
        <v>344430</v>
      </c>
      <c r="FY11" s="128">
        <f t="shared" si="156"/>
        <v>22300</v>
      </c>
      <c r="FZ11" s="40">
        <f t="shared" si="157"/>
        <v>8871606.3871804066</v>
      </c>
      <c r="GA11" s="40">
        <f t="shared" si="68"/>
        <v>798440</v>
      </c>
      <c r="GB11" s="40">
        <f t="shared" si="69"/>
        <v>353040</v>
      </c>
      <c r="GC11" s="40">
        <f t="shared" si="158"/>
        <v>22850</v>
      </c>
      <c r="GD11" s="128">
        <f t="shared" si="159"/>
        <v>9093396.5468599163</v>
      </c>
      <c r="GE11" s="128">
        <f t="shared" si="70"/>
        <v>818400</v>
      </c>
      <c r="GF11" s="128">
        <f t="shared" si="71"/>
        <v>361870</v>
      </c>
      <c r="GG11" s="128">
        <f t="shared" si="160"/>
        <v>23430</v>
      </c>
      <c r="GH11" s="40">
        <f t="shared" si="161"/>
        <v>9320731.4605314136</v>
      </c>
      <c r="GI11" s="40">
        <f t="shared" si="72"/>
        <v>838860</v>
      </c>
      <c r="GJ11" s="40">
        <f t="shared" si="73"/>
        <v>370920</v>
      </c>
      <c r="GK11" s="40">
        <f t="shared" si="162"/>
        <v>24010</v>
      </c>
      <c r="GL11" s="128">
        <f t="shared" si="163"/>
        <v>9553749.7470446974</v>
      </c>
      <c r="GM11" s="128">
        <f t="shared" si="74"/>
        <v>859830</v>
      </c>
      <c r="GN11" s="128">
        <f t="shared" si="75"/>
        <v>380190</v>
      </c>
      <c r="GO11" s="128">
        <f t="shared" si="164"/>
        <v>24610</v>
      </c>
      <c r="GP11" s="40">
        <f t="shared" si="165"/>
        <v>9792593.4907208141</v>
      </c>
      <c r="GQ11" s="40">
        <f t="shared" si="76"/>
        <v>881330</v>
      </c>
      <c r="GR11" s="40">
        <f t="shared" si="77"/>
        <v>389690</v>
      </c>
      <c r="GS11" s="40">
        <f t="shared" si="166"/>
        <v>25230</v>
      </c>
      <c r="GT11" s="128">
        <f t="shared" si="167"/>
        <v>10037408.327988833</v>
      </c>
      <c r="GU11" s="128">
        <f t="shared" si="78"/>
        <v>903360</v>
      </c>
      <c r="GV11" s="128">
        <f t="shared" si="79"/>
        <v>399440</v>
      </c>
      <c r="GW11" s="128">
        <f t="shared" si="168"/>
        <v>25860</v>
      </c>
      <c r="GX11" s="40">
        <f t="shared" si="169"/>
        <v>10288343.536188554</v>
      </c>
      <c r="GY11" s="40">
        <f t="shared" si="80"/>
        <v>925950</v>
      </c>
      <c r="GZ11" s="40">
        <f t="shared" si="81"/>
        <v>409420</v>
      </c>
      <c r="HA11" s="40">
        <f t="shared" si="170"/>
        <v>26500</v>
      </c>
      <c r="HB11" s="128" t="e">
        <f t="shared" si="171"/>
        <v>#REF!</v>
      </c>
      <c r="HC11" s="128" t="e">
        <f t="shared" si="82"/>
        <v>#REF!</v>
      </c>
      <c r="HD11" s="128" t="e">
        <f t="shared" si="83"/>
        <v>#REF!</v>
      </c>
      <c r="HE11" s="128" t="e">
        <f t="shared" si="172"/>
        <v>#REF!</v>
      </c>
    </row>
    <row r="12" spans="1:213">
      <c r="A12" s="2"/>
      <c r="B12" s="1"/>
      <c r="C12" s="71"/>
      <c r="D12" s="61"/>
      <c r="E12" s="63"/>
      <c r="F12" s="49"/>
      <c r="G12" s="87"/>
      <c r="H12" s="45"/>
      <c r="I12" s="602">
        <v>8</v>
      </c>
      <c r="K12" s="47">
        <v>60000</v>
      </c>
      <c r="L12" s="159">
        <v>3</v>
      </c>
      <c r="N12" s="137">
        <v>8</v>
      </c>
      <c r="P12" s="136">
        <v>1</v>
      </c>
      <c r="Q12" s="99"/>
      <c r="R12" s="25" t="s">
        <v>265</v>
      </c>
      <c r="T12" s="97"/>
      <c r="AD12" s="26"/>
      <c r="AE12" s="27"/>
      <c r="AF12" s="778"/>
      <c r="AG12" s="28"/>
      <c r="AH12" s="28"/>
      <c r="AJ12" s="41">
        <v>5</v>
      </c>
      <c r="AK12" s="41">
        <v>15</v>
      </c>
      <c r="AL12" s="890">
        <v>3800500</v>
      </c>
      <c r="AM12" s="40">
        <f t="shared" si="84"/>
        <v>342050</v>
      </c>
      <c r="AN12" s="40">
        <v>123410</v>
      </c>
      <c r="AO12" s="40">
        <v>12650</v>
      </c>
      <c r="AP12" s="891">
        <f t="shared" si="85"/>
        <v>3865110</v>
      </c>
      <c r="AQ12" s="131">
        <f t="shared" si="86"/>
        <v>347860</v>
      </c>
      <c r="AR12" s="130">
        <f t="shared" si="87"/>
        <v>137020</v>
      </c>
      <c r="AS12" s="128">
        <f t="shared" si="88"/>
        <v>8870</v>
      </c>
      <c r="AT12" s="40">
        <f t="shared" si="89"/>
        <v>4000388.8499999996</v>
      </c>
      <c r="AU12" s="40">
        <f t="shared" si="0"/>
        <v>360030</v>
      </c>
      <c r="AV12" s="40">
        <f t="shared" si="1"/>
        <v>144220</v>
      </c>
      <c r="AW12" s="40">
        <f t="shared" si="90"/>
        <v>9330</v>
      </c>
      <c r="AX12" s="128">
        <f t="shared" si="91"/>
        <v>4100398.5712499991</v>
      </c>
      <c r="AY12" s="128">
        <f t="shared" si="2"/>
        <v>369030</v>
      </c>
      <c r="AZ12" s="128">
        <f t="shared" si="3"/>
        <v>147830</v>
      </c>
      <c r="BA12" s="128">
        <f t="shared" si="92"/>
        <v>9570</v>
      </c>
      <c r="BB12" s="40">
        <f t="shared" si="93"/>
        <v>4202908.5355312489</v>
      </c>
      <c r="BC12" s="40">
        <f t="shared" si="4"/>
        <v>378260</v>
      </c>
      <c r="BD12" s="40">
        <f t="shared" si="5"/>
        <v>155310</v>
      </c>
      <c r="BE12" s="40">
        <f t="shared" si="94"/>
        <v>10050</v>
      </c>
      <c r="BF12" s="128">
        <f t="shared" si="95"/>
        <v>4307981.2489195298</v>
      </c>
      <c r="BG12" s="128">
        <f t="shared" si="6"/>
        <v>387710</v>
      </c>
      <c r="BH12" s="128">
        <f t="shared" si="7"/>
        <v>159190</v>
      </c>
      <c r="BI12" s="128">
        <f t="shared" si="96"/>
        <v>10300</v>
      </c>
      <c r="BJ12" s="40">
        <f t="shared" si="97"/>
        <v>4415680.7801425178</v>
      </c>
      <c r="BK12" s="40">
        <f t="shared" si="8"/>
        <v>397410</v>
      </c>
      <c r="BL12" s="40">
        <f t="shared" si="9"/>
        <v>167250</v>
      </c>
      <c r="BM12" s="40">
        <f t="shared" si="98"/>
        <v>10820</v>
      </c>
      <c r="BN12" s="128">
        <f t="shared" si="99"/>
        <v>4526072.7996460805</v>
      </c>
      <c r="BO12" s="128">
        <f t="shared" si="10"/>
        <v>407340</v>
      </c>
      <c r="BP12" s="128">
        <f t="shared" si="11"/>
        <v>175720</v>
      </c>
      <c r="BQ12" s="128">
        <f t="shared" si="100"/>
        <v>11370</v>
      </c>
      <c r="BR12" s="40">
        <f t="shared" si="101"/>
        <v>4639224.6196372323</v>
      </c>
      <c r="BS12" s="40">
        <f t="shared" si="12"/>
        <v>417530</v>
      </c>
      <c r="BT12" s="40">
        <f t="shared" si="13"/>
        <v>180110</v>
      </c>
      <c r="BU12" s="40">
        <f t="shared" si="102"/>
        <v>11660</v>
      </c>
      <c r="BV12" s="128">
        <f t="shared" si="103"/>
        <v>4755205.2351281624</v>
      </c>
      <c r="BW12" s="128">
        <f t="shared" si="14"/>
        <v>427960</v>
      </c>
      <c r="BX12" s="128">
        <f t="shared" si="15"/>
        <v>189230</v>
      </c>
      <c r="BY12" s="128">
        <f t="shared" si="104"/>
        <v>12250</v>
      </c>
      <c r="BZ12" s="40">
        <f t="shared" si="105"/>
        <v>4874085.366006366</v>
      </c>
      <c r="CA12" s="40">
        <f t="shared" si="16"/>
        <v>438660</v>
      </c>
      <c r="CB12" s="40">
        <f t="shared" si="17"/>
        <v>193960</v>
      </c>
      <c r="CC12" s="40">
        <f t="shared" si="106"/>
        <v>12550</v>
      </c>
      <c r="CD12" s="128">
        <f t="shared" si="107"/>
        <v>4995937.5001565246</v>
      </c>
      <c r="CE12" s="128">
        <f t="shared" si="18"/>
        <v>449630</v>
      </c>
      <c r="CF12" s="128">
        <f t="shared" si="19"/>
        <v>198810</v>
      </c>
      <c r="CG12" s="128">
        <f t="shared" si="108"/>
        <v>12870</v>
      </c>
      <c r="CH12" s="40">
        <f t="shared" si="109"/>
        <v>5120835.9376604371</v>
      </c>
      <c r="CI12" s="40">
        <f t="shared" si="20"/>
        <v>460870</v>
      </c>
      <c r="CJ12" s="40">
        <f t="shared" si="21"/>
        <v>203780</v>
      </c>
      <c r="CK12" s="40">
        <f t="shared" si="110"/>
        <v>13190</v>
      </c>
      <c r="CL12" s="128">
        <f t="shared" si="111"/>
        <v>5248856.8361019474</v>
      </c>
      <c r="CM12" s="128">
        <f t="shared" si="22"/>
        <v>472390</v>
      </c>
      <c r="CN12" s="128">
        <f t="shared" si="23"/>
        <v>208880</v>
      </c>
      <c r="CO12" s="128">
        <f t="shared" si="112"/>
        <v>13520</v>
      </c>
      <c r="CP12" s="40">
        <f t="shared" si="113"/>
        <v>5380078.2570044957</v>
      </c>
      <c r="CQ12" s="40">
        <f t="shared" si="24"/>
        <v>484200</v>
      </c>
      <c r="CR12" s="40">
        <f t="shared" si="25"/>
        <v>214100</v>
      </c>
      <c r="CS12" s="40">
        <f t="shared" si="114"/>
        <v>13860</v>
      </c>
      <c r="CT12" s="128">
        <f t="shared" si="115"/>
        <v>5514580.2134296075</v>
      </c>
      <c r="CU12" s="128">
        <f t="shared" si="26"/>
        <v>496310</v>
      </c>
      <c r="CV12" s="128">
        <f t="shared" si="27"/>
        <v>219450</v>
      </c>
      <c r="CW12" s="128">
        <f t="shared" si="116"/>
        <v>14200</v>
      </c>
      <c r="CX12" s="40">
        <f t="shared" si="117"/>
        <v>5652444.7187653473</v>
      </c>
      <c r="CY12" s="40">
        <f t="shared" si="28"/>
        <v>508720</v>
      </c>
      <c r="CZ12" s="40">
        <f t="shared" si="29"/>
        <v>224940</v>
      </c>
      <c r="DA12" s="40">
        <f t="shared" si="118"/>
        <v>14560</v>
      </c>
      <c r="DB12" s="128">
        <f t="shared" si="119"/>
        <v>5793755.8367344802</v>
      </c>
      <c r="DC12" s="128">
        <f t="shared" si="30"/>
        <v>521430</v>
      </c>
      <c r="DD12" s="128">
        <f t="shared" si="31"/>
        <v>230560</v>
      </c>
      <c r="DE12" s="128">
        <f t="shared" si="120"/>
        <v>14920</v>
      </c>
      <c r="DF12" s="40">
        <f t="shared" si="121"/>
        <v>5938599.7326528421</v>
      </c>
      <c r="DG12" s="40">
        <f t="shared" si="32"/>
        <v>534470</v>
      </c>
      <c r="DH12" s="40">
        <f t="shared" si="33"/>
        <v>236320</v>
      </c>
      <c r="DI12" s="40">
        <f t="shared" si="122"/>
        <v>15300</v>
      </c>
      <c r="DJ12" s="128">
        <f t="shared" si="123"/>
        <v>6087064.7259691628</v>
      </c>
      <c r="DK12" s="128">
        <f t="shared" si="34"/>
        <v>547830</v>
      </c>
      <c r="DL12" s="128">
        <f t="shared" si="35"/>
        <v>242230</v>
      </c>
      <c r="DM12" s="128">
        <f t="shared" si="124"/>
        <v>15680</v>
      </c>
      <c r="DN12" s="40">
        <f t="shared" si="125"/>
        <v>6239241.3441183912</v>
      </c>
      <c r="DO12" s="40">
        <f t="shared" si="36"/>
        <v>561530</v>
      </c>
      <c r="DP12" s="40">
        <f t="shared" si="37"/>
        <v>248290</v>
      </c>
      <c r="DQ12" s="40">
        <f t="shared" si="126"/>
        <v>16070</v>
      </c>
      <c r="DR12" s="128">
        <f t="shared" si="127"/>
        <v>6395222.3777213506</v>
      </c>
      <c r="DS12" s="128">
        <f t="shared" si="38"/>
        <v>575570</v>
      </c>
      <c r="DT12" s="128">
        <f t="shared" si="39"/>
        <v>254500</v>
      </c>
      <c r="DU12" s="128">
        <f t="shared" si="128"/>
        <v>16470</v>
      </c>
      <c r="DV12" s="40">
        <f t="shared" si="129"/>
        <v>6555102.9371643839</v>
      </c>
      <c r="DW12" s="40">
        <f t="shared" si="40"/>
        <v>589950</v>
      </c>
      <c r="DX12" s="40">
        <f t="shared" si="41"/>
        <v>260860</v>
      </c>
      <c r="DY12" s="40">
        <f t="shared" si="130"/>
        <v>16890</v>
      </c>
      <c r="DZ12" s="128">
        <f t="shared" si="131"/>
        <v>6718980.5105934925</v>
      </c>
      <c r="EA12" s="128">
        <f t="shared" si="42"/>
        <v>604700</v>
      </c>
      <c r="EB12" s="128">
        <f t="shared" si="43"/>
        <v>267380</v>
      </c>
      <c r="EC12" s="128">
        <f t="shared" si="132"/>
        <v>17310</v>
      </c>
      <c r="ED12" s="40">
        <f t="shared" si="133"/>
        <v>6886955.0233583292</v>
      </c>
      <c r="EE12" s="40">
        <f t="shared" si="44"/>
        <v>619820</v>
      </c>
      <c r="EF12" s="40">
        <f t="shared" si="45"/>
        <v>274060</v>
      </c>
      <c r="EG12" s="40">
        <f t="shared" si="134"/>
        <v>17740</v>
      </c>
      <c r="EH12" s="128">
        <f t="shared" si="135"/>
        <v>7059128.8989422871</v>
      </c>
      <c r="EI12" s="128">
        <f t="shared" si="46"/>
        <v>635320</v>
      </c>
      <c r="EJ12" s="128">
        <f t="shared" si="47"/>
        <v>280920</v>
      </c>
      <c r="EK12" s="128">
        <f t="shared" si="136"/>
        <v>18180</v>
      </c>
      <c r="EL12" s="40">
        <f t="shared" si="137"/>
        <v>7235607.1214158433</v>
      </c>
      <c r="EM12" s="40">
        <f t="shared" si="48"/>
        <v>651200</v>
      </c>
      <c r="EN12" s="40">
        <f t="shared" si="49"/>
        <v>287940</v>
      </c>
      <c r="EO12" s="40">
        <f t="shared" si="138"/>
        <v>18640</v>
      </c>
      <c r="EP12" s="128">
        <f t="shared" si="139"/>
        <v>7416497.2994512385</v>
      </c>
      <c r="EQ12" s="128">
        <f t="shared" si="50"/>
        <v>667480</v>
      </c>
      <c r="ER12" s="128">
        <f t="shared" si="51"/>
        <v>295140</v>
      </c>
      <c r="ES12" s="128">
        <f t="shared" si="140"/>
        <v>19110</v>
      </c>
      <c r="ET12" s="40">
        <f t="shared" si="141"/>
        <v>7601909.7319375183</v>
      </c>
      <c r="EU12" s="40">
        <f t="shared" si="52"/>
        <v>684170</v>
      </c>
      <c r="EV12" s="40">
        <f t="shared" si="53"/>
        <v>302520</v>
      </c>
      <c r="EW12" s="40">
        <f t="shared" si="142"/>
        <v>19580</v>
      </c>
      <c r="EX12" s="128">
        <f t="shared" si="143"/>
        <v>7791957.4752359558</v>
      </c>
      <c r="EY12" s="128">
        <f t="shared" si="54"/>
        <v>701270</v>
      </c>
      <c r="EZ12" s="128">
        <f t="shared" si="55"/>
        <v>310080</v>
      </c>
      <c r="FA12" s="128">
        <f t="shared" si="144"/>
        <v>20070</v>
      </c>
      <c r="FB12" s="40">
        <f t="shared" si="145"/>
        <v>7986756.4121168545</v>
      </c>
      <c r="FC12" s="40">
        <f t="shared" si="56"/>
        <v>718800</v>
      </c>
      <c r="FD12" s="40">
        <f t="shared" si="57"/>
        <v>317830</v>
      </c>
      <c r="FE12" s="40">
        <f t="shared" si="146"/>
        <v>20570</v>
      </c>
      <c r="FF12" s="128">
        <f t="shared" si="147"/>
        <v>8186425.3224197747</v>
      </c>
      <c r="FG12" s="128">
        <f t="shared" si="58"/>
        <v>736770</v>
      </c>
      <c r="FH12" s="128">
        <f t="shared" si="59"/>
        <v>325780</v>
      </c>
      <c r="FI12" s="128">
        <f t="shared" si="148"/>
        <v>21090</v>
      </c>
      <c r="FJ12" s="40">
        <f t="shared" si="149"/>
        <v>8391085.9554802682</v>
      </c>
      <c r="FK12" s="40">
        <f t="shared" si="60"/>
        <v>755190</v>
      </c>
      <c r="FL12" s="40">
        <f t="shared" si="61"/>
        <v>333920</v>
      </c>
      <c r="FM12" s="40">
        <f t="shared" si="150"/>
        <v>21620</v>
      </c>
      <c r="FN12" s="128">
        <f t="shared" si="151"/>
        <v>8600863.1043672748</v>
      </c>
      <c r="FO12" s="128">
        <f t="shared" si="62"/>
        <v>774070</v>
      </c>
      <c r="FP12" s="128">
        <f t="shared" si="63"/>
        <v>342270</v>
      </c>
      <c r="FQ12" s="128">
        <f t="shared" si="152"/>
        <v>22160</v>
      </c>
      <c r="FR12" s="40">
        <f t="shared" si="153"/>
        <v>8815884.6819764562</v>
      </c>
      <c r="FS12" s="40">
        <f t="shared" si="64"/>
        <v>793420</v>
      </c>
      <c r="FT12" s="40">
        <f t="shared" si="65"/>
        <v>350830</v>
      </c>
      <c r="FU12" s="40">
        <f t="shared" si="154"/>
        <v>22710</v>
      </c>
      <c r="FV12" s="128">
        <f t="shared" si="155"/>
        <v>9036281.7990258671</v>
      </c>
      <c r="FW12" s="128">
        <f t="shared" si="66"/>
        <v>813260</v>
      </c>
      <c r="FX12" s="128">
        <f t="shared" si="67"/>
        <v>359600</v>
      </c>
      <c r="FY12" s="128">
        <f t="shared" si="156"/>
        <v>23280</v>
      </c>
      <c r="FZ12" s="40">
        <f t="shared" si="157"/>
        <v>9262188.844001513</v>
      </c>
      <c r="GA12" s="40">
        <f t="shared" si="68"/>
        <v>833590</v>
      </c>
      <c r="GB12" s="40">
        <f t="shared" si="69"/>
        <v>368590</v>
      </c>
      <c r="GC12" s="40">
        <f t="shared" si="158"/>
        <v>23860</v>
      </c>
      <c r="GD12" s="128">
        <f t="shared" si="159"/>
        <v>9493743.5651015509</v>
      </c>
      <c r="GE12" s="128">
        <f t="shared" si="70"/>
        <v>854430</v>
      </c>
      <c r="GF12" s="128">
        <f t="shared" si="71"/>
        <v>377800</v>
      </c>
      <c r="GG12" s="128">
        <f t="shared" si="160"/>
        <v>24460</v>
      </c>
      <c r="GH12" s="40">
        <f t="shared" si="161"/>
        <v>9731087.1542290896</v>
      </c>
      <c r="GI12" s="40">
        <f t="shared" si="72"/>
        <v>875790</v>
      </c>
      <c r="GJ12" s="40">
        <f t="shared" si="73"/>
        <v>387250</v>
      </c>
      <c r="GK12" s="40">
        <f t="shared" si="162"/>
        <v>25070</v>
      </c>
      <c r="GL12" s="128">
        <f t="shared" si="163"/>
        <v>9974364.3330848161</v>
      </c>
      <c r="GM12" s="128">
        <f t="shared" si="74"/>
        <v>897690</v>
      </c>
      <c r="GN12" s="128">
        <f t="shared" si="75"/>
        <v>396930</v>
      </c>
      <c r="GO12" s="128">
        <f t="shared" si="164"/>
        <v>25700</v>
      </c>
      <c r="GP12" s="40">
        <f t="shared" si="165"/>
        <v>10223723.441411935</v>
      </c>
      <c r="GQ12" s="40">
        <f t="shared" si="76"/>
        <v>920130</v>
      </c>
      <c r="GR12" s="40">
        <f t="shared" si="77"/>
        <v>406850</v>
      </c>
      <c r="GS12" s="40">
        <f t="shared" si="166"/>
        <v>26340</v>
      </c>
      <c r="GT12" s="128">
        <f t="shared" si="167"/>
        <v>10479316.527447233</v>
      </c>
      <c r="GU12" s="128">
        <f t="shared" si="78"/>
        <v>943130</v>
      </c>
      <c r="GV12" s="128">
        <f t="shared" si="79"/>
        <v>417020</v>
      </c>
      <c r="GW12" s="128">
        <f t="shared" si="168"/>
        <v>27000</v>
      </c>
      <c r="GX12" s="40">
        <f t="shared" si="169"/>
        <v>10741299.440633412</v>
      </c>
      <c r="GY12" s="40">
        <f t="shared" si="80"/>
        <v>966710</v>
      </c>
      <c r="GZ12" s="40">
        <f t="shared" si="81"/>
        <v>427450</v>
      </c>
      <c r="HA12" s="40">
        <f t="shared" si="170"/>
        <v>27670</v>
      </c>
      <c r="HB12" s="128" t="e">
        <f t="shared" si="171"/>
        <v>#REF!</v>
      </c>
      <c r="HC12" s="128" t="e">
        <f t="shared" si="82"/>
        <v>#REF!</v>
      </c>
      <c r="HD12" s="128" t="e">
        <f t="shared" si="83"/>
        <v>#REF!</v>
      </c>
      <c r="HE12" s="128" t="e">
        <f t="shared" si="172"/>
        <v>#REF!</v>
      </c>
    </row>
    <row r="13" spans="1:213">
      <c r="A13" s="2"/>
      <c r="B13" s="1"/>
      <c r="C13" s="71"/>
      <c r="D13" s="61"/>
      <c r="E13" s="63"/>
      <c r="F13" s="49"/>
      <c r="G13" s="87"/>
      <c r="H13" s="45"/>
      <c r="I13" s="602">
        <v>9</v>
      </c>
      <c r="K13" s="47">
        <v>80000</v>
      </c>
      <c r="L13" s="159">
        <v>4</v>
      </c>
      <c r="N13" s="137">
        <v>9</v>
      </c>
      <c r="Q13" s="99"/>
      <c r="R13" s="25" t="s">
        <v>267</v>
      </c>
      <c r="T13" s="100"/>
      <c r="AD13" s="26"/>
      <c r="AE13" s="27"/>
      <c r="AF13" s="778"/>
      <c r="AG13" s="28"/>
      <c r="AH13" s="28"/>
      <c r="AJ13" s="41">
        <v>6</v>
      </c>
      <c r="AK13" s="41">
        <v>16</v>
      </c>
      <c r="AL13" s="890">
        <v>3961820</v>
      </c>
      <c r="AM13" s="40">
        <f t="shared" si="84"/>
        <v>356560</v>
      </c>
      <c r="AN13" s="40">
        <v>128640</v>
      </c>
      <c r="AO13" s="40">
        <v>13190</v>
      </c>
      <c r="AP13" s="891">
        <f t="shared" si="85"/>
        <v>4029170</v>
      </c>
      <c r="AQ13" s="131">
        <f t="shared" si="86"/>
        <v>362630</v>
      </c>
      <c r="AR13" s="130">
        <f t="shared" si="87"/>
        <v>142830</v>
      </c>
      <c r="AS13" s="128">
        <f t="shared" si="88"/>
        <v>9250</v>
      </c>
      <c r="AT13" s="40">
        <f t="shared" si="89"/>
        <v>4170190.9499999997</v>
      </c>
      <c r="AU13" s="40">
        <f t="shared" si="0"/>
        <v>375310</v>
      </c>
      <c r="AV13" s="40">
        <f t="shared" si="1"/>
        <v>150340</v>
      </c>
      <c r="AW13" s="40">
        <f t="shared" si="90"/>
        <v>9730</v>
      </c>
      <c r="AX13" s="128">
        <f t="shared" si="91"/>
        <v>4274445.723749999</v>
      </c>
      <c r="AY13" s="128">
        <f t="shared" si="2"/>
        <v>384700</v>
      </c>
      <c r="AZ13" s="128">
        <f t="shared" si="3"/>
        <v>154100</v>
      </c>
      <c r="BA13" s="128">
        <f t="shared" si="92"/>
        <v>9970</v>
      </c>
      <c r="BB13" s="40">
        <f t="shared" si="93"/>
        <v>4381306.8668437488</v>
      </c>
      <c r="BC13" s="40">
        <f t="shared" si="4"/>
        <v>394310</v>
      </c>
      <c r="BD13" s="40">
        <f t="shared" si="5"/>
        <v>161900</v>
      </c>
      <c r="BE13" s="40">
        <f t="shared" si="94"/>
        <v>10480</v>
      </c>
      <c r="BF13" s="128">
        <f t="shared" si="95"/>
        <v>4490839.5385148423</v>
      </c>
      <c r="BG13" s="128">
        <f t="shared" si="6"/>
        <v>404170</v>
      </c>
      <c r="BH13" s="128">
        <f t="shared" si="7"/>
        <v>165950</v>
      </c>
      <c r="BI13" s="128">
        <f t="shared" si="96"/>
        <v>10740</v>
      </c>
      <c r="BJ13" s="40">
        <f t="shared" si="97"/>
        <v>4603110.5269777132</v>
      </c>
      <c r="BK13" s="40">
        <f t="shared" si="8"/>
        <v>414270</v>
      </c>
      <c r="BL13" s="40">
        <f t="shared" si="9"/>
        <v>174350</v>
      </c>
      <c r="BM13" s="40">
        <f t="shared" si="98"/>
        <v>11280</v>
      </c>
      <c r="BN13" s="128">
        <f t="shared" si="99"/>
        <v>4718188.2901521558</v>
      </c>
      <c r="BO13" s="128">
        <f t="shared" si="10"/>
        <v>424630</v>
      </c>
      <c r="BP13" s="128">
        <f t="shared" si="11"/>
        <v>183180</v>
      </c>
      <c r="BQ13" s="128">
        <f t="shared" si="100"/>
        <v>11860</v>
      </c>
      <c r="BR13" s="40">
        <f t="shared" si="101"/>
        <v>4836142.9974059593</v>
      </c>
      <c r="BS13" s="40">
        <f t="shared" si="12"/>
        <v>435250</v>
      </c>
      <c r="BT13" s="40">
        <f t="shared" si="13"/>
        <v>187760</v>
      </c>
      <c r="BU13" s="40">
        <f t="shared" si="102"/>
        <v>12150</v>
      </c>
      <c r="BV13" s="128">
        <f t="shared" si="103"/>
        <v>4957046.5723411078</v>
      </c>
      <c r="BW13" s="128">
        <f t="shared" si="14"/>
        <v>446130</v>
      </c>
      <c r="BX13" s="128">
        <f t="shared" si="15"/>
        <v>197260</v>
      </c>
      <c r="BY13" s="128">
        <f t="shared" si="104"/>
        <v>12770</v>
      </c>
      <c r="BZ13" s="40">
        <f t="shared" si="105"/>
        <v>5080972.7366496352</v>
      </c>
      <c r="CA13" s="40">
        <f t="shared" si="16"/>
        <v>457280</v>
      </c>
      <c r="CB13" s="40">
        <f t="shared" si="17"/>
        <v>202190</v>
      </c>
      <c r="CC13" s="40">
        <f t="shared" si="106"/>
        <v>13090</v>
      </c>
      <c r="CD13" s="128">
        <f t="shared" si="107"/>
        <v>5207997.0550658759</v>
      </c>
      <c r="CE13" s="128">
        <f t="shared" si="18"/>
        <v>468710</v>
      </c>
      <c r="CF13" s="128">
        <f t="shared" si="19"/>
        <v>207250</v>
      </c>
      <c r="CG13" s="128">
        <f t="shared" si="108"/>
        <v>13410</v>
      </c>
      <c r="CH13" s="40">
        <f t="shared" si="109"/>
        <v>5338196.9814425223</v>
      </c>
      <c r="CI13" s="40">
        <f t="shared" si="20"/>
        <v>480430</v>
      </c>
      <c r="CJ13" s="40">
        <f t="shared" si="21"/>
        <v>212430</v>
      </c>
      <c r="CK13" s="40">
        <f t="shared" si="110"/>
        <v>13750</v>
      </c>
      <c r="CL13" s="128">
        <f t="shared" si="111"/>
        <v>5471651.9059785847</v>
      </c>
      <c r="CM13" s="128">
        <f t="shared" si="22"/>
        <v>492440</v>
      </c>
      <c r="CN13" s="128">
        <f t="shared" si="23"/>
        <v>217740</v>
      </c>
      <c r="CO13" s="128">
        <f t="shared" si="112"/>
        <v>14090</v>
      </c>
      <c r="CP13" s="40">
        <f t="shared" si="113"/>
        <v>5608443.2036280492</v>
      </c>
      <c r="CQ13" s="40">
        <f t="shared" si="24"/>
        <v>504750</v>
      </c>
      <c r="CR13" s="40">
        <f t="shared" si="25"/>
        <v>223190</v>
      </c>
      <c r="CS13" s="40">
        <f t="shared" si="114"/>
        <v>14450</v>
      </c>
      <c r="CT13" s="128">
        <f t="shared" si="115"/>
        <v>5748654.2837187499</v>
      </c>
      <c r="CU13" s="128">
        <f t="shared" si="26"/>
        <v>517370</v>
      </c>
      <c r="CV13" s="128">
        <f t="shared" si="27"/>
        <v>228760</v>
      </c>
      <c r="CW13" s="128">
        <f t="shared" si="116"/>
        <v>14810</v>
      </c>
      <c r="CX13" s="40">
        <f t="shared" si="117"/>
        <v>5892370.6408117181</v>
      </c>
      <c r="CY13" s="40">
        <f t="shared" si="28"/>
        <v>530310</v>
      </c>
      <c r="CZ13" s="40">
        <f t="shared" si="29"/>
        <v>234480</v>
      </c>
      <c r="DA13" s="40">
        <f t="shared" si="118"/>
        <v>15180</v>
      </c>
      <c r="DB13" s="128">
        <f t="shared" si="119"/>
        <v>6039679.9068320105</v>
      </c>
      <c r="DC13" s="128">
        <f t="shared" si="30"/>
        <v>543570</v>
      </c>
      <c r="DD13" s="128">
        <f t="shared" si="31"/>
        <v>240350</v>
      </c>
      <c r="DE13" s="128">
        <f t="shared" si="120"/>
        <v>15560</v>
      </c>
      <c r="DF13" s="40">
        <f t="shared" si="121"/>
        <v>6190671.90450281</v>
      </c>
      <c r="DG13" s="40">
        <f t="shared" si="32"/>
        <v>557160</v>
      </c>
      <c r="DH13" s="40">
        <f t="shared" si="33"/>
        <v>246360</v>
      </c>
      <c r="DI13" s="40">
        <f t="shared" si="122"/>
        <v>15950</v>
      </c>
      <c r="DJ13" s="128">
        <f t="shared" si="123"/>
        <v>6345438.7021153793</v>
      </c>
      <c r="DK13" s="128">
        <f t="shared" si="34"/>
        <v>571080</v>
      </c>
      <c r="DL13" s="128">
        <f t="shared" si="35"/>
        <v>252510</v>
      </c>
      <c r="DM13" s="128">
        <f t="shared" si="124"/>
        <v>16350</v>
      </c>
      <c r="DN13" s="40">
        <f t="shared" si="125"/>
        <v>6504074.6696682628</v>
      </c>
      <c r="DO13" s="40">
        <f t="shared" si="36"/>
        <v>585360</v>
      </c>
      <c r="DP13" s="40">
        <f t="shared" si="37"/>
        <v>258830</v>
      </c>
      <c r="DQ13" s="40">
        <f t="shared" si="126"/>
        <v>16750</v>
      </c>
      <c r="DR13" s="128">
        <f t="shared" si="127"/>
        <v>6666676.5364099685</v>
      </c>
      <c r="DS13" s="128">
        <f t="shared" si="38"/>
        <v>600000</v>
      </c>
      <c r="DT13" s="128">
        <f t="shared" si="39"/>
        <v>265300</v>
      </c>
      <c r="DU13" s="128">
        <f t="shared" si="128"/>
        <v>17170</v>
      </c>
      <c r="DV13" s="40">
        <f t="shared" si="129"/>
        <v>6833343.4498202167</v>
      </c>
      <c r="DW13" s="40">
        <f t="shared" si="40"/>
        <v>615000</v>
      </c>
      <c r="DX13" s="40">
        <f t="shared" si="41"/>
        <v>271930</v>
      </c>
      <c r="DY13" s="40">
        <f t="shared" si="130"/>
        <v>17600</v>
      </c>
      <c r="DZ13" s="128">
        <f t="shared" si="131"/>
        <v>7004177.0360657219</v>
      </c>
      <c r="EA13" s="128">
        <f t="shared" si="42"/>
        <v>630370</v>
      </c>
      <c r="EB13" s="128">
        <f t="shared" si="43"/>
        <v>278730</v>
      </c>
      <c r="EC13" s="128">
        <f t="shared" si="132"/>
        <v>18040</v>
      </c>
      <c r="ED13" s="40">
        <f t="shared" si="133"/>
        <v>7179281.461967364</v>
      </c>
      <c r="EE13" s="40">
        <f t="shared" si="44"/>
        <v>646130</v>
      </c>
      <c r="EF13" s="40">
        <f t="shared" si="45"/>
        <v>285700</v>
      </c>
      <c r="EG13" s="40">
        <f t="shared" si="134"/>
        <v>18490</v>
      </c>
      <c r="EH13" s="128">
        <f t="shared" si="135"/>
        <v>7358763.4985165475</v>
      </c>
      <c r="EI13" s="128">
        <f t="shared" si="46"/>
        <v>662280</v>
      </c>
      <c r="EJ13" s="128">
        <f t="shared" si="47"/>
        <v>292840</v>
      </c>
      <c r="EK13" s="128">
        <f t="shared" si="136"/>
        <v>18960</v>
      </c>
      <c r="EL13" s="40">
        <f t="shared" si="137"/>
        <v>7542732.5859794607</v>
      </c>
      <c r="EM13" s="40">
        <f t="shared" si="48"/>
        <v>678840</v>
      </c>
      <c r="EN13" s="40">
        <f t="shared" si="49"/>
        <v>300160</v>
      </c>
      <c r="EO13" s="40">
        <f t="shared" si="138"/>
        <v>19430</v>
      </c>
      <c r="EP13" s="128">
        <f t="shared" si="139"/>
        <v>7731300.9006289467</v>
      </c>
      <c r="EQ13" s="128">
        <f t="shared" si="50"/>
        <v>695810</v>
      </c>
      <c r="ER13" s="128">
        <f t="shared" si="51"/>
        <v>307670</v>
      </c>
      <c r="ES13" s="128">
        <f t="shared" si="140"/>
        <v>19920</v>
      </c>
      <c r="ET13" s="40">
        <f t="shared" si="141"/>
        <v>7924583.4231446693</v>
      </c>
      <c r="EU13" s="40">
        <f t="shared" si="52"/>
        <v>713210</v>
      </c>
      <c r="EV13" s="40">
        <f t="shared" si="53"/>
        <v>315360</v>
      </c>
      <c r="EW13" s="40">
        <f t="shared" si="142"/>
        <v>20410</v>
      </c>
      <c r="EX13" s="128">
        <f t="shared" si="143"/>
        <v>8122698.008723285</v>
      </c>
      <c r="EY13" s="128">
        <f t="shared" si="54"/>
        <v>731040</v>
      </c>
      <c r="EZ13" s="128">
        <f t="shared" si="55"/>
        <v>323240</v>
      </c>
      <c r="FA13" s="128">
        <f t="shared" si="144"/>
        <v>20920</v>
      </c>
      <c r="FB13" s="40">
        <f t="shared" si="145"/>
        <v>8325765.4589413665</v>
      </c>
      <c r="FC13" s="40">
        <f t="shared" si="56"/>
        <v>749310</v>
      </c>
      <c r="FD13" s="40">
        <f t="shared" si="57"/>
        <v>331320</v>
      </c>
      <c r="FE13" s="40">
        <f t="shared" si="146"/>
        <v>21450</v>
      </c>
      <c r="FF13" s="128">
        <f t="shared" si="147"/>
        <v>8533909.5954148993</v>
      </c>
      <c r="FG13" s="128">
        <f t="shared" si="58"/>
        <v>768050</v>
      </c>
      <c r="FH13" s="128">
        <f t="shared" si="59"/>
        <v>339610</v>
      </c>
      <c r="FI13" s="128">
        <f t="shared" si="148"/>
        <v>21980</v>
      </c>
      <c r="FJ13" s="40">
        <f t="shared" si="149"/>
        <v>8747257.3353002705</v>
      </c>
      <c r="FK13" s="40">
        <f t="shared" si="60"/>
        <v>787250</v>
      </c>
      <c r="FL13" s="40">
        <f t="shared" si="61"/>
        <v>348100</v>
      </c>
      <c r="FM13" s="40">
        <f t="shared" si="150"/>
        <v>22530</v>
      </c>
      <c r="FN13" s="128">
        <f t="shared" si="151"/>
        <v>8965938.768682776</v>
      </c>
      <c r="FO13" s="128">
        <f t="shared" si="62"/>
        <v>806930</v>
      </c>
      <c r="FP13" s="128">
        <f t="shared" si="63"/>
        <v>356800</v>
      </c>
      <c r="FQ13" s="128">
        <f t="shared" si="152"/>
        <v>23100</v>
      </c>
      <c r="FR13" s="40">
        <f t="shared" si="153"/>
        <v>9190087.2378998455</v>
      </c>
      <c r="FS13" s="40">
        <f t="shared" si="64"/>
        <v>827100</v>
      </c>
      <c r="FT13" s="40">
        <f t="shared" si="65"/>
        <v>365720</v>
      </c>
      <c r="FU13" s="40">
        <f t="shared" si="154"/>
        <v>23680</v>
      </c>
      <c r="FV13" s="128">
        <f t="shared" si="155"/>
        <v>9419839.4188473411</v>
      </c>
      <c r="FW13" s="128">
        <f t="shared" si="66"/>
        <v>847780</v>
      </c>
      <c r="FX13" s="128">
        <f t="shared" si="67"/>
        <v>374860</v>
      </c>
      <c r="FY13" s="128">
        <f t="shared" si="156"/>
        <v>24270</v>
      </c>
      <c r="FZ13" s="40">
        <f t="shared" si="157"/>
        <v>9655335.4043185245</v>
      </c>
      <c r="GA13" s="40">
        <f t="shared" si="68"/>
        <v>868980</v>
      </c>
      <c r="GB13" s="40">
        <f t="shared" si="69"/>
        <v>384230</v>
      </c>
      <c r="GC13" s="40">
        <f t="shared" si="158"/>
        <v>24870</v>
      </c>
      <c r="GD13" s="128">
        <f t="shared" si="159"/>
        <v>9896718.7894264869</v>
      </c>
      <c r="GE13" s="128">
        <f t="shared" si="70"/>
        <v>890700</v>
      </c>
      <c r="GF13" s="128">
        <f t="shared" si="71"/>
        <v>393840</v>
      </c>
      <c r="GG13" s="128">
        <f t="shared" si="160"/>
        <v>25500</v>
      </c>
      <c r="GH13" s="40">
        <f t="shared" si="161"/>
        <v>10144136.759162148</v>
      </c>
      <c r="GI13" s="40">
        <f t="shared" si="72"/>
        <v>912970</v>
      </c>
      <c r="GJ13" s="40">
        <f t="shared" si="73"/>
        <v>403680</v>
      </c>
      <c r="GK13" s="40">
        <f t="shared" si="162"/>
        <v>26130</v>
      </c>
      <c r="GL13" s="128">
        <f t="shared" si="163"/>
        <v>10397740.178141201</v>
      </c>
      <c r="GM13" s="128">
        <f t="shared" si="74"/>
        <v>935790</v>
      </c>
      <c r="GN13" s="128">
        <f t="shared" si="75"/>
        <v>413780</v>
      </c>
      <c r="GO13" s="128">
        <f t="shared" si="164"/>
        <v>26790</v>
      </c>
      <c r="GP13" s="40">
        <f t="shared" si="165"/>
        <v>10657683.68259473</v>
      </c>
      <c r="GQ13" s="40">
        <f t="shared" si="76"/>
        <v>959190</v>
      </c>
      <c r="GR13" s="40">
        <f t="shared" si="77"/>
        <v>424120</v>
      </c>
      <c r="GS13" s="40">
        <f t="shared" si="166"/>
        <v>27460</v>
      </c>
      <c r="GT13" s="128">
        <f t="shared" si="167"/>
        <v>10924125.774659596</v>
      </c>
      <c r="GU13" s="128">
        <f t="shared" si="78"/>
        <v>983170</v>
      </c>
      <c r="GV13" s="128">
        <f t="shared" si="79"/>
        <v>434720</v>
      </c>
      <c r="GW13" s="128">
        <f t="shared" si="168"/>
        <v>28140</v>
      </c>
      <c r="GX13" s="40">
        <f t="shared" si="169"/>
        <v>11197228.919026086</v>
      </c>
      <c r="GY13" s="40">
        <f t="shared" si="80"/>
        <v>1007750</v>
      </c>
      <c r="GZ13" s="40">
        <f t="shared" si="81"/>
        <v>445590</v>
      </c>
      <c r="HA13" s="40">
        <f t="shared" si="170"/>
        <v>28850</v>
      </c>
      <c r="HB13" s="128" t="e">
        <f t="shared" si="171"/>
        <v>#REF!</v>
      </c>
      <c r="HC13" s="128" t="e">
        <f t="shared" si="82"/>
        <v>#REF!</v>
      </c>
      <c r="HD13" s="128" t="e">
        <f t="shared" si="83"/>
        <v>#REF!</v>
      </c>
      <c r="HE13" s="128" t="e">
        <f t="shared" si="172"/>
        <v>#REF!</v>
      </c>
    </row>
    <row r="14" spans="1:213" ht="18">
      <c r="A14" s="2"/>
      <c r="B14" s="1"/>
      <c r="C14" s="71"/>
      <c r="D14" s="61"/>
      <c r="E14" s="63"/>
      <c r="F14" s="49"/>
      <c r="G14" s="87"/>
      <c r="H14" s="45"/>
      <c r="I14" s="602">
        <v>10</v>
      </c>
      <c r="K14" s="47">
        <v>100000</v>
      </c>
      <c r="L14" s="159">
        <v>5</v>
      </c>
      <c r="N14" s="137">
        <v>10</v>
      </c>
      <c r="Q14" s="99"/>
      <c r="R14" s="25" t="s">
        <v>251</v>
      </c>
      <c r="U14" s="1210"/>
      <c r="V14" s="1211"/>
      <c r="W14" s="1211"/>
      <c r="Y14" s="155" t="s">
        <v>468</v>
      </c>
      <c r="Z14" s="153"/>
      <c r="AA14" s="774"/>
      <c r="AB14" s="155"/>
      <c r="AD14" s="26"/>
      <c r="AE14" s="27"/>
      <c r="AF14" s="778"/>
      <c r="AG14" s="28"/>
      <c r="AH14" s="28"/>
      <c r="AJ14" s="41">
        <v>7</v>
      </c>
      <c r="AK14" s="41">
        <v>17</v>
      </c>
      <c r="AL14" s="890">
        <v>4115900</v>
      </c>
      <c r="AM14" s="40">
        <f t="shared" si="84"/>
        <v>370430</v>
      </c>
      <c r="AN14" s="40">
        <v>133650</v>
      </c>
      <c r="AO14" s="40">
        <v>13700</v>
      </c>
      <c r="AP14" s="891">
        <f t="shared" si="85"/>
        <v>4185870</v>
      </c>
      <c r="AQ14" s="131">
        <f t="shared" si="86"/>
        <v>376730</v>
      </c>
      <c r="AR14" s="130">
        <f t="shared" si="87"/>
        <v>148390</v>
      </c>
      <c r="AS14" s="128">
        <f t="shared" si="88"/>
        <v>9610</v>
      </c>
      <c r="AT14" s="40">
        <f t="shared" si="89"/>
        <v>4332375.4499999993</v>
      </c>
      <c r="AU14" s="40">
        <f t="shared" si="0"/>
        <v>389910</v>
      </c>
      <c r="AV14" s="40">
        <f t="shared" si="1"/>
        <v>156190</v>
      </c>
      <c r="AW14" s="40">
        <f t="shared" si="90"/>
        <v>10110</v>
      </c>
      <c r="AX14" s="128">
        <f t="shared" si="91"/>
        <v>4440684.8362499988</v>
      </c>
      <c r="AY14" s="128">
        <f t="shared" si="2"/>
        <v>399660</v>
      </c>
      <c r="AZ14" s="128">
        <f t="shared" si="3"/>
        <v>160090</v>
      </c>
      <c r="BA14" s="128">
        <f t="shared" si="92"/>
        <v>10360</v>
      </c>
      <c r="BB14" s="40">
        <f t="shared" si="93"/>
        <v>4551701.9571562484</v>
      </c>
      <c r="BC14" s="40">
        <f t="shared" si="4"/>
        <v>409650</v>
      </c>
      <c r="BD14" s="40">
        <f t="shared" si="5"/>
        <v>168200</v>
      </c>
      <c r="BE14" s="40">
        <f t="shared" si="94"/>
        <v>10890</v>
      </c>
      <c r="BF14" s="128">
        <f t="shared" si="95"/>
        <v>4665494.5060851546</v>
      </c>
      <c r="BG14" s="128">
        <f t="shared" si="6"/>
        <v>419890</v>
      </c>
      <c r="BH14" s="128">
        <f t="shared" si="7"/>
        <v>172400</v>
      </c>
      <c r="BI14" s="128">
        <f t="shared" si="96"/>
        <v>11160</v>
      </c>
      <c r="BJ14" s="40">
        <f t="shared" si="97"/>
        <v>4782131.8687372832</v>
      </c>
      <c r="BK14" s="40">
        <f t="shared" si="8"/>
        <v>430390</v>
      </c>
      <c r="BL14" s="40">
        <f t="shared" si="9"/>
        <v>181130</v>
      </c>
      <c r="BM14" s="40">
        <f t="shared" si="98"/>
        <v>11720</v>
      </c>
      <c r="BN14" s="128">
        <f t="shared" si="99"/>
        <v>4901685.1654557148</v>
      </c>
      <c r="BO14" s="128">
        <f t="shared" si="10"/>
        <v>441150</v>
      </c>
      <c r="BP14" s="128">
        <f t="shared" si="11"/>
        <v>190300</v>
      </c>
      <c r="BQ14" s="128">
        <f t="shared" si="100"/>
        <v>12320</v>
      </c>
      <c r="BR14" s="40">
        <f t="shared" si="101"/>
        <v>5024227.2945921076</v>
      </c>
      <c r="BS14" s="40">
        <f t="shared" si="12"/>
        <v>452180</v>
      </c>
      <c r="BT14" s="40">
        <f t="shared" si="13"/>
        <v>195060</v>
      </c>
      <c r="BU14" s="40">
        <f t="shared" si="102"/>
        <v>12630</v>
      </c>
      <c r="BV14" s="128">
        <f t="shared" si="103"/>
        <v>5149832.9769569095</v>
      </c>
      <c r="BW14" s="128">
        <f t="shared" si="14"/>
        <v>463480</v>
      </c>
      <c r="BX14" s="128">
        <f t="shared" si="15"/>
        <v>204930</v>
      </c>
      <c r="BY14" s="128">
        <f t="shared" si="104"/>
        <v>13260</v>
      </c>
      <c r="BZ14" s="40">
        <f t="shared" si="105"/>
        <v>5278578.8013808317</v>
      </c>
      <c r="CA14" s="40">
        <f t="shared" si="16"/>
        <v>475070</v>
      </c>
      <c r="CB14" s="40">
        <f t="shared" si="17"/>
        <v>210060</v>
      </c>
      <c r="CC14" s="40">
        <f t="shared" si="106"/>
        <v>13600</v>
      </c>
      <c r="CD14" s="128">
        <f t="shared" si="107"/>
        <v>5410543.2714153519</v>
      </c>
      <c r="CE14" s="128">
        <f t="shared" si="18"/>
        <v>486940</v>
      </c>
      <c r="CF14" s="128">
        <f t="shared" si="19"/>
        <v>215310</v>
      </c>
      <c r="CG14" s="128">
        <f t="shared" si="108"/>
        <v>13940</v>
      </c>
      <c r="CH14" s="40">
        <f t="shared" si="109"/>
        <v>5545806.8532007355</v>
      </c>
      <c r="CI14" s="40">
        <f t="shared" si="20"/>
        <v>499120</v>
      </c>
      <c r="CJ14" s="40">
        <f t="shared" si="21"/>
        <v>220690</v>
      </c>
      <c r="CK14" s="40">
        <f t="shared" si="110"/>
        <v>14280</v>
      </c>
      <c r="CL14" s="128">
        <f t="shared" si="111"/>
        <v>5684452.0245307535</v>
      </c>
      <c r="CM14" s="128">
        <f t="shared" si="22"/>
        <v>511600</v>
      </c>
      <c r="CN14" s="128">
        <f t="shared" si="23"/>
        <v>226210</v>
      </c>
      <c r="CO14" s="128">
        <f t="shared" si="112"/>
        <v>14640</v>
      </c>
      <c r="CP14" s="40">
        <f t="shared" si="113"/>
        <v>5826563.3251440218</v>
      </c>
      <c r="CQ14" s="40">
        <f t="shared" si="24"/>
        <v>524390</v>
      </c>
      <c r="CR14" s="40">
        <f t="shared" si="25"/>
        <v>231870</v>
      </c>
      <c r="CS14" s="40">
        <f t="shared" si="114"/>
        <v>15010</v>
      </c>
      <c r="CT14" s="128">
        <f t="shared" si="115"/>
        <v>5972227.4082726222</v>
      </c>
      <c r="CU14" s="128">
        <f t="shared" si="26"/>
        <v>537500</v>
      </c>
      <c r="CV14" s="128">
        <f t="shared" si="27"/>
        <v>237660</v>
      </c>
      <c r="CW14" s="128">
        <f t="shared" si="116"/>
        <v>15380</v>
      </c>
      <c r="CX14" s="40">
        <f t="shared" si="117"/>
        <v>6121533.0934794368</v>
      </c>
      <c r="CY14" s="40">
        <f t="shared" si="28"/>
        <v>550930</v>
      </c>
      <c r="CZ14" s="40">
        <f t="shared" si="29"/>
        <v>243600</v>
      </c>
      <c r="DA14" s="40">
        <f t="shared" si="118"/>
        <v>15770</v>
      </c>
      <c r="DB14" s="128">
        <f t="shared" si="119"/>
        <v>6274571.4208164224</v>
      </c>
      <c r="DC14" s="128">
        <f t="shared" si="30"/>
        <v>564710</v>
      </c>
      <c r="DD14" s="128">
        <f t="shared" si="31"/>
        <v>249690</v>
      </c>
      <c r="DE14" s="128">
        <f t="shared" si="120"/>
        <v>16160</v>
      </c>
      <c r="DF14" s="40">
        <f t="shared" si="121"/>
        <v>6431435.7063368326</v>
      </c>
      <c r="DG14" s="40">
        <f t="shared" si="32"/>
        <v>578820</v>
      </c>
      <c r="DH14" s="40">
        <f t="shared" si="33"/>
        <v>255940</v>
      </c>
      <c r="DI14" s="40">
        <f t="shared" si="122"/>
        <v>16570</v>
      </c>
      <c r="DJ14" s="128">
        <f t="shared" si="123"/>
        <v>6592221.5989952525</v>
      </c>
      <c r="DK14" s="128">
        <f t="shared" si="34"/>
        <v>593290</v>
      </c>
      <c r="DL14" s="128">
        <f t="shared" si="35"/>
        <v>262330</v>
      </c>
      <c r="DM14" s="128">
        <f t="shared" si="124"/>
        <v>16980</v>
      </c>
      <c r="DN14" s="40">
        <f t="shared" si="125"/>
        <v>6757027.1389701329</v>
      </c>
      <c r="DO14" s="40">
        <f t="shared" si="36"/>
        <v>608130</v>
      </c>
      <c r="DP14" s="40">
        <f t="shared" si="37"/>
        <v>268890</v>
      </c>
      <c r="DQ14" s="40">
        <f t="shared" si="126"/>
        <v>17410</v>
      </c>
      <c r="DR14" s="128">
        <f t="shared" si="127"/>
        <v>6925952.817444386</v>
      </c>
      <c r="DS14" s="128">
        <f t="shared" si="38"/>
        <v>623330</v>
      </c>
      <c r="DT14" s="128">
        <f t="shared" si="39"/>
        <v>275620</v>
      </c>
      <c r="DU14" s="128">
        <f t="shared" si="128"/>
        <v>17840</v>
      </c>
      <c r="DV14" s="40">
        <f t="shared" si="129"/>
        <v>7099101.6378804948</v>
      </c>
      <c r="DW14" s="40">
        <f t="shared" si="40"/>
        <v>638910</v>
      </c>
      <c r="DX14" s="40">
        <f t="shared" si="41"/>
        <v>282510</v>
      </c>
      <c r="DY14" s="40">
        <f t="shared" si="130"/>
        <v>18290</v>
      </c>
      <c r="DZ14" s="128">
        <f t="shared" si="131"/>
        <v>7276579.1788275065</v>
      </c>
      <c r="EA14" s="128">
        <f t="shared" si="42"/>
        <v>654890</v>
      </c>
      <c r="EB14" s="128">
        <f t="shared" si="43"/>
        <v>289570</v>
      </c>
      <c r="EC14" s="128">
        <f t="shared" si="132"/>
        <v>18740</v>
      </c>
      <c r="ED14" s="40">
        <f t="shared" si="133"/>
        <v>7458493.6582981935</v>
      </c>
      <c r="EE14" s="40">
        <f t="shared" si="44"/>
        <v>671260</v>
      </c>
      <c r="EF14" s="40">
        <f t="shared" si="45"/>
        <v>296810</v>
      </c>
      <c r="EG14" s="40">
        <f t="shared" si="134"/>
        <v>19210</v>
      </c>
      <c r="EH14" s="128">
        <f t="shared" si="135"/>
        <v>7644955.999755648</v>
      </c>
      <c r="EI14" s="128">
        <f t="shared" si="46"/>
        <v>688040</v>
      </c>
      <c r="EJ14" s="128">
        <f t="shared" si="47"/>
        <v>304230</v>
      </c>
      <c r="EK14" s="128">
        <f t="shared" si="136"/>
        <v>19690</v>
      </c>
      <c r="EL14" s="40">
        <f t="shared" si="137"/>
        <v>7836079.8997495389</v>
      </c>
      <c r="EM14" s="40">
        <f t="shared" si="48"/>
        <v>705240</v>
      </c>
      <c r="EN14" s="40">
        <f t="shared" si="49"/>
        <v>311830</v>
      </c>
      <c r="EO14" s="40">
        <f t="shared" si="138"/>
        <v>20190</v>
      </c>
      <c r="EP14" s="128">
        <f t="shared" si="139"/>
        <v>8031981.8972432762</v>
      </c>
      <c r="EQ14" s="128">
        <f t="shared" si="50"/>
        <v>722870</v>
      </c>
      <c r="ER14" s="128">
        <f t="shared" si="51"/>
        <v>319630</v>
      </c>
      <c r="ES14" s="128">
        <f t="shared" si="140"/>
        <v>20690</v>
      </c>
      <c r="ET14" s="40">
        <f t="shared" si="141"/>
        <v>8232781.4446743578</v>
      </c>
      <c r="EU14" s="40">
        <f t="shared" si="52"/>
        <v>740950</v>
      </c>
      <c r="EV14" s="40">
        <f t="shared" si="53"/>
        <v>327620</v>
      </c>
      <c r="EW14" s="40">
        <f t="shared" si="142"/>
        <v>21210</v>
      </c>
      <c r="EX14" s="128">
        <f t="shared" si="143"/>
        <v>8438600.9807912167</v>
      </c>
      <c r="EY14" s="128">
        <f t="shared" si="54"/>
        <v>759470</v>
      </c>
      <c r="EZ14" s="128">
        <f t="shared" si="55"/>
        <v>335810</v>
      </c>
      <c r="FA14" s="128">
        <f t="shared" si="144"/>
        <v>21740</v>
      </c>
      <c r="FB14" s="40">
        <f t="shared" si="145"/>
        <v>8649566.0053109955</v>
      </c>
      <c r="FC14" s="40">
        <f t="shared" si="56"/>
        <v>778460</v>
      </c>
      <c r="FD14" s="40">
        <f t="shared" si="57"/>
        <v>344210</v>
      </c>
      <c r="FE14" s="40">
        <f t="shared" si="146"/>
        <v>22280</v>
      </c>
      <c r="FF14" s="128">
        <f t="shared" si="147"/>
        <v>8865805.1554437689</v>
      </c>
      <c r="FG14" s="128">
        <f t="shared" si="58"/>
        <v>797920</v>
      </c>
      <c r="FH14" s="128">
        <f t="shared" si="59"/>
        <v>352810</v>
      </c>
      <c r="FI14" s="128">
        <f t="shared" si="148"/>
        <v>22840</v>
      </c>
      <c r="FJ14" s="40">
        <f t="shared" si="149"/>
        <v>9087450.2843298633</v>
      </c>
      <c r="FK14" s="40">
        <f t="shared" si="60"/>
        <v>817870</v>
      </c>
      <c r="FL14" s="40">
        <f t="shared" si="61"/>
        <v>361630</v>
      </c>
      <c r="FM14" s="40">
        <f t="shared" si="150"/>
        <v>23410</v>
      </c>
      <c r="FN14" s="128">
        <f t="shared" si="151"/>
        <v>9314636.5414381083</v>
      </c>
      <c r="FO14" s="128">
        <f t="shared" si="62"/>
        <v>838310</v>
      </c>
      <c r="FP14" s="128">
        <f t="shared" si="63"/>
        <v>370670</v>
      </c>
      <c r="FQ14" s="128">
        <f t="shared" si="152"/>
        <v>24000</v>
      </c>
      <c r="FR14" s="40">
        <f t="shared" si="153"/>
        <v>9547502.4549740609</v>
      </c>
      <c r="FS14" s="40">
        <f t="shared" si="64"/>
        <v>859270</v>
      </c>
      <c r="FT14" s="40">
        <f t="shared" si="65"/>
        <v>379940</v>
      </c>
      <c r="FU14" s="40">
        <f t="shared" si="154"/>
        <v>24600</v>
      </c>
      <c r="FV14" s="128">
        <f t="shared" si="155"/>
        <v>9786190.0163484123</v>
      </c>
      <c r="FW14" s="128">
        <f t="shared" si="66"/>
        <v>880750</v>
      </c>
      <c r="FX14" s="128">
        <f t="shared" si="67"/>
        <v>389440</v>
      </c>
      <c r="FY14" s="128">
        <f t="shared" si="156"/>
        <v>25210</v>
      </c>
      <c r="FZ14" s="40">
        <f t="shared" si="157"/>
        <v>10030844.766757121</v>
      </c>
      <c r="GA14" s="40">
        <f t="shared" si="68"/>
        <v>902770</v>
      </c>
      <c r="GB14" s="40">
        <f t="shared" si="69"/>
        <v>399180</v>
      </c>
      <c r="GC14" s="40">
        <f t="shared" si="158"/>
        <v>25840</v>
      </c>
      <c r="GD14" s="128">
        <f t="shared" si="159"/>
        <v>10281615.885926049</v>
      </c>
      <c r="GE14" s="128">
        <f t="shared" si="70"/>
        <v>925340</v>
      </c>
      <c r="GF14" s="128">
        <f t="shared" si="71"/>
        <v>409160</v>
      </c>
      <c r="GG14" s="128">
        <f t="shared" si="160"/>
        <v>26490</v>
      </c>
      <c r="GH14" s="40">
        <f t="shared" si="161"/>
        <v>10538656.2830742</v>
      </c>
      <c r="GI14" s="40">
        <f t="shared" si="72"/>
        <v>948470</v>
      </c>
      <c r="GJ14" s="40">
        <f t="shared" si="73"/>
        <v>419380</v>
      </c>
      <c r="GK14" s="40">
        <f t="shared" si="162"/>
        <v>27150</v>
      </c>
      <c r="GL14" s="128">
        <f t="shared" si="163"/>
        <v>10802122.690151054</v>
      </c>
      <c r="GM14" s="128">
        <f t="shared" si="74"/>
        <v>972190</v>
      </c>
      <c r="GN14" s="128">
        <f t="shared" si="75"/>
        <v>429870</v>
      </c>
      <c r="GO14" s="128">
        <f t="shared" si="164"/>
        <v>27830</v>
      </c>
      <c r="GP14" s="40">
        <f t="shared" si="165"/>
        <v>11072175.75740483</v>
      </c>
      <c r="GQ14" s="40">
        <f t="shared" si="76"/>
        <v>996490</v>
      </c>
      <c r="GR14" s="40">
        <f t="shared" si="77"/>
        <v>440620</v>
      </c>
      <c r="GS14" s="40">
        <f t="shared" si="166"/>
        <v>28530</v>
      </c>
      <c r="GT14" s="128">
        <f t="shared" si="167"/>
        <v>11348980.15133995</v>
      </c>
      <c r="GU14" s="128">
        <f t="shared" si="78"/>
        <v>1021400</v>
      </c>
      <c r="GV14" s="128">
        <f t="shared" si="79"/>
        <v>451630</v>
      </c>
      <c r="GW14" s="128">
        <f t="shared" si="168"/>
        <v>29240</v>
      </c>
      <c r="GX14" s="40">
        <f t="shared" si="169"/>
        <v>11632704.655123448</v>
      </c>
      <c r="GY14" s="40">
        <f t="shared" si="80"/>
        <v>1046940</v>
      </c>
      <c r="GZ14" s="40">
        <f t="shared" si="81"/>
        <v>462920</v>
      </c>
      <c r="HA14" s="40">
        <f t="shared" si="170"/>
        <v>29970</v>
      </c>
      <c r="HB14" s="128" t="e">
        <f t="shared" si="171"/>
        <v>#REF!</v>
      </c>
      <c r="HC14" s="128" t="e">
        <f t="shared" si="82"/>
        <v>#REF!</v>
      </c>
      <c r="HD14" s="128" t="e">
        <f t="shared" si="83"/>
        <v>#REF!</v>
      </c>
      <c r="HE14" s="128" t="e">
        <f t="shared" si="172"/>
        <v>#REF!</v>
      </c>
    </row>
    <row r="15" spans="1:213" ht="18">
      <c r="A15" s="2"/>
      <c r="B15" s="1"/>
      <c r="C15" s="71"/>
      <c r="D15" s="61"/>
      <c r="E15" s="63"/>
      <c r="F15" s="49"/>
      <c r="G15" s="87"/>
      <c r="H15" s="45"/>
      <c r="I15" s="602">
        <v>11</v>
      </c>
      <c r="K15" s="47">
        <v>120000</v>
      </c>
      <c r="L15" s="159">
        <v>6</v>
      </c>
      <c r="N15" s="137">
        <v>11</v>
      </c>
      <c r="P15" s="139" t="s">
        <v>88</v>
      </c>
      <c r="Q15" s="99"/>
      <c r="R15" s="25" t="s">
        <v>248</v>
      </c>
      <c r="T15" s="97"/>
      <c r="U15" s="1210"/>
      <c r="V15" s="42"/>
      <c r="W15" s="101"/>
      <c r="Y15" s="155"/>
      <c r="Z15" s="1212"/>
      <c r="AA15" s="1212"/>
      <c r="AB15" s="1212"/>
      <c r="AD15" s="26"/>
      <c r="AE15" s="27"/>
      <c r="AF15" s="778"/>
      <c r="AG15" s="28"/>
      <c r="AH15" s="28"/>
      <c r="AJ15" s="41">
        <v>8</v>
      </c>
      <c r="AK15" s="41">
        <v>18</v>
      </c>
      <c r="AL15" s="890">
        <v>4273630</v>
      </c>
      <c r="AM15" s="40">
        <f t="shared" si="84"/>
        <v>384630</v>
      </c>
      <c r="AN15" s="40">
        <v>138770</v>
      </c>
      <c r="AO15" s="40">
        <v>14220</v>
      </c>
      <c r="AP15" s="891">
        <f t="shared" si="85"/>
        <v>4346280</v>
      </c>
      <c r="AQ15" s="131">
        <f t="shared" si="86"/>
        <v>391170</v>
      </c>
      <c r="AR15" s="130">
        <f t="shared" si="87"/>
        <v>154080</v>
      </c>
      <c r="AS15" s="128">
        <f t="shared" si="88"/>
        <v>9980</v>
      </c>
      <c r="AT15" s="40">
        <f t="shared" si="89"/>
        <v>4498399.8</v>
      </c>
      <c r="AU15" s="40">
        <f t="shared" si="0"/>
        <v>404850</v>
      </c>
      <c r="AV15" s="40">
        <f t="shared" si="1"/>
        <v>162170</v>
      </c>
      <c r="AW15" s="40">
        <f t="shared" si="90"/>
        <v>10500</v>
      </c>
      <c r="AX15" s="128">
        <f t="shared" si="91"/>
        <v>4610859.794999999</v>
      </c>
      <c r="AY15" s="128">
        <f t="shared" si="2"/>
        <v>414970</v>
      </c>
      <c r="AZ15" s="128">
        <f t="shared" si="3"/>
        <v>166230</v>
      </c>
      <c r="BA15" s="128">
        <f t="shared" si="92"/>
        <v>10760</v>
      </c>
      <c r="BB15" s="40">
        <f t="shared" si="93"/>
        <v>4726131.2898749989</v>
      </c>
      <c r="BC15" s="40">
        <f t="shared" si="4"/>
        <v>425350</v>
      </c>
      <c r="BD15" s="40">
        <f t="shared" si="5"/>
        <v>174640</v>
      </c>
      <c r="BE15" s="40">
        <f t="shared" si="94"/>
        <v>11300</v>
      </c>
      <c r="BF15" s="128">
        <f t="shared" si="95"/>
        <v>4844284.5721218735</v>
      </c>
      <c r="BG15" s="128">
        <f t="shared" si="6"/>
        <v>435980</v>
      </c>
      <c r="BH15" s="128">
        <f t="shared" si="7"/>
        <v>179010</v>
      </c>
      <c r="BI15" s="128">
        <f t="shared" si="96"/>
        <v>11590</v>
      </c>
      <c r="BJ15" s="40">
        <f t="shared" si="97"/>
        <v>4965391.6864249203</v>
      </c>
      <c r="BK15" s="40">
        <f t="shared" si="8"/>
        <v>446880</v>
      </c>
      <c r="BL15" s="40">
        <f t="shared" si="9"/>
        <v>188070</v>
      </c>
      <c r="BM15" s="40">
        <f t="shared" si="98"/>
        <v>12170</v>
      </c>
      <c r="BN15" s="128">
        <f t="shared" si="99"/>
        <v>5089526.4785855431</v>
      </c>
      <c r="BO15" s="128">
        <f t="shared" si="10"/>
        <v>458050</v>
      </c>
      <c r="BP15" s="128">
        <f t="shared" si="11"/>
        <v>197590</v>
      </c>
      <c r="BQ15" s="128">
        <f t="shared" si="100"/>
        <v>12790</v>
      </c>
      <c r="BR15" s="40">
        <f t="shared" si="101"/>
        <v>5216764.6405501813</v>
      </c>
      <c r="BS15" s="40">
        <f t="shared" si="12"/>
        <v>469500</v>
      </c>
      <c r="BT15" s="40">
        <f t="shared" si="13"/>
        <v>202530</v>
      </c>
      <c r="BU15" s="40">
        <f t="shared" si="102"/>
        <v>13110</v>
      </c>
      <c r="BV15" s="128">
        <f t="shared" si="103"/>
        <v>5347183.7565639354</v>
      </c>
      <c r="BW15" s="128">
        <f t="shared" si="14"/>
        <v>481240</v>
      </c>
      <c r="BX15" s="128">
        <f t="shared" si="15"/>
        <v>212790</v>
      </c>
      <c r="BY15" s="128">
        <f t="shared" si="104"/>
        <v>13770</v>
      </c>
      <c r="BZ15" s="40">
        <f t="shared" si="105"/>
        <v>5480863.3504780335</v>
      </c>
      <c r="CA15" s="40">
        <f t="shared" si="16"/>
        <v>493270</v>
      </c>
      <c r="CB15" s="40">
        <f t="shared" si="17"/>
        <v>218110</v>
      </c>
      <c r="CC15" s="40">
        <f t="shared" si="106"/>
        <v>14120</v>
      </c>
      <c r="CD15" s="128">
        <f t="shared" si="107"/>
        <v>5617884.9342399836</v>
      </c>
      <c r="CE15" s="128">
        <f t="shared" si="18"/>
        <v>505600</v>
      </c>
      <c r="CF15" s="128">
        <f t="shared" si="19"/>
        <v>223560</v>
      </c>
      <c r="CG15" s="128">
        <f t="shared" si="108"/>
        <v>14470</v>
      </c>
      <c r="CH15" s="40">
        <f t="shared" si="109"/>
        <v>5758332.0575959822</v>
      </c>
      <c r="CI15" s="40">
        <f t="shared" si="20"/>
        <v>518240</v>
      </c>
      <c r="CJ15" s="40">
        <f t="shared" si="21"/>
        <v>229150</v>
      </c>
      <c r="CK15" s="40">
        <f t="shared" si="110"/>
        <v>14830</v>
      </c>
      <c r="CL15" s="128">
        <f t="shared" si="111"/>
        <v>5902290.3590358812</v>
      </c>
      <c r="CM15" s="128">
        <f t="shared" si="22"/>
        <v>531200</v>
      </c>
      <c r="CN15" s="128">
        <f t="shared" si="23"/>
        <v>234880</v>
      </c>
      <c r="CO15" s="128">
        <f t="shared" si="112"/>
        <v>15200</v>
      </c>
      <c r="CP15" s="40">
        <f t="shared" si="113"/>
        <v>6049847.6180117773</v>
      </c>
      <c r="CQ15" s="40">
        <f t="shared" si="24"/>
        <v>544480</v>
      </c>
      <c r="CR15" s="40">
        <f t="shared" si="25"/>
        <v>240750</v>
      </c>
      <c r="CS15" s="40">
        <f t="shared" si="114"/>
        <v>15580</v>
      </c>
      <c r="CT15" s="128">
        <f t="shared" si="115"/>
        <v>6201093.8084620712</v>
      </c>
      <c r="CU15" s="128">
        <f t="shared" si="26"/>
        <v>558090</v>
      </c>
      <c r="CV15" s="128">
        <f t="shared" si="27"/>
        <v>246770</v>
      </c>
      <c r="CW15" s="128">
        <f t="shared" si="116"/>
        <v>15970</v>
      </c>
      <c r="CX15" s="40">
        <f t="shared" si="117"/>
        <v>6356121.1536736228</v>
      </c>
      <c r="CY15" s="40">
        <f t="shared" si="28"/>
        <v>572050</v>
      </c>
      <c r="CZ15" s="40">
        <f t="shared" si="29"/>
        <v>252940</v>
      </c>
      <c r="DA15" s="40">
        <f t="shared" si="118"/>
        <v>16370</v>
      </c>
      <c r="DB15" s="128">
        <f t="shared" si="119"/>
        <v>6515024.1825154629</v>
      </c>
      <c r="DC15" s="128">
        <f t="shared" si="30"/>
        <v>586350</v>
      </c>
      <c r="DD15" s="128">
        <f t="shared" si="31"/>
        <v>259260</v>
      </c>
      <c r="DE15" s="128">
        <f t="shared" si="120"/>
        <v>16780</v>
      </c>
      <c r="DF15" s="40">
        <f t="shared" si="121"/>
        <v>6677899.7870783489</v>
      </c>
      <c r="DG15" s="40">
        <f t="shared" si="32"/>
        <v>601010</v>
      </c>
      <c r="DH15" s="40">
        <f t="shared" si="33"/>
        <v>265740</v>
      </c>
      <c r="DI15" s="40">
        <f t="shared" si="122"/>
        <v>17200</v>
      </c>
      <c r="DJ15" s="128">
        <f t="shared" si="123"/>
        <v>6844847.2817553068</v>
      </c>
      <c r="DK15" s="128">
        <f t="shared" si="34"/>
        <v>616030</v>
      </c>
      <c r="DL15" s="128">
        <f t="shared" si="35"/>
        <v>272390</v>
      </c>
      <c r="DM15" s="128">
        <f t="shared" si="124"/>
        <v>17630</v>
      </c>
      <c r="DN15" s="40">
        <f t="shared" si="125"/>
        <v>7015968.4637991888</v>
      </c>
      <c r="DO15" s="40">
        <f t="shared" si="36"/>
        <v>631430</v>
      </c>
      <c r="DP15" s="40">
        <f t="shared" si="37"/>
        <v>279200</v>
      </c>
      <c r="DQ15" s="40">
        <f t="shared" si="126"/>
        <v>18070</v>
      </c>
      <c r="DR15" s="128">
        <f t="shared" si="127"/>
        <v>7191367.6753941681</v>
      </c>
      <c r="DS15" s="128">
        <f t="shared" si="38"/>
        <v>647220</v>
      </c>
      <c r="DT15" s="128">
        <f t="shared" si="39"/>
        <v>286180</v>
      </c>
      <c r="DU15" s="128">
        <f t="shared" si="128"/>
        <v>18530</v>
      </c>
      <c r="DV15" s="40">
        <f t="shared" si="129"/>
        <v>7371151.867279022</v>
      </c>
      <c r="DW15" s="40">
        <f t="shared" si="40"/>
        <v>663400</v>
      </c>
      <c r="DX15" s="40">
        <f t="shared" si="41"/>
        <v>293330</v>
      </c>
      <c r="DY15" s="40">
        <f t="shared" si="130"/>
        <v>18990</v>
      </c>
      <c r="DZ15" s="128">
        <f t="shared" si="131"/>
        <v>7555430.663960997</v>
      </c>
      <c r="EA15" s="128">
        <f t="shared" si="42"/>
        <v>679980</v>
      </c>
      <c r="EB15" s="128">
        <f t="shared" si="43"/>
        <v>300670</v>
      </c>
      <c r="EC15" s="128">
        <f t="shared" si="132"/>
        <v>19460</v>
      </c>
      <c r="ED15" s="40">
        <f t="shared" si="133"/>
        <v>7744316.4305600217</v>
      </c>
      <c r="EE15" s="40">
        <f t="shared" si="44"/>
        <v>696980</v>
      </c>
      <c r="EF15" s="40">
        <f t="shared" si="45"/>
        <v>308180</v>
      </c>
      <c r="EG15" s="40">
        <f t="shared" si="134"/>
        <v>19950</v>
      </c>
      <c r="EH15" s="128">
        <f t="shared" si="135"/>
        <v>7937924.3413240211</v>
      </c>
      <c r="EI15" s="128">
        <f t="shared" si="46"/>
        <v>714410</v>
      </c>
      <c r="EJ15" s="128">
        <f t="shared" si="47"/>
        <v>315890</v>
      </c>
      <c r="EK15" s="128">
        <f t="shared" si="136"/>
        <v>20450</v>
      </c>
      <c r="EL15" s="40">
        <f t="shared" si="137"/>
        <v>8136372.4498571213</v>
      </c>
      <c r="EM15" s="40">
        <f t="shared" si="48"/>
        <v>732270</v>
      </c>
      <c r="EN15" s="40">
        <f t="shared" si="49"/>
        <v>323790</v>
      </c>
      <c r="EO15" s="40">
        <f t="shared" si="138"/>
        <v>20960</v>
      </c>
      <c r="EP15" s="128">
        <f t="shared" si="139"/>
        <v>8339781.761103549</v>
      </c>
      <c r="EQ15" s="128">
        <f t="shared" si="50"/>
        <v>750580</v>
      </c>
      <c r="ER15" s="128">
        <f t="shared" si="51"/>
        <v>331880</v>
      </c>
      <c r="ES15" s="128">
        <f t="shared" si="140"/>
        <v>21480</v>
      </c>
      <c r="ET15" s="40">
        <f t="shared" si="141"/>
        <v>8548276.3051311374</v>
      </c>
      <c r="EU15" s="40">
        <f t="shared" si="52"/>
        <v>769340</v>
      </c>
      <c r="EV15" s="40">
        <f t="shared" si="53"/>
        <v>340180</v>
      </c>
      <c r="EW15" s="40">
        <f t="shared" si="142"/>
        <v>22020</v>
      </c>
      <c r="EX15" s="128">
        <f t="shared" si="143"/>
        <v>8761983.2127594147</v>
      </c>
      <c r="EY15" s="128">
        <f t="shared" si="54"/>
        <v>788570</v>
      </c>
      <c r="EZ15" s="128">
        <f t="shared" si="55"/>
        <v>348680</v>
      </c>
      <c r="FA15" s="128">
        <f t="shared" si="144"/>
        <v>22570</v>
      </c>
      <c r="FB15" s="40">
        <f t="shared" si="145"/>
        <v>8981032.7930784002</v>
      </c>
      <c r="FC15" s="40">
        <f t="shared" si="56"/>
        <v>808290</v>
      </c>
      <c r="FD15" s="40">
        <f t="shared" si="57"/>
        <v>357400</v>
      </c>
      <c r="FE15" s="40">
        <f t="shared" si="146"/>
        <v>23140</v>
      </c>
      <c r="FF15" s="128">
        <f t="shared" si="147"/>
        <v>9205558.6129053589</v>
      </c>
      <c r="FG15" s="128">
        <f t="shared" si="58"/>
        <v>828500</v>
      </c>
      <c r="FH15" s="128">
        <f t="shared" si="59"/>
        <v>366330</v>
      </c>
      <c r="FI15" s="128">
        <f t="shared" si="148"/>
        <v>23710</v>
      </c>
      <c r="FJ15" s="40">
        <f t="shared" si="149"/>
        <v>9435697.5782279912</v>
      </c>
      <c r="FK15" s="40">
        <f t="shared" si="60"/>
        <v>849210</v>
      </c>
      <c r="FL15" s="40">
        <f t="shared" si="61"/>
        <v>375490</v>
      </c>
      <c r="FM15" s="40">
        <f t="shared" si="150"/>
        <v>24310</v>
      </c>
      <c r="FN15" s="128">
        <f t="shared" si="151"/>
        <v>9671590.0176836904</v>
      </c>
      <c r="FO15" s="128">
        <f t="shared" si="62"/>
        <v>870440</v>
      </c>
      <c r="FP15" s="128">
        <f t="shared" si="63"/>
        <v>384880</v>
      </c>
      <c r="FQ15" s="128">
        <f t="shared" si="152"/>
        <v>24920</v>
      </c>
      <c r="FR15" s="40">
        <f t="shared" si="153"/>
        <v>9913379.7681257818</v>
      </c>
      <c r="FS15" s="40">
        <f t="shared" si="64"/>
        <v>892200</v>
      </c>
      <c r="FT15" s="40">
        <f t="shared" si="65"/>
        <v>394500</v>
      </c>
      <c r="FU15" s="40">
        <f t="shared" si="154"/>
        <v>25540</v>
      </c>
      <c r="FV15" s="128">
        <f t="shared" si="155"/>
        <v>10161214.262328925</v>
      </c>
      <c r="FW15" s="128">
        <f t="shared" si="66"/>
        <v>914500</v>
      </c>
      <c r="FX15" s="128">
        <f t="shared" si="67"/>
        <v>404360</v>
      </c>
      <c r="FY15" s="128">
        <f t="shared" si="156"/>
        <v>26180</v>
      </c>
      <c r="FZ15" s="40">
        <f t="shared" si="157"/>
        <v>10415244.618887147</v>
      </c>
      <c r="GA15" s="40">
        <f t="shared" si="68"/>
        <v>937370</v>
      </c>
      <c r="GB15" s="40">
        <f t="shared" si="69"/>
        <v>414470</v>
      </c>
      <c r="GC15" s="40">
        <f t="shared" si="158"/>
        <v>26830</v>
      </c>
      <c r="GD15" s="128">
        <f t="shared" si="159"/>
        <v>10675625.734359324</v>
      </c>
      <c r="GE15" s="128">
        <f t="shared" si="70"/>
        <v>960800</v>
      </c>
      <c r="GF15" s="128">
        <f t="shared" si="71"/>
        <v>424840</v>
      </c>
      <c r="GG15" s="128">
        <f t="shared" si="160"/>
        <v>27500</v>
      </c>
      <c r="GH15" s="40">
        <f t="shared" si="161"/>
        <v>10942516.377718305</v>
      </c>
      <c r="GI15" s="40">
        <f t="shared" si="72"/>
        <v>984820</v>
      </c>
      <c r="GJ15" s="40">
        <f t="shared" si="73"/>
        <v>435460</v>
      </c>
      <c r="GK15" s="40">
        <f t="shared" si="162"/>
        <v>28190</v>
      </c>
      <c r="GL15" s="128">
        <f t="shared" si="163"/>
        <v>11216079.287161263</v>
      </c>
      <c r="GM15" s="128">
        <f t="shared" si="74"/>
        <v>1009440</v>
      </c>
      <c r="GN15" s="128">
        <f t="shared" si="75"/>
        <v>446340</v>
      </c>
      <c r="GO15" s="128">
        <f t="shared" si="164"/>
        <v>28900</v>
      </c>
      <c r="GP15" s="40">
        <f t="shared" si="165"/>
        <v>11496481.269340293</v>
      </c>
      <c r="GQ15" s="40">
        <f t="shared" si="76"/>
        <v>1034680</v>
      </c>
      <c r="GR15" s="40">
        <f t="shared" si="77"/>
        <v>457500</v>
      </c>
      <c r="GS15" s="40">
        <f t="shared" si="166"/>
        <v>29620</v>
      </c>
      <c r="GT15" s="128">
        <f t="shared" si="167"/>
        <v>11783893.301073799</v>
      </c>
      <c r="GU15" s="128">
        <f t="shared" si="78"/>
        <v>1060550</v>
      </c>
      <c r="GV15" s="128">
        <f t="shared" si="79"/>
        <v>468940</v>
      </c>
      <c r="GW15" s="128">
        <f t="shared" si="168"/>
        <v>30360</v>
      </c>
      <c r="GX15" s="40">
        <f t="shared" si="169"/>
        <v>12078490.633600643</v>
      </c>
      <c r="GY15" s="40">
        <f t="shared" si="80"/>
        <v>1087060</v>
      </c>
      <c r="GZ15" s="40">
        <f t="shared" si="81"/>
        <v>480660</v>
      </c>
      <c r="HA15" s="40">
        <f t="shared" si="170"/>
        <v>31120</v>
      </c>
      <c r="HB15" s="128" t="e">
        <f t="shared" si="171"/>
        <v>#REF!</v>
      </c>
      <c r="HC15" s="128" t="e">
        <f t="shared" si="82"/>
        <v>#REF!</v>
      </c>
      <c r="HD15" s="128" t="e">
        <f t="shared" si="83"/>
        <v>#REF!</v>
      </c>
      <c r="HE15" s="128" t="e">
        <f t="shared" si="172"/>
        <v>#REF!</v>
      </c>
    </row>
    <row r="16" spans="1:213" ht="18">
      <c r="A16" s="6"/>
      <c r="B16" s="7"/>
      <c r="C16" s="74"/>
      <c r="D16" s="75"/>
      <c r="E16" s="65"/>
      <c r="F16" s="51"/>
      <c r="G16" s="87"/>
      <c r="H16" s="45"/>
      <c r="I16" s="602">
        <v>12</v>
      </c>
      <c r="K16" s="47">
        <v>140000</v>
      </c>
      <c r="L16" s="159">
        <v>7</v>
      </c>
      <c r="N16" s="137">
        <v>12</v>
      </c>
      <c r="P16" s="140" t="e">
        <f>IF(#REF!="","",IF(#REF!&gt;=10,#REF!*50%,IF(#REF!=9,#REF!*45%,IF(#REF!=8,#REF!*40%,IF(#REF!=7,#REF!*35%,IF(#REF!=6,#REF!*30%,IF(#REF!=5,#REF!*25%,IF(#REF!=4,#REF!*20%,IF(#REF!=3,#REF!*15%,IF(#REF!=2,#REF!*10%,IF(#REF!=1,#REF!*5%,IF(#REF!=0,#REF!*0%,""))))))))))))</f>
        <v>#REF!</v>
      </c>
      <c r="Q16" s="99"/>
      <c r="R16" s="25" t="s">
        <v>259</v>
      </c>
      <c r="T16" s="97"/>
      <c r="V16" s="42"/>
      <c r="W16" s="101"/>
      <c r="X16" s="95"/>
      <c r="Y16" s="155"/>
      <c r="Z16" s="1213"/>
      <c r="AA16" s="1213"/>
      <c r="AB16" s="1213"/>
      <c r="AD16" s="26"/>
      <c r="AE16" s="27"/>
      <c r="AF16" s="778"/>
      <c r="AG16" s="28"/>
      <c r="AH16" s="28"/>
      <c r="AJ16" s="41">
        <v>9</v>
      </c>
      <c r="AK16" s="41">
        <v>19</v>
      </c>
      <c r="AL16" s="890">
        <v>4428460</v>
      </c>
      <c r="AM16" s="40">
        <f t="shared" si="84"/>
        <v>398560</v>
      </c>
      <c r="AN16" s="40">
        <v>143800</v>
      </c>
      <c r="AO16" s="40">
        <v>14740</v>
      </c>
      <c r="AP16" s="891">
        <f t="shared" si="85"/>
        <v>4503740</v>
      </c>
      <c r="AQ16" s="131">
        <f t="shared" si="86"/>
        <v>405340</v>
      </c>
      <c r="AR16" s="130">
        <f t="shared" si="87"/>
        <v>159660</v>
      </c>
      <c r="AS16" s="128">
        <f t="shared" si="88"/>
        <v>10340</v>
      </c>
      <c r="AT16" s="40">
        <f t="shared" si="89"/>
        <v>4661370.8999999994</v>
      </c>
      <c r="AU16" s="40">
        <f t="shared" si="0"/>
        <v>419520</v>
      </c>
      <c r="AV16" s="40">
        <f t="shared" si="1"/>
        <v>168050</v>
      </c>
      <c r="AW16" s="40">
        <f t="shared" si="90"/>
        <v>10880</v>
      </c>
      <c r="AX16" s="128">
        <f t="shared" si="91"/>
        <v>4777905.1724999994</v>
      </c>
      <c r="AY16" s="128">
        <f t="shared" si="2"/>
        <v>430010</v>
      </c>
      <c r="AZ16" s="128">
        <f t="shared" si="3"/>
        <v>172250</v>
      </c>
      <c r="BA16" s="128">
        <f t="shared" si="92"/>
        <v>11150</v>
      </c>
      <c r="BB16" s="40">
        <f t="shared" si="93"/>
        <v>4897352.8018124988</v>
      </c>
      <c r="BC16" s="40">
        <f t="shared" si="4"/>
        <v>440760</v>
      </c>
      <c r="BD16" s="40">
        <f t="shared" si="5"/>
        <v>180970</v>
      </c>
      <c r="BE16" s="40">
        <f t="shared" si="94"/>
        <v>11710</v>
      </c>
      <c r="BF16" s="128">
        <f t="shared" si="95"/>
        <v>5019786.6218578108</v>
      </c>
      <c r="BG16" s="128">
        <f t="shared" si="6"/>
        <v>451780</v>
      </c>
      <c r="BH16" s="128">
        <f t="shared" si="7"/>
        <v>185500</v>
      </c>
      <c r="BI16" s="128">
        <f t="shared" si="96"/>
        <v>12010</v>
      </c>
      <c r="BJ16" s="40">
        <f t="shared" si="97"/>
        <v>5145281.2874042559</v>
      </c>
      <c r="BK16" s="40">
        <f t="shared" si="8"/>
        <v>463070</v>
      </c>
      <c r="BL16" s="40">
        <f t="shared" si="9"/>
        <v>194890</v>
      </c>
      <c r="BM16" s="40">
        <f t="shared" si="98"/>
        <v>12610</v>
      </c>
      <c r="BN16" s="128">
        <f t="shared" si="99"/>
        <v>5273913.3195893615</v>
      </c>
      <c r="BO16" s="128">
        <f t="shared" si="10"/>
        <v>474650</v>
      </c>
      <c r="BP16" s="128">
        <f t="shared" si="11"/>
        <v>204750</v>
      </c>
      <c r="BQ16" s="128">
        <f t="shared" si="100"/>
        <v>13250</v>
      </c>
      <c r="BR16" s="40">
        <f t="shared" si="101"/>
        <v>5405761.1525790952</v>
      </c>
      <c r="BS16" s="40">
        <f t="shared" si="12"/>
        <v>486510</v>
      </c>
      <c r="BT16" s="40">
        <f t="shared" si="13"/>
        <v>209870</v>
      </c>
      <c r="BU16" s="40">
        <f t="shared" si="102"/>
        <v>13580</v>
      </c>
      <c r="BV16" s="128">
        <f t="shared" si="103"/>
        <v>5540905.1813935721</v>
      </c>
      <c r="BW16" s="128">
        <f t="shared" si="14"/>
        <v>498680</v>
      </c>
      <c r="BX16" s="128">
        <f t="shared" si="15"/>
        <v>220500</v>
      </c>
      <c r="BY16" s="128">
        <f t="shared" si="104"/>
        <v>14270</v>
      </c>
      <c r="BZ16" s="40">
        <f t="shared" si="105"/>
        <v>5679427.8109284109</v>
      </c>
      <c r="CA16" s="40">
        <f t="shared" si="16"/>
        <v>511140</v>
      </c>
      <c r="CB16" s="40">
        <f t="shared" si="17"/>
        <v>226010</v>
      </c>
      <c r="CC16" s="40">
        <f t="shared" si="106"/>
        <v>14630</v>
      </c>
      <c r="CD16" s="128">
        <f t="shared" si="107"/>
        <v>5821413.5062016202</v>
      </c>
      <c r="CE16" s="128">
        <f t="shared" si="18"/>
        <v>523920</v>
      </c>
      <c r="CF16" s="128">
        <f t="shared" si="19"/>
        <v>231660</v>
      </c>
      <c r="CG16" s="128">
        <f t="shared" si="108"/>
        <v>14990</v>
      </c>
      <c r="CH16" s="40">
        <f t="shared" si="109"/>
        <v>5966948.8438566606</v>
      </c>
      <c r="CI16" s="40">
        <f t="shared" si="20"/>
        <v>537020</v>
      </c>
      <c r="CJ16" s="40">
        <f t="shared" si="21"/>
        <v>237450</v>
      </c>
      <c r="CK16" s="40">
        <f t="shared" si="110"/>
        <v>15370</v>
      </c>
      <c r="CL16" s="128">
        <f t="shared" si="111"/>
        <v>6116122.5649530767</v>
      </c>
      <c r="CM16" s="128">
        <f t="shared" si="22"/>
        <v>550450</v>
      </c>
      <c r="CN16" s="128">
        <f t="shared" si="23"/>
        <v>243390</v>
      </c>
      <c r="CO16" s="128">
        <f t="shared" si="112"/>
        <v>15750</v>
      </c>
      <c r="CP16" s="40">
        <f t="shared" si="113"/>
        <v>6269025.6290769028</v>
      </c>
      <c r="CQ16" s="40">
        <f t="shared" si="24"/>
        <v>564210</v>
      </c>
      <c r="CR16" s="40">
        <f t="shared" si="25"/>
        <v>249470</v>
      </c>
      <c r="CS16" s="40">
        <f t="shared" si="114"/>
        <v>16150</v>
      </c>
      <c r="CT16" s="128">
        <f t="shared" si="115"/>
        <v>6425751.2698038248</v>
      </c>
      <c r="CU16" s="128">
        <f t="shared" si="26"/>
        <v>578310</v>
      </c>
      <c r="CV16" s="128">
        <f t="shared" si="27"/>
        <v>255710</v>
      </c>
      <c r="CW16" s="128">
        <f t="shared" si="116"/>
        <v>16550</v>
      </c>
      <c r="CX16" s="40">
        <f t="shared" si="117"/>
        <v>6586395.0515489196</v>
      </c>
      <c r="CY16" s="40">
        <f t="shared" si="28"/>
        <v>592770</v>
      </c>
      <c r="CZ16" s="40">
        <f t="shared" si="29"/>
        <v>262100</v>
      </c>
      <c r="DA16" s="40">
        <f t="shared" si="118"/>
        <v>16970</v>
      </c>
      <c r="DB16" s="128">
        <f t="shared" si="119"/>
        <v>6751054.9278376419</v>
      </c>
      <c r="DC16" s="128">
        <f t="shared" si="30"/>
        <v>607590</v>
      </c>
      <c r="DD16" s="128">
        <f t="shared" si="31"/>
        <v>268660</v>
      </c>
      <c r="DE16" s="128">
        <f t="shared" si="120"/>
        <v>17390</v>
      </c>
      <c r="DF16" s="40">
        <f t="shared" si="121"/>
        <v>6919831.3010335825</v>
      </c>
      <c r="DG16" s="40">
        <f t="shared" si="32"/>
        <v>622780</v>
      </c>
      <c r="DH16" s="40">
        <f t="shared" si="33"/>
        <v>275370</v>
      </c>
      <c r="DI16" s="40">
        <f t="shared" si="122"/>
        <v>17830</v>
      </c>
      <c r="DJ16" s="128">
        <f t="shared" si="123"/>
        <v>7092827.0835594218</v>
      </c>
      <c r="DK16" s="128">
        <f t="shared" si="34"/>
        <v>638350</v>
      </c>
      <c r="DL16" s="128">
        <f t="shared" si="35"/>
        <v>282260</v>
      </c>
      <c r="DM16" s="128">
        <f t="shared" si="124"/>
        <v>18270</v>
      </c>
      <c r="DN16" s="40">
        <f t="shared" si="125"/>
        <v>7270147.760648407</v>
      </c>
      <c r="DO16" s="40">
        <f t="shared" si="36"/>
        <v>654310</v>
      </c>
      <c r="DP16" s="40">
        <f t="shared" si="37"/>
        <v>289310</v>
      </c>
      <c r="DQ16" s="40">
        <f t="shared" si="126"/>
        <v>18730</v>
      </c>
      <c r="DR16" s="128">
        <f t="shared" si="127"/>
        <v>7451901.4546646168</v>
      </c>
      <c r="DS16" s="128">
        <f t="shared" si="38"/>
        <v>670670</v>
      </c>
      <c r="DT16" s="128">
        <f t="shared" si="39"/>
        <v>296550</v>
      </c>
      <c r="DU16" s="128">
        <f t="shared" si="128"/>
        <v>19200</v>
      </c>
      <c r="DV16" s="40">
        <f t="shared" si="129"/>
        <v>7638198.9910312314</v>
      </c>
      <c r="DW16" s="40">
        <f t="shared" si="40"/>
        <v>687430</v>
      </c>
      <c r="DX16" s="40">
        <f t="shared" si="41"/>
        <v>303960</v>
      </c>
      <c r="DY16" s="40">
        <f t="shared" si="130"/>
        <v>19680</v>
      </c>
      <c r="DZ16" s="128">
        <f t="shared" si="131"/>
        <v>7829153.9658070114</v>
      </c>
      <c r="EA16" s="128">
        <f t="shared" si="42"/>
        <v>704620</v>
      </c>
      <c r="EB16" s="128">
        <f t="shared" si="43"/>
        <v>311560</v>
      </c>
      <c r="EC16" s="128">
        <f t="shared" si="132"/>
        <v>20170</v>
      </c>
      <c r="ED16" s="40">
        <f t="shared" si="133"/>
        <v>8024882.8149521863</v>
      </c>
      <c r="EE16" s="40">
        <f t="shared" si="44"/>
        <v>722230</v>
      </c>
      <c r="EF16" s="40">
        <f t="shared" si="45"/>
        <v>319350</v>
      </c>
      <c r="EG16" s="40">
        <f t="shared" si="134"/>
        <v>20670</v>
      </c>
      <c r="EH16" s="128">
        <f t="shared" si="135"/>
        <v>8225504.8853259906</v>
      </c>
      <c r="EI16" s="128">
        <f t="shared" si="46"/>
        <v>740290</v>
      </c>
      <c r="EJ16" s="128">
        <f t="shared" si="47"/>
        <v>327330</v>
      </c>
      <c r="EK16" s="128">
        <f t="shared" si="136"/>
        <v>21190</v>
      </c>
      <c r="EL16" s="40">
        <f t="shared" si="137"/>
        <v>8431142.5074591395</v>
      </c>
      <c r="EM16" s="40">
        <f t="shared" si="48"/>
        <v>758800</v>
      </c>
      <c r="EN16" s="40">
        <f t="shared" si="49"/>
        <v>335520</v>
      </c>
      <c r="EO16" s="40">
        <f t="shared" si="138"/>
        <v>21720</v>
      </c>
      <c r="EP16" s="128">
        <f t="shared" si="139"/>
        <v>8641921.0701456163</v>
      </c>
      <c r="EQ16" s="128">
        <f t="shared" si="50"/>
        <v>777770</v>
      </c>
      <c r="ER16" s="128">
        <f t="shared" si="51"/>
        <v>343900</v>
      </c>
      <c r="ES16" s="128">
        <f t="shared" si="140"/>
        <v>22260</v>
      </c>
      <c r="ET16" s="40">
        <f t="shared" si="141"/>
        <v>8857969.0968992561</v>
      </c>
      <c r="EU16" s="40">
        <f t="shared" si="52"/>
        <v>797210</v>
      </c>
      <c r="EV16" s="40">
        <f t="shared" si="53"/>
        <v>352500</v>
      </c>
      <c r="EW16" s="40">
        <f t="shared" si="142"/>
        <v>22820</v>
      </c>
      <c r="EX16" s="128">
        <f t="shared" si="143"/>
        <v>9079418.3243217375</v>
      </c>
      <c r="EY16" s="128">
        <f t="shared" si="54"/>
        <v>817140</v>
      </c>
      <c r="EZ16" s="128">
        <f t="shared" si="55"/>
        <v>361310</v>
      </c>
      <c r="FA16" s="128">
        <f t="shared" si="144"/>
        <v>23390</v>
      </c>
      <c r="FB16" s="40">
        <f t="shared" si="145"/>
        <v>9306403.7824297808</v>
      </c>
      <c r="FC16" s="40">
        <f t="shared" si="56"/>
        <v>837570</v>
      </c>
      <c r="FD16" s="40">
        <f t="shared" si="57"/>
        <v>370350</v>
      </c>
      <c r="FE16" s="40">
        <f t="shared" si="146"/>
        <v>23980</v>
      </c>
      <c r="FF16" s="128">
        <f t="shared" si="147"/>
        <v>9539063.8769905251</v>
      </c>
      <c r="FG16" s="128">
        <f t="shared" si="58"/>
        <v>858510</v>
      </c>
      <c r="FH16" s="128">
        <f t="shared" si="59"/>
        <v>379610</v>
      </c>
      <c r="FI16" s="128">
        <f t="shared" si="148"/>
        <v>24570</v>
      </c>
      <c r="FJ16" s="40">
        <f t="shared" si="149"/>
        <v>9777540.4739152882</v>
      </c>
      <c r="FK16" s="40">
        <f t="shared" si="60"/>
        <v>879970</v>
      </c>
      <c r="FL16" s="40">
        <f t="shared" si="61"/>
        <v>389100</v>
      </c>
      <c r="FM16" s="40">
        <f t="shared" si="150"/>
        <v>25190</v>
      </c>
      <c r="FN16" s="128">
        <f t="shared" si="151"/>
        <v>10021978.98576317</v>
      </c>
      <c r="FO16" s="128">
        <f t="shared" si="62"/>
        <v>901970</v>
      </c>
      <c r="FP16" s="128">
        <f t="shared" si="63"/>
        <v>398820</v>
      </c>
      <c r="FQ16" s="128">
        <f t="shared" si="152"/>
        <v>25820</v>
      </c>
      <c r="FR16" s="40">
        <f t="shared" si="153"/>
        <v>10272528.460407248</v>
      </c>
      <c r="FS16" s="40">
        <f t="shared" si="64"/>
        <v>924520</v>
      </c>
      <c r="FT16" s="40">
        <f t="shared" si="65"/>
        <v>408790</v>
      </c>
      <c r="FU16" s="40">
        <f t="shared" si="154"/>
        <v>26460</v>
      </c>
      <c r="FV16" s="128">
        <f t="shared" si="155"/>
        <v>10529341.671917427</v>
      </c>
      <c r="FW16" s="128">
        <f t="shared" si="66"/>
        <v>947640</v>
      </c>
      <c r="FX16" s="128">
        <f t="shared" si="67"/>
        <v>419010</v>
      </c>
      <c r="FY16" s="128">
        <f t="shared" si="156"/>
        <v>27130</v>
      </c>
      <c r="FZ16" s="40">
        <f t="shared" si="157"/>
        <v>10792575.213715361</v>
      </c>
      <c r="GA16" s="40">
        <f t="shared" si="68"/>
        <v>971330</v>
      </c>
      <c r="GB16" s="40">
        <f t="shared" si="69"/>
        <v>429490</v>
      </c>
      <c r="GC16" s="40">
        <f t="shared" si="158"/>
        <v>27800</v>
      </c>
      <c r="GD16" s="128">
        <f t="shared" si="159"/>
        <v>11062389.594058245</v>
      </c>
      <c r="GE16" s="128">
        <f t="shared" si="70"/>
        <v>995610</v>
      </c>
      <c r="GF16" s="128">
        <f t="shared" si="71"/>
        <v>440230</v>
      </c>
      <c r="GG16" s="128">
        <f t="shared" si="160"/>
        <v>28500</v>
      </c>
      <c r="GH16" s="40">
        <f t="shared" si="161"/>
        <v>11338949.3339097</v>
      </c>
      <c r="GI16" s="40">
        <f t="shared" si="72"/>
        <v>1020500</v>
      </c>
      <c r="GJ16" s="40">
        <f t="shared" si="73"/>
        <v>451230</v>
      </c>
      <c r="GK16" s="40">
        <f t="shared" si="162"/>
        <v>29210</v>
      </c>
      <c r="GL16" s="128">
        <f t="shared" si="163"/>
        <v>11622423.067257442</v>
      </c>
      <c r="GM16" s="128">
        <f t="shared" si="74"/>
        <v>1046010</v>
      </c>
      <c r="GN16" s="128">
        <f t="shared" si="75"/>
        <v>462510</v>
      </c>
      <c r="GO16" s="128">
        <f t="shared" si="164"/>
        <v>29940</v>
      </c>
      <c r="GP16" s="40">
        <f t="shared" si="165"/>
        <v>11912983.643938877</v>
      </c>
      <c r="GQ16" s="40">
        <f t="shared" si="76"/>
        <v>1072160</v>
      </c>
      <c r="GR16" s="40">
        <f t="shared" si="77"/>
        <v>474080</v>
      </c>
      <c r="GS16" s="40">
        <f t="shared" si="166"/>
        <v>30690</v>
      </c>
      <c r="GT16" s="128">
        <f t="shared" si="167"/>
        <v>12210808.235037347</v>
      </c>
      <c r="GU16" s="128">
        <f t="shared" si="78"/>
        <v>1098970</v>
      </c>
      <c r="GV16" s="128">
        <f t="shared" si="79"/>
        <v>485930</v>
      </c>
      <c r="GW16" s="128">
        <f t="shared" si="168"/>
        <v>31460</v>
      </c>
      <c r="GX16" s="40">
        <f t="shared" si="169"/>
        <v>12516078.44091328</v>
      </c>
      <c r="GY16" s="40">
        <f t="shared" si="80"/>
        <v>1126440</v>
      </c>
      <c r="GZ16" s="40">
        <f t="shared" si="81"/>
        <v>498080</v>
      </c>
      <c r="HA16" s="40">
        <f t="shared" si="170"/>
        <v>32250</v>
      </c>
      <c r="HB16" s="128" t="e">
        <f t="shared" si="171"/>
        <v>#REF!</v>
      </c>
      <c r="HC16" s="128" t="e">
        <f t="shared" si="82"/>
        <v>#REF!</v>
      </c>
      <c r="HD16" s="128" t="e">
        <f t="shared" si="83"/>
        <v>#REF!</v>
      </c>
      <c r="HE16" s="128" t="e">
        <f t="shared" si="172"/>
        <v>#REF!</v>
      </c>
    </row>
    <row r="17" spans="1:213" ht="18">
      <c r="A17" s="2"/>
      <c r="B17" s="8"/>
      <c r="C17" s="71"/>
      <c r="D17" s="61"/>
      <c r="E17" s="63"/>
      <c r="F17" s="49"/>
      <c r="G17" s="87"/>
      <c r="H17" s="45"/>
      <c r="I17" s="602" t="s">
        <v>496</v>
      </c>
      <c r="K17" s="47">
        <v>160000</v>
      </c>
      <c r="L17" s="159">
        <v>8</v>
      </c>
      <c r="N17" s="137">
        <v>13</v>
      </c>
      <c r="Q17" s="99"/>
      <c r="R17" s="25" t="s">
        <v>270</v>
      </c>
      <c r="T17" s="97"/>
      <c r="V17" s="42"/>
      <c r="W17" s="101"/>
      <c r="Y17" s="155"/>
      <c r="Z17" s="1203"/>
      <c r="AA17" s="1203"/>
      <c r="AB17" s="1203"/>
      <c r="AD17" s="26"/>
      <c r="AE17" s="27"/>
      <c r="AF17" s="778"/>
      <c r="AG17" s="28"/>
      <c r="AH17" s="28"/>
      <c r="AJ17" s="41">
        <v>10</v>
      </c>
      <c r="AK17" s="41">
        <v>20</v>
      </c>
      <c r="AL17" s="890">
        <v>4589560</v>
      </c>
      <c r="AM17" s="40">
        <f t="shared" si="84"/>
        <v>413060</v>
      </c>
      <c r="AN17" s="40">
        <v>149030</v>
      </c>
      <c r="AO17" s="40">
        <v>15280</v>
      </c>
      <c r="AP17" s="891">
        <f t="shared" si="85"/>
        <v>4667580</v>
      </c>
      <c r="AQ17" s="131">
        <f t="shared" si="86"/>
        <v>420080</v>
      </c>
      <c r="AR17" s="130">
        <f t="shared" si="87"/>
        <v>165470</v>
      </c>
      <c r="AS17" s="128">
        <f t="shared" si="88"/>
        <v>10710</v>
      </c>
      <c r="AT17" s="40">
        <f t="shared" si="89"/>
        <v>4830945.3</v>
      </c>
      <c r="AU17" s="40">
        <f t="shared" si="0"/>
        <v>434780</v>
      </c>
      <c r="AV17" s="40">
        <f t="shared" si="1"/>
        <v>174160</v>
      </c>
      <c r="AW17" s="40">
        <f t="shared" si="90"/>
        <v>11270</v>
      </c>
      <c r="AX17" s="128">
        <f t="shared" si="91"/>
        <v>4951718.9324999992</v>
      </c>
      <c r="AY17" s="128">
        <f t="shared" si="2"/>
        <v>445650</v>
      </c>
      <c r="AZ17" s="128">
        <f t="shared" si="3"/>
        <v>178520</v>
      </c>
      <c r="BA17" s="128">
        <f t="shared" si="92"/>
        <v>11550</v>
      </c>
      <c r="BB17" s="40">
        <f t="shared" si="93"/>
        <v>5075511.9058124991</v>
      </c>
      <c r="BC17" s="40">
        <f t="shared" si="4"/>
        <v>456790</v>
      </c>
      <c r="BD17" s="40">
        <f t="shared" si="5"/>
        <v>187560</v>
      </c>
      <c r="BE17" s="40">
        <f t="shared" si="94"/>
        <v>12140</v>
      </c>
      <c r="BF17" s="128">
        <f t="shared" si="95"/>
        <v>5202399.7034578109</v>
      </c>
      <c r="BG17" s="128">
        <f t="shared" si="6"/>
        <v>468210</v>
      </c>
      <c r="BH17" s="128">
        <f t="shared" si="7"/>
        <v>192240</v>
      </c>
      <c r="BI17" s="128">
        <f t="shared" si="96"/>
        <v>12440</v>
      </c>
      <c r="BJ17" s="40">
        <f t="shared" si="97"/>
        <v>5332459.696044256</v>
      </c>
      <c r="BK17" s="40">
        <f t="shared" si="8"/>
        <v>479920</v>
      </c>
      <c r="BL17" s="40">
        <f t="shared" si="9"/>
        <v>201980</v>
      </c>
      <c r="BM17" s="40">
        <f t="shared" si="98"/>
        <v>13070</v>
      </c>
      <c r="BN17" s="128">
        <f t="shared" si="99"/>
        <v>5465771.1884453623</v>
      </c>
      <c r="BO17" s="128">
        <f t="shared" si="10"/>
        <v>491910</v>
      </c>
      <c r="BP17" s="128">
        <f t="shared" si="11"/>
        <v>212200</v>
      </c>
      <c r="BQ17" s="128">
        <f t="shared" si="100"/>
        <v>13730</v>
      </c>
      <c r="BR17" s="40">
        <f t="shared" si="101"/>
        <v>5602415.4681564961</v>
      </c>
      <c r="BS17" s="40">
        <f t="shared" si="12"/>
        <v>504210</v>
      </c>
      <c r="BT17" s="40">
        <f t="shared" si="13"/>
        <v>217510</v>
      </c>
      <c r="BU17" s="40">
        <f t="shared" si="102"/>
        <v>14080</v>
      </c>
      <c r="BV17" s="128">
        <f t="shared" si="103"/>
        <v>5742475.8548604082</v>
      </c>
      <c r="BW17" s="128">
        <f t="shared" si="14"/>
        <v>516820</v>
      </c>
      <c r="BX17" s="128">
        <f t="shared" si="15"/>
        <v>228520</v>
      </c>
      <c r="BY17" s="128">
        <f t="shared" si="104"/>
        <v>14790</v>
      </c>
      <c r="BZ17" s="40">
        <f t="shared" si="105"/>
        <v>5886037.7512319181</v>
      </c>
      <c r="CA17" s="40">
        <f t="shared" si="16"/>
        <v>529740</v>
      </c>
      <c r="CB17" s="40">
        <f t="shared" si="17"/>
        <v>234230</v>
      </c>
      <c r="CC17" s="40">
        <f t="shared" si="106"/>
        <v>15160</v>
      </c>
      <c r="CD17" s="128">
        <f t="shared" si="107"/>
        <v>6033188.6950127156</v>
      </c>
      <c r="CE17" s="128">
        <f t="shared" si="18"/>
        <v>542980</v>
      </c>
      <c r="CF17" s="128">
        <f t="shared" si="19"/>
        <v>240090</v>
      </c>
      <c r="CG17" s="128">
        <f t="shared" si="108"/>
        <v>15540</v>
      </c>
      <c r="CH17" s="40">
        <f t="shared" si="109"/>
        <v>6184018.4123880332</v>
      </c>
      <c r="CI17" s="40">
        <f t="shared" si="20"/>
        <v>556560</v>
      </c>
      <c r="CJ17" s="40">
        <f t="shared" si="21"/>
        <v>246090</v>
      </c>
      <c r="CK17" s="40">
        <f t="shared" si="110"/>
        <v>15930</v>
      </c>
      <c r="CL17" s="128">
        <f t="shared" si="111"/>
        <v>6338618.8726977333</v>
      </c>
      <c r="CM17" s="128">
        <f t="shared" si="22"/>
        <v>570470</v>
      </c>
      <c r="CN17" s="128">
        <f t="shared" si="23"/>
        <v>252240</v>
      </c>
      <c r="CO17" s="128">
        <f t="shared" si="112"/>
        <v>16330</v>
      </c>
      <c r="CP17" s="40">
        <f t="shared" si="113"/>
        <v>6497084.3445151765</v>
      </c>
      <c r="CQ17" s="40">
        <f t="shared" si="24"/>
        <v>584730</v>
      </c>
      <c r="CR17" s="40">
        <f t="shared" si="25"/>
        <v>258550</v>
      </c>
      <c r="CS17" s="40">
        <f t="shared" si="114"/>
        <v>16740</v>
      </c>
      <c r="CT17" s="128">
        <f t="shared" si="115"/>
        <v>6659511.4531280557</v>
      </c>
      <c r="CU17" s="128">
        <f t="shared" si="26"/>
        <v>599350</v>
      </c>
      <c r="CV17" s="128">
        <f t="shared" si="27"/>
        <v>265010</v>
      </c>
      <c r="CW17" s="128">
        <f t="shared" si="116"/>
        <v>17150</v>
      </c>
      <c r="CX17" s="40">
        <f t="shared" si="117"/>
        <v>6825999.2394562569</v>
      </c>
      <c r="CY17" s="40">
        <f t="shared" si="28"/>
        <v>614330</v>
      </c>
      <c r="CZ17" s="40">
        <f t="shared" si="29"/>
        <v>271640</v>
      </c>
      <c r="DA17" s="40">
        <f t="shared" si="118"/>
        <v>17580</v>
      </c>
      <c r="DB17" s="128">
        <f t="shared" si="119"/>
        <v>6996649.2204426629</v>
      </c>
      <c r="DC17" s="128">
        <f t="shared" si="30"/>
        <v>629690</v>
      </c>
      <c r="DD17" s="128">
        <f t="shared" si="31"/>
        <v>278430</v>
      </c>
      <c r="DE17" s="128">
        <f t="shared" si="120"/>
        <v>18020</v>
      </c>
      <c r="DF17" s="40">
        <f t="shared" si="121"/>
        <v>7171565.4509537285</v>
      </c>
      <c r="DG17" s="40">
        <f t="shared" si="32"/>
        <v>645440</v>
      </c>
      <c r="DH17" s="40">
        <f t="shared" si="33"/>
        <v>285390</v>
      </c>
      <c r="DI17" s="40">
        <f t="shared" si="122"/>
        <v>18470</v>
      </c>
      <c r="DJ17" s="128">
        <f t="shared" si="123"/>
        <v>7350854.5872275708</v>
      </c>
      <c r="DK17" s="128">
        <f t="shared" si="34"/>
        <v>661570</v>
      </c>
      <c r="DL17" s="128">
        <f t="shared" si="35"/>
        <v>292530</v>
      </c>
      <c r="DM17" s="128">
        <f t="shared" si="124"/>
        <v>18940</v>
      </c>
      <c r="DN17" s="40">
        <f t="shared" si="125"/>
        <v>7534625.9519082597</v>
      </c>
      <c r="DO17" s="40">
        <f t="shared" si="36"/>
        <v>678110</v>
      </c>
      <c r="DP17" s="40">
        <f t="shared" si="37"/>
        <v>299840</v>
      </c>
      <c r="DQ17" s="40">
        <f t="shared" si="126"/>
        <v>19410</v>
      </c>
      <c r="DR17" s="128">
        <f t="shared" si="127"/>
        <v>7722991.6007059654</v>
      </c>
      <c r="DS17" s="128">
        <f t="shared" si="38"/>
        <v>695060</v>
      </c>
      <c r="DT17" s="128">
        <f t="shared" si="39"/>
        <v>307330</v>
      </c>
      <c r="DU17" s="128">
        <f t="shared" si="128"/>
        <v>19890</v>
      </c>
      <c r="DV17" s="40">
        <f t="shared" si="129"/>
        <v>7916066.390723614</v>
      </c>
      <c r="DW17" s="40">
        <f t="shared" si="40"/>
        <v>712440</v>
      </c>
      <c r="DX17" s="40">
        <f t="shared" si="41"/>
        <v>315020</v>
      </c>
      <c r="DY17" s="40">
        <f t="shared" si="130"/>
        <v>20390</v>
      </c>
      <c r="DZ17" s="128">
        <f t="shared" si="131"/>
        <v>8113968.0504917037</v>
      </c>
      <c r="EA17" s="128">
        <f t="shared" si="42"/>
        <v>730250</v>
      </c>
      <c r="EB17" s="128">
        <f t="shared" si="43"/>
        <v>322890</v>
      </c>
      <c r="EC17" s="128">
        <f t="shared" si="132"/>
        <v>20900</v>
      </c>
      <c r="ED17" s="40">
        <f t="shared" si="133"/>
        <v>8316817.2517539952</v>
      </c>
      <c r="EE17" s="40">
        <f t="shared" si="44"/>
        <v>748510</v>
      </c>
      <c r="EF17" s="40">
        <f t="shared" si="45"/>
        <v>330970</v>
      </c>
      <c r="EG17" s="40">
        <f t="shared" si="134"/>
        <v>21430</v>
      </c>
      <c r="EH17" s="128">
        <f t="shared" si="135"/>
        <v>8524737.6830478441</v>
      </c>
      <c r="EI17" s="128">
        <f t="shared" si="46"/>
        <v>767220</v>
      </c>
      <c r="EJ17" s="128">
        <f t="shared" si="47"/>
        <v>339240</v>
      </c>
      <c r="EK17" s="128">
        <f t="shared" si="136"/>
        <v>21960</v>
      </c>
      <c r="EL17" s="40">
        <f t="shared" si="137"/>
        <v>8737856.1251240391</v>
      </c>
      <c r="EM17" s="40">
        <f t="shared" si="48"/>
        <v>786400</v>
      </c>
      <c r="EN17" s="40">
        <f t="shared" si="49"/>
        <v>347720</v>
      </c>
      <c r="EO17" s="40">
        <f t="shared" si="138"/>
        <v>22510</v>
      </c>
      <c r="EP17" s="128">
        <f t="shared" si="139"/>
        <v>8956302.5282521397</v>
      </c>
      <c r="EQ17" s="128">
        <f t="shared" si="50"/>
        <v>806060</v>
      </c>
      <c r="ER17" s="128">
        <f t="shared" si="51"/>
        <v>356410</v>
      </c>
      <c r="ES17" s="128">
        <f t="shared" si="140"/>
        <v>23070</v>
      </c>
      <c r="ET17" s="40">
        <f t="shared" si="141"/>
        <v>9180210.0914584417</v>
      </c>
      <c r="EU17" s="40">
        <f t="shared" si="52"/>
        <v>826210</v>
      </c>
      <c r="EV17" s="40">
        <f t="shared" si="53"/>
        <v>365320</v>
      </c>
      <c r="EW17" s="40">
        <f t="shared" si="142"/>
        <v>23650</v>
      </c>
      <c r="EX17" s="128">
        <f t="shared" si="143"/>
        <v>9409715.3437449019</v>
      </c>
      <c r="EY17" s="128">
        <f t="shared" si="54"/>
        <v>846870</v>
      </c>
      <c r="EZ17" s="128">
        <f t="shared" si="55"/>
        <v>374460</v>
      </c>
      <c r="FA17" s="128">
        <f t="shared" si="144"/>
        <v>24240</v>
      </c>
      <c r="FB17" s="40">
        <f t="shared" si="145"/>
        <v>9644958.2273385245</v>
      </c>
      <c r="FC17" s="40">
        <f t="shared" si="56"/>
        <v>868040</v>
      </c>
      <c r="FD17" s="40">
        <f t="shared" si="57"/>
        <v>383820</v>
      </c>
      <c r="FE17" s="40">
        <f t="shared" si="146"/>
        <v>24850</v>
      </c>
      <c r="FF17" s="128">
        <f t="shared" si="147"/>
        <v>9886082.1830219869</v>
      </c>
      <c r="FG17" s="128">
        <f t="shared" si="58"/>
        <v>889740</v>
      </c>
      <c r="FH17" s="128">
        <f t="shared" si="59"/>
        <v>393420</v>
      </c>
      <c r="FI17" s="128">
        <f t="shared" si="148"/>
        <v>25470</v>
      </c>
      <c r="FJ17" s="40">
        <f t="shared" si="149"/>
        <v>10133234.237597536</v>
      </c>
      <c r="FK17" s="40">
        <f t="shared" si="60"/>
        <v>911990</v>
      </c>
      <c r="FL17" s="40">
        <f t="shared" si="61"/>
        <v>403250</v>
      </c>
      <c r="FM17" s="40">
        <f t="shared" si="150"/>
        <v>26110</v>
      </c>
      <c r="FN17" s="128">
        <f t="shared" si="151"/>
        <v>10386565.093537474</v>
      </c>
      <c r="FO17" s="128">
        <f t="shared" si="62"/>
        <v>934790</v>
      </c>
      <c r="FP17" s="128">
        <f t="shared" si="63"/>
        <v>413330</v>
      </c>
      <c r="FQ17" s="128">
        <f t="shared" si="152"/>
        <v>26760</v>
      </c>
      <c r="FR17" s="40">
        <f t="shared" si="153"/>
        <v>10646229.22087591</v>
      </c>
      <c r="FS17" s="40">
        <f t="shared" si="64"/>
        <v>958160</v>
      </c>
      <c r="FT17" s="40">
        <f t="shared" si="65"/>
        <v>423670</v>
      </c>
      <c r="FU17" s="40">
        <f t="shared" si="154"/>
        <v>27430</v>
      </c>
      <c r="FV17" s="128">
        <f t="shared" si="155"/>
        <v>10912384.951397806</v>
      </c>
      <c r="FW17" s="128">
        <f t="shared" si="66"/>
        <v>982110</v>
      </c>
      <c r="FX17" s="128">
        <f t="shared" si="67"/>
        <v>434260</v>
      </c>
      <c r="FY17" s="128">
        <f t="shared" si="156"/>
        <v>28110</v>
      </c>
      <c r="FZ17" s="40">
        <f t="shared" si="157"/>
        <v>11185194.575182751</v>
      </c>
      <c r="GA17" s="40">
        <f t="shared" si="68"/>
        <v>1006660</v>
      </c>
      <c r="GB17" s="40">
        <f t="shared" si="69"/>
        <v>445110</v>
      </c>
      <c r="GC17" s="40">
        <f t="shared" si="158"/>
        <v>28820</v>
      </c>
      <c r="GD17" s="128">
        <f t="shared" si="159"/>
        <v>11464824.439562319</v>
      </c>
      <c r="GE17" s="128">
        <f t="shared" si="70"/>
        <v>1031830</v>
      </c>
      <c r="GF17" s="128">
        <f t="shared" si="71"/>
        <v>456240</v>
      </c>
      <c r="GG17" s="128">
        <f t="shared" si="160"/>
        <v>29540</v>
      </c>
      <c r="GH17" s="40">
        <f t="shared" si="161"/>
        <v>11751445.050551375</v>
      </c>
      <c r="GI17" s="40">
        <f t="shared" si="72"/>
        <v>1057630</v>
      </c>
      <c r="GJ17" s="40">
        <f t="shared" si="73"/>
        <v>467650</v>
      </c>
      <c r="GK17" s="40">
        <f t="shared" si="162"/>
        <v>30280</v>
      </c>
      <c r="GL17" s="128">
        <f t="shared" si="163"/>
        <v>12045231.17681516</v>
      </c>
      <c r="GM17" s="128">
        <f t="shared" si="74"/>
        <v>1084070</v>
      </c>
      <c r="GN17" s="128">
        <f t="shared" si="75"/>
        <v>479340</v>
      </c>
      <c r="GO17" s="128">
        <f t="shared" si="164"/>
        <v>31030</v>
      </c>
      <c r="GP17" s="40">
        <f t="shared" si="165"/>
        <v>12346361.956235537</v>
      </c>
      <c r="GQ17" s="40">
        <f t="shared" si="76"/>
        <v>1111170</v>
      </c>
      <c r="GR17" s="40">
        <f t="shared" si="77"/>
        <v>491320</v>
      </c>
      <c r="GS17" s="40">
        <f t="shared" si="166"/>
        <v>31810</v>
      </c>
      <c r="GT17" s="128">
        <f t="shared" si="167"/>
        <v>12655021.005141424</v>
      </c>
      <c r="GU17" s="128">
        <f t="shared" si="78"/>
        <v>1138950</v>
      </c>
      <c r="GV17" s="128">
        <f t="shared" si="79"/>
        <v>503610</v>
      </c>
      <c r="GW17" s="128">
        <f t="shared" si="168"/>
        <v>32600</v>
      </c>
      <c r="GX17" s="40">
        <f t="shared" si="169"/>
        <v>12971396.530269958</v>
      </c>
      <c r="GY17" s="40">
        <f t="shared" si="80"/>
        <v>1167420</v>
      </c>
      <c r="GZ17" s="40">
        <f t="shared" si="81"/>
        <v>516200</v>
      </c>
      <c r="HA17" s="40">
        <f t="shared" si="170"/>
        <v>33420</v>
      </c>
      <c r="HB17" s="128" t="e">
        <f t="shared" si="171"/>
        <v>#REF!</v>
      </c>
      <c r="HC17" s="128" t="e">
        <f t="shared" si="82"/>
        <v>#REF!</v>
      </c>
      <c r="HD17" s="128" t="e">
        <f t="shared" si="83"/>
        <v>#REF!</v>
      </c>
      <c r="HE17" s="128" t="e">
        <f t="shared" si="172"/>
        <v>#REF!</v>
      </c>
    </row>
    <row r="18" spans="1:213" ht="18">
      <c r="A18" s="2"/>
      <c r="B18" s="8"/>
      <c r="C18" s="71"/>
      <c r="D18" s="61"/>
      <c r="E18" s="63"/>
      <c r="F18" s="49"/>
      <c r="G18" s="87"/>
      <c r="H18" s="45"/>
      <c r="I18" s="600">
        <v>9</v>
      </c>
      <c r="K18" s="47">
        <v>180000</v>
      </c>
      <c r="L18" s="159">
        <v>9</v>
      </c>
      <c r="N18" s="137">
        <v>14</v>
      </c>
      <c r="Q18" s="99"/>
      <c r="R18" s="25" t="s">
        <v>256</v>
      </c>
      <c r="T18" s="97"/>
      <c r="V18" s="42"/>
      <c r="W18" s="101"/>
      <c r="Y18" s="168"/>
      <c r="Z18" s="1204"/>
      <c r="AA18" s="1204"/>
      <c r="AB18" s="1204"/>
      <c r="AD18" s="31"/>
      <c r="AE18" s="27"/>
      <c r="AF18" s="778"/>
      <c r="AG18" s="28"/>
      <c r="AH18" s="28"/>
      <c r="AJ18" s="41">
        <v>11</v>
      </c>
      <c r="AK18" s="41">
        <v>21</v>
      </c>
      <c r="AL18" s="890">
        <v>4735050</v>
      </c>
      <c r="AM18" s="40">
        <f t="shared" si="84"/>
        <v>426150</v>
      </c>
      <c r="AN18" s="40">
        <v>153750</v>
      </c>
      <c r="AO18" s="40">
        <v>15760</v>
      </c>
      <c r="AP18" s="891">
        <f t="shared" si="85"/>
        <v>4815550</v>
      </c>
      <c r="AQ18" s="131">
        <f t="shared" si="86"/>
        <v>433400</v>
      </c>
      <c r="AR18" s="130">
        <f t="shared" si="87"/>
        <v>170710</v>
      </c>
      <c r="AS18" s="128">
        <f t="shared" si="88"/>
        <v>11050</v>
      </c>
      <c r="AT18" s="40">
        <f t="shared" si="89"/>
        <v>4984094.25</v>
      </c>
      <c r="AU18" s="40">
        <f t="shared" si="0"/>
        <v>448560</v>
      </c>
      <c r="AV18" s="40">
        <f t="shared" si="1"/>
        <v>179680</v>
      </c>
      <c r="AW18" s="40">
        <f t="shared" si="90"/>
        <v>11630</v>
      </c>
      <c r="AX18" s="128">
        <f t="shared" si="91"/>
        <v>5108696.6062499993</v>
      </c>
      <c r="AY18" s="128">
        <f t="shared" si="2"/>
        <v>459780</v>
      </c>
      <c r="AZ18" s="128">
        <f t="shared" si="3"/>
        <v>184180</v>
      </c>
      <c r="BA18" s="128">
        <f t="shared" si="92"/>
        <v>11920</v>
      </c>
      <c r="BB18" s="40">
        <f t="shared" si="93"/>
        <v>5236414.0214062491</v>
      </c>
      <c r="BC18" s="40">
        <f t="shared" si="4"/>
        <v>471270</v>
      </c>
      <c r="BD18" s="40">
        <f t="shared" si="5"/>
        <v>193500</v>
      </c>
      <c r="BE18" s="40">
        <f t="shared" si="94"/>
        <v>12520</v>
      </c>
      <c r="BF18" s="128">
        <f t="shared" si="95"/>
        <v>5367324.3719414053</v>
      </c>
      <c r="BG18" s="128">
        <f t="shared" si="6"/>
        <v>483050</v>
      </c>
      <c r="BH18" s="128">
        <f t="shared" si="7"/>
        <v>198340</v>
      </c>
      <c r="BI18" s="128">
        <f t="shared" si="96"/>
        <v>12840</v>
      </c>
      <c r="BJ18" s="40">
        <f t="shared" si="97"/>
        <v>5501507.48123994</v>
      </c>
      <c r="BK18" s="40">
        <f t="shared" si="8"/>
        <v>495130</v>
      </c>
      <c r="BL18" s="40">
        <f t="shared" si="9"/>
        <v>208380</v>
      </c>
      <c r="BM18" s="40">
        <f t="shared" si="98"/>
        <v>13490</v>
      </c>
      <c r="BN18" s="128">
        <f t="shared" si="99"/>
        <v>5639045.1682709381</v>
      </c>
      <c r="BO18" s="128">
        <f t="shared" si="10"/>
        <v>507510</v>
      </c>
      <c r="BP18" s="128">
        <f t="shared" si="11"/>
        <v>218930</v>
      </c>
      <c r="BQ18" s="128">
        <f t="shared" si="100"/>
        <v>14170</v>
      </c>
      <c r="BR18" s="40">
        <f t="shared" si="101"/>
        <v>5780021.297477711</v>
      </c>
      <c r="BS18" s="40">
        <f t="shared" si="12"/>
        <v>520200</v>
      </c>
      <c r="BT18" s="40">
        <f t="shared" si="13"/>
        <v>224400</v>
      </c>
      <c r="BU18" s="40">
        <f t="shared" si="102"/>
        <v>14520</v>
      </c>
      <c r="BV18" s="128">
        <f t="shared" si="103"/>
        <v>5924521.8299146537</v>
      </c>
      <c r="BW18" s="128">
        <f t="shared" si="14"/>
        <v>533200</v>
      </c>
      <c r="BX18" s="128">
        <f t="shared" si="15"/>
        <v>235760</v>
      </c>
      <c r="BY18" s="128">
        <f t="shared" si="104"/>
        <v>15260</v>
      </c>
      <c r="BZ18" s="40">
        <f t="shared" si="105"/>
        <v>6072634.8756625196</v>
      </c>
      <c r="CA18" s="40">
        <f t="shared" si="16"/>
        <v>546530</v>
      </c>
      <c r="CB18" s="40">
        <f t="shared" si="17"/>
        <v>241660</v>
      </c>
      <c r="CC18" s="40">
        <f t="shared" si="106"/>
        <v>15640</v>
      </c>
      <c r="CD18" s="128">
        <f t="shared" si="107"/>
        <v>6224450.7475540824</v>
      </c>
      <c r="CE18" s="128">
        <f t="shared" si="18"/>
        <v>560200</v>
      </c>
      <c r="CF18" s="128">
        <f t="shared" si="19"/>
        <v>247700</v>
      </c>
      <c r="CG18" s="128">
        <f t="shared" si="108"/>
        <v>16030</v>
      </c>
      <c r="CH18" s="40">
        <f t="shared" si="109"/>
        <v>6380062.0162429344</v>
      </c>
      <c r="CI18" s="40">
        <f t="shared" si="20"/>
        <v>574200</v>
      </c>
      <c r="CJ18" s="40">
        <f t="shared" si="21"/>
        <v>253890</v>
      </c>
      <c r="CK18" s="40">
        <f t="shared" si="110"/>
        <v>16430</v>
      </c>
      <c r="CL18" s="128">
        <f t="shared" si="111"/>
        <v>6539563.5666490076</v>
      </c>
      <c r="CM18" s="128">
        <f t="shared" si="22"/>
        <v>588560</v>
      </c>
      <c r="CN18" s="128">
        <f t="shared" si="23"/>
        <v>260240</v>
      </c>
      <c r="CO18" s="128">
        <f t="shared" si="112"/>
        <v>16850</v>
      </c>
      <c r="CP18" s="40">
        <f t="shared" si="113"/>
        <v>6703052.6558152325</v>
      </c>
      <c r="CQ18" s="40">
        <f t="shared" si="24"/>
        <v>603270</v>
      </c>
      <c r="CR18" s="40">
        <f t="shared" si="25"/>
        <v>266750</v>
      </c>
      <c r="CS18" s="40">
        <f t="shared" si="114"/>
        <v>17270</v>
      </c>
      <c r="CT18" s="128">
        <f t="shared" si="115"/>
        <v>6870628.9722106131</v>
      </c>
      <c r="CU18" s="128">
        <f t="shared" si="26"/>
        <v>618350</v>
      </c>
      <c r="CV18" s="128">
        <f t="shared" si="27"/>
        <v>273410</v>
      </c>
      <c r="CW18" s="128">
        <f t="shared" si="116"/>
        <v>17700</v>
      </c>
      <c r="CX18" s="40">
        <f t="shared" si="117"/>
        <v>7042394.6965158777</v>
      </c>
      <c r="CY18" s="40">
        <f t="shared" si="28"/>
        <v>633810</v>
      </c>
      <c r="CZ18" s="40">
        <f t="shared" si="29"/>
        <v>280250</v>
      </c>
      <c r="DA18" s="40">
        <f t="shared" si="118"/>
        <v>18140</v>
      </c>
      <c r="DB18" s="128">
        <f t="shared" si="119"/>
        <v>7218454.5639287736</v>
      </c>
      <c r="DC18" s="128">
        <f t="shared" si="30"/>
        <v>649660</v>
      </c>
      <c r="DD18" s="128">
        <f t="shared" si="31"/>
        <v>287260</v>
      </c>
      <c r="DE18" s="128">
        <f t="shared" si="120"/>
        <v>18600</v>
      </c>
      <c r="DF18" s="40">
        <f t="shared" si="121"/>
        <v>7398915.9280269919</v>
      </c>
      <c r="DG18" s="40">
        <f t="shared" si="32"/>
        <v>665900</v>
      </c>
      <c r="DH18" s="40">
        <f t="shared" si="33"/>
        <v>294440</v>
      </c>
      <c r="DI18" s="40">
        <f t="shared" si="122"/>
        <v>19060</v>
      </c>
      <c r="DJ18" s="128">
        <f t="shared" si="123"/>
        <v>7583888.8262276659</v>
      </c>
      <c r="DK18" s="128">
        <f t="shared" si="34"/>
        <v>682540</v>
      </c>
      <c r="DL18" s="128">
        <f t="shared" si="35"/>
        <v>301800</v>
      </c>
      <c r="DM18" s="128">
        <f t="shared" si="124"/>
        <v>19540</v>
      </c>
      <c r="DN18" s="40">
        <f t="shared" si="125"/>
        <v>7773486.0468833568</v>
      </c>
      <c r="DO18" s="40">
        <f t="shared" si="36"/>
        <v>699610</v>
      </c>
      <c r="DP18" s="40">
        <f t="shared" si="37"/>
        <v>309340</v>
      </c>
      <c r="DQ18" s="40">
        <f t="shared" si="126"/>
        <v>20020</v>
      </c>
      <c r="DR18" s="128">
        <f t="shared" si="127"/>
        <v>7967823.1980554396</v>
      </c>
      <c r="DS18" s="128">
        <f t="shared" si="38"/>
        <v>717100</v>
      </c>
      <c r="DT18" s="128">
        <f t="shared" si="39"/>
        <v>317080</v>
      </c>
      <c r="DU18" s="128">
        <f t="shared" si="128"/>
        <v>20530</v>
      </c>
      <c r="DV18" s="40">
        <f t="shared" si="129"/>
        <v>8167018.7780068247</v>
      </c>
      <c r="DW18" s="40">
        <f t="shared" si="40"/>
        <v>735030</v>
      </c>
      <c r="DX18" s="40">
        <f t="shared" si="41"/>
        <v>325000</v>
      </c>
      <c r="DY18" s="40">
        <f t="shared" si="130"/>
        <v>21040</v>
      </c>
      <c r="DZ18" s="128">
        <f t="shared" si="131"/>
        <v>8371194.2474569948</v>
      </c>
      <c r="EA18" s="128">
        <f t="shared" si="42"/>
        <v>753400</v>
      </c>
      <c r="EB18" s="128">
        <f t="shared" si="43"/>
        <v>333130</v>
      </c>
      <c r="EC18" s="128">
        <f t="shared" si="132"/>
        <v>21570</v>
      </c>
      <c r="ED18" s="40">
        <f t="shared" si="133"/>
        <v>8580474.1036434192</v>
      </c>
      <c r="EE18" s="40">
        <f t="shared" si="44"/>
        <v>772240</v>
      </c>
      <c r="EF18" s="40">
        <f t="shared" si="45"/>
        <v>341460</v>
      </c>
      <c r="EG18" s="40">
        <f t="shared" si="134"/>
        <v>22100</v>
      </c>
      <c r="EH18" s="128">
        <f t="shared" si="135"/>
        <v>8794985.9562345035</v>
      </c>
      <c r="EI18" s="128">
        <f t="shared" si="46"/>
        <v>791540</v>
      </c>
      <c r="EJ18" s="128">
        <f t="shared" si="47"/>
        <v>349990</v>
      </c>
      <c r="EK18" s="128">
        <f t="shared" si="136"/>
        <v>22660</v>
      </c>
      <c r="EL18" s="40">
        <f t="shared" si="137"/>
        <v>9014860.6051403657</v>
      </c>
      <c r="EM18" s="40">
        <f t="shared" si="48"/>
        <v>811330</v>
      </c>
      <c r="EN18" s="40">
        <f t="shared" si="49"/>
        <v>358740</v>
      </c>
      <c r="EO18" s="40">
        <f t="shared" si="138"/>
        <v>23220</v>
      </c>
      <c r="EP18" s="128">
        <f t="shared" si="139"/>
        <v>9240232.1202688739</v>
      </c>
      <c r="EQ18" s="128">
        <f t="shared" si="50"/>
        <v>831620</v>
      </c>
      <c r="ER18" s="128">
        <f t="shared" si="51"/>
        <v>367710</v>
      </c>
      <c r="ES18" s="128">
        <f t="shared" si="140"/>
        <v>23800</v>
      </c>
      <c r="ET18" s="40">
        <f t="shared" si="141"/>
        <v>9471237.9232755955</v>
      </c>
      <c r="EU18" s="40">
        <f t="shared" si="52"/>
        <v>852410</v>
      </c>
      <c r="EV18" s="40">
        <f t="shared" si="53"/>
        <v>376910</v>
      </c>
      <c r="EW18" s="40">
        <f t="shared" si="142"/>
        <v>24400</v>
      </c>
      <c r="EX18" s="128">
        <f t="shared" si="143"/>
        <v>9708018.8713574838</v>
      </c>
      <c r="EY18" s="128">
        <f t="shared" si="54"/>
        <v>873720</v>
      </c>
      <c r="EZ18" s="128">
        <f t="shared" si="55"/>
        <v>386330</v>
      </c>
      <c r="FA18" s="128">
        <f t="shared" si="144"/>
        <v>25010</v>
      </c>
      <c r="FB18" s="40">
        <f t="shared" si="145"/>
        <v>9950719.3431414198</v>
      </c>
      <c r="FC18" s="40">
        <f t="shared" si="56"/>
        <v>895560</v>
      </c>
      <c r="FD18" s="40">
        <f t="shared" si="57"/>
        <v>395990</v>
      </c>
      <c r="FE18" s="40">
        <f t="shared" si="146"/>
        <v>25640</v>
      </c>
      <c r="FF18" s="128">
        <f t="shared" si="147"/>
        <v>10199487.326719955</v>
      </c>
      <c r="FG18" s="128">
        <f t="shared" si="58"/>
        <v>917950</v>
      </c>
      <c r="FH18" s="128">
        <f t="shared" si="59"/>
        <v>405890</v>
      </c>
      <c r="FI18" s="128">
        <f t="shared" si="148"/>
        <v>26280</v>
      </c>
      <c r="FJ18" s="40">
        <f t="shared" si="149"/>
        <v>10454474.509887952</v>
      </c>
      <c r="FK18" s="40">
        <f t="shared" si="60"/>
        <v>940900</v>
      </c>
      <c r="FL18" s="40">
        <f t="shared" si="61"/>
        <v>416030</v>
      </c>
      <c r="FM18" s="40">
        <f t="shared" si="150"/>
        <v>26930</v>
      </c>
      <c r="FN18" s="128">
        <f t="shared" si="151"/>
        <v>10715836.37263515</v>
      </c>
      <c r="FO18" s="128">
        <f t="shared" si="62"/>
        <v>964420</v>
      </c>
      <c r="FP18" s="128">
        <f t="shared" si="63"/>
        <v>426440</v>
      </c>
      <c r="FQ18" s="128">
        <f t="shared" si="152"/>
        <v>27610</v>
      </c>
      <c r="FR18" s="40">
        <f t="shared" si="153"/>
        <v>10983732.281951029</v>
      </c>
      <c r="FS18" s="40">
        <f t="shared" si="64"/>
        <v>988530</v>
      </c>
      <c r="FT18" s="40">
        <f t="shared" si="65"/>
        <v>437100</v>
      </c>
      <c r="FU18" s="40">
        <f t="shared" si="154"/>
        <v>28300</v>
      </c>
      <c r="FV18" s="128">
        <f t="shared" si="155"/>
        <v>11258325.588999804</v>
      </c>
      <c r="FW18" s="128">
        <f t="shared" si="66"/>
        <v>1013240</v>
      </c>
      <c r="FX18" s="128">
        <f t="shared" si="67"/>
        <v>448020</v>
      </c>
      <c r="FY18" s="128">
        <f t="shared" si="156"/>
        <v>29000</v>
      </c>
      <c r="FZ18" s="40">
        <f t="shared" si="157"/>
        <v>11539783.728724798</v>
      </c>
      <c r="GA18" s="40">
        <f t="shared" si="68"/>
        <v>1038580</v>
      </c>
      <c r="GB18" s="40">
        <f t="shared" si="69"/>
        <v>459230</v>
      </c>
      <c r="GC18" s="40">
        <f t="shared" si="158"/>
        <v>29730</v>
      </c>
      <c r="GD18" s="128">
        <f t="shared" si="159"/>
        <v>11828278.321942918</v>
      </c>
      <c r="GE18" s="128">
        <f t="shared" si="70"/>
        <v>1064540</v>
      </c>
      <c r="GF18" s="128">
        <f t="shared" si="71"/>
        <v>470710</v>
      </c>
      <c r="GG18" s="128">
        <f t="shared" si="160"/>
        <v>30470</v>
      </c>
      <c r="GH18" s="40">
        <f t="shared" si="161"/>
        <v>12123985.279991491</v>
      </c>
      <c r="GI18" s="40">
        <f t="shared" si="72"/>
        <v>1091150</v>
      </c>
      <c r="GJ18" s="40">
        <f t="shared" si="73"/>
        <v>482470</v>
      </c>
      <c r="GK18" s="40">
        <f t="shared" si="162"/>
        <v>31230</v>
      </c>
      <c r="GL18" s="128">
        <f t="shared" si="163"/>
        <v>12427084.911991278</v>
      </c>
      <c r="GM18" s="128">
        <f t="shared" si="74"/>
        <v>1118430</v>
      </c>
      <c r="GN18" s="128">
        <f t="shared" si="75"/>
        <v>494540</v>
      </c>
      <c r="GO18" s="128">
        <f t="shared" si="164"/>
        <v>32020</v>
      </c>
      <c r="GP18" s="40">
        <f t="shared" si="165"/>
        <v>12737762.034791058</v>
      </c>
      <c r="GQ18" s="40">
        <f t="shared" si="76"/>
        <v>1146390</v>
      </c>
      <c r="GR18" s="40">
        <f t="shared" si="77"/>
        <v>506900</v>
      </c>
      <c r="GS18" s="40">
        <f t="shared" si="166"/>
        <v>32820</v>
      </c>
      <c r="GT18" s="128">
        <f t="shared" si="167"/>
        <v>13056206.085660834</v>
      </c>
      <c r="GU18" s="128">
        <f t="shared" si="78"/>
        <v>1175050</v>
      </c>
      <c r="GV18" s="128">
        <f t="shared" si="79"/>
        <v>519570</v>
      </c>
      <c r="GW18" s="128">
        <f t="shared" si="168"/>
        <v>33640</v>
      </c>
      <c r="GX18" s="40">
        <f t="shared" si="169"/>
        <v>13382611.237802353</v>
      </c>
      <c r="GY18" s="40">
        <f t="shared" si="80"/>
        <v>1204430</v>
      </c>
      <c r="GZ18" s="40">
        <f t="shared" si="81"/>
        <v>532560</v>
      </c>
      <c r="HA18" s="40">
        <f t="shared" si="170"/>
        <v>34480</v>
      </c>
      <c r="HB18" s="128" t="e">
        <f t="shared" si="171"/>
        <v>#REF!</v>
      </c>
      <c r="HC18" s="128" t="e">
        <f t="shared" si="82"/>
        <v>#REF!</v>
      </c>
      <c r="HD18" s="128" t="e">
        <f t="shared" si="83"/>
        <v>#REF!</v>
      </c>
      <c r="HE18" s="128" t="e">
        <f t="shared" si="172"/>
        <v>#REF!</v>
      </c>
    </row>
    <row r="19" spans="1:213" ht="18">
      <c r="A19" s="2"/>
      <c r="B19" s="8"/>
      <c r="C19" s="71"/>
      <c r="D19" s="61"/>
      <c r="E19" s="63"/>
      <c r="F19" s="49"/>
      <c r="G19" s="87"/>
      <c r="H19" s="45"/>
      <c r="I19" s="44" t="s">
        <v>66</v>
      </c>
      <c r="K19" s="47">
        <v>200000</v>
      </c>
      <c r="N19" s="137">
        <v>15</v>
      </c>
      <c r="O19" s="24" t="s">
        <v>313</v>
      </c>
      <c r="P19" s="24">
        <v>7</v>
      </c>
      <c r="Q19" s="99"/>
      <c r="R19" s="25" t="s">
        <v>214</v>
      </c>
      <c r="T19" s="97"/>
      <c r="V19" s="42"/>
      <c r="W19" s="101"/>
      <c r="Y19" s="169"/>
      <c r="Z19" s="1205"/>
      <c r="AA19" s="1205"/>
      <c r="AB19" s="1205"/>
      <c r="AD19" s="26"/>
      <c r="AE19" s="27"/>
      <c r="AF19" s="778"/>
      <c r="AG19" s="28"/>
      <c r="AH19" s="28"/>
      <c r="AJ19" s="41">
        <v>12</v>
      </c>
      <c r="AK19" s="41">
        <v>22</v>
      </c>
      <c r="AL19" s="890">
        <v>4883070</v>
      </c>
      <c r="AM19" s="40">
        <f t="shared" si="84"/>
        <v>439480</v>
      </c>
      <c r="AN19" s="40">
        <v>158560</v>
      </c>
      <c r="AO19" s="40">
        <v>16250</v>
      </c>
      <c r="AP19" s="891">
        <f t="shared" si="85"/>
        <v>4966080</v>
      </c>
      <c r="AQ19" s="131">
        <f t="shared" si="86"/>
        <v>446950</v>
      </c>
      <c r="AR19" s="130">
        <f t="shared" si="87"/>
        <v>176050</v>
      </c>
      <c r="AS19" s="128">
        <f t="shared" si="88"/>
        <v>11400</v>
      </c>
      <c r="AT19" s="40">
        <f t="shared" si="89"/>
        <v>5139892.8</v>
      </c>
      <c r="AU19" s="40">
        <f t="shared" si="0"/>
        <v>462590</v>
      </c>
      <c r="AV19" s="40">
        <f t="shared" si="1"/>
        <v>185300</v>
      </c>
      <c r="AW19" s="40">
        <f t="shared" si="90"/>
        <v>11990</v>
      </c>
      <c r="AX19" s="128">
        <f t="shared" si="91"/>
        <v>5268390.1199999992</v>
      </c>
      <c r="AY19" s="128">
        <f t="shared" si="2"/>
        <v>474150</v>
      </c>
      <c r="AZ19" s="128">
        <f t="shared" si="3"/>
        <v>189930</v>
      </c>
      <c r="BA19" s="128">
        <f t="shared" si="92"/>
        <v>12290</v>
      </c>
      <c r="BB19" s="40">
        <f t="shared" si="93"/>
        <v>5400099.8729999987</v>
      </c>
      <c r="BC19" s="40">
        <f t="shared" si="4"/>
        <v>486000</v>
      </c>
      <c r="BD19" s="40">
        <f t="shared" si="5"/>
        <v>199550</v>
      </c>
      <c r="BE19" s="40">
        <f t="shared" si="94"/>
        <v>12920</v>
      </c>
      <c r="BF19" s="128">
        <f t="shared" si="95"/>
        <v>5535102.3698249981</v>
      </c>
      <c r="BG19" s="128">
        <f t="shared" si="6"/>
        <v>498150</v>
      </c>
      <c r="BH19" s="128">
        <f t="shared" si="7"/>
        <v>204540</v>
      </c>
      <c r="BI19" s="128">
        <f t="shared" si="96"/>
        <v>13240</v>
      </c>
      <c r="BJ19" s="40">
        <f t="shared" si="97"/>
        <v>5673479.9290706227</v>
      </c>
      <c r="BK19" s="40">
        <f t="shared" si="8"/>
        <v>510610</v>
      </c>
      <c r="BL19" s="40">
        <f t="shared" si="9"/>
        <v>214890</v>
      </c>
      <c r="BM19" s="40">
        <f t="shared" si="98"/>
        <v>13910</v>
      </c>
      <c r="BN19" s="128">
        <f t="shared" si="99"/>
        <v>5815316.9272973873</v>
      </c>
      <c r="BO19" s="128">
        <f t="shared" si="10"/>
        <v>523370</v>
      </c>
      <c r="BP19" s="128">
        <f t="shared" si="11"/>
        <v>225770</v>
      </c>
      <c r="BQ19" s="128">
        <f t="shared" si="100"/>
        <v>14610</v>
      </c>
      <c r="BR19" s="40">
        <f t="shared" si="101"/>
        <v>5960699.8504798217</v>
      </c>
      <c r="BS19" s="40">
        <f t="shared" si="12"/>
        <v>536460</v>
      </c>
      <c r="BT19" s="40">
        <f t="shared" si="13"/>
        <v>231420</v>
      </c>
      <c r="BU19" s="40">
        <f t="shared" si="102"/>
        <v>14980</v>
      </c>
      <c r="BV19" s="128">
        <f t="shared" si="103"/>
        <v>6109717.346741817</v>
      </c>
      <c r="BW19" s="128">
        <f t="shared" si="14"/>
        <v>549870</v>
      </c>
      <c r="BX19" s="128">
        <f t="shared" si="15"/>
        <v>243130</v>
      </c>
      <c r="BY19" s="128">
        <f t="shared" si="104"/>
        <v>15740</v>
      </c>
      <c r="BZ19" s="40">
        <f t="shared" si="105"/>
        <v>6262460.2804103615</v>
      </c>
      <c r="CA19" s="40">
        <f t="shared" si="16"/>
        <v>563620</v>
      </c>
      <c r="CB19" s="40">
        <f t="shared" si="17"/>
        <v>249210</v>
      </c>
      <c r="CC19" s="40">
        <f t="shared" si="106"/>
        <v>16130</v>
      </c>
      <c r="CD19" s="128">
        <f t="shared" si="107"/>
        <v>6419021.7874206202</v>
      </c>
      <c r="CE19" s="128">
        <f t="shared" si="18"/>
        <v>577710</v>
      </c>
      <c r="CF19" s="128">
        <f t="shared" si="19"/>
        <v>255440</v>
      </c>
      <c r="CG19" s="128">
        <f t="shared" si="108"/>
        <v>16530</v>
      </c>
      <c r="CH19" s="40">
        <f t="shared" si="109"/>
        <v>6579497.3321061349</v>
      </c>
      <c r="CI19" s="40">
        <f t="shared" si="20"/>
        <v>592150</v>
      </c>
      <c r="CJ19" s="40">
        <f t="shared" si="21"/>
        <v>261830</v>
      </c>
      <c r="CK19" s="40">
        <f t="shared" si="110"/>
        <v>16950</v>
      </c>
      <c r="CL19" s="128">
        <f t="shared" si="111"/>
        <v>6743984.7654087879</v>
      </c>
      <c r="CM19" s="128">
        <f t="shared" si="22"/>
        <v>606950</v>
      </c>
      <c r="CN19" s="128">
        <f t="shared" si="23"/>
        <v>268370</v>
      </c>
      <c r="CO19" s="128">
        <f t="shared" si="112"/>
        <v>17370</v>
      </c>
      <c r="CP19" s="40">
        <f t="shared" si="113"/>
        <v>6912584.3845440065</v>
      </c>
      <c r="CQ19" s="40">
        <f t="shared" si="24"/>
        <v>622130</v>
      </c>
      <c r="CR19" s="40">
        <f t="shared" si="25"/>
        <v>275080</v>
      </c>
      <c r="CS19" s="40">
        <f t="shared" si="114"/>
        <v>17810</v>
      </c>
      <c r="CT19" s="128">
        <f t="shared" si="115"/>
        <v>7085398.9941576058</v>
      </c>
      <c r="CU19" s="128">
        <f t="shared" si="26"/>
        <v>637680</v>
      </c>
      <c r="CV19" s="128">
        <f t="shared" si="27"/>
        <v>281960</v>
      </c>
      <c r="CW19" s="128">
        <f t="shared" si="116"/>
        <v>18250</v>
      </c>
      <c r="CX19" s="40">
        <f t="shared" si="117"/>
        <v>7262533.9690115452</v>
      </c>
      <c r="CY19" s="40">
        <f t="shared" si="28"/>
        <v>653620</v>
      </c>
      <c r="CZ19" s="40">
        <f t="shared" si="29"/>
        <v>289010</v>
      </c>
      <c r="DA19" s="40">
        <f t="shared" si="118"/>
        <v>18710</v>
      </c>
      <c r="DB19" s="128">
        <f t="shared" si="119"/>
        <v>7444097.3182368334</v>
      </c>
      <c r="DC19" s="128">
        <f t="shared" si="30"/>
        <v>669960</v>
      </c>
      <c r="DD19" s="128">
        <f t="shared" si="31"/>
        <v>296240</v>
      </c>
      <c r="DE19" s="128">
        <f t="shared" si="120"/>
        <v>19180</v>
      </c>
      <c r="DF19" s="40">
        <f t="shared" si="121"/>
        <v>7630199.7511927532</v>
      </c>
      <c r="DG19" s="40">
        <f t="shared" si="32"/>
        <v>686710</v>
      </c>
      <c r="DH19" s="40">
        <f t="shared" si="33"/>
        <v>303640</v>
      </c>
      <c r="DI19" s="40">
        <f t="shared" si="122"/>
        <v>19660</v>
      </c>
      <c r="DJ19" s="128">
        <f t="shared" si="123"/>
        <v>7820954.7449725717</v>
      </c>
      <c r="DK19" s="128">
        <f t="shared" si="34"/>
        <v>703880</v>
      </c>
      <c r="DL19" s="128">
        <f t="shared" si="35"/>
        <v>311230</v>
      </c>
      <c r="DM19" s="128">
        <f t="shared" si="124"/>
        <v>20150</v>
      </c>
      <c r="DN19" s="40">
        <f t="shared" si="125"/>
        <v>8016478.6135968855</v>
      </c>
      <c r="DO19" s="40">
        <f t="shared" si="36"/>
        <v>721480</v>
      </c>
      <c r="DP19" s="40">
        <f t="shared" si="37"/>
        <v>319010</v>
      </c>
      <c r="DQ19" s="40">
        <f t="shared" si="126"/>
        <v>20650</v>
      </c>
      <c r="DR19" s="128">
        <f t="shared" si="127"/>
        <v>8216890.5789368069</v>
      </c>
      <c r="DS19" s="128">
        <f t="shared" si="38"/>
        <v>739520</v>
      </c>
      <c r="DT19" s="128">
        <f t="shared" si="39"/>
        <v>326990</v>
      </c>
      <c r="DU19" s="128">
        <f t="shared" si="128"/>
        <v>21170</v>
      </c>
      <c r="DV19" s="40">
        <f t="shared" si="129"/>
        <v>8422312.8434102256</v>
      </c>
      <c r="DW19" s="40">
        <f t="shared" si="40"/>
        <v>758000</v>
      </c>
      <c r="DX19" s="40">
        <f t="shared" si="41"/>
        <v>335160</v>
      </c>
      <c r="DY19" s="40">
        <f t="shared" si="130"/>
        <v>21700</v>
      </c>
      <c r="DZ19" s="128">
        <f t="shared" si="131"/>
        <v>8632870.6644954812</v>
      </c>
      <c r="EA19" s="128">
        <f t="shared" si="42"/>
        <v>776950</v>
      </c>
      <c r="EB19" s="128">
        <f t="shared" si="43"/>
        <v>343540</v>
      </c>
      <c r="EC19" s="128">
        <f t="shared" si="132"/>
        <v>22240</v>
      </c>
      <c r="ED19" s="40">
        <f t="shared" si="133"/>
        <v>8848692.4311078675</v>
      </c>
      <c r="EE19" s="40">
        <f t="shared" si="44"/>
        <v>796380</v>
      </c>
      <c r="EF19" s="40">
        <f t="shared" si="45"/>
        <v>352130</v>
      </c>
      <c r="EG19" s="40">
        <f t="shared" si="134"/>
        <v>22800</v>
      </c>
      <c r="EH19" s="128">
        <f t="shared" si="135"/>
        <v>9069909.7418855634</v>
      </c>
      <c r="EI19" s="128">
        <f t="shared" si="46"/>
        <v>816290</v>
      </c>
      <c r="EJ19" s="128">
        <f t="shared" si="47"/>
        <v>360940</v>
      </c>
      <c r="EK19" s="128">
        <f t="shared" si="136"/>
        <v>23370</v>
      </c>
      <c r="EL19" s="40">
        <f t="shared" si="137"/>
        <v>9296657.4854327012</v>
      </c>
      <c r="EM19" s="40">
        <f t="shared" si="48"/>
        <v>836690</v>
      </c>
      <c r="EN19" s="40">
        <f t="shared" si="49"/>
        <v>369960</v>
      </c>
      <c r="EO19" s="40">
        <f t="shared" si="138"/>
        <v>23950</v>
      </c>
      <c r="EP19" s="128">
        <f t="shared" si="139"/>
        <v>9529073.9225685187</v>
      </c>
      <c r="EQ19" s="128">
        <f t="shared" si="50"/>
        <v>857610</v>
      </c>
      <c r="ER19" s="128">
        <f t="shared" si="51"/>
        <v>379210</v>
      </c>
      <c r="ES19" s="128">
        <f t="shared" si="140"/>
        <v>24550</v>
      </c>
      <c r="ET19" s="40">
        <f t="shared" si="141"/>
        <v>9767300.7706327308</v>
      </c>
      <c r="EU19" s="40">
        <f t="shared" si="52"/>
        <v>879050</v>
      </c>
      <c r="EV19" s="40">
        <f t="shared" si="53"/>
        <v>388690</v>
      </c>
      <c r="EW19" s="40">
        <f t="shared" si="142"/>
        <v>25160</v>
      </c>
      <c r="EX19" s="128">
        <f t="shared" si="143"/>
        <v>10011483.289898548</v>
      </c>
      <c r="EY19" s="128">
        <f t="shared" si="54"/>
        <v>901030</v>
      </c>
      <c r="EZ19" s="128">
        <f t="shared" si="55"/>
        <v>398410</v>
      </c>
      <c r="FA19" s="128">
        <f t="shared" si="144"/>
        <v>25790</v>
      </c>
      <c r="FB19" s="40">
        <f t="shared" si="145"/>
        <v>10261770.37214601</v>
      </c>
      <c r="FC19" s="40">
        <f t="shared" si="56"/>
        <v>923550</v>
      </c>
      <c r="FD19" s="40">
        <f t="shared" si="57"/>
        <v>408370</v>
      </c>
      <c r="FE19" s="40">
        <f t="shared" si="146"/>
        <v>26440</v>
      </c>
      <c r="FF19" s="128">
        <f t="shared" si="147"/>
        <v>10518314.63144966</v>
      </c>
      <c r="FG19" s="128">
        <f t="shared" si="58"/>
        <v>946640</v>
      </c>
      <c r="FH19" s="128">
        <f t="shared" si="59"/>
        <v>418580</v>
      </c>
      <c r="FI19" s="128">
        <f t="shared" si="148"/>
        <v>27100</v>
      </c>
      <c r="FJ19" s="40">
        <f t="shared" si="149"/>
        <v>10781272.497235902</v>
      </c>
      <c r="FK19" s="40">
        <f t="shared" si="60"/>
        <v>970310</v>
      </c>
      <c r="FL19" s="40">
        <f t="shared" si="61"/>
        <v>429040</v>
      </c>
      <c r="FM19" s="40">
        <f t="shared" si="150"/>
        <v>27780</v>
      </c>
      <c r="FN19" s="128">
        <f t="shared" si="151"/>
        <v>11050804.309666798</v>
      </c>
      <c r="FO19" s="128">
        <f t="shared" si="62"/>
        <v>994570</v>
      </c>
      <c r="FP19" s="128">
        <f t="shared" si="63"/>
        <v>439770</v>
      </c>
      <c r="FQ19" s="128">
        <f t="shared" si="152"/>
        <v>28470</v>
      </c>
      <c r="FR19" s="40">
        <f t="shared" si="153"/>
        <v>11327074.417408466</v>
      </c>
      <c r="FS19" s="40">
        <f t="shared" si="64"/>
        <v>1019430</v>
      </c>
      <c r="FT19" s="40">
        <f t="shared" si="65"/>
        <v>450760</v>
      </c>
      <c r="FU19" s="40">
        <f t="shared" si="154"/>
        <v>29180</v>
      </c>
      <c r="FV19" s="128">
        <f t="shared" si="155"/>
        <v>11610251.277843677</v>
      </c>
      <c r="FW19" s="128">
        <f t="shared" si="66"/>
        <v>1044920</v>
      </c>
      <c r="FX19" s="128">
        <f t="shared" si="67"/>
        <v>462030</v>
      </c>
      <c r="FY19" s="128">
        <f t="shared" si="156"/>
        <v>29910</v>
      </c>
      <c r="FZ19" s="40">
        <f t="shared" si="157"/>
        <v>11900507.559789767</v>
      </c>
      <c r="GA19" s="40">
        <f t="shared" si="68"/>
        <v>1071040</v>
      </c>
      <c r="GB19" s="40">
        <f t="shared" si="69"/>
        <v>473580</v>
      </c>
      <c r="GC19" s="40">
        <f t="shared" si="158"/>
        <v>30660</v>
      </c>
      <c r="GD19" s="128">
        <f t="shared" si="159"/>
        <v>12198020.24878451</v>
      </c>
      <c r="GE19" s="128">
        <f t="shared" si="70"/>
        <v>1097820</v>
      </c>
      <c r="GF19" s="128">
        <f t="shared" si="71"/>
        <v>485420</v>
      </c>
      <c r="GG19" s="128">
        <f t="shared" si="160"/>
        <v>31430</v>
      </c>
      <c r="GH19" s="40">
        <f t="shared" si="161"/>
        <v>12502970.755004123</v>
      </c>
      <c r="GI19" s="40">
        <f t="shared" si="72"/>
        <v>1125260</v>
      </c>
      <c r="GJ19" s="40">
        <f t="shared" si="73"/>
        <v>497560</v>
      </c>
      <c r="GK19" s="40">
        <f t="shared" si="162"/>
        <v>32210</v>
      </c>
      <c r="GL19" s="128">
        <f t="shared" si="163"/>
        <v>12815545.023879224</v>
      </c>
      <c r="GM19" s="128">
        <f t="shared" si="74"/>
        <v>1153390</v>
      </c>
      <c r="GN19" s="128">
        <f t="shared" si="75"/>
        <v>509990</v>
      </c>
      <c r="GO19" s="128">
        <f t="shared" si="164"/>
        <v>33020</v>
      </c>
      <c r="GP19" s="40">
        <f t="shared" si="165"/>
        <v>13135933.649476204</v>
      </c>
      <c r="GQ19" s="40">
        <f t="shared" si="76"/>
        <v>1182230</v>
      </c>
      <c r="GR19" s="40">
        <f t="shared" si="77"/>
        <v>522740</v>
      </c>
      <c r="GS19" s="40">
        <f t="shared" si="166"/>
        <v>33840</v>
      </c>
      <c r="GT19" s="128">
        <f t="shared" si="167"/>
        <v>13464331.990713108</v>
      </c>
      <c r="GU19" s="128">
        <f t="shared" si="78"/>
        <v>1211780</v>
      </c>
      <c r="GV19" s="128">
        <f t="shared" si="79"/>
        <v>535810</v>
      </c>
      <c r="GW19" s="128">
        <f t="shared" si="168"/>
        <v>34690</v>
      </c>
      <c r="GX19" s="40">
        <f t="shared" si="169"/>
        <v>13800940.290480934</v>
      </c>
      <c r="GY19" s="40">
        <f t="shared" si="80"/>
        <v>1242080</v>
      </c>
      <c r="GZ19" s="40">
        <f t="shared" si="81"/>
        <v>549210</v>
      </c>
      <c r="HA19" s="40">
        <f t="shared" si="170"/>
        <v>35560</v>
      </c>
      <c r="HB19" s="128" t="e">
        <f t="shared" si="171"/>
        <v>#REF!</v>
      </c>
      <c r="HC19" s="128" t="e">
        <f t="shared" si="82"/>
        <v>#REF!</v>
      </c>
      <c r="HD19" s="128" t="e">
        <f t="shared" si="83"/>
        <v>#REF!</v>
      </c>
      <c r="HE19" s="128" t="e">
        <f t="shared" si="172"/>
        <v>#REF!</v>
      </c>
    </row>
    <row r="20" spans="1:213" ht="18">
      <c r="A20" s="2"/>
      <c r="B20" s="8"/>
      <c r="C20" s="71"/>
      <c r="D20" s="61"/>
      <c r="E20" s="63"/>
      <c r="F20" s="49"/>
      <c r="G20" s="87"/>
      <c r="H20" s="45"/>
      <c r="I20" s="44" t="s">
        <v>458</v>
      </c>
      <c r="K20" s="47">
        <v>220000</v>
      </c>
      <c r="N20" s="137">
        <v>16</v>
      </c>
      <c r="O20" s="24" t="s">
        <v>504</v>
      </c>
      <c r="P20" s="24" t="s">
        <v>54</v>
      </c>
      <c r="Q20" s="99"/>
      <c r="R20" s="25" t="s">
        <v>266</v>
      </c>
      <c r="S20" s="24" t="s">
        <v>61</v>
      </c>
      <c r="T20" s="97" t="s">
        <v>70</v>
      </c>
      <c r="V20" s="42"/>
      <c r="W20" s="101"/>
      <c r="Y20" s="155"/>
      <c r="Z20" s="154"/>
      <c r="AA20" s="775"/>
      <c r="AB20" s="22" t="s">
        <v>324</v>
      </c>
      <c r="AD20" s="26"/>
      <c r="AE20" s="27"/>
      <c r="AF20" s="778"/>
      <c r="AG20" s="28"/>
      <c r="AH20" s="28"/>
      <c r="AJ20" s="41">
        <v>13</v>
      </c>
      <c r="AK20" s="41">
        <v>23</v>
      </c>
      <c r="AL20" s="890">
        <v>5029270</v>
      </c>
      <c r="AM20" s="40">
        <f t="shared" si="84"/>
        <v>452630</v>
      </c>
      <c r="AN20" s="40">
        <v>163310</v>
      </c>
      <c r="AO20" s="40">
        <v>16740</v>
      </c>
      <c r="AP20" s="891">
        <f t="shared" si="85"/>
        <v>5114770</v>
      </c>
      <c r="AQ20" s="131">
        <f t="shared" si="86"/>
        <v>460330</v>
      </c>
      <c r="AR20" s="130">
        <f t="shared" si="87"/>
        <v>181320</v>
      </c>
      <c r="AS20" s="128">
        <f t="shared" si="88"/>
        <v>11740</v>
      </c>
      <c r="AT20" s="40">
        <f t="shared" si="89"/>
        <v>5293786.9499999993</v>
      </c>
      <c r="AU20" s="40">
        <f t="shared" si="0"/>
        <v>476440</v>
      </c>
      <c r="AV20" s="40">
        <f t="shared" si="1"/>
        <v>190850</v>
      </c>
      <c r="AW20" s="40">
        <f t="shared" si="90"/>
        <v>12350</v>
      </c>
      <c r="AX20" s="128">
        <f t="shared" si="91"/>
        <v>5426131.6237499984</v>
      </c>
      <c r="AY20" s="128">
        <f t="shared" si="2"/>
        <v>488350</v>
      </c>
      <c r="AZ20" s="128">
        <f t="shared" si="3"/>
        <v>195620</v>
      </c>
      <c r="BA20" s="128">
        <f t="shared" si="92"/>
        <v>12660</v>
      </c>
      <c r="BB20" s="40">
        <f t="shared" si="93"/>
        <v>5561784.9143437482</v>
      </c>
      <c r="BC20" s="40">
        <f t="shared" si="4"/>
        <v>500560</v>
      </c>
      <c r="BD20" s="40">
        <f t="shared" si="5"/>
        <v>205530</v>
      </c>
      <c r="BE20" s="40">
        <f t="shared" si="94"/>
        <v>13300</v>
      </c>
      <c r="BF20" s="128">
        <f t="shared" si="95"/>
        <v>5700829.5372023415</v>
      </c>
      <c r="BG20" s="128">
        <f t="shared" si="6"/>
        <v>513070</v>
      </c>
      <c r="BH20" s="128">
        <f t="shared" si="7"/>
        <v>210660</v>
      </c>
      <c r="BI20" s="128">
        <f t="shared" si="96"/>
        <v>13640</v>
      </c>
      <c r="BJ20" s="40">
        <f t="shared" si="97"/>
        <v>5843350.2756323991</v>
      </c>
      <c r="BK20" s="40">
        <f t="shared" si="8"/>
        <v>525900</v>
      </c>
      <c r="BL20" s="40">
        <f t="shared" si="9"/>
        <v>221330</v>
      </c>
      <c r="BM20" s="40">
        <f t="shared" si="98"/>
        <v>14330</v>
      </c>
      <c r="BN20" s="128">
        <f t="shared" si="99"/>
        <v>5989434.0325232083</v>
      </c>
      <c r="BO20" s="128">
        <f t="shared" si="10"/>
        <v>539040</v>
      </c>
      <c r="BP20" s="128">
        <f t="shared" si="11"/>
        <v>232530</v>
      </c>
      <c r="BQ20" s="128">
        <f t="shared" si="100"/>
        <v>15050</v>
      </c>
      <c r="BR20" s="40">
        <f t="shared" si="101"/>
        <v>6139169.8833362879</v>
      </c>
      <c r="BS20" s="40">
        <f t="shared" si="12"/>
        <v>552520</v>
      </c>
      <c r="BT20" s="40">
        <f t="shared" si="13"/>
        <v>238350</v>
      </c>
      <c r="BU20" s="40">
        <f t="shared" si="102"/>
        <v>15430</v>
      </c>
      <c r="BV20" s="128">
        <f t="shared" si="103"/>
        <v>6292649.1304196948</v>
      </c>
      <c r="BW20" s="128">
        <f t="shared" si="14"/>
        <v>566330</v>
      </c>
      <c r="BX20" s="128">
        <f t="shared" si="15"/>
        <v>250410</v>
      </c>
      <c r="BY20" s="128">
        <f t="shared" si="104"/>
        <v>16210</v>
      </c>
      <c r="BZ20" s="40">
        <f t="shared" si="105"/>
        <v>6449965.3586801868</v>
      </c>
      <c r="CA20" s="40">
        <f t="shared" si="16"/>
        <v>580490</v>
      </c>
      <c r="CB20" s="40">
        <f t="shared" si="17"/>
        <v>256670</v>
      </c>
      <c r="CC20" s="40">
        <f t="shared" si="106"/>
        <v>16610</v>
      </c>
      <c r="CD20" s="128">
        <f t="shared" si="107"/>
        <v>6611214.4926471906</v>
      </c>
      <c r="CE20" s="128">
        <f t="shared" si="18"/>
        <v>595000</v>
      </c>
      <c r="CF20" s="128">
        <f t="shared" si="19"/>
        <v>263090</v>
      </c>
      <c r="CG20" s="128">
        <f t="shared" si="108"/>
        <v>17030</v>
      </c>
      <c r="CH20" s="40">
        <f t="shared" si="109"/>
        <v>6776494.8549633697</v>
      </c>
      <c r="CI20" s="40">
        <f t="shared" si="20"/>
        <v>609880</v>
      </c>
      <c r="CJ20" s="40">
        <f t="shared" si="21"/>
        <v>269670</v>
      </c>
      <c r="CK20" s="40">
        <f t="shared" si="110"/>
        <v>17460</v>
      </c>
      <c r="CL20" s="128">
        <f t="shared" si="111"/>
        <v>6945907.2263374534</v>
      </c>
      <c r="CM20" s="128">
        <f t="shared" si="22"/>
        <v>625130</v>
      </c>
      <c r="CN20" s="128">
        <f t="shared" si="23"/>
        <v>276410</v>
      </c>
      <c r="CO20" s="128">
        <f t="shared" si="112"/>
        <v>17890</v>
      </c>
      <c r="CP20" s="40">
        <f t="shared" si="113"/>
        <v>7119554.9069958888</v>
      </c>
      <c r="CQ20" s="40">
        <f t="shared" si="24"/>
        <v>640750</v>
      </c>
      <c r="CR20" s="40">
        <f t="shared" si="25"/>
        <v>283320</v>
      </c>
      <c r="CS20" s="40">
        <f t="shared" si="114"/>
        <v>18340</v>
      </c>
      <c r="CT20" s="128">
        <f t="shared" si="115"/>
        <v>7297543.7796707852</v>
      </c>
      <c r="CU20" s="128">
        <f t="shared" si="26"/>
        <v>656770</v>
      </c>
      <c r="CV20" s="128">
        <f t="shared" si="27"/>
        <v>290400</v>
      </c>
      <c r="CW20" s="128">
        <f t="shared" si="116"/>
        <v>18800</v>
      </c>
      <c r="CX20" s="40">
        <f t="shared" si="117"/>
        <v>7479982.3741625538</v>
      </c>
      <c r="CY20" s="40">
        <f t="shared" si="28"/>
        <v>673190</v>
      </c>
      <c r="CZ20" s="40">
        <f t="shared" si="29"/>
        <v>297660</v>
      </c>
      <c r="DA20" s="40">
        <f t="shared" si="118"/>
        <v>19270</v>
      </c>
      <c r="DB20" s="128">
        <f t="shared" si="119"/>
        <v>7666981.9335166169</v>
      </c>
      <c r="DC20" s="128">
        <f t="shared" si="30"/>
        <v>690020</v>
      </c>
      <c r="DD20" s="128">
        <f t="shared" si="31"/>
        <v>305110</v>
      </c>
      <c r="DE20" s="128">
        <f t="shared" si="120"/>
        <v>19750</v>
      </c>
      <c r="DF20" s="40">
        <f t="shared" si="121"/>
        <v>7858656.4818545319</v>
      </c>
      <c r="DG20" s="40">
        <f t="shared" si="32"/>
        <v>707270</v>
      </c>
      <c r="DH20" s="40">
        <f t="shared" si="33"/>
        <v>312730</v>
      </c>
      <c r="DI20" s="40">
        <f t="shared" si="122"/>
        <v>20240</v>
      </c>
      <c r="DJ20" s="128">
        <f t="shared" si="123"/>
        <v>8055122.8939008946</v>
      </c>
      <c r="DK20" s="128">
        <f t="shared" si="34"/>
        <v>724960</v>
      </c>
      <c r="DL20" s="128">
        <f t="shared" si="35"/>
        <v>320550</v>
      </c>
      <c r="DM20" s="128">
        <f t="shared" si="124"/>
        <v>20750</v>
      </c>
      <c r="DN20" s="40">
        <f t="shared" si="125"/>
        <v>8256500.9662484163</v>
      </c>
      <c r="DO20" s="40">
        <f t="shared" si="36"/>
        <v>743080</v>
      </c>
      <c r="DP20" s="40">
        <f t="shared" si="37"/>
        <v>328570</v>
      </c>
      <c r="DQ20" s="40">
        <f t="shared" si="126"/>
        <v>21270</v>
      </c>
      <c r="DR20" s="128">
        <f t="shared" si="127"/>
        <v>8462913.4904046264</v>
      </c>
      <c r="DS20" s="128">
        <f t="shared" si="38"/>
        <v>761660</v>
      </c>
      <c r="DT20" s="128">
        <f t="shared" si="39"/>
        <v>336780</v>
      </c>
      <c r="DU20" s="128">
        <f t="shared" si="128"/>
        <v>21800</v>
      </c>
      <c r="DV20" s="40">
        <f t="shared" si="129"/>
        <v>8674486.3276647404</v>
      </c>
      <c r="DW20" s="40">
        <f t="shared" si="40"/>
        <v>780700</v>
      </c>
      <c r="DX20" s="40">
        <f t="shared" si="41"/>
        <v>345200</v>
      </c>
      <c r="DY20" s="40">
        <f t="shared" si="130"/>
        <v>22350</v>
      </c>
      <c r="DZ20" s="128">
        <f t="shared" si="131"/>
        <v>8891348.485856358</v>
      </c>
      <c r="EA20" s="128">
        <f t="shared" si="42"/>
        <v>800220</v>
      </c>
      <c r="EB20" s="128">
        <f t="shared" si="43"/>
        <v>353830</v>
      </c>
      <c r="EC20" s="128">
        <f t="shared" si="132"/>
        <v>22910</v>
      </c>
      <c r="ED20" s="40">
        <f t="shared" si="133"/>
        <v>9113632.1980027668</v>
      </c>
      <c r="EE20" s="40">
        <f t="shared" si="44"/>
        <v>820220</v>
      </c>
      <c r="EF20" s="40">
        <f t="shared" si="45"/>
        <v>362680</v>
      </c>
      <c r="EG20" s="40">
        <f t="shared" si="134"/>
        <v>23480</v>
      </c>
      <c r="EH20" s="128">
        <f t="shared" si="135"/>
        <v>9341473.0029528346</v>
      </c>
      <c r="EI20" s="128">
        <f t="shared" si="46"/>
        <v>840730</v>
      </c>
      <c r="EJ20" s="128">
        <f t="shared" si="47"/>
        <v>371740</v>
      </c>
      <c r="EK20" s="128">
        <f t="shared" si="136"/>
        <v>24070</v>
      </c>
      <c r="EL20" s="40">
        <f t="shared" si="137"/>
        <v>9575009.8280266542</v>
      </c>
      <c r="EM20" s="40">
        <f t="shared" si="48"/>
        <v>861750</v>
      </c>
      <c r="EN20" s="40">
        <f t="shared" si="49"/>
        <v>381040</v>
      </c>
      <c r="EO20" s="40">
        <f t="shared" si="138"/>
        <v>24670</v>
      </c>
      <c r="EP20" s="128">
        <f t="shared" si="139"/>
        <v>9814385.073727319</v>
      </c>
      <c r="EQ20" s="128">
        <f t="shared" si="50"/>
        <v>883290</v>
      </c>
      <c r="ER20" s="128">
        <f t="shared" si="51"/>
        <v>390560</v>
      </c>
      <c r="ES20" s="128">
        <f t="shared" si="140"/>
        <v>25280</v>
      </c>
      <c r="ET20" s="40">
        <f t="shared" si="141"/>
        <v>10059744.700570501</v>
      </c>
      <c r="EU20" s="40">
        <f t="shared" si="52"/>
        <v>905370</v>
      </c>
      <c r="EV20" s="40">
        <f t="shared" si="53"/>
        <v>400330</v>
      </c>
      <c r="EW20" s="40">
        <f t="shared" si="142"/>
        <v>25920</v>
      </c>
      <c r="EX20" s="128">
        <f t="shared" si="143"/>
        <v>10311238.318084763</v>
      </c>
      <c r="EY20" s="128">
        <f t="shared" si="54"/>
        <v>928010</v>
      </c>
      <c r="EZ20" s="128">
        <f t="shared" si="55"/>
        <v>410330</v>
      </c>
      <c r="FA20" s="128">
        <f t="shared" si="144"/>
        <v>26560</v>
      </c>
      <c r="FB20" s="40">
        <f t="shared" si="145"/>
        <v>10569019.276036881</v>
      </c>
      <c r="FC20" s="40">
        <f t="shared" si="56"/>
        <v>951210</v>
      </c>
      <c r="FD20" s="40">
        <f t="shared" si="57"/>
        <v>420590</v>
      </c>
      <c r="FE20" s="40">
        <f t="shared" si="146"/>
        <v>27230</v>
      </c>
      <c r="FF20" s="128">
        <f t="shared" si="147"/>
        <v>10833244.757937802</v>
      </c>
      <c r="FG20" s="128">
        <f t="shared" si="58"/>
        <v>974990</v>
      </c>
      <c r="FH20" s="128">
        <f t="shared" si="59"/>
        <v>431110</v>
      </c>
      <c r="FI20" s="128">
        <f t="shared" si="148"/>
        <v>27910</v>
      </c>
      <c r="FJ20" s="40">
        <f t="shared" si="149"/>
        <v>11104075.876886247</v>
      </c>
      <c r="FK20" s="40">
        <f t="shared" si="60"/>
        <v>999360</v>
      </c>
      <c r="FL20" s="40">
        <f t="shared" si="61"/>
        <v>441890</v>
      </c>
      <c r="FM20" s="40">
        <f t="shared" si="150"/>
        <v>28610</v>
      </c>
      <c r="FN20" s="128">
        <f t="shared" si="151"/>
        <v>11381677.773808401</v>
      </c>
      <c r="FO20" s="128">
        <f t="shared" si="62"/>
        <v>1024350</v>
      </c>
      <c r="FP20" s="128">
        <f t="shared" si="63"/>
        <v>452930</v>
      </c>
      <c r="FQ20" s="128">
        <f t="shared" si="152"/>
        <v>29320</v>
      </c>
      <c r="FR20" s="40">
        <f t="shared" si="153"/>
        <v>11666219.718153611</v>
      </c>
      <c r="FS20" s="40">
        <f t="shared" si="64"/>
        <v>1049950</v>
      </c>
      <c r="FT20" s="40">
        <f t="shared" si="65"/>
        <v>464260</v>
      </c>
      <c r="FU20" s="40">
        <f t="shared" si="154"/>
        <v>30060</v>
      </c>
      <c r="FV20" s="128">
        <f t="shared" si="155"/>
        <v>11957875.21110745</v>
      </c>
      <c r="FW20" s="128">
        <f t="shared" si="66"/>
        <v>1076200</v>
      </c>
      <c r="FX20" s="128">
        <f t="shared" si="67"/>
        <v>475860</v>
      </c>
      <c r="FY20" s="128">
        <f t="shared" si="156"/>
        <v>30810</v>
      </c>
      <c r="FZ20" s="40">
        <f t="shared" si="157"/>
        <v>12256822.091385135</v>
      </c>
      <c r="GA20" s="40">
        <f t="shared" si="68"/>
        <v>1103110</v>
      </c>
      <c r="GB20" s="40">
        <f t="shared" si="69"/>
        <v>487760</v>
      </c>
      <c r="GC20" s="40">
        <f t="shared" si="158"/>
        <v>31580</v>
      </c>
      <c r="GD20" s="128">
        <f t="shared" si="159"/>
        <v>12563242.643669764</v>
      </c>
      <c r="GE20" s="128">
        <f t="shared" si="70"/>
        <v>1130690</v>
      </c>
      <c r="GF20" s="128">
        <f t="shared" si="71"/>
        <v>499950</v>
      </c>
      <c r="GG20" s="128">
        <f t="shared" si="160"/>
        <v>32370</v>
      </c>
      <c r="GH20" s="40">
        <f t="shared" si="161"/>
        <v>12877323.709761506</v>
      </c>
      <c r="GI20" s="40">
        <f t="shared" si="72"/>
        <v>1158950</v>
      </c>
      <c r="GJ20" s="40">
        <f t="shared" si="73"/>
        <v>512450</v>
      </c>
      <c r="GK20" s="40">
        <f t="shared" si="162"/>
        <v>33180</v>
      </c>
      <c r="GL20" s="128">
        <f t="shared" si="163"/>
        <v>13199256.802505542</v>
      </c>
      <c r="GM20" s="128">
        <f t="shared" si="74"/>
        <v>1187930</v>
      </c>
      <c r="GN20" s="128">
        <f t="shared" si="75"/>
        <v>525260</v>
      </c>
      <c r="GO20" s="128">
        <f t="shared" si="164"/>
        <v>34010</v>
      </c>
      <c r="GP20" s="40">
        <f t="shared" si="165"/>
        <v>13529238.222568179</v>
      </c>
      <c r="GQ20" s="40">
        <f t="shared" si="76"/>
        <v>1217630</v>
      </c>
      <c r="GR20" s="40">
        <f t="shared" si="77"/>
        <v>538400</v>
      </c>
      <c r="GS20" s="40">
        <f t="shared" si="166"/>
        <v>34860</v>
      </c>
      <c r="GT20" s="128">
        <f t="shared" si="167"/>
        <v>13867469.178132381</v>
      </c>
      <c r="GU20" s="128">
        <f t="shared" si="78"/>
        <v>1248070</v>
      </c>
      <c r="GV20" s="128">
        <f t="shared" si="79"/>
        <v>551860</v>
      </c>
      <c r="GW20" s="128">
        <f t="shared" si="168"/>
        <v>35730</v>
      </c>
      <c r="GX20" s="40">
        <f t="shared" si="169"/>
        <v>14214155.90758569</v>
      </c>
      <c r="GY20" s="40">
        <f t="shared" si="80"/>
        <v>1279270</v>
      </c>
      <c r="GZ20" s="40">
        <f t="shared" si="81"/>
        <v>565650</v>
      </c>
      <c r="HA20" s="40">
        <f t="shared" si="170"/>
        <v>36620</v>
      </c>
      <c r="HB20" s="128" t="e">
        <f t="shared" si="171"/>
        <v>#REF!</v>
      </c>
      <c r="HC20" s="128" t="e">
        <f t="shared" si="82"/>
        <v>#REF!</v>
      </c>
      <c r="HD20" s="128" t="e">
        <f t="shared" si="83"/>
        <v>#REF!</v>
      </c>
      <c r="HE20" s="128" t="e">
        <f t="shared" si="172"/>
        <v>#REF!</v>
      </c>
    </row>
    <row r="21" spans="1:213" ht="18">
      <c r="A21" s="9"/>
      <c r="B21" s="10"/>
      <c r="C21" s="76"/>
      <c r="D21" s="77"/>
      <c r="E21" s="66"/>
      <c r="F21" s="52"/>
      <c r="G21" s="87"/>
      <c r="H21" s="45"/>
      <c r="I21" s="44" t="s">
        <v>461</v>
      </c>
      <c r="K21" s="47">
        <v>240000</v>
      </c>
      <c r="M21" s="25" t="s">
        <v>271</v>
      </c>
      <c r="N21" s="137">
        <v>17</v>
      </c>
      <c r="O21" s="24">
        <v>1</v>
      </c>
      <c r="P21" s="28">
        <v>0</v>
      </c>
      <c r="Q21" s="99"/>
      <c r="R21" s="25" t="s">
        <v>258</v>
      </c>
      <c r="S21" s="719">
        <v>0</v>
      </c>
      <c r="T21" s="105">
        <v>0</v>
      </c>
      <c r="V21" s="42"/>
      <c r="W21" s="101"/>
      <c r="Y21" s="155"/>
      <c r="Z21" s="155"/>
      <c r="AA21" s="774"/>
      <c r="AB21" s="721">
        <v>140000</v>
      </c>
      <c r="AD21" s="26"/>
      <c r="AE21" s="27"/>
      <c r="AF21" s="778"/>
      <c r="AG21" s="28"/>
      <c r="AH21" s="28"/>
      <c r="AJ21" s="41">
        <v>14</v>
      </c>
      <c r="AK21" s="41">
        <v>24</v>
      </c>
      <c r="AL21" s="890">
        <v>5178750</v>
      </c>
      <c r="AM21" s="40">
        <f t="shared" si="84"/>
        <v>466090</v>
      </c>
      <c r="AN21" s="40">
        <v>168160</v>
      </c>
      <c r="AO21" s="40">
        <v>17240</v>
      </c>
      <c r="AP21" s="891">
        <f t="shared" si="85"/>
        <v>5266790</v>
      </c>
      <c r="AQ21" s="131">
        <f t="shared" si="86"/>
        <v>474010</v>
      </c>
      <c r="AR21" s="130">
        <f t="shared" si="87"/>
        <v>186710</v>
      </c>
      <c r="AS21" s="128">
        <f t="shared" si="88"/>
        <v>12090</v>
      </c>
      <c r="AT21" s="40">
        <f t="shared" si="89"/>
        <v>5451127.6499999994</v>
      </c>
      <c r="AU21" s="40">
        <f t="shared" si="0"/>
        <v>490600</v>
      </c>
      <c r="AV21" s="40">
        <f t="shared" si="1"/>
        <v>196520</v>
      </c>
      <c r="AW21" s="40">
        <f t="shared" si="90"/>
        <v>12720</v>
      </c>
      <c r="AX21" s="128">
        <f t="shared" si="91"/>
        <v>5587405.8412499987</v>
      </c>
      <c r="AY21" s="128">
        <f t="shared" si="2"/>
        <v>502860</v>
      </c>
      <c r="AZ21" s="128">
        <f t="shared" si="3"/>
        <v>201440</v>
      </c>
      <c r="BA21" s="128">
        <f t="shared" si="92"/>
        <v>13040</v>
      </c>
      <c r="BB21" s="40">
        <f t="shared" si="93"/>
        <v>5727090.987281248</v>
      </c>
      <c r="BC21" s="40">
        <f t="shared" si="4"/>
        <v>515430</v>
      </c>
      <c r="BD21" s="40">
        <f t="shared" si="5"/>
        <v>211630</v>
      </c>
      <c r="BE21" s="40">
        <f t="shared" si="94"/>
        <v>13700</v>
      </c>
      <c r="BF21" s="128">
        <f t="shared" si="95"/>
        <v>5870268.261963279</v>
      </c>
      <c r="BG21" s="128">
        <f t="shared" si="6"/>
        <v>528320</v>
      </c>
      <c r="BH21" s="128">
        <f t="shared" si="7"/>
        <v>216920</v>
      </c>
      <c r="BI21" s="128">
        <f t="shared" si="96"/>
        <v>14040</v>
      </c>
      <c r="BJ21" s="40">
        <f t="shared" si="97"/>
        <v>6017024.96851236</v>
      </c>
      <c r="BK21" s="40">
        <f t="shared" si="8"/>
        <v>541530</v>
      </c>
      <c r="BL21" s="40">
        <f t="shared" si="9"/>
        <v>227910</v>
      </c>
      <c r="BM21" s="40">
        <f t="shared" si="98"/>
        <v>14750</v>
      </c>
      <c r="BN21" s="128">
        <f t="shared" si="99"/>
        <v>6167450.5927251689</v>
      </c>
      <c r="BO21" s="128">
        <f t="shared" si="10"/>
        <v>555070</v>
      </c>
      <c r="BP21" s="128">
        <f t="shared" si="11"/>
        <v>239440</v>
      </c>
      <c r="BQ21" s="128">
        <f t="shared" si="100"/>
        <v>15500</v>
      </c>
      <c r="BR21" s="40">
        <f t="shared" si="101"/>
        <v>6321636.857543298</v>
      </c>
      <c r="BS21" s="40">
        <f t="shared" si="12"/>
        <v>568940</v>
      </c>
      <c r="BT21" s="40">
        <f t="shared" si="13"/>
        <v>245430</v>
      </c>
      <c r="BU21" s="40">
        <f t="shared" si="102"/>
        <v>15890</v>
      </c>
      <c r="BV21" s="128">
        <f t="shared" si="103"/>
        <v>6479677.7789818803</v>
      </c>
      <c r="BW21" s="128">
        <f t="shared" si="14"/>
        <v>583170</v>
      </c>
      <c r="BX21" s="128">
        <f t="shared" si="15"/>
        <v>257860</v>
      </c>
      <c r="BY21" s="128">
        <f t="shared" si="104"/>
        <v>16690</v>
      </c>
      <c r="BZ21" s="40">
        <f t="shared" si="105"/>
        <v>6641669.7234564265</v>
      </c>
      <c r="CA21" s="40">
        <f t="shared" si="16"/>
        <v>597750</v>
      </c>
      <c r="CB21" s="40">
        <f t="shared" si="17"/>
        <v>264300</v>
      </c>
      <c r="CC21" s="40">
        <f t="shared" si="106"/>
        <v>17110</v>
      </c>
      <c r="CD21" s="128">
        <f t="shared" si="107"/>
        <v>6807711.4665428363</v>
      </c>
      <c r="CE21" s="128">
        <f t="shared" si="18"/>
        <v>612690</v>
      </c>
      <c r="CF21" s="128">
        <f t="shared" si="19"/>
        <v>270910</v>
      </c>
      <c r="CG21" s="128">
        <f t="shared" si="108"/>
        <v>17540</v>
      </c>
      <c r="CH21" s="40">
        <f t="shared" si="109"/>
        <v>6977904.2532064067</v>
      </c>
      <c r="CI21" s="40">
        <f t="shared" si="20"/>
        <v>628010</v>
      </c>
      <c r="CJ21" s="40">
        <f t="shared" si="21"/>
        <v>277680</v>
      </c>
      <c r="CK21" s="40">
        <f t="shared" si="110"/>
        <v>17970</v>
      </c>
      <c r="CL21" s="128">
        <f t="shared" si="111"/>
        <v>7152351.8595365658</v>
      </c>
      <c r="CM21" s="128">
        <f t="shared" si="22"/>
        <v>643710</v>
      </c>
      <c r="CN21" s="128">
        <f t="shared" si="23"/>
        <v>284630</v>
      </c>
      <c r="CO21" s="128">
        <f t="shared" si="112"/>
        <v>18420</v>
      </c>
      <c r="CP21" s="40">
        <f t="shared" si="113"/>
        <v>7331160.6560249794</v>
      </c>
      <c r="CQ21" s="40">
        <f t="shared" si="24"/>
        <v>659800</v>
      </c>
      <c r="CR21" s="40">
        <f t="shared" si="25"/>
        <v>291740</v>
      </c>
      <c r="CS21" s="40">
        <f t="shared" si="114"/>
        <v>18890</v>
      </c>
      <c r="CT21" s="128">
        <f t="shared" si="115"/>
        <v>7514439.6724256035</v>
      </c>
      <c r="CU21" s="128">
        <f t="shared" si="26"/>
        <v>676290</v>
      </c>
      <c r="CV21" s="128">
        <f t="shared" si="27"/>
        <v>299030</v>
      </c>
      <c r="CW21" s="128">
        <f t="shared" si="116"/>
        <v>19360</v>
      </c>
      <c r="CX21" s="40">
        <f t="shared" si="117"/>
        <v>7702300.6642362429</v>
      </c>
      <c r="CY21" s="40">
        <f t="shared" si="28"/>
        <v>693200</v>
      </c>
      <c r="CZ21" s="40">
        <f t="shared" si="29"/>
        <v>306510</v>
      </c>
      <c r="DA21" s="40">
        <f t="shared" si="118"/>
        <v>19840</v>
      </c>
      <c r="DB21" s="128">
        <f t="shared" si="119"/>
        <v>7894858.1808421481</v>
      </c>
      <c r="DC21" s="128">
        <f t="shared" si="30"/>
        <v>710530</v>
      </c>
      <c r="DD21" s="128">
        <f t="shared" si="31"/>
        <v>314170</v>
      </c>
      <c r="DE21" s="128">
        <f t="shared" si="120"/>
        <v>20340</v>
      </c>
      <c r="DF21" s="40">
        <f t="shared" si="121"/>
        <v>8092229.6353632007</v>
      </c>
      <c r="DG21" s="40">
        <f t="shared" si="32"/>
        <v>728300</v>
      </c>
      <c r="DH21" s="40">
        <f t="shared" si="33"/>
        <v>322030</v>
      </c>
      <c r="DI21" s="40">
        <f t="shared" si="122"/>
        <v>20850</v>
      </c>
      <c r="DJ21" s="128">
        <f t="shared" si="123"/>
        <v>8294535.3762472803</v>
      </c>
      <c r="DK21" s="128">
        <f t="shared" si="34"/>
        <v>746500</v>
      </c>
      <c r="DL21" s="128">
        <f t="shared" si="35"/>
        <v>330080</v>
      </c>
      <c r="DM21" s="128">
        <f t="shared" si="124"/>
        <v>21370</v>
      </c>
      <c r="DN21" s="40">
        <f t="shared" si="125"/>
        <v>8501898.7606534623</v>
      </c>
      <c r="DO21" s="40">
        <f t="shared" si="36"/>
        <v>765170</v>
      </c>
      <c r="DP21" s="40">
        <f t="shared" si="37"/>
        <v>338330</v>
      </c>
      <c r="DQ21" s="40">
        <f t="shared" si="126"/>
        <v>21900</v>
      </c>
      <c r="DR21" s="128">
        <f t="shared" si="127"/>
        <v>8714446.2296697982</v>
      </c>
      <c r="DS21" s="128">
        <f t="shared" si="38"/>
        <v>784300</v>
      </c>
      <c r="DT21" s="128">
        <f t="shared" si="39"/>
        <v>346790</v>
      </c>
      <c r="DU21" s="128">
        <f t="shared" si="128"/>
        <v>22450</v>
      </c>
      <c r="DV21" s="40">
        <f t="shared" si="129"/>
        <v>8932307.3854115419</v>
      </c>
      <c r="DW21" s="40">
        <f t="shared" si="40"/>
        <v>803900</v>
      </c>
      <c r="DX21" s="40">
        <f t="shared" si="41"/>
        <v>355460</v>
      </c>
      <c r="DY21" s="40">
        <f t="shared" si="130"/>
        <v>23010</v>
      </c>
      <c r="DZ21" s="128">
        <f t="shared" si="131"/>
        <v>9155615.0700468291</v>
      </c>
      <c r="EA21" s="128">
        <f t="shared" si="42"/>
        <v>824000</v>
      </c>
      <c r="EB21" s="128">
        <f t="shared" si="43"/>
        <v>364350</v>
      </c>
      <c r="EC21" s="128">
        <f t="shared" si="132"/>
        <v>23590</v>
      </c>
      <c r="ED21" s="40">
        <f t="shared" si="133"/>
        <v>9384505.4467979986</v>
      </c>
      <c r="EE21" s="40">
        <f t="shared" si="44"/>
        <v>844600</v>
      </c>
      <c r="EF21" s="40">
        <f t="shared" si="45"/>
        <v>373450</v>
      </c>
      <c r="EG21" s="40">
        <f t="shared" si="134"/>
        <v>24180</v>
      </c>
      <c r="EH21" s="128">
        <f t="shared" si="135"/>
        <v>9619118.0829679482</v>
      </c>
      <c r="EI21" s="128">
        <f t="shared" si="46"/>
        <v>865720</v>
      </c>
      <c r="EJ21" s="128">
        <f t="shared" si="47"/>
        <v>382790</v>
      </c>
      <c r="EK21" s="128">
        <f t="shared" si="136"/>
        <v>24780</v>
      </c>
      <c r="EL21" s="40">
        <f t="shared" si="137"/>
        <v>9859596.0350421462</v>
      </c>
      <c r="EM21" s="40">
        <f t="shared" si="48"/>
        <v>887360</v>
      </c>
      <c r="EN21" s="40">
        <f t="shared" si="49"/>
        <v>392360</v>
      </c>
      <c r="EO21" s="40">
        <f t="shared" si="138"/>
        <v>25400</v>
      </c>
      <c r="EP21" s="128">
        <f t="shared" si="139"/>
        <v>10106085.935918199</v>
      </c>
      <c r="EQ21" s="128">
        <f t="shared" si="50"/>
        <v>909540</v>
      </c>
      <c r="ER21" s="128">
        <f t="shared" si="51"/>
        <v>402170</v>
      </c>
      <c r="ES21" s="128">
        <f t="shared" si="140"/>
        <v>26040</v>
      </c>
      <c r="ET21" s="40">
        <f t="shared" si="141"/>
        <v>10358738.084316153</v>
      </c>
      <c r="EU21" s="40">
        <f t="shared" si="52"/>
        <v>932280</v>
      </c>
      <c r="EV21" s="40">
        <f t="shared" si="53"/>
        <v>412220</v>
      </c>
      <c r="EW21" s="40">
        <f t="shared" si="142"/>
        <v>26690</v>
      </c>
      <c r="EX21" s="128">
        <f t="shared" si="143"/>
        <v>10617706.536424056</v>
      </c>
      <c r="EY21" s="128">
        <f t="shared" si="54"/>
        <v>955590</v>
      </c>
      <c r="EZ21" s="128">
        <f t="shared" si="55"/>
        <v>422530</v>
      </c>
      <c r="FA21" s="128">
        <f t="shared" si="144"/>
        <v>27350</v>
      </c>
      <c r="FB21" s="40">
        <f t="shared" si="145"/>
        <v>10883149.199834656</v>
      </c>
      <c r="FC21" s="40">
        <f t="shared" si="56"/>
        <v>979480</v>
      </c>
      <c r="FD21" s="40">
        <f t="shared" si="57"/>
        <v>433090</v>
      </c>
      <c r="FE21" s="40">
        <f t="shared" si="146"/>
        <v>28040</v>
      </c>
      <c r="FF21" s="128">
        <f t="shared" si="147"/>
        <v>11155227.929830521</v>
      </c>
      <c r="FG21" s="128">
        <f t="shared" si="58"/>
        <v>1003970</v>
      </c>
      <c r="FH21" s="128">
        <f t="shared" si="59"/>
        <v>443920</v>
      </c>
      <c r="FI21" s="128">
        <f t="shared" si="148"/>
        <v>28740</v>
      </c>
      <c r="FJ21" s="40">
        <f t="shared" si="149"/>
        <v>11434108.628076283</v>
      </c>
      <c r="FK21" s="40">
        <f t="shared" si="60"/>
        <v>1029060</v>
      </c>
      <c r="FL21" s="40">
        <f t="shared" si="61"/>
        <v>455020</v>
      </c>
      <c r="FM21" s="40">
        <f t="shared" si="150"/>
        <v>29460</v>
      </c>
      <c r="FN21" s="128">
        <f t="shared" si="151"/>
        <v>11719961.343778189</v>
      </c>
      <c r="FO21" s="128">
        <f t="shared" si="62"/>
        <v>1054790</v>
      </c>
      <c r="FP21" s="128">
        <f t="shared" si="63"/>
        <v>466400</v>
      </c>
      <c r="FQ21" s="128">
        <f t="shared" si="152"/>
        <v>30190</v>
      </c>
      <c r="FR21" s="40">
        <f t="shared" si="153"/>
        <v>12012960.377372643</v>
      </c>
      <c r="FS21" s="40">
        <f t="shared" si="64"/>
        <v>1081160</v>
      </c>
      <c r="FT21" s="40">
        <f t="shared" si="65"/>
        <v>478060</v>
      </c>
      <c r="FU21" s="40">
        <f t="shared" si="154"/>
        <v>30950</v>
      </c>
      <c r="FV21" s="128">
        <f t="shared" si="155"/>
        <v>12313284.386806957</v>
      </c>
      <c r="FW21" s="128">
        <f t="shared" si="66"/>
        <v>1108190</v>
      </c>
      <c r="FX21" s="128">
        <f t="shared" si="67"/>
        <v>490010</v>
      </c>
      <c r="FY21" s="128">
        <f t="shared" si="156"/>
        <v>31720</v>
      </c>
      <c r="FZ21" s="40">
        <f t="shared" si="157"/>
        <v>12621116.496477131</v>
      </c>
      <c r="GA21" s="40">
        <f t="shared" si="68"/>
        <v>1135900</v>
      </c>
      <c r="GB21" s="40">
        <f t="shared" si="69"/>
        <v>502260</v>
      </c>
      <c r="GC21" s="40">
        <f t="shared" si="158"/>
        <v>32520</v>
      </c>
      <c r="GD21" s="128">
        <f t="shared" si="159"/>
        <v>12936644.408889057</v>
      </c>
      <c r="GE21" s="128">
        <f t="shared" si="70"/>
        <v>1164290</v>
      </c>
      <c r="GF21" s="128">
        <f t="shared" si="71"/>
        <v>514810</v>
      </c>
      <c r="GG21" s="128">
        <f t="shared" si="160"/>
        <v>33330</v>
      </c>
      <c r="GH21" s="40">
        <f t="shared" si="161"/>
        <v>13260060.519111283</v>
      </c>
      <c r="GI21" s="40">
        <f t="shared" si="72"/>
        <v>1193400</v>
      </c>
      <c r="GJ21" s="40">
        <f t="shared" si="73"/>
        <v>527680</v>
      </c>
      <c r="GK21" s="40">
        <f t="shared" si="162"/>
        <v>34160</v>
      </c>
      <c r="GL21" s="128">
        <f t="shared" si="163"/>
        <v>13591562.032089064</v>
      </c>
      <c r="GM21" s="128">
        <f t="shared" si="74"/>
        <v>1223240</v>
      </c>
      <c r="GN21" s="128">
        <f t="shared" si="75"/>
        <v>540880</v>
      </c>
      <c r="GO21" s="128">
        <f t="shared" si="164"/>
        <v>35020</v>
      </c>
      <c r="GP21" s="40">
        <f t="shared" si="165"/>
        <v>13931351.082891289</v>
      </c>
      <c r="GQ21" s="40">
        <f t="shared" si="76"/>
        <v>1253820</v>
      </c>
      <c r="GR21" s="40">
        <f t="shared" si="77"/>
        <v>554400</v>
      </c>
      <c r="GS21" s="40">
        <f t="shared" si="166"/>
        <v>35890</v>
      </c>
      <c r="GT21" s="128">
        <f t="shared" si="167"/>
        <v>14279634.85996357</v>
      </c>
      <c r="GU21" s="128">
        <f t="shared" si="78"/>
        <v>1285160</v>
      </c>
      <c r="GV21" s="128">
        <f t="shared" si="79"/>
        <v>568260</v>
      </c>
      <c r="GW21" s="128">
        <f t="shared" si="168"/>
        <v>36790</v>
      </c>
      <c r="GX21" s="40">
        <f t="shared" si="169"/>
        <v>14636625.731462657</v>
      </c>
      <c r="GY21" s="40">
        <f t="shared" si="80"/>
        <v>1317290</v>
      </c>
      <c r="GZ21" s="40">
        <f t="shared" si="81"/>
        <v>582470</v>
      </c>
      <c r="HA21" s="40">
        <f t="shared" si="170"/>
        <v>37710</v>
      </c>
      <c r="HB21" s="128" t="e">
        <f t="shared" si="171"/>
        <v>#REF!</v>
      </c>
      <c r="HC21" s="128" t="e">
        <f t="shared" si="82"/>
        <v>#REF!</v>
      </c>
      <c r="HD21" s="128" t="e">
        <f t="shared" si="83"/>
        <v>#REF!</v>
      </c>
      <c r="HE21" s="128" t="e">
        <f t="shared" si="172"/>
        <v>#REF!</v>
      </c>
    </row>
    <row r="22" spans="1:213" ht="18">
      <c r="A22" s="2"/>
      <c r="B22" s="8"/>
      <c r="C22" s="71"/>
      <c r="D22" s="61"/>
      <c r="E22" s="63"/>
      <c r="F22" s="49"/>
      <c r="G22" s="87"/>
      <c r="H22" s="45"/>
      <c r="K22" s="47">
        <v>260000</v>
      </c>
      <c r="M22" s="25" t="s">
        <v>458</v>
      </c>
      <c r="N22" s="137">
        <v>18</v>
      </c>
      <c r="O22" s="24">
        <v>2</v>
      </c>
      <c r="P22" s="28">
        <v>50000</v>
      </c>
      <c r="Q22" s="99"/>
      <c r="R22" s="25" t="s">
        <v>215</v>
      </c>
      <c r="S22" s="719">
        <v>20000</v>
      </c>
      <c r="T22" s="105">
        <v>5000</v>
      </c>
      <c r="V22" s="42"/>
      <c r="W22" s="101"/>
      <c r="Y22" s="155"/>
      <c r="Z22" s="155"/>
      <c r="AA22" s="258"/>
      <c r="AB22" s="722">
        <v>150000</v>
      </c>
      <c r="AD22" s="26"/>
      <c r="AE22" s="27"/>
      <c r="AF22" s="778"/>
      <c r="AG22" s="28"/>
      <c r="AH22" s="28"/>
      <c r="AJ22" s="41">
        <v>15</v>
      </c>
      <c r="AK22" s="41">
        <v>25</v>
      </c>
      <c r="AL22" s="890">
        <v>5345240</v>
      </c>
      <c r="AM22" s="40">
        <f t="shared" si="84"/>
        <v>481070</v>
      </c>
      <c r="AN22" s="40">
        <v>173570</v>
      </c>
      <c r="AO22" s="40">
        <v>17790</v>
      </c>
      <c r="AP22" s="891">
        <f t="shared" si="85"/>
        <v>5436110</v>
      </c>
      <c r="AQ22" s="131">
        <f t="shared" si="86"/>
        <v>489250</v>
      </c>
      <c r="AR22" s="130">
        <f t="shared" si="87"/>
        <v>192710</v>
      </c>
      <c r="AS22" s="128">
        <f t="shared" si="88"/>
        <v>12480</v>
      </c>
      <c r="AT22" s="40">
        <f t="shared" si="89"/>
        <v>5626373.8499999996</v>
      </c>
      <c r="AU22" s="40">
        <f t="shared" si="0"/>
        <v>506370</v>
      </c>
      <c r="AV22" s="40">
        <f t="shared" si="1"/>
        <v>202840</v>
      </c>
      <c r="AW22" s="40">
        <f t="shared" si="90"/>
        <v>13130</v>
      </c>
      <c r="AX22" s="128">
        <f t="shared" si="91"/>
        <v>5767033.1962499991</v>
      </c>
      <c r="AY22" s="128">
        <f t="shared" si="2"/>
        <v>519030</v>
      </c>
      <c r="AZ22" s="128">
        <f t="shared" si="3"/>
        <v>207910</v>
      </c>
      <c r="BA22" s="128">
        <f t="shared" si="92"/>
        <v>13460</v>
      </c>
      <c r="BB22" s="40">
        <f t="shared" si="93"/>
        <v>5911209.0261562485</v>
      </c>
      <c r="BC22" s="40">
        <f t="shared" si="4"/>
        <v>532000</v>
      </c>
      <c r="BD22" s="40">
        <f t="shared" si="5"/>
        <v>218440</v>
      </c>
      <c r="BE22" s="40">
        <f t="shared" si="94"/>
        <v>14140</v>
      </c>
      <c r="BF22" s="128">
        <f t="shared" si="95"/>
        <v>6058989.2518101539</v>
      </c>
      <c r="BG22" s="128">
        <f t="shared" si="6"/>
        <v>545300</v>
      </c>
      <c r="BH22" s="128">
        <f t="shared" si="7"/>
        <v>223900</v>
      </c>
      <c r="BI22" s="128">
        <f t="shared" si="96"/>
        <v>14490</v>
      </c>
      <c r="BJ22" s="40">
        <f t="shared" si="97"/>
        <v>6210463.9831054071</v>
      </c>
      <c r="BK22" s="40">
        <f t="shared" si="8"/>
        <v>558940</v>
      </c>
      <c r="BL22" s="40">
        <f t="shared" si="9"/>
        <v>235230</v>
      </c>
      <c r="BM22" s="40">
        <f t="shared" si="98"/>
        <v>15230</v>
      </c>
      <c r="BN22" s="128">
        <f t="shared" si="99"/>
        <v>6365725.5826830417</v>
      </c>
      <c r="BO22" s="128">
        <f t="shared" si="10"/>
        <v>572910</v>
      </c>
      <c r="BP22" s="128">
        <f t="shared" si="11"/>
        <v>247140</v>
      </c>
      <c r="BQ22" s="128">
        <f t="shared" si="100"/>
        <v>16000</v>
      </c>
      <c r="BR22" s="40">
        <f t="shared" si="101"/>
        <v>6524868.722250117</v>
      </c>
      <c r="BS22" s="40">
        <f t="shared" si="12"/>
        <v>587230</v>
      </c>
      <c r="BT22" s="40">
        <f t="shared" si="13"/>
        <v>253320</v>
      </c>
      <c r="BU22" s="40">
        <f t="shared" si="102"/>
        <v>16400</v>
      </c>
      <c r="BV22" s="128">
        <f t="shared" si="103"/>
        <v>6687990.4403063692</v>
      </c>
      <c r="BW22" s="128">
        <f t="shared" si="14"/>
        <v>601910</v>
      </c>
      <c r="BX22" s="128">
        <f t="shared" si="15"/>
        <v>266150</v>
      </c>
      <c r="BY22" s="128">
        <f t="shared" si="104"/>
        <v>17230</v>
      </c>
      <c r="BZ22" s="40">
        <f t="shared" si="105"/>
        <v>6855190.2013140274</v>
      </c>
      <c r="CA22" s="40">
        <f t="shared" si="16"/>
        <v>616960</v>
      </c>
      <c r="CB22" s="40">
        <f t="shared" si="17"/>
        <v>272800</v>
      </c>
      <c r="CC22" s="40">
        <f t="shared" si="106"/>
        <v>17660</v>
      </c>
      <c r="CD22" s="128">
        <f t="shared" si="107"/>
        <v>7026569.9563468779</v>
      </c>
      <c r="CE22" s="128">
        <f t="shared" si="18"/>
        <v>632390</v>
      </c>
      <c r="CF22" s="128">
        <f t="shared" si="19"/>
        <v>279620</v>
      </c>
      <c r="CG22" s="128">
        <f t="shared" si="108"/>
        <v>18100</v>
      </c>
      <c r="CH22" s="40">
        <f t="shared" si="109"/>
        <v>7202234.2052555494</v>
      </c>
      <c r="CI22" s="40">
        <f t="shared" si="20"/>
        <v>648200</v>
      </c>
      <c r="CJ22" s="40">
        <f t="shared" si="21"/>
        <v>286610</v>
      </c>
      <c r="CK22" s="40">
        <f t="shared" si="110"/>
        <v>18550</v>
      </c>
      <c r="CL22" s="128">
        <f t="shared" si="111"/>
        <v>7382290.0603869371</v>
      </c>
      <c r="CM22" s="128">
        <f t="shared" si="22"/>
        <v>664400</v>
      </c>
      <c r="CN22" s="128">
        <f t="shared" si="23"/>
        <v>293780</v>
      </c>
      <c r="CO22" s="128">
        <f t="shared" si="112"/>
        <v>19020</v>
      </c>
      <c r="CP22" s="40">
        <f t="shared" si="113"/>
        <v>7566847.3118966101</v>
      </c>
      <c r="CQ22" s="40">
        <f t="shared" si="24"/>
        <v>681010</v>
      </c>
      <c r="CR22" s="40">
        <f t="shared" si="25"/>
        <v>301120</v>
      </c>
      <c r="CS22" s="40">
        <f t="shared" si="114"/>
        <v>19490</v>
      </c>
      <c r="CT22" s="128">
        <f t="shared" si="115"/>
        <v>7756018.4946940243</v>
      </c>
      <c r="CU22" s="128">
        <f t="shared" si="26"/>
        <v>698040</v>
      </c>
      <c r="CV22" s="128">
        <f t="shared" si="27"/>
        <v>308650</v>
      </c>
      <c r="CW22" s="128">
        <f t="shared" si="116"/>
        <v>19980</v>
      </c>
      <c r="CX22" s="40">
        <f t="shared" si="117"/>
        <v>7949918.9570613746</v>
      </c>
      <c r="CY22" s="40">
        <f t="shared" si="28"/>
        <v>715490</v>
      </c>
      <c r="CZ22" s="40">
        <f t="shared" si="29"/>
        <v>316370</v>
      </c>
      <c r="DA22" s="40">
        <f t="shared" si="118"/>
        <v>20480</v>
      </c>
      <c r="DB22" s="128">
        <f t="shared" si="119"/>
        <v>8148666.9309879085</v>
      </c>
      <c r="DC22" s="128">
        <f t="shared" si="30"/>
        <v>733380</v>
      </c>
      <c r="DD22" s="128">
        <f t="shared" si="31"/>
        <v>324270</v>
      </c>
      <c r="DE22" s="128">
        <f t="shared" si="120"/>
        <v>20990</v>
      </c>
      <c r="DF22" s="40">
        <f t="shared" si="121"/>
        <v>8352383.6042626053</v>
      </c>
      <c r="DG22" s="40">
        <f t="shared" si="32"/>
        <v>751710</v>
      </c>
      <c r="DH22" s="40">
        <f t="shared" si="33"/>
        <v>332380</v>
      </c>
      <c r="DI22" s="40">
        <f t="shared" si="122"/>
        <v>21520</v>
      </c>
      <c r="DJ22" s="128">
        <f t="shared" si="123"/>
        <v>8561193.194369169</v>
      </c>
      <c r="DK22" s="128">
        <f t="shared" si="34"/>
        <v>770500</v>
      </c>
      <c r="DL22" s="128">
        <f t="shared" si="35"/>
        <v>340690</v>
      </c>
      <c r="DM22" s="128">
        <f t="shared" si="124"/>
        <v>22050</v>
      </c>
      <c r="DN22" s="40">
        <f t="shared" si="125"/>
        <v>8775223.0242283978</v>
      </c>
      <c r="DO22" s="40">
        <f t="shared" si="36"/>
        <v>789770</v>
      </c>
      <c r="DP22" s="40">
        <f t="shared" si="37"/>
        <v>349210</v>
      </c>
      <c r="DQ22" s="40">
        <f t="shared" si="126"/>
        <v>22610</v>
      </c>
      <c r="DR22" s="128">
        <f t="shared" si="127"/>
        <v>8994603.5998341069</v>
      </c>
      <c r="DS22" s="128">
        <f t="shared" si="38"/>
        <v>809510</v>
      </c>
      <c r="DT22" s="128">
        <f t="shared" si="39"/>
        <v>357940</v>
      </c>
      <c r="DU22" s="128">
        <f t="shared" si="128"/>
        <v>23170</v>
      </c>
      <c r="DV22" s="40">
        <f t="shared" si="129"/>
        <v>9219468.6898299586</v>
      </c>
      <c r="DW22" s="40">
        <f t="shared" si="40"/>
        <v>829750</v>
      </c>
      <c r="DX22" s="40">
        <f t="shared" si="41"/>
        <v>366890</v>
      </c>
      <c r="DY22" s="40">
        <f t="shared" si="130"/>
        <v>23750</v>
      </c>
      <c r="DZ22" s="128">
        <f t="shared" si="131"/>
        <v>9449955.4070757069</v>
      </c>
      <c r="EA22" s="128">
        <f t="shared" si="42"/>
        <v>850490</v>
      </c>
      <c r="EB22" s="128">
        <f t="shared" si="43"/>
        <v>376060</v>
      </c>
      <c r="EC22" s="128">
        <f t="shared" si="132"/>
        <v>24340</v>
      </c>
      <c r="ED22" s="40">
        <f t="shared" si="133"/>
        <v>9686204.2922525983</v>
      </c>
      <c r="EE22" s="40">
        <f t="shared" si="44"/>
        <v>871750</v>
      </c>
      <c r="EF22" s="40">
        <f t="shared" si="45"/>
        <v>385460</v>
      </c>
      <c r="EG22" s="40">
        <f t="shared" si="134"/>
        <v>24950</v>
      </c>
      <c r="EH22" s="128">
        <f t="shared" si="135"/>
        <v>9928359.399558913</v>
      </c>
      <c r="EI22" s="128">
        <f t="shared" si="46"/>
        <v>893550</v>
      </c>
      <c r="EJ22" s="128">
        <f t="shared" si="47"/>
        <v>395100</v>
      </c>
      <c r="EK22" s="128">
        <f t="shared" si="136"/>
        <v>25580</v>
      </c>
      <c r="EL22" s="40">
        <f t="shared" si="137"/>
        <v>10176568.384547886</v>
      </c>
      <c r="EM22" s="40">
        <f t="shared" si="48"/>
        <v>915890</v>
      </c>
      <c r="EN22" s="40">
        <f t="shared" si="49"/>
        <v>404980</v>
      </c>
      <c r="EO22" s="40">
        <f t="shared" si="138"/>
        <v>26220</v>
      </c>
      <c r="EP22" s="128">
        <f t="shared" si="139"/>
        <v>10430982.594161581</v>
      </c>
      <c r="EQ22" s="128">
        <f t="shared" si="50"/>
        <v>938780</v>
      </c>
      <c r="ER22" s="128">
        <f t="shared" si="51"/>
        <v>415100</v>
      </c>
      <c r="ES22" s="128">
        <f t="shared" si="140"/>
        <v>26870</v>
      </c>
      <c r="ET22" s="40">
        <f t="shared" si="141"/>
        <v>10691757.15901562</v>
      </c>
      <c r="EU22" s="40">
        <f t="shared" si="52"/>
        <v>962250</v>
      </c>
      <c r="EV22" s="40">
        <f t="shared" si="53"/>
        <v>425480</v>
      </c>
      <c r="EW22" s="40">
        <f t="shared" si="142"/>
        <v>27540</v>
      </c>
      <c r="EX22" s="128">
        <f t="shared" si="143"/>
        <v>10959051.08799101</v>
      </c>
      <c r="EY22" s="128">
        <f t="shared" si="54"/>
        <v>986310</v>
      </c>
      <c r="EZ22" s="128">
        <f t="shared" si="55"/>
        <v>436110</v>
      </c>
      <c r="FA22" s="128">
        <f t="shared" si="144"/>
        <v>28230</v>
      </c>
      <c r="FB22" s="40">
        <f t="shared" si="145"/>
        <v>11233027.365190785</v>
      </c>
      <c r="FC22" s="40">
        <f t="shared" si="56"/>
        <v>1010970</v>
      </c>
      <c r="FD22" s="40">
        <f t="shared" si="57"/>
        <v>447020</v>
      </c>
      <c r="FE22" s="40">
        <f t="shared" si="146"/>
        <v>28940</v>
      </c>
      <c r="FF22" s="128">
        <f t="shared" si="147"/>
        <v>11513853.049320554</v>
      </c>
      <c r="FG22" s="128">
        <f t="shared" si="58"/>
        <v>1036240</v>
      </c>
      <c r="FH22" s="128">
        <f t="shared" si="59"/>
        <v>458190</v>
      </c>
      <c r="FI22" s="128">
        <f t="shared" si="148"/>
        <v>29660</v>
      </c>
      <c r="FJ22" s="40">
        <f t="shared" si="149"/>
        <v>11801699.375553567</v>
      </c>
      <c r="FK22" s="40">
        <f t="shared" si="60"/>
        <v>1062150</v>
      </c>
      <c r="FL22" s="40">
        <f t="shared" si="61"/>
        <v>469650</v>
      </c>
      <c r="FM22" s="40">
        <f t="shared" si="150"/>
        <v>30400</v>
      </c>
      <c r="FN22" s="128">
        <f t="shared" si="151"/>
        <v>12096741.859942405</v>
      </c>
      <c r="FO22" s="128">
        <f t="shared" si="62"/>
        <v>1088700</v>
      </c>
      <c r="FP22" s="128">
        <f t="shared" si="63"/>
        <v>481390</v>
      </c>
      <c r="FQ22" s="128">
        <f t="shared" si="152"/>
        <v>31170</v>
      </c>
      <c r="FR22" s="40">
        <f t="shared" si="153"/>
        <v>12399160.406440964</v>
      </c>
      <c r="FS22" s="40">
        <f t="shared" si="64"/>
        <v>1115920</v>
      </c>
      <c r="FT22" s="40">
        <f t="shared" si="65"/>
        <v>493420</v>
      </c>
      <c r="FU22" s="40">
        <f t="shared" si="154"/>
        <v>31940</v>
      </c>
      <c r="FV22" s="128">
        <f t="shared" si="155"/>
        <v>12709139.416601988</v>
      </c>
      <c r="FW22" s="128">
        <f t="shared" si="66"/>
        <v>1143820</v>
      </c>
      <c r="FX22" s="128">
        <f t="shared" si="67"/>
        <v>505760</v>
      </c>
      <c r="FY22" s="128">
        <f t="shared" si="156"/>
        <v>32740</v>
      </c>
      <c r="FZ22" s="40">
        <f t="shared" si="157"/>
        <v>13026867.902017036</v>
      </c>
      <c r="GA22" s="40">
        <f t="shared" si="68"/>
        <v>1172410</v>
      </c>
      <c r="GB22" s="40">
        <f t="shared" si="69"/>
        <v>518400</v>
      </c>
      <c r="GC22" s="40">
        <f t="shared" si="158"/>
        <v>33560</v>
      </c>
      <c r="GD22" s="128">
        <f t="shared" si="159"/>
        <v>13352539.599567462</v>
      </c>
      <c r="GE22" s="128">
        <f t="shared" si="70"/>
        <v>1201720</v>
      </c>
      <c r="GF22" s="128">
        <f t="shared" si="71"/>
        <v>531360</v>
      </c>
      <c r="GG22" s="128">
        <f t="shared" si="160"/>
        <v>34400</v>
      </c>
      <c r="GH22" s="40">
        <f t="shared" si="161"/>
        <v>13686353.089556647</v>
      </c>
      <c r="GI22" s="40">
        <f t="shared" si="72"/>
        <v>1231770</v>
      </c>
      <c r="GJ22" s="40">
        <f t="shared" si="73"/>
        <v>544650</v>
      </c>
      <c r="GK22" s="40">
        <f t="shared" si="162"/>
        <v>35260</v>
      </c>
      <c r="GL22" s="128">
        <f t="shared" si="163"/>
        <v>14028511.916795563</v>
      </c>
      <c r="GM22" s="128">
        <f t="shared" si="74"/>
        <v>1262560</v>
      </c>
      <c r="GN22" s="128">
        <f t="shared" si="75"/>
        <v>558260</v>
      </c>
      <c r="GO22" s="128">
        <f t="shared" si="164"/>
        <v>36140</v>
      </c>
      <c r="GP22" s="40">
        <f t="shared" si="165"/>
        <v>14379224.714715451</v>
      </c>
      <c r="GQ22" s="40">
        <f t="shared" si="76"/>
        <v>1294130</v>
      </c>
      <c r="GR22" s="40">
        <f t="shared" si="77"/>
        <v>572220</v>
      </c>
      <c r="GS22" s="40">
        <f t="shared" si="166"/>
        <v>37050</v>
      </c>
      <c r="GT22" s="128">
        <f t="shared" si="167"/>
        <v>14738705.332583336</v>
      </c>
      <c r="GU22" s="128">
        <f t="shared" si="78"/>
        <v>1326480</v>
      </c>
      <c r="GV22" s="128">
        <f t="shared" si="79"/>
        <v>586530</v>
      </c>
      <c r="GW22" s="128">
        <f t="shared" si="168"/>
        <v>37970</v>
      </c>
      <c r="GX22" s="40">
        <f t="shared" si="169"/>
        <v>15107172.965897918</v>
      </c>
      <c r="GY22" s="40">
        <f t="shared" si="80"/>
        <v>1359640</v>
      </c>
      <c r="GZ22" s="40">
        <f t="shared" si="81"/>
        <v>601190</v>
      </c>
      <c r="HA22" s="40">
        <f t="shared" si="170"/>
        <v>38920</v>
      </c>
      <c r="HB22" s="128" t="e">
        <f t="shared" si="171"/>
        <v>#REF!</v>
      </c>
      <c r="HC22" s="128" t="e">
        <f t="shared" si="82"/>
        <v>#REF!</v>
      </c>
      <c r="HD22" s="128" t="e">
        <f t="shared" si="83"/>
        <v>#REF!</v>
      </c>
      <c r="HE22" s="128" t="e">
        <f t="shared" si="172"/>
        <v>#REF!</v>
      </c>
    </row>
    <row r="23" spans="1:213" ht="18">
      <c r="A23" s="2"/>
      <c r="B23" s="8"/>
      <c r="C23" s="71"/>
      <c r="D23" s="61"/>
      <c r="E23" s="63"/>
      <c r="F23" s="49"/>
      <c r="G23" s="87"/>
      <c r="H23" s="45"/>
      <c r="K23" s="47">
        <v>280000</v>
      </c>
      <c r="M23" s="25" t="s">
        <v>461</v>
      </c>
      <c r="N23" s="137">
        <v>19</v>
      </c>
      <c r="O23" s="24">
        <v>3</v>
      </c>
      <c r="P23" s="28">
        <v>55000</v>
      </c>
      <c r="Q23" s="99"/>
      <c r="R23" s="25" t="s">
        <v>264</v>
      </c>
      <c r="S23" s="719">
        <v>30000</v>
      </c>
      <c r="T23" s="105">
        <v>10000</v>
      </c>
      <c r="V23" s="42"/>
      <c r="W23" s="101"/>
      <c r="Y23" s="155"/>
      <c r="Z23" s="156"/>
      <c r="AA23" s="156"/>
      <c r="AB23" s="721">
        <v>160000</v>
      </c>
      <c r="AD23" s="26"/>
      <c r="AE23" s="27"/>
      <c r="AF23" s="778"/>
      <c r="AG23" s="28"/>
      <c r="AH23" s="28"/>
      <c r="AJ23" s="41">
        <v>16</v>
      </c>
      <c r="AK23" s="41">
        <v>26</v>
      </c>
      <c r="AL23" s="890">
        <v>5499330</v>
      </c>
      <c r="AM23" s="40">
        <f t="shared" si="84"/>
        <v>494940</v>
      </c>
      <c r="AN23" s="133">
        <v>178570</v>
      </c>
      <c r="AO23" s="133">
        <v>18300</v>
      </c>
      <c r="AP23" s="891">
        <f t="shared" si="85"/>
        <v>5592820</v>
      </c>
      <c r="AQ23" s="131">
        <f t="shared" si="86"/>
        <v>503350</v>
      </c>
      <c r="AR23" s="130">
        <f t="shared" si="87"/>
        <v>198270</v>
      </c>
      <c r="AS23" s="128">
        <f t="shared" si="88"/>
        <v>12840</v>
      </c>
      <c r="AT23" s="40">
        <f t="shared" si="89"/>
        <v>5788568.6999999993</v>
      </c>
      <c r="AU23" s="40">
        <f t="shared" si="0"/>
        <v>520970</v>
      </c>
      <c r="AV23" s="40">
        <f t="shared" si="1"/>
        <v>208690</v>
      </c>
      <c r="AW23" s="40">
        <f t="shared" si="90"/>
        <v>13510</v>
      </c>
      <c r="AX23" s="128">
        <f t="shared" si="91"/>
        <v>5933282.9174999986</v>
      </c>
      <c r="AY23" s="128">
        <f t="shared" si="2"/>
        <v>533990</v>
      </c>
      <c r="AZ23" s="128">
        <f t="shared" si="3"/>
        <v>213910</v>
      </c>
      <c r="BA23" s="128">
        <f t="shared" si="92"/>
        <v>13850</v>
      </c>
      <c r="BB23" s="40">
        <f t="shared" si="93"/>
        <v>6081614.9904374983</v>
      </c>
      <c r="BC23" s="40">
        <f t="shared" si="4"/>
        <v>547340</v>
      </c>
      <c r="BD23" s="40">
        <f t="shared" si="5"/>
        <v>224730</v>
      </c>
      <c r="BE23" s="40">
        <f t="shared" si="94"/>
        <v>14550</v>
      </c>
      <c r="BF23" s="128">
        <f t="shared" si="95"/>
        <v>6233655.3651984353</v>
      </c>
      <c r="BG23" s="128">
        <f t="shared" si="6"/>
        <v>561020</v>
      </c>
      <c r="BH23" s="128">
        <f t="shared" si="7"/>
        <v>230350</v>
      </c>
      <c r="BI23" s="128">
        <f t="shared" si="96"/>
        <v>14910</v>
      </c>
      <c r="BJ23" s="40">
        <f t="shared" si="97"/>
        <v>6389496.7493283954</v>
      </c>
      <c r="BK23" s="40">
        <f t="shared" si="8"/>
        <v>575050</v>
      </c>
      <c r="BL23" s="40">
        <f t="shared" si="9"/>
        <v>242020</v>
      </c>
      <c r="BM23" s="40">
        <f t="shared" si="98"/>
        <v>15670</v>
      </c>
      <c r="BN23" s="128">
        <f t="shared" si="99"/>
        <v>6549234.1680616047</v>
      </c>
      <c r="BO23" s="128">
        <f t="shared" si="10"/>
        <v>589430</v>
      </c>
      <c r="BP23" s="128">
        <f t="shared" si="11"/>
        <v>254270</v>
      </c>
      <c r="BQ23" s="128">
        <f t="shared" si="100"/>
        <v>16460</v>
      </c>
      <c r="BR23" s="40">
        <f t="shared" si="101"/>
        <v>6712965.0222631441</v>
      </c>
      <c r="BS23" s="40">
        <f t="shared" si="12"/>
        <v>604160</v>
      </c>
      <c r="BT23" s="40">
        <f t="shared" si="13"/>
        <v>260620</v>
      </c>
      <c r="BU23" s="40">
        <f t="shared" si="102"/>
        <v>16870</v>
      </c>
      <c r="BV23" s="128">
        <f t="shared" si="103"/>
        <v>6880789.1478197221</v>
      </c>
      <c r="BW23" s="128">
        <f t="shared" si="14"/>
        <v>619270</v>
      </c>
      <c r="BX23" s="128">
        <f t="shared" si="15"/>
        <v>273820</v>
      </c>
      <c r="BY23" s="128">
        <f t="shared" si="104"/>
        <v>17720</v>
      </c>
      <c r="BZ23" s="40">
        <f t="shared" si="105"/>
        <v>7052808.8765152143</v>
      </c>
      <c r="CA23" s="40">
        <f t="shared" si="16"/>
        <v>634750</v>
      </c>
      <c r="CB23" s="40">
        <f t="shared" si="17"/>
        <v>280660</v>
      </c>
      <c r="CC23" s="40">
        <f t="shared" si="106"/>
        <v>18170</v>
      </c>
      <c r="CD23" s="128">
        <f t="shared" si="107"/>
        <v>7229129.0984280938</v>
      </c>
      <c r="CE23" s="128">
        <f t="shared" si="18"/>
        <v>650620</v>
      </c>
      <c r="CF23" s="128">
        <f t="shared" si="19"/>
        <v>287680</v>
      </c>
      <c r="CG23" s="128">
        <f t="shared" si="108"/>
        <v>18620</v>
      </c>
      <c r="CH23" s="40">
        <f t="shared" si="109"/>
        <v>7409857.3258887958</v>
      </c>
      <c r="CI23" s="40">
        <f t="shared" si="20"/>
        <v>666880</v>
      </c>
      <c r="CJ23" s="40">
        <f t="shared" si="21"/>
        <v>294870</v>
      </c>
      <c r="CK23" s="40">
        <f t="shared" si="110"/>
        <v>19090</v>
      </c>
      <c r="CL23" s="128">
        <f t="shared" si="111"/>
        <v>7595103.7590360148</v>
      </c>
      <c r="CM23" s="128">
        <f t="shared" si="22"/>
        <v>683550</v>
      </c>
      <c r="CN23" s="128">
        <f t="shared" si="23"/>
        <v>302250</v>
      </c>
      <c r="CO23" s="128">
        <f t="shared" si="112"/>
        <v>19570</v>
      </c>
      <c r="CP23" s="40">
        <f t="shared" si="113"/>
        <v>7784981.3530119145</v>
      </c>
      <c r="CQ23" s="40">
        <f t="shared" si="24"/>
        <v>700640</v>
      </c>
      <c r="CR23" s="40">
        <f t="shared" si="25"/>
        <v>309800</v>
      </c>
      <c r="CS23" s="40">
        <f t="shared" si="114"/>
        <v>20050</v>
      </c>
      <c r="CT23" s="128">
        <f t="shared" si="115"/>
        <v>7979605.8868372114</v>
      </c>
      <c r="CU23" s="128">
        <f t="shared" si="26"/>
        <v>718160</v>
      </c>
      <c r="CV23" s="128">
        <f t="shared" si="27"/>
        <v>317550</v>
      </c>
      <c r="CW23" s="128">
        <f t="shared" si="116"/>
        <v>20560</v>
      </c>
      <c r="CX23" s="40">
        <f t="shared" si="117"/>
        <v>8179096.0340081407</v>
      </c>
      <c r="CY23" s="40">
        <f t="shared" si="28"/>
        <v>736110</v>
      </c>
      <c r="CZ23" s="40">
        <f t="shared" si="29"/>
        <v>325490</v>
      </c>
      <c r="DA23" s="40">
        <f t="shared" si="118"/>
        <v>21070</v>
      </c>
      <c r="DB23" s="128">
        <f t="shared" si="119"/>
        <v>8383573.4348583436</v>
      </c>
      <c r="DC23" s="128">
        <f t="shared" si="30"/>
        <v>754520</v>
      </c>
      <c r="DD23" s="128">
        <f t="shared" si="31"/>
        <v>333620</v>
      </c>
      <c r="DE23" s="128">
        <f t="shared" si="120"/>
        <v>21600</v>
      </c>
      <c r="DF23" s="40">
        <f t="shared" si="121"/>
        <v>8593162.7707298007</v>
      </c>
      <c r="DG23" s="40">
        <f t="shared" si="32"/>
        <v>773380</v>
      </c>
      <c r="DH23" s="40">
        <f t="shared" si="33"/>
        <v>341960</v>
      </c>
      <c r="DI23" s="40">
        <f t="shared" si="122"/>
        <v>22140</v>
      </c>
      <c r="DJ23" s="128">
        <f t="shared" si="123"/>
        <v>8807991.8399980441</v>
      </c>
      <c r="DK23" s="128">
        <f t="shared" si="34"/>
        <v>792710</v>
      </c>
      <c r="DL23" s="128">
        <f t="shared" si="35"/>
        <v>350510</v>
      </c>
      <c r="DM23" s="128">
        <f t="shared" si="124"/>
        <v>22690</v>
      </c>
      <c r="DN23" s="40">
        <f t="shared" si="125"/>
        <v>9028191.6359979939</v>
      </c>
      <c r="DO23" s="40">
        <f t="shared" si="36"/>
        <v>812530</v>
      </c>
      <c r="DP23" s="40">
        <f t="shared" si="37"/>
        <v>359280</v>
      </c>
      <c r="DQ23" s="40">
        <f t="shared" si="126"/>
        <v>23260</v>
      </c>
      <c r="DR23" s="128">
        <f t="shared" si="127"/>
        <v>9253896.426897943</v>
      </c>
      <c r="DS23" s="128">
        <f t="shared" si="38"/>
        <v>832850</v>
      </c>
      <c r="DT23" s="128">
        <f t="shared" si="39"/>
        <v>368260</v>
      </c>
      <c r="DU23" s="128">
        <f t="shared" si="128"/>
        <v>23840</v>
      </c>
      <c r="DV23" s="40">
        <f t="shared" si="129"/>
        <v>9485243.8375703916</v>
      </c>
      <c r="DW23" s="40">
        <f t="shared" si="40"/>
        <v>853670</v>
      </c>
      <c r="DX23" s="40">
        <f t="shared" si="41"/>
        <v>377460</v>
      </c>
      <c r="DY23" s="40">
        <f t="shared" si="130"/>
        <v>24440</v>
      </c>
      <c r="DZ23" s="128">
        <f t="shared" si="131"/>
        <v>9722374.9335096497</v>
      </c>
      <c r="EA23" s="128">
        <f t="shared" si="42"/>
        <v>875010</v>
      </c>
      <c r="EB23" s="128">
        <f t="shared" si="43"/>
        <v>386900</v>
      </c>
      <c r="EC23" s="128">
        <f t="shared" si="132"/>
        <v>25050</v>
      </c>
      <c r="ED23" s="40">
        <f t="shared" si="133"/>
        <v>9965434.3068473898</v>
      </c>
      <c r="EE23" s="40">
        <f t="shared" si="44"/>
        <v>896880</v>
      </c>
      <c r="EF23" s="40">
        <f t="shared" si="45"/>
        <v>396570</v>
      </c>
      <c r="EG23" s="40">
        <f t="shared" si="134"/>
        <v>25670</v>
      </c>
      <c r="EH23" s="128">
        <f t="shared" si="135"/>
        <v>10214570.164518574</v>
      </c>
      <c r="EI23" s="128">
        <f t="shared" si="46"/>
        <v>919310</v>
      </c>
      <c r="EJ23" s="128">
        <f t="shared" si="47"/>
        <v>406490</v>
      </c>
      <c r="EK23" s="128">
        <f t="shared" si="136"/>
        <v>26320</v>
      </c>
      <c r="EL23" s="40">
        <f t="shared" si="137"/>
        <v>10469934.418631537</v>
      </c>
      <c r="EM23" s="40">
        <f t="shared" si="48"/>
        <v>942290</v>
      </c>
      <c r="EN23" s="40">
        <f t="shared" si="49"/>
        <v>416650</v>
      </c>
      <c r="EO23" s="40">
        <f t="shared" si="138"/>
        <v>26970</v>
      </c>
      <c r="EP23" s="128">
        <f t="shared" si="139"/>
        <v>10731682.779097324</v>
      </c>
      <c r="EQ23" s="128">
        <f t="shared" si="50"/>
        <v>965850</v>
      </c>
      <c r="ER23" s="128">
        <f t="shared" si="51"/>
        <v>427070</v>
      </c>
      <c r="ES23" s="128">
        <f t="shared" si="140"/>
        <v>27650</v>
      </c>
      <c r="ET23" s="40">
        <f t="shared" si="141"/>
        <v>10999974.848574756</v>
      </c>
      <c r="EU23" s="40">
        <f t="shared" si="52"/>
        <v>989990</v>
      </c>
      <c r="EV23" s="40">
        <f t="shared" si="53"/>
        <v>437740</v>
      </c>
      <c r="EW23" s="40">
        <f t="shared" si="142"/>
        <v>28340</v>
      </c>
      <c r="EX23" s="128">
        <f t="shared" si="143"/>
        <v>11274974.219789123</v>
      </c>
      <c r="EY23" s="128">
        <f t="shared" si="54"/>
        <v>1014740</v>
      </c>
      <c r="EZ23" s="128">
        <f t="shared" si="55"/>
        <v>448690</v>
      </c>
      <c r="FA23" s="128">
        <f t="shared" si="144"/>
        <v>29050</v>
      </c>
      <c r="FB23" s="40">
        <f t="shared" si="145"/>
        <v>11556848.57528385</v>
      </c>
      <c r="FC23" s="40">
        <f t="shared" si="56"/>
        <v>1040110</v>
      </c>
      <c r="FD23" s="40">
        <f t="shared" si="57"/>
        <v>459900</v>
      </c>
      <c r="FE23" s="40">
        <f t="shared" si="146"/>
        <v>29770</v>
      </c>
      <c r="FF23" s="128">
        <f t="shared" si="147"/>
        <v>11845769.789665945</v>
      </c>
      <c r="FG23" s="128">
        <f t="shared" si="58"/>
        <v>1066110</v>
      </c>
      <c r="FH23" s="128">
        <f t="shared" si="59"/>
        <v>471400</v>
      </c>
      <c r="FI23" s="128">
        <f t="shared" si="148"/>
        <v>30520</v>
      </c>
      <c r="FJ23" s="40">
        <f t="shared" si="149"/>
        <v>12141914.034407593</v>
      </c>
      <c r="FK23" s="40">
        <f t="shared" si="60"/>
        <v>1092770</v>
      </c>
      <c r="FL23" s="40">
        <f t="shared" si="61"/>
        <v>483190</v>
      </c>
      <c r="FM23" s="40">
        <f t="shared" si="150"/>
        <v>31280</v>
      </c>
      <c r="FN23" s="128">
        <f t="shared" si="151"/>
        <v>12445461.885267783</v>
      </c>
      <c r="FO23" s="128">
        <f t="shared" si="62"/>
        <v>1120090</v>
      </c>
      <c r="FP23" s="128">
        <f t="shared" si="63"/>
        <v>495270</v>
      </c>
      <c r="FQ23" s="128">
        <f t="shared" si="152"/>
        <v>32060</v>
      </c>
      <c r="FR23" s="40">
        <f t="shared" si="153"/>
        <v>12756598.432399476</v>
      </c>
      <c r="FS23" s="40">
        <f t="shared" si="64"/>
        <v>1148090</v>
      </c>
      <c r="FT23" s="40">
        <f t="shared" si="65"/>
        <v>507650</v>
      </c>
      <c r="FU23" s="40">
        <f t="shared" si="154"/>
        <v>32870</v>
      </c>
      <c r="FV23" s="128">
        <f t="shared" si="155"/>
        <v>13075513.393209461</v>
      </c>
      <c r="FW23" s="128">
        <f t="shared" si="66"/>
        <v>1176790</v>
      </c>
      <c r="FX23" s="128">
        <f t="shared" si="67"/>
        <v>520340</v>
      </c>
      <c r="FY23" s="128">
        <f t="shared" si="156"/>
        <v>33690</v>
      </c>
      <c r="FZ23" s="40">
        <f t="shared" si="157"/>
        <v>13402401.228039697</v>
      </c>
      <c r="GA23" s="40">
        <f t="shared" si="68"/>
        <v>1206210</v>
      </c>
      <c r="GB23" s="40">
        <f t="shared" si="69"/>
        <v>533350</v>
      </c>
      <c r="GC23" s="40">
        <f t="shared" si="158"/>
        <v>34530</v>
      </c>
      <c r="GD23" s="128">
        <f t="shared" si="159"/>
        <v>13737461.258740688</v>
      </c>
      <c r="GE23" s="128">
        <f t="shared" si="70"/>
        <v>1236370</v>
      </c>
      <c r="GF23" s="128">
        <f t="shared" si="71"/>
        <v>546680</v>
      </c>
      <c r="GG23" s="128">
        <f t="shared" si="160"/>
        <v>35390</v>
      </c>
      <c r="GH23" s="40">
        <f t="shared" si="161"/>
        <v>14080897.790209204</v>
      </c>
      <c r="GI23" s="40">
        <f t="shared" si="72"/>
        <v>1267280</v>
      </c>
      <c r="GJ23" s="40">
        <f t="shared" si="73"/>
        <v>560350</v>
      </c>
      <c r="GK23" s="40">
        <f t="shared" si="162"/>
        <v>36280</v>
      </c>
      <c r="GL23" s="128">
        <f t="shared" si="163"/>
        <v>14432920.234964432</v>
      </c>
      <c r="GM23" s="128">
        <f t="shared" si="74"/>
        <v>1298960</v>
      </c>
      <c r="GN23" s="128">
        <f t="shared" si="75"/>
        <v>574360</v>
      </c>
      <c r="GO23" s="128">
        <f t="shared" si="164"/>
        <v>37180</v>
      </c>
      <c r="GP23" s="40">
        <f t="shared" si="165"/>
        <v>14793743.240838543</v>
      </c>
      <c r="GQ23" s="40">
        <f t="shared" si="76"/>
        <v>1331430</v>
      </c>
      <c r="GR23" s="40">
        <f t="shared" si="77"/>
        <v>588720</v>
      </c>
      <c r="GS23" s="40">
        <f t="shared" si="166"/>
        <v>38110</v>
      </c>
      <c r="GT23" s="128">
        <f t="shared" si="167"/>
        <v>15163586.821859505</v>
      </c>
      <c r="GU23" s="128">
        <f t="shared" si="78"/>
        <v>1364720</v>
      </c>
      <c r="GV23" s="128">
        <f t="shared" si="79"/>
        <v>603440</v>
      </c>
      <c r="GW23" s="128">
        <f t="shared" si="168"/>
        <v>39070</v>
      </c>
      <c r="GX23" s="40">
        <f t="shared" si="169"/>
        <v>15542676.492405992</v>
      </c>
      <c r="GY23" s="40">
        <f t="shared" si="80"/>
        <v>1398840</v>
      </c>
      <c r="GZ23" s="40">
        <f t="shared" si="81"/>
        <v>618520</v>
      </c>
      <c r="HA23" s="40">
        <f t="shared" si="170"/>
        <v>40040</v>
      </c>
      <c r="HB23" s="128" t="e">
        <f t="shared" si="171"/>
        <v>#REF!</v>
      </c>
      <c r="HC23" s="128" t="e">
        <f t="shared" si="82"/>
        <v>#REF!</v>
      </c>
      <c r="HD23" s="128" t="e">
        <f t="shared" si="83"/>
        <v>#REF!</v>
      </c>
      <c r="HE23" s="128" t="e">
        <f t="shared" si="172"/>
        <v>#REF!</v>
      </c>
    </row>
    <row r="24" spans="1:213" ht="18">
      <c r="A24" s="2"/>
      <c r="B24" s="8"/>
      <c r="C24" s="71"/>
      <c r="D24" s="61"/>
      <c r="E24" s="63"/>
      <c r="F24" s="49"/>
      <c r="G24" s="87"/>
      <c r="H24" s="45"/>
      <c r="K24" s="47">
        <v>300000</v>
      </c>
      <c r="M24" s="25">
        <v>2</v>
      </c>
      <c r="N24" s="137">
        <v>20</v>
      </c>
      <c r="O24" s="24">
        <v>4</v>
      </c>
      <c r="P24" s="28">
        <v>60000</v>
      </c>
      <c r="Q24" s="99"/>
      <c r="R24" s="25" t="s">
        <v>260</v>
      </c>
      <c r="S24" s="719">
        <v>40000</v>
      </c>
      <c r="T24" s="105">
        <v>15000</v>
      </c>
      <c r="V24" s="42"/>
      <c r="W24" s="101"/>
      <c r="Y24" s="155"/>
      <c r="Z24" s="156"/>
      <c r="AA24" s="156"/>
      <c r="AB24" s="722">
        <v>170000</v>
      </c>
      <c r="AD24" s="26"/>
      <c r="AE24" s="27"/>
      <c r="AF24" s="778"/>
      <c r="AG24" s="28"/>
      <c r="AH24" s="28"/>
      <c r="AJ24" s="41">
        <v>17</v>
      </c>
      <c r="AK24" s="41">
        <v>27</v>
      </c>
      <c r="AL24" s="890">
        <v>5651440</v>
      </c>
      <c r="AM24" s="40">
        <f t="shared" si="84"/>
        <v>508630</v>
      </c>
      <c r="AN24" s="40">
        <v>183510</v>
      </c>
      <c r="AO24" s="40">
        <v>18810</v>
      </c>
      <c r="AP24" s="891">
        <f t="shared" si="85"/>
        <v>5747510</v>
      </c>
      <c r="AQ24" s="131">
        <f t="shared" si="86"/>
        <v>517280</v>
      </c>
      <c r="AR24" s="130">
        <f t="shared" si="87"/>
        <v>203750</v>
      </c>
      <c r="AS24" s="128">
        <f t="shared" si="88"/>
        <v>13190</v>
      </c>
      <c r="AT24" s="40">
        <f t="shared" si="89"/>
        <v>5948672.8499999996</v>
      </c>
      <c r="AU24" s="40">
        <f t="shared" si="0"/>
        <v>535380</v>
      </c>
      <c r="AV24" s="40">
        <f t="shared" si="1"/>
        <v>214460</v>
      </c>
      <c r="AW24" s="40">
        <f t="shared" si="90"/>
        <v>13880</v>
      </c>
      <c r="AX24" s="128">
        <f t="shared" si="91"/>
        <v>6097389.6712499987</v>
      </c>
      <c r="AY24" s="128">
        <f t="shared" si="2"/>
        <v>548760</v>
      </c>
      <c r="AZ24" s="128">
        <f t="shared" si="3"/>
        <v>219820</v>
      </c>
      <c r="BA24" s="128">
        <f t="shared" si="92"/>
        <v>14230</v>
      </c>
      <c r="BB24" s="40">
        <f t="shared" si="93"/>
        <v>6249824.4130312484</v>
      </c>
      <c r="BC24" s="40">
        <f t="shared" si="4"/>
        <v>562480</v>
      </c>
      <c r="BD24" s="40">
        <f t="shared" si="5"/>
        <v>230950</v>
      </c>
      <c r="BE24" s="40">
        <f t="shared" si="94"/>
        <v>14950</v>
      </c>
      <c r="BF24" s="128">
        <f t="shared" si="95"/>
        <v>6406070.0233570291</v>
      </c>
      <c r="BG24" s="128">
        <f t="shared" si="6"/>
        <v>576540</v>
      </c>
      <c r="BH24" s="128">
        <f t="shared" si="7"/>
        <v>236720</v>
      </c>
      <c r="BI24" s="128">
        <f t="shared" si="96"/>
        <v>15320</v>
      </c>
      <c r="BJ24" s="40">
        <f t="shared" si="97"/>
        <v>6566221.7739409544</v>
      </c>
      <c r="BK24" s="40">
        <f t="shared" si="8"/>
        <v>590950</v>
      </c>
      <c r="BL24" s="40">
        <f t="shared" si="9"/>
        <v>248710</v>
      </c>
      <c r="BM24" s="40">
        <f t="shared" si="98"/>
        <v>16100</v>
      </c>
      <c r="BN24" s="128">
        <f t="shared" si="99"/>
        <v>6730377.3182894774</v>
      </c>
      <c r="BO24" s="128">
        <f t="shared" si="10"/>
        <v>605730</v>
      </c>
      <c r="BP24" s="128">
        <f t="shared" si="11"/>
        <v>261300</v>
      </c>
      <c r="BQ24" s="128">
        <f t="shared" si="100"/>
        <v>16910</v>
      </c>
      <c r="BR24" s="40">
        <f t="shared" si="101"/>
        <v>6898636.751246714</v>
      </c>
      <c r="BS24" s="40">
        <f t="shared" si="12"/>
        <v>620870</v>
      </c>
      <c r="BT24" s="40">
        <f t="shared" si="13"/>
        <v>267830</v>
      </c>
      <c r="BU24" s="40">
        <f t="shared" si="102"/>
        <v>17340</v>
      </c>
      <c r="BV24" s="128">
        <f t="shared" si="103"/>
        <v>7071102.6700278809</v>
      </c>
      <c r="BW24" s="128">
        <f t="shared" si="14"/>
        <v>636390</v>
      </c>
      <c r="BX24" s="128">
        <f t="shared" si="15"/>
        <v>281390</v>
      </c>
      <c r="BY24" s="128">
        <f t="shared" si="104"/>
        <v>18220</v>
      </c>
      <c r="BZ24" s="40">
        <f t="shared" si="105"/>
        <v>7247880.2367785778</v>
      </c>
      <c r="CA24" s="40">
        <f t="shared" si="16"/>
        <v>652300</v>
      </c>
      <c r="CB24" s="40">
        <f t="shared" si="17"/>
        <v>288430</v>
      </c>
      <c r="CC24" s="40">
        <f t="shared" si="106"/>
        <v>18670</v>
      </c>
      <c r="CD24" s="128">
        <f t="shared" si="107"/>
        <v>7429077.2426980417</v>
      </c>
      <c r="CE24" s="128">
        <f t="shared" si="18"/>
        <v>668610</v>
      </c>
      <c r="CF24" s="128">
        <f t="shared" si="19"/>
        <v>295640</v>
      </c>
      <c r="CG24" s="128">
        <f t="shared" si="108"/>
        <v>19140</v>
      </c>
      <c r="CH24" s="40">
        <f t="shared" si="109"/>
        <v>7614804.1737654917</v>
      </c>
      <c r="CI24" s="40">
        <f t="shared" si="20"/>
        <v>685330</v>
      </c>
      <c r="CJ24" s="40">
        <f t="shared" si="21"/>
        <v>303030</v>
      </c>
      <c r="CK24" s="40">
        <f t="shared" si="110"/>
        <v>19620</v>
      </c>
      <c r="CL24" s="128">
        <f t="shared" si="111"/>
        <v>7805174.2781096287</v>
      </c>
      <c r="CM24" s="128">
        <f t="shared" si="22"/>
        <v>702460</v>
      </c>
      <c r="CN24" s="128">
        <f t="shared" si="23"/>
        <v>310600</v>
      </c>
      <c r="CO24" s="128">
        <f t="shared" si="112"/>
        <v>20110</v>
      </c>
      <c r="CP24" s="40">
        <f t="shared" si="113"/>
        <v>8000303.6350623686</v>
      </c>
      <c r="CQ24" s="40">
        <f t="shared" si="24"/>
        <v>720020</v>
      </c>
      <c r="CR24" s="40">
        <f t="shared" si="25"/>
        <v>318370</v>
      </c>
      <c r="CS24" s="40">
        <f t="shared" si="114"/>
        <v>20610</v>
      </c>
      <c r="CT24" s="128">
        <f t="shared" si="115"/>
        <v>8200311.2259389274</v>
      </c>
      <c r="CU24" s="128">
        <f t="shared" si="26"/>
        <v>738020</v>
      </c>
      <c r="CV24" s="128">
        <f t="shared" si="27"/>
        <v>326330</v>
      </c>
      <c r="CW24" s="128">
        <f t="shared" si="116"/>
        <v>21120</v>
      </c>
      <c r="CX24" s="40">
        <f t="shared" si="117"/>
        <v>8405319.0065873992</v>
      </c>
      <c r="CY24" s="40">
        <f t="shared" si="28"/>
        <v>756470</v>
      </c>
      <c r="CZ24" s="40">
        <f t="shared" si="29"/>
        <v>334490</v>
      </c>
      <c r="DA24" s="40">
        <f t="shared" si="118"/>
        <v>21650</v>
      </c>
      <c r="DB24" s="128">
        <f t="shared" si="119"/>
        <v>8615451.9817520827</v>
      </c>
      <c r="DC24" s="128">
        <f t="shared" si="30"/>
        <v>775390</v>
      </c>
      <c r="DD24" s="128">
        <f t="shared" si="31"/>
        <v>342850</v>
      </c>
      <c r="DE24" s="128">
        <f t="shared" si="120"/>
        <v>22190</v>
      </c>
      <c r="DF24" s="40">
        <f t="shared" si="121"/>
        <v>8830838.2812958844</v>
      </c>
      <c r="DG24" s="40">
        <f t="shared" si="32"/>
        <v>794770</v>
      </c>
      <c r="DH24" s="40">
        <f t="shared" si="33"/>
        <v>351420</v>
      </c>
      <c r="DI24" s="40">
        <f t="shared" si="122"/>
        <v>22750</v>
      </c>
      <c r="DJ24" s="128">
        <f t="shared" si="123"/>
        <v>9051609.2383282799</v>
      </c>
      <c r="DK24" s="128">
        <f t="shared" si="34"/>
        <v>814640</v>
      </c>
      <c r="DL24" s="128">
        <f t="shared" si="35"/>
        <v>360210</v>
      </c>
      <c r="DM24" s="128">
        <f t="shared" si="124"/>
        <v>23320</v>
      </c>
      <c r="DN24" s="40">
        <f t="shared" si="125"/>
        <v>9277899.4692864865</v>
      </c>
      <c r="DO24" s="40">
        <f t="shared" si="36"/>
        <v>835010</v>
      </c>
      <c r="DP24" s="40">
        <f t="shared" si="37"/>
        <v>369210</v>
      </c>
      <c r="DQ24" s="40">
        <f t="shared" si="126"/>
        <v>23900</v>
      </c>
      <c r="DR24" s="128">
        <f t="shared" si="127"/>
        <v>9509846.9560186472</v>
      </c>
      <c r="DS24" s="128">
        <f t="shared" si="38"/>
        <v>855880</v>
      </c>
      <c r="DT24" s="128">
        <f t="shared" si="39"/>
        <v>378440</v>
      </c>
      <c r="DU24" s="128">
        <f t="shared" si="128"/>
        <v>24500</v>
      </c>
      <c r="DV24" s="40">
        <f t="shared" si="129"/>
        <v>9747593.1299191117</v>
      </c>
      <c r="DW24" s="40">
        <f t="shared" si="40"/>
        <v>877280</v>
      </c>
      <c r="DX24" s="40">
        <f t="shared" si="41"/>
        <v>387900</v>
      </c>
      <c r="DY24" s="40">
        <f t="shared" si="130"/>
        <v>25110</v>
      </c>
      <c r="DZ24" s="128">
        <f t="shared" si="131"/>
        <v>9991282.9581670891</v>
      </c>
      <c r="EA24" s="128">
        <f t="shared" si="42"/>
        <v>899210</v>
      </c>
      <c r="EB24" s="128">
        <f t="shared" si="43"/>
        <v>397600</v>
      </c>
      <c r="EC24" s="128">
        <f t="shared" si="132"/>
        <v>25740</v>
      </c>
      <c r="ED24" s="40">
        <f t="shared" si="133"/>
        <v>10241065.032121265</v>
      </c>
      <c r="EE24" s="40">
        <f t="shared" si="44"/>
        <v>921690</v>
      </c>
      <c r="EF24" s="40">
        <f t="shared" si="45"/>
        <v>407540</v>
      </c>
      <c r="EG24" s="40">
        <f t="shared" si="134"/>
        <v>26380</v>
      </c>
      <c r="EH24" s="128">
        <f t="shared" si="135"/>
        <v>10497091.657924296</v>
      </c>
      <c r="EI24" s="128">
        <f t="shared" si="46"/>
        <v>944730</v>
      </c>
      <c r="EJ24" s="128">
        <f t="shared" si="47"/>
        <v>417730</v>
      </c>
      <c r="EK24" s="128">
        <f t="shared" si="136"/>
        <v>27040</v>
      </c>
      <c r="EL24" s="40">
        <f t="shared" si="137"/>
        <v>10759518.949372403</v>
      </c>
      <c r="EM24" s="40">
        <f t="shared" si="48"/>
        <v>968350</v>
      </c>
      <c r="EN24" s="40">
        <f t="shared" si="49"/>
        <v>428170</v>
      </c>
      <c r="EO24" s="40">
        <f t="shared" si="138"/>
        <v>27720</v>
      </c>
      <c r="EP24" s="128">
        <f t="shared" si="139"/>
        <v>11028506.923106713</v>
      </c>
      <c r="EQ24" s="128">
        <f t="shared" si="50"/>
        <v>992560</v>
      </c>
      <c r="ER24" s="128">
        <f t="shared" si="51"/>
        <v>438880</v>
      </c>
      <c r="ES24" s="128">
        <f t="shared" si="140"/>
        <v>28410</v>
      </c>
      <c r="ET24" s="40">
        <f t="shared" si="141"/>
        <v>11304219.59618438</v>
      </c>
      <c r="EU24" s="40">
        <f t="shared" si="52"/>
        <v>1017370</v>
      </c>
      <c r="EV24" s="40">
        <f t="shared" si="53"/>
        <v>449850</v>
      </c>
      <c r="EW24" s="40">
        <f t="shared" si="142"/>
        <v>29120</v>
      </c>
      <c r="EX24" s="128">
        <f t="shared" si="143"/>
        <v>11586825.086088989</v>
      </c>
      <c r="EY24" s="128">
        <f t="shared" si="54"/>
        <v>1042810</v>
      </c>
      <c r="EZ24" s="128">
        <f t="shared" si="55"/>
        <v>461100</v>
      </c>
      <c r="FA24" s="128">
        <f t="shared" si="144"/>
        <v>29850</v>
      </c>
      <c r="FB24" s="40">
        <f t="shared" si="145"/>
        <v>11876495.713241212</v>
      </c>
      <c r="FC24" s="40">
        <f t="shared" si="56"/>
        <v>1068880</v>
      </c>
      <c r="FD24" s="40">
        <f t="shared" si="57"/>
        <v>472620</v>
      </c>
      <c r="FE24" s="40">
        <f t="shared" si="146"/>
        <v>30600</v>
      </c>
      <c r="FF24" s="128">
        <f t="shared" si="147"/>
        <v>12173408.106072241</v>
      </c>
      <c r="FG24" s="128">
        <f t="shared" si="58"/>
        <v>1095600</v>
      </c>
      <c r="FH24" s="128">
        <f t="shared" si="59"/>
        <v>484440</v>
      </c>
      <c r="FI24" s="128">
        <f t="shared" si="148"/>
        <v>31360</v>
      </c>
      <c r="FJ24" s="40">
        <f t="shared" si="149"/>
        <v>12477743.308724046</v>
      </c>
      <c r="FK24" s="40">
        <f t="shared" si="60"/>
        <v>1122990</v>
      </c>
      <c r="FL24" s="40">
        <f t="shared" si="61"/>
        <v>496550</v>
      </c>
      <c r="FM24" s="40">
        <f t="shared" si="150"/>
        <v>32150</v>
      </c>
      <c r="FN24" s="128">
        <f t="shared" si="151"/>
        <v>12789686.891442146</v>
      </c>
      <c r="FO24" s="128">
        <f t="shared" si="62"/>
        <v>1151070</v>
      </c>
      <c r="FP24" s="128">
        <f t="shared" si="63"/>
        <v>508970</v>
      </c>
      <c r="FQ24" s="128">
        <f t="shared" si="152"/>
        <v>32950</v>
      </c>
      <c r="FR24" s="40">
        <f t="shared" si="153"/>
        <v>13109429.063728198</v>
      </c>
      <c r="FS24" s="40">
        <f t="shared" si="64"/>
        <v>1179840</v>
      </c>
      <c r="FT24" s="40">
        <f t="shared" si="65"/>
        <v>521690</v>
      </c>
      <c r="FU24" s="40">
        <f t="shared" si="154"/>
        <v>33770</v>
      </c>
      <c r="FV24" s="128">
        <f t="shared" si="155"/>
        <v>13437164.790321402</v>
      </c>
      <c r="FW24" s="128">
        <f t="shared" si="66"/>
        <v>1209340</v>
      </c>
      <c r="FX24" s="128">
        <f t="shared" si="67"/>
        <v>534730</v>
      </c>
      <c r="FY24" s="128">
        <f t="shared" si="156"/>
        <v>34620</v>
      </c>
      <c r="FZ24" s="40">
        <f t="shared" si="157"/>
        <v>13773093.910079436</v>
      </c>
      <c r="GA24" s="40">
        <f t="shared" si="68"/>
        <v>1239570</v>
      </c>
      <c r="GB24" s="40">
        <f t="shared" si="69"/>
        <v>548100</v>
      </c>
      <c r="GC24" s="40">
        <f t="shared" si="158"/>
        <v>35480</v>
      </c>
      <c r="GD24" s="128">
        <f t="shared" si="159"/>
        <v>14117421.257831421</v>
      </c>
      <c r="GE24" s="128">
        <f t="shared" si="70"/>
        <v>1270560</v>
      </c>
      <c r="GF24" s="128">
        <f t="shared" si="71"/>
        <v>561800</v>
      </c>
      <c r="GG24" s="128">
        <f t="shared" si="160"/>
        <v>36370</v>
      </c>
      <c r="GH24" s="40">
        <f t="shared" si="161"/>
        <v>14470356.789277205</v>
      </c>
      <c r="GI24" s="40">
        <f t="shared" si="72"/>
        <v>1302330</v>
      </c>
      <c r="GJ24" s="40">
        <f t="shared" si="73"/>
        <v>575850</v>
      </c>
      <c r="GK24" s="40">
        <f t="shared" si="162"/>
        <v>37280</v>
      </c>
      <c r="GL24" s="128">
        <f t="shared" si="163"/>
        <v>14832115.709009133</v>
      </c>
      <c r="GM24" s="128">
        <f t="shared" si="74"/>
        <v>1334890</v>
      </c>
      <c r="GN24" s="128">
        <f t="shared" si="75"/>
        <v>590240</v>
      </c>
      <c r="GO24" s="128">
        <f t="shared" si="164"/>
        <v>38210</v>
      </c>
      <c r="GP24" s="40">
        <f t="shared" si="165"/>
        <v>15202918.601734361</v>
      </c>
      <c r="GQ24" s="40">
        <f t="shared" si="76"/>
        <v>1368260</v>
      </c>
      <c r="GR24" s="40">
        <f t="shared" si="77"/>
        <v>605000</v>
      </c>
      <c r="GS24" s="40">
        <f t="shared" si="166"/>
        <v>39170</v>
      </c>
      <c r="GT24" s="128">
        <f t="shared" si="167"/>
        <v>15582991.566777719</v>
      </c>
      <c r="GU24" s="128">
        <f t="shared" si="78"/>
        <v>1402460</v>
      </c>
      <c r="GV24" s="128">
        <f t="shared" si="79"/>
        <v>620130</v>
      </c>
      <c r="GW24" s="128">
        <f t="shared" si="168"/>
        <v>40150</v>
      </c>
      <c r="GX24" s="40">
        <f t="shared" si="169"/>
        <v>15972566.355947161</v>
      </c>
      <c r="GY24" s="40">
        <f t="shared" si="80"/>
        <v>1437530</v>
      </c>
      <c r="GZ24" s="40">
        <f t="shared" si="81"/>
        <v>635630</v>
      </c>
      <c r="HA24" s="40">
        <f t="shared" si="170"/>
        <v>41150</v>
      </c>
      <c r="HB24" s="128" t="e">
        <f t="shared" si="171"/>
        <v>#REF!</v>
      </c>
      <c r="HC24" s="128" t="e">
        <f t="shared" si="82"/>
        <v>#REF!</v>
      </c>
      <c r="HD24" s="128" t="e">
        <f t="shared" si="83"/>
        <v>#REF!</v>
      </c>
      <c r="HE24" s="128" t="e">
        <f t="shared" si="172"/>
        <v>#REF!</v>
      </c>
    </row>
    <row r="25" spans="1:213" ht="18">
      <c r="A25" s="2"/>
      <c r="B25" s="8"/>
      <c r="C25" s="71"/>
      <c r="D25" s="61"/>
      <c r="E25" s="63"/>
      <c r="F25" s="49"/>
      <c r="G25" s="87"/>
      <c r="H25" s="959"/>
      <c r="I25" s="960" t="s">
        <v>417</v>
      </c>
      <c r="K25" s="47"/>
      <c r="M25" s="24" t="s">
        <v>400</v>
      </c>
      <c r="N25" s="137">
        <v>21</v>
      </c>
      <c r="O25" s="24">
        <v>5</v>
      </c>
      <c r="P25" s="28">
        <v>65000</v>
      </c>
      <c r="Q25" s="99"/>
      <c r="R25" s="25" t="s">
        <v>252</v>
      </c>
      <c r="S25" s="719">
        <v>50000</v>
      </c>
      <c r="T25" s="105">
        <v>20000</v>
      </c>
      <c r="V25" s="42"/>
      <c r="W25" s="101"/>
      <c r="Y25" s="155"/>
      <c r="Z25" s="156"/>
      <c r="AA25" s="156"/>
      <c r="AB25" s="721">
        <v>180000</v>
      </c>
      <c r="AD25" s="26"/>
      <c r="AE25" s="27"/>
      <c r="AF25" s="778"/>
      <c r="AG25" s="28"/>
      <c r="AH25" s="28"/>
      <c r="AJ25" s="41">
        <v>18</v>
      </c>
      <c r="AK25" s="41">
        <v>28</v>
      </c>
      <c r="AL25" s="890">
        <v>5802870</v>
      </c>
      <c r="AM25" s="40">
        <f t="shared" si="84"/>
        <v>522260</v>
      </c>
      <c r="AN25" s="40">
        <v>188430</v>
      </c>
      <c r="AO25" s="40">
        <v>19310</v>
      </c>
      <c r="AP25" s="891">
        <f t="shared" si="85"/>
        <v>5901520</v>
      </c>
      <c r="AQ25" s="131">
        <f t="shared" si="86"/>
        <v>531140</v>
      </c>
      <c r="AR25" s="130">
        <f t="shared" si="87"/>
        <v>209210</v>
      </c>
      <c r="AS25" s="128">
        <f t="shared" si="88"/>
        <v>13550</v>
      </c>
      <c r="AT25" s="40">
        <f t="shared" si="89"/>
        <v>6108073.1999999993</v>
      </c>
      <c r="AU25" s="40">
        <f t="shared" si="0"/>
        <v>549720</v>
      </c>
      <c r="AV25" s="40">
        <f t="shared" si="1"/>
        <v>220210</v>
      </c>
      <c r="AW25" s="40">
        <f t="shared" si="90"/>
        <v>14250</v>
      </c>
      <c r="AX25" s="128">
        <f t="shared" si="91"/>
        <v>6260775.0299999984</v>
      </c>
      <c r="AY25" s="128">
        <f t="shared" si="2"/>
        <v>563460</v>
      </c>
      <c r="AZ25" s="128">
        <f t="shared" si="3"/>
        <v>225710</v>
      </c>
      <c r="BA25" s="128">
        <f t="shared" si="92"/>
        <v>14610</v>
      </c>
      <c r="BB25" s="40">
        <f t="shared" si="93"/>
        <v>6417294.4057499981</v>
      </c>
      <c r="BC25" s="40">
        <f t="shared" si="4"/>
        <v>577550</v>
      </c>
      <c r="BD25" s="40">
        <f t="shared" si="5"/>
        <v>237140</v>
      </c>
      <c r="BE25" s="40">
        <f t="shared" si="94"/>
        <v>15350</v>
      </c>
      <c r="BF25" s="128">
        <f t="shared" si="95"/>
        <v>6577726.7658937471</v>
      </c>
      <c r="BG25" s="128">
        <f t="shared" si="6"/>
        <v>591990</v>
      </c>
      <c r="BH25" s="128">
        <f t="shared" si="7"/>
        <v>243070</v>
      </c>
      <c r="BI25" s="128">
        <f t="shared" si="96"/>
        <v>15730</v>
      </c>
      <c r="BJ25" s="40">
        <f t="shared" si="97"/>
        <v>6742169.9350410905</v>
      </c>
      <c r="BK25" s="40">
        <f t="shared" si="8"/>
        <v>606790</v>
      </c>
      <c r="BL25" s="40">
        <f t="shared" si="9"/>
        <v>255370</v>
      </c>
      <c r="BM25" s="40">
        <f t="shared" si="98"/>
        <v>16530</v>
      </c>
      <c r="BN25" s="128">
        <f t="shared" si="99"/>
        <v>6910724.1834171172</v>
      </c>
      <c r="BO25" s="128">
        <f t="shared" si="10"/>
        <v>621960</v>
      </c>
      <c r="BP25" s="128">
        <f t="shared" si="11"/>
        <v>268300</v>
      </c>
      <c r="BQ25" s="128">
        <f t="shared" si="100"/>
        <v>17370</v>
      </c>
      <c r="BR25" s="40">
        <f t="shared" si="101"/>
        <v>7083492.2880025441</v>
      </c>
      <c r="BS25" s="40">
        <f t="shared" si="12"/>
        <v>637510</v>
      </c>
      <c r="BT25" s="40">
        <f t="shared" si="13"/>
        <v>275010</v>
      </c>
      <c r="BU25" s="40">
        <f t="shared" si="102"/>
        <v>17800</v>
      </c>
      <c r="BV25" s="128">
        <f t="shared" si="103"/>
        <v>7260579.5952026071</v>
      </c>
      <c r="BW25" s="128">
        <f t="shared" si="14"/>
        <v>653450</v>
      </c>
      <c r="BX25" s="128">
        <f t="shared" si="15"/>
        <v>288930</v>
      </c>
      <c r="BY25" s="128">
        <f t="shared" si="104"/>
        <v>18700</v>
      </c>
      <c r="BZ25" s="40">
        <f t="shared" si="105"/>
        <v>7442094.0850826716</v>
      </c>
      <c r="CA25" s="40">
        <f t="shared" si="16"/>
        <v>669780</v>
      </c>
      <c r="CB25" s="40">
        <f t="shared" si="17"/>
        <v>296160</v>
      </c>
      <c r="CC25" s="40">
        <f t="shared" si="106"/>
        <v>19170</v>
      </c>
      <c r="CD25" s="128">
        <f t="shared" si="107"/>
        <v>7628146.4372097375</v>
      </c>
      <c r="CE25" s="128">
        <f t="shared" si="18"/>
        <v>686530</v>
      </c>
      <c r="CF25" s="128">
        <f t="shared" si="19"/>
        <v>303560</v>
      </c>
      <c r="CG25" s="128">
        <f t="shared" si="108"/>
        <v>19650</v>
      </c>
      <c r="CH25" s="40">
        <f t="shared" si="109"/>
        <v>7818850.0981399799</v>
      </c>
      <c r="CI25" s="40">
        <f t="shared" si="20"/>
        <v>703690</v>
      </c>
      <c r="CJ25" s="40">
        <f t="shared" si="21"/>
        <v>311150</v>
      </c>
      <c r="CK25" s="40">
        <f t="shared" si="110"/>
        <v>20140</v>
      </c>
      <c r="CL25" s="128">
        <f t="shared" si="111"/>
        <v>8014321.3505934784</v>
      </c>
      <c r="CM25" s="128">
        <f t="shared" si="22"/>
        <v>721280</v>
      </c>
      <c r="CN25" s="128">
        <f t="shared" si="23"/>
        <v>318930</v>
      </c>
      <c r="CO25" s="128">
        <f t="shared" si="112"/>
        <v>20650</v>
      </c>
      <c r="CP25" s="40">
        <f t="shared" si="113"/>
        <v>8214679.3843583148</v>
      </c>
      <c r="CQ25" s="40">
        <f t="shared" si="24"/>
        <v>739320</v>
      </c>
      <c r="CR25" s="40">
        <f t="shared" si="25"/>
        <v>326900</v>
      </c>
      <c r="CS25" s="40">
        <f t="shared" si="114"/>
        <v>21160</v>
      </c>
      <c r="CT25" s="128">
        <f t="shared" si="115"/>
        <v>8420046.3689672723</v>
      </c>
      <c r="CU25" s="128">
        <f t="shared" si="26"/>
        <v>757800</v>
      </c>
      <c r="CV25" s="128">
        <f t="shared" si="27"/>
        <v>335070</v>
      </c>
      <c r="CW25" s="128">
        <f t="shared" si="116"/>
        <v>21690</v>
      </c>
      <c r="CX25" s="40">
        <f t="shared" si="117"/>
        <v>8630547.5281914528</v>
      </c>
      <c r="CY25" s="40">
        <f t="shared" si="28"/>
        <v>776740</v>
      </c>
      <c r="CZ25" s="40">
        <f t="shared" si="29"/>
        <v>343450</v>
      </c>
      <c r="DA25" s="40">
        <f t="shared" si="118"/>
        <v>22230</v>
      </c>
      <c r="DB25" s="128">
        <f t="shared" si="119"/>
        <v>8846311.2163962387</v>
      </c>
      <c r="DC25" s="128">
        <f t="shared" si="30"/>
        <v>796160</v>
      </c>
      <c r="DD25" s="128">
        <f t="shared" si="31"/>
        <v>352040</v>
      </c>
      <c r="DE25" s="128">
        <f t="shared" si="120"/>
        <v>22790</v>
      </c>
      <c r="DF25" s="40">
        <f t="shared" si="121"/>
        <v>9067468.9968061447</v>
      </c>
      <c r="DG25" s="40">
        <f t="shared" si="32"/>
        <v>816070</v>
      </c>
      <c r="DH25" s="40">
        <f t="shared" si="33"/>
        <v>360840</v>
      </c>
      <c r="DI25" s="40">
        <f t="shared" si="122"/>
        <v>23360</v>
      </c>
      <c r="DJ25" s="128">
        <f t="shared" si="123"/>
        <v>9294155.7217262983</v>
      </c>
      <c r="DK25" s="128">
        <f t="shared" si="34"/>
        <v>836470</v>
      </c>
      <c r="DL25" s="128">
        <f t="shared" si="35"/>
        <v>369860</v>
      </c>
      <c r="DM25" s="128">
        <f t="shared" si="124"/>
        <v>23940</v>
      </c>
      <c r="DN25" s="40">
        <f t="shared" si="125"/>
        <v>9526509.614769455</v>
      </c>
      <c r="DO25" s="40">
        <f t="shared" si="36"/>
        <v>857380</v>
      </c>
      <c r="DP25" s="40">
        <f t="shared" si="37"/>
        <v>379110</v>
      </c>
      <c r="DQ25" s="40">
        <f t="shared" si="126"/>
        <v>24540</v>
      </c>
      <c r="DR25" s="128">
        <f t="shared" si="127"/>
        <v>9764672.3551386911</v>
      </c>
      <c r="DS25" s="128">
        <f t="shared" si="38"/>
        <v>878820</v>
      </c>
      <c r="DT25" s="128">
        <f t="shared" si="39"/>
        <v>388580</v>
      </c>
      <c r="DU25" s="128">
        <f t="shared" si="128"/>
        <v>25160</v>
      </c>
      <c r="DV25" s="40">
        <f t="shared" si="129"/>
        <v>10008789.164017158</v>
      </c>
      <c r="DW25" s="40">
        <f t="shared" si="40"/>
        <v>900790</v>
      </c>
      <c r="DX25" s="40">
        <f t="shared" si="41"/>
        <v>398300</v>
      </c>
      <c r="DY25" s="40">
        <f t="shared" si="130"/>
        <v>25780</v>
      </c>
      <c r="DZ25" s="128">
        <f t="shared" si="131"/>
        <v>10259008.893117586</v>
      </c>
      <c r="EA25" s="128">
        <f t="shared" si="42"/>
        <v>923310</v>
      </c>
      <c r="EB25" s="128">
        <f t="shared" si="43"/>
        <v>408260</v>
      </c>
      <c r="EC25" s="128">
        <f t="shared" si="132"/>
        <v>26430</v>
      </c>
      <c r="ED25" s="40">
        <f t="shared" si="133"/>
        <v>10515484.115445524</v>
      </c>
      <c r="EE25" s="40">
        <f t="shared" si="44"/>
        <v>946390</v>
      </c>
      <c r="EF25" s="40">
        <f t="shared" si="45"/>
        <v>418460</v>
      </c>
      <c r="EG25" s="40">
        <f t="shared" si="134"/>
        <v>27090</v>
      </c>
      <c r="EH25" s="128">
        <f t="shared" si="135"/>
        <v>10778371.218331661</v>
      </c>
      <c r="EI25" s="128">
        <f t="shared" si="46"/>
        <v>970050</v>
      </c>
      <c r="EJ25" s="128">
        <f t="shared" si="47"/>
        <v>428920</v>
      </c>
      <c r="EK25" s="128">
        <f t="shared" si="136"/>
        <v>27770</v>
      </c>
      <c r="EL25" s="40">
        <f t="shared" si="137"/>
        <v>11047830.498789951</v>
      </c>
      <c r="EM25" s="40">
        <f t="shared" si="48"/>
        <v>994300</v>
      </c>
      <c r="EN25" s="40">
        <f t="shared" si="49"/>
        <v>439650</v>
      </c>
      <c r="EO25" s="40">
        <f t="shared" si="138"/>
        <v>28460</v>
      </c>
      <c r="EP25" s="128">
        <f t="shared" si="139"/>
        <v>11324026.261259699</v>
      </c>
      <c r="EQ25" s="128">
        <f t="shared" si="50"/>
        <v>1019160</v>
      </c>
      <c r="ER25" s="128">
        <f t="shared" si="51"/>
        <v>450640</v>
      </c>
      <c r="ES25" s="128">
        <f t="shared" si="140"/>
        <v>29170</v>
      </c>
      <c r="ET25" s="40">
        <f t="shared" si="141"/>
        <v>11607126.917791191</v>
      </c>
      <c r="EU25" s="40">
        <f t="shared" si="52"/>
        <v>1044640</v>
      </c>
      <c r="EV25" s="40">
        <f t="shared" si="53"/>
        <v>461910</v>
      </c>
      <c r="EW25" s="40">
        <f t="shared" si="142"/>
        <v>29900</v>
      </c>
      <c r="EX25" s="128">
        <f t="shared" si="143"/>
        <v>11897305.09073597</v>
      </c>
      <c r="EY25" s="128">
        <f t="shared" si="54"/>
        <v>1070750</v>
      </c>
      <c r="EZ25" s="128">
        <f t="shared" si="55"/>
        <v>473450</v>
      </c>
      <c r="FA25" s="128">
        <f t="shared" si="144"/>
        <v>30650</v>
      </c>
      <c r="FB25" s="40">
        <f t="shared" si="145"/>
        <v>12194737.718004368</v>
      </c>
      <c r="FC25" s="40">
        <f t="shared" si="56"/>
        <v>1097520</v>
      </c>
      <c r="FD25" s="40">
        <f t="shared" si="57"/>
        <v>485290</v>
      </c>
      <c r="FE25" s="40">
        <f t="shared" si="146"/>
        <v>31420</v>
      </c>
      <c r="FF25" s="128">
        <f t="shared" si="147"/>
        <v>12499606.160954477</v>
      </c>
      <c r="FG25" s="128">
        <f t="shared" si="58"/>
        <v>1124960</v>
      </c>
      <c r="FH25" s="128">
        <f t="shared" si="59"/>
        <v>497420</v>
      </c>
      <c r="FI25" s="128">
        <f t="shared" si="148"/>
        <v>32200</v>
      </c>
      <c r="FJ25" s="40">
        <f t="shared" si="149"/>
        <v>12812096.314978339</v>
      </c>
      <c r="FK25" s="40">
        <f t="shared" si="60"/>
        <v>1153080</v>
      </c>
      <c r="FL25" s="40">
        <f t="shared" si="61"/>
        <v>509860</v>
      </c>
      <c r="FM25" s="40">
        <f t="shared" si="150"/>
        <v>33010</v>
      </c>
      <c r="FN25" s="128">
        <f t="shared" si="151"/>
        <v>13132398.722852796</v>
      </c>
      <c r="FO25" s="128">
        <f t="shared" si="62"/>
        <v>1181910</v>
      </c>
      <c r="FP25" s="128">
        <f t="shared" si="63"/>
        <v>522600</v>
      </c>
      <c r="FQ25" s="128">
        <f t="shared" si="152"/>
        <v>33830</v>
      </c>
      <c r="FR25" s="40">
        <f t="shared" si="153"/>
        <v>13460708.690924115</v>
      </c>
      <c r="FS25" s="40">
        <f t="shared" si="64"/>
        <v>1211460</v>
      </c>
      <c r="FT25" s="40">
        <f t="shared" si="65"/>
        <v>535670</v>
      </c>
      <c r="FU25" s="40">
        <f t="shared" si="154"/>
        <v>34680</v>
      </c>
      <c r="FV25" s="128">
        <f t="shared" si="155"/>
        <v>13797226.408197217</v>
      </c>
      <c r="FW25" s="128">
        <f t="shared" si="66"/>
        <v>1241750</v>
      </c>
      <c r="FX25" s="128">
        <f t="shared" si="67"/>
        <v>549060</v>
      </c>
      <c r="FY25" s="128">
        <f t="shared" si="156"/>
        <v>35550</v>
      </c>
      <c r="FZ25" s="40">
        <f t="shared" si="157"/>
        <v>14142157.068402145</v>
      </c>
      <c r="GA25" s="40">
        <f t="shared" si="68"/>
        <v>1272790</v>
      </c>
      <c r="GB25" s="40">
        <f t="shared" si="69"/>
        <v>562790</v>
      </c>
      <c r="GC25" s="40">
        <f t="shared" si="158"/>
        <v>36440</v>
      </c>
      <c r="GD25" s="128">
        <f t="shared" si="159"/>
        <v>14495710.995112197</v>
      </c>
      <c r="GE25" s="128">
        <f t="shared" si="70"/>
        <v>1304610</v>
      </c>
      <c r="GF25" s="128">
        <f t="shared" si="71"/>
        <v>576860</v>
      </c>
      <c r="GG25" s="128">
        <f t="shared" si="160"/>
        <v>37350</v>
      </c>
      <c r="GH25" s="40">
        <f t="shared" si="161"/>
        <v>14858103.769990001</v>
      </c>
      <c r="GI25" s="40">
        <f t="shared" si="72"/>
        <v>1337220</v>
      </c>
      <c r="GJ25" s="40">
        <f t="shared" si="73"/>
        <v>591280</v>
      </c>
      <c r="GK25" s="40">
        <f t="shared" si="162"/>
        <v>38280</v>
      </c>
      <c r="GL25" s="128">
        <f t="shared" si="163"/>
        <v>15229556.36423975</v>
      </c>
      <c r="GM25" s="128">
        <f t="shared" si="74"/>
        <v>1370660</v>
      </c>
      <c r="GN25" s="128">
        <f t="shared" si="75"/>
        <v>606060</v>
      </c>
      <c r="GO25" s="128">
        <f t="shared" si="164"/>
        <v>39240</v>
      </c>
      <c r="GP25" s="40">
        <f t="shared" si="165"/>
        <v>15610295.273345742</v>
      </c>
      <c r="GQ25" s="40">
        <f t="shared" si="76"/>
        <v>1404920</v>
      </c>
      <c r="GR25" s="40">
        <f t="shared" si="77"/>
        <v>621210</v>
      </c>
      <c r="GS25" s="40">
        <f t="shared" si="166"/>
        <v>40220</v>
      </c>
      <c r="GT25" s="128">
        <f t="shared" si="167"/>
        <v>16000552.655179385</v>
      </c>
      <c r="GU25" s="128">
        <f t="shared" si="78"/>
        <v>1440040</v>
      </c>
      <c r="GV25" s="128">
        <f t="shared" si="79"/>
        <v>636740</v>
      </c>
      <c r="GW25" s="128">
        <f t="shared" si="168"/>
        <v>41220</v>
      </c>
      <c r="GX25" s="40">
        <f t="shared" si="169"/>
        <v>16400566.471558869</v>
      </c>
      <c r="GY25" s="40">
        <f t="shared" si="80"/>
        <v>1476050</v>
      </c>
      <c r="GZ25" s="40">
        <f t="shared" si="81"/>
        <v>652660</v>
      </c>
      <c r="HA25" s="40">
        <f t="shared" si="170"/>
        <v>42250</v>
      </c>
      <c r="HB25" s="128" t="e">
        <f t="shared" si="171"/>
        <v>#REF!</v>
      </c>
      <c r="HC25" s="128" t="e">
        <f t="shared" si="82"/>
        <v>#REF!</v>
      </c>
      <c r="HD25" s="128" t="e">
        <f t="shared" si="83"/>
        <v>#REF!</v>
      </c>
      <c r="HE25" s="128" t="e">
        <f t="shared" si="172"/>
        <v>#REF!</v>
      </c>
    </row>
    <row r="26" spans="1:213" ht="18">
      <c r="A26" s="11"/>
      <c r="B26" s="12"/>
      <c r="C26" s="78"/>
      <c r="D26" s="79"/>
      <c r="E26" s="67"/>
      <c r="F26" s="53"/>
      <c r="G26" s="87"/>
      <c r="H26" s="959"/>
      <c r="I26" s="960" t="s">
        <v>622</v>
      </c>
      <c r="K26" s="47"/>
      <c r="M26" s="24" t="s">
        <v>349</v>
      </c>
      <c r="N26" s="137">
        <v>22</v>
      </c>
      <c r="O26" s="24">
        <v>6</v>
      </c>
      <c r="P26" s="28">
        <v>70000</v>
      </c>
      <c r="Q26" s="99"/>
      <c r="R26" s="25" t="s">
        <v>268</v>
      </c>
      <c r="S26" s="719">
        <v>60000</v>
      </c>
      <c r="T26" s="105">
        <v>25000</v>
      </c>
      <c r="V26" s="42"/>
      <c r="W26" s="101"/>
      <c r="Y26" s="1206"/>
      <c r="Z26" s="1206"/>
      <c r="AA26" s="1206"/>
      <c r="AB26" s="722">
        <v>190000</v>
      </c>
      <c r="AD26" s="26"/>
      <c r="AE26" s="27"/>
      <c r="AF26" s="778"/>
      <c r="AG26" s="28"/>
      <c r="AH26" s="28"/>
      <c r="AJ26" s="41">
        <v>19</v>
      </c>
      <c r="AK26" s="41">
        <v>29</v>
      </c>
      <c r="AL26" s="890">
        <v>5966380</v>
      </c>
      <c r="AM26" s="40">
        <f t="shared" si="84"/>
        <v>536970</v>
      </c>
      <c r="AN26" s="40">
        <v>193740</v>
      </c>
      <c r="AO26" s="40">
        <v>19860</v>
      </c>
      <c r="AP26" s="891">
        <f t="shared" si="85"/>
        <v>6067810</v>
      </c>
      <c r="AQ26" s="131">
        <f t="shared" si="86"/>
        <v>546100</v>
      </c>
      <c r="AR26" s="130">
        <f t="shared" si="87"/>
        <v>215100</v>
      </c>
      <c r="AS26" s="128">
        <f t="shared" si="88"/>
        <v>13930</v>
      </c>
      <c r="AT26" s="40">
        <f t="shared" si="89"/>
        <v>6280183.3499999996</v>
      </c>
      <c r="AU26" s="40">
        <f t="shared" si="0"/>
        <v>565210</v>
      </c>
      <c r="AV26" s="40">
        <f t="shared" si="1"/>
        <v>226410</v>
      </c>
      <c r="AW26" s="40">
        <f t="shared" si="90"/>
        <v>14660</v>
      </c>
      <c r="AX26" s="128">
        <f t="shared" si="91"/>
        <v>6437187.9337499989</v>
      </c>
      <c r="AY26" s="128">
        <f t="shared" si="2"/>
        <v>579340</v>
      </c>
      <c r="AZ26" s="128">
        <f t="shared" si="3"/>
        <v>232070</v>
      </c>
      <c r="BA26" s="128">
        <f t="shared" si="92"/>
        <v>15020</v>
      </c>
      <c r="BB26" s="40">
        <f t="shared" si="93"/>
        <v>6598117.6320937481</v>
      </c>
      <c r="BC26" s="40">
        <f t="shared" si="4"/>
        <v>593830</v>
      </c>
      <c r="BD26" s="40">
        <f t="shared" si="5"/>
        <v>243820</v>
      </c>
      <c r="BE26" s="40">
        <f t="shared" si="94"/>
        <v>15780</v>
      </c>
      <c r="BF26" s="128">
        <f t="shared" si="95"/>
        <v>6763070.5728960913</v>
      </c>
      <c r="BG26" s="128">
        <f t="shared" si="6"/>
        <v>608670</v>
      </c>
      <c r="BH26" s="128">
        <f t="shared" si="7"/>
        <v>249920</v>
      </c>
      <c r="BI26" s="128">
        <f t="shared" si="96"/>
        <v>16180</v>
      </c>
      <c r="BJ26" s="40">
        <f t="shared" si="97"/>
        <v>6932147.3372184932</v>
      </c>
      <c r="BK26" s="40">
        <f t="shared" si="8"/>
        <v>623890</v>
      </c>
      <c r="BL26" s="40">
        <f t="shared" si="9"/>
        <v>262570</v>
      </c>
      <c r="BM26" s="40">
        <f t="shared" si="98"/>
        <v>17000</v>
      </c>
      <c r="BN26" s="128">
        <f t="shared" si="99"/>
        <v>7105451.0206489554</v>
      </c>
      <c r="BO26" s="128">
        <f t="shared" si="10"/>
        <v>639490</v>
      </c>
      <c r="BP26" s="128">
        <f t="shared" si="11"/>
        <v>275860</v>
      </c>
      <c r="BQ26" s="128">
        <f t="shared" si="100"/>
        <v>17860</v>
      </c>
      <c r="BR26" s="40">
        <f t="shared" si="101"/>
        <v>7283087.2961651785</v>
      </c>
      <c r="BS26" s="40">
        <f t="shared" si="12"/>
        <v>655470</v>
      </c>
      <c r="BT26" s="40">
        <f t="shared" si="13"/>
        <v>282760</v>
      </c>
      <c r="BU26" s="40">
        <f t="shared" si="102"/>
        <v>18300</v>
      </c>
      <c r="BV26" s="128">
        <f t="shared" si="103"/>
        <v>7465164.4785693074</v>
      </c>
      <c r="BW26" s="128">
        <f t="shared" si="14"/>
        <v>671860</v>
      </c>
      <c r="BX26" s="128">
        <f t="shared" si="15"/>
        <v>297070</v>
      </c>
      <c r="BY26" s="128">
        <f t="shared" si="104"/>
        <v>19230</v>
      </c>
      <c r="BZ26" s="40">
        <f t="shared" si="105"/>
        <v>7651793.5905335397</v>
      </c>
      <c r="CA26" s="40">
        <f t="shared" si="16"/>
        <v>688660</v>
      </c>
      <c r="CB26" s="40">
        <f t="shared" si="17"/>
        <v>304500</v>
      </c>
      <c r="CC26" s="40">
        <f t="shared" si="106"/>
        <v>19710</v>
      </c>
      <c r="CD26" s="128">
        <f t="shared" si="107"/>
        <v>7843088.4302968774</v>
      </c>
      <c r="CE26" s="128">
        <f t="shared" si="18"/>
        <v>705870</v>
      </c>
      <c r="CF26" s="128">
        <f t="shared" si="19"/>
        <v>312110</v>
      </c>
      <c r="CG26" s="128">
        <f t="shared" si="108"/>
        <v>20200</v>
      </c>
      <c r="CH26" s="40">
        <f t="shared" si="109"/>
        <v>8039165.6410542987</v>
      </c>
      <c r="CI26" s="40">
        <f t="shared" si="20"/>
        <v>723520</v>
      </c>
      <c r="CJ26" s="40">
        <f t="shared" si="21"/>
        <v>319920</v>
      </c>
      <c r="CK26" s="40">
        <f t="shared" si="110"/>
        <v>20710</v>
      </c>
      <c r="CL26" s="128">
        <f t="shared" si="111"/>
        <v>8240144.7820806559</v>
      </c>
      <c r="CM26" s="128">
        <f t="shared" si="22"/>
        <v>741610</v>
      </c>
      <c r="CN26" s="128">
        <f t="shared" si="23"/>
        <v>327910</v>
      </c>
      <c r="CO26" s="128">
        <f t="shared" si="112"/>
        <v>21230</v>
      </c>
      <c r="CP26" s="40">
        <f t="shared" si="113"/>
        <v>8446148.4016326722</v>
      </c>
      <c r="CQ26" s="40">
        <f t="shared" si="24"/>
        <v>760150</v>
      </c>
      <c r="CR26" s="40">
        <f t="shared" si="25"/>
        <v>336110</v>
      </c>
      <c r="CS26" s="40">
        <f t="shared" si="114"/>
        <v>21760</v>
      </c>
      <c r="CT26" s="128">
        <f t="shared" si="115"/>
        <v>8657302.1116734874</v>
      </c>
      <c r="CU26" s="128">
        <f t="shared" si="26"/>
        <v>779150</v>
      </c>
      <c r="CV26" s="128">
        <f t="shared" si="27"/>
        <v>344520</v>
      </c>
      <c r="CW26" s="128">
        <f t="shared" si="116"/>
        <v>22300</v>
      </c>
      <c r="CX26" s="40">
        <f t="shared" si="117"/>
        <v>8873734.6644653231</v>
      </c>
      <c r="CY26" s="40">
        <f t="shared" si="28"/>
        <v>798630</v>
      </c>
      <c r="CZ26" s="40">
        <f t="shared" si="29"/>
        <v>353130</v>
      </c>
      <c r="DA26" s="40">
        <f t="shared" si="118"/>
        <v>22860</v>
      </c>
      <c r="DB26" s="128">
        <f t="shared" si="119"/>
        <v>9095578.0310769547</v>
      </c>
      <c r="DC26" s="128">
        <f t="shared" si="30"/>
        <v>818600</v>
      </c>
      <c r="DD26" s="128">
        <f t="shared" si="31"/>
        <v>361960</v>
      </c>
      <c r="DE26" s="128">
        <f t="shared" si="120"/>
        <v>23430</v>
      </c>
      <c r="DF26" s="40">
        <f t="shared" si="121"/>
        <v>9322967.4818538781</v>
      </c>
      <c r="DG26" s="40">
        <f t="shared" si="32"/>
        <v>839060</v>
      </c>
      <c r="DH26" s="40">
        <f t="shared" si="33"/>
        <v>371010</v>
      </c>
      <c r="DI26" s="40">
        <f t="shared" si="122"/>
        <v>24020</v>
      </c>
      <c r="DJ26" s="128">
        <f t="shared" si="123"/>
        <v>9556041.6689002234</v>
      </c>
      <c r="DK26" s="128">
        <f t="shared" si="34"/>
        <v>860040</v>
      </c>
      <c r="DL26" s="128">
        <f t="shared" si="35"/>
        <v>380280</v>
      </c>
      <c r="DM26" s="128">
        <f t="shared" si="124"/>
        <v>24620</v>
      </c>
      <c r="DN26" s="40">
        <f t="shared" si="125"/>
        <v>9794942.7106227279</v>
      </c>
      <c r="DO26" s="40">
        <f t="shared" si="36"/>
        <v>881540</v>
      </c>
      <c r="DP26" s="40">
        <f t="shared" si="37"/>
        <v>389790</v>
      </c>
      <c r="DQ26" s="40">
        <f t="shared" si="126"/>
        <v>25230</v>
      </c>
      <c r="DR26" s="128">
        <f t="shared" si="127"/>
        <v>10039816.278388295</v>
      </c>
      <c r="DS26" s="128">
        <f t="shared" si="38"/>
        <v>903580</v>
      </c>
      <c r="DT26" s="128">
        <f t="shared" si="39"/>
        <v>399530</v>
      </c>
      <c r="DU26" s="128">
        <f t="shared" si="128"/>
        <v>25860</v>
      </c>
      <c r="DV26" s="40">
        <f t="shared" si="129"/>
        <v>10290811.685348002</v>
      </c>
      <c r="DW26" s="40">
        <f t="shared" si="40"/>
        <v>926170</v>
      </c>
      <c r="DX26" s="40">
        <f t="shared" si="41"/>
        <v>409520</v>
      </c>
      <c r="DY26" s="40">
        <f t="shared" si="130"/>
        <v>26510</v>
      </c>
      <c r="DZ26" s="128">
        <f t="shared" si="131"/>
        <v>10548081.9774817</v>
      </c>
      <c r="EA26" s="128">
        <f t="shared" si="42"/>
        <v>949320</v>
      </c>
      <c r="EB26" s="128">
        <f t="shared" si="43"/>
        <v>419760</v>
      </c>
      <c r="EC26" s="128">
        <f t="shared" si="132"/>
        <v>27170</v>
      </c>
      <c r="ED26" s="40">
        <f t="shared" si="133"/>
        <v>10811784.026918743</v>
      </c>
      <c r="EE26" s="40">
        <f t="shared" si="44"/>
        <v>973060</v>
      </c>
      <c r="EF26" s="40">
        <f t="shared" si="45"/>
        <v>430250</v>
      </c>
      <c r="EG26" s="40">
        <f t="shared" si="134"/>
        <v>27850</v>
      </c>
      <c r="EH26" s="128">
        <f t="shared" si="135"/>
        <v>11082078.627591711</v>
      </c>
      <c r="EI26" s="128">
        <f t="shared" si="46"/>
        <v>997380</v>
      </c>
      <c r="EJ26" s="128">
        <f t="shared" si="47"/>
        <v>441010</v>
      </c>
      <c r="EK26" s="128">
        <f t="shared" si="136"/>
        <v>28550</v>
      </c>
      <c r="EL26" s="40">
        <f t="shared" si="137"/>
        <v>11359130.593281502</v>
      </c>
      <c r="EM26" s="40">
        <f t="shared" si="48"/>
        <v>1022320</v>
      </c>
      <c r="EN26" s="40">
        <f t="shared" si="49"/>
        <v>452040</v>
      </c>
      <c r="EO26" s="40">
        <f t="shared" si="138"/>
        <v>29260</v>
      </c>
      <c r="EP26" s="128">
        <f t="shared" si="139"/>
        <v>11643108.858113538</v>
      </c>
      <c r="EQ26" s="128">
        <f t="shared" si="50"/>
        <v>1047870</v>
      </c>
      <c r="ER26" s="128">
        <f t="shared" si="51"/>
        <v>463340</v>
      </c>
      <c r="ES26" s="128">
        <f t="shared" si="140"/>
        <v>30000</v>
      </c>
      <c r="ET26" s="40">
        <f t="shared" si="141"/>
        <v>11934186.579566376</v>
      </c>
      <c r="EU26" s="40">
        <f t="shared" si="52"/>
        <v>1074070</v>
      </c>
      <c r="EV26" s="40">
        <f t="shared" si="53"/>
        <v>474920</v>
      </c>
      <c r="EW26" s="40">
        <f t="shared" si="142"/>
        <v>30750</v>
      </c>
      <c r="EX26" s="128">
        <f t="shared" si="143"/>
        <v>12232541.244055534</v>
      </c>
      <c r="EY26" s="128">
        <f t="shared" si="54"/>
        <v>1100920</v>
      </c>
      <c r="EZ26" s="128">
        <f t="shared" si="55"/>
        <v>486790</v>
      </c>
      <c r="FA26" s="128">
        <f t="shared" si="144"/>
        <v>31510</v>
      </c>
      <c r="FB26" s="40">
        <f t="shared" si="145"/>
        <v>12538354.775156921</v>
      </c>
      <c r="FC26" s="40">
        <f t="shared" si="56"/>
        <v>1128450</v>
      </c>
      <c r="FD26" s="40">
        <f t="shared" si="57"/>
        <v>498960</v>
      </c>
      <c r="FE26" s="40">
        <f t="shared" si="146"/>
        <v>32300</v>
      </c>
      <c r="FF26" s="128">
        <f t="shared" si="147"/>
        <v>12851813.644535843</v>
      </c>
      <c r="FG26" s="128">
        <f t="shared" si="58"/>
        <v>1156660</v>
      </c>
      <c r="FH26" s="128">
        <f t="shared" si="59"/>
        <v>511440</v>
      </c>
      <c r="FI26" s="128">
        <f t="shared" si="148"/>
        <v>33110</v>
      </c>
      <c r="FJ26" s="40">
        <f t="shared" si="149"/>
        <v>13173108.985649237</v>
      </c>
      <c r="FK26" s="40">
        <f t="shared" si="60"/>
        <v>1185570</v>
      </c>
      <c r="FL26" s="40">
        <f t="shared" si="61"/>
        <v>524220</v>
      </c>
      <c r="FM26" s="40">
        <f t="shared" si="150"/>
        <v>33940</v>
      </c>
      <c r="FN26" s="128">
        <f t="shared" si="151"/>
        <v>13502436.710290467</v>
      </c>
      <c r="FO26" s="128">
        <f t="shared" si="62"/>
        <v>1215210</v>
      </c>
      <c r="FP26" s="128">
        <f t="shared" si="63"/>
        <v>537330</v>
      </c>
      <c r="FQ26" s="128">
        <f t="shared" si="152"/>
        <v>34790</v>
      </c>
      <c r="FR26" s="40">
        <f t="shared" si="153"/>
        <v>13839997.628047727</v>
      </c>
      <c r="FS26" s="40">
        <f t="shared" si="64"/>
        <v>1245590</v>
      </c>
      <c r="FT26" s="40">
        <f t="shared" si="65"/>
        <v>550760</v>
      </c>
      <c r="FU26" s="40">
        <f t="shared" si="154"/>
        <v>35660</v>
      </c>
      <c r="FV26" s="128">
        <f t="shared" si="155"/>
        <v>14185997.568748919</v>
      </c>
      <c r="FW26" s="128">
        <f t="shared" si="66"/>
        <v>1276730</v>
      </c>
      <c r="FX26" s="128">
        <f t="shared" si="67"/>
        <v>564530</v>
      </c>
      <c r="FY26" s="128">
        <f t="shared" si="156"/>
        <v>36550</v>
      </c>
      <c r="FZ26" s="40">
        <f t="shared" si="157"/>
        <v>14540647.507967642</v>
      </c>
      <c r="GA26" s="40">
        <f t="shared" si="68"/>
        <v>1308650</v>
      </c>
      <c r="GB26" s="40">
        <f t="shared" si="69"/>
        <v>578650</v>
      </c>
      <c r="GC26" s="40">
        <f t="shared" si="158"/>
        <v>37460</v>
      </c>
      <c r="GD26" s="128">
        <f t="shared" si="159"/>
        <v>14904163.695666831</v>
      </c>
      <c r="GE26" s="128">
        <f t="shared" si="70"/>
        <v>1341370</v>
      </c>
      <c r="GF26" s="128">
        <f t="shared" si="71"/>
        <v>593110</v>
      </c>
      <c r="GG26" s="128">
        <f t="shared" si="160"/>
        <v>38400</v>
      </c>
      <c r="GH26" s="40">
        <f t="shared" si="161"/>
        <v>15276767.788058501</v>
      </c>
      <c r="GI26" s="40">
        <f t="shared" si="72"/>
        <v>1374900</v>
      </c>
      <c r="GJ26" s="40">
        <f t="shared" si="73"/>
        <v>607940</v>
      </c>
      <c r="GK26" s="40">
        <f t="shared" si="162"/>
        <v>39360</v>
      </c>
      <c r="GL26" s="128">
        <f t="shared" si="163"/>
        <v>15658686.982759962</v>
      </c>
      <c r="GM26" s="128">
        <f t="shared" si="74"/>
        <v>1409280</v>
      </c>
      <c r="GN26" s="128">
        <f t="shared" si="75"/>
        <v>623140</v>
      </c>
      <c r="GO26" s="128">
        <f t="shared" si="164"/>
        <v>40340</v>
      </c>
      <c r="GP26" s="40">
        <f t="shared" si="165"/>
        <v>16050154.15732896</v>
      </c>
      <c r="GQ26" s="40">
        <f t="shared" si="76"/>
        <v>1444510</v>
      </c>
      <c r="GR26" s="40">
        <f t="shared" si="77"/>
        <v>638720</v>
      </c>
      <c r="GS26" s="40">
        <f t="shared" si="166"/>
        <v>41350</v>
      </c>
      <c r="GT26" s="128">
        <f t="shared" si="167"/>
        <v>16451408.011262182</v>
      </c>
      <c r="GU26" s="128">
        <f t="shared" si="78"/>
        <v>1480620</v>
      </c>
      <c r="GV26" s="128">
        <f t="shared" si="79"/>
        <v>654690</v>
      </c>
      <c r="GW26" s="128">
        <f t="shared" si="168"/>
        <v>42390</v>
      </c>
      <c r="GX26" s="40">
        <f t="shared" si="169"/>
        <v>16862693.211543735</v>
      </c>
      <c r="GY26" s="40">
        <f t="shared" si="80"/>
        <v>1517640</v>
      </c>
      <c r="GZ26" s="40">
        <f t="shared" si="81"/>
        <v>671050</v>
      </c>
      <c r="HA26" s="40">
        <f t="shared" si="170"/>
        <v>43450</v>
      </c>
      <c r="HB26" s="128" t="e">
        <f t="shared" si="171"/>
        <v>#REF!</v>
      </c>
      <c r="HC26" s="128" t="e">
        <f t="shared" si="82"/>
        <v>#REF!</v>
      </c>
      <c r="HD26" s="128" t="e">
        <f t="shared" si="83"/>
        <v>#REF!</v>
      </c>
      <c r="HE26" s="128" t="e">
        <f t="shared" si="172"/>
        <v>#REF!</v>
      </c>
    </row>
    <row r="27" spans="1:213" ht="18">
      <c r="A27" s="2"/>
      <c r="B27" s="8"/>
      <c r="C27" s="71"/>
      <c r="D27" s="61"/>
      <c r="E27" s="63"/>
      <c r="F27" s="49"/>
      <c r="G27" s="87"/>
      <c r="H27" s="959"/>
      <c r="I27" s="960" t="s">
        <v>586</v>
      </c>
      <c r="M27" s="24" t="s">
        <v>371</v>
      </c>
      <c r="N27" s="137">
        <v>23</v>
      </c>
      <c r="O27" s="24">
        <v>7</v>
      </c>
      <c r="P27" s="28">
        <v>75000</v>
      </c>
      <c r="Q27" s="99"/>
      <c r="R27" s="25" t="s">
        <v>249</v>
      </c>
      <c r="S27" s="719">
        <v>70000</v>
      </c>
      <c r="T27" s="105">
        <v>30000</v>
      </c>
      <c r="V27" s="42"/>
      <c r="W27" s="101"/>
      <c r="Y27" s="155" t="s">
        <v>394</v>
      </c>
      <c r="Z27" s="157"/>
      <c r="AA27" s="776"/>
      <c r="AB27" s="721">
        <v>200000</v>
      </c>
      <c r="AD27" s="26"/>
      <c r="AE27" s="27"/>
      <c r="AF27" s="778"/>
      <c r="AG27" s="28"/>
      <c r="AH27" s="28"/>
      <c r="AJ27" s="41">
        <v>20</v>
      </c>
      <c r="AK27" s="41">
        <v>30</v>
      </c>
      <c r="AL27" s="890">
        <v>6145380</v>
      </c>
      <c r="AM27" s="40">
        <f t="shared" si="84"/>
        <v>553080</v>
      </c>
      <c r="AN27" s="40">
        <v>199550</v>
      </c>
      <c r="AO27" s="40">
        <v>20450</v>
      </c>
      <c r="AP27" s="891">
        <f t="shared" si="85"/>
        <v>6249850</v>
      </c>
      <c r="AQ27" s="131">
        <f t="shared" si="86"/>
        <v>562490</v>
      </c>
      <c r="AR27" s="130">
        <f t="shared" si="87"/>
        <v>221560</v>
      </c>
      <c r="AS27" s="128">
        <f t="shared" si="88"/>
        <v>14350</v>
      </c>
      <c r="AT27" s="40">
        <f t="shared" si="89"/>
        <v>6468594.7499999991</v>
      </c>
      <c r="AU27" s="40">
        <f t="shared" si="0"/>
        <v>582170</v>
      </c>
      <c r="AV27" s="40">
        <f t="shared" si="1"/>
        <v>233200</v>
      </c>
      <c r="AW27" s="40">
        <f t="shared" si="90"/>
        <v>15090</v>
      </c>
      <c r="AX27" s="128">
        <f t="shared" si="91"/>
        <v>6630309.6187499985</v>
      </c>
      <c r="AY27" s="128">
        <f t="shared" si="2"/>
        <v>596720</v>
      </c>
      <c r="AZ27" s="128">
        <f t="shared" si="3"/>
        <v>239040</v>
      </c>
      <c r="BA27" s="128">
        <f t="shared" si="92"/>
        <v>15470</v>
      </c>
      <c r="BB27" s="40">
        <f t="shared" si="93"/>
        <v>6796067.3592187483</v>
      </c>
      <c r="BC27" s="40">
        <f t="shared" si="4"/>
        <v>611640</v>
      </c>
      <c r="BD27" s="40">
        <f t="shared" si="5"/>
        <v>251140</v>
      </c>
      <c r="BE27" s="40">
        <f t="shared" si="94"/>
        <v>16260</v>
      </c>
      <c r="BF27" s="128">
        <f t="shared" si="95"/>
        <v>6965969.043199216</v>
      </c>
      <c r="BG27" s="128">
        <f t="shared" si="6"/>
        <v>626930</v>
      </c>
      <c r="BH27" s="128">
        <f t="shared" si="7"/>
        <v>257420</v>
      </c>
      <c r="BI27" s="128">
        <f t="shared" si="96"/>
        <v>16660</v>
      </c>
      <c r="BJ27" s="40">
        <f t="shared" si="97"/>
        <v>7140118.2692791959</v>
      </c>
      <c r="BK27" s="40">
        <f t="shared" si="8"/>
        <v>642610</v>
      </c>
      <c r="BL27" s="40">
        <f t="shared" si="9"/>
        <v>270450</v>
      </c>
      <c r="BM27" s="40">
        <f t="shared" si="98"/>
        <v>17510</v>
      </c>
      <c r="BN27" s="128">
        <f t="shared" si="99"/>
        <v>7318621.2260111747</v>
      </c>
      <c r="BO27" s="128">
        <f t="shared" si="10"/>
        <v>658670</v>
      </c>
      <c r="BP27" s="128">
        <f t="shared" si="11"/>
        <v>284140</v>
      </c>
      <c r="BQ27" s="128">
        <f t="shared" si="100"/>
        <v>18390</v>
      </c>
      <c r="BR27" s="40">
        <f t="shared" si="101"/>
        <v>7501586.7566614533</v>
      </c>
      <c r="BS27" s="40">
        <f t="shared" si="12"/>
        <v>675140</v>
      </c>
      <c r="BT27" s="40">
        <f t="shared" si="13"/>
        <v>291240</v>
      </c>
      <c r="BU27" s="40">
        <f t="shared" si="102"/>
        <v>18850</v>
      </c>
      <c r="BV27" s="128">
        <f t="shared" si="103"/>
        <v>7689126.4255779888</v>
      </c>
      <c r="BW27" s="128">
        <f t="shared" si="14"/>
        <v>692020</v>
      </c>
      <c r="BX27" s="128">
        <f t="shared" si="15"/>
        <v>305990</v>
      </c>
      <c r="BY27" s="128">
        <f t="shared" si="104"/>
        <v>19810</v>
      </c>
      <c r="BZ27" s="40">
        <f t="shared" si="105"/>
        <v>7881354.5862174379</v>
      </c>
      <c r="CA27" s="40">
        <f t="shared" si="16"/>
        <v>709320</v>
      </c>
      <c r="CB27" s="40">
        <f t="shared" si="17"/>
        <v>313640</v>
      </c>
      <c r="CC27" s="40">
        <f t="shared" si="106"/>
        <v>20300</v>
      </c>
      <c r="CD27" s="128">
        <f t="shared" si="107"/>
        <v>8078388.450872873</v>
      </c>
      <c r="CE27" s="128">
        <f t="shared" si="18"/>
        <v>727050</v>
      </c>
      <c r="CF27" s="128">
        <f t="shared" si="19"/>
        <v>321480</v>
      </c>
      <c r="CG27" s="128">
        <f t="shared" si="108"/>
        <v>20810</v>
      </c>
      <c r="CH27" s="40">
        <f t="shared" si="109"/>
        <v>8280348.1621446945</v>
      </c>
      <c r="CI27" s="40">
        <f t="shared" si="20"/>
        <v>745230</v>
      </c>
      <c r="CJ27" s="40">
        <f t="shared" si="21"/>
        <v>329510</v>
      </c>
      <c r="CK27" s="40">
        <f t="shared" si="110"/>
        <v>21330</v>
      </c>
      <c r="CL27" s="128">
        <f t="shared" si="111"/>
        <v>8487356.8661983106</v>
      </c>
      <c r="CM27" s="128">
        <f t="shared" si="22"/>
        <v>763860</v>
      </c>
      <c r="CN27" s="128">
        <f t="shared" si="23"/>
        <v>337750</v>
      </c>
      <c r="CO27" s="128">
        <f t="shared" si="112"/>
        <v>21860</v>
      </c>
      <c r="CP27" s="40">
        <f t="shared" si="113"/>
        <v>8699540.787853267</v>
      </c>
      <c r="CQ27" s="40">
        <f t="shared" si="24"/>
        <v>782950</v>
      </c>
      <c r="CR27" s="40">
        <f t="shared" si="25"/>
        <v>346200</v>
      </c>
      <c r="CS27" s="40">
        <f t="shared" si="114"/>
        <v>22410</v>
      </c>
      <c r="CT27" s="128">
        <f t="shared" si="115"/>
        <v>8917029.3075495977</v>
      </c>
      <c r="CU27" s="128">
        <f t="shared" si="26"/>
        <v>802530</v>
      </c>
      <c r="CV27" s="128">
        <f t="shared" si="27"/>
        <v>354850</v>
      </c>
      <c r="CW27" s="128">
        <f t="shared" si="116"/>
        <v>22970</v>
      </c>
      <c r="CX27" s="40">
        <f t="shared" si="117"/>
        <v>9139955.0402383376</v>
      </c>
      <c r="CY27" s="40">
        <f t="shared" si="28"/>
        <v>822590</v>
      </c>
      <c r="CZ27" s="40">
        <f t="shared" si="29"/>
        <v>363720</v>
      </c>
      <c r="DA27" s="40">
        <f t="shared" si="118"/>
        <v>23550</v>
      </c>
      <c r="DB27" s="128">
        <f t="shared" si="119"/>
        <v>9368453.9162442945</v>
      </c>
      <c r="DC27" s="128">
        <f t="shared" si="30"/>
        <v>843160</v>
      </c>
      <c r="DD27" s="128">
        <f t="shared" si="31"/>
        <v>372820</v>
      </c>
      <c r="DE27" s="128">
        <f t="shared" si="120"/>
        <v>24140</v>
      </c>
      <c r="DF27" s="40">
        <f t="shared" si="121"/>
        <v>9602665.2641504016</v>
      </c>
      <c r="DG27" s="40">
        <f t="shared" si="32"/>
        <v>864230</v>
      </c>
      <c r="DH27" s="40">
        <f t="shared" si="33"/>
        <v>382140</v>
      </c>
      <c r="DI27" s="40">
        <f t="shared" si="122"/>
        <v>24740</v>
      </c>
      <c r="DJ27" s="128">
        <f t="shared" si="123"/>
        <v>9842731.8957541604</v>
      </c>
      <c r="DK27" s="128">
        <f t="shared" si="34"/>
        <v>885840</v>
      </c>
      <c r="DL27" s="128">
        <f t="shared" si="35"/>
        <v>391690</v>
      </c>
      <c r="DM27" s="128">
        <f t="shared" si="124"/>
        <v>25360</v>
      </c>
      <c r="DN27" s="40">
        <f t="shared" si="125"/>
        <v>10088800.193148013</v>
      </c>
      <c r="DO27" s="40">
        <f t="shared" si="36"/>
        <v>907990</v>
      </c>
      <c r="DP27" s="40">
        <f t="shared" si="37"/>
        <v>401480</v>
      </c>
      <c r="DQ27" s="40">
        <f t="shared" si="126"/>
        <v>25990</v>
      </c>
      <c r="DR27" s="128">
        <f t="shared" si="127"/>
        <v>10341020.197976712</v>
      </c>
      <c r="DS27" s="128">
        <f t="shared" si="38"/>
        <v>930690</v>
      </c>
      <c r="DT27" s="128">
        <f t="shared" si="39"/>
        <v>411520</v>
      </c>
      <c r="DU27" s="128">
        <f t="shared" si="128"/>
        <v>26640</v>
      </c>
      <c r="DV27" s="40">
        <f t="shared" si="129"/>
        <v>10599545.702926129</v>
      </c>
      <c r="DW27" s="40">
        <f t="shared" si="40"/>
        <v>953950</v>
      </c>
      <c r="DX27" s="40">
        <f t="shared" si="41"/>
        <v>421810</v>
      </c>
      <c r="DY27" s="40">
        <f t="shared" si="130"/>
        <v>27310</v>
      </c>
      <c r="DZ27" s="128">
        <f t="shared" si="131"/>
        <v>10864534.345499281</v>
      </c>
      <c r="EA27" s="128">
        <f t="shared" si="42"/>
        <v>977800</v>
      </c>
      <c r="EB27" s="128">
        <f t="shared" si="43"/>
        <v>432350</v>
      </c>
      <c r="EC27" s="128">
        <f t="shared" si="132"/>
        <v>27990</v>
      </c>
      <c r="ED27" s="40">
        <f t="shared" si="133"/>
        <v>11136147.704136763</v>
      </c>
      <c r="EE27" s="40">
        <f t="shared" si="44"/>
        <v>1002250</v>
      </c>
      <c r="EF27" s="40">
        <f t="shared" si="45"/>
        <v>443160</v>
      </c>
      <c r="EG27" s="40">
        <f t="shared" si="134"/>
        <v>28690</v>
      </c>
      <c r="EH27" s="128">
        <f t="shared" si="135"/>
        <v>11414551.396740181</v>
      </c>
      <c r="EI27" s="128">
        <f t="shared" si="46"/>
        <v>1027300</v>
      </c>
      <c r="EJ27" s="128">
        <f t="shared" si="47"/>
        <v>454240</v>
      </c>
      <c r="EK27" s="128">
        <f t="shared" si="136"/>
        <v>29410</v>
      </c>
      <c r="EL27" s="40">
        <f t="shared" si="137"/>
        <v>11699915.181658685</v>
      </c>
      <c r="EM27" s="40">
        <f t="shared" si="48"/>
        <v>1052990</v>
      </c>
      <c r="EN27" s="40">
        <f t="shared" si="49"/>
        <v>465600</v>
      </c>
      <c r="EO27" s="40">
        <f t="shared" si="138"/>
        <v>30140</v>
      </c>
      <c r="EP27" s="128">
        <f t="shared" si="139"/>
        <v>11992413.061200151</v>
      </c>
      <c r="EQ27" s="128">
        <f t="shared" si="50"/>
        <v>1079310</v>
      </c>
      <c r="ER27" s="128">
        <f t="shared" si="51"/>
        <v>477240</v>
      </c>
      <c r="ES27" s="128">
        <f t="shared" si="140"/>
        <v>30900</v>
      </c>
      <c r="ET27" s="40">
        <f t="shared" si="141"/>
        <v>12292223.387730153</v>
      </c>
      <c r="EU27" s="40">
        <f t="shared" si="52"/>
        <v>1106300</v>
      </c>
      <c r="EV27" s="40">
        <f t="shared" si="53"/>
        <v>489170</v>
      </c>
      <c r="EW27" s="40">
        <f t="shared" si="142"/>
        <v>31670</v>
      </c>
      <c r="EX27" s="128">
        <f t="shared" si="143"/>
        <v>12599528.972423406</v>
      </c>
      <c r="EY27" s="128">
        <f t="shared" si="54"/>
        <v>1133950</v>
      </c>
      <c r="EZ27" s="128">
        <f t="shared" si="55"/>
        <v>501400</v>
      </c>
      <c r="FA27" s="128">
        <f t="shared" si="144"/>
        <v>32460</v>
      </c>
      <c r="FB27" s="40">
        <f t="shared" si="145"/>
        <v>12914517.196733991</v>
      </c>
      <c r="FC27" s="40">
        <f t="shared" si="56"/>
        <v>1162300</v>
      </c>
      <c r="FD27" s="40">
        <f t="shared" si="57"/>
        <v>513930</v>
      </c>
      <c r="FE27" s="40">
        <f t="shared" si="146"/>
        <v>33270</v>
      </c>
      <c r="FF27" s="128">
        <f t="shared" si="147"/>
        <v>13237380.126652339</v>
      </c>
      <c r="FG27" s="128">
        <f t="shared" si="58"/>
        <v>1191360</v>
      </c>
      <c r="FH27" s="128">
        <f t="shared" si="59"/>
        <v>526780</v>
      </c>
      <c r="FI27" s="128">
        <f t="shared" si="148"/>
        <v>34100</v>
      </c>
      <c r="FJ27" s="40">
        <f t="shared" si="149"/>
        <v>13568314.629818646</v>
      </c>
      <c r="FK27" s="40">
        <f t="shared" si="60"/>
        <v>1221140</v>
      </c>
      <c r="FL27" s="40">
        <f t="shared" si="61"/>
        <v>539950</v>
      </c>
      <c r="FM27" s="40">
        <f t="shared" si="150"/>
        <v>34960</v>
      </c>
      <c r="FN27" s="128">
        <f t="shared" si="151"/>
        <v>13907522.495564111</v>
      </c>
      <c r="FO27" s="128">
        <f t="shared" si="62"/>
        <v>1251670</v>
      </c>
      <c r="FP27" s="128">
        <f t="shared" si="63"/>
        <v>553450</v>
      </c>
      <c r="FQ27" s="128">
        <f t="shared" si="152"/>
        <v>35830</v>
      </c>
      <c r="FR27" s="40">
        <f t="shared" si="153"/>
        <v>14255210.557953212</v>
      </c>
      <c r="FS27" s="40">
        <f t="shared" si="64"/>
        <v>1282960</v>
      </c>
      <c r="FT27" s="40">
        <f t="shared" si="65"/>
        <v>567290</v>
      </c>
      <c r="FU27" s="40">
        <f t="shared" si="154"/>
        <v>36730</v>
      </c>
      <c r="FV27" s="128">
        <f t="shared" si="155"/>
        <v>14611590.821902042</v>
      </c>
      <c r="FW27" s="128">
        <f t="shared" si="66"/>
        <v>1315040</v>
      </c>
      <c r="FX27" s="128">
        <f t="shared" si="67"/>
        <v>581470</v>
      </c>
      <c r="FY27" s="128">
        <f t="shared" si="156"/>
        <v>37650</v>
      </c>
      <c r="FZ27" s="40">
        <f t="shared" si="157"/>
        <v>14976880.592449592</v>
      </c>
      <c r="GA27" s="40">
        <f t="shared" si="68"/>
        <v>1347910</v>
      </c>
      <c r="GB27" s="40">
        <f t="shared" si="69"/>
        <v>596010</v>
      </c>
      <c r="GC27" s="40">
        <f t="shared" si="158"/>
        <v>38590</v>
      </c>
      <c r="GD27" s="128">
        <f t="shared" si="159"/>
        <v>15351302.607260831</v>
      </c>
      <c r="GE27" s="128">
        <f t="shared" si="70"/>
        <v>1381610</v>
      </c>
      <c r="GF27" s="128">
        <f t="shared" si="71"/>
        <v>610910</v>
      </c>
      <c r="GG27" s="128">
        <f t="shared" si="160"/>
        <v>39550</v>
      </c>
      <c r="GH27" s="40">
        <f t="shared" si="161"/>
        <v>15735085.172442351</v>
      </c>
      <c r="GI27" s="40">
        <f t="shared" si="72"/>
        <v>1416150</v>
      </c>
      <c r="GJ27" s="40">
        <f t="shared" si="73"/>
        <v>626180</v>
      </c>
      <c r="GK27" s="40">
        <f t="shared" si="162"/>
        <v>40540</v>
      </c>
      <c r="GL27" s="128">
        <f t="shared" si="163"/>
        <v>16128462.301753407</v>
      </c>
      <c r="GM27" s="128">
        <f t="shared" si="74"/>
        <v>1451560</v>
      </c>
      <c r="GN27" s="128">
        <f t="shared" si="75"/>
        <v>641830</v>
      </c>
      <c r="GO27" s="128">
        <f t="shared" si="164"/>
        <v>41550</v>
      </c>
      <c r="GP27" s="40">
        <f t="shared" si="165"/>
        <v>16531673.859297242</v>
      </c>
      <c r="GQ27" s="40">
        <f t="shared" si="76"/>
        <v>1487850</v>
      </c>
      <c r="GR27" s="40">
        <f t="shared" si="77"/>
        <v>657880</v>
      </c>
      <c r="GS27" s="40">
        <f t="shared" si="166"/>
        <v>42590</v>
      </c>
      <c r="GT27" s="128">
        <f t="shared" si="167"/>
        <v>16944965.705779672</v>
      </c>
      <c r="GU27" s="128">
        <f t="shared" si="78"/>
        <v>1525040</v>
      </c>
      <c r="GV27" s="128">
        <f t="shared" si="79"/>
        <v>674330</v>
      </c>
      <c r="GW27" s="128">
        <f t="shared" si="168"/>
        <v>43660</v>
      </c>
      <c r="GX27" s="40">
        <f t="shared" si="169"/>
        <v>17368589.848424163</v>
      </c>
      <c r="GY27" s="40">
        <f t="shared" si="80"/>
        <v>1563170</v>
      </c>
      <c r="GZ27" s="40">
        <f t="shared" si="81"/>
        <v>691180</v>
      </c>
      <c r="HA27" s="40">
        <f t="shared" si="170"/>
        <v>44750</v>
      </c>
      <c r="HB27" s="128" t="e">
        <f t="shared" si="171"/>
        <v>#REF!</v>
      </c>
      <c r="HC27" s="128" t="e">
        <f t="shared" si="82"/>
        <v>#REF!</v>
      </c>
      <c r="HD27" s="128" t="e">
        <f t="shared" si="83"/>
        <v>#REF!</v>
      </c>
      <c r="HE27" s="128" t="e">
        <f t="shared" si="172"/>
        <v>#REF!</v>
      </c>
    </row>
    <row r="28" spans="1:213" ht="18">
      <c r="A28" s="2"/>
      <c r="B28" s="8"/>
      <c r="C28" s="71"/>
      <c r="D28" s="61"/>
      <c r="E28" s="63"/>
      <c r="F28" s="49"/>
      <c r="G28" s="87"/>
      <c r="H28" s="959"/>
      <c r="I28" s="960" t="s">
        <v>616</v>
      </c>
      <c r="K28" s="28" t="s">
        <v>76</v>
      </c>
      <c r="M28" s="24" t="s">
        <v>366</v>
      </c>
      <c r="N28" s="137">
        <v>24</v>
      </c>
      <c r="O28" s="24">
        <v>8</v>
      </c>
      <c r="P28" s="28">
        <v>80000</v>
      </c>
      <c r="Q28" s="99"/>
      <c r="R28" s="25" t="s">
        <v>269</v>
      </c>
      <c r="S28" s="719">
        <v>80000</v>
      </c>
      <c r="T28" s="105">
        <v>35000</v>
      </c>
      <c r="V28" s="42"/>
      <c r="W28" s="101"/>
      <c r="Y28" s="22" t="s">
        <v>305</v>
      </c>
      <c r="AB28" s="722">
        <v>210000</v>
      </c>
      <c r="AD28" s="26"/>
      <c r="AE28" s="27"/>
      <c r="AF28" s="778"/>
      <c r="AG28" s="28"/>
      <c r="AH28" s="28"/>
      <c r="AJ28" s="41">
        <v>21</v>
      </c>
      <c r="AK28" s="41">
        <v>31</v>
      </c>
      <c r="AL28" s="890">
        <v>6322220</v>
      </c>
      <c r="AM28" s="40">
        <f t="shared" si="84"/>
        <v>569000</v>
      </c>
      <c r="AN28" s="40">
        <v>205290</v>
      </c>
      <c r="AO28" s="40">
        <v>21040</v>
      </c>
      <c r="AP28" s="891">
        <f t="shared" si="85"/>
        <v>6429700</v>
      </c>
      <c r="AQ28" s="131">
        <f t="shared" si="86"/>
        <v>578670</v>
      </c>
      <c r="AR28" s="130">
        <f t="shared" si="87"/>
        <v>227930</v>
      </c>
      <c r="AS28" s="128">
        <f t="shared" si="88"/>
        <v>14760</v>
      </c>
      <c r="AT28" s="40">
        <f t="shared" si="89"/>
        <v>6654739.4999999991</v>
      </c>
      <c r="AU28" s="40">
        <f t="shared" si="0"/>
        <v>598920</v>
      </c>
      <c r="AV28" s="40">
        <f t="shared" si="1"/>
        <v>239920</v>
      </c>
      <c r="AW28" s="40">
        <f t="shared" si="90"/>
        <v>15530</v>
      </c>
      <c r="AX28" s="128">
        <f t="shared" si="91"/>
        <v>6821107.9874999989</v>
      </c>
      <c r="AY28" s="128">
        <f t="shared" si="2"/>
        <v>613890</v>
      </c>
      <c r="AZ28" s="128">
        <f t="shared" si="3"/>
        <v>245910</v>
      </c>
      <c r="BA28" s="128">
        <f t="shared" si="92"/>
        <v>15920</v>
      </c>
      <c r="BB28" s="40">
        <f t="shared" si="93"/>
        <v>6991635.6871874984</v>
      </c>
      <c r="BC28" s="40">
        <f t="shared" si="4"/>
        <v>629240</v>
      </c>
      <c r="BD28" s="40">
        <f t="shared" si="5"/>
        <v>258360</v>
      </c>
      <c r="BE28" s="40">
        <f t="shared" si="94"/>
        <v>16720</v>
      </c>
      <c r="BF28" s="128">
        <f t="shared" si="95"/>
        <v>7166426.579367185</v>
      </c>
      <c r="BG28" s="128">
        <f t="shared" si="6"/>
        <v>644970</v>
      </c>
      <c r="BH28" s="128">
        <f t="shared" si="7"/>
        <v>264820</v>
      </c>
      <c r="BI28" s="128">
        <f t="shared" si="96"/>
        <v>17140</v>
      </c>
      <c r="BJ28" s="40">
        <f t="shared" si="97"/>
        <v>7345587.2438513637</v>
      </c>
      <c r="BK28" s="40">
        <f t="shared" si="8"/>
        <v>661100</v>
      </c>
      <c r="BL28" s="40">
        <f t="shared" si="9"/>
        <v>278230</v>
      </c>
      <c r="BM28" s="40">
        <f t="shared" si="98"/>
        <v>18010</v>
      </c>
      <c r="BN28" s="128">
        <f t="shared" si="99"/>
        <v>7529226.9249476474</v>
      </c>
      <c r="BO28" s="128">
        <f t="shared" si="10"/>
        <v>677630</v>
      </c>
      <c r="BP28" s="128">
        <f t="shared" si="11"/>
        <v>292320</v>
      </c>
      <c r="BQ28" s="128">
        <f t="shared" si="100"/>
        <v>18920</v>
      </c>
      <c r="BR28" s="40">
        <f t="shared" si="101"/>
        <v>7717457.5980713377</v>
      </c>
      <c r="BS28" s="40">
        <f t="shared" si="12"/>
        <v>694570</v>
      </c>
      <c r="BT28" s="40">
        <f t="shared" si="13"/>
        <v>299620</v>
      </c>
      <c r="BU28" s="40">
        <f t="shared" si="102"/>
        <v>19400</v>
      </c>
      <c r="BV28" s="128">
        <f t="shared" si="103"/>
        <v>7910394.0380231207</v>
      </c>
      <c r="BW28" s="128">
        <f t="shared" si="14"/>
        <v>711930</v>
      </c>
      <c r="BX28" s="128">
        <f t="shared" si="15"/>
        <v>314790</v>
      </c>
      <c r="BY28" s="128">
        <f t="shared" si="104"/>
        <v>20380</v>
      </c>
      <c r="BZ28" s="40">
        <f t="shared" si="105"/>
        <v>8108153.888973698</v>
      </c>
      <c r="CA28" s="40">
        <f t="shared" si="16"/>
        <v>729730</v>
      </c>
      <c r="CB28" s="40">
        <f t="shared" si="17"/>
        <v>322660</v>
      </c>
      <c r="CC28" s="40">
        <f t="shared" si="106"/>
        <v>20890</v>
      </c>
      <c r="CD28" s="128">
        <f t="shared" si="107"/>
        <v>8310857.7361980397</v>
      </c>
      <c r="CE28" s="128">
        <f t="shared" si="18"/>
        <v>747970</v>
      </c>
      <c r="CF28" s="128">
        <f t="shared" si="19"/>
        <v>330730</v>
      </c>
      <c r="CG28" s="128">
        <f t="shared" si="108"/>
        <v>21410</v>
      </c>
      <c r="CH28" s="40">
        <f t="shared" si="109"/>
        <v>8518629.1796029899</v>
      </c>
      <c r="CI28" s="40">
        <f t="shared" si="20"/>
        <v>766670</v>
      </c>
      <c r="CJ28" s="40">
        <f t="shared" si="21"/>
        <v>339000</v>
      </c>
      <c r="CK28" s="40">
        <f t="shared" si="110"/>
        <v>21950</v>
      </c>
      <c r="CL28" s="128">
        <f t="shared" si="111"/>
        <v>8731594.9090930633</v>
      </c>
      <c r="CM28" s="128">
        <f t="shared" si="22"/>
        <v>785840</v>
      </c>
      <c r="CN28" s="128">
        <f t="shared" si="23"/>
        <v>347470</v>
      </c>
      <c r="CO28" s="128">
        <f t="shared" si="112"/>
        <v>22490</v>
      </c>
      <c r="CP28" s="40">
        <f t="shared" si="113"/>
        <v>8949884.7818203885</v>
      </c>
      <c r="CQ28" s="40">
        <f t="shared" si="24"/>
        <v>805480</v>
      </c>
      <c r="CR28" s="40">
        <f t="shared" si="25"/>
        <v>356160</v>
      </c>
      <c r="CS28" s="40">
        <f t="shared" si="114"/>
        <v>23060</v>
      </c>
      <c r="CT28" s="128">
        <f t="shared" si="115"/>
        <v>9173631.9013658967</v>
      </c>
      <c r="CU28" s="128">
        <f t="shared" si="26"/>
        <v>825620</v>
      </c>
      <c r="CV28" s="128">
        <f t="shared" si="27"/>
        <v>365060</v>
      </c>
      <c r="CW28" s="128">
        <f t="shared" si="116"/>
        <v>23630</v>
      </c>
      <c r="CX28" s="40">
        <f t="shared" si="117"/>
        <v>9402972.698900044</v>
      </c>
      <c r="CY28" s="40">
        <f t="shared" si="28"/>
        <v>846260</v>
      </c>
      <c r="CZ28" s="40">
        <f t="shared" si="29"/>
        <v>374190</v>
      </c>
      <c r="DA28" s="40">
        <f t="shared" si="118"/>
        <v>24220</v>
      </c>
      <c r="DB28" s="128">
        <f t="shared" si="119"/>
        <v>9638047.0163725447</v>
      </c>
      <c r="DC28" s="128">
        <f t="shared" si="30"/>
        <v>867420</v>
      </c>
      <c r="DD28" s="128">
        <f t="shared" si="31"/>
        <v>383540</v>
      </c>
      <c r="DE28" s="128">
        <f t="shared" si="120"/>
        <v>24830</v>
      </c>
      <c r="DF28" s="40">
        <f t="shared" si="121"/>
        <v>9878998.191781858</v>
      </c>
      <c r="DG28" s="40">
        <f t="shared" si="32"/>
        <v>889100</v>
      </c>
      <c r="DH28" s="40">
        <f t="shared" si="33"/>
        <v>393130</v>
      </c>
      <c r="DI28" s="40">
        <f t="shared" si="122"/>
        <v>25450</v>
      </c>
      <c r="DJ28" s="128">
        <f t="shared" si="123"/>
        <v>10125973.146576403</v>
      </c>
      <c r="DK28" s="128">
        <f t="shared" si="34"/>
        <v>911330</v>
      </c>
      <c r="DL28" s="128">
        <f t="shared" si="35"/>
        <v>402960</v>
      </c>
      <c r="DM28" s="128">
        <f t="shared" si="124"/>
        <v>26090</v>
      </c>
      <c r="DN28" s="40">
        <f t="shared" si="125"/>
        <v>10379122.475240812</v>
      </c>
      <c r="DO28" s="40">
        <f t="shared" si="36"/>
        <v>934120</v>
      </c>
      <c r="DP28" s="40">
        <f t="shared" si="37"/>
        <v>413040</v>
      </c>
      <c r="DQ28" s="40">
        <f t="shared" si="126"/>
        <v>26740</v>
      </c>
      <c r="DR28" s="128">
        <f t="shared" si="127"/>
        <v>10638600.537121831</v>
      </c>
      <c r="DS28" s="128">
        <f t="shared" si="38"/>
        <v>957470</v>
      </c>
      <c r="DT28" s="128">
        <f t="shared" si="39"/>
        <v>423360</v>
      </c>
      <c r="DU28" s="128">
        <f t="shared" si="128"/>
        <v>27410</v>
      </c>
      <c r="DV28" s="40">
        <f t="shared" si="129"/>
        <v>10904565.550549876</v>
      </c>
      <c r="DW28" s="40">
        <f t="shared" si="40"/>
        <v>981410</v>
      </c>
      <c r="DX28" s="40">
        <f t="shared" si="41"/>
        <v>433950</v>
      </c>
      <c r="DY28" s="40">
        <f t="shared" si="130"/>
        <v>28090</v>
      </c>
      <c r="DZ28" s="128">
        <f t="shared" si="131"/>
        <v>11177179.689313622</v>
      </c>
      <c r="EA28" s="128">
        <f t="shared" si="42"/>
        <v>1005940</v>
      </c>
      <c r="EB28" s="128">
        <f t="shared" si="43"/>
        <v>444800</v>
      </c>
      <c r="EC28" s="128">
        <f t="shared" si="132"/>
        <v>28800</v>
      </c>
      <c r="ED28" s="40">
        <f t="shared" si="133"/>
        <v>11456609.181546461</v>
      </c>
      <c r="EE28" s="40">
        <f t="shared" si="44"/>
        <v>1031090</v>
      </c>
      <c r="EF28" s="40">
        <f t="shared" si="45"/>
        <v>455920</v>
      </c>
      <c r="EG28" s="40">
        <f t="shared" si="134"/>
        <v>29520</v>
      </c>
      <c r="EH28" s="128">
        <f t="shared" si="135"/>
        <v>11743024.411085121</v>
      </c>
      <c r="EI28" s="128">
        <f t="shared" si="46"/>
        <v>1056870</v>
      </c>
      <c r="EJ28" s="128">
        <f t="shared" si="47"/>
        <v>467310</v>
      </c>
      <c r="EK28" s="128">
        <f t="shared" si="136"/>
        <v>30250</v>
      </c>
      <c r="EL28" s="40">
        <f t="shared" si="137"/>
        <v>12036600.021362249</v>
      </c>
      <c r="EM28" s="40">
        <f t="shared" si="48"/>
        <v>1083290</v>
      </c>
      <c r="EN28" s="40">
        <f t="shared" si="49"/>
        <v>479000</v>
      </c>
      <c r="EO28" s="40">
        <f t="shared" si="138"/>
        <v>31010</v>
      </c>
      <c r="EP28" s="128">
        <f t="shared" si="139"/>
        <v>12337515.021896305</v>
      </c>
      <c r="EQ28" s="128">
        <f t="shared" si="50"/>
        <v>1110370</v>
      </c>
      <c r="ER28" s="128">
        <f t="shared" si="51"/>
        <v>490970</v>
      </c>
      <c r="ES28" s="128">
        <f t="shared" si="140"/>
        <v>31790</v>
      </c>
      <c r="ET28" s="40">
        <f t="shared" si="141"/>
        <v>12645952.897443712</v>
      </c>
      <c r="EU28" s="40">
        <f t="shared" si="52"/>
        <v>1138130</v>
      </c>
      <c r="EV28" s="40">
        <f t="shared" si="53"/>
        <v>503250</v>
      </c>
      <c r="EW28" s="40">
        <f t="shared" si="142"/>
        <v>32580</v>
      </c>
      <c r="EX28" s="128">
        <f t="shared" si="143"/>
        <v>12962101.719879804</v>
      </c>
      <c r="EY28" s="128">
        <f t="shared" si="54"/>
        <v>1166580</v>
      </c>
      <c r="EZ28" s="128">
        <f t="shared" si="55"/>
        <v>515830</v>
      </c>
      <c r="FA28" s="128">
        <f t="shared" si="144"/>
        <v>33390</v>
      </c>
      <c r="FB28" s="40">
        <f t="shared" si="145"/>
        <v>13286154.262876797</v>
      </c>
      <c r="FC28" s="40">
        <f t="shared" si="56"/>
        <v>1195750</v>
      </c>
      <c r="FD28" s="40">
        <f t="shared" si="57"/>
        <v>528720</v>
      </c>
      <c r="FE28" s="40">
        <f t="shared" si="146"/>
        <v>34230</v>
      </c>
      <c r="FF28" s="128">
        <f t="shared" si="147"/>
        <v>13618308.119448716</v>
      </c>
      <c r="FG28" s="128">
        <f t="shared" si="58"/>
        <v>1225640</v>
      </c>
      <c r="FH28" s="128">
        <f t="shared" si="59"/>
        <v>541940</v>
      </c>
      <c r="FI28" s="128">
        <f t="shared" si="148"/>
        <v>35090</v>
      </c>
      <c r="FJ28" s="40">
        <f t="shared" si="149"/>
        <v>13958765.822434932</v>
      </c>
      <c r="FK28" s="40">
        <f t="shared" si="60"/>
        <v>1256280</v>
      </c>
      <c r="FL28" s="40">
        <f t="shared" si="61"/>
        <v>555490</v>
      </c>
      <c r="FM28" s="40">
        <f t="shared" si="150"/>
        <v>35960</v>
      </c>
      <c r="FN28" s="128">
        <f t="shared" si="151"/>
        <v>14307734.967995804</v>
      </c>
      <c r="FO28" s="128">
        <f t="shared" si="62"/>
        <v>1287690</v>
      </c>
      <c r="FP28" s="128">
        <f t="shared" si="63"/>
        <v>569380</v>
      </c>
      <c r="FQ28" s="128">
        <f t="shared" si="152"/>
        <v>36860</v>
      </c>
      <c r="FR28" s="40">
        <f t="shared" si="153"/>
        <v>14665428.342195697</v>
      </c>
      <c r="FS28" s="40">
        <f t="shared" si="64"/>
        <v>1319880</v>
      </c>
      <c r="FT28" s="40">
        <f t="shared" si="65"/>
        <v>583610</v>
      </c>
      <c r="FU28" s="40">
        <f t="shared" si="154"/>
        <v>37780</v>
      </c>
      <c r="FV28" s="128">
        <f t="shared" si="155"/>
        <v>15032064.050750589</v>
      </c>
      <c r="FW28" s="128">
        <f t="shared" si="66"/>
        <v>1352880</v>
      </c>
      <c r="FX28" s="128">
        <f t="shared" si="67"/>
        <v>598200</v>
      </c>
      <c r="FY28" s="128">
        <f t="shared" si="156"/>
        <v>38730</v>
      </c>
      <c r="FZ28" s="40">
        <f t="shared" si="157"/>
        <v>15407865.652019352</v>
      </c>
      <c r="GA28" s="40">
        <f t="shared" si="68"/>
        <v>1386700</v>
      </c>
      <c r="GB28" s="40">
        <f t="shared" si="69"/>
        <v>613160</v>
      </c>
      <c r="GC28" s="40">
        <f t="shared" si="158"/>
        <v>39700</v>
      </c>
      <c r="GD28" s="128">
        <f t="shared" si="159"/>
        <v>15793062.293319834</v>
      </c>
      <c r="GE28" s="128">
        <f t="shared" si="70"/>
        <v>1421370</v>
      </c>
      <c r="GF28" s="128">
        <f t="shared" si="71"/>
        <v>628490</v>
      </c>
      <c r="GG28" s="128">
        <f t="shared" si="160"/>
        <v>40690</v>
      </c>
      <c r="GH28" s="40">
        <f t="shared" si="161"/>
        <v>16187888.850652829</v>
      </c>
      <c r="GI28" s="40">
        <f t="shared" si="72"/>
        <v>1456900</v>
      </c>
      <c r="GJ28" s="40">
        <f t="shared" si="73"/>
        <v>644200</v>
      </c>
      <c r="GK28" s="40">
        <f t="shared" si="162"/>
        <v>41710</v>
      </c>
      <c r="GL28" s="128">
        <f t="shared" si="163"/>
        <v>16592586.071919149</v>
      </c>
      <c r="GM28" s="128">
        <f t="shared" si="74"/>
        <v>1493330</v>
      </c>
      <c r="GN28" s="128">
        <f t="shared" si="75"/>
        <v>660300</v>
      </c>
      <c r="GO28" s="128">
        <f t="shared" si="164"/>
        <v>42750</v>
      </c>
      <c r="GP28" s="40">
        <f t="shared" si="165"/>
        <v>17007400.723717127</v>
      </c>
      <c r="GQ28" s="40">
        <f t="shared" si="76"/>
        <v>1530660</v>
      </c>
      <c r="GR28" s="40">
        <f t="shared" si="77"/>
        <v>676810</v>
      </c>
      <c r="GS28" s="40">
        <f t="shared" si="166"/>
        <v>43820</v>
      </c>
      <c r="GT28" s="128">
        <f t="shared" si="167"/>
        <v>17432585.741810054</v>
      </c>
      <c r="GU28" s="128">
        <f t="shared" si="78"/>
        <v>1568930</v>
      </c>
      <c r="GV28" s="128">
        <f t="shared" si="79"/>
        <v>693730</v>
      </c>
      <c r="GW28" s="128">
        <f t="shared" si="168"/>
        <v>44910</v>
      </c>
      <c r="GX28" s="40">
        <f t="shared" si="169"/>
        <v>17868400.385355305</v>
      </c>
      <c r="GY28" s="40">
        <f t="shared" si="80"/>
        <v>1608150</v>
      </c>
      <c r="GZ28" s="40">
        <f t="shared" si="81"/>
        <v>711070</v>
      </c>
      <c r="HA28" s="40">
        <f t="shared" si="170"/>
        <v>46040</v>
      </c>
      <c r="HB28" s="128" t="e">
        <f t="shared" si="171"/>
        <v>#REF!</v>
      </c>
      <c r="HC28" s="128" t="e">
        <f t="shared" si="82"/>
        <v>#REF!</v>
      </c>
      <c r="HD28" s="128" t="e">
        <f t="shared" si="83"/>
        <v>#REF!</v>
      </c>
      <c r="HE28" s="128" t="e">
        <f t="shared" si="172"/>
        <v>#REF!</v>
      </c>
    </row>
    <row r="29" spans="1:213" ht="18">
      <c r="A29" s="2"/>
      <c r="B29" s="8"/>
      <c r="C29" s="71"/>
      <c r="D29" s="61"/>
      <c r="E29" s="63"/>
      <c r="F29" s="49"/>
      <c r="G29" s="87"/>
      <c r="H29" s="959"/>
      <c r="I29" s="960" t="s">
        <v>633</v>
      </c>
      <c r="K29" s="28">
        <v>1</v>
      </c>
      <c r="M29" s="24" t="s">
        <v>373</v>
      </c>
      <c r="N29" s="137">
        <v>25</v>
      </c>
      <c r="O29" s="24">
        <v>9</v>
      </c>
      <c r="P29" s="28">
        <v>85000</v>
      </c>
      <c r="Q29" s="99"/>
      <c r="R29" s="25" t="s">
        <v>241</v>
      </c>
      <c r="S29" s="719">
        <v>90000</v>
      </c>
      <c r="T29" s="97" t="s">
        <v>87</v>
      </c>
      <c r="V29" s="42"/>
      <c r="W29" s="101"/>
      <c r="Y29" s="25" t="s">
        <v>327</v>
      </c>
      <c r="AB29" s="721">
        <v>220000</v>
      </c>
      <c r="AD29" s="26"/>
      <c r="AE29" s="27"/>
      <c r="AF29" s="778"/>
      <c r="AG29" s="28"/>
      <c r="AH29" s="28"/>
      <c r="AJ29" s="41">
        <v>22</v>
      </c>
      <c r="AK29" s="41">
        <v>32</v>
      </c>
      <c r="AL29" s="890">
        <v>6480550</v>
      </c>
      <c r="AM29" s="40">
        <f t="shared" si="84"/>
        <v>583250</v>
      </c>
      <c r="AN29" s="40">
        <v>210430</v>
      </c>
      <c r="AO29" s="40">
        <v>21570</v>
      </c>
      <c r="AP29" s="891">
        <f t="shared" si="85"/>
        <v>6590720</v>
      </c>
      <c r="AQ29" s="131">
        <f t="shared" si="86"/>
        <v>593160</v>
      </c>
      <c r="AR29" s="130">
        <f t="shared" si="87"/>
        <v>233640</v>
      </c>
      <c r="AS29" s="128">
        <f t="shared" si="88"/>
        <v>15130</v>
      </c>
      <c r="AT29" s="40">
        <f t="shared" si="89"/>
        <v>6821395.1999999993</v>
      </c>
      <c r="AU29" s="40">
        <f t="shared" si="0"/>
        <v>613920</v>
      </c>
      <c r="AV29" s="40">
        <f t="shared" si="1"/>
        <v>245920</v>
      </c>
      <c r="AW29" s="40">
        <f t="shared" si="90"/>
        <v>15920</v>
      </c>
      <c r="AX29" s="128">
        <f t="shared" si="91"/>
        <v>6991930.0799999982</v>
      </c>
      <c r="AY29" s="128">
        <f t="shared" si="2"/>
        <v>629270</v>
      </c>
      <c r="AZ29" s="128">
        <f t="shared" si="3"/>
        <v>252070</v>
      </c>
      <c r="BA29" s="128">
        <f t="shared" si="92"/>
        <v>16320</v>
      </c>
      <c r="BB29" s="40">
        <f t="shared" si="93"/>
        <v>7166728.3319999976</v>
      </c>
      <c r="BC29" s="40">
        <f t="shared" si="4"/>
        <v>645000</v>
      </c>
      <c r="BD29" s="40">
        <f t="shared" si="5"/>
        <v>264830</v>
      </c>
      <c r="BE29" s="40">
        <f t="shared" si="94"/>
        <v>17140</v>
      </c>
      <c r="BF29" s="128">
        <f t="shared" si="95"/>
        <v>7345896.5402999967</v>
      </c>
      <c r="BG29" s="128">
        <f t="shared" si="6"/>
        <v>661130</v>
      </c>
      <c r="BH29" s="128">
        <f t="shared" si="7"/>
        <v>271460</v>
      </c>
      <c r="BI29" s="128">
        <f t="shared" si="96"/>
        <v>17570</v>
      </c>
      <c r="BJ29" s="40">
        <f t="shared" si="97"/>
        <v>7529543.9538074955</v>
      </c>
      <c r="BK29" s="40">
        <f t="shared" si="8"/>
        <v>677650</v>
      </c>
      <c r="BL29" s="40">
        <f t="shared" si="9"/>
        <v>285200</v>
      </c>
      <c r="BM29" s="40">
        <f t="shared" si="98"/>
        <v>18460</v>
      </c>
      <c r="BN29" s="128">
        <f t="shared" si="99"/>
        <v>7717782.5526526822</v>
      </c>
      <c r="BO29" s="128">
        <f t="shared" si="10"/>
        <v>694600</v>
      </c>
      <c r="BP29" s="128">
        <f t="shared" si="11"/>
        <v>299640</v>
      </c>
      <c r="BQ29" s="128">
        <f t="shared" si="100"/>
        <v>19400</v>
      </c>
      <c r="BR29" s="40">
        <f t="shared" si="101"/>
        <v>7910727.1164689986</v>
      </c>
      <c r="BS29" s="40">
        <f t="shared" si="12"/>
        <v>711960</v>
      </c>
      <c r="BT29" s="40">
        <f t="shared" si="13"/>
        <v>307130</v>
      </c>
      <c r="BU29" s="40">
        <f t="shared" si="102"/>
        <v>19880</v>
      </c>
      <c r="BV29" s="128">
        <f t="shared" si="103"/>
        <v>8108495.2943807226</v>
      </c>
      <c r="BW29" s="128">
        <f t="shared" si="14"/>
        <v>729760</v>
      </c>
      <c r="BX29" s="128">
        <f t="shared" si="15"/>
        <v>322680</v>
      </c>
      <c r="BY29" s="128">
        <f t="shared" si="104"/>
        <v>20890</v>
      </c>
      <c r="BZ29" s="40">
        <f t="shared" si="105"/>
        <v>8311207.6767402403</v>
      </c>
      <c r="CA29" s="40">
        <f t="shared" si="16"/>
        <v>748000</v>
      </c>
      <c r="CB29" s="40">
        <f t="shared" si="17"/>
        <v>330740</v>
      </c>
      <c r="CC29" s="40">
        <f t="shared" si="106"/>
        <v>21410</v>
      </c>
      <c r="CD29" s="128">
        <f t="shared" si="107"/>
        <v>8518987.8686587457</v>
      </c>
      <c r="CE29" s="128">
        <f t="shared" si="18"/>
        <v>766700</v>
      </c>
      <c r="CF29" s="128">
        <f t="shared" si="19"/>
        <v>339010</v>
      </c>
      <c r="CG29" s="128">
        <f t="shared" si="108"/>
        <v>21950</v>
      </c>
      <c r="CH29" s="40">
        <f t="shared" si="109"/>
        <v>8731962.5653752144</v>
      </c>
      <c r="CI29" s="40">
        <f t="shared" si="20"/>
        <v>785870</v>
      </c>
      <c r="CJ29" s="40">
        <f t="shared" si="21"/>
        <v>347490</v>
      </c>
      <c r="CK29" s="40">
        <f t="shared" si="110"/>
        <v>22490</v>
      </c>
      <c r="CL29" s="128">
        <f t="shared" si="111"/>
        <v>8950261.6295095943</v>
      </c>
      <c r="CM29" s="128">
        <f t="shared" si="22"/>
        <v>805520</v>
      </c>
      <c r="CN29" s="128">
        <f t="shared" si="23"/>
        <v>356170</v>
      </c>
      <c r="CO29" s="128">
        <f t="shared" si="112"/>
        <v>23060</v>
      </c>
      <c r="CP29" s="40">
        <f t="shared" si="113"/>
        <v>9174018.1702473331</v>
      </c>
      <c r="CQ29" s="40">
        <f t="shared" si="24"/>
        <v>825660</v>
      </c>
      <c r="CR29" s="40">
        <f t="shared" si="25"/>
        <v>365080</v>
      </c>
      <c r="CS29" s="40">
        <f t="shared" si="114"/>
        <v>23630</v>
      </c>
      <c r="CT29" s="128">
        <f t="shared" si="115"/>
        <v>9403368.6245035157</v>
      </c>
      <c r="CU29" s="128">
        <f t="shared" si="26"/>
        <v>846300</v>
      </c>
      <c r="CV29" s="128">
        <f t="shared" si="27"/>
        <v>374210</v>
      </c>
      <c r="CW29" s="128">
        <f t="shared" si="116"/>
        <v>24230</v>
      </c>
      <c r="CX29" s="40">
        <f t="shared" si="117"/>
        <v>9638452.8401161022</v>
      </c>
      <c r="CY29" s="40">
        <f t="shared" si="28"/>
        <v>867460</v>
      </c>
      <c r="CZ29" s="40">
        <f t="shared" si="29"/>
        <v>383560</v>
      </c>
      <c r="DA29" s="40">
        <f t="shared" si="118"/>
        <v>24830</v>
      </c>
      <c r="DB29" s="128">
        <f t="shared" si="119"/>
        <v>9879414.1611190047</v>
      </c>
      <c r="DC29" s="128">
        <f t="shared" si="30"/>
        <v>889140</v>
      </c>
      <c r="DD29" s="128">
        <f t="shared" si="31"/>
        <v>393150</v>
      </c>
      <c r="DE29" s="128">
        <f t="shared" si="120"/>
        <v>25450</v>
      </c>
      <c r="DF29" s="40">
        <f t="shared" si="121"/>
        <v>10126399.515146978</v>
      </c>
      <c r="DG29" s="40">
        <f t="shared" si="32"/>
        <v>911370</v>
      </c>
      <c r="DH29" s="40">
        <f t="shared" si="33"/>
        <v>402980</v>
      </c>
      <c r="DI29" s="40">
        <f t="shared" si="122"/>
        <v>26090</v>
      </c>
      <c r="DJ29" s="128">
        <f t="shared" si="123"/>
        <v>10379559.503025651</v>
      </c>
      <c r="DK29" s="128">
        <f t="shared" si="34"/>
        <v>934160</v>
      </c>
      <c r="DL29" s="128">
        <f t="shared" si="35"/>
        <v>413050</v>
      </c>
      <c r="DM29" s="128">
        <f t="shared" si="124"/>
        <v>26740</v>
      </c>
      <c r="DN29" s="40">
        <f t="shared" si="125"/>
        <v>10639048.490601292</v>
      </c>
      <c r="DO29" s="40">
        <f t="shared" si="36"/>
        <v>957510</v>
      </c>
      <c r="DP29" s="40">
        <f t="shared" si="37"/>
        <v>423380</v>
      </c>
      <c r="DQ29" s="40">
        <f t="shared" si="126"/>
        <v>27410</v>
      </c>
      <c r="DR29" s="128">
        <f t="shared" si="127"/>
        <v>10905024.702866323</v>
      </c>
      <c r="DS29" s="128">
        <f t="shared" si="38"/>
        <v>981450</v>
      </c>
      <c r="DT29" s="128">
        <f t="shared" si="39"/>
        <v>433960</v>
      </c>
      <c r="DU29" s="128">
        <f t="shared" si="128"/>
        <v>28090</v>
      </c>
      <c r="DV29" s="40">
        <f t="shared" si="129"/>
        <v>11177650.320437981</v>
      </c>
      <c r="DW29" s="40">
        <f t="shared" si="40"/>
        <v>1005980</v>
      </c>
      <c r="DX29" s="40">
        <f t="shared" si="41"/>
        <v>444810</v>
      </c>
      <c r="DY29" s="40">
        <f t="shared" si="130"/>
        <v>28800</v>
      </c>
      <c r="DZ29" s="128">
        <f t="shared" si="131"/>
        <v>11457091.578448929</v>
      </c>
      <c r="EA29" s="128">
        <f t="shared" si="42"/>
        <v>1031130</v>
      </c>
      <c r="EB29" s="128">
        <f t="shared" si="43"/>
        <v>455930</v>
      </c>
      <c r="EC29" s="128">
        <f t="shared" si="132"/>
        <v>29520</v>
      </c>
      <c r="ED29" s="40">
        <f t="shared" si="133"/>
        <v>11743518.86791015</v>
      </c>
      <c r="EE29" s="40">
        <f t="shared" si="44"/>
        <v>1056910</v>
      </c>
      <c r="EF29" s="40">
        <f t="shared" si="45"/>
        <v>467330</v>
      </c>
      <c r="EG29" s="40">
        <f t="shared" si="134"/>
        <v>30250</v>
      </c>
      <c r="EH29" s="128">
        <f t="shared" si="135"/>
        <v>12037106.839607904</v>
      </c>
      <c r="EI29" s="128">
        <f t="shared" si="46"/>
        <v>1083330</v>
      </c>
      <c r="EJ29" s="128">
        <f t="shared" si="47"/>
        <v>479020</v>
      </c>
      <c r="EK29" s="128">
        <f t="shared" si="136"/>
        <v>31010</v>
      </c>
      <c r="EL29" s="40">
        <f t="shared" si="137"/>
        <v>12338034.510598101</v>
      </c>
      <c r="EM29" s="40">
        <f t="shared" si="48"/>
        <v>1110420</v>
      </c>
      <c r="EN29" s="40">
        <f t="shared" si="49"/>
        <v>490990</v>
      </c>
      <c r="EO29" s="40">
        <f t="shared" si="138"/>
        <v>31790</v>
      </c>
      <c r="EP29" s="128">
        <f t="shared" si="139"/>
        <v>12646485.373363052</v>
      </c>
      <c r="EQ29" s="128">
        <f t="shared" si="50"/>
        <v>1138180</v>
      </c>
      <c r="ER29" s="128">
        <f t="shared" si="51"/>
        <v>503270</v>
      </c>
      <c r="ES29" s="128">
        <f t="shared" si="140"/>
        <v>32580</v>
      </c>
      <c r="ET29" s="40">
        <f t="shared" si="141"/>
        <v>12962647.507697126</v>
      </c>
      <c r="EU29" s="40">
        <f t="shared" si="52"/>
        <v>1166630</v>
      </c>
      <c r="EV29" s="40">
        <f t="shared" si="53"/>
        <v>515850</v>
      </c>
      <c r="EW29" s="40">
        <f t="shared" si="142"/>
        <v>33400</v>
      </c>
      <c r="EX29" s="128">
        <f t="shared" si="143"/>
        <v>13286713.695389552</v>
      </c>
      <c r="EY29" s="128">
        <f t="shared" si="54"/>
        <v>1195800</v>
      </c>
      <c r="EZ29" s="128">
        <f t="shared" si="55"/>
        <v>528740</v>
      </c>
      <c r="FA29" s="128">
        <f t="shared" si="144"/>
        <v>34230</v>
      </c>
      <c r="FB29" s="40">
        <f t="shared" si="145"/>
        <v>13618881.537774289</v>
      </c>
      <c r="FC29" s="40">
        <f t="shared" si="56"/>
        <v>1225690</v>
      </c>
      <c r="FD29" s="40">
        <f t="shared" si="57"/>
        <v>541960</v>
      </c>
      <c r="FE29" s="40">
        <f t="shared" si="146"/>
        <v>35090</v>
      </c>
      <c r="FF29" s="128">
        <f t="shared" si="147"/>
        <v>13959353.576218644</v>
      </c>
      <c r="FG29" s="128">
        <f t="shared" si="58"/>
        <v>1256340</v>
      </c>
      <c r="FH29" s="128">
        <f t="shared" si="59"/>
        <v>555510</v>
      </c>
      <c r="FI29" s="128">
        <f t="shared" si="148"/>
        <v>35960</v>
      </c>
      <c r="FJ29" s="40">
        <f t="shared" si="149"/>
        <v>14308337.415624108</v>
      </c>
      <c r="FK29" s="40">
        <f t="shared" si="60"/>
        <v>1287750</v>
      </c>
      <c r="FL29" s="40">
        <f t="shared" si="61"/>
        <v>569400</v>
      </c>
      <c r="FM29" s="40">
        <f t="shared" si="150"/>
        <v>36860</v>
      </c>
      <c r="FN29" s="128">
        <f t="shared" si="151"/>
        <v>14666045.851014709</v>
      </c>
      <c r="FO29" s="128">
        <f t="shared" si="62"/>
        <v>1319940</v>
      </c>
      <c r="FP29" s="128">
        <f t="shared" si="63"/>
        <v>583640</v>
      </c>
      <c r="FQ29" s="128">
        <f t="shared" si="152"/>
        <v>37790</v>
      </c>
      <c r="FR29" s="40">
        <f t="shared" si="153"/>
        <v>15032696.997290075</v>
      </c>
      <c r="FS29" s="40">
        <f t="shared" si="64"/>
        <v>1352940</v>
      </c>
      <c r="FT29" s="40">
        <f t="shared" si="65"/>
        <v>598230</v>
      </c>
      <c r="FU29" s="40">
        <f t="shared" si="154"/>
        <v>38730</v>
      </c>
      <c r="FV29" s="128">
        <f t="shared" si="155"/>
        <v>15408514.422222326</v>
      </c>
      <c r="FW29" s="128">
        <f t="shared" si="66"/>
        <v>1386760</v>
      </c>
      <c r="FX29" s="128">
        <f t="shared" si="67"/>
        <v>613180</v>
      </c>
      <c r="FY29" s="128">
        <f t="shared" si="156"/>
        <v>39700</v>
      </c>
      <c r="FZ29" s="40">
        <f t="shared" si="157"/>
        <v>15793727.282777883</v>
      </c>
      <c r="GA29" s="40">
        <f t="shared" si="68"/>
        <v>1421430</v>
      </c>
      <c r="GB29" s="40">
        <f t="shared" si="69"/>
        <v>628510</v>
      </c>
      <c r="GC29" s="40">
        <f t="shared" si="158"/>
        <v>40690</v>
      </c>
      <c r="GD29" s="128">
        <f t="shared" si="159"/>
        <v>16188570.464847328</v>
      </c>
      <c r="GE29" s="128">
        <f t="shared" si="70"/>
        <v>1456970</v>
      </c>
      <c r="GF29" s="128">
        <f t="shared" si="71"/>
        <v>644230</v>
      </c>
      <c r="GG29" s="128">
        <f t="shared" si="160"/>
        <v>41710</v>
      </c>
      <c r="GH29" s="40">
        <f t="shared" si="161"/>
        <v>16593284.726468509</v>
      </c>
      <c r="GI29" s="40">
        <f t="shared" si="72"/>
        <v>1493390</v>
      </c>
      <c r="GJ29" s="40">
        <f t="shared" si="73"/>
        <v>660330</v>
      </c>
      <c r="GK29" s="40">
        <f t="shared" si="162"/>
        <v>42750</v>
      </c>
      <c r="GL29" s="128">
        <f t="shared" si="163"/>
        <v>17008116.844630219</v>
      </c>
      <c r="GM29" s="128">
        <f t="shared" si="74"/>
        <v>1530730</v>
      </c>
      <c r="GN29" s="128">
        <f t="shared" si="75"/>
        <v>676840</v>
      </c>
      <c r="GO29" s="128">
        <f t="shared" si="164"/>
        <v>43820</v>
      </c>
      <c r="GP29" s="40">
        <f t="shared" si="165"/>
        <v>17433319.765745971</v>
      </c>
      <c r="GQ29" s="40">
        <f t="shared" si="76"/>
        <v>1568990</v>
      </c>
      <c r="GR29" s="40">
        <f t="shared" si="77"/>
        <v>693760</v>
      </c>
      <c r="GS29" s="40">
        <f t="shared" si="166"/>
        <v>44920</v>
      </c>
      <c r="GT29" s="128">
        <f t="shared" si="167"/>
        <v>17869152.759889618</v>
      </c>
      <c r="GU29" s="128">
        <f t="shared" si="78"/>
        <v>1608220</v>
      </c>
      <c r="GV29" s="128">
        <f t="shared" si="79"/>
        <v>711100</v>
      </c>
      <c r="GW29" s="128">
        <f t="shared" si="168"/>
        <v>46040</v>
      </c>
      <c r="GX29" s="40">
        <f t="shared" si="169"/>
        <v>18315881.578886855</v>
      </c>
      <c r="GY29" s="40">
        <f t="shared" si="80"/>
        <v>1648420</v>
      </c>
      <c r="GZ29" s="40">
        <f t="shared" si="81"/>
        <v>728880</v>
      </c>
      <c r="HA29" s="40">
        <f t="shared" si="170"/>
        <v>47190</v>
      </c>
      <c r="HB29" s="128" t="e">
        <f t="shared" si="171"/>
        <v>#REF!</v>
      </c>
      <c r="HC29" s="128" t="e">
        <f t="shared" si="82"/>
        <v>#REF!</v>
      </c>
      <c r="HD29" s="128" t="e">
        <f t="shared" si="83"/>
        <v>#REF!</v>
      </c>
      <c r="HE29" s="128" t="e">
        <f t="shared" si="172"/>
        <v>#REF!</v>
      </c>
    </row>
    <row r="30" spans="1:213" ht="18">
      <c r="A30" s="2"/>
      <c r="B30" s="8"/>
      <c r="C30" s="71"/>
      <c r="D30" s="61"/>
      <c r="E30" s="63"/>
      <c r="F30" s="49"/>
      <c r="G30" s="87"/>
      <c r="H30" s="959"/>
      <c r="I30" s="960" t="s">
        <v>617</v>
      </c>
      <c r="K30" s="28">
        <v>2</v>
      </c>
      <c r="M30" s="24" t="s">
        <v>350</v>
      </c>
      <c r="N30" s="137">
        <v>26</v>
      </c>
      <c r="O30" s="24">
        <v>10</v>
      </c>
      <c r="P30" s="28">
        <v>90000</v>
      </c>
      <c r="Q30" s="99"/>
      <c r="R30" s="25" t="s">
        <v>244</v>
      </c>
      <c r="S30" s="719">
        <v>100000</v>
      </c>
      <c r="T30" s="105">
        <v>0</v>
      </c>
      <c r="V30" s="42"/>
      <c r="W30" s="101"/>
      <c r="Y30" s="25" t="s">
        <v>317</v>
      </c>
      <c r="AB30" s="722">
        <v>230000</v>
      </c>
      <c r="AD30" s="26"/>
      <c r="AE30" s="27"/>
      <c r="AF30" s="778"/>
      <c r="AG30" s="28"/>
      <c r="AH30" s="28"/>
      <c r="AJ30" s="41">
        <v>23</v>
      </c>
      <c r="AK30" s="41">
        <v>33</v>
      </c>
      <c r="AL30" s="890">
        <v>6650400</v>
      </c>
      <c r="AM30" s="40">
        <f t="shared" si="84"/>
        <v>598540</v>
      </c>
      <c r="AN30" s="40">
        <v>215950</v>
      </c>
      <c r="AO30" s="40">
        <v>22130</v>
      </c>
      <c r="AP30" s="891">
        <f t="shared" si="85"/>
        <v>6763460</v>
      </c>
      <c r="AQ30" s="131">
        <f t="shared" si="86"/>
        <v>608710</v>
      </c>
      <c r="AR30" s="130">
        <f t="shared" si="87"/>
        <v>239760</v>
      </c>
      <c r="AS30" s="128">
        <f t="shared" si="88"/>
        <v>15520</v>
      </c>
      <c r="AT30" s="40">
        <f t="shared" si="89"/>
        <v>7000181.0999999996</v>
      </c>
      <c r="AU30" s="40">
        <f t="shared" si="0"/>
        <v>630010</v>
      </c>
      <c r="AV30" s="40">
        <f t="shared" si="1"/>
        <v>252370</v>
      </c>
      <c r="AW30" s="40">
        <f t="shared" si="90"/>
        <v>16340</v>
      </c>
      <c r="AX30" s="128">
        <f t="shared" si="91"/>
        <v>7175185.6274999985</v>
      </c>
      <c r="AY30" s="128">
        <f t="shared" si="2"/>
        <v>645760</v>
      </c>
      <c r="AZ30" s="128">
        <f t="shared" si="3"/>
        <v>258680</v>
      </c>
      <c r="BA30" s="128">
        <f t="shared" si="92"/>
        <v>16740</v>
      </c>
      <c r="BB30" s="40">
        <f t="shared" si="93"/>
        <v>7354565.2681874977</v>
      </c>
      <c r="BC30" s="40">
        <f t="shared" si="4"/>
        <v>661910</v>
      </c>
      <c r="BD30" s="40">
        <f t="shared" si="5"/>
        <v>271780</v>
      </c>
      <c r="BE30" s="40">
        <f t="shared" si="94"/>
        <v>17590</v>
      </c>
      <c r="BF30" s="128">
        <f t="shared" si="95"/>
        <v>7538429.3998921849</v>
      </c>
      <c r="BG30" s="128">
        <f t="shared" si="6"/>
        <v>678450</v>
      </c>
      <c r="BH30" s="128">
        <f t="shared" si="7"/>
        <v>278570</v>
      </c>
      <c r="BI30" s="128">
        <f t="shared" si="96"/>
        <v>18030</v>
      </c>
      <c r="BJ30" s="40">
        <f t="shared" si="97"/>
        <v>7726890.134889489</v>
      </c>
      <c r="BK30" s="40">
        <f t="shared" si="8"/>
        <v>695420</v>
      </c>
      <c r="BL30" s="40">
        <f t="shared" si="9"/>
        <v>292670</v>
      </c>
      <c r="BM30" s="40">
        <f t="shared" si="98"/>
        <v>18950</v>
      </c>
      <c r="BN30" s="128">
        <f t="shared" si="99"/>
        <v>7920062.3882617252</v>
      </c>
      <c r="BO30" s="128">
        <f t="shared" si="10"/>
        <v>712800</v>
      </c>
      <c r="BP30" s="128">
        <f t="shared" si="11"/>
        <v>307490</v>
      </c>
      <c r="BQ30" s="128">
        <f t="shared" si="100"/>
        <v>19900</v>
      </c>
      <c r="BR30" s="40">
        <f t="shared" si="101"/>
        <v>8118063.9479682678</v>
      </c>
      <c r="BS30" s="40">
        <f t="shared" si="12"/>
        <v>730620</v>
      </c>
      <c r="BT30" s="40">
        <f t="shared" si="13"/>
        <v>315180</v>
      </c>
      <c r="BU30" s="40">
        <f t="shared" si="102"/>
        <v>20400</v>
      </c>
      <c r="BV30" s="128">
        <f t="shared" si="103"/>
        <v>8321015.5466674734</v>
      </c>
      <c r="BW30" s="128">
        <f t="shared" si="14"/>
        <v>748890</v>
      </c>
      <c r="BX30" s="128">
        <f t="shared" si="15"/>
        <v>331130</v>
      </c>
      <c r="BY30" s="128">
        <f t="shared" si="104"/>
        <v>21440</v>
      </c>
      <c r="BZ30" s="40">
        <f t="shared" si="105"/>
        <v>8529040.9353341591</v>
      </c>
      <c r="CA30" s="40">
        <f t="shared" si="16"/>
        <v>767610</v>
      </c>
      <c r="CB30" s="40">
        <f t="shared" si="17"/>
        <v>339410</v>
      </c>
      <c r="CC30" s="40">
        <f t="shared" si="106"/>
        <v>21970</v>
      </c>
      <c r="CD30" s="128">
        <f t="shared" si="107"/>
        <v>8742266.958717512</v>
      </c>
      <c r="CE30" s="128">
        <f t="shared" si="18"/>
        <v>786800</v>
      </c>
      <c r="CF30" s="128">
        <f t="shared" si="19"/>
        <v>347900</v>
      </c>
      <c r="CG30" s="128">
        <f t="shared" si="108"/>
        <v>22520</v>
      </c>
      <c r="CH30" s="40">
        <f t="shared" si="109"/>
        <v>8960823.632685449</v>
      </c>
      <c r="CI30" s="40">
        <f t="shared" si="20"/>
        <v>806470</v>
      </c>
      <c r="CJ30" s="40">
        <f t="shared" si="21"/>
        <v>356590</v>
      </c>
      <c r="CK30" s="40">
        <f t="shared" si="110"/>
        <v>23080</v>
      </c>
      <c r="CL30" s="128">
        <f t="shared" si="111"/>
        <v>9184844.2235025838</v>
      </c>
      <c r="CM30" s="128">
        <f t="shared" si="22"/>
        <v>826630</v>
      </c>
      <c r="CN30" s="128">
        <f t="shared" si="23"/>
        <v>365510</v>
      </c>
      <c r="CO30" s="128">
        <f t="shared" si="112"/>
        <v>23660</v>
      </c>
      <c r="CP30" s="40">
        <f t="shared" si="113"/>
        <v>9414465.3290901482</v>
      </c>
      <c r="CQ30" s="40">
        <f t="shared" si="24"/>
        <v>847300</v>
      </c>
      <c r="CR30" s="40">
        <f t="shared" si="25"/>
        <v>374650</v>
      </c>
      <c r="CS30" s="40">
        <f t="shared" si="114"/>
        <v>24250</v>
      </c>
      <c r="CT30" s="128">
        <f t="shared" si="115"/>
        <v>9649826.9623174015</v>
      </c>
      <c r="CU30" s="128">
        <f t="shared" si="26"/>
        <v>868480</v>
      </c>
      <c r="CV30" s="128">
        <f t="shared" si="27"/>
        <v>384010</v>
      </c>
      <c r="CW30" s="128">
        <f t="shared" si="116"/>
        <v>24860</v>
      </c>
      <c r="CX30" s="40">
        <f t="shared" si="117"/>
        <v>9891072.636375336</v>
      </c>
      <c r="CY30" s="40">
        <f t="shared" si="28"/>
        <v>890190</v>
      </c>
      <c r="CZ30" s="40">
        <f t="shared" si="29"/>
        <v>393610</v>
      </c>
      <c r="DA30" s="40">
        <f t="shared" si="118"/>
        <v>25480</v>
      </c>
      <c r="DB30" s="128">
        <f t="shared" si="119"/>
        <v>10138349.452284718</v>
      </c>
      <c r="DC30" s="128">
        <f t="shared" si="30"/>
        <v>912450</v>
      </c>
      <c r="DD30" s="128">
        <f t="shared" si="31"/>
        <v>403450</v>
      </c>
      <c r="DE30" s="128">
        <f t="shared" si="120"/>
        <v>26120</v>
      </c>
      <c r="DF30" s="40">
        <f t="shared" si="121"/>
        <v>10391808.188591834</v>
      </c>
      <c r="DG30" s="40">
        <f t="shared" si="32"/>
        <v>935260</v>
      </c>
      <c r="DH30" s="40">
        <f t="shared" si="33"/>
        <v>413540</v>
      </c>
      <c r="DI30" s="40">
        <f t="shared" si="122"/>
        <v>26770</v>
      </c>
      <c r="DJ30" s="128">
        <f t="shared" si="123"/>
        <v>10651603.39330663</v>
      </c>
      <c r="DK30" s="128">
        <f t="shared" si="34"/>
        <v>958640</v>
      </c>
      <c r="DL30" s="128">
        <f t="shared" si="35"/>
        <v>423880</v>
      </c>
      <c r="DM30" s="128">
        <f t="shared" si="124"/>
        <v>27440</v>
      </c>
      <c r="DN30" s="40">
        <f t="shared" si="125"/>
        <v>10917893.478139294</v>
      </c>
      <c r="DO30" s="40">
        <f t="shared" si="36"/>
        <v>982610</v>
      </c>
      <c r="DP30" s="40">
        <f t="shared" si="37"/>
        <v>434480</v>
      </c>
      <c r="DQ30" s="40">
        <f t="shared" si="126"/>
        <v>28130</v>
      </c>
      <c r="DR30" s="128">
        <f t="shared" si="127"/>
        <v>11190840.815092776</v>
      </c>
      <c r="DS30" s="128">
        <f t="shared" si="38"/>
        <v>1007170</v>
      </c>
      <c r="DT30" s="128">
        <f t="shared" si="39"/>
        <v>445340</v>
      </c>
      <c r="DU30" s="128">
        <f t="shared" si="128"/>
        <v>28830</v>
      </c>
      <c r="DV30" s="40">
        <f t="shared" si="129"/>
        <v>11470611.835470095</v>
      </c>
      <c r="DW30" s="40">
        <f t="shared" si="40"/>
        <v>1032350</v>
      </c>
      <c r="DX30" s="40">
        <f t="shared" si="41"/>
        <v>456470</v>
      </c>
      <c r="DY30" s="40">
        <f t="shared" si="130"/>
        <v>29550</v>
      </c>
      <c r="DZ30" s="128">
        <f t="shared" si="131"/>
        <v>11757377.131356847</v>
      </c>
      <c r="EA30" s="128">
        <f t="shared" si="42"/>
        <v>1058160</v>
      </c>
      <c r="EB30" s="128">
        <f t="shared" si="43"/>
        <v>467880</v>
      </c>
      <c r="EC30" s="128">
        <f t="shared" si="132"/>
        <v>30290</v>
      </c>
      <c r="ED30" s="40">
        <f t="shared" si="133"/>
        <v>12051311.559640767</v>
      </c>
      <c r="EE30" s="40">
        <f t="shared" si="44"/>
        <v>1084610</v>
      </c>
      <c r="EF30" s="40">
        <f t="shared" si="45"/>
        <v>479580</v>
      </c>
      <c r="EG30" s="40">
        <f t="shared" si="134"/>
        <v>31050</v>
      </c>
      <c r="EH30" s="128">
        <f t="shared" si="135"/>
        <v>12352594.348631784</v>
      </c>
      <c r="EI30" s="128">
        <f t="shared" si="46"/>
        <v>1111730</v>
      </c>
      <c r="EJ30" s="128">
        <f t="shared" si="47"/>
        <v>491570</v>
      </c>
      <c r="EK30" s="128">
        <f t="shared" si="136"/>
        <v>31820</v>
      </c>
      <c r="EL30" s="40">
        <f t="shared" si="137"/>
        <v>12661409.207347577</v>
      </c>
      <c r="EM30" s="40">
        <f t="shared" si="48"/>
        <v>1139520</v>
      </c>
      <c r="EN30" s="40">
        <f t="shared" si="49"/>
        <v>503860</v>
      </c>
      <c r="EO30" s="40">
        <f t="shared" si="138"/>
        <v>32620</v>
      </c>
      <c r="EP30" s="128">
        <f t="shared" si="139"/>
        <v>12977944.437531266</v>
      </c>
      <c r="EQ30" s="128">
        <f t="shared" si="50"/>
        <v>1168010</v>
      </c>
      <c r="ER30" s="128">
        <f t="shared" si="51"/>
        <v>516460</v>
      </c>
      <c r="ES30" s="128">
        <f t="shared" si="140"/>
        <v>33440</v>
      </c>
      <c r="ET30" s="40">
        <f t="shared" si="141"/>
        <v>13302393.048469547</v>
      </c>
      <c r="EU30" s="40">
        <f t="shared" si="52"/>
        <v>1197210</v>
      </c>
      <c r="EV30" s="40">
        <f t="shared" si="53"/>
        <v>529370</v>
      </c>
      <c r="EW30" s="40">
        <f t="shared" si="142"/>
        <v>34270</v>
      </c>
      <c r="EX30" s="128">
        <f t="shared" si="143"/>
        <v>13634952.874681285</v>
      </c>
      <c r="EY30" s="128">
        <f t="shared" si="54"/>
        <v>1227140</v>
      </c>
      <c r="EZ30" s="128">
        <f t="shared" si="55"/>
        <v>542600</v>
      </c>
      <c r="FA30" s="128">
        <f t="shared" si="144"/>
        <v>35130</v>
      </c>
      <c r="FB30" s="40">
        <f t="shared" si="145"/>
        <v>13975826.696548315</v>
      </c>
      <c r="FC30" s="40">
        <f t="shared" si="56"/>
        <v>1257820</v>
      </c>
      <c r="FD30" s="40">
        <f t="shared" si="57"/>
        <v>556170</v>
      </c>
      <c r="FE30" s="40">
        <f t="shared" si="146"/>
        <v>36010</v>
      </c>
      <c r="FF30" s="128">
        <f t="shared" si="147"/>
        <v>14325222.363962021</v>
      </c>
      <c r="FG30" s="128">
        <f t="shared" si="58"/>
        <v>1289270</v>
      </c>
      <c r="FH30" s="128">
        <f t="shared" si="59"/>
        <v>570070</v>
      </c>
      <c r="FI30" s="128">
        <f t="shared" si="148"/>
        <v>36910</v>
      </c>
      <c r="FJ30" s="40">
        <f t="shared" si="149"/>
        <v>14683352.923061069</v>
      </c>
      <c r="FK30" s="40">
        <f t="shared" si="60"/>
        <v>1321500</v>
      </c>
      <c r="FL30" s="40">
        <f t="shared" si="61"/>
        <v>584320</v>
      </c>
      <c r="FM30" s="40">
        <f t="shared" si="150"/>
        <v>37830</v>
      </c>
      <c r="FN30" s="128">
        <f t="shared" si="151"/>
        <v>15050436.746137595</v>
      </c>
      <c r="FO30" s="128">
        <f t="shared" si="62"/>
        <v>1354530</v>
      </c>
      <c r="FP30" s="128">
        <f t="shared" si="63"/>
        <v>598930</v>
      </c>
      <c r="FQ30" s="128">
        <f t="shared" si="152"/>
        <v>38780</v>
      </c>
      <c r="FR30" s="40">
        <f t="shared" si="153"/>
        <v>15426697.664791033</v>
      </c>
      <c r="FS30" s="40">
        <f t="shared" si="64"/>
        <v>1388400</v>
      </c>
      <c r="FT30" s="40">
        <f t="shared" si="65"/>
        <v>613910</v>
      </c>
      <c r="FU30" s="40">
        <f t="shared" si="154"/>
        <v>39750</v>
      </c>
      <c r="FV30" s="128">
        <f t="shared" si="155"/>
        <v>15812365.106410807</v>
      </c>
      <c r="FW30" s="128">
        <f t="shared" si="66"/>
        <v>1423110</v>
      </c>
      <c r="FX30" s="128">
        <f t="shared" si="67"/>
        <v>629250</v>
      </c>
      <c r="FY30" s="128">
        <f t="shared" si="156"/>
        <v>40740</v>
      </c>
      <c r="FZ30" s="40">
        <f t="shared" si="157"/>
        <v>16207674.234071076</v>
      </c>
      <c r="GA30" s="40">
        <f t="shared" si="68"/>
        <v>1458690</v>
      </c>
      <c r="GB30" s="40">
        <f t="shared" si="69"/>
        <v>644990</v>
      </c>
      <c r="GC30" s="40">
        <f t="shared" si="158"/>
        <v>41760</v>
      </c>
      <c r="GD30" s="128">
        <f t="shared" si="159"/>
        <v>16612866.089922851</v>
      </c>
      <c r="GE30" s="128">
        <f t="shared" si="70"/>
        <v>1495150</v>
      </c>
      <c r="GF30" s="128">
        <f t="shared" si="71"/>
        <v>661110</v>
      </c>
      <c r="GG30" s="128">
        <f t="shared" si="160"/>
        <v>42800</v>
      </c>
      <c r="GH30" s="40">
        <f t="shared" si="161"/>
        <v>17028187.742170922</v>
      </c>
      <c r="GI30" s="40">
        <f t="shared" si="72"/>
        <v>1532530</v>
      </c>
      <c r="GJ30" s="40">
        <f t="shared" si="73"/>
        <v>677640</v>
      </c>
      <c r="GK30" s="40">
        <f t="shared" si="162"/>
        <v>43870</v>
      </c>
      <c r="GL30" s="128">
        <f t="shared" si="163"/>
        <v>17453892.435725193</v>
      </c>
      <c r="GM30" s="128">
        <f t="shared" si="74"/>
        <v>1570850</v>
      </c>
      <c r="GN30" s="128">
        <f t="shared" si="75"/>
        <v>694580</v>
      </c>
      <c r="GO30" s="128">
        <f t="shared" si="164"/>
        <v>44970</v>
      </c>
      <c r="GP30" s="40">
        <f t="shared" si="165"/>
        <v>17890239.746618323</v>
      </c>
      <c r="GQ30" s="40">
        <f t="shared" si="76"/>
        <v>1610120</v>
      </c>
      <c r="GR30" s="40">
        <f t="shared" si="77"/>
        <v>711940</v>
      </c>
      <c r="GS30" s="40">
        <f t="shared" si="166"/>
        <v>46090</v>
      </c>
      <c r="GT30" s="128">
        <f t="shared" si="167"/>
        <v>18337495.74028378</v>
      </c>
      <c r="GU30" s="128">
        <f t="shared" si="78"/>
        <v>1650370</v>
      </c>
      <c r="GV30" s="128">
        <f t="shared" si="79"/>
        <v>729740</v>
      </c>
      <c r="GW30" s="128">
        <f t="shared" si="168"/>
        <v>47250</v>
      </c>
      <c r="GX30" s="40">
        <f t="shared" si="169"/>
        <v>18795933.133790873</v>
      </c>
      <c r="GY30" s="40">
        <f t="shared" si="80"/>
        <v>1691630</v>
      </c>
      <c r="GZ30" s="40">
        <f t="shared" si="81"/>
        <v>747990</v>
      </c>
      <c r="HA30" s="40">
        <f t="shared" si="170"/>
        <v>48430</v>
      </c>
      <c r="HB30" s="128" t="e">
        <f t="shared" si="171"/>
        <v>#REF!</v>
      </c>
      <c r="HC30" s="128" t="e">
        <f t="shared" si="82"/>
        <v>#REF!</v>
      </c>
      <c r="HD30" s="128" t="e">
        <f t="shared" si="83"/>
        <v>#REF!</v>
      </c>
      <c r="HE30" s="128" t="e">
        <f t="shared" si="172"/>
        <v>#REF!</v>
      </c>
    </row>
    <row r="31" spans="1:213" ht="18">
      <c r="A31" s="13"/>
      <c r="B31" s="14"/>
      <c r="C31" s="80"/>
      <c r="D31" s="81"/>
      <c r="E31" s="68"/>
      <c r="F31" s="55"/>
      <c r="G31" s="87"/>
      <c r="H31" s="959"/>
      <c r="I31" s="960" t="s">
        <v>618</v>
      </c>
      <c r="K31" s="28">
        <v>3</v>
      </c>
      <c r="M31" s="24" t="s">
        <v>339</v>
      </c>
      <c r="N31" s="137">
        <v>27</v>
      </c>
      <c r="O31" s="24">
        <v>11</v>
      </c>
      <c r="P31" s="28">
        <v>95000</v>
      </c>
      <c r="Q31" s="99"/>
      <c r="R31" s="25" t="s">
        <v>253</v>
      </c>
      <c r="S31" s="719">
        <v>110000</v>
      </c>
      <c r="T31" s="105">
        <v>5000</v>
      </c>
      <c r="V31" s="42"/>
      <c r="W31" s="101"/>
      <c r="Y31" s="25" t="s">
        <v>312</v>
      </c>
      <c r="AB31" s="721">
        <v>240000</v>
      </c>
      <c r="AD31" s="26"/>
      <c r="AE31" s="27"/>
      <c r="AF31" s="778"/>
      <c r="AG31" s="28"/>
      <c r="AH31" s="28"/>
      <c r="AJ31" s="41">
        <v>24</v>
      </c>
      <c r="AK31" s="41">
        <v>34</v>
      </c>
      <c r="AL31" s="890">
        <v>6806200</v>
      </c>
      <c r="AM31" s="40">
        <f t="shared" si="84"/>
        <v>612560</v>
      </c>
      <c r="AN31" s="40">
        <v>221010</v>
      </c>
      <c r="AO31" s="40">
        <v>22650</v>
      </c>
      <c r="AP31" s="891">
        <f t="shared" si="85"/>
        <v>6921910</v>
      </c>
      <c r="AQ31" s="131">
        <f t="shared" si="86"/>
        <v>622970</v>
      </c>
      <c r="AR31" s="130">
        <f t="shared" si="87"/>
        <v>245380</v>
      </c>
      <c r="AS31" s="128">
        <f t="shared" si="88"/>
        <v>15890</v>
      </c>
      <c r="AT31" s="40">
        <f t="shared" si="89"/>
        <v>7164176.8499999996</v>
      </c>
      <c r="AU31" s="40">
        <f t="shared" si="0"/>
        <v>644770</v>
      </c>
      <c r="AV31" s="40">
        <f t="shared" si="1"/>
        <v>258280</v>
      </c>
      <c r="AW31" s="40">
        <f t="shared" si="90"/>
        <v>16720</v>
      </c>
      <c r="AX31" s="128">
        <f t="shared" si="91"/>
        <v>7343281.2712499993</v>
      </c>
      <c r="AY31" s="128">
        <f t="shared" si="2"/>
        <v>660890</v>
      </c>
      <c r="AZ31" s="128">
        <f t="shared" si="3"/>
        <v>264740</v>
      </c>
      <c r="BA31" s="128">
        <f t="shared" si="92"/>
        <v>17140</v>
      </c>
      <c r="BB31" s="40">
        <f t="shared" si="93"/>
        <v>7526863.303031249</v>
      </c>
      <c r="BC31" s="40">
        <f t="shared" si="4"/>
        <v>677410</v>
      </c>
      <c r="BD31" s="40">
        <f t="shared" si="5"/>
        <v>278140</v>
      </c>
      <c r="BE31" s="40">
        <f t="shared" si="94"/>
        <v>18000</v>
      </c>
      <c r="BF31" s="128">
        <f t="shared" si="95"/>
        <v>7715034.8856070293</v>
      </c>
      <c r="BG31" s="128">
        <f t="shared" si="6"/>
        <v>694350</v>
      </c>
      <c r="BH31" s="128">
        <f t="shared" si="7"/>
        <v>285100</v>
      </c>
      <c r="BI31" s="128">
        <f t="shared" si="96"/>
        <v>18460</v>
      </c>
      <c r="BJ31" s="40">
        <f t="shared" si="97"/>
        <v>7907910.757747204</v>
      </c>
      <c r="BK31" s="40">
        <f t="shared" si="8"/>
        <v>711710</v>
      </c>
      <c r="BL31" s="40">
        <f t="shared" si="9"/>
        <v>299530</v>
      </c>
      <c r="BM31" s="40">
        <f t="shared" si="98"/>
        <v>19390</v>
      </c>
      <c r="BN31" s="128">
        <f t="shared" si="99"/>
        <v>8105608.5266908836</v>
      </c>
      <c r="BO31" s="128">
        <f t="shared" si="10"/>
        <v>729500</v>
      </c>
      <c r="BP31" s="128">
        <f t="shared" si="11"/>
        <v>314690</v>
      </c>
      <c r="BQ31" s="128">
        <f t="shared" si="100"/>
        <v>20370</v>
      </c>
      <c r="BR31" s="40">
        <f t="shared" si="101"/>
        <v>8308248.7398581551</v>
      </c>
      <c r="BS31" s="40">
        <f t="shared" si="12"/>
        <v>747740</v>
      </c>
      <c r="BT31" s="40">
        <f t="shared" si="13"/>
        <v>322560</v>
      </c>
      <c r="BU31" s="40">
        <f t="shared" si="102"/>
        <v>20880</v>
      </c>
      <c r="BV31" s="128">
        <f t="shared" si="103"/>
        <v>8515954.9583546091</v>
      </c>
      <c r="BW31" s="128">
        <f t="shared" si="14"/>
        <v>766430</v>
      </c>
      <c r="BX31" s="128">
        <f t="shared" si="15"/>
        <v>338890</v>
      </c>
      <c r="BY31" s="128">
        <f t="shared" si="104"/>
        <v>21940</v>
      </c>
      <c r="BZ31" s="40">
        <f t="shared" si="105"/>
        <v>8728853.8323134743</v>
      </c>
      <c r="CA31" s="40">
        <f t="shared" si="16"/>
        <v>785590</v>
      </c>
      <c r="CB31" s="40">
        <f t="shared" si="17"/>
        <v>347360</v>
      </c>
      <c r="CC31" s="40">
        <f t="shared" si="106"/>
        <v>22490</v>
      </c>
      <c r="CD31" s="128">
        <f t="shared" si="107"/>
        <v>8947075.1781213097</v>
      </c>
      <c r="CE31" s="128">
        <f t="shared" si="18"/>
        <v>805230</v>
      </c>
      <c r="CF31" s="128">
        <f t="shared" si="19"/>
        <v>356050</v>
      </c>
      <c r="CG31" s="128">
        <f t="shared" si="108"/>
        <v>23050</v>
      </c>
      <c r="CH31" s="40">
        <f t="shared" si="109"/>
        <v>9170752.0575743411</v>
      </c>
      <c r="CI31" s="40">
        <f t="shared" si="20"/>
        <v>825360</v>
      </c>
      <c r="CJ31" s="40">
        <f t="shared" si="21"/>
        <v>364950</v>
      </c>
      <c r="CK31" s="40">
        <f t="shared" si="110"/>
        <v>23630</v>
      </c>
      <c r="CL31" s="128">
        <f t="shared" si="111"/>
        <v>9400020.859013699</v>
      </c>
      <c r="CM31" s="128">
        <f t="shared" si="22"/>
        <v>846000</v>
      </c>
      <c r="CN31" s="128">
        <f t="shared" si="23"/>
        <v>374070</v>
      </c>
      <c r="CO31" s="128">
        <f t="shared" si="112"/>
        <v>24220</v>
      </c>
      <c r="CP31" s="40">
        <f t="shared" si="113"/>
        <v>9635021.3804890402</v>
      </c>
      <c r="CQ31" s="40">
        <f t="shared" si="24"/>
        <v>867150</v>
      </c>
      <c r="CR31" s="40">
        <f t="shared" si="25"/>
        <v>383420</v>
      </c>
      <c r="CS31" s="40">
        <f t="shared" si="114"/>
        <v>24820</v>
      </c>
      <c r="CT31" s="128">
        <f t="shared" si="115"/>
        <v>9875896.9150012657</v>
      </c>
      <c r="CU31" s="128">
        <f t="shared" si="26"/>
        <v>888830</v>
      </c>
      <c r="CV31" s="128">
        <f t="shared" si="27"/>
        <v>393010</v>
      </c>
      <c r="CW31" s="128">
        <f t="shared" si="116"/>
        <v>25440</v>
      </c>
      <c r="CX31" s="40">
        <f t="shared" si="117"/>
        <v>10122794.337876296</v>
      </c>
      <c r="CY31" s="40">
        <f t="shared" si="28"/>
        <v>911050</v>
      </c>
      <c r="CZ31" s="40">
        <f t="shared" si="29"/>
        <v>402840</v>
      </c>
      <c r="DA31" s="40">
        <f t="shared" si="118"/>
        <v>26080</v>
      </c>
      <c r="DB31" s="128">
        <f t="shared" si="119"/>
        <v>10375864.196323203</v>
      </c>
      <c r="DC31" s="128">
        <f t="shared" si="30"/>
        <v>933820</v>
      </c>
      <c r="DD31" s="128">
        <f t="shared" si="31"/>
        <v>412910</v>
      </c>
      <c r="DE31" s="128">
        <f t="shared" si="120"/>
        <v>26730</v>
      </c>
      <c r="DF31" s="40">
        <f t="shared" si="121"/>
        <v>10635260.801231282</v>
      </c>
      <c r="DG31" s="40">
        <f t="shared" si="32"/>
        <v>957170</v>
      </c>
      <c r="DH31" s="40">
        <f t="shared" si="33"/>
        <v>423230</v>
      </c>
      <c r="DI31" s="40">
        <f t="shared" si="122"/>
        <v>27400</v>
      </c>
      <c r="DJ31" s="128">
        <f t="shared" si="123"/>
        <v>10901142.321262063</v>
      </c>
      <c r="DK31" s="128">
        <f t="shared" si="34"/>
        <v>981100</v>
      </c>
      <c r="DL31" s="128">
        <f t="shared" si="35"/>
        <v>433810</v>
      </c>
      <c r="DM31" s="128">
        <f t="shared" si="124"/>
        <v>28080</v>
      </c>
      <c r="DN31" s="40">
        <f t="shared" si="125"/>
        <v>11173670.879293615</v>
      </c>
      <c r="DO31" s="40">
        <f t="shared" si="36"/>
        <v>1005630</v>
      </c>
      <c r="DP31" s="40">
        <f t="shared" si="37"/>
        <v>444660</v>
      </c>
      <c r="DQ31" s="40">
        <f t="shared" si="126"/>
        <v>28790</v>
      </c>
      <c r="DR31" s="128">
        <f t="shared" si="127"/>
        <v>11453012.651275955</v>
      </c>
      <c r="DS31" s="128">
        <f t="shared" si="38"/>
        <v>1030770</v>
      </c>
      <c r="DT31" s="128">
        <f t="shared" si="39"/>
        <v>455770</v>
      </c>
      <c r="DU31" s="128">
        <f t="shared" si="128"/>
        <v>29510</v>
      </c>
      <c r="DV31" s="40">
        <f t="shared" si="129"/>
        <v>11739337.967557853</v>
      </c>
      <c r="DW31" s="40">
        <f t="shared" si="40"/>
        <v>1056540</v>
      </c>
      <c r="DX31" s="40">
        <f t="shared" si="41"/>
        <v>467170</v>
      </c>
      <c r="DY31" s="40">
        <f t="shared" si="130"/>
        <v>30240</v>
      </c>
      <c r="DZ31" s="128">
        <f t="shared" si="131"/>
        <v>12032821.416746799</v>
      </c>
      <c r="EA31" s="128">
        <f t="shared" si="42"/>
        <v>1082950</v>
      </c>
      <c r="EB31" s="128">
        <f t="shared" si="43"/>
        <v>478850</v>
      </c>
      <c r="EC31" s="128">
        <f t="shared" si="132"/>
        <v>31000</v>
      </c>
      <c r="ED31" s="40">
        <f t="shared" si="133"/>
        <v>12333641.952165468</v>
      </c>
      <c r="EE31" s="40">
        <f t="shared" si="44"/>
        <v>1110020</v>
      </c>
      <c r="EF31" s="40">
        <f t="shared" si="45"/>
        <v>490820</v>
      </c>
      <c r="EG31" s="40">
        <f t="shared" si="134"/>
        <v>31780</v>
      </c>
      <c r="EH31" s="128">
        <f t="shared" si="135"/>
        <v>12641983.000969604</v>
      </c>
      <c r="EI31" s="128">
        <f t="shared" si="46"/>
        <v>1137770</v>
      </c>
      <c r="EJ31" s="128">
        <f t="shared" si="47"/>
        <v>503090</v>
      </c>
      <c r="EK31" s="128">
        <f t="shared" si="136"/>
        <v>32570</v>
      </c>
      <c r="EL31" s="40">
        <f t="shared" si="137"/>
        <v>12958032.575993843</v>
      </c>
      <c r="EM31" s="40">
        <f t="shared" si="48"/>
        <v>1166220</v>
      </c>
      <c r="EN31" s="40">
        <f t="shared" si="49"/>
        <v>515660</v>
      </c>
      <c r="EO31" s="40">
        <f t="shared" si="138"/>
        <v>33380</v>
      </c>
      <c r="EP31" s="128">
        <f t="shared" si="139"/>
        <v>13281983.390393687</v>
      </c>
      <c r="EQ31" s="128">
        <f t="shared" si="50"/>
        <v>1195370</v>
      </c>
      <c r="ER31" s="128">
        <f t="shared" si="51"/>
        <v>528560</v>
      </c>
      <c r="ES31" s="128">
        <f t="shared" si="140"/>
        <v>34220</v>
      </c>
      <c r="ET31" s="40">
        <f t="shared" si="141"/>
        <v>13614032.975153528</v>
      </c>
      <c r="EU31" s="40">
        <f t="shared" si="52"/>
        <v>1225260</v>
      </c>
      <c r="EV31" s="40">
        <f t="shared" si="53"/>
        <v>541770</v>
      </c>
      <c r="EW31" s="40">
        <f t="shared" si="142"/>
        <v>35070</v>
      </c>
      <c r="EX31" s="128">
        <f t="shared" si="143"/>
        <v>13954383.799532365</v>
      </c>
      <c r="EY31" s="128">
        <f t="shared" si="54"/>
        <v>1255890</v>
      </c>
      <c r="EZ31" s="128">
        <f t="shared" si="55"/>
        <v>555320</v>
      </c>
      <c r="FA31" s="128">
        <f t="shared" si="144"/>
        <v>35950</v>
      </c>
      <c r="FB31" s="40">
        <f t="shared" si="145"/>
        <v>14303243.394520672</v>
      </c>
      <c r="FC31" s="40">
        <f t="shared" si="56"/>
        <v>1287290</v>
      </c>
      <c r="FD31" s="40">
        <f t="shared" si="57"/>
        <v>569200</v>
      </c>
      <c r="FE31" s="40">
        <f t="shared" si="146"/>
        <v>36850</v>
      </c>
      <c r="FF31" s="128">
        <f t="shared" si="147"/>
        <v>14660824.479383688</v>
      </c>
      <c r="FG31" s="128">
        <f t="shared" si="58"/>
        <v>1319470</v>
      </c>
      <c r="FH31" s="128">
        <f t="shared" si="59"/>
        <v>583430</v>
      </c>
      <c r="FI31" s="128">
        <f t="shared" si="148"/>
        <v>37770</v>
      </c>
      <c r="FJ31" s="40">
        <f t="shared" si="149"/>
        <v>15027345.091368278</v>
      </c>
      <c r="FK31" s="40">
        <f t="shared" si="60"/>
        <v>1352460</v>
      </c>
      <c r="FL31" s="40">
        <f t="shared" si="61"/>
        <v>598010</v>
      </c>
      <c r="FM31" s="40">
        <f t="shared" si="150"/>
        <v>38720</v>
      </c>
      <c r="FN31" s="128">
        <f t="shared" si="151"/>
        <v>15403028.718652485</v>
      </c>
      <c r="FO31" s="128">
        <f t="shared" si="62"/>
        <v>1386270</v>
      </c>
      <c r="FP31" s="128">
        <f t="shared" si="63"/>
        <v>612960</v>
      </c>
      <c r="FQ31" s="128">
        <f t="shared" si="152"/>
        <v>39680</v>
      </c>
      <c r="FR31" s="40">
        <f t="shared" si="153"/>
        <v>15788104.436618796</v>
      </c>
      <c r="FS31" s="40">
        <f t="shared" si="64"/>
        <v>1420920</v>
      </c>
      <c r="FT31" s="40">
        <f t="shared" si="65"/>
        <v>628290</v>
      </c>
      <c r="FU31" s="40">
        <f t="shared" si="154"/>
        <v>40680</v>
      </c>
      <c r="FV31" s="128">
        <f t="shared" si="155"/>
        <v>16182807.047534265</v>
      </c>
      <c r="FW31" s="128">
        <f t="shared" si="66"/>
        <v>1456450</v>
      </c>
      <c r="FX31" s="128">
        <f t="shared" si="67"/>
        <v>644000</v>
      </c>
      <c r="FY31" s="128">
        <f t="shared" si="156"/>
        <v>41690</v>
      </c>
      <c r="FZ31" s="40">
        <f t="shared" si="157"/>
        <v>16587377.22372262</v>
      </c>
      <c r="GA31" s="40">
        <f t="shared" si="68"/>
        <v>1492860</v>
      </c>
      <c r="GB31" s="40">
        <f t="shared" si="69"/>
        <v>660100</v>
      </c>
      <c r="GC31" s="40">
        <f t="shared" si="158"/>
        <v>42740</v>
      </c>
      <c r="GD31" s="128">
        <f t="shared" si="159"/>
        <v>17002061.654315684</v>
      </c>
      <c r="GE31" s="128">
        <f t="shared" si="70"/>
        <v>1530180</v>
      </c>
      <c r="GF31" s="128">
        <f t="shared" si="71"/>
        <v>676600</v>
      </c>
      <c r="GG31" s="128">
        <f t="shared" si="160"/>
        <v>43800</v>
      </c>
      <c r="GH31" s="40">
        <f t="shared" si="161"/>
        <v>17427113.195673574</v>
      </c>
      <c r="GI31" s="40">
        <f t="shared" si="72"/>
        <v>1568440</v>
      </c>
      <c r="GJ31" s="40">
        <f t="shared" si="73"/>
        <v>693510</v>
      </c>
      <c r="GK31" s="40">
        <f t="shared" si="162"/>
        <v>44900</v>
      </c>
      <c r="GL31" s="128">
        <f t="shared" si="163"/>
        <v>17862791.025565412</v>
      </c>
      <c r="GM31" s="128">
        <f t="shared" si="74"/>
        <v>1607650</v>
      </c>
      <c r="GN31" s="128">
        <f t="shared" si="75"/>
        <v>710850</v>
      </c>
      <c r="GO31" s="128">
        <f t="shared" si="164"/>
        <v>46020</v>
      </c>
      <c r="GP31" s="40">
        <f t="shared" si="165"/>
        <v>18309360.801204547</v>
      </c>
      <c r="GQ31" s="40">
        <f t="shared" si="76"/>
        <v>1647840</v>
      </c>
      <c r="GR31" s="40">
        <f t="shared" si="77"/>
        <v>728620</v>
      </c>
      <c r="GS31" s="40">
        <f t="shared" si="166"/>
        <v>47170</v>
      </c>
      <c r="GT31" s="128">
        <f t="shared" si="167"/>
        <v>18767094.821234658</v>
      </c>
      <c r="GU31" s="128">
        <f t="shared" si="78"/>
        <v>1689030</v>
      </c>
      <c r="GV31" s="128">
        <f t="shared" si="79"/>
        <v>746840</v>
      </c>
      <c r="GW31" s="128">
        <f t="shared" si="168"/>
        <v>48350</v>
      </c>
      <c r="GX31" s="40">
        <f t="shared" si="169"/>
        <v>19236272.191765524</v>
      </c>
      <c r="GY31" s="40">
        <f t="shared" si="80"/>
        <v>1731260</v>
      </c>
      <c r="GZ31" s="40">
        <f t="shared" si="81"/>
        <v>765510</v>
      </c>
      <c r="HA31" s="40">
        <f t="shared" si="170"/>
        <v>49560</v>
      </c>
      <c r="HB31" s="128" t="e">
        <f t="shared" si="171"/>
        <v>#REF!</v>
      </c>
      <c r="HC31" s="128" t="e">
        <f t="shared" si="82"/>
        <v>#REF!</v>
      </c>
      <c r="HD31" s="128" t="e">
        <f t="shared" si="83"/>
        <v>#REF!</v>
      </c>
      <c r="HE31" s="128" t="e">
        <f t="shared" si="172"/>
        <v>#REF!</v>
      </c>
    </row>
    <row r="32" spans="1:213" ht="18">
      <c r="A32" s="2"/>
      <c r="B32" s="8"/>
      <c r="C32" s="71"/>
      <c r="D32" s="61"/>
      <c r="E32" s="63"/>
      <c r="F32" s="49"/>
      <c r="G32" s="87"/>
      <c r="H32" s="959"/>
      <c r="I32" s="960" t="s">
        <v>620</v>
      </c>
      <c r="K32" s="28">
        <v>4</v>
      </c>
      <c r="M32" s="24" t="s">
        <v>374</v>
      </c>
      <c r="N32" s="137">
        <v>28</v>
      </c>
      <c r="O32" s="24">
        <v>12</v>
      </c>
      <c r="P32" s="28">
        <v>100000</v>
      </c>
      <c r="Q32" s="99"/>
      <c r="R32" s="25" t="s">
        <v>272</v>
      </c>
      <c r="S32" s="719">
        <v>120000</v>
      </c>
      <c r="T32" s="105">
        <v>10000</v>
      </c>
      <c r="V32" s="42"/>
      <c r="W32" s="101"/>
      <c r="Y32" s="25" t="s">
        <v>325</v>
      </c>
      <c r="AB32" s="722">
        <v>250000</v>
      </c>
      <c r="AD32" s="26"/>
      <c r="AE32" s="27"/>
      <c r="AF32" s="778"/>
      <c r="AG32" s="28"/>
      <c r="AH32" s="28"/>
      <c r="AJ32" s="41">
        <v>25</v>
      </c>
      <c r="AK32" s="41">
        <v>35</v>
      </c>
      <c r="AL32" s="890">
        <v>6964330</v>
      </c>
      <c r="AM32" s="40">
        <f t="shared" si="84"/>
        <v>626790</v>
      </c>
      <c r="AN32" s="40">
        <v>226140</v>
      </c>
      <c r="AO32" s="40">
        <v>23180</v>
      </c>
      <c r="AP32" s="891">
        <f t="shared" si="85"/>
        <v>7082720</v>
      </c>
      <c r="AQ32" s="131">
        <f t="shared" si="86"/>
        <v>637440</v>
      </c>
      <c r="AR32" s="130">
        <f t="shared" si="87"/>
        <v>251080</v>
      </c>
      <c r="AS32" s="128">
        <f t="shared" si="88"/>
        <v>16260</v>
      </c>
      <c r="AT32" s="40">
        <f t="shared" si="89"/>
        <v>7330615.1999999993</v>
      </c>
      <c r="AU32" s="40">
        <f t="shared" si="0"/>
        <v>659750</v>
      </c>
      <c r="AV32" s="40">
        <f t="shared" si="1"/>
        <v>264280</v>
      </c>
      <c r="AW32" s="40">
        <f t="shared" si="90"/>
        <v>17110</v>
      </c>
      <c r="AX32" s="128">
        <f t="shared" si="91"/>
        <v>7513880.5799999982</v>
      </c>
      <c r="AY32" s="128">
        <f t="shared" si="2"/>
        <v>676240</v>
      </c>
      <c r="AZ32" s="128">
        <f t="shared" si="3"/>
        <v>270890</v>
      </c>
      <c r="BA32" s="128">
        <f t="shared" si="92"/>
        <v>17540</v>
      </c>
      <c r="BB32" s="40">
        <f t="shared" si="93"/>
        <v>7701727.5944999978</v>
      </c>
      <c r="BC32" s="40">
        <f t="shared" si="4"/>
        <v>693150</v>
      </c>
      <c r="BD32" s="40">
        <f t="shared" si="5"/>
        <v>284600</v>
      </c>
      <c r="BE32" s="40">
        <f t="shared" si="94"/>
        <v>18420</v>
      </c>
      <c r="BF32" s="128">
        <f t="shared" si="95"/>
        <v>7894270.7843624968</v>
      </c>
      <c r="BG32" s="128">
        <f t="shared" si="6"/>
        <v>710480</v>
      </c>
      <c r="BH32" s="128">
        <f t="shared" si="7"/>
        <v>291720</v>
      </c>
      <c r="BI32" s="128">
        <f t="shared" si="96"/>
        <v>18880</v>
      </c>
      <c r="BJ32" s="40">
        <f t="shared" si="97"/>
        <v>8091627.5539715588</v>
      </c>
      <c r="BK32" s="40">
        <f t="shared" si="8"/>
        <v>728240</v>
      </c>
      <c r="BL32" s="40">
        <f t="shared" si="9"/>
        <v>306490</v>
      </c>
      <c r="BM32" s="40">
        <f t="shared" si="98"/>
        <v>19840</v>
      </c>
      <c r="BN32" s="128">
        <f t="shared" si="99"/>
        <v>8293918.2428208468</v>
      </c>
      <c r="BO32" s="128">
        <f t="shared" si="10"/>
        <v>746450</v>
      </c>
      <c r="BP32" s="128">
        <f t="shared" si="11"/>
        <v>322000</v>
      </c>
      <c r="BQ32" s="128">
        <f t="shared" si="100"/>
        <v>20840</v>
      </c>
      <c r="BR32" s="40">
        <f t="shared" si="101"/>
        <v>8501266.1988913678</v>
      </c>
      <c r="BS32" s="40">
        <f t="shared" si="12"/>
        <v>765110</v>
      </c>
      <c r="BT32" s="40">
        <f t="shared" si="13"/>
        <v>330050</v>
      </c>
      <c r="BU32" s="40">
        <f t="shared" si="102"/>
        <v>21370</v>
      </c>
      <c r="BV32" s="128">
        <f t="shared" si="103"/>
        <v>8713797.8538636509</v>
      </c>
      <c r="BW32" s="128">
        <f t="shared" si="14"/>
        <v>784240</v>
      </c>
      <c r="BX32" s="128">
        <f t="shared" si="15"/>
        <v>346760</v>
      </c>
      <c r="BY32" s="128">
        <f t="shared" si="104"/>
        <v>22450</v>
      </c>
      <c r="BZ32" s="40">
        <f t="shared" si="105"/>
        <v>8931642.8002102412</v>
      </c>
      <c r="CA32" s="40">
        <f t="shared" si="16"/>
        <v>803840</v>
      </c>
      <c r="CB32" s="40">
        <f t="shared" si="17"/>
        <v>355430</v>
      </c>
      <c r="CC32" s="40">
        <f t="shared" si="106"/>
        <v>23010</v>
      </c>
      <c r="CD32" s="128">
        <f t="shared" si="107"/>
        <v>9154933.870215496</v>
      </c>
      <c r="CE32" s="128">
        <f t="shared" si="18"/>
        <v>823940</v>
      </c>
      <c r="CF32" s="128">
        <f t="shared" si="19"/>
        <v>364320</v>
      </c>
      <c r="CG32" s="128">
        <f t="shared" si="108"/>
        <v>23580</v>
      </c>
      <c r="CH32" s="40">
        <f t="shared" si="109"/>
        <v>9383807.2169708833</v>
      </c>
      <c r="CI32" s="40">
        <f t="shared" si="20"/>
        <v>844540</v>
      </c>
      <c r="CJ32" s="40">
        <f t="shared" si="21"/>
        <v>373430</v>
      </c>
      <c r="CK32" s="40">
        <f t="shared" si="110"/>
        <v>24170</v>
      </c>
      <c r="CL32" s="128">
        <f t="shared" si="111"/>
        <v>9618402.3973951545</v>
      </c>
      <c r="CM32" s="128">
        <f t="shared" si="22"/>
        <v>865650</v>
      </c>
      <c r="CN32" s="128">
        <f t="shared" si="23"/>
        <v>382760</v>
      </c>
      <c r="CO32" s="128">
        <f t="shared" si="112"/>
        <v>24780</v>
      </c>
      <c r="CP32" s="40">
        <f t="shared" si="113"/>
        <v>9858862.4573300332</v>
      </c>
      <c r="CQ32" s="40">
        <f t="shared" si="24"/>
        <v>887290</v>
      </c>
      <c r="CR32" s="40">
        <f t="shared" si="25"/>
        <v>392330</v>
      </c>
      <c r="CS32" s="40">
        <f t="shared" si="114"/>
        <v>25400</v>
      </c>
      <c r="CT32" s="128">
        <f t="shared" si="115"/>
        <v>10105334.018763283</v>
      </c>
      <c r="CU32" s="128">
        <f t="shared" si="26"/>
        <v>909480</v>
      </c>
      <c r="CV32" s="128">
        <f t="shared" si="27"/>
        <v>402140</v>
      </c>
      <c r="CW32" s="128">
        <f t="shared" si="116"/>
        <v>26030</v>
      </c>
      <c r="CX32" s="40">
        <f t="shared" si="117"/>
        <v>10357967.369232364</v>
      </c>
      <c r="CY32" s="40">
        <f t="shared" si="28"/>
        <v>932210</v>
      </c>
      <c r="CZ32" s="40">
        <f t="shared" si="29"/>
        <v>412190</v>
      </c>
      <c r="DA32" s="40">
        <f t="shared" si="118"/>
        <v>26680</v>
      </c>
      <c r="DB32" s="128">
        <f t="shared" si="119"/>
        <v>10616916.553463172</v>
      </c>
      <c r="DC32" s="128">
        <f t="shared" si="30"/>
        <v>955520</v>
      </c>
      <c r="DD32" s="128">
        <f t="shared" si="31"/>
        <v>422500</v>
      </c>
      <c r="DE32" s="128">
        <f t="shared" si="120"/>
        <v>27350</v>
      </c>
      <c r="DF32" s="40">
        <f t="shared" si="121"/>
        <v>10882339.46729975</v>
      </c>
      <c r="DG32" s="40">
        <f t="shared" si="32"/>
        <v>979410</v>
      </c>
      <c r="DH32" s="40">
        <f t="shared" si="33"/>
        <v>433060</v>
      </c>
      <c r="DI32" s="40">
        <f t="shared" si="122"/>
        <v>28040</v>
      </c>
      <c r="DJ32" s="128">
        <f t="shared" si="123"/>
        <v>11154397.953982243</v>
      </c>
      <c r="DK32" s="128">
        <f t="shared" si="34"/>
        <v>1003890</v>
      </c>
      <c r="DL32" s="128">
        <f t="shared" si="35"/>
        <v>443890</v>
      </c>
      <c r="DM32" s="128">
        <f t="shared" si="124"/>
        <v>28740</v>
      </c>
      <c r="DN32" s="40">
        <f t="shared" si="125"/>
        <v>11433257.902831798</v>
      </c>
      <c r="DO32" s="40">
        <f t="shared" si="36"/>
        <v>1028990</v>
      </c>
      <c r="DP32" s="40">
        <f t="shared" si="37"/>
        <v>454990</v>
      </c>
      <c r="DQ32" s="40">
        <f t="shared" si="126"/>
        <v>29460</v>
      </c>
      <c r="DR32" s="128">
        <f t="shared" si="127"/>
        <v>11719089.350402592</v>
      </c>
      <c r="DS32" s="128">
        <f t="shared" si="38"/>
        <v>1054710</v>
      </c>
      <c r="DT32" s="128">
        <f t="shared" si="39"/>
        <v>466360</v>
      </c>
      <c r="DU32" s="128">
        <f t="shared" si="128"/>
        <v>30190</v>
      </c>
      <c r="DV32" s="40">
        <f t="shared" si="129"/>
        <v>12012066.584162656</v>
      </c>
      <c r="DW32" s="40">
        <f t="shared" si="40"/>
        <v>1081080</v>
      </c>
      <c r="DX32" s="40">
        <f t="shared" si="41"/>
        <v>478020</v>
      </c>
      <c r="DY32" s="40">
        <f t="shared" si="130"/>
        <v>30950</v>
      </c>
      <c r="DZ32" s="128">
        <f t="shared" si="131"/>
        <v>12312368.248766722</v>
      </c>
      <c r="EA32" s="128">
        <f t="shared" si="42"/>
        <v>1108110</v>
      </c>
      <c r="EB32" s="128">
        <f t="shared" si="43"/>
        <v>489970</v>
      </c>
      <c r="EC32" s="128">
        <f t="shared" si="132"/>
        <v>31720</v>
      </c>
      <c r="ED32" s="40">
        <f t="shared" si="133"/>
        <v>12620177.454985889</v>
      </c>
      <c r="EE32" s="40">
        <f t="shared" si="44"/>
        <v>1135810</v>
      </c>
      <c r="EF32" s="40">
        <f t="shared" si="45"/>
        <v>502220</v>
      </c>
      <c r="EG32" s="40">
        <f t="shared" si="134"/>
        <v>32510</v>
      </c>
      <c r="EH32" s="128">
        <f t="shared" si="135"/>
        <v>12935681.891360534</v>
      </c>
      <c r="EI32" s="128">
        <f t="shared" si="46"/>
        <v>1164210</v>
      </c>
      <c r="EJ32" s="128">
        <f t="shared" si="47"/>
        <v>514780</v>
      </c>
      <c r="EK32" s="128">
        <f t="shared" si="136"/>
        <v>33330</v>
      </c>
      <c r="EL32" s="40">
        <f t="shared" si="137"/>
        <v>13259073.938644547</v>
      </c>
      <c r="EM32" s="40">
        <f t="shared" si="48"/>
        <v>1193310</v>
      </c>
      <c r="EN32" s="40">
        <f t="shared" si="49"/>
        <v>527640</v>
      </c>
      <c r="EO32" s="40">
        <f t="shared" si="138"/>
        <v>34160</v>
      </c>
      <c r="EP32" s="128">
        <f t="shared" si="139"/>
        <v>13590550.78711066</v>
      </c>
      <c r="EQ32" s="128">
        <f t="shared" si="50"/>
        <v>1223140</v>
      </c>
      <c r="ER32" s="128">
        <f t="shared" si="51"/>
        <v>540840</v>
      </c>
      <c r="ES32" s="128">
        <f t="shared" si="140"/>
        <v>35010</v>
      </c>
      <c r="ET32" s="40">
        <f t="shared" si="141"/>
        <v>13930314.556788426</v>
      </c>
      <c r="EU32" s="40">
        <f t="shared" si="52"/>
        <v>1253720</v>
      </c>
      <c r="EV32" s="40">
        <f t="shared" si="53"/>
        <v>554360</v>
      </c>
      <c r="EW32" s="40">
        <f t="shared" si="142"/>
        <v>35890</v>
      </c>
      <c r="EX32" s="128">
        <f t="shared" si="143"/>
        <v>14278572.420708135</v>
      </c>
      <c r="EY32" s="128">
        <f t="shared" si="54"/>
        <v>1285070</v>
      </c>
      <c r="EZ32" s="128">
        <f t="shared" si="55"/>
        <v>568220</v>
      </c>
      <c r="FA32" s="128">
        <f t="shared" si="144"/>
        <v>36790</v>
      </c>
      <c r="FB32" s="40">
        <f t="shared" si="145"/>
        <v>14635536.731225837</v>
      </c>
      <c r="FC32" s="40">
        <f t="shared" si="56"/>
        <v>1317190</v>
      </c>
      <c r="FD32" s="40">
        <f t="shared" si="57"/>
        <v>582420</v>
      </c>
      <c r="FE32" s="40">
        <f t="shared" si="146"/>
        <v>37710</v>
      </c>
      <c r="FF32" s="128">
        <f t="shared" si="147"/>
        <v>15001425.149506481</v>
      </c>
      <c r="FG32" s="128">
        <f t="shared" si="58"/>
        <v>1350120</v>
      </c>
      <c r="FH32" s="128">
        <f t="shared" si="59"/>
        <v>596980</v>
      </c>
      <c r="FI32" s="128">
        <f t="shared" si="148"/>
        <v>38650</v>
      </c>
      <c r="FJ32" s="40">
        <f t="shared" si="149"/>
        <v>15376460.778244141</v>
      </c>
      <c r="FK32" s="40">
        <f t="shared" si="60"/>
        <v>1383880</v>
      </c>
      <c r="FL32" s="40">
        <f t="shared" si="61"/>
        <v>611910</v>
      </c>
      <c r="FM32" s="40">
        <f t="shared" si="150"/>
        <v>39620</v>
      </c>
      <c r="FN32" s="128">
        <f t="shared" si="151"/>
        <v>15760872.297700243</v>
      </c>
      <c r="FO32" s="128">
        <f t="shared" si="62"/>
        <v>1418470</v>
      </c>
      <c r="FP32" s="128">
        <f t="shared" si="63"/>
        <v>627200</v>
      </c>
      <c r="FQ32" s="128">
        <f t="shared" si="152"/>
        <v>40610</v>
      </c>
      <c r="FR32" s="40">
        <f t="shared" si="153"/>
        <v>16154894.105142748</v>
      </c>
      <c r="FS32" s="40">
        <f t="shared" si="64"/>
        <v>1453940</v>
      </c>
      <c r="FT32" s="40">
        <f t="shared" si="65"/>
        <v>642890</v>
      </c>
      <c r="FU32" s="40">
        <f t="shared" si="154"/>
        <v>41620</v>
      </c>
      <c r="FV32" s="128">
        <f t="shared" si="155"/>
        <v>16558766.457771316</v>
      </c>
      <c r="FW32" s="128">
        <f t="shared" si="66"/>
        <v>1490280</v>
      </c>
      <c r="FX32" s="128">
        <f t="shared" si="67"/>
        <v>658960</v>
      </c>
      <c r="FY32" s="128">
        <f t="shared" si="156"/>
        <v>42660</v>
      </c>
      <c r="FZ32" s="40">
        <f t="shared" si="157"/>
        <v>16972735.619215596</v>
      </c>
      <c r="GA32" s="40">
        <f t="shared" si="68"/>
        <v>1527540</v>
      </c>
      <c r="GB32" s="40">
        <f t="shared" si="69"/>
        <v>675430</v>
      </c>
      <c r="GC32" s="40">
        <f t="shared" si="158"/>
        <v>43730</v>
      </c>
      <c r="GD32" s="128">
        <f t="shared" si="159"/>
        <v>17397054.009695984</v>
      </c>
      <c r="GE32" s="128">
        <f t="shared" si="70"/>
        <v>1565730</v>
      </c>
      <c r="GF32" s="128">
        <f t="shared" si="71"/>
        <v>692320</v>
      </c>
      <c r="GG32" s="128">
        <f t="shared" si="160"/>
        <v>44820</v>
      </c>
      <c r="GH32" s="40">
        <f t="shared" si="161"/>
        <v>17831980.359938383</v>
      </c>
      <c r="GI32" s="40">
        <f t="shared" si="72"/>
        <v>1604870</v>
      </c>
      <c r="GJ32" s="40">
        <f t="shared" si="73"/>
        <v>709630</v>
      </c>
      <c r="GK32" s="40">
        <f t="shared" si="162"/>
        <v>45940</v>
      </c>
      <c r="GL32" s="128">
        <f t="shared" si="163"/>
        <v>18277779.86893684</v>
      </c>
      <c r="GM32" s="128">
        <f t="shared" si="74"/>
        <v>1645000</v>
      </c>
      <c r="GN32" s="128">
        <f t="shared" si="75"/>
        <v>727370</v>
      </c>
      <c r="GO32" s="128">
        <f t="shared" si="164"/>
        <v>47090</v>
      </c>
      <c r="GP32" s="40">
        <f t="shared" si="165"/>
        <v>18734724.365660261</v>
      </c>
      <c r="GQ32" s="40">
        <f t="shared" si="76"/>
        <v>1686120</v>
      </c>
      <c r="GR32" s="40">
        <f t="shared" si="77"/>
        <v>745550</v>
      </c>
      <c r="GS32" s="40">
        <f t="shared" si="166"/>
        <v>48270</v>
      </c>
      <c r="GT32" s="128">
        <f t="shared" si="167"/>
        <v>19203092.474801768</v>
      </c>
      <c r="GU32" s="128">
        <f t="shared" si="78"/>
        <v>1728270</v>
      </c>
      <c r="GV32" s="128">
        <f t="shared" si="79"/>
        <v>764190</v>
      </c>
      <c r="GW32" s="128">
        <f t="shared" si="168"/>
        <v>49480</v>
      </c>
      <c r="GX32" s="40">
        <f t="shared" si="169"/>
        <v>19683169.78667181</v>
      </c>
      <c r="GY32" s="40">
        <f t="shared" si="80"/>
        <v>1771480</v>
      </c>
      <c r="GZ32" s="40">
        <f t="shared" si="81"/>
        <v>783290</v>
      </c>
      <c r="HA32" s="40">
        <f t="shared" si="170"/>
        <v>50710</v>
      </c>
      <c r="HB32" s="128" t="e">
        <f t="shared" si="171"/>
        <v>#REF!</v>
      </c>
      <c r="HC32" s="128" t="e">
        <f t="shared" si="82"/>
        <v>#REF!</v>
      </c>
      <c r="HD32" s="128" t="e">
        <f t="shared" si="83"/>
        <v>#REF!</v>
      </c>
      <c r="HE32" s="128" t="e">
        <f t="shared" si="172"/>
        <v>#REF!</v>
      </c>
    </row>
    <row r="33" spans="1:213">
      <c r="A33" s="2"/>
      <c r="B33" s="8"/>
      <c r="C33" s="71"/>
      <c r="D33" s="61"/>
      <c r="E33" s="63"/>
      <c r="F33" s="49"/>
      <c r="G33" s="87"/>
      <c r="H33" s="45"/>
      <c r="I33" s="600">
        <v>6</v>
      </c>
      <c r="K33" s="28">
        <v>5</v>
      </c>
      <c r="M33" s="24" t="s">
        <v>346</v>
      </c>
      <c r="N33" s="137">
        <v>29</v>
      </c>
      <c r="O33" s="24">
        <v>13</v>
      </c>
      <c r="P33" s="28">
        <v>105000</v>
      </c>
      <c r="Q33" s="99"/>
      <c r="R33" s="25" t="s">
        <v>275</v>
      </c>
      <c r="S33" s="719">
        <v>130000</v>
      </c>
      <c r="T33" s="105">
        <v>15000</v>
      </c>
      <c r="V33" s="42"/>
      <c r="W33" s="101"/>
      <c r="Y33" s="25" t="s">
        <v>333</v>
      </c>
      <c r="AB33" s="723">
        <v>1</v>
      </c>
      <c r="AD33" s="26"/>
      <c r="AE33" s="27"/>
      <c r="AF33" s="778"/>
      <c r="AG33" s="28"/>
      <c r="AH33" s="28"/>
      <c r="AJ33" s="41">
        <v>26</v>
      </c>
      <c r="AK33" s="41">
        <v>36</v>
      </c>
      <c r="AL33" s="890">
        <v>7119490</v>
      </c>
      <c r="AM33" s="40">
        <f t="shared" si="84"/>
        <v>640750</v>
      </c>
      <c r="AN33" s="40">
        <v>231180</v>
      </c>
      <c r="AO33" s="40">
        <v>23700</v>
      </c>
      <c r="AP33" s="891">
        <f t="shared" si="85"/>
        <v>7240520</v>
      </c>
      <c r="AQ33" s="131">
        <f t="shared" si="86"/>
        <v>651650</v>
      </c>
      <c r="AR33" s="130">
        <f t="shared" si="87"/>
        <v>256680</v>
      </c>
      <c r="AS33" s="128">
        <f t="shared" si="88"/>
        <v>16620</v>
      </c>
      <c r="AT33" s="40">
        <f t="shared" si="89"/>
        <v>7493938.1999999993</v>
      </c>
      <c r="AU33" s="40">
        <f t="shared" si="0"/>
        <v>674450</v>
      </c>
      <c r="AV33" s="40">
        <f t="shared" si="1"/>
        <v>270170</v>
      </c>
      <c r="AW33" s="40">
        <f t="shared" si="90"/>
        <v>17490</v>
      </c>
      <c r="AX33" s="128">
        <f t="shared" si="91"/>
        <v>7681286.6549999984</v>
      </c>
      <c r="AY33" s="128">
        <f t="shared" si="2"/>
        <v>691310</v>
      </c>
      <c r="AZ33" s="128">
        <f t="shared" si="3"/>
        <v>276930</v>
      </c>
      <c r="BA33" s="128">
        <f t="shared" si="92"/>
        <v>17930</v>
      </c>
      <c r="BB33" s="40">
        <f t="shared" si="93"/>
        <v>7873318.8213749975</v>
      </c>
      <c r="BC33" s="40">
        <f t="shared" si="4"/>
        <v>708590</v>
      </c>
      <c r="BD33" s="40">
        <f t="shared" si="5"/>
        <v>290950</v>
      </c>
      <c r="BE33" s="40">
        <f t="shared" si="94"/>
        <v>18830</v>
      </c>
      <c r="BF33" s="128">
        <f t="shared" si="95"/>
        <v>8070151.7919093715</v>
      </c>
      <c r="BG33" s="128">
        <f t="shared" si="6"/>
        <v>726310</v>
      </c>
      <c r="BH33" s="128">
        <f t="shared" si="7"/>
        <v>298220</v>
      </c>
      <c r="BI33" s="128">
        <f t="shared" si="96"/>
        <v>19300</v>
      </c>
      <c r="BJ33" s="40">
        <f t="shared" si="97"/>
        <v>8271905.5867071049</v>
      </c>
      <c r="BK33" s="40">
        <f t="shared" si="8"/>
        <v>744470</v>
      </c>
      <c r="BL33" s="40">
        <f t="shared" si="9"/>
        <v>313320</v>
      </c>
      <c r="BM33" s="40">
        <f t="shared" si="98"/>
        <v>20280</v>
      </c>
      <c r="BN33" s="128">
        <f t="shared" si="99"/>
        <v>8478703.2263747826</v>
      </c>
      <c r="BO33" s="128">
        <f t="shared" si="10"/>
        <v>763080</v>
      </c>
      <c r="BP33" s="128">
        <f t="shared" si="11"/>
        <v>329180</v>
      </c>
      <c r="BQ33" s="128">
        <f t="shared" si="100"/>
        <v>21310</v>
      </c>
      <c r="BR33" s="40">
        <f t="shared" si="101"/>
        <v>8690670.8070341516</v>
      </c>
      <c r="BS33" s="40">
        <f t="shared" si="12"/>
        <v>782160</v>
      </c>
      <c r="BT33" s="40">
        <f t="shared" si="13"/>
        <v>337410</v>
      </c>
      <c r="BU33" s="40">
        <f t="shared" si="102"/>
        <v>21840</v>
      </c>
      <c r="BV33" s="128">
        <f t="shared" si="103"/>
        <v>8907937.5772100054</v>
      </c>
      <c r="BW33" s="128">
        <f t="shared" si="14"/>
        <v>801710</v>
      </c>
      <c r="BX33" s="128">
        <f t="shared" si="15"/>
        <v>354490</v>
      </c>
      <c r="BY33" s="128">
        <f t="shared" si="104"/>
        <v>22950</v>
      </c>
      <c r="BZ33" s="40">
        <f t="shared" si="105"/>
        <v>9130636.0166402552</v>
      </c>
      <c r="CA33" s="40">
        <f t="shared" si="16"/>
        <v>821750</v>
      </c>
      <c r="CB33" s="40">
        <f t="shared" si="17"/>
        <v>363350</v>
      </c>
      <c r="CC33" s="40">
        <f t="shared" si="106"/>
        <v>23520</v>
      </c>
      <c r="CD33" s="128">
        <f t="shared" si="107"/>
        <v>9358901.9170562606</v>
      </c>
      <c r="CE33" s="128">
        <f t="shared" si="18"/>
        <v>842300</v>
      </c>
      <c r="CF33" s="128">
        <f t="shared" si="19"/>
        <v>372440</v>
      </c>
      <c r="CG33" s="128">
        <f t="shared" si="108"/>
        <v>24110</v>
      </c>
      <c r="CH33" s="40">
        <f t="shared" si="109"/>
        <v>9592874.4649826661</v>
      </c>
      <c r="CI33" s="40">
        <f t="shared" si="20"/>
        <v>863350</v>
      </c>
      <c r="CJ33" s="40">
        <f t="shared" si="21"/>
        <v>381750</v>
      </c>
      <c r="CK33" s="40">
        <f t="shared" si="110"/>
        <v>24710</v>
      </c>
      <c r="CL33" s="128">
        <f t="shared" si="111"/>
        <v>9832696.3266072311</v>
      </c>
      <c r="CM33" s="128">
        <f t="shared" si="22"/>
        <v>884940</v>
      </c>
      <c r="CN33" s="128">
        <f t="shared" si="23"/>
        <v>391290</v>
      </c>
      <c r="CO33" s="128">
        <f t="shared" si="112"/>
        <v>25330</v>
      </c>
      <c r="CP33" s="40">
        <f t="shared" si="113"/>
        <v>10078513.73477241</v>
      </c>
      <c r="CQ33" s="40">
        <f t="shared" si="24"/>
        <v>907060</v>
      </c>
      <c r="CR33" s="40">
        <f t="shared" si="25"/>
        <v>401070</v>
      </c>
      <c r="CS33" s="40">
        <f t="shared" si="114"/>
        <v>25960</v>
      </c>
      <c r="CT33" s="128">
        <f t="shared" si="115"/>
        <v>10330476.578141719</v>
      </c>
      <c r="CU33" s="128">
        <f t="shared" si="26"/>
        <v>929740</v>
      </c>
      <c r="CV33" s="128">
        <f t="shared" si="27"/>
        <v>411100</v>
      </c>
      <c r="CW33" s="128">
        <f t="shared" si="116"/>
        <v>26610</v>
      </c>
      <c r="CX33" s="40">
        <f t="shared" si="117"/>
        <v>10588738.492595261</v>
      </c>
      <c r="CY33" s="40">
        <f t="shared" si="28"/>
        <v>952980</v>
      </c>
      <c r="CZ33" s="40">
        <f t="shared" si="29"/>
        <v>421380</v>
      </c>
      <c r="DA33" s="40">
        <f t="shared" si="118"/>
        <v>27280</v>
      </c>
      <c r="DB33" s="128">
        <f t="shared" si="119"/>
        <v>10853456.954910142</v>
      </c>
      <c r="DC33" s="128">
        <f t="shared" si="30"/>
        <v>976810</v>
      </c>
      <c r="DD33" s="128">
        <f t="shared" si="31"/>
        <v>431910</v>
      </c>
      <c r="DE33" s="128">
        <f t="shared" si="120"/>
        <v>27960</v>
      </c>
      <c r="DF33" s="40">
        <f t="shared" si="121"/>
        <v>11124793.378782894</v>
      </c>
      <c r="DG33" s="40">
        <f t="shared" si="32"/>
        <v>1001230</v>
      </c>
      <c r="DH33" s="40">
        <f t="shared" si="33"/>
        <v>442710</v>
      </c>
      <c r="DI33" s="40">
        <f t="shared" si="122"/>
        <v>28660</v>
      </c>
      <c r="DJ33" s="128">
        <f t="shared" si="123"/>
        <v>11402913.213252466</v>
      </c>
      <c r="DK33" s="128">
        <f t="shared" si="34"/>
        <v>1026260</v>
      </c>
      <c r="DL33" s="128">
        <f t="shared" si="35"/>
        <v>453780</v>
      </c>
      <c r="DM33" s="128">
        <f t="shared" si="124"/>
        <v>29380</v>
      </c>
      <c r="DN33" s="40">
        <f t="shared" si="125"/>
        <v>11687986.043583777</v>
      </c>
      <c r="DO33" s="40">
        <f t="shared" si="36"/>
        <v>1051910</v>
      </c>
      <c r="DP33" s="40">
        <f t="shared" si="37"/>
        <v>465120</v>
      </c>
      <c r="DQ33" s="40">
        <f t="shared" si="126"/>
        <v>30110</v>
      </c>
      <c r="DR33" s="128">
        <f t="shared" si="127"/>
        <v>11980185.694673371</v>
      </c>
      <c r="DS33" s="128">
        <f t="shared" si="38"/>
        <v>1078210</v>
      </c>
      <c r="DT33" s="128">
        <f t="shared" si="39"/>
        <v>476750</v>
      </c>
      <c r="DU33" s="128">
        <f t="shared" si="128"/>
        <v>30860</v>
      </c>
      <c r="DV33" s="40">
        <f t="shared" si="129"/>
        <v>12279690.337040205</v>
      </c>
      <c r="DW33" s="40">
        <f t="shared" si="40"/>
        <v>1105170</v>
      </c>
      <c r="DX33" s="40">
        <f t="shared" si="41"/>
        <v>488670</v>
      </c>
      <c r="DY33" s="40">
        <f t="shared" si="130"/>
        <v>31640</v>
      </c>
      <c r="DZ33" s="128">
        <f t="shared" si="131"/>
        <v>12586682.595466208</v>
      </c>
      <c r="EA33" s="128">
        <f t="shared" si="42"/>
        <v>1132800</v>
      </c>
      <c r="EB33" s="128">
        <f t="shared" si="43"/>
        <v>500890</v>
      </c>
      <c r="EC33" s="128">
        <f t="shared" si="132"/>
        <v>32430</v>
      </c>
      <c r="ED33" s="40">
        <f t="shared" si="133"/>
        <v>12901349.660352862</v>
      </c>
      <c r="EE33" s="40">
        <f t="shared" si="44"/>
        <v>1161120</v>
      </c>
      <c r="EF33" s="40">
        <f t="shared" si="45"/>
        <v>513410</v>
      </c>
      <c r="EG33" s="40">
        <f t="shared" si="134"/>
        <v>33240</v>
      </c>
      <c r="EH33" s="128">
        <f t="shared" si="135"/>
        <v>13223883.401861683</v>
      </c>
      <c r="EI33" s="128">
        <f t="shared" si="46"/>
        <v>1190140</v>
      </c>
      <c r="EJ33" s="128">
        <f t="shared" si="47"/>
        <v>526240</v>
      </c>
      <c r="EK33" s="128">
        <f t="shared" si="136"/>
        <v>34070</v>
      </c>
      <c r="EL33" s="40">
        <f t="shared" si="137"/>
        <v>13554480.486908223</v>
      </c>
      <c r="EM33" s="40">
        <f t="shared" si="48"/>
        <v>1219900</v>
      </c>
      <c r="EN33" s="40">
        <f t="shared" si="49"/>
        <v>539400</v>
      </c>
      <c r="EO33" s="40">
        <f t="shared" si="138"/>
        <v>34920</v>
      </c>
      <c r="EP33" s="128">
        <f t="shared" si="139"/>
        <v>13893342.499080928</v>
      </c>
      <c r="EQ33" s="128">
        <f t="shared" si="50"/>
        <v>1250400</v>
      </c>
      <c r="ER33" s="128">
        <f t="shared" si="51"/>
        <v>552890</v>
      </c>
      <c r="ES33" s="128">
        <f t="shared" si="140"/>
        <v>35790</v>
      </c>
      <c r="ET33" s="40">
        <f t="shared" si="141"/>
        <v>14240676.06155795</v>
      </c>
      <c r="EU33" s="40">
        <f t="shared" si="52"/>
        <v>1281660</v>
      </c>
      <c r="EV33" s="40">
        <f t="shared" si="53"/>
        <v>566710</v>
      </c>
      <c r="EW33" s="40">
        <f t="shared" si="142"/>
        <v>36690</v>
      </c>
      <c r="EX33" s="128">
        <f t="shared" si="143"/>
        <v>14596692.963096898</v>
      </c>
      <c r="EY33" s="128">
        <f t="shared" si="54"/>
        <v>1313700</v>
      </c>
      <c r="EZ33" s="128">
        <f t="shared" si="55"/>
        <v>580880</v>
      </c>
      <c r="FA33" s="128">
        <f t="shared" si="144"/>
        <v>37610</v>
      </c>
      <c r="FB33" s="40">
        <f t="shared" si="145"/>
        <v>14961610.28717432</v>
      </c>
      <c r="FC33" s="40">
        <f t="shared" si="56"/>
        <v>1346540</v>
      </c>
      <c r="FD33" s="40">
        <f t="shared" si="57"/>
        <v>595400</v>
      </c>
      <c r="FE33" s="40">
        <f t="shared" si="146"/>
        <v>38550</v>
      </c>
      <c r="FF33" s="128">
        <f t="shared" si="147"/>
        <v>15335650.544353677</v>
      </c>
      <c r="FG33" s="128">
        <f t="shared" si="58"/>
        <v>1380200</v>
      </c>
      <c r="FH33" s="128">
        <f t="shared" si="59"/>
        <v>610280</v>
      </c>
      <c r="FI33" s="128">
        <f t="shared" si="148"/>
        <v>39510</v>
      </c>
      <c r="FJ33" s="40">
        <f t="shared" si="149"/>
        <v>15719041.807962518</v>
      </c>
      <c r="FK33" s="40">
        <f t="shared" si="60"/>
        <v>1414710</v>
      </c>
      <c r="FL33" s="40">
        <f t="shared" si="61"/>
        <v>625540</v>
      </c>
      <c r="FM33" s="40">
        <f t="shared" si="150"/>
        <v>40500</v>
      </c>
      <c r="FN33" s="128">
        <f t="shared" si="151"/>
        <v>16112017.853161579</v>
      </c>
      <c r="FO33" s="128">
        <f t="shared" si="62"/>
        <v>1450080</v>
      </c>
      <c r="FP33" s="128">
        <f t="shared" si="63"/>
        <v>641180</v>
      </c>
      <c r="FQ33" s="128">
        <f t="shared" si="152"/>
        <v>41510</v>
      </c>
      <c r="FR33" s="40">
        <f t="shared" si="153"/>
        <v>16514818.299490618</v>
      </c>
      <c r="FS33" s="40">
        <f t="shared" si="64"/>
        <v>1486330</v>
      </c>
      <c r="FT33" s="40">
        <f t="shared" si="65"/>
        <v>657210</v>
      </c>
      <c r="FU33" s="40">
        <f t="shared" si="154"/>
        <v>42550</v>
      </c>
      <c r="FV33" s="128">
        <f t="shared" si="155"/>
        <v>16927688.756977882</v>
      </c>
      <c r="FW33" s="128">
        <f t="shared" si="66"/>
        <v>1523490</v>
      </c>
      <c r="FX33" s="128">
        <f t="shared" si="67"/>
        <v>673640</v>
      </c>
      <c r="FY33" s="128">
        <f t="shared" si="156"/>
        <v>43610</v>
      </c>
      <c r="FZ33" s="40">
        <f t="shared" si="157"/>
        <v>17350880.975902326</v>
      </c>
      <c r="GA33" s="40">
        <f t="shared" si="68"/>
        <v>1561570</v>
      </c>
      <c r="GB33" s="40">
        <f t="shared" si="69"/>
        <v>690480</v>
      </c>
      <c r="GC33" s="40">
        <f t="shared" si="158"/>
        <v>44700</v>
      </c>
      <c r="GD33" s="128">
        <f t="shared" si="159"/>
        <v>17784653.000299882</v>
      </c>
      <c r="GE33" s="128">
        <f t="shared" si="70"/>
        <v>1600610</v>
      </c>
      <c r="GF33" s="128">
        <f t="shared" si="71"/>
        <v>707740</v>
      </c>
      <c r="GG33" s="128">
        <f t="shared" si="160"/>
        <v>45820</v>
      </c>
      <c r="GH33" s="40">
        <f t="shared" si="161"/>
        <v>18229269.325307377</v>
      </c>
      <c r="GI33" s="40">
        <f t="shared" si="72"/>
        <v>1640630</v>
      </c>
      <c r="GJ33" s="40">
        <f t="shared" si="73"/>
        <v>725440</v>
      </c>
      <c r="GK33" s="40">
        <f t="shared" si="162"/>
        <v>46970</v>
      </c>
      <c r="GL33" s="128">
        <f t="shared" si="163"/>
        <v>18685001.058440059</v>
      </c>
      <c r="GM33" s="128">
        <f t="shared" si="74"/>
        <v>1681650</v>
      </c>
      <c r="GN33" s="128">
        <f t="shared" si="75"/>
        <v>743570</v>
      </c>
      <c r="GO33" s="128">
        <f t="shared" si="164"/>
        <v>48140</v>
      </c>
      <c r="GP33" s="40">
        <f t="shared" si="165"/>
        <v>19152126.084901061</v>
      </c>
      <c r="GQ33" s="40">
        <f t="shared" si="76"/>
        <v>1723690</v>
      </c>
      <c r="GR33" s="40">
        <f t="shared" si="77"/>
        <v>762160</v>
      </c>
      <c r="GS33" s="40">
        <f t="shared" si="166"/>
        <v>49340</v>
      </c>
      <c r="GT33" s="128">
        <f t="shared" si="167"/>
        <v>19630929.237023585</v>
      </c>
      <c r="GU33" s="128">
        <f t="shared" si="78"/>
        <v>1766780</v>
      </c>
      <c r="GV33" s="128">
        <f t="shared" si="79"/>
        <v>781220</v>
      </c>
      <c r="GW33" s="128">
        <f t="shared" si="168"/>
        <v>50580</v>
      </c>
      <c r="GX33" s="40">
        <f t="shared" si="169"/>
        <v>20121702.467949171</v>
      </c>
      <c r="GY33" s="40">
        <f t="shared" si="80"/>
        <v>1810950</v>
      </c>
      <c r="GZ33" s="40">
        <f t="shared" si="81"/>
        <v>800750</v>
      </c>
      <c r="HA33" s="40">
        <f t="shared" si="170"/>
        <v>51840</v>
      </c>
      <c r="HB33" s="128" t="e">
        <f t="shared" si="171"/>
        <v>#REF!</v>
      </c>
      <c r="HC33" s="128" t="e">
        <f t="shared" si="82"/>
        <v>#REF!</v>
      </c>
      <c r="HD33" s="128" t="e">
        <f t="shared" si="83"/>
        <v>#REF!</v>
      </c>
      <c r="HE33" s="128" t="e">
        <f t="shared" si="172"/>
        <v>#REF!</v>
      </c>
    </row>
    <row r="34" spans="1:213">
      <c r="A34" s="2"/>
      <c r="B34" s="8"/>
      <c r="C34" s="71"/>
      <c r="D34" s="61"/>
      <c r="E34" s="63"/>
      <c r="F34" s="49"/>
      <c r="G34" s="87"/>
      <c r="H34" s="45"/>
      <c r="I34" s="961">
        <f>IF(I33=1,1/6,IF(I33=2,2/6,IF(I33=3,3/6,IF(I33=4,4/6,IF(I33=5,5/6,IF(I33=6,6/6,IF(I33=7,0/6,"")))))))</f>
        <v>1</v>
      </c>
      <c r="K34" s="28">
        <v>6</v>
      </c>
      <c r="M34" s="24" t="s">
        <v>343</v>
      </c>
      <c r="N34" s="137">
        <v>30</v>
      </c>
      <c r="O34" s="24">
        <v>14</v>
      </c>
      <c r="P34" s="28">
        <v>110000</v>
      </c>
      <c r="Q34" s="99"/>
      <c r="R34" s="25" t="s">
        <v>243</v>
      </c>
      <c r="S34" s="719">
        <v>140000</v>
      </c>
      <c r="T34" s="105">
        <v>20000</v>
      </c>
      <c r="V34" s="42"/>
      <c r="W34" s="101"/>
      <c r="Y34" s="25" t="s">
        <v>321</v>
      </c>
      <c r="AB34" s="723"/>
      <c r="AD34" s="26"/>
      <c r="AE34" s="27"/>
      <c r="AF34" s="778"/>
      <c r="AG34" s="28"/>
      <c r="AH34" s="28"/>
      <c r="AJ34" s="58">
        <v>27</v>
      </c>
      <c r="AK34" s="58">
        <v>37</v>
      </c>
      <c r="AL34" s="890">
        <v>7243360</v>
      </c>
      <c r="AM34" s="40">
        <f t="shared" si="84"/>
        <v>651900</v>
      </c>
      <c r="AN34" s="40">
        <v>235200</v>
      </c>
      <c r="AO34" s="40">
        <v>24110</v>
      </c>
      <c r="AP34" s="891">
        <f t="shared" si="85"/>
        <v>7366500</v>
      </c>
      <c r="AQ34" s="131">
        <f t="shared" si="86"/>
        <v>662990</v>
      </c>
      <c r="AR34" s="130">
        <f t="shared" si="87"/>
        <v>261140</v>
      </c>
      <c r="AS34" s="128">
        <f t="shared" si="88"/>
        <v>16910</v>
      </c>
      <c r="AT34" s="59">
        <f t="shared" si="89"/>
        <v>7624327.4999999991</v>
      </c>
      <c r="AU34" s="59">
        <f t="shared" si="0"/>
        <v>686180</v>
      </c>
      <c r="AV34" s="60">
        <f t="shared" si="1"/>
        <v>274870</v>
      </c>
      <c r="AW34" s="59">
        <f t="shared" si="90"/>
        <v>17790</v>
      </c>
      <c r="AX34" s="128">
        <f t="shared" si="91"/>
        <v>7814935.6874999981</v>
      </c>
      <c r="AY34" s="128">
        <f t="shared" si="2"/>
        <v>703340</v>
      </c>
      <c r="AZ34" s="129">
        <f t="shared" si="3"/>
        <v>281740</v>
      </c>
      <c r="BA34" s="128">
        <f t="shared" si="92"/>
        <v>18240</v>
      </c>
      <c r="BB34" s="59">
        <f t="shared" si="93"/>
        <v>8010309.0796874976</v>
      </c>
      <c r="BC34" s="59">
        <f t="shared" si="4"/>
        <v>720920</v>
      </c>
      <c r="BD34" s="60">
        <f t="shared" si="5"/>
        <v>296010</v>
      </c>
      <c r="BE34" s="59">
        <f t="shared" si="94"/>
        <v>19160</v>
      </c>
      <c r="BF34" s="128">
        <f t="shared" si="95"/>
        <v>8210566.8066796847</v>
      </c>
      <c r="BG34" s="128">
        <f t="shared" si="6"/>
        <v>738950</v>
      </c>
      <c r="BH34" s="129">
        <f t="shared" si="7"/>
        <v>303410</v>
      </c>
      <c r="BI34" s="128">
        <f t="shared" si="96"/>
        <v>19640</v>
      </c>
      <c r="BJ34" s="59">
        <f t="shared" si="97"/>
        <v>8415830.9768466763</v>
      </c>
      <c r="BK34" s="59">
        <f t="shared" si="8"/>
        <v>757420</v>
      </c>
      <c r="BL34" s="60">
        <f t="shared" si="9"/>
        <v>318770</v>
      </c>
      <c r="BM34" s="59">
        <f t="shared" si="98"/>
        <v>20640</v>
      </c>
      <c r="BN34" s="128">
        <f t="shared" si="99"/>
        <v>8626226.7512678429</v>
      </c>
      <c r="BO34" s="128">
        <f t="shared" si="10"/>
        <v>776360</v>
      </c>
      <c r="BP34" s="129">
        <f t="shared" si="11"/>
        <v>334910</v>
      </c>
      <c r="BQ34" s="128">
        <f t="shared" si="100"/>
        <v>21680</v>
      </c>
      <c r="BR34" s="59">
        <f t="shared" si="101"/>
        <v>8841882.4200495388</v>
      </c>
      <c r="BS34" s="59">
        <f t="shared" si="12"/>
        <v>795760</v>
      </c>
      <c r="BT34" s="60">
        <f t="shared" si="13"/>
        <v>343280</v>
      </c>
      <c r="BU34" s="59">
        <f t="shared" si="102"/>
        <v>22220</v>
      </c>
      <c r="BV34" s="128">
        <f t="shared" si="103"/>
        <v>9062929.4805507772</v>
      </c>
      <c r="BW34" s="128">
        <f t="shared" si="14"/>
        <v>815660</v>
      </c>
      <c r="BX34" s="129">
        <f t="shared" si="15"/>
        <v>360660</v>
      </c>
      <c r="BY34" s="128">
        <f t="shared" si="104"/>
        <v>23350</v>
      </c>
      <c r="BZ34" s="59">
        <f t="shared" si="105"/>
        <v>9289502.7175645456</v>
      </c>
      <c r="CA34" s="59">
        <f t="shared" si="16"/>
        <v>836050</v>
      </c>
      <c r="CB34" s="60">
        <f t="shared" si="17"/>
        <v>369670</v>
      </c>
      <c r="CC34" s="59">
        <f t="shared" si="106"/>
        <v>23930</v>
      </c>
      <c r="CD34" s="128">
        <f t="shared" si="107"/>
        <v>9521740.2855036575</v>
      </c>
      <c r="CE34" s="128">
        <f t="shared" si="18"/>
        <v>856950</v>
      </c>
      <c r="CF34" s="129">
        <f t="shared" si="19"/>
        <v>378920</v>
      </c>
      <c r="CG34" s="128">
        <f t="shared" si="108"/>
        <v>24530</v>
      </c>
      <c r="CH34" s="59">
        <f t="shared" si="109"/>
        <v>9759783.7926412486</v>
      </c>
      <c r="CI34" s="59">
        <f t="shared" si="20"/>
        <v>878380</v>
      </c>
      <c r="CJ34" s="60">
        <f t="shared" si="21"/>
        <v>388390</v>
      </c>
      <c r="CK34" s="59">
        <f t="shared" si="110"/>
        <v>25140</v>
      </c>
      <c r="CL34" s="128">
        <f t="shared" si="111"/>
        <v>10003778.387457279</v>
      </c>
      <c r="CM34" s="128">
        <f t="shared" si="22"/>
        <v>900340</v>
      </c>
      <c r="CN34" s="129">
        <f t="shared" si="23"/>
        <v>398100</v>
      </c>
      <c r="CO34" s="128">
        <f t="shared" si="112"/>
        <v>25770</v>
      </c>
      <c r="CP34" s="59">
        <f t="shared" si="113"/>
        <v>10253872.84714371</v>
      </c>
      <c r="CQ34" s="59">
        <f t="shared" si="24"/>
        <v>922840</v>
      </c>
      <c r="CR34" s="60">
        <f t="shared" si="25"/>
        <v>408050</v>
      </c>
      <c r="CS34" s="59">
        <f t="shared" si="114"/>
        <v>26420</v>
      </c>
      <c r="CT34" s="128">
        <f t="shared" si="115"/>
        <v>10510219.668322302</v>
      </c>
      <c r="CU34" s="128">
        <f t="shared" si="26"/>
        <v>945910</v>
      </c>
      <c r="CV34" s="129">
        <f t="shared" si="27"/>
        <v>418250</v>
      </c>
      <c r="CW34" s="128">
        <f t="shared" si="116"/>
        <v>27080</v>
      </c>
      <c r="CX34" s="59">
        <f t="shared" si="117"/>
        <v>10772975.160030359</v>
      </c>
      <c r="CY34" s="59">
        <f t="shared" si="28"/>
        <v>969560</v>
      </c>
      <c r="CZ34" s="60">
        <f t="shared" si="29"/>
        <v>428710</v>
      </c>
      <c r="DA34" s="59">
        <f t="shared" si="118"/>
        <v>27750</v>
      </c>
      <c r="DB34" s="128">
        <f t="shared" si="119"/>
        <v>11042299.539031118</v>
      </c>
      <c r="DC34" s="128">
        <f t="shared" si="30"/>
        <v>993800</v>
      </c>
      <c r="DD34" s="129">
        <f t="shared" si="31"/>
        <v>439430</v>
      </c>
      <c r="DE34" s="128">
        <f t="shared" si="120"/>
        <v>28450</v>
      </c>
      <c r="DF34" s="59">
        <f t="shared" si="121"/>
        <v>11318357.027506895</v>
      </c>
      <c r="DG34" s="59">
        <f t="shared" si="32"/>
        <v>1018650</v>
      </c>
      <c r="DH34" s="60">
        <f t="shared" si="33"/>
        <v>450410</v>
      </c>
      <c r="DI34" s="59">
        <f t="shared" si="122"/>
        <v>29160</v>
      </c>
      <c r="DJ34" s="128">
        <f t="shared" si="123"/>
        <v>11601315.953194566</v>
      </c>
      <c r="DK34" s="128">
        <f t="shared" si="34"/>
        <v>1044110</v>
      </c>
      <c r="DL34" s="129">
        <f t="shared" si="35"/>
        <v>461670</v>
      </c>
      <c r="DM34" s="128">
        <f t="shared" si="124"/>
        <v>29890</v>
      </c>
      <c r="DN34" s="59">
        <f t="shared" si="125"/>
        <v>11891348.852024429</v>
      </c>
      <c r="DO34" s="59">
        <f t="shared" si="36"/>
        <v>1070220</v>
      </c>
      <c r="DP34" s="60">
        <f t="shared" si="37"/>
        <v>473220</v>
      </c>
      <c r="DQ34" s="59">
        <f t="shared" si="126"/>
        <v>30640</v>
      </c>
      <c r="DR34" s="128">
        <f t="shared" si="127"/>
        <v>12188632.573325038</v>
      </c>
      <c r="DS34" s="128">
        <f t="shared" si="38"/>
        <v>1096970</v>
      </c>
      <c r="DT34" s="129">
        <f t="shared" si="39"/>
        <v>485050</v>
      </c>
      <c r="DU34" s="128">
        <f t="shared" si="128"/>
        <v>31400</v>
      </c>
      <c r="DV34" s="59">
        <f t="shared" si="129"/>
        <v>12493348.387658162</v>
      </c>
      <c r="DW34" s="59">
        <f t="shared" si="40"/>
        <v>1124400</v>
      </c>
      <c r="DX34" s="60">
        <f t="shared" si="41"/>
        <v>497170</v>
      </c>
      <c r="DY34" s="59">
        <f t="shared" si="130"/>
        <v>32190</v>
      </c>
      <c r="DZ34" s="128">
        <f t="shared" si="131"/>
        <v>12805682.097349616</v>
      </c>
      <c r="EA34" s="128">
        <f t="shared" si="42"/>
        <v>1152510</v>
      </c>
      <c r="EB34" s="129">
        <f t="shared" si="43"/>
        <v>509600</v>
      </c>
      <c r="EC34" s="128">
        <f t="shared" si="132"/>
        <v>32990</v>
      </c>
      <c r="ED34" s="59">
        <f t="shared" si="133"/>
        <v>13125824.149783354</v>
      </c>
      <c r="EE34" s="59">
        <f t="shared" si="44"/>
        <v>1181320</v>
      </c>
      <c r="EF34" s="60">
        <f t="shared" si="45"/>
        <v>522340</v>
      </c>
      <c r="EG34" s="59">
        <f t="shared" si="134"/>
        <v>33820</v>
      </c>
      <c r="EH34" s="128">
        <f t="shared" si="135"/>
        <v>13453969.753527937</v>
      </c>
      <c r="EI34" s="128">
        <f t="shared" si="46"/>
        <v>1210850</v>
      </c>
      <c r="EJ34" s="129">
        <f t="shared" si="47"/>
        <v>535400</v>
      </c>
      <c r="EK34" s="128">
        <f t="shared" si="136"/>
        <v>34660</v>
      </c>
      <c r="EL34" s="59">
        <f t="shared" si="137"/>
        <v>13790318.997366134</v>
      </c>
      <c r="EM34" s="59">
        <f t="shared" si="48"/>
        <v>1241120</v>
      </c>
      <c r="EN34" s="60">
        <f t="shared" si="49"/>
        <v>548790</v>
      </c>
      <c r="EO34" s="59">
        <f t="shared" si="138"/>
        <v>35530</v>
      </c>
      <c r="EP34" s="128">
        <f t="shared" si="139"/>
        <v>14135076.972300285</v>
      </c>
      <c r="EQ34" s="128">
        <f t="shared" si="50"/>
        <v>1272150</v>
      </c>
      <c r="ER34" s="129">
        <f t="shared" si="51"/>
        <v>562510</v>
      </c>
      <c r="ES34" s="128">
        <f t="shared" si="140"/>
        <v>36420</v>
      </c>
      <c r="ET34" s="59">
        <f t="shared" si="141"/>
        <v>14488453.896607792</v>
      </c>
      <c r="EU34" s="59">
        <f t="shared" si="52"/>
        <v>1303960</v>
      </c>
      <c r="EV34" s="60">
        <f t="shared" si="53"/>
        <v>576570</v>
      </c>
      <c r="EW34" s="59">
        <f t="shared" si="142"/>
        <v>37330</v>
      </c>
      <c r="EX34" s="128">
        <f t="shared" si="143"/>
        <v>14850665.244022986</v>
      </c>
      <c r="EY34" s="128">
        <f t="shared" si="54"/>
        <v>1336550</v>
      </c>
      <c r="EZ34" s="129">
        <f t="shared" si="55"/>
        <v>590980</v>
      </c>
      <c r="FA34" s="128">
        <f t="shared" si="144"/>
        <v>38260</v>
      </c>
      <c r="FB34" s="59">
        <f t="shared" si="145"/>
        <v>15221931.875123559</v>
      </c>
      <c r="FC34" s="59">
        <f t="shared" si="56"/>
        <v>1369970</v>
      </c>
      <c r="FD34" s="60">
        <f t="shared" si="57"/>
        <v>605760</v>
      </c>
      <c r="FE34" s="59">
        <f t="shared" si="146"/>
        <v>39220</v>
      </c>
      <c r="FF34" s="128">
        <f t="shared" si="147"/>
        <v>15602480.172001647</v>
      </c>
      <c r="FG34" s="128">
        <f t="shared" si="58"/>
        <v>1404220</v>
      </c>
      <c r="FH34" s="129">
        <f t="shared" si="59"/>
        <v>620900</v>
      </c>
      <c r="FI34" s="128">
        <f t="shared" si="148"/>
        <v>40200</v>
      </c>
      <c r="FJ34" s="59">
        <f t="shared" si="149"/>
        <v>15992542.176301686</v>
      </c>
      <c r="FK34" s="59">
        <f t="shared" si="60"/>
        <v>1439320</v>
      </c>
      <c r="FL34" s="60">
        <f t="shared" si="61"/>
        <v>636420</v>
      </c>
      <c r="FM34" s="59">
        <f t="shared" si="150"/>
        <v>41200</v>
      </c>
      <c r="FN34" s="128">
        <f t="shared" si="151"/>
        <v>16392355.730709227</v>
      </c>
      <c r="FO34" s="128">
        <f t="shared" si="62"/>
        <v>1475310</v>
      </c>
      <c r="FP34" s="129">
        <f t="shared" si="63"/>
        <v>652340</v>
      </c>
      <c r="FQ34" s="128">
        <f t="shared" si="152"/>
        <v>42230</v>
      </c>
      <c r="FR34" s="59">
        <f t="shared" si="153"/>
        <v>16802164.623976957</v>
      </c>
      <c r="FS34" s="59">
        <f t="shared" si="64"/>
        <v>1512190</v>
      </c>
      <c r="FT34" s="60">
        <f t="shared" si="65"/>
        <v>668640</v>
      </c>
      <c r="FU34" s="59">
        <f t="shared" si="154"/>
        <v>43290</v>
      </c>
      <c r="FV34" s="128">
        <f t="shared" si="155"/>
        <v>17222218.739576381</v>
      </c>
      <c r="FW34" s="128">
        <f t="shared" si="66"/>
        <v>1549990</v>
      </c>
      <c r="FX34" s="129">
        <f t="shared" si="67"/>
        <v>685360</v>
      </c>
      <c r="FY34" s="128">
        <f t="shared" si="156"/>
        <v>44370</v>
      </c>
      <c r="FZ34" s="59">
        <f t="shared" si="157"/>
        <v>17652774.208065789</v>
      </c>
      <c r="GA34" s="59">
        <f t="shared" si="68"/>
        <v>1588740</v>
      </c>
      <c r="GB34" s="60">
        <f t="shared" si="69"/>
        <v>702490</v>
      </c>
      <c r="GC34" s="59">
        <f t="shared" si="158"/>
        <v>45480</v>
      </c>
      <c r="GD34" s="128">
        <f t="shared" si="159"/>
        <v>18094093.563267432</v>
      </c>
      <c r="GE34" s="128">
        <f t="shared" si="70"/>
        <v>1628460</v>
      </c>
      <c r="GF34" s="129">
        <f t="shared" si="71"/>
        <v>720060</v>
      </c>
      <c r="GG34" s="128">
        <f t="shared" si="160"/>
        <v>46620</v>
      </c>
      <c r="GH34" s="59">
        <f t="shared" si="161"/>
        <v>18546445.902349118</v>
      </c>
      <c r="GI34" s="59">
        <f t="shared" si="72"/>
        <v>1669180</v>
      </c>
      <c r="GJ34" s="60">
        <f t="shared" si="73"/>
        <v>738060</v>
      </c>
      <c r="GK34" s="59">
        <f t="shared" si="162"/>
        <v>47780</v>
      </c>
      <c r="GL34" s="128">
        <f t="shared" si="163"/>
        <v>19010107.049907845</v>
      </c>
      <c r="GM34" s="128">
        <f t="shared" si="74"/>
        <v>1710900</v>
      </c>
      <c r="GN34" s="129">
        <f t="shared" si="75"/>
        <v>756510</v>
      </c>
      <c r="GO34" s="128">
        <f t="shared" si="164"/>
        <v>48980</v>
      </c>
      <c r="GP34" s="59">
        <f t="shared" si="165"/>
        <v>19485359.726155538</v>
      </c>
      <c r="GQ34" s="59">
        <f t="shared" si="76"/>
        <v>1753680</v>
      </c>
      <c r="GR34" s="60">
        <f t="shared" si="77"/>
        <v>775420</v>
      </c>
      <c r="GS34" s="59">
        <f t="shared" si="166"/>
        <v>50200</v>
      </c>
      <c r="GT34" s="128">
        <f t="shared" si="167"/>
        <v>19972493.719309423</v>
      </c>
      <c r="GU34" s="128">
        <f t="shared" si="78"/>
        <v>1797520</v>
      </c>
      <c r="GV34" s="129">
        <f t="shared" si="79"/>
        <v>794810</v>
      </c>
      <c r="GW34" s="128">
        <f t="shared" si="168"/>
        <v>51460</v>
      </c>
      <c r="GX34" s="59">
        <f t="shared" si="169"/>
        <v>20471806.062292159</v>
      </c>
      <c r="GY34" s="59">
        <f t="shared" si="80"/>
        <v>1842460</v>
      </c>
      <c r="GZ34" s="60">
        <f t="shared" si="81"/>
        <v>814680</v>
      </c>
      <c r="HA34" s="59">
        <f t="shared" si="170"/>
        <v>52750</v>
      </c>
      <c r="HB34" s="128" t="e">
        <f t="shared" si="171"/>
        <v>#REF!</v>
      </c>
      <c r="HC34" s="128" t="e">
        <f t="shared" si="82"/>
        <v>#REF!</v>
      </c>
      <c r="HD34" s="129" t="e">
        <f t="shared" si="83"/>
        <v>#REF!</v>
      </c>
      <c r="HE34" s="128" t="e">
        <f t="shared" si="172"/>
        <v>#REF!</v>
      </c>
    </row>
    <row r="35" spans="1:213">
      <c r="A35" s="2"/>
      <c r="B35" s="8"/>
      <c r="C35" s="71"/>
      <c r="D35" s="61"/>
      <c r="E35" s="63"/>
      <c r="F35" s="49"/>
      <c r="G35" s="87"/>
      <c r="H35" s="45"/>
      <c r="K35" s="28">
        <v>7</v>
      </c>
      <c r="M35" s="24" t="s">
        <v>348</v>
      </c>
      <c r="N35" s="137">
        <v>31</v>
      </c>
      <c r="O35" s="24">
        <v>15</v>
      </c>
      <c r="P35" s="28">
        <v>115000</v>
      </c>
      <c r="Q35" s="99"/>
      <c r="R35" s="25" t="s">
        <v>563</v>
      </c>
      <c r="S35" s="719">
        <v>150000</v>
      </c>
      <c r="T35" s="105">
        <v>25000</v>
      </c>
      <c r="V35" s="42"/>
      <c r="W35" s="101"/>
      <c r="Y35" s="25" t="s">
        <v>323</v>
      </c>
      <c r="AB35" s="723"/>
      <c r="AD35" s="26"/>
      <c r="AE35" s="27"/>
      <c r="AF35" s="778"/>
      <c r="AG35" s="28"/>
      <c r="AH35" s="28"/>
      <c r="AJ35" s="150">
        <v>28</v>
      </c>
      <c r="AK35" s="150">
        <v>38</v>
      </c>
      <c r="AL35" s="890">
        <v>7381630</v>
      </c>
      <c r="AM35" s="40">
        <f t="shared" si="84"/>
        <v>664350</v>
      </c>
      <c r="AN35" s="40">
        <v>239690</v>
      </c>
      <c r="AO35" s="40">
        <v>24570</v>
      </c>
      <c r="AP35" s="891">
        <f t="shared" si="85"/>
        <v>7507120</v>
      </c>
      <c r="AQ35" s="131">
        <f t="shared" si="86"/>
        <v>675640</v>
      </c>
      <c r="AR35" s="130">
        <f t="shared" si="87"/>
        <v>266130</v>
      </c>
      <c r="AS35" s="151">
        <f t="shared" si="88"/>
        <v>17230</v>
      </c>
      <c r="AT35" s="151">
        <f t="shared" si="89"/>
        <v>7769869.1999999993</v>
      </c>
      <c r="AU35" s="151">
        <f t="shared" si="0"/>
        <v>699280</v>
      </c>
      <c r="AV35" s="151">
        <f t="shared" si="1"/>
        <v>280120</v>
      </c>
      <c r="AW35" s="151">
        <f t="shared" si="90"/>
        <v>18130</v>
      </c>
      <c r="AX35" s="128">
        <f t="shared" si="91"/>
        <v>7964115.9299999988</v>
      </c>
      <c r="AY35" s="128">
        <f t="shared" si="2"/>
        <v>716770</v>
      </c>
      <c r="AZ35" s="128">
        <f t="shared" si="3"/>
        <v>287120</v>
      </c>
      <c r="BA35" s="128">
        <f t="shared" si="92"/>
        <v>18590</v>
      </c>
      <c r="BB35" s="40">
        <f t="shared" si="93"/>
        <v>8163218.8282499984</v>
      </c>
      <c r="BC35" s="40">
        <f t="shared" si="4"/>
        <v>734680</v>
      </c>
      <c r="BD35" s="40">
        <f t="shared" si="5"/>
        <v>301660</v>
      </c>
      <c r="BE35" s="40">
        <f t="shared" si="94"/>
        <v>19530</v>
      </c>
      <c r="BF35" s="128">
        <f t="shared" si="95"/>
        <v>8367299.298956248</v>
      </c>
      <c r="BG35" s="128">
        <f t="shared" si="6"/>
        <v>753050</v>
      </c>
      <c r="BH35" s="128">
        <f t="shared" si="7"/>
        <v>309200</v>
      </c>
      <c r="BI35" s="128">
        <f t="shared" si="96"/>
        <v>20020</v>
      </c>
      <c r="BJ35" s="40">
        <f t="shared" si="97"/>
        <v>8576481.7814301532</v>
      </c>
      <c r="BK35" s="40">
        <f t="shared" si="8"/>
        <v>771880</v>
      </c>
      <c r="BL35" s="40">
        <f t="shared" si="9"/>
        <v>324850</v>
      </c>
      <c r="BM35" s="40">
        <f t="shared" si="98"/>
        <v>21030</v>
      </c>
      <c r="BN35" s="128">
        <f t="shared" si="99"/>
        <v>8790893.8259659056</v>
      </c>
      <c r="BO35" s="128">
        <f t="shared" si="10"/>
        <v>791180</v>
      </c>
      <c r="BP35" s="128">
        <f t="shared" si="11"/>
        <v>341300</v>
      </c>
      <c r="BQ35" s="128">
        <f t="shared" si="100"/>
        <v>22090</v>
      </c>
      <c r="BR35" s="40">
        <f t="shared" si="101"/>
        <v>9010666.171615053</v>
      </c>
      <c r="BS35" s="40">
        <f t="shared" si="12"/>
        <v>810950</v>
      </c>
      <c r="BT35" s="40">
        <f t="shared" si="13"/>
        <v>349830</v>
      </c>
      <c r="BU35" s="40">
        <f t="shared" si="102"/>
        <v>22650</v>
      </c>
      <c r="BV35" s="128">
        <f t="shared" si="103"/>
        <v>9235932.8259054292</v>
      </c>
      <c r="BW35" s="128">
        <f t="shared" si="14"/>
        <v>831230</v>
      </c>
      <c r="BX35" s="128">
        <f t="shared" si="15"/>
        <v>367540</v>
      </c>
      <c r="BY35" s="128">
        <f t="shared" si="104"/>
        <v>23790</v>
      </c>
      <c r="BZ35" s="40">
        <f t="shared" si="105"/>
        <v>9466831.1465530638</v>
      </c>
      <c r="CA35" s="40">
        <f t="shared" si="16"/>
        <v>852010</v>
      </c>
      <c r="CB35" s="40">
        <f t="shared" si="17"/>
        <v>376730</v>
      </c>
      <c r="CC35" s="40">
        <f t="shared" si="106"/>
        <v>24390</v>
      </c>
      <c r="CD35" s="128">
        <f t="shared" si="107"/>
        <v>9703501.925216889</v>
      </c>
      <c r="CE35" s="128">
        <f t="shared" si="18"/>
        <v>873310</v>
      </c>
      <c r="CF35" s="128">
        <f t="shared" si="19"/>
        <v>386150</v>
      </c>
      <c r="CG35" s="128">
        <f t="shared" si="108"/>
        <v>25000</v>
      </c>
      <c r="CH35" s="40">
        <f t="shared" si="109"/>
        <v>9946089.47334731</v>
      </c>
      <c r="CI35" s="40">
        <f t="shared" si="20"/>
        <v>895140</v>
      </c>
      <c r="CJ35" s="40">
        <f t="shared" si="21"/>
        <v>395800</v>
      </c>
      <c r="CK35" s="40">
        <f t="shared" si="110"/>
        <v>25620</v>
      </c>
      <c r="CL35" s="128">
        <f t="shared" si="111"/>
        <v>10194741.710180992</v>
      </c>
      <c r="CM35" s="128">
        <f t="shared" si="22"/>
        <v>917520</v>
      </c>
      <c r="CN35" s="128">
        <f t="shared" si="23"/>
        <v>405700</v>
      </c>
      <c r="CO35" s="128">
        <f t="shared" si="112"/>
        <v>26260</v>
      </c>
      <c r="CP35" s="40">
        <f t="shared" si="113"/>
        <v>10449610.252935516</v>
      </c>
      <c r="CQ35" s="40">
        <f t="shared" si="24"/>
        <v>940460</v>
      </c>
      <c r="CR35" s="40">
        <f t="shared" si="25"/>
        <v>415840</v>
      </c>
      <c r="CS35" s="40">
        <f t="shared" si="114"/>
        <v>26920</v>
      </c>
      <c r="CT35" s="128">
        <f t="shared" si="115"/>
        <v>10710850.509258904</v>
      </c>
      <c r="CU35" s="128">
        <f t="shared" si="26"/>
        <v>963970</v>
      </c>
      <c r="CV35" s="128">
        <f t="shared" si="27"/>
        <v>426240</v>
      </c>
      <c r="CW35" s="128">
        <f t="shared" si="116"/>
        <v>27590</v>
      </c>
      <c r="CX35" s="40">
        <f t="shared" si="117"/>
        <v>10978621.771990376</v>
      </c>
      <c r="CY35" s="40">
        <f t="shared" si="28"/>
        <v>988070</v>
      </c>
      <c r="CZ35" s="40">
        <f t="shared" si="29"/>
        <v>436890</v>
      </c>
      <c r="DA35" s="40">
        <f t="shared" si="118"/>
        <v>28280</v>
      </c>
      <c r="DB35" s="128">
        <f t="shared" si="119"/>
        <v>11253087.316290135</v>
      </c>
      <c r="DC35" s="128">
        <f t="shared" si="30"/>
        <v>1012770</v>
      </c>
      <c r="DD35" s="128">
        <f t="shared" si="31"/>
        <v>447820</v>
      </c>
      <c r="DE35" s="128">
        <f t="shared" si="120"/>
        <v>28990</v>
      </c>
      <c r="DF35" s="40">
        <f t="shared" si="121"/>
        <v>11534414.499197386</v>
      </c>
      <c r="DG35" s="40">
        <f t="shared" si="32"/>
        <v>1038090</v>
      </c>
      <c r="DH35" s="40">
        <f t="shared" si="33"/>
        <v>459010</v>
      </c>
      <c r="DI35" s="40">
        <f t="shared" si="122"/>
        <v>29720</v>
      </c>
      <c r="DJ35" s="128">
        <f t="shared" si="123"/>
        <v>11822774.861677321</v>
      </c>
      <c r="DK35" s="128">
        <f t="shared" si="34"/>
        <v>1064040</v>
      </c>
      <c r="DL35" s="128">
        <f t="shared" si="35"/>
        <v>470490</v>
      </c>
      <c r="DM35" s="128">
        <f t="shared" si="124"/>
        <v>30460</v>
      </c>
      <c r="DN35" s="40">
        <f t="shared" si="125"/>
        <v>12118344.233219253</v>
      </c>
      <c r="DO35" s="40">
        <f t="shared" si="36"/>
        <v>1090650</v>
      </c>
      <c r="DP35" s="40">
        <f t="shared" si="37"/>
        <v>482250</v>
      </c>
      <c r="DQ35" s="40">
        <f t="shared" si="126"/>
        <v>31220</v>
      </c>
      <c r="DR35" s="128">
        <f t="shared" si="127"/>
        <v>12421302.839049732</v>
      </c>
      <c r="DS35" s="128">
        <f t="shared" si="38"/>
        <v>1117910</v>
      </c>
      <c r="DT35" s="128">
        <f t="shared" si="39"/>
        <v>494310</v>
      </c>
      <c r="DU35" s="128">
        <f t="shared" si="128"/>
        <v>32000</v>
      </c>
      <c r="DV35" s="40">
        <f t="shared" si="129"/>
        <v>12731835.410025975</v>
      </c>
      <c r="DW35" s="40">
        <f t="shared" si="40"/>
        <v>1145860</v>
      </c>
      <c r="DX35" s="40">
        <f t="shared" si="41"/>
        <v>506660</v>
      </c>
      <c r="DY35" s="40">
        <f t="shared" si="130"/>
        <v>32800</v>
      </c>
      <c r="DZ35" s="128">
        <f t="shared" si="131"/>
        <v>13050131.295276623</v>
      </c>
      <c r="EA35" s="128">
        <f t="shared" si="42"/>
        <v>1174510</v>
      </c>
      <c r="EB35" s="128">
        <f t="shared" si="43"/>
        <v>519330</v>
      </c>
      <c r="EC35" s="128">
        <f t="shared" si="132"/>
        <v>33620</v>
      </c>
      <c r="ED35" s="40">
        <f t="shared" si="133"/>
        <v>13376384.577658538</v>
      </c>
      <c r="EE35" s="40">
        <f t="shared" si="44"/>
        <v>1203870</v>
      </c>
      <c r="EF35" s="40">
        <f t="shared" si="45"/>
        <v>532310</v>
      </c>
      <c r="EG35" s="40">
        <f t="shared" si="134"/>
        <v>34460</v>
      </c>
      <c r="EH35" s="128">
        <f t="shared" si="135"/>
        <v>13710794.1921</v>
      </c>
      <c r="EI35" s="128">
        <f t="shared" si="46"/>
        <v>1233970</v>
      </c>
      <c r="EJ35" s="128">
        <f t="shared" si="47"/>
        <v>545620</v>
      </c>
      <c r="EK35" s="128">
        <f t="shared" si="136"/>
        <v>35320</v>
      </c>
      <c r="EL35" s="40">
        <f t="shared" si="137"/>
        <v>14053564.046902498</v>
      </c>
      <c r="EM35" s="40">
        <f t="shared" si="48"/>
        <v>1264820</v>
      </c>
      <c r="EN35" s="40">
        <f t="shared" si="49"/>
        <v>559260</v>
      </c>
      <c r="EO35" s="40">
        <f t="shared" si="138"/>
        <v>36210</v>
      </c>
      <c r="EP35" s="128">
        <f t="shared" si="139"/>
        <v>14404903.148075059</v>
      </c>
      <c r="EQ35" s="128">
        <f t="shared" si="50"/>
        <v>1296440</v>
      </c>
      <c r="ER35" s="128">
        <f t="shared" si="51"/>
        <v>573240</v>
      </c>
      <c r="ES35" s="128">
        <f t="shared" si="140"/>
        <v>37110</v>
      </c>
      <c r="ET35" s="40">
        <f t="shared" si="141"/>
        <v>14765025.726776935</v>
      </c>
      <c r="EU35" s="40">
        <f t="shared" si="52"/>
        <v>1328850</v>
      </c>
      <c r="EV35" s="40">
        <f t="shared" si="53"/>
        <v>587570</v>
      </c>
      <c r="EW35" s="40">
        <f t="shared" si="142"/>
        <v>38040</v>
      </c>
      <c r="EX35" s="128">
        <f t="shared" si="143"/>
        <v>15134151.369946357</v>
      </c>
      <c r="EY35" s="128">
        <f t="shared" si="54"/>
        <v>1362070</v>
      </c>
      <c r="EZ35" s="128">
        <f t="shared" si="55"/>
        <v>602260</v>
      </c>
      <c r="FA35" s="128">
        <f t="shared" si="144"/>
        <v>38990</v>
      </c>
      <c r="FB35" s="40">
        <f t="shared" si="145"/>
        <v>15512505.154195014</v>
      </c>
      <c r="FC35" s="40">
        <f t="shared" si="56"/>
        <v>1396120</v>
      </c>
      <c r="FD35" s="40">
        <f t="shared" si="57"/>
        <v>617320</v>
      </c>
      <c r="FE35" s="40">
        <f t="shared" si="146"/>
        <v>39970</v>
      </c>
      <c r="FF35" s="128">
        <f t="shared" si="147"/>
        <v>15900317.783049889</v>
      </c>
      <c r="FG35" s="128">
        <f t="shared" si="58"/>
        <v>1431020</v>
      </c>
      <c r="FH35" s="128">
        <f t="shared" si="59"/>
        <v>632750</v>
      </c>
      <c r="FI35" s="128">
        <f t="shared" si="148"/>
        <v>40970</v>
      </c>
      <c r="FJ35" s="40">
        <f t="shared" si="149"/>
        <v>16297825.727626136</v>
      </c>
      <c r="FK35" s="40">
        <f t="shared" si="60"/>
        <v>1466800</v>
      </c>
      <c r="FL35" s="40">
        <f t="shared" si="61"/>
        <v>648570</v>
      </c>
      <c r="FM35" s="40">
        <f t="shared" si="150"/>
        <v>41990</v>
      </c>
      <c r="FN35" s="128">
        <f t="shared" si="151"/>
        <v>16705271.370816788</v>
      </c>
      <c r="FO35" s="128">
        <f t="shared" si="62"/>
        <v>1503470</v>
      </c>
      <c r="FP35" s="128">
        <f t="shared" si="63"/>
        <v>664790</v>
      </c>
      <c r="FQ35" s="128">
        <f t="shared" si="152"/>
        <v>43040</v>
      </c>
      <c r="FR35" s="40">
        <f t="shared" si="153"/>
        <v>17122903.155087207</v>
      </c>
      <c r="FS35" s="40">
        <f t="shared" si="64"/>
        <v>1541060</v>
      </c>
      <c r="FT35" s="40">
        <f t="shared" si="65"/>
        <v>681410</v>
      </c>
      <c r="FU35" s="40">
        <f t="shared" si="154"/>
        <v>44120</v>
      </c>
      <c r="FV35" s="128">
        <f t="shared" si="155"/>
        <v>17550975.733964384</v>
      </c>
      <c r="FW35" s="128">
        <f t="shared" si="66"/>
        <v>1579580</v>
      </c>
      <c r="FX35" s="128">
        <f t="shared" si="67"/>
        <v>698440</v>
      </c>
      <c r="FY35" s="128">
        <f t="shared" si="156"/>
        <v>45220</v>
      </c>
      <c r="FZ35" s="40">
        <f t="shared" si="157"/>
        <v>17989750.127313491</v>
      </c>
      <c r="GA35" s="40">
        <f t="shared" si="68"/>
        <v>1619070</v>
      </c>
      <c r="GB35" s="40">
        <f t="shared" si="69"/>
        <v>715900</v>
      </c>
      <c r="GC35" s="40">
        <f t="shared" si="158"/>
        <v>46350</v>
      </c>
      <c r="GD35" s="128">
        <f t="shared" si="159"/>
        <v>18439493.880496327</v>
      </c>
      <c r="GE35" s="128">
        <f t="shared" si="70"/>
        <v>1659550</v>
      </c>
      <c r="GF35" s="128">
        <f t="shared" si="71"/>
        <v>733800</v>
      </c>
      <c r="GG35" s="128">
        <f t="shared" si="160"/>
        <v>47510</v>
      </c>
      <c r="GH35" s="40">
        <f t="shared" si="161"/>
        <v>18900481.227508735</v>
      </c>
      <c r="GI35" s="40">
        <f t="shared" si="72"/>
        <v>1701040</v>
      </c>
      <c r="GJ35" s="40">
        <f t="shared" si="73"/>
        <v>752150</v>
      </c>
      <c r="GK35" s="40">
        <f t="shared" si="162"/>
        <v>48700</v>
      </c>
      <c r="GL35" s="128">
        <f t="shared" si="163"/>
        <v>19372993.258196451</v>
      </c>
      <c r="GM35" s="128">
        <f t="shared" si="74"/>
        <v>1743560</v>
      </c>
      <c r="GN35" s="128">
        <f t="shared" si="75"/>
        <v>770950</v>
      </c>
      <c r="GO35" s="128">
        <f t="shared" si="164"/>
        <v>49910</v>
      </c>
      <c r="GP35" s="40">
        <f t="shared" si="165"/>
        <v>19857318.089651361</v>
      </c>
      <c r="GQ35" s="40">
        <f t="shared" si="76"/>
        <v>1787150</v>
      </c>
      <c r="GR35" s="40">
        <f t="shared" si="77"/>
        <v>790220</v>
      </c>
      <c r="GS35" s="40">
        <f t="shared" si="166"/>
        <v>51160</v>
      </c>
      <c r="GT35" s="128">
        <f t="shared" si="167"/>
        <v>20353751.041892644</v>
      </c>
      <c r="GU35" s="128">
        <f t="shared" si="78"/>
        <v>1831830</v>
      </c>
      <c r="GV35" s="128">
        <f t="shared" si="79"/>
        <v>809980</v>
      </c>
      <c r="GW35" s="128">
        <f t="shared" si="168"/>
        <v>52440</v>
      </c>
      <c r="GX35" s="40">
        <f t="shared" si="169"/>
        <v>20862594.817939959</v>
      </c>
      <c r="GY35" s="40">
        <f t="shared" si="80"/>
        <v>1877630</v>
      </c>
      <c r="GZ35" s="40">
        <f t="shared" si="81"/>
        <v>830230</v>
      </c>
      <c r="HA35" s="40">
        <f t="shared" si="170"/>
        <v>53750</v>
      </c>
      <c r="HB35" s="128" t="e">
        <f t="shared" si="171"/>
        <v>#REF!</v>
      </c>
      <c r="HC35" s="128" t="e">
        <f t="shared" si="82"/>
        <v>#REF!</v>
      </c>
      <c r="HD35" s="128" t="e">
        <f t="shared" si="83"/>
        <v>#REF!</v>
      </c>
      <c r="HE35" s="128" t="e">
        <f t="shared" si="172"/>
        <v>#REF!</v>
      </c>
    </row>
    <row r="36" spans="1:213">
      <c r="A36" s="15"/>
      <c r="B36" s="16"/>
      <c r="C36" s="82"/>
      <c r="D36" s="83"/>
      <c r="E36" s="69"/>
      <c r="F36" s="56"/>
      <c r="G36" s="87"/>
      <c r="H36" s="45"/>
      <c r="K36" s="28">
        <v>8</v>
      </c>
      <c r="M36" s="24" t="s">
        <v>372</v>
      </c>
      <c r="N36" s="137">
        <v>32</v>
      </c>
      <c r="O36" s="24">
        <v>16</v>
      </c>
      <c r="P36" s="28">
        <v>120000</v>
      </c>
      <c r="Q36" s="99"/>
      <c r="R36" s="25" t="s">
        <v>554</v>
      </c>
      <c r="S36" s="719">
        <v>160000</v>
      </c>
      <c r="T36" s="105">
        <v>30000</v>
      </c>
      <c r="V36" s="42"/>
      <c r="W36" s="101"/>
      <c r="Y36" s="25" t="s">
        <v>287</v>
      </c>
      <c r="AB36" s="723"/>
      <c r="AD36" s="26"/>
      <c r="AE36" s="27"/>
      <c r="AF36" s="778"/>
      <c r="AG36" s="28"/>
      <c r="AH36" s="28"/>
      <c r="AJ36" s="41">
        <v>29</v>
      </c>
      <c r="AK36" s="41">
        <v>39</v>
      </c>
      <c r="AL36" s="890">
        <v>7511130</v>
      </c>
      <c r="AM36" s="887">
        <f t="shared" si="84"/>
        <v>676000</v>
      </c>
      <c r="AN36" s="40">
        <v>243900</v>
      </c>
      <c r="AO36" s="40">
        <v>25000</v>
      </c>
      <c r="AP36" s="891">
        <f t="shared" si="85"/>
        <v>7638820</v>
      </c>
      <c r="AQ36" s="131">
        <f t="shared" si="86"/>
        <v>687490</v>
      </c>
      <c r="AR36" s="130">
        <f t="shared" si="87"/>
        <v>270800</v>
      </c>
      <c r="AS36" s="128">
        <f t="shared" si="88"/>
        <v>17530</v>
      </c>
      <c r="AT36" s="40">
        <f t="shared" si="89"/>
        <v>7906178.6999999993</v>
      </c>
      <c r="AU36" s="40">
        <f t="shared" si="0"/>
        <v>711550</v>
      </c>
      <c r="AV36" s="133">
        <f t="shared" si="1"/>
        <v>285030</v>
      </c>
      <c r="AW36" s="40">
        <f t="shared" si="90"/>
        <v>18450</v>
      </c>
      <c r="AX36" s="128">
        <f t="shared" si="91"/>
        <v>8103833.1674999986</v>
      </c>
      <c r="AY36" s="128">
        <f t="shared" si="2"/>
        <v>729340</v>
      </c>
      <c r="AZ36" s="128">
        <f t="shared" si="3"/>
        <v>292160</v>
      </c>
      <c r="BA36" s="128">
        <f t="shared" si="92"/>
        <v>18910</v>
      </c>
      <c r="BB36" s="40">
        <f t="shared" si="93"/>
        <v>8306428.9966874979</v>
      </c>
      <c r="BC36" s="40">
        <f t="shared" si="4"/>
        <v>747570</v>
      </c>
      <c r="BD36" s="40">
        <f t="shared" si="5"/>
        <v>306950</v>
      </c>
      <c r="BE36" s="40">
        <f t="shared" si="94"/>
        <v>19870</v>
      </c>
      <c r="BF36" s="128">
        <f t="shared" si="95"/>
        <v>8514089.7216046844</v>
      </c>
      <c r="BG36" s="128">
        <f t="shared" si="6"/>
        <v>766260</v>
      </c>
      <c r="BH36" s="128">
        <f t="shared" si="7"/>
        <v>314620</v>
      </c>
      <c r="BI36" s="128">
        <f t="shared" si="96"/>
        <v>20370</v>
      </c>
      <c r="BJ36" s="40">
        <f t="shared" si="97"/>
        <v>8726941.9646448009</v>
      </c>
      <c r="BK36" s="40">
        <f t="shared" si="8"/>
        <v>785420</v>
      </c>
      <c r="BL36" s="40">
        <f t="shared" si="9"/>
        <v>330550</v>
      </c>
      <c r="BM36" s="40">
        <f t="shared" si="98"/>
        <v>21400</v>
      </c>
      <c r="BN36" s="128">
        <f t="shared" si="99"/>
        <v>8945115.5137609206</v>
      </c>
      <c r="BO36" s="128">
        <f t="shared" si="10"/>
        <v>805060</v>
      </c>
      <c r="BP36" s="128">
        <f t="shared" si="11"/>
        <v>347290</v>
      </c>
      <c r="BQ36" s="128">
        <f t="shared" si="100"/>
        <v>22480</v>
      </c>
      <c r="BR36" s="40">
        <f t="shared" si="101"/>
        <v>9168743.401604943</v>
      </c>
      <c r="BS36" s="40">
        <f t="shared" si="12"/>
        <v>825180</v>
      </c>
      <c r="BT36" s="40">
        <f t="shared" si="13"/>
        <v>355970</v>
      </c>
      <c r="BU36" s="40">
        <f t="shared" si="102"/>
        <v>23040</v>
      </c>
      <c r="BV36" s="128">
        <f t="shared" si="103"/>
        <v>9397961.9866450652</v>
      </c>
      <c r="BW36" s="128">
        <f t="shared" si="14"/>
        <v>845810</v>
      </c>
      <c r="BX36" s="128">
        <f t="shared" si="15"/>
        <v>373990</v>
      </c>
      <c r="BY36" s="128">
        <f t="shared" si="104"/>
        <v>24210</v>
      </c>
      <c r="BZ36" s="40">
        <f t="shared" si="105"/>
        <v>9632911.0363111906</v>
      </c>
      <c r="CA36" s="40">
        <f t="shared" si="16"/>
        <v>866960</v>
      </c>
      <c r="CB36" s="40">
        <f t="shared" si="17"/>
        <v>383340</v>
      </c>
      <c r="CC36" s="40">
        <f t="shared" si="106"/>
        <v>24820</v>
      </c>
      <c r="CD36" s="128">
        <f t="shared" si="107"/>
        <v>9873733.8122189697</v>
      </c>
      <c r="CE36" s="128">
        <f t="shared" si="18"/>
        <v>888630</v>
      </c>
      <c r="CF36" s="128">
        <f t="shared" si="19"/>
        <v>392920</v>
      </c>
      <c r="CG36" s="128">
        <f t="shared" si="108"/>
        <v>25440</v>
      </c>
      <c r="CH36" s="40">
        <f t="shared" si="109"/>
        <v>10120577.157524442</v>
      </c>
      <c r="CI36" s="40">
        <f t="shared" si="20"/>
        <v>910850</v>
      </c>
      <c r="CJ36" s="40">
        <f t="shared" si="21"/>
        <v>402750</v>
      </c>
      <c r="CK36" s="40">
        <f t="shared" si="110"/>
        <v>26070</v>
      </c>
      <c r="CL36" s="128">
        <f t="shared" si="111"/>
        <v>10373591.586462552</v>
      </c>
      <c r="CM36" s="128">
        <f t="shared" si="22"/>
        <v>933620</v>
      </c>
      <c r="CN36" s="128">
        <f t="shared" si="23"/>
        <v>412820</v>
      </c>
      <c r="CO36" s="128">
        <f t="shared" si="112"/>
        <v>26730</v>
      </c>
      <c r="CP36" s="40">
        <f t="shared" si="113"/>
        <v>10632931.376124114</v>
      </c>
      <c r="CQ36" s="40">
        <f t="shared" si="24"/>
        <v>956960</v>
      </c>
      <c r="CR36" s="40">
        <f t="shared" si="25"/>
        <v>423140</v>
      </c>
      <c r="CS36" s="40">
        <f t="shared" si="114"/>
        <v>27390</v>
      </c>
      <c r="CT36" s="128">
        <f t="shared" si="115"/>
        <v>10898754.660527216</v>
      </c>
      <c r="CU36" s="128">
        <f t="shared" si="26"/>
        <v>980880</v>
      </c>
      <c r="CV36" s="128">
        <f t="shared" si="27"/>
        <v>433720</v>
      </c>
      <c r="CW36" s="128">
        <f t="shared" si="116"/>
        <v>28080</v>
      </c>
      <c r="CX36" s="40">
        <f t="shared" si="117"/>
        <v>11171223.527040396</v>
      </c>
      <c r="CY36" s="40">
        <f t="shared" si="28"/>
        <v>1005410</v>
      </c>
      <c r="CZ36" s="40">
        <f t="shared" si="29"/>
        <v>444560</v>
      </c>
      <c r="DA36" s="40">
        <f t="shared" si="118"/>
        <v>28780</v>
      </c>
      <c r="DB36" s="128">
        <f t="shared" si="119"/>
        <v>11450504.115216404</v>
      </c>
      <c r="DC36" s="128">
        <f t="shared" si="30"/>
        <v>1030540</v>
      </c>
      <c r="DD36" s="128">
        <f t="shared" si="31"/>
        <v>455670</v>
      </c>
      <c r="DE36" s="128">
        <f t="shared" si="120"/>
        <v>29500</v>
      </c>
      <c r="DF36" s="40">
        <f t="shared" si="121"/>
        <v>11736766.718096813</v>
      </c>
      <c r="DG36" s="40">
        <f t="shared" si="32"/>
        <v>1056300</v>
      </c>
      <c r="DH36" s="40">
        <f t="shared" si="33"/>
        <v>467060</v>
      </c>
      <c r="DI36" s="40">
        <f t="shared" si="122"/>
        <v>30240</v>
      </c>
      <c r="DJ36" s="128">
        <f t="shared" si="123"/>
        <v>12030185.886049233</v>
      </c>
      <c r="DK36" s="128">
        <f t="shared" si="34"/>
        <v>1082710</v>
      </c>
      <c r="DL36" s="128">
        <f t="shared" si="35"/>
        <v>478740</v>
      </c>
      <c r="DM36" s="128">
        <f t="shared" si="124"/>
        <v>30990</v>
      </c>
      <c r="DN36" s="40">
        <f t="shared" si="125"/>
        <v>12330940.533200463</v>
      </c>
      <c r="DO36" s="40">
        <f t="shared" si="36"/>
        <v>1109780</v>
      </c>
      <c r="DP36" s="40">
        <f t="shared" si="37"/>
        <v>490710</v>
      </c>
      <c r="DQ36" s="40">
        <f t="shared" si="126"/>
        <v>31770</v>
      </c>
      <c r="DR36" s="128">
        <f t="shared" si="127"/>
        <v>12639214.046530474</v>
      </c>
      <c r="DS36" s="128">
        <f t="shared" si="38"/>
        <v>1137520</v>
      </c>
      <c r="DT36" s="128">
        <f t="shared" si="39"/>
        <v>502980</v>
      </c>
      <c r="DU36" s="128">
        <f t="shared" si="128"/>
        <v>32560</v>
      </c>
      <c r="DV36" s="40">
        <f t="shared" si="129"/>
        <v>12955194.397693735</v>
      </c>
      <c r="DW36" s="40">
        <f t="shared" si="40"/>
        <v>1165960</v>
      </c>
      <c r="DX36" s="40">
        <f t="shared" si="41"/>
        <v>515550</v>
      </c>
      <c r="DY36" s="40">
        <f t="shared" si="130"/>
        <v>33380</v>
      </c>
      <c r="DZ36" s="128">
        <f t="shared" si="131"/>
        <v>13279074.257636078</v>
      </c>
      <c r="EA36" s="128">
        <f t="shared" si="42"/>
        <v>1195110</v>
      </c>
      <c r="EB36" s="128">
        <f t="shared" si="43"/>
        <v>528440</v>
      </c>
      <c r="EC36" s="128">
        <f t="shared" si="132"/>
        <v>34210</v>
      </c>
      <c r="ED36" s="40">
        <f t="shared" si="133"/>
        <v>13611051.114076978</v>
      </c>
      <c r="EE36" s="40">
        <f t="shared" si="44"/>
        <v>1224990</v>
      </c>
      <c r="EF36" s="40">
        <f t="shared" si="45"/>
        <v>541650</v>
      </c>
      <c r="EG36" s="40">
        <f t="shared" si="134"/>
        <v>35070</v>
      </c>
      <c r="EH36" s="128">
        <f t="shared" si="135"/>
        <v>13951327.3919289</v>
      </c>
      <c r="EI36" s="128">
        <f t="shared" si="46"/>
        <v>1255610</v>
      </c>
      <c r="EJ36" s="128">
        <f t="shared" si="47"/>
        <v>555190</v>
      </c>
      <c r="EK36" s="128">
        <f t="shared" si="136"/>
        <v>35940</v>
      </c>
      <c r="EL36" s="40">
        <f t="shared" si="137"/>
        <v>14300110.576727122</v>
      </c>
      <c r="EM36" s="40">
        <f t="shared" si="48"/>
        <v>1287000</v>
      </c>
      <c r="EN36" s="40">
        <f t="shared" si="49"/>
        <v>569070</v>
      </c>
      <c r="EO36" s="40">
        <f t="shared" si="138"/>
        <v>36840</v>
      </c>
      <c r="EP36" s="128">
        <f t="shared" si="139"/>
        <v>14657613.341145299</v>
      </c>
      <c r="EQ36" s="128">
        <f t="shared" si="50"/>
        <v>1319180</v>
      </c>
      <c r="ER36" s="128">
        <f t="shared" si="51"/>
        <v>583300</v>
      </c>
      <c r="ES36" s="128">
        <f t="shared" si="140"/>
        <v>37760</v>
      </c>
      <c r="ET36" s="40">
        <f t="shared" si="141"/>
        <v>15024053.67467393</v>
      </c>
      <c r="EU36" s="40">
        <f t="shared" si="52"/>
        <v>1352160</v>
      </c>
      <c r="EV36" s="40">
        <f t="shared" si="53"/>
        <v>597880</v>
      </c>
      <c r="EW36" s="40">
        <f t="shared" si="142"/>
        <v>38710</v>
      </c>
      <c r="EX36" s="128">
        <f t="shared" si="143"/>
        <v>15399655.016540777</v>
      </c>
      <c r="EY36" s="128">
        <f t="shared" si="54"/>
        <v>1385960</v>
      </c>
      <c r="EZ36" s="128">
        <f t="shared" si="55"/>
        <v>612830</v>
      </c>
      <c r="FA36" s="128">
        <f t="shared" si="144"/>
        <v>39680</v>
      </c>
      <c r="FB36" s="40">
        <f t="shared" si="145"/>
        <v>15784646.391954295</v>
      </c>
      <c r="FC36" s="40">
        <f t="shared" si="56"/>
        <v>1420610</v>
      </c>
      <c r="FD36" s="40">
        <f t="shared" si="57"/>
        <v>628150</v>
      </c>
      <c r="FE36" s="40">
        <f t="shared" si="146"/>
        <v>40670</v>
      </c>
      <c r="FF36" s="128">
        <f t="shared" si="147"/>
        <v>16179262.551753152</v>
      </c>
      <c r="FG36" s="128">
        <f t="shared" si="58"/>
        <v>1456130</v>
      </c>
      <c r="FH36" s="128">
        <f t="shared" si="59"/>
        <v>643850</v>
      </c>
      <c r="FI36" s="128">
        <f t="shared" si="148"/>
        <v>41680</v>
      </c>
      <c r="FJ36" s="40">
        <f t="shared" si="149"/>
        <v>16583744.115546979</v>
      </c>
      <c r="FK36" s="40">
        <f t="shared" si="60"/>
        <v>1492530</v>
      </c>
      <c r="FL36" s="40">
        <f t="shared" si="61"/>
        <v>659950</v>
      </c>
      <c r="FM36" s="40">
        <f t="shared" si="150"/>
        <v>42730</v>
      </c>
      <c r="FN36" s="128">
        <f t="shared" si="151"/>
        <v>16998337.718435653</v>
      </c>
      <c r="FO36" s="128">
        <f t="shared" si="62"/>
        <v>1529850</v>
      </c>
      <c r="FP36" s="128">
        <f t="shared" si="63"/>
        <v>676450</v>
      </c>
      <c r="FQ36" s="128">
        <f t="shared" si="152"/>
        <v>43800</v>
      </c>
      <c r="FR36" s="40">
        <f t="shared" si="153"/>
        <v>17423296.161396541</v>
      </c>
      <c r="FS36" s="40">
        <f t="shared" si="64"/>
        <v>1568090</v>
      </c>
      <c r="FT36" s="40">
        <f t="shared" si="65"/>
        <v>693360</v>
      </c>
      <c r="FU36" s="40">
        <f t="shared" si="154"/>
        <v>44890</v>
      </c>
      <c r="FV36" s="128">
        <f t="shared" si="155"/>
        <v>17858878.565431453</v>
      </c>
      <c r="FW36" s="128">
        <f t="shared" si="66"/>
        <v>1607290</v>
      </c>
      <c r="FX36" s="128">
        <f t="shared" si="67"/>
        <v>710700</v>
      </c>
      <c r="FY36" s="128">
        <f t="shared" si="156"/>
        <v>46010</v>
      </c>
      <c r="FZ36" s="40">
        <f t="shared" si="157"/>
        <v>18305350.529567238</v>
      </c>
      <c r="GA36" s="40">
        <f t="shared" si="68"/>
        <v>1647480</v>
      </c>
      <c r="GB36" s="40">
        <f t="shared" si="69"/>
        <v>728460</v>
      </c>
      <c r="GC36" s="40">
        <f t="shared" si="158"/>
        <v>47160</v>
      </c>
      <c r="GD36" s="128">
        <f t="shared" si="159"/>
        <v>18762984.292806417</v>
      </c>
      <c r="GE36" s="128">
        <f t="shared" si="70"/>
        <v>1688660</v>
      </c>
      <c r="GF36" s="128">
        <f t="shared" si="71"/>
        <v>746680</v>
      </c>
      <c r="GG36" s="128">
        <f t="shared" si="160"/>
        <v>48340</v>
      </c>
      <c r="GH36" s="40">
        <f t="shared" si="161"/>
        <v>19232058.900126576</v>
      </c>
      <c r="GI36" s="40">
        <f t="shared" si="72"/>
        <v>1730880</v>
      </c>
      <c r="GJ36" s="40">
        <f t="shared" si="73"/>
        <v>765340</v>
      </c>
      <c r="GK36" s="40">
        <f t="shared" si="162"/>
        <v>49550</v>
      </c>
      <c r="GL36" s="128">
        <f t="shared" si="163"/>
        <v>19712860.372629739</v>
      </c>
      <c r="GM36" s="128">
        <f t="shared" si="74"/>
        <v>1774150</v>
      </c>
      <c r="GN36" s="128">
        <f t="shared" si="75"/>
        <v>784480</v>
      </c>
      <c r="GO36" s="128">
        <f t="shared" si="164"/>
        <v>50790</v>
      </c>
      <c r="GP36" s="40">
        <f t="shared" si="165"/>
        <v>20205681.88194548</v>
      </c>
      <c r="GQ36" s="40">
        <f t="shared" si="76"/>
        <v>1818510</v>
      </c>
      <c r="GR36" s="40">
        <f t="shared" si="77"/>
        <v>804090</v>
      </c>
      <c r="GS36" s="40">
        <f t="shared" si="166"/>
        <v>52060</v>
      </c>
      <c r="GT36" s="128">
        <f t="shared" si="167"/>
        <v>20710823.928994115</v>
      </c>
      <c r="GU36" s="128">
        <f t="shared" si="78"/>
        <v>1863970</v>
      </c>
      <c r="GV36" s="128">
        <f t="shared" si="79"/>
        <v>824190</v>
      </c>
      <c r="GW36" s="128">
        <f t="shared" si="168"/>
        <v>53360</v>
      </c>
      <c r="GX36" s="40">
        <f t="shared" si="169"/>
        <v>21228594.527218968</v>
      </c>
      <c r="GY36" s="40">
        <f t="shared" si="80"/>
        <v>1910570</v>
      </c>
      <c r="GZ36" s="40">
        <f t="shared" si="81"/>
        <v>844790</v>
      </c>
      <c r="HA36" s="40">
        <f t="shared" si="170"/>
        <v>54700</v>
      </c>
      <c r="HB36" s="128" t="e">
        <f t="shared" si="171"/>
        <v>#REF!</v>
      </c>
      <c r="HC36" s="128" t="e">
        <f t="shared" si="82"/>
        <v>#REF!</v>
      </c>
      <c r="HD36" s="128" t="e">
        <f t="shared" si="83"/>
        <v>#REF!</v>
      </c>
      <c r="HE36" s="128" t="e">
        <f t="shared" si="172"/>
        <v>#REF!</v>
      </c>
    </row>
    <row r="37" spans="1:213">
      <c r="A37" s="2"/>
      <c r="B37" s="8"/>
      <c r="C37" s="71"/>
      <c r="D37" s="61"/>
      <c r="E37" s="63"/>
      <c r="F37" s="49"/>
      <c r="G37" s="87"/>
      <c r="H37" s="45"/>
      <c r="K37" s="28">
        <v>9</v>
      </c>
      <c r="M37" s="24" t="s">
        <v>375</v>
      </c>
      <c r="N37" s="137">
        <v>33</v>
      </c>
      <c r="P37" s="141"/>
      <c r="Q37" s="99"/>
      <c r="R37" s="25" t="s">
        <v>538</v>
      </c>
      <c r="S37" s="719">
        <v>170000</v>
      </c>
      <c r="T37" s="105">
        <v>35000</v>
      </c>
      <c r="V37" s="42"/>
      <c r="W37" s="101"/>
      <c r="Y37" s="25" t="s">
        <v>318</v>
      </c>
      <c r="AB37" s="723"/>
      <c r="AD37" s="26"/>
      <c r="AE37" s="27"/>
      <c r="AF37" s="778"/>
      <c r="AG37" s="28"/>
      <c r="AH37" s="28"/>
      <c r="AJ37" s="41">
        <v>30</v>
      </c>
      <c r="AK37" s="41">
        <v>40</v>
      </c>
      <c r="AL37" s="890">
        <v>7633550</v>
      </c>
      <c r="AM37" s="40">
        <f t="shared" si="84"/>
        <v>687020</v>
      </c>
      <c r="AN37" s="40">
        <v>247870</v>
      </c>
      <c r="AO37" s="40">
        <v>25410</v>
      </c>
      <c r="AP37" s="891">
        <f t="shared" si="85"/>
        <v>7763320</v>
      </c>
      <c r="AQ37" s="888">
        <f t="shared" si="86"/>
        <v>698700</v>
      </c>
      <c r="AR37" s="130">
        <f t="shared" si="87"/>
        <v>275210</v>
      </c>
      <c r="AS37" s="128">
        <f t="shared" si="88"/>
        <v>17820</v>
      </c>
      <c r="AT37" s="40">
        <f t="shared" si="89"/>
        <v>8035036.1999999993</v>
      </c>
      <c r="AU37" s="40">
        <f t="shared" si="0"/>
        <v>723150</v>
      </c>
      <c r="AV37" s="40">
        <f t="shared" si="1"/>
        <v>289680</v>
      </c>
      <c r="AW37" s="40">
        <f t="shared" si="90"/>
        <v>18750</v>
      </c>
      <c r="AX37" s="128">
        <f t="shared" si="91"/>
        <v>8235912.1049999986</v>
      </c>
      <c r="AY37" s="128">
        <f t="shared" si="2"/>
        <v>741230</v>
      </c>
      <c r="AZ37" s="133">
        <f t="shared" si="3"/>
        <v>296920</v>
      </c>
      <c r="BA37" s="128">
        <f t="shared" si="92"/>
        <v>19220</v>
      </c>
      <c r="BB37" s="40">
        <f t="shared" si="93"/>
        <v>8441809.9076249972</v>
      </c>
      <c r="BC37" s="40">
        <f t="shared" si="4"/>
        <v>759760</v>
      </c>
      <c r="BD37" s="40">
        <f t="shared" si="5"/>
        <v>311950</v>
      </c>
      <c r="BE37" s="40">
        <f t="shared" si="94"/>
        <v>20190</v>
      </c>
      <c r="BF37" s="128">
        <f t="shared" si="95"/>
        <v>8652855.1553156208</v>
      </c>
      <c r="BG37" s="128">
        <f t="shared" si="6"/>
        <v>778750</v>
      </c>
      <c r="BH37" s="128">
        <f t="shared" si="7"/>
        <v>319750</v>
      </c>
      <c r="BI37" s="128">
        <f t="shared" si="96"/>
        <v>20700</v>
      </c>
      <c r="BJ37" s="40">
        <f t="shared" si="97"/>
        <v>8869176.5341985114</v>
      </c>
      <c r="BK37" s="40">
        <f t="shared" si="8"/>
        <v>798220</v>
      </c>
      <c r="BL37" s="40">
        <f t="shared" si="9"/>
        <v>335940</v>
      </c>
      <c r="BM37" s="40">
        <f t="shared" si="98"/>
        <v>21750</v>
      </c>
      <c r="BN37" s="128">
        <f t="shared" si="99"/>
        <v>9090905.9475534726</v>
      </c>
      <c r="BO37" s="128">
        <f t="shared" si="10"/>
        <v>818180</v>
      </c>
      <c r="BP37" s="128">
        <f t="shared" si="11"/>
        <v>352950</v>
      </c>
      <c r="BQ37" s="128">
        <f t="shared" si="100"/>
        <v>22850</v>
      </c>
      <c r="BR37" s="40">
        <f t="shared" si="101"/>
        <v>9318178.5962423086</v>
      </c>
      <c r="BS37" s="40">
        <f t="shared" si="12"/>
        <v>838630</v>
      </c>
      <c r="BT37" s="40">
        <f t="shared" si="13"/>
        <v>361770</v>
      </c>
      <c r="BU37" s="40">
        <f t="shared" si="102"/>
        <v>23420</v>
      </c>
      <c r="BV37" s="128">
        <f t="shared" si="103"/>
        <v>9551133.061148366</v>
      </c>
      <c r="BW37" s="128">
        <f t="shared" si="14"/>
        <v>859600</v>
      </c>
      <c r="BX37" s="128">
        <f t="shared" si="15"/>
        <v>380090</v>
      </c>
      <c r="BY37" s="128">
        <f t="shared" si="104"/>
        <v>24610</v>
      </c>
      <c r="BZ37" s="40">
        <f t="shared" si="105"/>
        <v>9789911.3876770735</v>
      </c>
      <c r="CA37" s="40">
        <f t="shared" si="16"/>
        <v>881090</v>
      </c>
      <c r="CB37" s="40">
        <f t="shared" si="17"/>
        <v>389590</v>
      </c>
      <c r="CC37" s="40">
        <f t="shared" si="106"/>
        <v>25220</v>
      </c>
      <c r="CD37" s="128">
        <f t="shared" si="107"/>
        <v>10034659.172369</v>
      </c>
      <c r="CE37" s="128">
        <f t="shared" si="18"/>
        <v>903110</v>
      </c>
      <c r="CF37" s="128">
        <f t="shared" si="19"/>
        <v>399330</v>
      </c>
      <c r="CG37" s="128">
        <f t="shared" si="108"/>
        <v>25850</v>
      </c>
      <c r="CH37" s="40">
        <f t="shared" si="109"/>
        <v>10285525.651678223</v>
      </c>
      <c r="CI37" s="40">
        <f t="shared" si="20"/>
        <v>925690</v>
      </c>
      <c r="CJ37" s="40">
        <f t="shared" si="21"/>
        <v>409310</v>
      </c>
      <c r="CK37" s="40">
        <f t="shared" si="110"/>
        <v>26500</v>
      </c>
      <c r="CL37" s="128">
        <f t="shared" si="111"/>
        <v>10542663.792970179</v>
      </c>
      <c r="CM37" s="128">
        <f t="shared" si="22"/>
        <v>948830</v>
      </c>
      <c r="CN37" s="128">
        <f t="shared" si="23"/>
        <v>419540</v>
      </c>
      <c r="CO37" s="128">
        <f t="shared" si="112"/>
        <v>27160</v>
      </c>
      <c r="CP37" s="40">
        <f t="shared" si="113"/>
        <v>10806230.387794431</v>
      </c>
      <c r="CQ37" s="40">
        <f t="shared" si="24"/>
        <v>972560</v>
      </c>
      <c r="CR37" s="40">
        <f t="shared" si="25"/>
        <v>430030</v>
      </c>
      <c r="CS37" s="40">
        <f t="shared" si="114"/>
        <v>27840</v>
      </c>
      <c r="CT37" s="128">
        <f t="shared" si="115"/>
        <v>11076386.147489291</v>
      </c>
      <c r="CU37" s="128">
        <f t="shared" si="26"/>
        <v>996870</v>
      </c>
      <c r="CV37" s="128">
        <f t="shared" si="27"/>
        <v>440780</v>
      </c>
      <c r="CW37" s="128">
        <f t="shared" si="116"/>
        <v>28540</v>
      </c>
      <c r="CX37" s="40">
        <f t="shared" si="117"/>
        <v>11353295.801176522</v>
      </c>
      <c r="CY37" s="40">
        <f t="shared" si="28"/>
        <v>1021790</v>
      </c>
      <c r="CZ37" s="40">
        <f t="shared" si="29"/>
        <v>451800</v>
      </c>
      <c r="DA37" s="40">
        <f t="shared" si="118"/>
        <v>29250</v>
      </c>
      <c r="DB37" s="128">
        <f t="shared" si="119"/>
        <v>11637128.196205935</v>
      </c>
      <c r="DC37" s="128">
        <f t="shared" si="30"/>
        <v>1047340</v>
      </c>
      <c r="DD37" s="128">
        <f t="shared" si="31"/>
        <v>463100</v>
      </c>
      <c r="DE37" s="128">
        <f t="shared" si="120"/>
        <v>29980</v>
      </c>
      <c r="DF37" s="40">
        <f t="shared" si="121"/>
        <v>11928056.401111081</v>
      </c>
      <c r="DG37" s="40">
        <f t="shared" si="32"/>
        <v>1073520</v>
      </c>
      <c r="DH37" s="40">
        <f t="shared" si="33"/>
        <v>474680</v>
      </c>
      <c r="DI37" s="40">
        <f t="shared" si="122"/>
        <v>30730</v>
      </c>
      <c r="DJ37" s="128">
        <f t="shared" si="123"/>
        <v>12226257.811138857</v>
      </c>
      <c r="DK37" s="128">
        <f t="shared" si="34"/>
        <v>1100360</v>
      </c>
      <c r="DL37" s="128">
        <f t="shared" si="35"/>
        <v>486540</v>
      </c>
      <c r="DM37" s="128">
        <f t="shared" si="124"/>
        <v>31500</v>
      </c>
      <c r="DN37" s="40">
        <f t="shared" si="125"/>
        <v>12531914.256417327</v>
      </c>
      <c r="DO37" s="40">
        <f t="shared" si="36"/>
        <v>1127870</v>
      </c>
      <c r="DP37" s="40">
        <f t="shared" si="37"/>
        <v>498710</v>
      </c>
      <c r="DQ37" s="40">
        <f t="shared" si="126"/>
        <v>32290</v>
      </c>
      <c r="DR37" s="128">
        <f t="shared" si="127"/>
        <v>12845212.112827759</v>
      </c>
      <c r="DS37" s="128">
        <f t="shared" si="38"/>
        <v>1156060</v>
      </c>
      <c r="DT37" s="128">
        <f t="shared" si="39"/>
        <v>511180</v>
      </c>
      <c r="DU37" s="128">
        <f t="shared" si="128"/>
        <v>33090</v>
      </c>
      <c r="DV37" s="40">
        <f t="shared" si="129"/>
        <v>13166342.415648453</v>
      </c>
      <c r="DW37" s="40">
        <f t="shared" si="40"/>
        <v>1184970</v>
      </c>
      <c r="DX37" s="40">
        <f t="shared" si="41"/>
        <v>523950</v>
      </c>
      <c r="DY37" s="40">
        <f t="shared" si="130"/>
        <v>33920</v>
      </c>
      <c r="DZ37" s="128">
        <f t="shared" si="131"/>
        <v>13495500.976039663</v>
      </c>
      <c r="EA37" s="128">
        <f t="shared" si="42"/>
        <v>1214590</v>
      </c>
      <c r="EB37" s="128">
        <f t="shared" si="43"/>
        <v>537050</v>
      </c>
      <c r="EC37" s="128">
        <f t="shared" si="132"/>
        <v>34770</v>
      </c>
      <c r="ED37" s="40">
        <f t="shared" si="133"/>
        <v>13832888.500440653</v>
      </c>
      <c r="EE37" s="40">
        <f t="shared" si="44"/>
        <v>1244950</v>
      </c>
      <c r="EF37" s="40">
        <f t="shared" si="45"/>
        <v>550480</v>
      </c>
      <c r="EG37" s="40">
        <f t="shared" si="134"/>
        <v>35640</v>
      </c>
      <c r="EH37" s="128">
        <f t="shared" si="135"/>
        <v>14178710.712951668</v>
      </c>
      <c r="EI37" s="128">
        <f t="shared" si="46"/>
        <v>1276080</v>
      </c>
      <c r="EJ37" s="128">
        <f t="shared" si="47"/>
        <v>564240</v>
      </c>
      <c r="EK37" s="128">
        <f t="shared" si="136"/>
        <v>36530</v>
      </c>
      <c r="EL37" s="40">
        <f t="shared" si="137"/>
        <v>14533178.480775459</v>
      </c>
      <c r="EM37" s="40">
        <f t="shared" si="48"/>
        <v>1307980</v>
      </c>
      <c r="EN37" s="40">
        <f t="shared" si="49"/>
        <v>578350</v>
      </c>
      <c r="EO37" s="40">
        <f t="shared" si="138"/>
        <v>37440</v>
      </c>
      <c r="EP37" s="128">
        <f t="shared" si="139"/>
        <v>14896507.942794845</v>
      </c>
      <c r="EQ37" s="128">
        <f t="shared" si="50"/>
        <v>1340680</v>
      </c>
      <c r="ER37" s="128">
        <f t="shared" si="51"/>
        <v>592810</v>
      </c>
      <c r="ES37" s="128">
        <f t="shared" si="140"/>
        <v>38380</v>
      </c>
      <c r="ET37" s="40">
        <f t="shared" si="141"/>
        <v>15268920.641364714</v>
      </c>
      <c r="EU37" s="40">
        <f t="shared" si="52"/>
        <v>1374200</v>
      </c>
      <c r="EV37" s="40">
        <f t="shared" si="53"/>
        <v>607630</v>
      </c>
      <c r="EW37" s="40">
        <f t="shared" si="142"/>
        <v>39340</v>
      </c>
      <c r="EX37" s="128">
        <f t="shared" si="143"/>
        <v>15650643.657398831</v>
      </c>
      <c r="EY37" s="128">
        <f t="shared" si="54"/>
        <v>1408550</v>
      </c>
      <c r="EZ37" s="128">
        <f t="shared" si="55"/>
        <v>622820</v>
      </c>
      <c r="FA37" s="128">
        <f t="shared" si="144"/>
        <v>40320</v>
      </c>
      <c r="FB37" s="40">
        <f t="shared" si="145"/>
        <v>16041909.7488338</v>
      </c>
      <c r="FC37" s="40">
        <f t="shared" si="56"/>
        <v>1443770</v>
      </c>
      <c r="FD37" s="40">
        <f t="shared" si="57"/>
        <v>638390</v>
      </c>
      <c r="FE37" s="40">
        <f t="shared" si="146"/>
        <v>41330</v>
      </c>
      <c r="FF37" s="128">
        <f t="shared" si="147"/>
        <v>16442957.492554644</v>
      </c>
      <c r="FG37" s="128">
        <f t="shared" si="58"/>
        <v>1479860</v>
      </c>
      <c r="FH37" s="128">
        <f t="shared" si="59"/>
        <v>654350</v>
      </c>
      <c r="FI37" s="128">
        <f t="shared" si="148"/>
        <v>42360</v>
      </c>
      <c r="FJ37" s="40">
        <f t="shared" si="149"/>
        <v>16854031.429868508</v>
      </c>
      <c r="FK37" s="40">
        <f t="shared" si="60"/>
        <v>1516860</v>
      </c>
      <c r="FL37" s="40">
        <f t="shared" si="61"/>
        <v>670710</v>
      </c>
      <c r="FM37" s="40">
        <f t="shared" si="150"/>
        <v>43420</v>
      </c>
      <c r="FN37" s="128">
        <f t="shared" si="151"/>
        <v>17275382.21561522</v>
      </c>
      <c r="FO37" s="128">
        <f t="shared" si="62"/>
        <v>1554780</v>
      </c>
      <c r="FP37" s="128">
        <f t="shared" si="63"/>
        <v>687480</v>
      </c>
      <c r="FQ37" s="128">
        <f t="shared" si="152"/>
        <v>44510</v>
      </c>
      <c r="FR37" s="40">
        <f t="shared" si="153"/>
        <v>17707266.771005601</v>
      </c>
      <c r="FS37" s="40">
        <f t="shared" si="64"/>
        <v>1593650</v>
      </c>
      <c r="FT37" s="40">
        <f t="shared" si="65"/>
        <v>704660</v>
      </c>
      <c r="FU37" s="40">
        <f t="shared" si="154"/>
        <v>45620</v>
      </c>
      <c r="FV37" s="128">
        <f t="shared" si="155"/>
        <v>18149948.440280739</v>
      </c>
      <c r="FW37" s="128">
        <f t="shared" si="66"/>
        <v>1633490</v>
      </c>
      <c r="FX37" s="128">
        <f t="shared" si="67"/>
        <v>722280</v>
      </c>
      <c r="FY37" s="128">
        <f t="shared" si="156"/>
        <v>46760</v>
      </c>
      <c r="FZ37" s="40">
        <f t="shared" si="157"/>
        <v>18603697.151287757</v>
      </c>
      <c r="GA37" s="40">
        <f t="shared" si="68"/>
        <v>1674330</v>
      </c>
      <c r="GB37" s="40">
        <f t="shared" si="69"/>
        <v>740340</v>
      </c>
      <c r="GC37" s="40">
        <f t="shared" si="158"/>
        <v>47930</v>
      </c>
      <c r="GD37" s="128">
        <f t="shared" si="159"/>
        <v>19068789.580069948</v>
      </c>
      <c r="GE37" s="128">
        <f t="shared" si="70"/>
        <v>1716190</v>
      </c>
      <c r="GF37" s="128">
        <f t="shared" si="71"/>
        <v>758840</v>
      </c>
      <c r="GG37" s="128">
        <f t="shared" si="160"/>
        <v>49130</v>
      </c>
      <c r="GH37" s="40">
        <f t="shared" si="161"/>
        <v>19545509.319571696</v>
      </c>
      <c r="GI37" s="40">
        <f t="shared" si="72"/>
        <v>1759090</v>
      </c>
      <c r="GJ37" s="40">
        <f t="shared" si="73"/>
        <v>777820</v>
      </c>
      <c r="GK37" s="40">
        <f t="shared" si="162"/>
        <v>50360</v>
      </c>
      <c r="GL37" s="128">
        <f t="shared" si="163"/>
        <v>20034147.052560985</v>
      </c>
      <c r="GM37" s="128">
        <f t="shared" si="74"/>
        <v>1803070</v>
      </c>
      <c r="GN37" s="128">
        <f t="shared" si="75"/>
        <v>797260</v>
      </c>
      <c r="GO37" s="128">
        <f t="shared" si="164"/>
        <v>51620</v>
      </c>
      <c r="GP37" s="40">
        <f t="shared" si="165"/>
        <v>20535000.728875007</v>
      </c>
      <c r="GQ37" s="40">
        <f t="shared" si="76"/>
        <v>1848150</v>
      </c>
      <c r="GR37" s="40">
        <f t="shared" si="77"/>
        <v>817190</v>
      </c>
      <c r="GS37" s="40">
        <f t="shared" si="166"/>
        <v>52910</v>
      </c>
      <c r="GT37" s="128">
        <f t="shared" si="167"/>
        <v>21048375.747096881</v>
      </c>
      <c r="GU37" s="128">
        <f t="shared" si="78"/>
        <v>1894350</v>
      </c>
      <c r="GV37" s="128">
        <f t="shared" si="79"/>
        <v>837620</v>
      </c>
      <c r="GW37" s="128">
        <f t="shared" si="168"/>
        <v>54230</v>
      </c>
      <c r="GX37" s="40">
        <f t="shared" si="169"/>
        <v>21574585.140774302</v>
      </c>
      <c r="GY37" s="40">
        <f t="shared" si="80"/>
        <v>1941710</v>
      </c>
      <c r="GZ37" s="40">
        <f t="shared" si="81"/>
        <v>858560</v>
      </c>
      <c r="HA37" s="40">
        <f t="shared" si="170"/>
        <v>55590</v>
      </c>
      <c r="HB37" s="128" t="e">
        <f t="shared" si="171"/>
        <v>#REF!</v>
      </c>
      <c r="HC37" s="128" t="e">
        <f t="shared" si="82"/>
        <v>#REF!</v>
      </c>
      <c r="HD37" s="128" t="e">
        <f t="shared" si="83"/>
        <v>#REF!</v>
      </c>
      <c r="HE37" s="128" t="e">
        <f t="shared" si="172"/>
        <v>#REF!</v>
      </c>
    </row>
    <row r="38" spans="1:213">
      <c r="A38" s="2"/>
      <c r="B38" s="8"/>
      <c r="C38" s="71"/>
      <c r="D38" s="61"/>
      <c r="E38" s="63"/>
      <c r="F38" s="49"/>
      <c r="G38" s="87"/>
      <c r="H38" s="45"/>
      <c r="K38" s="28">
        <v>10</v>
      </c>
      <c r="M38" s="710">
        <v>1</v>
      </c>
      <c r="N38" s="137">
        <v>34</v>
      </c>
      <c r="P38" s="141"/>
      <c r="Q38" s="99"/>
      <c r="R38" s="25" t="s">
        <v>536</v>
      </c>
      <c r="S38" s="719">
        <v>180000</v>
      </c>
      <c r="T38" s="97"/>
      <c r="V38" s="42"/>
      <c r="W38" s="101"/>
      <c r="Y38" s="25" t="s">
        <v>309</v>
      </c>
      <c r="AB38" s="723"/>
      <c r="AD38" s="26"/>
      <c r="AE38" s="27"/>
      <c r="AF38" s="778"/>
      <c r="AG38" s="28"/>
      <c r="AH38" s="28"/>
      <c r="AJ38" s="41">
        <v>31</v>
      </c>
      <c r="AK38" s="41">
        <v>41</v>
      </c>
      <c r="AL38" s="890">
        <v>7743960</v>
      </c>
      <c r="AM38" s="40">
        <f t="shared" si="84"/>
        <v>696960</v>
      </c>
      <c r="AN38" s="40">
        <v>251460</v>
      </c>
      <c r="AO38" s="40">
        <v>25770</v>
      </c>
      <c r="AP38" s="891">
        <f t="shared" si="85"/>
        <v>7875610</v>
      </c>
      <c r="AQ38" s="131">
        <f t="shared" si="86"/>
        <v>708800</v>
      </c>
      <c r="AR38" s="130">
        <f t="shared" si="87"/>
        <v>279190</v>
      </c>
      <c r="AS38" s="128">
        <f t="shared" si="88"/>
        <v>18080</v>
      </c>
      <c r="AT38" s="40">
        <f t="shared" si="89"/>
        <v>8151256.3499999996</v>
      </c>
      <c r="AU38" s="40">
        <f t="shared" si="0"/>
        <v>733610</v>
      </c>
      <c r="AV38" s="40">
        <f t="shared" si="1"/>
        <v>293870</v>
      </c>
      <c r="AW38" s="40">
        <f t="shared" si="90"/>
        <v>19020</v>
      </c>
      <c r="AX38" s="128">
        <f t="shared" si="91"/>
        <v>8355037.7587499991</v>
      </c>
      <c r="AY38" s="128">
        <f t="shared" si="2"/>
        <v>751950</v>
      </c>
      <c r="AZ38" s="128">
        <f t="shared" si="3"/>
        <v>301220</v>
      </c>
      <c r="BA38" s="128">
        <f t="shared" si="92"/>
        <v>19500</v>
      </c>
      <c r="BB38" s="40">
        <f t="shared" si="93"/>
        <v>8563913.7027187478</v>
      </c>
      <c r="BC38" s="40">
        <f t="shared" si="4"/>
        <v>770750</v>
      </c>
      <c r="BD38" s="40">
        <f t="shared" si="5"/>
        <v>316470</v>
      </c>
      <c r="BE38" s="40">
        <f t="shared" si="94"/>
        <v>20490</v>
      </c>
      <c r="BF38" s="128">
        <f t="shared" si="95"/>
        <v>8778011.545286715</v>
      </c>
      <c r="BG38" s="128">
        <f t="shared" si="6"/>
        <v>790020</v>
      </c>
      <c r="BH38" s="128">
        <f t="shared" si="7"/>
        <v>324380</v>
      </c>
      <c r="BI38" s="128">
        <f t="shared" si="96"/>
        <v>21000</v>
      </c>
      <c r="BJ38" s="40">
        <f t="shared" si="97"/>
        <v>8997461.8339188825</v>
      </c>
      <c r="BK38" s="40">
        <f t="shared" si="8"/>
        <v>809770</v>
      </c>
      <c r="BL38" s="40">
        <f t="shared" si="9"/>
        <v>340800</v>
      </c>
      <c r="BM38" s="40">
        <f t="shared" si="98"/>
        <v>22060</v>
      </c>
      <c r="BN38" s="128">
        <f t="shared" si="99"/>
        <v>9222398.3797668535</v>
      </c>
      <c r="BO38" s="128">
        <f t="shared" si="10"/>
        <v>830010</v>
      </c>
      <c r="BP38" s="128">
        <f t="shared" si="11"/>
        <v>358050</v>
      </c>
      <c r="BQ38" s="128">
        <f t="shared" si="100"/>
        <v>23180</v>
      </c>
      <c r="BR38" s="40">
        <f t="shared" si="101"/>
        <v>9452958.3392610233</v>
      </c>
      <c r="BS38" s="40">
        <f t="shared" si="12"/>
        <v>850760</v>
      </c>
      <c r="BT38" s="40">
        <f t="shared" si="13"/>
        <v>367000</v>
      </c>
      <c r="BU38" s="40">
        <f t="shared" si="102"/>
        <v>23760</v>
      </c>
      <c r="BV38" s="128">
        <f t="shared" si="103"/>
        <v>9689282.2977425475</v>
      </c>
      <c r="BW38" s="128">
        <f t="shared" si="14"/>
        <v>872030</v>
      </c>
      <c r="BX38" s="128">
        <f t="shared" si="15"/>
        <v>385580</v>
      </c>
      <c r="BY38" s="128">
        <f t="shared" si="104"/>
        <v>24960</v>
      </c>
      <c r="BZ38" s="40">
        <f t="shared" si="105"/>
        <v>9931514.3551861104</v>
      </c>
      <c r="CA38" s="40">
        <f t="shared" si="16"/>
        <v>893830</v>
      </c>
      <c r="CB38" s="40">
        <f t="shared" si="17"/>
        <v>395220</v>
      </c>
      <c r="CC38" s="40">
        <f t="shared" si="106"/>
        <v>25590</v>
      </c>
      <c r="CD38" s="128">
        <f t="shared" si="107"/>
        <v>10179802.214065762</v>
      </c>
      <c r="CE38" s="128">
        <f t="shared" si="18"/>
        <v>916180</v>
      </c>
      <c r="CF38" s="128">
        <f t="shared" si="19"/>
        <v>405100</v>
      </c>
      <c r="CG38" s="128">
        <f t="shared" si="108"/>
        <v>26230</v>
      </c>
      <c r="CH38" s="40">
        <f t="shared" si="109"/>
        <v>10434297.269417405</v>
      </c>
      <c r="CI38" s="40">
        <f t="shared" si="20"/>
        <v>939080</v>
      </c>
      <c r="CJ38" s="40">
        <f t="shared" si="21"/>
        <v>415230</v>
      </c>
      <c r="CK38" s="40">
        <f t="shared" si="110"/>
        <v>26880</v>
      </c>
      <c r="CL38" s="128">
        <f t="shared" si="111"/>
        <v>10695154.701152839</v>
      </c>
      <c r="CM38" s="128">
        <f t="shared" si="22"/>
        <v>962560</v>
      </c>
      <c r="CN38" s="128">
        <f t="shared" si="23"/>
        <v>425610</v>
      </c>
      <c r="CO38" s="128">
        <f t="shared" si="112"/>
        <v>27550</v>
      </c>
      <c r="CP38" s="40">
        <f t="shared" si="113"/>
        <v>10962533.568681659</v>
      </c>
      <c r="CQ38" s="40">
        <f t="shared" si="24"/>
        <v>986620</v>
      </c>
      <c r="CR38" s="40">
        <f t="shared" si="25"/>
        <v>436250</v>
      </c>
      <c r="CS38" s="40">
        <f t="shared" si="114"/>
        <v>28240</v>
      </c>
      <c r="CT38" s="128">
        <f t="shared" si="115"/>
        <v>11236596.9078987</v>
      </c>
      <c r="CU38" s="128">
        <f t="shared" si="26"/>
        <v>1011290</v>
      </c>
      <c r="CV38" s="128">
        <f t="shared" si="27"/>
        <v>447160</v>
      </c>
      <c r="CW38" s="128">
        <f t="shared" si="116"/>
        <v>28950</v>
      </c>
      <c r="CX38" s="40">
        <f t="shared" si="117"/>
        <v>11517511.830596166</v>
      </c>
      <c r="CY38" s="40">
        <f t="shared" si="28"/>
        <v>1036570</v>
      </c>
      <c r="CZ38" s="40">
        <f t="shared" si="29"/>
        <v>458340</v>
      </c>
      <c r="DA38" s="40">
        <f t="shared" si="118"/>
        <v>29670</v>
      </c>
      <c r="DB38" s="128">
        <f t="shared" si="119"/>
        <v>11805449.626361068</v>
      </c>
      <c r="DC38" s="128">
        <f t="shared" si="30"/>
        <v>1062490</v>
      </c>
      <c r="DD38" s="128">
        <f t="shared" si="31"/>
        <v>469800</v>
      </c>
      <c r="DE38" s="128">
        <f t="shared" si="120"/>
        <v>30410</v>
      </c>
      <c r="DF38" s="40">
        <f t="shared" si="121"/>
        <v>12100585.867020095</v>
      </c>
      <c r="DG38" s="40">
        <f t="shared" si="32"/>
        <v>1089050</v>
      </c>
      <c r="DH38" s="40">
        <f t="shared" si="33"/>
        <v>481540</v>
      </c>
      <c r="DI38" s="40">
        <f t="shared" si="122"/>
        <v>31170</v>
      </c>
      <c r="DJ38" s="128">
        <f t="shared" si="123"/>
        <v>12403100.513695596</v>
      </c>
      <c r="DK38" s="128">
        <f t="shared" si="34"/>
        <v>1116270</v>
      </c>
      <c r="DL38" s="128">
        <f t="shared" si="35"/>
        <v>493580</v>
      </c>
      <c r="DM38" s="128">
        <f t="shared" si="124"/>
        <v>31950</v>
      </c>
      <c r="DN38" s="40">
        <f t="shared" si="125"/>
        <v>12713178.026537985</v>
      </c>
      <c r="DO38" s="40">
        <f t="shared" si="36"/>
        <v>1144180</v>
      </c>
      <c r="DP38" s="40">
        <f t="shared" si="37"/>
        <v>505920</v>
      </c>
      <c r="DQ38" s="40">
        <f t="shared" si="126"/>
        <v>32750</v>
      </c>
      <c r="DR38" s="128">
        <f t="shared" si="127"/>
        <v>13031007.477201434</v>
      </c>
      <c r="DS38" s="128">
        <f t="shared" si="38"/>
        <v>1172790</v>
      </c>
      <c r="DT38" s="128">
        <f t="shared" si="39"/>
        <v>518570</v>
      </c>
      <c r="DU38" s="128">
        <f t="shared" si="128"/>
        <v>33570</v>
      </c>
      <c r="DV38" s="40">
        <f t="shared" si="129"/>
        <v>13356782.664131468</v>
      </c>
      <c r="DW38" s="40">
        <f t="shared" si="40"/>
        <v>1202110</v>
      </c>
      <c r="DX38" s="40">
        <f t="shared" si="41"/>
        <v>531530</v>
      </c>
      <c r="DY38" s="40">
        <f t="shared" si="130"/>
        <v>34410</v>
      </c>
      <c r="DZ38" s="128">
        <f t="shared" si="131"/>
        <v>13690702.230734754</v>
      </c>
      <c r="EA38" s="128">
        <f t="shared" si="42"/>
        <v>1232160</v>
      </c>
      <c r="EB38" s="128">
        <f t="shared" si="43"/>
        <v>544820</v>
      </c>
      <c r="EC38" s="128">
        <f t="shared" si="132"/>
        <v>35270</v>
      </c>
      <c r="ED38" s="40">
        <f t="shared" si="133"/>
        <v>14032969.786503121</v>
      </c>
      <c r="EE38" s="40">
        <f t="shared" si="44"/>
        <v>1262960</v>
      </c>
      <c r="EF38" s="40">
        <f t="shared" si="45"/>
        <v>558440</v>
      </c>
      <c r="EG38" s="40">
        <f t="shared" si="134"/>
        <v>36150</v>
      </c>
      <c r="EH38" s="128">
        <f t="shared" si="135"/>
        <v>14383794.031165699</v>
      </c>
      <c r="EI38" s="128">
        <f t="shared" si="46"/>
        <v>1294540</v>
      </c>
      <c r="EJ38" s="128">
        <f t="shared" si="47"/>
        <v>572400</v>
      </c>
      <c r="EK38" s="128">
        <f t="shared" si="136"/>
        <v>37060</v>
      </c>
      <c r="EL38" s="40">
        <f t="shared" si="137"/>
        <v>14743388.881944839</v>
      </c>
      <c r="EM38" s="40">
        <f t="shared" si="48"/>
        <v>1326900</v>
      </c>
      <c r="EN38" s="40">
        <f t="shared" si="49"/>
        <v>586710</v>
      </c>
      <c r="EO38" s="40">
        <f t="shared" si="138"/>
        <v>37980</v>
      </c>
      <c r="EP38" s="128">
        <f t="shared" si="139"/>
        <v>15111973.603993459</v>
      </c>
      <c r="EQ38" s="128">
        <f t="shared" si="50"/>
        <v>1360070</v>
      </c>
      <c r="ER38" s="128">
        <f t="shared" si="51"/>
        <v>601380</v>
      </c>
      <c r="ES38" s="128">
        <f t="shared" si="140"/>
        <v>38930</v>
      </c>
      <c r="ET38" s="40">
        <f t="shared" si="141"/>
        <v>15489772.944093294</v>
      </c>
      <c r="EU38" s="40">
        <f t="shared" si="52"/>
        <v>1394070</v>
      </c>
      <c r="EV38" s="40">
        <f t="shared" si="53"/>
        <v>616420</v>
      </c>
      <c r="EW38" s="40">
        <f t="shared" si="142"/>
        <v>39910</v>
      </c>
      <c r="EX38" s="128">
        <f t="shared" si="143"/>
        <v>15877017.267695626</v>
      </c>
      <c r="EY38" s="128">
        <f t="shared" si="54"/>
        <v>1428930</v>
      </c>
      <c r="EZ38" s="128">
        <f t="shared" si="55"/>
        <v>631830</v>
      </c>
      <c r="FA38" s="128">
        <f t="shared" si="144"/>
        <v>40910</v>
      </c>
      <c r="FB38" s="40">
        <f t="shared" si="145"/>
        <v>16273942.699388016</v>
      </c>
      <c r="FC38" s="40">
        <f t="shared" si="56"/>
        <v>1464650</v>
      </c>
      <c r="FD38" s="40">
        <f t="shared" si="57"/>
        <v>647620</v>
      </c>
      <c r="FE38" s="40">
        <f t="shared" si="146"/>
        <v>41930</v>
      </c>
      <c r="FF38" s="128">
        <f t="shared" si="147"/>
        <v>16680791.266872715</v>
      </c>
      <c r="FG38" s="128">
        <f t="shared" si="58"/>
        <v>1501270</v>
      </c>
      <c r="FH38" s="128">
        <f t="shared" si="59"/>
        <v>663810</v>
      </c>
      <c r="FI38" s="128">
        <f t="shared" si="148"/>
        <v>42980</v>
      </c>
      <c r="FJ38" s="40">
        <f t="shared" si="149"/>
        <v>17097811.04854453</v>
      </c>
      <c r="FK38" s="40">
        <f t="shared" si="60"/>
        <v>1538800</v>
      </c>
      <c r="FL38" s="40">
        <f t="shared" si="61"/>
        <v>680410</v>
      </c>
      <c r="FM38" s="40">
        <f t="shared" si="150"/>
        <v>44050</v>
      </c>
      <c r="FN38" s="128">
        <f t="shared" si="151"/>
        <v>17525256.324758142</v>
      </c>
      <c r="FO38" s="128">
        <f t="shared" si="62"/>
        <v>1577270</v>
      </c>
      <c r="FP38" s="128">
        <f t="shared" si="63"/>
        <v>697420</v>
      </c>
      <c r="FQ38" s="128">
        <f t="shared" si="152"/>
        <v>45150</v>
      </c>
      <c r="FR38" s="40">
        <f t="shared" si="153"/>
        <v>17963387.732877094</v>
      </c>
      <c r="FS38" s="40">
        <f t="shared" si="64"/>
        <v>1616700</v>
      </c>
      <c r="FT38" s="40">
        <f t="shared" si="65"/>
        <v>714850</v>
      </c>
      <c r="FU38" s="40">
        <f t="shared" si="154"/>
        <v>46280</v>
      </c>
      <c r="FV38" s="128">
        <f t="shared" si="155"/>
        <v>18412472.426199019</v>
      </c>
      <c r="FW38" s="128">
        <f t="shared" si="66"/>
        <v>1657120</v>
      </c>
      <c r="FX38" s="128">
        <f t="shared" si="67"/>
        <v>732730</v>
      </c>
      <c r="FY38" s="128">
        <f t="shared" si="156"/>
        <v>47440</v>
      </c>
      <c r="FZ38" s="40">
        <f t="shared" si="157"/>
        <v>18872784.236853994</v>
      </c>
      <c r="GA38" s="40">
        <f t="shared" si="68"/>
        <v>1698550</v>
      </c>
      <c r="GB38" s="40">
        <f t="shared" si="69"/>
        <v>751040</v>
      </c>
      <c r="GC38" s="40">
        <f t="shared" si="158"/>
        <v>48620</v>
      </c>
      <c r="GD38" s="128">
        <f t="shared" si="159"/>
        <v>19344603.842775341</v>
      </c>
      <c r="GE38" s="128">
        <f t="shared" si="70"/>
        <v>1741010</v>
      </c>
      <c r="GF38" s="128">
        <f t="shared" si="71"/>
        <v>769820</v>
      </c>
      <c r="GG38" s="128">
        <f t="shared" si="160"/>
        <v>49840</v>
      </c>
      <c r="GH38" s="40">
        <f t="shared" si="161"/>
        <v>19828218.938844722</v>
      </c>
      <c r="GI38" s="40">
        <f t="shared" si="72"/>
        <v>1784530</v>
      </c>
      <c r="GJ38" s="40">
        <f t="shared" si="73"/>
        <v>789070</v>
      </c>
      <c r="GK38" s="40">
        <f t="shared" si="162"/>
        <v>51090</v>
      </c>
      <c r="GL38" s="128">
        <f t="shared" si="163"/>
        <v>20323924.412315838</v>
      </c>
      <c r="GM38" s="128">
        <f t="shared" si="74"/>
        <v>1829150</v>
      </c>
      <c r="GN38" s="128">
        <f t="shared" si="75"/>
        <v>808790</v>
      </c>
      <c r="GO38" s="128">
        <f t="shared" si="164"/>
        <v>52360</v>
      </c>
      <c r="GP38" s="40">
        <f t="shared" si="165"/>
        <v>20832022.522623733</v>
      </c>
      <c r="GQ38" s="40">
        <f t="shared" si="76"/>
        <v>1874880</v>
      </c>
      <c r="GR38" s="40">
        <f t="shared" si="77"/>
        <v>829010</v>
      </c>
      <c r="GS38" s="40">
        <f t="shared" si="166"/>
        <v>53670</v>
      </c>
      <c r="GT38" s="128">
        <f t="shared" si="167"/>
        <v>21352823.085689325</v>
      </c>
      <c r="GU38" s="128">
        <f t="shared" si="78"/>
        <v>1921750</v>
      </c>
      <c r="GV38" s="128">
        <f t="shared" si="79"/>
        <v>849740</v>
      </c>
      <c r="GW38" s="128">
        <f t="shared" si="168"/>
        <v>55020</v>
      </c>
      <c r="GX38" s="40">
        <f t="shared" si="169"/>
        <v>21886643.662831556</v>
      </c>
      <c r="GY38" s="40">
        <f t="shared" si="80"/>
        <v>1969790</v>
      </c>
      <c r="GZ38" s="40">
        <f t="shared" si="81"/>
        <v>870980</v>
      </c>
      <c r="HA38" s="40">
        <f t="shared" si="170"/>
        <v>56390</v>
      </c>
      <c r="HB38" s="128" t="e">
        <f t="shared" si="171"/>
        <v>#REF!</v>
      </c>
      <c r="HC38" s="128" t="e">
        <f t="shared" si="82"/>
        <v>#REF!</v>
      </c>
      <c r="HD38" s="128" t="e">
        <f t="shared" si="83"/>
        <v>#REF!</v>
      </c>
      <c r="HE38" s="128" t="e">
        <f t="shared" si="172"/>
        <v>#REF!</v>
      </c>
    </row>
    <row r="39" spans="1:213">
      <c r="A39" s="2"/>
      <c r="B39" s="8"/>
      <c r="C39" s="71"/>
      <c r="D39" s="61"/>
      <c r="E39" s="63"/>
      <c r="F39" s="49"/>
      <c r="G39" s="87"/>
      <c r="H39" s="45"/>
      <c r="K39" s="28">
        <v>11</v>
      </c>
      <c r="N39" s="137">
        <v>35</v>
      </c>
      <c r="P39" s="141"/>
      <c r="Q39" s="99"/>
      <c r="R39" s="25" t="s">
        <v>565</v>
      </c>
      <c r="S39" s="719">
        <v>190000</v>
      </c>
      <c r="T39" s="97"/>
      <c r="V39" s="42"/>
      <c r="W39" s="101"/>
      <c r="Y39" s="25">
        <v>1</v>
      </c>
      <c r="AD39" s="26"/>
      <c r="AE39" s="27"/>
      <c r="AF39" s="778"/>
      <c r="AG39" s="28"/>
      <c r="AH39" s="28"/>
      <c r="AJ39" s="41">
        <v>32</v>
      </c>
      <c r="AK39" s="41">
        <v>42</v>
      </c>
      <c r="AL39" s="890">
        <v>7836660</v>
      </c>
      <c r="AM39" s="40">
        <f t="shared" si="84"/>
        <v>705300</v>
      </c>
      <c r="AN39" s="40">
        <v>254470</v>
      </c>
      <c r="AO39" s="40">
        <v>26080</v>
      </c>
      <c r="AP39" s="891">
        <f t="shared" si="85"/>
        <v>7969880</v>
      </c>
      <c r="AQ39" s="131">
        <f t="shared" si="86"/>
        <v>717290</v>
      </c>
      <c r="AR39" s="130">
        <f t="shared" si="87"/>
        <v>282530</v>
      </c>
      <c r="AS39" s="128">
        <f t="shared" si="88"/>
        <v>18290</v>
      </c>
      <c r="AT39" s="40">
        <f t="shared" si="89"/>
        <v>8248825.7999999998</v>
      </c>
      <c r="AU39" s="40">
        <f t="shared" si="0"/>
        <v>742390</v>
      </c>
      <c r="AV39" s="40">
        <f t="shared" si="1"/>
        <v>297390</v>
      </c>
      <c r="AW39" s="40">
        <f t="shared" si="90"/>
        <v>19250</v>
      </c>
      <c r="AX39" s="128">
        <f t="shared" si="91"/>
        <v>8455046.4449999984</v>
      </c>
      <c r="AY39" s="128">
        <f t="shared" si="2"/>
        <v>760950</v>
      </c>
      <c r="AZ39" s="128">
        <f t="shared" si="3"/>
        <v>304820</v>
      </c>
      <c r="BA39" s="128">
        <f t="shared" si="92"/>
        <v>19730</v>
      </c>
      <c r="BB39" s="40">
        <f t="shared" si="93"/>
        <v>8666422.6061249971</v>
      </c>
      <c r="BC39" s="40">
        <f t="shared" si="4"/>
        <v>779970</v>
      </c>
      <c r="BD39" s="40">
        <f t="shared" si="5"/>
        <v>320250</v>
      </c>
      <c r="BE39" s="40">
        <f t="shared" si="94"/>
        <v>20730</v>
      </c>
      <c r="BF39" s="128">
        <f t="shared" si="95"/>
        <v>8883083.1712781209</v>
      </c>
      <c r="BG39" s="128">
        <f t="shared" si="6"/>
        <v>799470</v>
      </c>
      <c r="BH39" s="128">
        <f t="shared" si="7"/>
        <v>328260</v>
      </c>
      <c r="BI39" s="128">
        <f t="shared" si="96"/>
        <v>21250</v>
      </c>
      <c r="BJ39" s="40">
        <f t="shared" si="97"/>
        <v>9105160.2505600732</v>
      </c>
      <c r="BK39" s="40">
        <f t="shared" si="8"/>
        <v>819460</v>
      </c>
      <c r="BL39" s="40">
        <f t="shared" si="9"/>
        <v>344880</v>
      </c>
      <c r="BM39" s="40">
        <f t="shared" si="98"/>
        <v>22330</v>
      </c>
      <c r="BN39" s="128">
        <f t="shared" si="99"/>
        <v>9332789.2568240743</v>
      </c>
      <c r="BO39" s="128">
        <f t="shared" si="10"/>
        <v>839950</v>
      </c>
      <c r="BP39" s="128">
        <f t="shared" si="11"/>
        <v>362340</v>
      </c>
      <c r="BQ39" s="128">
        <f t="shared" si="100"/>
        <v>23460</v>
      </c>
      <c r="BR39" s="40">
        <f t="shared" si="101"/>
        <v>9566108.9882446751</v>
      </c>
      <c r="BS39" s="40">
        <f t="shared" si="12"/>
        <v>860940</v>
      </c>
      <c r="BT39" s="40">
        <f t="shared" si="13"/>
        <v>371400</v>
      </c>
      <c r="BU39" s="40">
        <f t="shared" si="102"/>
        <v>24040</v>
      </c>
      <c r="BV39" s="128">
        <f t="shared" si="103"/>
        <v>9805261.7129507903</v>
      </c>
      <c r="BW39" s="128">
        <f t="shared" si="14"/>
        <v>882470</v>
      </c>
      <c r="BX39" s="128">
        <f t="shared" si="15"/>
        <v>390200</v>
      </c>
      <c r="BY39" s="128">
        <f t="shared" si="104"/>
        <v>25260</v>
      </c>
      <c r="BZ39" s="40">
        <f t="shared" si="105"/>
        <v>10050393.255774559</v>
      </c>
      <c r="CA39" s="40">
        <f t="shared" si="16"/>
        <v>904530</v>
      </c>
      <c r="CB39" s="40">
        <f t="shared" si="17"/>
        <v>399950</v>
      </c>
      <c r="CC39" s="40">
        <f t="shared" si="106"/>
        <v>25890</v>
      </c>
      <c r="CD39" s="128">
        <f t="shared" si="107"/>
        <v>10301653.087168923</v>
      </c>
      <c r="CE39" s="128">
        <f t="shared" si="18"/>
        <v>927140</v>
      </c>
      <c r="CF39" s="128">
        <f t="shared" si="19"/>
        <v>409950</v>
      </c>
      <c r="CG39" s="128">
        <f t="shared" si="108"/>
        <v>26540</v>
      </c>
      <c r="CH39" s="40">
        <f t="shared" si="109"/>
        <v>10559194.414348144</v>
      </c>
      <c r="CI39" s="40">
        <f t="shared" si="20"/>
        <v>950320</v>
      </c>
      <c r="CJ39" s="40">
        <f t="shared" si="21"/>
        <v>420200</v>
      </c>
      <c r="CK39" s="40">
        <f t="shared" si="110"/>
        <v>27200</v>
      </c>
      <c r="CL39" s="128">
        <f t="shared" si="111"/>
        <v>10823174.274706846</v>
      </c>
      <c r="CM39" s="128">
        <f t="shared" si="22"/>
        <v>974080</v>
      </c>
      <c r="CN39" s="128">
        <f t="shared" si="23"/>
        <v>430710</v>
      </c>
      <c r="CO39" s="128">
        <f t="shared" si="112"/>
        <v>27880</v>
      </c>
      <c r="CP39" s="40">
        <f t="shared" si="113"/>
        <v>11093753.631574517</v>
      </c>
      <c r="CQ39" s="40">
        <f t="shared" si="24"/>
        <v>998430</v>
      </c>
      <c r="CR39" s="40">
        <f t="shared" si="25"/>
        <v>441480</v>
      </c>
      <c r="CS39" s="40">
        <f t="shared" si="114"/>
        <v>28580</v>
      </c>
      <c r="CT39" s="128">
        <f t="shared" si="115"/>
        <v>11371097.47236388</v>
      </c>
      <c r="CU39" s="128">
        <f t="shared" si="26"/>
        <v>1023390</v>
      </c>
      <c r="CV39" s="128">
        <f t="shared" si="27"/>
        <v>452510</v>
      </c>
      <c r="CW39" s="128">
        <f t="shared" si="116"/>
        <v>29300</v>
      </c>
      <c r="CX39" s="40">
        <f t="shared" si="117"/>
        <v>11655374.909172976</v>
      </c>
      <c r="CY39" s="40">
        <f t="shared" si="28"/>
        <v>1048980</v>
      </c>
      <c r="CZ39" s="40">
        <f t="shared" si="29"/>
        <v>463830</v>
      </c>
      <c r="DA39" s="40">
        <f t="shared" si="118"/>
        <v>30030</v>
      </c>
      <c r="DB39" s="128">
        <f t="shared" si="119"/>
        <v>11946759.2819023</v>
      </c>
      <c r="DC39" s="128">
        <f t="shared" si="30"/>
        <v>1075200</v>
      </c>
      <c r="DD39" s="128">
        <f t="shared" si="31"/>
        <v>475420</v>
      </c>
      <c r="DE39" s="128">
        <f t="shared" si="120"/>
        <v>30780</v>
      </c>
      <c r="DF39" s="40">
        <f t="shared" si="121"/>
        <v>12245428.263949856</v>
      </c>
      <c r="DG39" s="40">
        <f t="shared" si="32"/>
        <v>1102080</v>
      </c>
      <c r="DH39" s="40">
        <f t="shared" si="33"/>
        <v>487310</v>
      </c>
      <c r="DI39" s="40">
        <f t="shared" si="122"/>
        <v>31550</v>
      </c>
      <c r="DJ39" s="128">
        <f t="shared" si="123"/>
        <v>12551563.970548602</v>
      </c>
      <c r="DK39" s="128">
        <f t="shared" si="34"/>
        <v>1129640</v>
      </c>
      <c r="DL39" s="128">
        <f t="shared" si="35"/>
        <v>499490</v>
      </c>
      <c r="DM39" s="128">
        <f t="shared" si="124"/>
        <v>32340</v>
      </c>
      <c r="DN39" s="40">
        <f t="shared" si="125"/>
        <v>12865353.069812316</v>
      </c>
      <c r="DO39" s="40">
        <f t="shared" si="36"/>
        <v>1157880</v>
      </c>
      <c r="DP39" s="40">
        <f t="shared" si="37"/>
        <v>511980</v>
      </c>
      <c r="DQ39" s="40">
        <f t="shared" si="126"/>
        <v>33150</v>
      </c>
      <c r="DR39" s="128">
        <f t="shared" si="127"/>
        <v>13186986.896557624</v>
      </c>
      <c r="DS39" s="128">
        <f t="shared" si="38"/>
        <v>1186820</v>
      </c>
      <c r="DT39" s="128">
        <f t="shared" si="39"/>
        <v>524780</v>
      </c>
      <c r="DU39" s="128">
        <f t="shared" si="128"/>
        <v>33970</v>
      </c>
      <c r="DV39" s="40">
        <f t="shared" si="129"/>
        <v>13516661.568971563</v>
      </c>
      <c r="DW39" s="40">
        <f t="shared" si="40"/>
        <v>1216490</v>
      </c>
      <c r="DX39" s="40">
        <f t="shared" si="41"/>
        <v>537900</v>
      </c>
      <c r="DY39" s="40">
        <f t="shared" si="130"/>
        <v>34820</v>
      </c>
      <c r="DZ39" s="128">
        <f t="shared" si="131"/>
        <v>13854578.108195851</v>
      </c>
      <c r="EA39" s="128">
        <f t="shared" si="42"/>
        <v>1246910</v>
      </c>
      <c r="EB39" s="128">
        <f t="shared" si="43"/>
        <v>551340</v>
      </c>
      <c r="EC39" s="128">
        <f t="shared" si="132"/>
        <v>35690</v>
      </c>
      <c r="ED39" s="40">
        <f t="shared" si="133"/>
        <v>14200942.560900746</v>
      </c>
      <c r="EE39" s="40">
        <f t="shared" si="44"/>
        <v>1278080</v>
      </c>
      <c r="EF39" s="40">
        <f t="shared" si="45"/>
        <v>565130</v>
      </c>
      <c r="EG39" s="40">
        <f t="shared" si="134"/>
        <v>36590</v>
      </c>
      <c r="EH39" s="128">
        <f t="shared" si="135"/>
        <v>14555966.124923263</v>
      </c>
      <c r="EI39" s="128">
        <f t="shared" si="46"/>
        <v>1310030</v>
      </c>
      <c r="EJ39" s="128">
        <f t="shared" si="47"/>
        <v>579260</v>
      </c>
      <c r="EK39" s="128">
        <f t="shared" si="136"/>
        <v>37500</v>
      </c>
      <c r="EL39" s="40">
        <f t="shared" si="137"/>
        <v>14919865.278046343</v>
      </c>
      <c r="EM39" s="40">
        <f t="shared" si="48"/>
        <v>1342780</v>
      </c>
      <c r="EN39" s="40">
        <f t="shared" si="49"/>
        <v>593740</v>
      </c>
      <c r="EO39" s="40">
        <f t="shared" si="138"/>
        <v>38440</v>
      </c>
      <c r="EP39" s="128">
        <f t="shared" si="139"/>
        <v>15292861.9099975</v>
      </c>
      <c r="EQ39" s="128">
        <f t="shared" si="50"/>
        <v>1376350</v>
      </c>
      <c r="ER39" s="128">
        <f t="shared" si="51"/>
        <v>608580</v>
      </c>
      <c r="ES39" s="128">
        <f t="shared" si="140"/>
        <v>39400</v>
      </c>
      <c r="ET39" s="40">
        <f t="shared" si="141"/>
        <v>15675183.457747437</v>
      </c>
      <c r="EU39" s="40">
        <f t="shared" si="52"/>
        <v>1410760</v>
      </c>
      <c r="EV39" s="40">
        <f t="shared" si="53"/>
        <v>623790</v>
      </c>
      <c r="EW39" s="40">
        <f t="shared" si="142"/>
        <v>40390</v>
      </c>
      <c r="EX39" s="128">
        <f t="shared" si="143"/>
        <v>16067063.044191122</v>
      </c>
      <c r="EY39" s="128">
        <f t="shared" si="54"/>
        <v>1446030</v>
      </c>
      <c r="EZ39" s="128">
        <f t="shared" si="55"/>
        <v>639390</v>
      </c>
      <c r="FA39" s="128">
        <f t="shared" si="144"/>
        <v>41400</v>
      </c>
      <c r="FB39" s="40">
        <f t="shared" si="145"/>
        <v>16468739.620295899</v>
      </c>
      <c r="FC39" s="40">
        <f t="shared" si="56"/>
        <v>1482180</v>
      </c>
      <c r="FD39" s="40">
        <f t="shared" si="57"/>
        <v>655370</v>
      </c>
      <c r="FE39" s="40">
        <f t="shared" si="146"/>
        <v>42430</v>
      </c>
      <c r="FF39" s="128">
        <f t="shared" si="147"/>
        <v>16880458.110803295</v>
      </c>
      <c r="FG39" s="128">
        <f t="shared" si="58"/>
        <v>1519240</v>
      </c>
      <c r="FH39" s="128">
        <f t="shared" si="59"/>
        <v>671760</v>
      </c>
      <c r="FI39" s="128">
        <f t="shared" si="148"/>
        <v>43490</v>
      </c>
      <c r="FJ39" s="40">
        <f t="shared" si="149"/>
        <v>17302469.563573375</v>
      </c>
      <c r="FK39" s="40">
        <f t="shared" si="60"/>
        <v>1557220</v>
      </c>
      <c r="FL39" s="40">
        <f t="shared" si="61"/>
        <v>688550</v>
      </c>
      <c r="FM39" s="40">
        <f t="shared" si="150"/>
        <v>44580</v>
      </c>
      <c r="FN39" s="128">
        <f t="shared" si="151"/>
        <v>17735031.302662708</v>
      </c>
      <c r="FO39" s="128">
        <f t="shared" si="62"/>
        <v>1596150</v>
      </c>
      <c r="FP39" s="128">
        <f t="shared" si="63"/>
        <v>705770</v>
      </c>
      <c r="FQ39" s="128">
        <f t="shared" si="152"/>
        <v>45690</v>
      </c>
      <c r="FR39" s="40">
        <f t="shared" si="153"/>
        <v>18178407.085229274</v>
      </c>
      <c r="FS39" s="40">
        <f t="shared" si="64"/>
        <v>1636050</v>
      </c>
      <c r="FT39" s="40">
        <f t="shared" si="65"/>
        <v>723410</v>
      </c>
      <c r="FU39" s="40">
        <f t="shared" si="154"/>
        <v>46840</v>
      </c>
      <c r="FV39" s="128">
        <f t="shared" si="155"/>
        <v>18632867.262360003</v>
      </c>
      <c r="FW39" s="128">
        <f t="shared" si="66"/>
        <v>1676950</v>
      </c>
      <c r="FX39" s="128">
        <f t="shared" si="67"/>
        <v>741500</v>
      </c>
      <c r="FY39" s="128">
        <f t="shared" si="156"/>
        <v>48010</v>
      </c>
      <c r="FZ39" s="40">
        <f t="shared" si="157"/>
        <v>19098688.943919003</v>
      </c>
      <c r="GA39" s="40">
        <f t="shared" si="68"/>
        <v>1718880</v>
      </c>
      <c r="GB39" s="40">
        <f t="shared" si="69"/>
        <v>760030</v>
      </c>
      <c r="GC39" s="40">
        <f t="shared" si="158"/>
        <v>49210</v>
      </c>
      <c r="GD39" s="128">
        <f t="shared" si="159"/>
        <v>19576156.167516977</v>
      </c>
      <c r="GE39" s="128">
        <f t="shared" si="70"/>
        <v>1761850</v>
      </c>
      <c r="GF39" s="128">
        <f t="shared" si="71"/>
        <v>779040</v>
      </c>
      <c r="GG39" s="128">
        <f t="shared" si="160"/>
        <v>50440</v>
      </c>
      <c r="GH39" s="40">
        <f t="shared" si="161"/>
        <v>20065560.071704898</v>
      </c>
      <c r="GI39" s="40">
        <f t="shared" si="72"/>
        <v>1805900</v>
      </c>
      <c r="GJ39" s="40">
        <f t="shared" si="73"/>
        <v>798510</v>
      </c>
      <c r="GK39" s="40">
        <f t="shared" si="162"/>
        <v>51700</v>
      </c>
      <c r="GL39" s="128">
        <f t="shared" si="163"/>
        <v>20567199.073497519</v>
      </c>
      <c r="GM39" s="128">
        <f t="shared" si="74"/>
        <v>1851040</v>
      </c>
      <c r="GN39" s="128">
        <f t="shared" si="75"/>
        <v>818470</v>
      </c>
      <c r="GO39" s="128">
        <f t="shared" si="164"/>
        <v>52990</v>
      </c>
      <c r="GP39" s="40">
        <f t="shared" si="165"/>
        <v>21081379.050334956</v>
      </c>
      <c r="GQ39" s="40">
        <f t="shared" si="76"/>
        <v>1897320</v>
      </c>
      <c r="GR39" s="40">
        <f t="shared" si="77"/>
        <v>838940</v>
      </c>
      <c r="GS39" s="40">
        <f t="shared" si="166"/>
        <v>54320</v>
      </c>
      <c r="GT39" s="128">
        <f t="shared" si="167"/>
        <v>21608413.526593328</v>
      </c>
      <c r="GU39" s="128">
        <f t="shared" si="78"/>
        <v>1944750</v>
      </c>
      <c r="GV39" s="128">
        <f t="shared" si="79"/>
        <v>859910</v>
      </c>
      <c r="GW39" s="128">
        <f t="shared" si="168"/>
        <v>55670</v>
      </c>
      <c r="GX39" s="40">
        <f t="shared" si="169"/>
        <v>22148623.86475816</v>
      </c>
      <c r="GY39" s="40">
        <f t="shared" si="80"/>
        <v>1993370</v>
      </c>
      <c r="GZ39" s="40">
        <f t="shared" si="81"/>
        <v>881410</v>
      </c>
      <c r="HA39" s="40">
        <f t="shared" si="170"/>
        <v>57070</v>
      </c>
      <c r="HB39" s="128" t="e">
        <f t="shared" si="171"/>
        <v>#REF!</v>
      </c>
      <c r="HC39" s="128" t="e">
        <f t="shared" si="82"/>
        <v>#REF!</v>
      </c>
      <c r="HD39" s="128" t="e">
        <f t="shared" si="83"/>
        <v>#REF!</v>
      </c>
      <c r="HE39" s="128" t="e">
        <f t="shared" si="172"/>
        <v>#REF!</v>
      </c>
    </row>
    <row r="40" spans="1:213">
      <c r="A40" s="2"/>
      <c r="B40" s="8"/>
      <c r="C40" s="71"/>
      <c r="D40" s="61"/>
      <c r="E40" s="63"/>
      <c r="F40" s="49"/>
      <c r="G40" s="87"/>
      <c r="H40" s="45"/>
      <c r="N40" s="137">
        <v>36</v>
      </c>
      <c r="P40" s="141"/>
      <c r="Q40" s="99"/>
      <c r="R40" s="25" t="s">
        <v>545</v>
      </c>
      <c r="S40" s="719">
        <v>200000</v>
      </c>
      <c r="T40" s="97"/>
      <c r="V40" s="42"/>
      <c r="W40" s="101"/>
      <c r="AD40" s="26"/>
      <c r="AE40" s="27"/>
      <c r="AF40" s="778"/>
      <c r="AG40" s="28"/>
      <c r="AH40" s="28"/>
      <c r="AJ40" s="41">
        <v>33</v>
      </c>
      <c r="AK40" s="41">
        <v>43</v>
      </c>
      <c r="AL40" s="890">
        <v>7939110</v>
      </c>
      <c r="AM40" s="40">
        <f t="shared" si="84"/>
        <v>714520</v>
      </c>
      <c r="AN40" s="40">
        <v>257790</v>
      </c>
      <c r="AO40" s="40">
        <v>26420</v>
      </c>
      <c r="AP40" s="891">
        <f t="shared" si="85"/>
        <v>8074070</v>
      </c>
      <c r="AQ40" s="131">
        <f t="shared" si="86"/>
        <v>726670</v>
      </c>
      <c r="AR40" s="130">
        <f t="shared" si="87"/>
        <v>286230</v>
      </c>
      <c r="AS40" s="128">
        <f t="shared" si="88"/>
        <v>18530</v>
      </c>
      <c r="AT40" s="40">
        <f t="shared" si="89"/>
        <v>8356662.4499999993</v>
      </c>
      <c r="AU40" s="40">
        <f t="shared" si="0"/>
        <v>752090</v>
      </c>
      <c r="AV40" s="40">
        <f t="shared" si="1"/>
        <v>301270</v>
      </c>
      <c r="AW40" s="40">
        <f t="shared" si="90"/>
        <v>19500</v>
      </c>
      <c r="AX40" s="128">
        <f t="shared" si="91"/>
        <v>8565579.0112499986</v>
      </c>
      <c r="AY40" s="128">
        <f t="shared" si="2"/>
        <v>770900</v>
      </c>
      <c r="AZ40" s="128">
        <f t="shared" si="3"/>
        <v>308810</v>
      </c>
      <c r="BA40" s="128">
        <f t="shared" si="92"/>
        <v>19990</v>
      </c>
      <c r="BB40" s="40">
        <f t="shared" si="93"/>
        <v>8779718.4865312483</v>
      </c>
      <c r="BC40" s="40">
        <f t="shared" si="4"/>
        <v>790170</v>
      </c>
      <c r="BD40" s="40">
        <f t="shared" si="5"/>
        <v>324440</v>
      </c>
      <c r="BE40" s="40">
        <f t="shared" si="94"/>
        <v>21000</v>
      </c>
      <c r="BF40" s="128">
        <f t="shared" si="95"/>
        <v>8999211.448694529</v>
      </c>
      <c r="BG40" s="128">
        <f t="shared" si="6"/>
        <v>809920</v>
      </c>
      <c r="BH40" s="128">
        <f t="shared" si="7"/>
        <v>332550</v>
      </c>
      <c r="BI40" s="128">
        <f t="shared" si="96"/>
        <v>21530</v>
      </c>
      <c r="BJ40" s="40">
        <f t="shared" si="97"/>
        <v>9224191.7349118907</v>
      </c>
      <c r="BK40" s="40">
        <f t="shared" si="8"/>
        <v>830170</v>
      </c>
      <c r="BL40" s="40">
        <f t="shared" si="9"/>
        <v>349390</v>
      </c>
      <c r="BM40" s="40">
        <f t="shared" si="98"/>
        <v>22620</v>
      </c>
      <c r="BN40" s="128">
        <f t="shared" si="99"/>
        <v>9454796.5282846875</v>
      </c>
      <c r="BO40" s="128">
        <f t="shared" si="10"/>
        <v>850930</v>
      </c>
      <c r="BP40" s="128">
        <f t="shared" si="11"/>
        <v>367080</v>
      </c>
      <c r="BQ40" s="128">
        <f t="shared" si="100"/>
        <v>23760</v>
      </c>
      <c r="BR40" s="40">
        <f t="shared" si="101"/>
        <v>9691166.4414918032</v>
      </c>
      <c r="BS40" s="40">
        <f t="shared" si="12"/>
        <v>872200</v>
      </c>
      <c r="BT40" s="40">
        <f t="shared" si="13"/>
        <v>376250</v>
      </c>
      <c r="BU40" s="40">
        <f t="shared" si="102"/>
        <v>24360</v>
      </c>
      <c r="BV40" s="128">
        <f t="shared" si="103"/>
        <v>9933445.6025290973</v>
      </c>
      <c r="BW40" s="128">
        <f t="shared" si="14"/>
        <v>894010</v>
      </c>
      <c r="BX40" s="128">
        <f t="shared" si="15"/>
        <v>395300</v>
      </c>
      <c r="BY40" s="128">
        <f t="shared" si="104"/>
        <v>25590</v>
      </c>
      <c r="BZ40" s="40">
        <f t="shared" si="105"/>
        <v>10181781.742592324</v>
      </c>
      <c r="CA40" s="40">
        <f t="shared" si="16"/>
        <v>916360</v>
      </c>
      <c r="CB40" s="40">
        <f t="shared" si="17"/>
        <v>405180</v>
      </c>
      <c r="CC40" s="40">
        <f t="shared" si="106"/>
        <v>26230</v>
      </c>
      <c r="CD40" s="128">
        <f t="shared" si="107"/>
        <v>10436326.286157131</v>
      </c>
      <c r="CE40" s="128">
        <f t="shared" si="18"/>
        <v>939260</v>
      </c>
      <c r="CF40" s="128">
        <f t="shared" si="19"/>
        <v>415310</v>
      </c>
      <c r="CG40" s="128">
        <f t="shared" si="108"/>
        <v>26890</v>
      </c>
      <c r="CH40" s="40">
        <f t="shared" si="109"/>
        <v>10697234.443311058</v>
      </c>
      <c r="CI40" s="40">
        <f t="shared" si="20"/>
        <v>962750</v>
      </c>
      <c r="CJ40" s="40">
        <f t="shared" si="21"/>
        <v>425700</v>
      </c>
      <c r="CK40" s="40">
        <f t="shared" si="110"/>
        <v>27560</v>
      </c>
      <c r="CL40" s="128">
        <f t="shared" si="111"/>
        <v>10964665.304393834</v>
      </c>
      <c r="CM40" s="128">
        <f t="shared" si="22"/>
        <v>986810</v>
      </c>
      <c r="CN40" s="128">
        <f t="shared" si="23"/>
        <v>436340</v>
      </c>
      <c r="CO40" s="128">
        <f t="shared" si="112"/>
        <v>28250</v>
      </c>
      <c r="CP40" s="40">
        <f t="shared" si="113"/>
        <v>11238781.937003678</v>
      </c>
      <c r="CQ40" s="40">
        <f t="shared" si="24"/>
        <v>1011490</v>
      </c>
      <c r="CR40" s="40">
        <f t="shared" si="25"/>
        <v>447250</v>
      </c>
      <c r="CS40" s="40">
        <f t="shared" si="114"/>
        <v>28950</v>
      </c>
      <c r="CT40" s="128">
        <f t="shared" si="115"/>
        <v>11519751.485428769</v>
      </c>
      <c r="CU40" s="128">
        <f t="shared" si="26"/>
        <v>1036770</v>
      </c>
      <c r="CV40" s="128">
        <f t="shared" si="27"/>
        <v>458430</v>
      </c>
      <c r="CW40" s="128">
        <f t="shared" si="116"/>
        <v>29680</v>
      </c>
      <c r="CX40" s="40">
        <f t="shared" si="117"/>
        <v>11807745.272564488</v>
      </c>
      <c r="CY40" s="40">
        <f t="shared" si="28"/>
        <v>1062690</v>
      </c>
      <c r="CZ40" s="40">
        <f t="shared" si="29"/>
        <v>469890</v>
      </c>
      <c r="DA40" s="40">
        <f t="shared" si="118"/>
        <v>30420</v>
      </c>
      <c r="DB40" s="128">
        <f t="shared" si="119"/>
        <v>12102938.904378599</v>
      </c>
      <c r="DC40" s="128">
        <f t="shared" si="30"/>
        <v>1089260</v>
      </c>
      <c r="DD40" s="128">
        <f t="shared" si="31"/>
        <v>481640</v>
      </c>
      <c r="DE40" s="128">
        <f t="shared" si="120"/>
        <v>31180</v>
      </c>
      <c r="DF40" s="40">
        <f t="shared" si="121"/>
        <v>12405512.376988063</v>
      </c>
      <c r="DG40" s="40">
        <f t="shared" si="32"/>
        <v>1116490</v>
      </c>
      <c r="DH40" s="40">
        <f t="shared" si="33"/>
        <v>493680</v>
      </c>
      <c r="DI40" s="40">
        <f t="shared" si="122"/>
        <v>31960</v>
      </c>
      <c r="DJ40" s="128">
        <f t="shared" si="123"/>
        <v>12715650.186412763</v>
      </c>
      <c r="DK40" s="128">
        <f t="shared" si="34"/>
        <v>1144400</v>
      </c>
      <c r="DL40" s="128">
        <f t="shared" si="35"/>
        <v>506020</v>
      </c>
      <c r="DM40" s="128">
        <f t="shared" si="124"/>
        <v>32760</v>
      </c>
      <c r="DN40" s="40">
        <f t="shared" si="125"/>
        <v>13033541.441073081</v>
      </c>
      <c r="DO40" s="40">
        <f t="shared" si="36"/>
        <v>1173010</v>
      </c>
      <c r="DP40" s="40">
        <f t="shared" si="37"/>
        <v>518670</v>
      </c>
      <c r="DQ40" s="40">
        <f t="shared" si="126"/>
        <v>33580</v>
      </c>
      <c r="DR40" s="128">
        <f t="shared" si="127"/>
        <v>13359379.977099907</v>
      </c>
      <c r="DS40" s="128">
        <f t="shared" si="38"/>
        <v>1202340</v>
      </c>
      <c r="DT40" s="128">
        <f t="shared" si="39"/>
        <v>531640</v>
      </c>
      <c r="DU40" s="128">
        <f t="shared" si="128"/>
        <v>34420</v>
      </c>
      <c r="DV40" s="40">
        <f t="shared" si="129"/>
        <v>13693364.476527404</v>
      </c>
      <c r="DW40" s="40">
        <f t="shared" si="40"/>
        <v>1232400</v>
      </c>
      <c r="DX40" s="40">
        <f t="shared" si="41"/>
        <v>544930</v>
      </c>
      <c r="DY40" s="40">
        <f t="shared" si="130"/>
        <v>35280</v>
      </c>
      <c r="DZ40" s="128">
        <f t="shared" si="131"/>
        <v>14035698.588440588</v>
      </c>
      <c r="EA40" s="128">
        <f t="shared" si="42"/>
        <v>1263210</v>
      </c>
      <c r="EB40" s="128">
        <f t="shared" si="43"/>
        <v>558550</v>
      </c>
      <c r="EC40" s="128">
        <f t="shared" si="132"/>
        <v>36160</v>
      </c>
      <c r="ED40" s="40">
        <f t="shared" si="133"/>
        <v>14386591.053151602</v>
      </c>
      <c r="EE40" s="40">
        <f t="shared" si="44"/>
        <v>1294790</v>
      </c>
      <c r="EF40" s="40">
        <f t="shared" si="45"/>
        <v>572510</v>
      </c>
      <c r="EG40" s="40">
        <f t="shared" si="134"/>
        <v>37070</v>
      </c>
      <c r="EH40" s="128">
        <f t="shared" si="135"/>
        <v>14746255.829480391</v>
      </c>
      <c r="EI40" s="128">
        <f t="shared" si="46"/>
        <v>1327160</v>
      </c>
      <c r="EJ40" s="128">
        <f t="shared" si="47"/>
        <v>586830</v>
      </c>
      <c r="EK40" s="128">
        <f t="shared" si="136"/>
        <v>37990</v>
      </c>
      <c r="EL40" s="40">
        <f t="shared" si="137"/>
        <v>15114912.2252174</v>
      </c>
      <c r="EM40" s="40">
        <f t="shared" si="48"/>
        <v>1360340</v>
      </c>
      <c r="EN40" s="40">
        <f t="shared" si="49"/>
        <v>601500</v>
      </c>
      <c r="EO40" s="40">
        <f t="shared" si="138"/>
        <v>38940</v>
      </c>
      <c r="EP40" s="128">
        <f t="shared" si="139"/>
        <v>15492785.030847834</v>
      </c>
      <c r="EQ40" s="128">
        <f t="shared" si="50"/>
        <v>1394350</v>
      </c>
      <c r="ER40" s="128">
        <f t="shared" si="51"/>
        <v>616540</v>
      </c>
      <c r="ES40" s="128">
        <f t="shared" si="140"/>
        <v>39920</v>
      </c>
      <c r="ET40" s="40">
        <f t="shared" si="141"/>
        <v>15880104.656619029</v>
      </c>
      <c r="EU40" s="40">
        <f t="shared" si="52"/>
        <v>1429200</v>
      </c>
      <c r="EV40" s="40">
        <f t="shared" si="53"/>
        <v>631950</v>
      </c>
      <c r="EW40" s="40">
        <f t="shared" si="142"/>
        <v>40910</v>
      </c>
      <c r="EX40" s="128">
        <f t="shared" si="143"/>
        <v>16277107.273034504</v>
      </c>
      <c r="EY40" s="128">
        <f t="shared" si="54"/>
        <v>1464930</v>
      </c>
      <c r="EZ40" s="128">
        <f t="shared" si="55"/>
        <v>647750</v>
      </c>
      <c r="FA40" s="128">
        <f t="shared" si="144"/>
        <v>41940</v>
      </c>
      <c r="FB40" s="40">
        <f t="shared" si="145"/>
        <v>16684034.954860365</v>
      </c>
      <c r="FC40" s="40">
        <f t="shared" si="56"/>
        <v>1501560</v>
      </c>
      <c r="FD40" s="40">
        <f t="shared" si="57"/>
        <v>663940</v>
      </c>
      <c r="FE40" s="40">
        <f t="shared" si="146"/>
        <v>42990</v>
      </c>
      <c r="FF40" s="128">
        <f t="shared" si="147"/>
        <v>17101135.828731872</v>
      </c>
      <c r="FG40" s="128">
        <f t="shared" si="58"/>
        <v>1539100</v>
      </c>
      <c r="FH40" s="128">
        <f t="shared" si="59"/>
        <v>680540</v>
      </c>
      <c r="FI40" s="128">
        <f t="shared" si="148"/>
        <v>44060</v>
      </c>
      <c r="FJ40" s="40">
        <f t="shared" si="149"/>
        <v>17528664.224450167</v>
      </c>
      <c r="FK40" s="40">
        <f t="shared" si="60"/>
        <v>1577570</v>
      </c>
      <c r="FL40" s="40">
        <f t="shared" si="61"/>
        <v>697550</v>
      </c>
      <c r="FM40" s="40">
        <f t="shared" si="150"/>
        <v>45160</v>
      </c>
      <c r="FN40" s="128">
        <f t="shared" si="151"/>
        <v>17966880.830061421</v>
      </c>
      <c r="FO40" s="128">
        <f t="shared" si="62"/>
        <v>1617010</v>
      </c>
      <c r="FP40" s="128">
        <f t="shared" si="63"/>
        <v>714990</v>
      </c>
      <c r="FQ40" s="128">
        <f t="shared" si="152"/>
        <v>46290</v>
      </c>
      <c r="FR40" s="40">
        <f t="shared" si="153"/>
        <v>18416052.850812953</v>
      </c>
      <c r="FS40" s="40">
        <f t="shared" si="64"/>
        <v>1657440</v>
      </c>
      <c r="FT40" s="40">
        <f t="shared" si="65"/>
        <v>732870</v>
      </c>
      <c r="FU40" s="40">
        <f t="shared" si="154"/>
        <v>47450</v>
      </c>
      <c r="FV40" s="128">
        <f t="shared" si="155"/>
        <v>18876454.172083274</v>
      </c>
      <c r="FW40" s="128">
        <f t="shared" si="66"/>
        <v>1698880</v>
      </c>
      <c r="FX40" s="128">
        <f t="shared" si="67"/>
        <v>751190</v>
      </c>
      <c r="FY40" s="128">
        <f t="shared" si="156"/>
        <v>48630</v>
      </c>
      <c r="FZ40" s="40">
        <f t="shared" si="157"/>
        <v>19348365.526385352</v>
      </c>
      <c r="GA40" s="40">
        <f t="shared" si="68"/>
        <v>1741350</v>
      </c>
      <c r="GB40" s="40">
        <f t="shared" si="69"/>
        <v>769970</v>
      </c>
      <c r="GC40" s="40">
        <f t="shared" si="158"/>
        <v>49850</v>
      </c>
      <c r="GD40" s="128">
        <f t="shared" si="159"/>
        <v>19832074.664544985</v>
      </c>
      <c r="GE40" s="128">
        <f t="shared" si="70"/>
        <v>1784880</v>
      </c>
      <c r="GF40" s="128">
        <f t="shared" si="71"/>
        <v>789220</v>
      </c>
      <c r="GG40" s="128">
        <f t="shared" si="160"/>
        <v>51100</v>
      </c>
      <c r="GH40" s="40">
        <f t="shared" si="161"/>
        <v>20327876.531158607</v>
      </c>
      <c r="GI40" s="40">
        <f t="shared" si="72"/>
        <v>1829500</v>
      </c>
      <c r="GJ40" s="40">
        <f t="shared" si="73"/>
        <v>808950</v>
      </c>
      <c r="GK40" s="40">
        <f t="shared" si="162"/>
        <v>52370</v>
      </c>
      <c r="GL40" s="128">
        <f t="shared" si="163"/>
        <v>20836073.444437571</v>
      </c>
      <c r="GM40" s="128">
        <f t="shared" si="74"/>
        <v>1875240</v>
      </c>
      <c r="GN40" s="128">
        <f t="shared" si="75"/>
        <v>829170</v>
      </c>
      <c r="GO40" s="128">
        <f t="shared" si="164"/>
        <v>53680</v>
      </c>
      <c r="GP40" s="40">
        <f t="shared" si="165"/>
        <v>21356975.280548509</v>
      </c>
      <c r="GQ40" s="40">
        <f t="shared" si="76"/>
        <v>1922120</v>
      </c>
      <c r="GR40" s="40">
        <f t="shared" si="77"/>
        <v>849900</v>
      </c>
      <c r="GS40" s="40">
        <f t="shared" si="166"/>
        <v>55030</v>
      </c>
      <c r="GT40" s="128">
        <f t="shared" si="167"/>
        <v>21890899.662562221</v>
      </c>
      <c r="GU40" s="128">
        <f t="shared" si="78"/>
        <v>1970180</v>
      </c>
      <c r="GV40" s="128">
        <f t="shared" si="79"/>
        <v>871150</v>
      </c>
      <c r="GW40" s="128">
        <f t="shared" si="168"/>
        <v>56400</v>
      </c>
      <c r="GX40" s="40">
        <f t="shared" si="169"/>
        <v>22438172.154126275</v>
      </c>
      <c r="GY40" s="40">
        <f t="shared" si="80"/>
        <v>2019430</v>
      </c>
      <c r="GZ40" s="40">
        <f t="shared" si="81"/>
        <v>892930</v>
      </c>
      <c r="HA40" s="40">
        <f t="shared" si="170"/>
        <v>57810</v>
      </c>
      <c r="HB40" s="128" t="e">
        <f t="shared" si="171"/>
        <v>#REF!</v>
      </c>
      <c r="HC40" s="128" t="e">
        <f t="shared" si="82"/>
        <v>#REF!</v>
      </c>
      <c r="HD40" s="128" t="e">
        <f t="shared" si="83"/>
        <v>#REF!</v>
      </c>
      <c r="HE40" s="128" t="e">
        <f t="shared" si="172"/>
        <v>#REF!</v>
      </c>
    </row>
    <row r="41" spans="1:213">
      <c r="A41" s="17"/>
      <c r="B41" s="18"/>
      <c r="C41" s="70"/>
      <c r="D41" s="17"/>
      <c r="E41" s="91"/>
      <c r="F41" s="57"/>
      <c r="G41" s="87"/>
      <c r="H41" s="45"/>
      <c r="M41" s="882" t="s">
        <v>322</v>
      </c>
      <c r="N41" s="137">
        <v>37</v>
      </c>
      <c r="P41" s="141"/>
      <c r="Q41" s="99"/>
      <c r="R41" s="25" t="s">
        <v>566</v>
      </c>
      <c r="S41" s="719">
        <v>210000</v>
      </c>
      <c r="T41" s="97"/>
      <c r="V41" s="42"/>
      <c r="W41" s="101"/>
      <c r="AD41" s="26"/>
      <c r="AE41" s="27"/>
      <c r="AF41" s="778"/>
      <c r="AG41" s="28"/>
      <c r="AH41" s="28"/>
      <c r="AJ41" s="41">
        <v>34</v>
      </c>
      <c r="AK41" s="41">
        <v>44</v>
      </c>
      <c r="AL41" s="890">
        <v>8013460</v>
      </c>
      <c r="AM41" s="40">
        <f t="shared" si="84"/>
        <v>721210</v>
      </c>
      <c r="AN41" s="40">
        <v>260210</v>
      </c>
      <c r="AO41" s="40">
        <v>26670</v>
      </c>
      <c r="AP41" s="891">
        <f t="shared" si="85"/>
        <v>8149690</v>
      </c>
      <c r="AQ41" s="131">
        <f t="shared" si="86"/>
        <v>733470</v>
      </c>
      <c r="AR41" s="130">
        <f t="shared" si="87"/>
        <v>288910</v>
      </c>
      <c r="AS41" s="128">
        <f t="shared" si="88"/>
        <v>18710</v>
      </c>
      <c r="AT41" s="40">
        <f t="shared" si="89"/>
        <v>8434929.1499999985</v>
      </c>
      <c r="AU41" s="40">
        <f t="shared" si="0"/>
        <v>759140</v>
      </c>
      <c r="AV41" s="40">
        <f t="shared" si="1"/>
        <v>304100</v>
      </c>
      <c r="AW41" s="40">
        <f t="shared" si="90"/>
        <v>19690</v>
      </c>
      <c r="AX41" s="128">
        <f t="shared" si="91"/>
        <v>8645802.3787499983</v>
      </c>
      <c r="AY41" s="128">
        <f t="shared" si="2"/>
        <v>778120</v>
      </c>
      <c r="AZ41" s="128">
        <f t="shared" si="3"/>
        <v>311700</v>
      </c>
      <c r="BA41" s="128">
        <f t="shared" si="92"/>
        <v>20180</v>
      </c>
      <c r="BB41" s="40">
        <f t="shared" si="93"/>
        <v>8861947.4382187482</v>
      </c>
      <c r="BC41" s="40">
        <f t="shared" si="4"/>
        <v>797570</v>
      </c>
      <c r="BD41" s="40">
        <f t="shared" si="5"/>
        <v>327480</v>
      </c>
      <c r="BE41" s="40">
        <f t="shared" si="94"/>
        <v>21200</v>
      </c>
      <c r="BF41" s="128">
        <f t="shared" si="95"/>
        <v>9083496.1241742168</v>
      </c>
      <c r="BG41" s="128">
        <f t="shared" si="6"/>
        <v>817510</v>
      </c>
      <c r="BH41" s="128">
        <f t="shared" si="7"/>
        <v>335670</v>
      </c>
      <c r="BI41" s="128">
        <f t="shared" si="96"/>
        <v>21730</v>
      </c>
      <c r="BJ41" s="40">
        <f t="shared" si="97"/>
        <v>9310583.5272785705</v>
      </c>
      <c r="BK41" s="40">
        <f t="shared" si="8"/>
        <v>837950</v>
      </c>
      <c r="BL41" s="40">
        <f t="shared" si="9"/>
        <v>352660</v>
      </c>
      <c r="BM41" s="40">
        <f t="shared" si="98"/>
        <v>22830</v>
      </c>
      <c r="BN41" s="128">
        <f t="shared" si="99"/>
        <v>9543348.1154605336</v>
      </c>
      <c r="BO41" s="128">
        <f t="shared" si="10"/>
        <v>858900</v>
      </c>
      <c r="BP41" s="128">
        <f t="shared" si="11"/>
        <v>370510</v>
      </c>
      <c r="BQ41" s="128">
        <f t="shared" si="100"/>
        <v>23990</v>
      </c>
      <c r="BR41" s="40">
        <f t="shared" si="101"/>
        <v>9781931.8183470462</v>
      </c>
      <c r="BS41" s="40">
        <f t="shared" si="12"/>
        <v>880370</v>
      </c>
      <c r="BT41" s="40">
        <f t="shared" si="13"/>
        <v>379780</v>
      </c>
      <c r="BU41" s="40">
        <f t="shared" si="102"/>
        <v>24590</v>
      </c>
      <c r="BV41" s="128">
        <f t="shared" si="103"/>
        <v>10026480.113805721</v>
      </c>
      <c r="BW41" s="128">
        <f t="shared" si="14"/>
        <v>902380</v>
      </c>
      <c r="BX41" s="128">
        <f t="shared" si="15"/>
        <v>399000</v>
      </c>
      <c r="BY41" s="128">
        <f t="shared" si="104"/>
        <v>25830</v>
      </c>
      <c r="BZ41" s="40">
        <f t="shared" si="105"/>
        <v>10277142.116650863</v>
      </c>
      <c r="CA41" s="40">
        <f t="shared" si="16"/>
        <v>924940</v>
      </c>
      <c r="CB41" s="40">
        <f t="shared" si="17"/>
        <v>408980</v>
      </c>
      <c r="CC41" s="40">
        <f t="shared" si="106"/>
        <v>26480</v>
      </c>
      <c r="CD41" s="128">
        <f t="shared" si="107"/>
        <v>10534070.669567132</v>
      </c>
      <c r="CE41" s="128">
        <f t="shared" si="18"/>
        <v>948060</v>
      </c>
      <c r="CF41" s="128">
        <f t="shared" si="19"/>
        <v>419200</v>
      </c>
      <c r="CG41" s="128">
        <f t="shared" si="108"/>
        <v>27140</v>
      </c>
      <c r="CH41" s="40">
        <f t="shared" si="109"/>
        <v>10797422.436306309</v>
      </c>
      <c r="CI41" s="40">
        <f t="shared" si="20"/>
        <v>971760</v>
      </c>
      <c r="CJ41" s="40">
        <f t="shared" si="21"/>
        <v>429680</v>
      </c>
      <c r="CK41" s="40">
        <f t="shared" si="110"/>
        <v>27820</v>
      </c>
      <c r="CL41" s="128">
        <f t="shared" si="111"/>
        <v>11067357.997213965</v>
      </c>
      <c r="CM41" s="128">
        <f t="shared" si="22"/>
        <v>996060</v>
      </c>
      <c r="CN41" s="128">
        <f t="shared" si="23"/>
        <v>440420</v>
      </c>
      <c r="CO41" s="128">
        <f t="shared" si="112"/>
        <v>28510</v>
      </c>
      <c r="CP41" s="40">
        <f t="shared" si="113"/>
        <v>11344041.947144313</v>
      </c>
      <c r="CQ41" s="40">
        <f t="shared" si="24"/>
        <v>1020960</v>
      </c>
      <c r="CR41" s="40">
        <f t="shared" si="25"/>
        <v>451440</v>
      </c>
      <c r="CS41" s="40">
        <f t="shared" si="114"/>
        <v>29230</v>
      </c>
      <c r="CT41" s="128">
        <f t="shared" si="115"/>
        <v>11627642.99582292</v>
      </c>
      <c r="CU41" s="128">
        <f t="shared" si="26"/>
        <v>1046480</v>
      </c>
      <c r="CV41" s="128">
        <f t="shared" si="27"/>
        <v>462720</v>
      </c>
      <c r="CW41" s="128">
        <f t="shared" si="116"/>
        <v>29960</v>
      </c>
      <c r="CX41" s="40">
        <f t="shared" si="117"/>
        <v>11918334.070718491</v>
      </c>
      <c r="CY41" s="40">
        <f t="shared" si="28"/>
        <v>1072650</v>
      </c>
      <c r="CZ41" s="40">
        <f t="shared" si="29"/>
        <v>474290</v>
      </c>
      <c r="DA41" s="40">
        <f t="shared" si="118"/>
        <v>30710</v>
      </c>
      <c r="DB41" s="128">
        <f t="shared" si="119"/>
        <v>12216292.422486452</v>
      </c>
      <c r="DC41" s="128">
        <f t="shared" si="30"/>
        <v>1099460</v>
      </c>
      <c r="DD41" s="128">
        <f t="shared" si="31"/>
        <v>486150</v>
      </c>
      <c r="DE41" s="128">
        <f t="shared" si="120"/>
        <v>31470</v>
      </c>
      <c r="DF41" s="40">
        <f t="shared" si="121"/>
        <v>12521699.733048612</v>
      </c>
      <c r="DG41" s="40">
        <f t="shared" si="32"/>
        <v>1126950</v>
      </c>
      <c r="DH41" s="40">
        <f t="shared" si="33"/>
        <v>498300</v>
      </c>
      <c r="DI41" s="40">
        <f t="shared" si="122"/>
        <v>32260</v>
      </c>
      <c r="DJ41" s="128">
        <f t="shared" si="123"/>
        <v>12834742.226374827</v>
      </c>
      <c r="DK41" s="128">
        <f t="shared" si="34"/>
        <v>1155120</v>
      </c>
      <c r="DL41" s="128">
        <f t="shared" si="35"/>
        <v>510760</v>
      </c>
      <c r="DM41" s="128">
        <f t="shared" si="124"/>
        <v>33070</v>
      </c>
      <c r="DN41" s="40">
        <f t="shared" si="125"/>
        <v>13155610.782034196</v>
      </c>
      <c r="DO41" s="40">
        <f t="shared" si="36"/>
        <v>1184000</v>
      </c>
      <c r="DP41" s="40">
        <f t="shared" si="37"/>
        <v>523530</v>
      </c>
      <c r="DQ41" s="40">
        <f t="shared" si="126"/>
        <v>33890</v>
      </c>
      <c r="DR41" s="128">
        <f t="shared" si="127"/>
        <v>13484501.05158505</v>
      </c>
      <c r="DS41" s="128">
        <f t="shared" si="38"/>
        <v>1213600</v>
      </c>
      <c r="DT41" s="128">
        <f t="shared" si="39"/>
        <v>536620</v>
      </c>
      <c r="DU41" s="128">
        <f t="shared" si="128"/>
        <v>34740</v>
      </c>
      <c r="DV41" s="40">
        <f t="shared" si="129"/>
        <v>13821613.577874675</v>
      </c>
      <c r="DW41" s="40">
        <f t="shared" si="40"/>
        <v>1243940</v>
      </c>
      <c r="DX41" s="40">
        <f t="shared" si="41"/>
        <v>550030</v>
      </c>
      <c r="DY41" s="40">
        <f t="shared" si="130"/>
        <v>35610</v>
      </c>
      <c r="DZ41" s="128">
        <f t="shared" si="131"/>
        <v>14167153.91732154</v>
      </c>
      <c r="EA41" s="128">
        <f t="shared" si="42"/>
        <v>1275040</v>
      </c>
      <c r="EB41" s="128">
        <f t="shared" si="43"/>
        <v>563780</v>
      </c>
      <c r="EC41" s="128">
        <f t="shared" si="132"/>
        <v>36500</v>
      </c>
      <c r="ED41" s="40">
        <f t="shared" si="133"/>
        <v>14521332.765254578</v>
      </c>
      <c r="EE41" s="40">
        <f t="shared" si="44"/>
        <v>1306910</v>
      </c>
      <c r="EF41" s="40">
        <f t="shared" si="45"/>
        <v>577880</v>
      </c>
      <c r="EG41" s="40">
        <f t="shared" si="134"/>
        <v>37410</v>
      </c>
      <c r="EH41" s="128">
        <f t="shared" si="135"/>
        <v>14884366.084385941</v>
      </c>
      <c r="EI41" s="128">
        <f t="shared" si="46"/>
        <v>1339590</v>
      </c>
      <c r="EJ41" s="128">
        <f t="shared" si="47"/>
        <v>592320</v>
      </c>
      <c r="EK41" s="128">
        <f t="shared" si="136"/>
        <v>38350</v>
      </c>
      <c r="EL41" s="40">
        <f t="shared" si="137"/>
        <v>15256475.236495588</v>
      </c>
      <c r="EM41" s="40">
        <f t="shared" si="48"/>
        <v>1373080</v>
      </c>
      <c r="EN41" s="40">
        <f t="shared" si="49"/>
        <v>607130</v>
      </c>
      <c r="EO41" s="40">
        <f t="shared" si="138"/>
        <v>39310</v>
      </c>
      <c r="EP41" s="128">
        <f t="shared" si="139"/>
        <v>15637887.117407976</v>
      </c>
      <c r="EQ41" s="128">
        <f t="shared" si="50"/>
        <v>1407400</v>
      </c>
      <c r="ER41" s="128">
        <f t="shared" si="51"/>
        <v>622310</v>
      </c>
      <c r="ES41" s="128">
        <f t="shared" si="140"/>
        <v>40290</v>
      </c>
      <c r="ET41" s="40">
        <f t="shared" si="141"/>
        <v>16028834.295343174</v>
      </c>
      <c r="EU41" s="40">
        <f t="shared" si="52"/>
        <v>1442590</v>
      </c>
      <c r="EV41" s="40">
        <f t="shared" si="53"/>
        <v>637870</v>
      </c>
      <c r="EW41" s="40">
        <f t="shared" si="142"/>
        <v>41300</v>
      </c>
      <c r="EX41" s="128">
        <f t="shared" si="143"/>
        <v>16429555.152726751</v>
      </c>
      <c r="EY41" s="128">
        <f t="shared" si="54"/>
        <v>1478650</v>
      </c>
      <c r="EZ41" s="128">
        <f t="shared" si="55"/>
        <v>653820</v>
      </c>
      <c r="FA41" s="128">
        <f t="shared" si="144"/>
        <v>42330</v>
      </c>
      <c r="FB41" s="40">
        <f t="shared" si="145"/>
        <v>16840294.031544916</v>
      </c>
      <c r="FC41" s="40">
        <f t="shared" si="56"/>
        <v>1515620</v>
      </c>
      <c r="FD41" s="40">
        <f t="shared" si="57"/>
        <v>670160</v>
      </c>
      <c r="FE41" s="40">
        <f t="shared" si="146"/>
        <v>43390</v>
      </c>
      <c r="FF41" s="128">
        <f t="shared" si="147"/>
        <v>17261301.382333539</v>
      </c>
      <c r="FG41" s="128">
        <f t="shared" si="58"/>
        <v>1553510</v>
      </c>
      <c r="FH41" s="128">
        <f t="shared" si="59"/>
        <v>686920</v>
      </c>
      <c r="FI41" s="128">
        <f t="shared" si="148"/>
        <v>44470</v>
      </c>
      <c r="FJ41" s="40">
        <f t="shared" si="149"/>
        <v>17692833.916891877</v>
      </c>
      <c r="FK41" s="40">
        <f t="shared" si="60"/>
        <v>1592350</v>
      </c>
      <c r="FL41" s="40">
        <f t="shared" si="61"/>
        <v>704090</v>
      </c>
      <c r="FM41" s="40">
        <f t="shared" si="150"/>
        <v>45580</v>
      </c>
      <c r="FN41" s="128">
        <f t="shared" si="151"/>
        <v>18135154.764814172</v>
      </c>
      <c r="FO41" s="128">
        <f t="shared" si="62"/>
        <v>1632160</v>
      </c>
      <c r="FP41" s="128">
        <f t="shared" si="63"/>
        <v>721690</v>
      </c>
      <c r="FQ41" s="128">
        <f t="shared" si="152"/>
        <v>46720</v>
      </c>
      <c r="FR41" s="40">
        <f t="shared" si="153"/>
        <v>18588533.633934524</v>
      </c>
      <c r="FS41" s="40">
        <f t="shared" si="64"/>
        <v>1672960</v>
      </c>
      <c r="FT41" s="40">
        <f t="shared" si="65"/>
        <v>739730</v>
      </c>
      <c r="FU41" s="40">
        <f t="shared" si="154"/>
        <v>47890</v>
      </c>
      <c r="FV41" s="128">
        <f t="shared" si="155"/>
        <v>19053246.974782884</v>
      </c>
      <c r="FW41" s="128">
        <f t="shared" si="66"/>
        <v>1714790</v>
      </c>
      <c r="FX41" s="128">
        <f t="shared" si="67"/>
        <v>758230</v>
      </c>
      <c r="FY41" s="128">
        <f t="shared" si="156"/>
        <v>49090</v>
      </c>
      <c r="FZ41" s="40">
        <f t="shared" si="157"/>
        <v>19529578.149152454</v>
      </c>
      <c r="GA41" s="40">
        <f t="shared" si="68"/>
        <v>1757660</v>
      </c>
      <c r="GB41" s="40">
        <f t="shared" si="69"/>
        <v>777180</v>
      </c>
      <c r="GC41" s="40">
        <f t="shared" si="158"/>
        <v>50320</v>
      </c>
      <c r="GD41" s="128">
        <f t="shared" si="159"/>
        <v>20017817.602881264</v>
      </c>
      <c r="GE41" s="128">
        <f t="shared" si="70"/>
        <v>1801600</v>
      </c>
      <c r="GF41" s="128">
        <f t="shared" si="71"/>
        <v>796610</v>
      </c>
      <c r="GG41" s="128">
        <f t="shared" si="160"/>
        <v>51580</v>
      </c>
      <c r="GH41" s="40">
        <f t="shared" si="161"/>
        <v>20518263.042953294</v>
      </c>
      <c r="GI41" s="40">
        <f t="shared" si="72"/>
        <v>1846640</v>
      </c>
      <c r="GJ41" s="40">
        <f t="shared" si="73"/>
        <v>816530</v>
      </c>
      <c r="GK41" s="40">
        <f t="shared" si="162"/>
        <v>52870</v>
      </c>
      <c r="GL41" s="128">
        <f t="shared" si="163"/>
        <v>21031219.619027123</v>
      </c>
      <c r="GM41" s="128">
        <f t="shared" si="74"/>
        <v>1892800</v>
      </c>
      <c r="GN41" s="128">
        <f t="shared" si="75"/>
        <v>836940</v>
      </c>
      <c r="GO41" s="128">
        <f t="shared" si="164"/>
        <v>54190</v>
      </c>
      <c r="GP41" s="40">
        <f t="shared" si="165"/>
        <v>21557000.1095028</v>
      </c>
      <c r="GQ41" s="40">
        <f t="shared" si="76"/>
        <v>1940130</v>
      </c>
      <c r="GR41" s="40">
        <f t="shared" si="77"/>
        <v>857860</v>
      </c>
      <c r="GS41" s="40">
        <f t="shared" si="166"/>
        <v>55540</v>
      </c>
      <c r="GT41" s="128">
        <f t="shared" si="167"/>
        <v>22095925.112240367</v>
      </c>
      <c r="GU41" s="128">
        <f t="shared" si="78"/>
        <v>1988630</v>
      </c>
      <c r="GV41" s="128">
        <f t="shared" si="79"/>
        <v>879310</v>
      </c>
      <c r="GW41" s="128">
        <f t="shared" si="168"/>
        <v>56930</v>
      </c>
      <c r="GX41" s="40">
        <f t="shared" si="169"/>
        <v>22648323.240046374</v>
      </c>
      <c r="GY41" s="40">
        <f t="shared" si="80"/>
        <v>2038340</v>
      </c>
      <c r="GZ41" s="40">
        <f t="shared" si="81"/>
        <v>901290</v>
      </c>
      <c r="HA41" s="40">
        <f t="shared" si="170"/>
        <v>58350</v>
      </c>
      <c r="HB41" s="128" t="e">
        <f t="shared" si="171"/>
        <v>#REF!</v>
      </c>
      <c r="HC41" s="128" t="e">
        <f t="shared" si="82"/>
        <v>#REF!</v>
      </c>
      <c r="HD41" s="128" t="e">
        <f t="shared" si="83"/>
        <v>#REF!</v>
      </c>
      <c r="HE41" s="128" t="e">
        <f t="shared" si="172"/>
        <v>#REF!</v>
      </c>
    </row>
    <row r="42" spans="1:213">
      <c r="A42" s="2"/>
      <c r="B42" s="8"/>
      <c r="C42" s="3"/>
      <c r="D42" s="48"/>
      <c r="E42" s="63"/>
      <c r="F42" s="49"/>
      <c r="G42" s="87"/>
      <c r="H42" s="45"/>
      <c r="M42" s="883">
        <v>0.8</v>
      </c>
      <c r="N42" s="137">
        <v>38</v>
      </c>
      <c r="P42" s="141"/>
      <c r="Q42" s="99"/>
      <c r="R42" s="25" t="s">
        <v>568</v>
      </c>
      <c r="S42" s="719">
        <v>220000</v>
      </c>
      <c r="T42" s="97"/>
      <c r="V42" s="42"/>
      <c r="W42" s="101"/>
      <c r="AD42" s="26"/>
      <c r="AE42" s="27"/>
      <c r="AF42" s="778"/>
      <c r="AG42" s="28"/>
      <c r="AH42" s="28"/>
      <c r="AJ42" s="41">
        <v>35</v>
      </c>
      <c r="AK42" s="41">
        <v>45</v>
      </c>
      <c r="AL42" s="890">
        <v>8091380</v>
      </c>
      <c r="AM42" s="40">
        <f t="shared" si="84"/>
        <v>728220</v>
      </c>
      <c r="AN42" s="40">
        <v>262740</v>
      </c>
      <c r="AO42" s="40">
        <v>26930</v>
      </c>
      <c r="AP42" s="891">
        <f t="shared" si="85"/>
        <v>8228930</v>
      </c>
      <c r="AQ42" s="131">
        <f t="shared" si="86"/>
        <v>740600</v>
      </c>
      <c r="AR42" s="130">
        <f t="shared" si="87"/>
        <v>291720</v>
      </c>
      <c r="AS42" s="128">
        <f t="shared" si="88"/>
        <v>18890</v>
      </c>
      <c r="AT42" s="40">
        <f t="shared" si="89"/>
        <v>8516942.5499999989</v>
      </c>
      <c r="AU42" s="40">
        <f t="shared" si="0"/>
        <v>766520</v>
      </c>
      <c r="AV42" s="40">
        <f t="shared" si="1"/>
        <v>307050</v>
      </c>
      <c r="AW42" s="40">
        <f t="shared" si="90"/>
        <v>19880</v>
      </c>
      <c r="AX42" s="128">
        <f t="shared" si="91"/>
        <v>8729866.1137499977</v>
      </c>
      <c r="AY42" s="128">
        <f t="shared" si="2"/>
        <v>785680</v>
      </c>
      <c r="AZ42" s="128">
        <f t="shared" si="3"/>
        <v>314730</v>
      </c>
      <c r="BA42" s="128">
        <f t="shared" si="92"/>
        <v>20370</v>
      </c>
      <c r="BB42" s="40">
        <f t="shared" si="93"/>
        <v>8948112.7665937468</v>
      </c>
      <c r="BC42" s="40">
        <f t="shared" si="4"/>
        <v>805330</v>
      </c>
      <c r="BD42" s="40">
        <f t="shared" si="5"/>
        <v>330660</v>
      </c>
      <c r="BE42" s="40">
        <f t="shared" si="94"/>
        <v>21410</v>
      </c>
      <c r="BF42" s="128">
        <f t="shared" si="95"/>
        <v>9171815.5857585892</v>
      </c>
      <c r="BG42" s="128">
        <f t="shared" si="6"/>
        <v>825460</v>
      </c>
      <c r="BH42" s="128">
        <f t="shared" si="7"/>
        <v>338930</v>
      </c>
      <c r="BI42" s="128">
        <f t="shared" si="96"/>
        <v>21940</v>
      </c>
      <c r="BJ42" s="40">
        <f t="shared" si="97"/>
        <v>9401110.9754025526</v>
      </c>
      <c r="BK42" s="40">
        <f t="shared" si="8"/>
        <v>846090</v>
      </c>
      <c r="BL42" s="40">
        <f t="shared" si="9"/>
        <v>356090</v>
      </c>
      <c r="BM42" s="40">
        <f t="shared" si="98"/>
        <v>23050</v>
      </c>
      <c r="BN42" s="128">
        <f t="shared" si="99"/>
        <v>9636138.7497876156</v>
      </c>
      <c r="BO42" s="128">
        <f t="shared" si="10"/>
        <v>867250</v>
      </c>
      <c r="BP42" s="128">
        <f t="shared" si="11"/>
        <v>374120</v>
      </c>
      <c r="BQ42" s="128">
        <f t="shared" si="100"/>
        <v>24220</v>
      </c>
      <c r="BR42" s="40">
        <f t="shared" si="101"/>
        <v>9877042.2185323052</v>
      </c>
      <c r="BS42" s="40">
        <f t="shared" si="12"/>
        <v>888930</v>
      </c>
      <c r="BT42" s="40">
        <f t="shared" si="13"/>
        <v>383470</v>
      </c>
      <c r="BU42" s="40">
        <f t="shared" si="102"/>
        <v>24820</v>
      </c>
      <c r="BV42" s="128">
        <f t="shared" si="103"/>
        <v>10123968.273995612</v>
      </c>
      <c r="BW42" s="128">
        <f t="shared" si="14"/>
        <v>911150</v>
      </c>
      <c r="BX42" s="128">
        <f t="shared" si="15"/>
        <v>402880</v>
      </c>
      <c r="BY42" s="128">
        <f t="shared" si="104"/>
        <v>26080</v>
      </c>
      <c r="BZ42" s="40">
        <f t="shared" si="105"/>
        <v>10377067.480845502</v>
      </c>
      <c r="CA42" s="40">
        <f t="shared" si="16"/>
        <v>933930</v>
      </c>
      <c r="CB42" s="40">
        <f t="shared" si="17"/>
        <v>412950</v>
      </c>
      <c r="CC42" s="40">
        <f t="shared" si="106"/>
        <v>26730</v>
      </c>
      <c r="CD42" s="128">
        <f t="shared" si="107"/>
        <v>10636494.167866638</v>
      </c>
      <c r="CE42" s="128">
        <f t="shared" si="18"/>
        <v>957280</v>
      </c>
      <c r="CF42" s="128">
        <f t="shared" si="19"/>
        <v>423280</v>
      </c>
      <c r="CG42" s="128">
        <f t="shared" si="108"/>
        <v>27400</v>
      </c>
      <c r="CH42" s="40">
        <f t="shared" si="109"/>
        <v>10902406.522063304</v>
      </c>
      <c r="CI42" s="40">
        <f t="shared" si="20"/>
        <v>981210</v>
      </c>
      <c r="CJ42" s="40">
        <f t="shared" si="21"/>
        <v>433860</v>
      </c>
      <c r="CK42" s="40">
        <f t="shared" si="110"/>
        <v>28090</v>
      </c>
      <c r="CL42" s="128">
        <f t="shared" si="111"/>
        <v>11174966.685114885</v>
      </c>
      <c r="CM42" s="128">
        <f t="shared" si="22"/>
        <v>1005740</v>
      </c>
      <c r="CN42" s="128">
        <f t="shared" si="23"/>
        <v>444710</v>
      </c>
      <c r="CO42" s="128">
        <f t="shared" si="112"/>
        <v>28790</v>
      </c>
      <c r="CP42" s="40">
        <f t="shared" si="113"/>
        <v>11454340.852242757</v>
      </c>
      <c r="CQ42" s="40">
        <f t="shared" si="24"/>
        <v>1030890</v>
      </c>
      <c r="CR42" s="40">
        <f t="shared" si="25"/>
        <v>455820</v>
      </c>
      <c r="CS42" s="40">
        <f t="shared" si="114"/>
        <v>29510</v>
      </c>
      <c r="CT42" s="128">
        <f t="shared" si="115"/>
        <v>11740699.373548824</v>
      </c>
      <c r="CU42" s="128">
        <f t="shared" si="26"/>
        <v>1056660</v>
      </c>
      <c r="CV42" s="128">
        <f t="shared" si="27"/>
        <v>467220</v>
      </c>
      <c r="CW42" s="128">
        <f t="shared" si="116"/>
        <v>30250</v>
      </c>
      <c r="CX42" s="40">
        <f t="shared" si="117"/>
        <v>12034216.857887544</v>
      </c>
      <c r="CY42" s="40">
        <f t="shared" si="28"/>
        <v>1083070</v>
      </c>
      <c r="CZ42" s="40">
        <f t="shared" si="29"/>
        <v>478900</v>
      </c>
      <c r="DA42" s="40">
        <f t="shared" si="118"/>
        <v>31000</v>
      </c>
      <c r="DB42" s="128">
        <f t="shared" si="119"/>
        <v>12335072.279334731</v>
      </c>
      <c r="DC42" s="128">
        <f t="shared" si="30"/>
        <v>1110150</v>
      </c>
      <c r="DD42" s="128">
        <f t="shared" si="31"/>
        <v>490870</v>
      </c>
      <c r="DE42" s="128">
        <f t="shared" si="120"/>
        <v>31780</v>
      </c>
      <c r="DF42" s="40">
        <f t="shared" si="121"/>
        <v>12643449.086318098</v>
      </c>
      <c r="DG42" s="40">
        <f t="shared" si="32"/>
        <v>1137910</v>
      </c>
      <c r="DH42" s="40">
        <f t="shared" si="33"/>
        <v>503150</v>
      </c>
      <c r="DI42" s="40">
        <f t="shared" si="122"/>
        <v>32570</v>
      </c>
      <c r="DJ42" s="128">
        <f t="shared" si="123"/>
        <v>12959535.313476048</v>
      </c>
      <c r="DK42" s="128">
        <f t="shared" si="34"/>
        <v>1166350</v>
      </c>
      <c r="DL42" s="128">
        <f t="shared" si="35"/>
        <v>515720</v>
      </c>
      <c r="DM42" s="128">
        <f t="shared" si="124"/>
        <v>33390</v>
      </c>
      <c r="DN42" s="40">
        <f t="shared" si="125"/>
        <v>13283523.696312949</v>
      </c>
      <c r="DO42" s="40">
        <f t="shared" si="36"/>
        <v>1195510</v>
      </c>
      <c r="DP42" s="40">
        <f t="shared" si="37"/>
        <v>528620</v>
      </c>
      <c r="DQ42" s="40">
        <f t="shared" si="126"/>
        <v>34220</v>
      </c>
      <c r="DR42" s="128">
        <f t="shared" si="127"/>
        <v>13615611.788720772</v>
      </c>
      <c r="DS42" s="128">
        <f t="shared" si="38"/>
        <v>1225400</v>
      </c>
      <c r="DT42" s="128">
        <f t="shared" si="39"/>
        <v>541830</v>
      </c>
      <c r="DU42" s="128">
        <f t="shared" si="128"/>
        <v>35080</v>
      </c>
      <c r="DV42" s="40">
        <f t="shared" si="129"/>
        <v>13956002.083438789</v>
      </c>
      <c r="DW42" s="40">
        <f t="shared" si="40"/>
        <v>1256040</v>
      </c>
      <c r="DX42" s="40">
        <f t="shared" si="41"/>
        <v>555380</v>
      </c>
      <c r="DY42" s="40">
        <f t="shared" si="130"/>
        <v>35960</v>
      </c>
      <c r="DZ42" s="128">
        <f t="shared" si="131"/>
        <v>14304902.135524757</v>
      </c>
      <c r="EA42" s="128">
        <f t="shared" si="42"/>
        <v>1287440</v>
      </c>
      <c r="EB42" s="128">
        <f t="shared" si="43"/>
        <v>569260</v>
      </c>
      <c r="EC42" s="128">
        <f t="shared" si="132"/>
        <v>36850</v>
      </c>
      <c r="ED42" s="40">
        <f t="shared" si="133"/>
        <v>14662524.688912874</v>
      </c>
      <c r="EE42" s="40">
        <f t="shared" si="44"/>
        <v>1319620</v>
      </c>
      <c r="EF42" s="40">
        <f t="shared" si="45"/>
        <v>583500</v>
      </c>
      <c r="EG42" s="40">
        <f t="shared" si="134"/>
        <v>37780</v>
      </c>
      <c r="EH42" s="128">
        <f t="shared" si="135"/>
        <v>15029087.806135695</v>
      </c>
      <c r="EI42" s="128">
        <f t="shared" si="46"/>
        <v>1352610</v>
      </c>
      <c r="EJ42" s="128">
        <f t="shared" si="47"/>
        <v>598080</v>
      </c>
      <c r="EK42" s="128">
        <f t="shared" si="136"/>
        <v>38720</v>
      </c>
      <c r="EL42" s="40">
        <f t="shared" si="137"/>
        <v>15404815.001289086</v>
      </c>
      <c r="EM42" s="40">
        <f t="shared" si="48"/>
        <v>1386430</v>
      </c>
      <c r="EN42" s="40">
        <f t="shared" si="49"/>
        <v>613040</v>
      </c>
      <c r="EO42" s="40">
        <f t="shared" si="138"/>
        <v>39690</v>
      </c>
      <c r="EP42" s="128">
        <f t="shared" si="139"/>
        <v>15789935.376321312</v>
      </c>
      <c r="EQ42" s="128">
        <f t="shared" si="50"/>
        <v>1421090</v>
      </c>
      <c r="ER42" s="128">
        <f t="shared" si="51"/>
        <v>628360</v>
      </c>
      <c r="ES42" s="128">
        <f t="shared" si="140"/>
        <v>40680</v>
      </c>
      <c r="ET42" s="40">
        <f t="shared" si="141"/>
        <v>16184683.760729343</v>
      </c>
      <c r="EU42" s="40">
        <f t="shared" si="52"/>
        <v>1456620</v>
      </c>
      <c r="EV42" s="40">
        <f t="shared" si="53"/>
        <v>644070</v>
      </c>
      <c r="EW42" s="40">
        <f t="shared" si="142"/>
        <v>41700</v>
      </c>
      <c r="EX42" s="128">
        <f t="shared" si="143"/>
        <v>16589300.854747575</v>
      </c>
      <c r="EY42" s="128">
        <f t="shared" si="54"/>
        <v>1493030</v>
      </c>
      <c r="EZ42" s="128">
        <f t="shared" si="55"/>
        <v>660170</v>
      </c>
      <c r="FA42" s="128">
        <f t="shared" si="144"/>
        <v>42740</v>
      </c>
      <c r="FB42" s="40">
        <f t="shared" si="145"/>
        <v>17004033.376116261</v>
      </c>
      <c r="FC42" s="40">
        <f t="shared" si="56"/>
        <v>1530360</v>
      </c>
      <c r="FD42" s="40">
        <f t="shared" si="57"/>
        <v>676680</v>
      </c>
      <c r="FE42" s="40">
        <f t="shared" si="146"/>
        <v>43810</v>
      </c>
      <c r="FF42" s="128">
        <f t="shared" si="147"/>
        <v>17429134.210519165</v>
      </c>
      <c r="FG42" s="128">
        <f t="shared" si="58"/>
        <v>1568620</v>
      </c>
      <c r="FH42" s="128">
        <f t="shared" si="59"/>
        <v>693590</v>
      </c>
      <c r="FI42" s="128">
        <f t="shared" si="148"/>
        <v>44900</v>
      </c>
      <c r="FJ42" s="40">
        <f t="shared" si="149"/>
        <v>17864862.565782141</v>
      </c>
      <c r="FK42" s="40">
        <f t="shared" si="60"/>
        <v>1607830</v>
      </c>
      <c r="FL42" s="40">
        <f t="shared" si="61"/>
        <v>710930</v>
      </c>
      <c r="FM42" s="40">
        <f t="shared" si="150"/>
        <v>46030</v>
      </c>
      <c r="FN42" s="128">
        <f t="shared" si="151"/>
        <v>18311484.129926693</v>
      </c>
      <c r="FO42" s="128">
        <f t="shared" si="62"/>
        <v>1648030</v>
      </c>
      <c r="FP42" s="128">
        <f t="shared" si="63"/>
        <v>728710</v>
      </c>
      <c r="FQ42" s="128">
        <f t="shared" si="152"/>
        <v>47180</v>
      </c>
      <c r="FR42" s="40">
        <f t="shared" si="153"/>
        <v>18769271.233174857</v>
      </c>
      <c r="FS42" s="40">
        <f t="shared" si="64"/>
        <v>1689230</v>
      </c>
      <c r="FT42" s="40">
        <f t="shared" si="65"/>
        <v>746930</v>
      </c>
      <c r="FU42" s="40">
        <f t="shared" si="154"/>
        <v>48360</v>
      </c>
      <c r="FV42" s="128">
        <f t="shared" si="155"/>
        <v>19238503.014004227</v>
      </c>
      <c r="FW42" s="128">
        <f t="shared" si="66"/>
        <v>1731460</v>
      </c>
      <c r="FX42" s="128">
        <f t="shared" si="67"/>
        <v>765600</v>
      </c>
      <c r="FY42" s="128">
        <f t="shared" si="156"/>
        <v>49570</v>
      </c>
      <c r="FZ42" s="40">
        <f t="shared" si="157"/>
        <v>19719465.589354333</v>
      </c>
      <c r="GA42" s="40">
        <f t="shared" si="68"/>
        <v>1774750</v>
      </c>
      <c r="GB42" s="40">
        <f t="shared" si="69"/>
        <v>784740</v>
      </c>
      <c r="GC42" s="40">
        <f t="shared" si="158"/>
        <v>50810</v>
      </c>
      <c r="GD42" s="128">
        <f t="shared" si="159"/>
        <v>20212452.229088191</v>
      </c>
      <c r="GE42" s="128">
        <f t="shared" si="70"/>
        <v>1819120</v>
      </c>
      <c r="GF42" s="128">
        <f t="shared" si="71"/>
        <v>804360</v>
      </c>
      <c r="GG42" s="128">
        <f t="shared" si="160"/>
        <v>52080</v>
      </c>
      <c r="GH42" s="40">
        <f t="shared" si="161"/>
        <v>20717763.534815393</v>
      </c>
      <c r="GI42" s="40">
        <f t="shared" si="72"/>
        <v>1864590</v>
      </c>
      <c r="GJ42" s="40">
        <f t="shared" si="73"/>
        <v>824470</v>
      </c>
      <c r="GK42" s="40">
        <f t="shared" si="162"/>
        <v>53380</v>
      </c>
      <c r="GL42" s="128">
        <f t="shared" si="163"/>
        <v>21235707.623185776</v>
      </c>
      <c r="GM42" s="128">
        <f t="shared" si="74"/>
        <v>1911210</v>
      </c>
      <c r="GN42" s="128">
        <f t="shared" si="75"/>
        <v>845080</v>
      </c>
      <c r="GO42" s="128">
        <f t="shared" si="164"/>
        <v>54710</v>
      </c>
      <c r="GP42" s="40">
        <f t="shared" si="165"/>
        <v>21766600.313765418</v>
      </c>
      <c r="GQ42" s="40">
        <f t="shared" si="76"/>
        <v>1958990</v>
      </c>
      <c r="GR42" s="40">
        <f t="shared" si="77"/>
        <v>866210</v>
      </c>
      <c r="GS42" s="40">
        <f t="shared" si="166"/>
        <v>56080</v>
      </c>
      <c r="GT42" s="128">
        <f t="shared" si="167"/>
        <v>22310765.321609553</v>
      </c>
      <c r="GU42" s="128">
        <f t="shared" si="78"/>
        <v>2007960</v>
      </c>
      <c r="GV42" s="128">
        <f t="shared" si="79"/>
        <v>887860</v>
      </c>
      <c r="GW42" s="128">
        <f t="shared" si="168"/>
        <v>57480</v>
      </c>
      <c r="GX42" s="40">
        <f t="shared" si="169"/>
        <v>22868534.454649791</v>
      </c>
      <c r="GY42" s="40">
        <f t="shared" si="80"/>
        <v>2058160</v>
      </c>
      <c r="GZ42" s="40">
        <f t="shared" si="81"/>
        <v>910060</v>
      </c>
      <c r="HA42" s="40">
        <f t="shared" si="170"/>
        <v>58920</v>
      </c>
      <c r="HB42" s="128" t="e">
        <f t="shared" si="171"/>
        <v>#REF!</v>
      </c>
      <c r="HC42" s="128" t="e">
        <f t="shared" si="82"/>
        <v>#REF!</v>
      </c>
      <c r="HD42" s="128" t="e">
        <f t="shared" si="83"/>
        <v>#REF!</v>
      </c>
      <c r="HE42" s="128" t="e">
        <f t="shared" si="172"/>
        <v>#REF!</v>
      </c>
    </row>
    <row r="43" spans="1:213">
      <c r="A43" s="2"/>
      <c r="B43" s="8"/>
      <c r="C43" s="3"/>
      <c r="D43" s="48"/>
      <c r="E43" s="63"/>
      <c r="F43" s="49"/>
      <c r="G43" s="87"/>
      <c r="H43" s="45"/>
      <c r="M43" s="883">
        <v>1</v>
      </c>
      <c r="N43" s="137">
        <v>39</v>
      </c>
      <c r="P43" s="141"/>
      <c r="Q43" s="99"/>
      <c r="R43" s="25" t="s">
        <v>532</v>
      </c>
      <c r="S43" s="719">
        <v>230000</v>
      </c>
      <c r="T43" s="97"/>
      <c r="V43" s="42"/>
      <c r="W43" s="101"/>
      <c r="AD43" s="26"/>
      <c r="AE43" s="27"/>
      <c r="AF43" s="778"/>
      <c r="AG43" s="28"/>
      <c r="AH43" s="28"/>
      <c r="AJ43" s="41">
        <v>36</v>
      </c>
      <c r="AK43" s="41">
        <v>46</v>
      </c>
      <c r="AL43" s="890">
        <v>8177870</v>
      </c>
      <c r="AM43" s="40">
        <f t="shared" si="84"/>
        <v>736010</v>
      </c>
      <c r="AN43" s="40">
        <v>265550</v>
      </c>
      <c r="AO43" s="40">
        <v>27220</v>
      </c>
      <c r="AP43" s="891">
        <f t="shared" si="85"/>
        <v>8316890</v>
      </c>
      <c r="AQ43" s="131">
        <f t="shared" si="86"/>
        <v>748520</v>
      </c>
      <c r="AR43" s="130">
        <f t="shared" si="87"/>
        <v>294830</v>
      </c>
      <c r="AS43" s="128">
        <f t="shared" si="88"/>
        <v>19090</v>
      </c>
      <c r="AT43" s="40">
        <f t="shared" si="89"/>
        <v>8607981.1499999985</v>
      </c>
      <c r="AU43" s="40">
        <f t="shared" si="0"/>
        <v>774710</v>
      </c>
      <c r="AV43" s="40">
        <f t="shared" si="1"/>
        <v>310340</v>
      </c>
      <c r="AW43" s="40">
        <f t="shared" si="90"/>
        <v>20090</v>
      </c>
      <c r="AX43" s="128">
        <f t="shared" si="91"/>
        <v>8823180.6787499972</v>
      </c>
      <c r="AY43" s="128">
        <f t="shared" si="2"/>
        <v>794080</v>
      </c>
      <c r="AZ43" s="128">
        <f t="shared" si="3"/>
        <v>318090</v>
      </c>
      <c r="BA43" s="128">
        <f t="shared" si="92"/>
        <v>20590</v>
      </c>
      <c r="BB43" s="40">
        <f t="shared" si="93"/>
        <v>9043760.1957187466</v>
      </c>
      <c r="BC43" s="40">
        <f t="shared" si="4"/>
        <v>813930</v>
      </c>
      <c r="BD43" s="40">
        <f t="shared" si="5"/>
        <v>334200</v>
      </c>
      <c r="BE43" s="40">
        <f t="shared" si="94"/>
        <v>21630</v>
      </c>
      <c r="BF43" s="128">
        <f t="shared" si="95"/>
        <v>9269854.2006117143</v>
      </c>
      <c r="BG43" s="128">
        <f t="shared" si="6"/>
        <v>834280</v>
      </c>
      <c r="BH43" s="128">
        <f t="shared" si="7"/>
        <v>342550</v>
      </c>
      <c r="BI43" s="128">
        <f t="shared" si="96"/>
        <v>22180</v>
      </c>
      <c r="BJ43" s="40">
        <f t="shared" si="97"/>
        <v>9501600.555627007</v>
      </c>
      <c r="BK43" s="40">
        <f t="shared" si="8"/>
        <v>855140</v>
      </c>
      <c r="BL43" s="40">
        <f t="shared" si="9"/>
        <v>359890</v>
      </c>
      <c r="BM43" s="40">
        <f t="shared" si="98"/>
        <v>23300</v>
      </c>
      <c r="BN43" s="128">
        <f t="shared" si="99"/>
        <v>9739140.5695176814</v>
      </c>
      <c r="BO43" s="128">
        <f t="shared" si="10"/>
        <v>876520</v>
      </c>
      <c r="BP43" s="128">
        <f t="shared" si="11"/>
        <v>378110</v>
      </c>
      <c r="BQ43" s="128">
        <f t="shared" si="100"/>
        <v>24480</v>
      </c>
      <c r="BR43" s="40">
        <f t="shared" si="101"/>
        <v>9982619.0837556217</v>
      </c>
      <c r="BS43" s="40">
        <f t="shared" si="12"/>
        <v>898430</v>
      </c>
      <c r="BT43" s="40">
        <f t="shared" si="13"/>
        <v>387570</v>
      </c>
      <c r="BU43" s="40">
        <f t="shared" si="102"/>
        <v>25090</v>
      </c>
      <c r="BV43" s="128">
        <f t="shared" si="103"/>
        <v>10232184.560849512</v>
      </c>
      <c r="BW43" s="128">
        <f t="shared" si="14"/>
        <v>920890</v>
      </c>
      <c r="BX43" s="128">
        <f t="shared" si="15"/>
        <v>407190</v>
      </c>
      <c r="BY43" s="128">
        <f t="shared" si="104"/>
        <v>26360</v>
      </c>
      <c r="BZ43" s="40">
        <f t="shared" si="105"/>
        <v>10487989.174870748</v>
      </c>
      <c r="CA43" s="40">
        <f t="shared" si="16"/>
        <v>943910</v>
      </c>
      <c r="CB43" s="40">
        <f t="shared" si="17"/>
        <v>417370</v>
      </c>
      <c r="CC43" s="40">
        <f t="shared" si="106"/>
        <v>27020</v>
      </c>
      <c r="CD43" s="128">
        <f t="shared" si="107"/>
        <v>10750188.904242516</v>
      </c>
      <c r="CE43" s="128">
        <f t="shared" si="18"/>
        <v>967510</v>
      </c>
      <c r="CF43" s="128">
        <f t="shared" si="19"/>
        <v>427800</v>
      </c>
      <c r="CG43" s="128">
        <f t="shared" si="108"/>
        <v>27700</v>
      </c>
      <c r="CH43" s="40">
        <f t="shared" si="109"/>
        <v>11018943.626848577</v>
      </c>
      <c r="CI43" s="40">
        <f t="shared" si="20"/>
        <v>991700</v>
      </c>
      <c r="CJ43" s="40">
        <f t="shared" si="21"/>
        <v>438500</v>
      </c>
      <c r="CK43" s="40">
        <f t="shared" si="110"/>
        <v>28390</v>
      </c>
      <c r="CL43" s="128">
        <f t="shared" si="111"/>
        <v>11294417.21751979</v>
      </c>
      <c r="CM43" s="128">
        <f t="shared" si="22"/>
        <v>1016490</v>
      </c>
      <c r="CN43" s="128">
        <f t="shared" si="23"/>
        <v>449460</v>
      </c>
      <c r="CO43" s="128">
        <f t="shared" si="112"/>
        <v>29100</v>
      </c>
      <c r="CP43" s="40">
        <f t="shared" si="113"/>
        <v>11576777.647957783</v>
      </c>
      <c r="CQ43" s="40">
        <f t="shared" si="24"/>
        <v>1041900</v>
      </c>
      <c r="CR43" s="40">
        <f t="shared" si="25"/>
        <v>460700</v>
      </c>
      <c r="CS43" s="40">
        <f t="shared" si="114"/>
        <v>29830</v>
      </c>
      <c r="CT43" s="128">
        <f t="shared" si="115"/>
        <v>11866197.089156726</v>
      </c>
      <c r="CU43" s="128">
        <f t="shared" si="26"/>
        <v>1067950</v>
      </c>
      <c r="CV43" s="128">
        <f t="shared" si="27"/>
        <v>472210</v>
      </c>
      <c r="CW43" s="128">
        <f t="shared" si="116"/>
        <v>30570</v>
      </c>
      <c r="CX43" s="40">
        <f t="shared" si="117"/>
        <v>12162852.016385643</v>
      </c>
      <c r="CY43" s="40">
        <f t="shared" si="28"/>
        <v>1094650</v>
      </c>
      <c r="CZ43" s="40">
        <f t="shared" si="29"/>
        <v>484020</v>
      </c>
      <c r="DA43" s="40">
        <f t="shared" si="118"/>
        <v>31340</v>
      </c>
      <c r="DB43" s="128">
        <f t="shared" si="119"/>
        <v>12466923.316795282</v>
      </c>
      <c r="DC43" s="128">
        <f t="shared" si="30"/>
        <v>1122020</v>
      </c>
      <c r="DD43" s="128">
        <f t="shared" si="31"/>
        <v>496120</v>
      </c>
      <c r="DE43" s="128">
        <f t="shared" si="120"/>
        <v>32120</v>
      </c>
      <c r="DF43" s="40">
        <f t="shared" si="121"/>
        <v>12778596.399715163</v>
      </c>
      <c r="DG43" s="40">
        <f t="shared" si="32"/>
        <v>1150070</v>
      </c>
      <c r="DH43" s="40">
        <f t="shared" si="33"/>
        <v>508520</v>
      </c>
      <c r="DI43" s="40">
        <f t="shared" si="122"/>
        <v>32920</v>
      </c>
      <c r="DJ43" s="128">
        <f t="shared" si="123"/>
        <v>13098061.30970804</v>
      </c>
      <c r="DK43" s="128">
        <f t="shared" si="34"/>
        <v>1178820</v>
      </c>
      <c r="DL43" s="128">
        <f t="shared" si="35"/>
        <v>521240</v>
      </c>
      <c r="DM43" s="128">
        <f t="shared" si="124"/>
        <v>33750</v>
      </c>
      <c r="DN43" s="40">
        <f t="shared" si="125"/>
        <v>13425512.84245074</v>
      </c>
      <c r="DO43" s="40">
        <f t="shared" si="36"/>
        <v>1208290</v>
      </c>
      <c r="DP43" s="40">
        <f t="shared" si="37"/>
        <v>534270</v>
      </c>
      <c r="DQ43" s="40">
        <f t="shared" si="126"/>
        <v>34590</v>
      </c>
      <c r="DR43" s="128">
        <f t="shared" si="127"/>
        <v>13761150.663512006</v>
      </c>
      <c r="DS43" s="128">
        <f t="shared" si="38"/>
        <v>1238500</v>
      </c>
      <c r="DT43" s="128">
        <f t="shared" si="39"/>
        <v>547630</v>
      </c>
      <c r="DU43" s="128">
        <f t="shared" si="128"/>
        <v>35450</v>
      </c>
      <c r="DV43" s="40">
        <f t="shared" si="129"/>
        <v>14105179.430099806</v>
      </c>
      <c r="DW43" s="40">
        <f t="shared" si="40"/>
        <v>1269460</v>
      </c>
      <c r="DX43" s="40">
        <f t="shared" si="41"/>
        <v>561320</v>
      </c>
      <c r="DY43" s="40">
        <f t="shared" si="130"/>
        <v>36340</v>
      </c>
      <c r="DZ43" s="128">
        <f t="shared" si="131"/>
        <v>14457808.915852299</v>
      </c>
      <c r="EA43" s="128">
        <f t="shared" si="42"/>
        <v>1301200</v>
      </c>
      <c r="EB43" s="128">
        <f t="shared" si="43"/>
        <v>575350</v>
      </c>
      <c r="EC43" s="128">
        <f t="shared" si="132"/>
        <v>37250</v>
      </c>
      <c r="ED43" s="40">
        <f t="shared" si="133"/>
        <v>14819254.138748605</v>
      </c>
      <c r="EE43" s="40">
        <f t="shared" si="44"/>
        <v>1333730</v>
      </c>
      <c r="EF43" s="40">
        <f t="shared" si="45"/>
        <v>589730</v>
      </c>
      <c r="EG43" s="40">
        <f t="shared" si="134"/>
        <v>38180</v>
      </c>
      <c r="EH43" s="128">
        <f t="shared" si="135"/>
        <v>15189735.492217319</v>
      </c>
      <c r="EI43" s="128">
        <f t="shared" si="46"/>
        <v>1367070</v>
      </c>
      <c r="EJ43" s="128">
        <f t="shared" si="47"/>
        <v>604480</v>
      </c>
      <c r="EK43" s="128">
        <f t="shared" si="136"/>
        <v>39140</v>
      </c>
      <c r="EL43" s="40">
        <f t="shared" si="137"/>
        <v>15569478.87952275</v>
      </c>
      <c r="EM43" s="40">
        <f t="shared" si="48"/>
        <v>1401250</v>
      </c>
      <c r="EN43" s="40">
        <f t="shared" si="49"/>
        <v>619590</v>
      </c>
      <c r="EO43" s="40">
        <f t="shared" si="138"/>
        <v>40110</v>
      </c>
      <c r="EP43" s="128">
        <f t="shared" si="139"/>
        <v>15958715.851510817</v>
      </c>
      <c r="EQ43" s="128">
        <f t="shared" si="50"/>
        <v>1436280</v>
      </c>
      <c r="ER43" s="128">
        <f t="shared" si="51"/>
        <v>635080</v>
      </c>
      <c r="ES43" s="128">
        <f t="shared" si="140"/>
        <v>41120</v>
      </c>
      <c r="ET43" s="40">
        <f t="shared" si="141"/>
        <v>16357683.747798586</v>
      </c>
      <c r="EU43" s="40">
        <f t="shared" si="52"/>
        <v>1472190</v>
      </c>
      <c r="EV43" s="40">
        <f t="shared" si="53"/>
        <v>650960</v>
      </c>
      <c r="EW43" s="40">
        <f t="shared" si="142"/>
        <v>42140</v>
      </c>
      <c r="EX43" s="128">
        <f t="shared" si="143"/>
        <v>16766625.841493549</v>
      </c>
      <c r="EY43" s="128">
        <f t="shared" si="54"/>
        <v>1508990</v>
      </c>
      <c r="EZ43" s="128">
        <f t="shared" si="55"/>
        <v>667230</v>
      </c>
      <c r="FA43" s="128">
        <f t="shared" si="144"/>
        <v>43200</v>
      </c>
      <c r="FB43" s="40">
        <f t="shared" si="145"/>
        <v>17185791.487530887</v>
      </c>
      <c r="FC43" s="40">
        <f t="shared" si="56"/>
        <v>1546720</v>
      </c>
      <c r="FD43" s="40">
        <f t="shared" si="57"/>
        <v>683910</v>
      </c>
      <c r="FE43" s="40">
        <f t="shared" si="146"/>
        <v>44280</v>
      </c>
      <c r="FF43" s="128">
        <f t="shared" si="147"/>
        <v>17615436.274719156</v>
      </c>
      <c r="FG43" s="128">
        <f t="shared" si="58"/>
        <v>1585380</v>
      </c>
      <c r="FH43" s="128">
        <f t="shared" si="59"/>
        <v>701010</v>
      </c>
      <c r="FI43" s="128">
        <f t="shared" si="148"/>
        <v>45390</v>
      </c>
      <c r="FJ43" s="40">
        <f t="shared" si="149"/>
        <v>18055822.181587134</v>
      </c>
      <c r="FK43" s="40">
        <f t="shared" si="60"/>
        <v>1625020</v>
      </c>
      <c r="FL43" s="40">
        <f t="shared" si="61"/>
        <v>718530</v>
      </c>
      <c r="FM43" s="40">
        <f t="shared" si="150"/>
        <v>46520</v>
      </c>
      <c r="FN43" s="128">
        <f t="shared" si="151"/>
        <v>18507217.73612681</v>
      </c>
      <c r="FO43" s="128">
        <f t="shared" si="62"/>
        <v>1665640</v>
      </c>
      <c r="FP43" s="128">
        <f t="shared" si="63"/>
        <v>736500</v>
      </c>
      <c r="FQ43" s="128">
        <f t="shared" si="152"/>
        <v>47680</v>
      </c>
      <c r="FR43" s="40">
        <f t="shared" si="153"/>
        <v>18969898.17952998</v>
      </c>
      <c r="FS43" s="40">
        <f t="shared" si="64"/>
        <v>1707290</v>
      </c>
      <c r="FT43" s="40">
        <f t="shared" si="65"/>
        <v>754910</v>
      </c>
      <c r="FU43" s="40">
        <f t="shared" si="154"/>
        <v>48880</v>
      </c>
      <c r="FV43" s="128">
        <f t="shared" si="155"/>
        <v>19444145.634018227</v>
      </c>
      <c r="FW43" s="128">
        <f t="shared" si="66"/>
        <v>1749970</v>
      </c>
      <c r="FX43" s="128">
        <f t="shared" si="67"/>
        <v>773780</v>
      </c>
      <c r="FY43" s="128">
        <f t="shared" si="156"/>
        <v>50100</v>
      </c>
      <c r="FZ43" s="40">
        <f t="shared" si="157"/>
        <v>19930249.274868682</v>
      </c>
      <c r="GA43" s="40">
        <f t="shared" si="68"/>
        <v>1793720</v>
      </c>
      <c r="GB43" s="40">
        <f t="shared" si="69"/>
        <v>793130</v>
      </c>
      <c r="GC43" s="40">
        <f t="shared" si="158"/>
        <v>51350</v>
      </c>
      <c r="GD43" s="128">
        <f t="shared" si="159"/>
        <v>20428505.506740399</v>
      </c>
      <c r="GE43" s="128">
        <f t="shared" si="70"/>
        <v>1838560</v>
      </c>
      <c r="GF43" s="128">
        <f t="shared" si="71"/>
        <v>812960</v>
      </c>
      <c r="GG43" s="128">
        <f t="shared" si="160"/>
        <v>52630</v>
      </c>
      <c r="GH43" s="40">
        <f t="shared" si="161"/>
        <v>20939218.144408908</v>
      </c>
      <c r="GI43" s="40">
        <f t="shared" si="72"/>
        <v>1884520</v>
      </c>
      <c r="GJ43" s="40">
        <f t="shared" si="73"/>
        <v>833280</v>
      </c>
      <c r="GK43" s="40">
        <f t="shared" si="162"/>
        <v>53950</v>
      </c>
      <c r="GL43" s="128">
        <f t="shared" si="163"/>
        <v>21462698.598019127</v>
      </c>
      <c r="GM43" s="128">
        <f t="shared" si="74"/>
        <v>1931640</v>
      </c>
      <c r="GN43" s="128">
        <f t="shared" si="75"/>
        <v>854110</v>
      </c>
      <c r="GO43" s="128">
        <f t="shared" si="164"/>
        <v>55300</v>
      </c>
      <c r="GP43" s="40">
        <f t="shared" si="165"/>
        <v>21999266.062969603</v>
      </c>
      <c r="GQ43" s="40">
        <f t="shared" si="76"/>
        <v>1979930</v>
      </c>
      <c r="GR43" s="40">
        <f t="shared" si="77"/>
        <v>875460</v>
      </c>
      <c r="GS43" s="40">
        <f t="shared" si="166"/>
        <v>56680</v>
      </c>
      <c r="GT43" s="128">
        <f t="shared" si="167"/>
        <v>22549247.714543842</v>
      </c>
      <c r="GU43" s="128">
        <f t="shared" si="78"/>
        <v>2029430</v>
      </c>
      <c r="GV43" s="128">
        <f t="shared" si="79"/>
        <v>897350</v>
      </c>
      <c r="GW43" s="128">
        <f t="shared" si="168"/>
        <v>58100</v>
      </c>
      <c r="GX43" s="40">
        <f t="shared" si="169"/>
        <v>23112978.907407437</v>
      </c>
      <c r="GY43" s="40">
        <f t="shared" si="80"/>
        <v>2080160</v>
      </c>
      <c r="GZ43" s="40">
        <f t="shared" si="81"/>
        <v>919780</v>
      </c>
      <c r="HA43" s="40">
        <f t="shared" si="170"/>
        <v>59550</v>
      </c>
      <c r="HB43" s="128" t="e">
        <f t="shared" si="171"/>
        <v>#REF!</v>
      </c>
      <c r="HC43" s="128" t="e">
        <f t="shared" si="82"/>
        <v>#REF!</v>
      </c>
      <c r="HD43" s="128" t="e">
        <f t="shared" si="83"/>
        <v>#REF!</v>
      </c>
      <c r="HE43" s="128" t="e">
        <f t="shared" si="172"/>
        <v>#REF!</v>
      </c>
    </row>
    <row r="44" spans="1:213">
      <c r="A44" s="2"/>
      <c r="B44" s="8"/>
      <c r="C44" s="3"/>
      <c r="D44" s="48"/>
      <c r="E44" s="63"/>
      <c r="F44" s="49"/>
      <c r="G44" s="87"/>
      <c r="H44" s="45"/>
      <c r="M44" s="883">
        <v>1.2</v>
      </c>
      <c r="N44" s="137">
        <v>40</v>
      </c>
      <c r="P44" s="141"/>
      <c r="Q44" s="99"/>
      <c r="R44" s="25" t="s">
        <v>250</v>
      </c>
      <c r="S44" s="719">
        <v>240000</v>
      </c>
      <c r="T44" s="97"/>
      <c r="V44" s="42"/>
      <c r="W44" s="101"/>
      <c r="AD44" s="26"/>
      <c r="AE44" s="27"/>
      <c r="AF44" s="778"/>
      <c r="AG44" s="28"/>
      <c r="AH44" s="28"/>
      <c r="AJ44" s="41">
        <v>37</v>
      </c>
      <c r="AK44" s="41">
        <v>47</v>
      </c>
      <c r="AL44" s="890">
        <v>8259070</v>
      </c>
      <c r="AM44" s="40">
        <f t="shared" si="84"/>
        <v>743320</v>
      </c>
      <c r="AN44" s="40">
        <v>268180</v>
      </c>
      <c r="AO44" s="40">
        <v>27490</v>
      </c>
      <c r="AP44" s="891">
        <f t="shared" si="85"/>
        <v>8399470</v>
      </c>
      <c r="AQ44" s="131">
        <f t="shared" si="86"/>
        <v>755950</v>
      </c>
      <c r="AR44" s="130">
        <f t="shared" si="87"/>
        <v>297760</v>
      </c>
      <c r="AS44" s="128">
        <f t="shared" si="88"/>
        <v>19280</v>
      </c>
      <c r="AT44" s="40">
        <f t="shared" si="89"/>
        <v>8693451.4499999993</v>
      </c>
      <c r="AU44" s="40">
        <f t="shared" si="0"/>
        <v>782410</v>
      </c>
      <c r="AV44" s="40">
        <f t="shared" si="1"/>
        <v>313420</v>
      </c>
      <c r="AW44" s="40">
        <f t="shared" si="90"/>
        <v>20290</v>
      </c>
      <c r="AX44" s="128">
        <f t="shared" si="91"/>
        <v>8910787.7362499982</v>
      </c>
      <c r="AY44" s="128">
        <f t="shared" si="2"/>
        <v>801970</v>
      </c>
      <c r="AZ44" s="128">
        <f t="shared" si="3"/>
        <v>321250</v>
      </c>
      <c r="BA44" s="128">
        <f t="shared" si="92"/>
        <v>20800</v>
      </c>
      <c r="BB44" s="40">
        <f t="shared" si="93"/>
        <v>9133557.4296562467</v>
      </c>
      <c r="BC44" s="40">
        <f t="shared" si="4"/>
        <v>822020</v>
      </c>
      <c r="BD44" s="40">
        <f t="shared" si="5"/>
        <v>337520</v>
      </c>
      <c r="BE44" s="40">
        <f t="shared" si="94"/>
        <v>21850</v>
      </c>
      <c r="BF44" s="128">
        <f t="shared" si="95"/>
        <v>9361896.3653976526</v>
      </c>
      <c r="BG44" s="128">
        <f t="shared" si="6"/>
        <v>842570</v>
      </c>
      <c r="BH44" s="128">
        <f t="shared" si="7"/>
        <v>345950</v>
      </c>
      <c r="BI44" s="128">
        <f t="shared" si="96"/>
        <v>22400</v>
      </c>
      <c r="BJ44" s="40">
        <f t="shared" si="97"/>
        <v>9595943.7745325938</v>
      </c>
      <c r="BK44" s="40">
        <f t="shared" si="8"/>
        <v>863630</v>
      </c>
      <c r="BL44" s="40">
        <f t="shared" si="9"/>
        <v>363470</v>
      </c>
      <c r="BM44" s="40">
        <f t="shared" si="98"/>
        <v>23530</v>
      </c>
      <c r="BN44" s="128">
        <f t="shared" si="99"/>
        <v>9835842.368895907</v>
      </c>
      <c r="BO44" s="128">
        <f t="shared" si="10"/>
        <v>885220</v>
      </c>
      <c r="BP44" s="128">
        <f t="shared" si="11"/>
        <v>381870</v>
      </c>
      <c r="BQ44" s="128">
        <f t="shared" si="100"/>
        <v>24720</v>
      </c>
      <c r="BR44" s="40">
        <f t="shared" si="101"/>
        <v>10081738.428118303</v>
      </c>
      <c r="BS44" s="40">
        <f t="shared" si="12"/>
        <v>907350</v>
      </c>
      <c r="BT44" s="40">
        <f t="shared" si="13"/>
        <v>391420</v>
      </c>
      <c r="BU44" s="40">
        <f t="shared" si="102"/>
        <v>25340</v>
      </c>
      <c r="BV44" s="128">
        <f t="shared" si="103"/>
        <v>10333781.888821261</v>
      </c>
      <c r="BW44" s="128">
        <f t="shared" si="14"/>
        <v>930040</v>
      </c>
      <c r="BX44" s="128">
        <f t="shared" si="15"/>
        <v>411230</v>
      </c>
      <c r="BY44" s="128">
        <f t="shared" si="104"/>
        <v>26620</v>
      </c>
      <c r="BZ44" s="40">
        <f t="shared" si="105"/>
        <v>10592126.436041791</v>
      </c>
      <c r="CA44" s="40">
        <f t="shared" si="16"/>
        <v>953290</v>
      </c>
      <c r="CB44" s="40">
        <f t="shared" si="17"/>
        <v>421510</v>
      </c>
      <c r="CC44" s="40">
        <f t="shared" si="106"/>
        <v>27290</v>
      </c>
      <c r="CD44" s="128">
        <f t="shared" si="107"/>
        <v>10856929.596942835</v>
      </c>
      <c r="CE44" s="128">
        <f t="shared" si="18"/>
        <v>977120</v>
      </c>
      <c r="CF44" s="128">
        <f t="shared" si="19"/>
        <v>432050</v>
      </c>
      <c r="CG44" s="128">
        <f t="shared" si="108"/>
        <v>27970</v>
      </c>
      <c r="CH44" s="40">
        <f t="shared" si="109"/>
        <v>11128352.836866405</v>
      </c>
      <c r="CI44" s="40">
        <f t="shared" si="20"/>
        <v>1001550</v>
      </c>
      <c r="CJ44" s="40">
        <f t="shared" si="21"/>
        <v>442850</v>
      </c>
      <c r="CK44" s="40">
        <f t="shared" si="110"/>
        <v>28670</v>
      </c>
      <c r="CL44" s="128">
        <f t="shared" si="111"/>
        <v>11406561.657788064</v>
      </c>
      <c r="CM44" s="128">
        <f t="shared" si="22"/>
        <v>1026590</v>
      </c>
      <c r="CN44" s="128">
        <f t="shared" si="23"/>
        <v>453920</v>
      </c>
      <c r="CO44" s="128">
        <f t="shared" si="112"/>
        <v>29390</v>
      </c>
      <c r="CP44" s="40">
        <f t="shared" si="113"/>
        <v>11691725.699232765</v>
      </c>
      <c r="CQ44" s="40">
        <f t="shared" si="24"/>
        <v>1052250</v>
      </c>
      <c r="CR44" s="40">
        <f t="shared" si="25"/>
        <v>465270</v>
      </c>
      <c r="CS44" s="40">
        <f t="shared" si="114"/>
        <v>30120</v>
      </c>
      <c r="CT44" s="128">
        <f t="shared" si="115"/>
        <v>11984018.841713583</v>
      </c>
      <c r="CU44" s="128">
        <f t="shared" si="26"/>
        <v>1078560</v>
      </c>
      <c r="CV44" s="128">
        <f t="shared" si="27"/>
        <v>476900</v>
      </c>
      <c r="CW44" s="128">
        <f t="shared" si="116"/>
        <v>30870</v>
      </c>
      <c r="CX44" s="40">
        <f t="shared" si="117"/>
        <v>12283619.312756421</v>
      </c>
      <c r="CY44" s="40">
        <f t="shared" si="28"/>
        <v>1105520</v>
      </c>
      <c r="CZ44" s="40">
        <f t="shared" si="29"/>
        <v>488830</v>
      </c>
      <c r="DA44" s="40">
        <f t="shared" si="118"/>
        <v>31650</v>
      </c>
      <c r="DB44" s="128">
        <f t="shared" si="119"/>
        <v>12590709.79557533</v>
      </c>
      <c r="DC44" s="128">
        <f t="shared" si="30"/>
        <v>1133160</v>
      </c>
      <c r="DD44" s="128">
        <f t="shared" si="31"/>
        <v>501050</v>
      </c>
      <c r="DE44" s="128">
        <f t="shared" si="120"/>
        <v>32440</v>
      </c>
      <c r="DF44" s="40">
        <f t="shared" si="121"/>
        <v>12905477.540464712</v>
      </c>
      <c r="DG44" s="40">
        <f t="shared" si="32"/>
        <v>1161490</v>
      </c>
      <c r="DH44" s="40">
        <f t="shared" si="33"/>
        <v>513570</v>
      </c>
      <c r="DI44" s="40">
        <f t="shared" si="122"/>
        <v>33250</v>
      </c>
      <c r="DJ44" s="128">
        <f t="shared" si="123"/>
        <v>13228114.47897633</v>
      </c>
      <c r="DK44" s="128">
        <f t="shared" si="34"/>
        <v>1190530</v>
      </c>
      <c r="DL44" s="128">
        <f t="shared" si="35"/>
        <v>526410</v>
      </c>
      <c r="DM44" s="128">
        <f t="shared" si="124"/>
        <v>34080</v>
      </c>
      <c r="DN44" s="40">
        <f t="shared" si="125"/>
        <v>13558817.340950737</v>
      </c>
      <c r="DO44" s="40">
        <f t="shared" si="36"/>
        <v>1220290</v>
      </c>
      <c r="DP44" s="40">
        <f t="shared" si="37"/>
        <v>539570</v>
      </c>
      <c r="DQ44" s="40">
        <f t="shared" si="126"/>
        <v>34930</v>
      </c>
      <c r="DR44" s="128">
        <f t="shared" si="127"/>
        <v>13897787.774474503</v>
      </c>
      <c r="DS44" s="128">
        <f t="shared" si="38"/>
        <v>1250800</v>
      </c>
      <c r="DT44" s="128">
        <f t="shared" si="39"/>
        <v>553060</v>
      </c>
      <c r="DU44" s="128">
        <f t="shared" si="128"/>
        <v>35810</v>
      </c>
      <c r="DV44" s="40">
        <f t="shared" si="129"/>
        <v>14245232.468836365</v>
      </c>
      <c r="DW44" s="40">
        <f t="shared" si="40"/>
        <v>1282070</v>
      </c>
      <c r="DX44" s="40">
        <f t="shared" si="41"/>
        <v>566890</v>
      </c>
      <c r="DY44" s="40">
        <f t="shared" si="130"/>
        <v>36700</v>
      </c>
      <c r="DZ44" s="128">
        <f t="shared" si="131"/>
        <v>14601363.280557273</v>
      </c>
      <c r="EA44" s="128">
        <f t="shared" si="42"/>
        <v>1314120</v>
      </c>
      <c r="EB44" s="128">
        <f t="shared" si="43"/>
        <v>581060</v>
      </c>
      <c r="EC44" s="128">
        <f t="shared" si="132"/>
        <v>37620</v>
      </c>
      <c r="ED44" s="40">
        <f t="shared" si="133"/>
        <v>14966397.362571204</v>
      </c>
      <c r="EE44" s="40">
        <f t="shared" si="44"/>
        <v>1346970</v>
      </c>
      <c r="EF44" s="40">
        <f t="shared" si="45"/>
        <v>595590</v>
      </c>
      <c r="EG44" s="40">
        <f t="shared" si="134"/>
        <v>38560</v>
      </c>
      <c r="EH44" s="128">
        <f t="shared" si="135"/>
        <v>15340557.296635482</v>
      </c>
      <c r="EI44" s="128">
        <f t="shared" si="46"/>
        <v>1380650</v>
      </c>
      <c r="EJ44" s="128">
        <f t="shared" si="47"/>
        <v>610480</v>
      </c>
      <c r="EK44" s="128">
        <f t="shared" si="136"/>
        <v>39520</v>
      </c>
      <c r="EL44" s="40">
        <f t="shared" si="137"/>
        <v>15724071.229051368</v>
      </c>
      <c r="EM44" s="40">
        <f t="shared" si="48"/>
        <v>1415160</v>
      </c>
      <c r="EN44" s="40">
        <f t="shared" si="49"/>
        <v>625740</v>
      </c>
      <c r="EO44" s="40">
        <f t="shared" si="138"/>
        <v>40510</v>
      </c>
      <c r="EP44" s="128">
        <f t="shared" si="139"/>
        <v>16117173.00977765</v>
      </c>
      <c r="EQ44" s="128">
        <f t="shared" si="50"/>
        <v>1450540</v>
      </c>
      <c r="ER44" s="128">
        <f t="shared" si="51"/>
        <v>641380</v>
      </c>
      <c r="ES44" s="128">
        <f t="shared" si="140"/>
        <v>41520</v>
      </c>
      <c r="ET44" s="40">
        <f t="shared" si="141"/>
        <v>16520102.33502209</v>
      </c>
      <c r="EU44" s="40">
        <f t="shared" si="52"/>
        <v>1486800</v>
      </c>
      <c r="EV44" s="40">
        <f t="shared" si="53"/>
        <v>657420</v>
      </c>
      <c r="EW44" s="40">
        <f t="shared" si="142"/>
        <v>42560</v>
      </c>
      <c r="EX44" s="128">
        <f t="shared" si="143"/>
        <v>16933104.89339764</v>
      </c>
      <c r="EY44" s="128">
        <f t="shared" si="54"/>
        <v>1523970</v>
      </c>
      <c r="EZ44" s="128">
        <f t="shared" si="55"/>
        <v>673850</v>
      </c>
      <c r="FA44" s="128">
        <f t="shared" si="144"/>
        <v>43630</v>
      </c>
      <c r="FB44" s="40">
        <f t="shared" si="145"/>
        <v>17356432.515732579</v>
      </c>
      <c r="FC44" s="40">
        <f t="shared" si="56"/>
        <v>1562070</v>
      </c>
      <c r="FD44" s="40">
        <f t="shared" si="57"/>
        <v>690700</v>
      </c>
      <c r="FE44" s="40">
        <f t="shared" si="146"/>
        <v>44720</v>
      </c>
      <c r="FF44" s="128">
        <f t="shared" si="147"/>
        <v>17790343.328625891</v>
      </c>
      <c r="FG44" s="128">
        <f t="shared" si="58"/>
        <v>1601130</v>
      </c>
      <c r="FH44" s="128">
        <f t="shared" si="59"/>
        <v>707970</v>
      </c>
      <c r="FI44" s="128">
        <f t="shared" si="148"/>
        <v>45840</v>
      </c>
      <c r="FJ44" s="40">
        <f t="shared" si="149"/>
        <v>18235101.911841538</v>
      </c>
      <c r="FK44" s="40">
        <f t="shared" si="60"/>
        <v>1641150</v>
      </c>
      <c r="FL44" s="40">
        <f t="shared" si="61"/>
        <v>725670</v>
      </c>
      <c r="FM44" s="40">
        <f t="shared" si="150"/>
        <v>46980</v>
      </c>
      <c r="FN44" s="128">
        <f t="shared" si="151"/>
        <v>18690979.459637575</v>
      </c>
      <c r="FO44" s="128">
        <f t="shared" si="62"/>
        <v>1682180</v>
      </c>
      <c r="FP44" s="128">
        <f t="shared" si="63"/>
        <v>743810</v>
      </c>
      <c r="FQ44" s="128">
        <f t="shared" si="152"/>
        <v>48160</v>
      </c>
      <c r="FR44" s="40">
        <f t="shared" si="153"/>
        <v>19158253.946128514</v>
      </c>
      <c r="FS44" s="40">
        <f t="shared" si="64"/>
        <v>1724240</v>
      </c>
      <c r="FT44" s="40">
        <f t="shared" si="65"/>
        <v>762400</v>
      </c>
      <c r="FU44" s="40">
        <f t="shared" si="154"/>
        <v>49360</v>
      </c>
      <c r="FV44" s="128">
        <f t="shared" si="155"/>
        <v>19637210.294781726</v>
      </c>
      <c r="FW44" s="128">
        <f t="shared" si="66"/>
        <v>1767340</v>
      </c>
      <c r="FX44" s="128">
        <f t="shared" si="67"/>
        <v>781470</v>
      </c>
      <c r="FY44" s="128">
        <f t="shared" si="156"/>
        <v>50600</v>
      </c>
      <c r="FZ44" s="40">
        <f t="shared" si="157"/>
        <v>20128140.552151266</v>
      </c>
      <c r="GA44" s="40">
        <f t="shared" si="68"/>
        <v>1811530</v>
      </c>
      <c r="GB44" s="40">
        <f t="shared" si="69"/>
        <v>801000</v>
      </c>
      <c r="GC44" s="40">
        <f t="shared" si="158"/>
        <v>51860</v>
      </c>
      <c r="GD44" s="128">
        <f t="shared" si="159"/>
        <v>20631344.065955047</v>
      </c>
      <c r="GE44" s="128">
        <f t="shared" si="70"/>
        <v>1856820</v>
      </c>
      <c r="GF44" s="128">
        <f t="shared" si="71"/>
        <v>821030</v>
      </c>
      <c r="GG44" s="128">
        <f t="shared" si="160"/>
        <v>53160</v>
      </c>
      <c r="GH44" s="40">
        <f t="shared" si="161"/>
        <v>21147127.667603921</v>
      </c>
      <c r="GI44" s="40">
        <f t="shared" si="72"/>
        <v>1903240</v>
      </c>
      <c r="GJ44" s="40">
        <f t="shared" si="73"/>
        <v>841550</v>
      </c>
      <c r="GK44" s="40">
        <f t="shared" si="162"/>
        <v>54490</v>
      </c>
      <c r="GL44" s="128">
        <f t="shared" si="163"/>
        <v>21675805.859294016</v>
      </c>
      <c r="GM44" s="128">
        <f t="shared" si="74"/>
        <v>1950820</v>
      </c>
      <c r="GN44" s="128">
        <f t="shared" si="75"/>
        <v>862590</v>
      </c>
      <c r="GO44" s="128">
        <f t="shared" si="164"/>
        <v>55850</v>
      </c>
      <c r="GP44" s="40">
        <f t="shared" si="165"/>
        <v>22217701.005776364</v>
      </c>
      <c r="GQ44" s="40">
        <f t="shared" si="76"/>
        <v>1999590</v>
      </c>
      <c r="GR44" s="40">
        <f t="shared" si="77"/>
        <v>884160</v>
      </c>
      <c r="GS44" s="40">
        <f t="shared" si="166"/>
        <v>57240</v>
      </c>
      <c r="GT44" s="128">
        <f t="shared" si="167"/>
        <v>22773143.53092077</v>
      </c>
      <c r="GU44" s="128">
        <f t="shared" si="78"/>
        <v>2049580</v>
      </c>
      <c r="GV44" s="128">
        <f t="shared" si="79"/>
        <v>906260</v>
      </c>
      <c r="GW44" s="128">
        <f t="shared" si="168"/>
        <v>58680</v>
      </c>
      <c r="GX44" s="40">
        <f t="shared" si="169"/>
        <v>23342472.119193789</v>
      </c>
      <c r="GY44" s="40">
        <f t="shared" si="80"/>
        <v>2100820</v>
      </c>
      <c r="GZ44" s="40">
        <f t="shared" si="81"/>
        <v>928920</v>
      </c>
      <c r="HA44" s="40">
        <f t="shared" si="170"/>
        <v>60140</v>
      </c>
      <c r="HB44" s="128" t="e">
        <f t="shared" si="171"/>
        <v>#REF!</v>
      </c>
      <c r="HC44" s="128" t="e">
        <f t="shared" si="82"/>
        <v>#REF!</v>
      </c>
      <c r="HD44" s="128" t="e">
        <f t="shared" si="83"/>
        <v>#REF!</v>
      </c>
      <c r="HE44" s="128" t="e">
        <f t="shared" si="172"/>
        <v>#REF!</v>
      </c>
    </row>
    <row r="45" spans="1:213">
      <c r="A45" s="2"/>
      <c r="B45" s="8"/>
      <c r="C45" s="3"/>
      <c r="D45" s="48"/>
      <c r="E45" s="63"/>
      <c r="F45" s="49"/>
      <c r="G45" s="87"/>
      <c r="H45" s="45"/>
      <c r="S45" s="719">
        <v>250000</v>
      </c>
      <c r="T45" s="97"/>
      <c r="V45" s="42"/>
      <c r="W45" s="101"/>
      <c r="AD45" s="26"/>
      <c r="AE45" s="27"/>
      <c r="AF45" s="778"/>
      <c r="AG45" s="28"/>
      <c r="AH45" s="28"/>
      <c r="AJ45" s="41">
        <v>38</v>
      </c>
      <c r="AK45" s="41">
        <v>48</v>
      </c>
      <c r="AL45" s="890">
        <v>8334820</v>
      </c>
      <c r="AM45" s="40">
        <f t="shared" si="84"/>
        <v>750130</v>
      </c>
      <c r="AN45" s="40">
        <v>270640</v>
      </c>
      <c r="AO45" s="40">
        <v>27740</v>
      </c>
      <c r="AP45" s="891">
        <f t="shared" si="85"/>
        <v>8476510</v>
      </c>
      <c r="AQ45" s="131">
        <f t="shared" si="86"/>
        <v>762890</v>
      </c>
      <c r="AR45" s="130">
        <f t="shared" si="87"/>
        <v>300490</v>
      </c>
      <c r="AS45" s="128">
        <f t="shared" si="88"/>
        <v>19460</v>
      </c>
      <c r="AT45" s="40">
        <f t="shared" si="89"/>
        <v>8773187.8499999996</v>
      </c>
      <c r="AU45" s="40">
        <f t="shared" si="0"/>
        <v>789580</v>
      </c>
      <c r="AV45" s="40">
        <f t="shared" si="1"/>
        <v>316290</v>
      </c>
      <c r="AW45" s="40">
        <f t="shared" si="90"/>
        <v>20470</v>
      </c>
      <c r="AX45" s="128">
        <f t="shared" si="91"/>
        <v>8992517.5462499987</v>
      </c>
      <c r="AY45" s="128">
        <f t="shared" si="2"/>
        <v>809320</v>
      </c>
      <c r="AZ45" s="128">
        <f t="shared" si="3"/>
        <v>324200</v>
      </c>
      <c r="BA45" s="128">
        <f t="shared" si="92"/>
        <v>20990</v>
      </c>
      <c r="BB45" s="40">
        <f t="shared" si="93"/>
        <v>9217330.4849062487</v>
      </c>
      <c r="BC45" s="40">
        <f t="shared" si="4"/>
        <v>829550</v>
      </c>
      <c r="BD45" s="40">
        <f t="shared" si="5"/>
        <v>340610</v>
      </c>
      <c r="BE45" s="40">
        <f t="shared" si="94"/>
        <v>22050</v>
      </c>
      <c r="BF45" s="128">
        <f t="shared" si="95"/>
        <v>9447763.747028904</v>
      </c>
      <c r="BG45" s="128">
        <f t="shared" si="6"/>
        <v>850290</v>
      </c>
      <c r="BH45" s="128">
        <f t="shared" si="7"/>
        <v>349130</v>
      </c>
      <c r="BI45" s="128">
        <f t="shared" si="96"/>
        <v>22600</v>
      </c>
      <c r="BJ45" s="40">
        <f t="shared" si="97"/>
        <v>9683957.8407046255</v>
      </c>
      <c r="BK45" s="40">
        <f t="shared" si="8"/>
        <v>871550</v>
      </c>
      <c r="BL45" s="40">
        <f t="shared" si="9"/>
        <v>366800</v>
      </c>
      <c r="BM45" s="40">
        <f t="shared" si="98"/>
        <v>23750</v>
      </c>
      <c r="BN45" s="128">
        <f t="shared" si="99"/>
        <v>9926056.786722241</v>
      </c>
      <c r="BO45" s="128">
        <f t="shared" si="10"/>
        <v>893340</v>
      </c>
      <c r="BP45" s="128">
        <f t="shared" si="11"/>
        <v>385370</v>
      </c>
      <c r="BQ45" s="128">
        <f t="shared" si="100"/>
        <v>24950</v>
      </c>
      <c r="BR45" s="40">
        <f t="shared" si="101"/>
        <v>10174208.206390297</v>
      </c>
      <c r="BS45" s="40">
        <f t="shared" si="12"/>
        <v>915670</v>
      </c>
      <c r="BT45" s="40">
        <f t="shared" si="13"/>
        <v>395010</v>
      </c>
      <c r="BU45" s="40">
        <f t="shared" si="102"/>
        <v>25570</v>
      </c>
      <c r="BV45" s="128">
        <f t="shared" si="103"/>
        <v>10428563.411550054</v>
      </c>
      <c r="BW45" s="128">
        <f t="shared" si="14"/>
        <v>938570</v>
      </c>
      <c r="BX45" s="128">
        <f t="shared" si="15"/>
        <v>415000</v>
      </c>
      <c r="BY45" s="128">
        <f t="shared" si="104"/>
        <v>26870</v>
      </c>
      <c r="BZ45" s="40">
        <f t="shared" si="105"/>
        <v>10689277.496838804</v>
      </c>
      <c r="CA45" s="40">
        <f t="shared" si="16"/>
        <v>962030</v>
      </c>
      <c r="CB45" s="40">
        <f t="shared" si="17"/>
        <v>425380</v>
      </c>
      <c r="CC45" s="40">
        <f t="shared" si="106"/>
        <v>27540</v>
      </c>
      <c r="CD45" s="128">
        <f t="shared" si="107"/>
        <v>10956509.434259774</v>
      </c>
      <c r="CE45" s="128">
        <f t="shared" si="18"/>
        <v>986080</v>
      </c>
      <c r="CF45" s="128">
        <f t="shared" si="19"/>
        <v>436010</v>
      </c>
      <c r="CG45" s="128">
        <f t="shared" si="108"/>
        <v>28230</v>
      </c>
      <c r="CH45" s="40">
        <f t="shared" si="109"/>
        <v>11230422.170116268</v>
      </c>
      <c r="CI45" s="40">
        <f t="shared" si="20"/>
        <v>1010730</v>
      </c>
      <c r="CJ45" s="40">
        <f t="shared" si="21"/>
        <v>446910</v>
      </c>
      <c r="CK45" s="40">
        <f t="shared" si="110"/>
        <v>28930</v>
      </c>
      <c r="CL45" s="128">
        <f t="shared" si="111"/>
        <v>11511182.724369174</v>
      </c>
      <c r="CM45" s="128">
        <f t="shared" si="22"/>
        <v>1036000</v>
      </c>
      <c r="CN45" s="128">
        <f t="shared" si="23"/>
        <v>458090</v>
      </c>
      <c r="CO45" s="128">
        <f t="shared" si="112"/>
        <v>29660</v>
      </c>
      <c r="CP45" s="40">
        <f t="shared" si="113"/>
        <v>11798962.292478403</v>
      </c>
      <c r="CQ45" s="40">
        <f t="shared" si="24"/>
        <v>1061900</v>
      </c>
      <c r="CR45" s="40">
        <f t="shared" si="25"/>
        <v>469540</v>
      </c>
      <c r="CS45" s="40">
        <f t="shared" si="114"/>
        <v>30400</v>
      </c>
      <c r="CT45" s="128">
        <f t="shared" si="115"/>
        <v>12093936.349790363</v>
      </c>
      <c r="CU45" s="128">
        <f t="shared" si="26"/>
        <v>1088450</v>
      </c>
      <c r="CV45" s="128">
        <f t="shared" si="27"/>
        <v>481280</v>
      </c>
      <c r="CW45" s="128">
        <f t="shared" si="116"/>
        <v>31160</v>
      </c>
      <c r="CX45" s="40">
        <f t="shared" si="117"/>
        <v>12396284.758535121</v>
      </c>
      <c r="CY45" s="40">
        <f t="shared" si="28"/>
        <v>1115660</v>
      </c>
      <c r="CZ45" s="40">
        <f t="shared" si="29"/>
        <v>493310</v>
      </c>
      <c r="DA45" s="40">
        <f t="shared" si="118"/>
        <v>31940</v>
      </c>
      <c r="DB45" s="128">
        <f t="shared" si="119"/>
        <v>12706191.877498498</v>
      </c>
      <c r="DC45" s="128">
        <f t="shared" si="30"/>
        <v>1143550</v>
      </c>
      <c r="DD45" s="128">
        <f t="shared" si="31"/>
        <v>505640</v>
      </c>
      <c r="DE45" s="128">
        <f t="shared" si="120"/>
        <v>32740</v>
      </c>
      <c r="DF45" s="40">
        <f t="shared" si="121"/>
        <v>13023846.67443596</v>
      </c>
      <c r="DG45" s="40">
        <f t="shared" si="32"/>
        <v>1172140</v>
      </c>
      <c r="DH45" s="40">
        <f t="shared" si="33"/>
        <v>518280</v>
      </c>
      <c r="DI45" s="40">
        <f t="shared" si="122"/>
        <v>33550</v>
      </c>
      <c r="DJ45" s="128">
        <f t="shared" si="123"/>
        <v>13349442.841296857</v>
      </c>
      <c r="DK45" s="128">
        <f t="shared" si="34"/>
        <v>1201440</v>
      </c>
      <c r="DL45" s="128">
        <f t="shared" si="35"/>
        <v>531240</v>
      </c>
      <c r="DM45" s="128">
        <f t="shared" si="124"/>
        <v>34390</v>
      </c>
      <c r="DN45" s="40">
        <f t="shared" si="125"/>
        <v>13683178.912329277</v>
      </c>
      <c r="DO45" s="40">
        <f t="shared" si="36"/>
        <v>1231480</v>
      </c>
      <c r="DP45" s="40">
        <f t="shared" si="37"/>
        <v>544520</v>
      </c>
      <c r="DQ45" s="40">
        <f t="shared" si="126"/>
        <v>35250</v>
      </c>
      <c r="DR45" s="128">
        <f t="shared" si="127"/>
        <v>14025258.385137508</v>
      </c>
      <c r="DS45" s="128">
        <f t="shared" si="38"/>
        <v>1262270</v>
      </c>
      <c r="DT45" s="128">
        <f t="shared" si="39"/>
        <v>558140</v>
      </c>
      <c r="DU45" s="128">
        <f t="shared" si="128"/>
        <v>36130</v>
      </c>
      <c r="DV45" s="40">
        <f t="shared" si="129"/>
        <v>14375889.844765944</v>
      </c>
      <c r="DW45" s="40">
        <f t="shared" si="40"/>
        <v>1293830</v>
      </c>
      <c r="DX45" s="40">
        <f t="shared" si="41"/>
        <v>572090</v>
      </c>
      <c r="DY45" s="40">
        <f t="shared" si="130"/>
        <v>37040</v>
      </c>
      <c r="DZ45" s="128">
        <f t="shared" si="131"/>
        <v>14735287.090885092</v>
      </c>
      <c r="EA45" s="128">
        <f t="shared" si="42"/>
        <v>1326170</v>
      </c>
      <c r="EB45" s="128">
        <f t="shared" si="43"/>
        <v>586390</v>
      </c>
      <c r="EC45" s="128">
        <f t="shared" si="132"/>
        <v>37960</v>
      </c>
      <c r="ED45" s="40">
        <f t="shared" si="133"/>
        <v>15103669.268157218</v>
      </c>
      <c r="EE45" s="40">
        <f t="shared" si="44"/>
        <v>1359330</v>
      </c>
      <c r="EF45" s="40">
        <f t="shared" si="45"/>
        <v>601050</v>
      </c>
      <c r="EG45" s="40">
        <f t="shared" si="134"/>
        <v>38910</v>
      </c>
      <c r="EH45" s="128">
        <f t="shared" si="135"/>
        <v>15481260.999861147</v>
      </c>
      <c r="EI45" s="128">
        <f t="shared" si="46"/>
        <v>1393310</v>
      </c>
      <c r="EJ45" s="128">
        <f t="shared" si="47"/>
        <v>616080</v>
      </c>
      <c r="EK45" s="128">
        <f t="shared" si="136"/>
        <v>39890</v>
      </c>
      <c r="EL45" s="40">
        <f t="shared" si="137"/>
        <v>15868292.524857674</v>
      </c>
      <c r="EM45" s="40">
        <f t="shared" si="48"/>
        <v>1428140</v>
      </c>
      <c r="EN45" s="40">
        <f t="shared" si="49"/>
        <v>631480</v>
      </c>
      <c r="EO45" s="40">
        <f t="shared" si="138"/>
        <v>40880</v>
      </c>
      <c r="EP45" s="128">
        <f t="shared" si="139"/>
        <v>16264999.837979114</v>
      </c>
      <c r="EQ45" s="128">
        <f t="shared" si="50"/>
        <v>1463840</v>
      </c>
      <c r="ER45" s="128">
        <f t="shared" si="51"/>
        <v>647270</v>
      </c>
      <c r="ES45" s="128">
        <f t="shared" si="140"/>
        <v>41910</v>
      </c>
      <c r="ET45" s="40">
        <f t="shared" si="141"/>
        <v>16671624.833928591</v>
      </c>
      <c r="EU45" s="40">
        <f t="shared" si="52"/>
        <v>1500440</v>
      </c>
      <c r="EV45" s="40">
        <f t="shared" si="53"/>
        <v>663450</v>
      </c>
      <c r="EW45" s="40">
        <f t="shared" si="142"/>
        <v>42950</v>
      </c>
      <c r="EX45" s="128">
        <f t="shared" si="143"/>
        <v>17088415.454776805</v>
      </c>
      <c r="EY45" s="128">
        <f t="shared" si="54"/>
        <v>1537950</v>
      </c>
      <c r="EZ45" s="128">
        <f t="shared" si="55"/>
        <v>680030</v>
      </c>
      <c r="FA45" s="128">
        <f t="shared" si="144"/>
        <v>44030</v>
      </c>
      <c r="FB45" s="40">
        <f t="shared" si="145"/>
        <v>17515625.841146223</v>
      </c>
      <c r="FC45" s="40">
        <f t="shared" si="56"/>
        <v>1576400</v>
      </c>
      <c r="FD45" s="40">
        <f t="shared" si="57"/>
        <v>697040</v>
      </c>
      <c r="FE45" s="40">
        <f t="shared" si="146"/>
        <v>45130</v>
      </c>
      <c r="FF45" s="128">
        <f t="shared" si="147"/>
        <v>17953516.487174876</v>
      </c>
      <c r="FG45" s="128">
        <f t="shared" si="58"/>
        <v>1615810</v>
      </c>
      <c r="FH45" s="128">
        <f t="shared" si="59"/>
        <v>714460</v>
      </c>
      <c r="FI45" s="128">
        <f t="shared" si="148"/>
        <v>46260</v>
      </c>
      <c r="FJ45" s="40">
        <f t="shared" si="149"/>
        <v>18402354.399354246</v>
      </c>
      <c r="FK45" s="40">
        <f t="shared" si="60"/>
        <v>1656210</v>
      </c>
      <c r="FL45" s="40">
        <f t="shared" si="61"/>
        <v>732320</v>
      </c>
      <c r="FM45" s="40">
        <f t="shared" si="150"/>
        <v>47410</v>
      </c>
      <c r="FN45" s="128">
        <f t="shared" si="151"/>
        <v>18862413.2593381</v>
      </c>
      <c r="FO45" s="128">
        <f t="shared" si="62"/>
        <v>1697610</v>
      </c>
      <c r="FP45" s="128">
        <f t="shared" si="63"/>
        <v>750630</v>
      </c>
      <c r="FQ45" s="128">
        <f t="shared" si="152"/>
        <v>48600</v>
      </c>
      <c r="FR45" s="40">
        <f t="shared" si="153"/>
        <v>19333973.590821549</v>
      </c>
      <c r="FS45" s="40">
        <f t="shared" si="64"/>
        <v>1740050</v>
      </c>
      <c r="FT45" s="40">
        <f t="shared" si="65"/>
        <v>769400</v>
      </c>
      <c r="FU45" s="40">
        <f t="shared" si="154"/>
        <v>49810</v>
      </c>
      <c r="FV45" s="128">
        <f t="shared" si="155"/>
        <v>19817322.930592086</v>
      </c>
      <c r="FW45" s="128">
        <f t="shared" si="66"/>
        <v>1783550</v>
      </c>
      <c r="FX45" s="128">
        <f t="shared" si="67"/>
        <v>788630</v>
      </c>
      <c r="FY45" s="128">
        <f t="shared" si="156"/>
        <v>51060</v>
      </c>
      <c r="FZ45" s="40">
        <f t="shared" si="157"/>
        <v>20312756.003856886</v>
      </c>
      <c r="GA45" s="40">
        <f t="shared" si="68"/>
        <v>1828140</v>
      </c>
      <c r="GB45" s="40">
        <f t="shared" si="69"/>
        <v>808350</v>
      </c>
      <c r="GC45" s="40">
        <f t="shared" si="158"/>
        <v>52340</v>
      </c>
      <c r="GD45" s="128">
        <f t="shared" si="159"/>
        <v>20820574.903953306</v>
      </c>
      <c r="GE45" s="128">
        <f t="shared" si="70"/>
        <v>1873850</v>
      </c>
      <c r="GF45" s="128">
        <f t="shared" si="71"/>
        <v>828560</v>
      </c>
      <c r="GG45" s="128">
        <f t="shared" si="160"/>
        <v>53640</v>
      </c>
      <c r="GH45" s="40">
        <f t="shared" si="161"/>
        <v>21341089.276552137</v>
      </c>
      <c r="GI45" s="40">
        <f t="shared" si="72"/>
        <v>1920690</v>
      </c>
      <c r="GJ45" s="40">
        <f t="shared" si="73"/>
        <v>849270</v>
      </c>
      <c r="GK45" s="40">
        <f t="shared" si="162"/>
        <v>54990</v>
      </c>
      <c r="GL45" s="128">
        <f t="shared" si="163"/>
        <v>21874616.508465938</v>
      </c>
      <c r="GM45" s="128">
        <f t="shared" si="74"/>
        <v>1968710</v>
      </c>
      <c r="GN45" s="128">
        <f t="shared" si="75"/>
        <v>870500</v>
      </c>
      <c r="GO45" s="128">
        <f t="shared" si="164"/>
        <v>56360</v>
      </c>
      <c r="GP45" s="40">
        <f t="shared" si="165"/>
        <v>22421481.921177585</v>
      </c>
      <c r="GQ45" s="40">
        <f t="shared" si="76"/>
        <v>2017930</v>
      </c>
      <c r="GR45" s="40">
        <f t="shared" si="77"/>
        <v>892270</v>
      </c>
      <c r="GS45" s="40">
        <f t="shared" si="166"/>
        <v>57770</v>
      </c>
      <c r="GT45" s="128">
        <f t="shared" si="167"/>
        <v>22982018.969207022</v>
      </c>
      <c r="GU45" s="128">
        <f t="shared" si="78"/>
        <v>2068380</v>
      </c>
      <c r="GV45" s="128">
        <f t="shared" si="79"/>
        <v>914570</v>
      </c>
      <c r="GW45" s="128">
        <f t="shared" si="168"/>
        <v>59210</v>
      </c>
      <c r="GX45" s="40">
        <f t="shared" si="169"/>
        <v>23556569.443437196</v>
      </c>
      <c r="GY45" s="40">
        <f t="shared" si="80"/>
        <v>2120090</v>
      </c>
      <c r="GZ45" s="40">
        <f t="shared" si="81"/>
        <v>937440</v>
      </c>
      <c r="HA45" s="40">
        <f t="shared" si="170"/>
        <v>60690</v>
      </c>
      <c r="HB45" s="128" t="e">
        <f t="shared" si="171"/>
        <v>#REF!</v>
      </c>
      <c r="HC45" s="128" t="e">
        <f t="shared" si="82"/>
        <v>#REF!</v>
      </c>
      <c r="HD45" s="128" t="e">
        <f t="shared" si="83"/>
        <v>#REF!</v>
      </c>
      <c r="HE45" s="128" t="e">
        <f t="shared" si="172"/>
        <v>#REF!</v>
      </c>
    </row>
    <row r="46" spans="1:213">
      <c r="A46" s="2"/>
      <c r="B46" s="8"/>
      <c r="C46" s="3"/>
      <c r="D46" s="48"/>
      <c r="E46" s="63"/>
      <c r="F46" s="49"/>
      <c r="G46" s="87"/>
      <c r="H46" s="45"/>
      <c r="O46" s="24" t="s">
        <v>313</v>
      </c>
      <c r="P46" s="24">
        <v>1</v>
      </c>
      <c r="S46" s="719">
        <v>260000</v>
      </c>
      <c r="V46" s="42"/>
      <c r="W46" s="101"/>
      <c r="AD46" s="26"/>
      <c r="AE46" s="27"/>
      <c r="AF46" s="778"/>
      <c r="AG46" s="28"/>
      <c r="AH46" s="28"/>
      <c r="AJ46" s="41">
        <v>39</v>
      </c>
      <c r="AK46" s="41">
        <v>49</v>
      </c>
      <c r="AL46" s="890">
        <v>8426250</v>
      </c>
      <c r="AM46" s="40">
        <f t="shared" si="84"/>
        <v>758360</v>
      </c>
      <c r="AN46" s="40">
        <v>273610</v>
      </c>
      <c r="AO46" s="40">
        <v>28050</v>
      </c>
      <c r="AP46" s="891">
        <f t="shared" si="85"/>
        <v>8569500</v>
      </c>
      <c r="AQ46" s="131">
        <f t="shared" si="86"/>
        <v>771260</v>
      </c>
      <c r="AR46" s="130">
        <f t="shared" si="87"/>
        <v>303790</v>
      </c>
      <c r="AS46" s="128">
        <f t="shared" si="88"/>
        <v>19670</v>
      </c>
      <c r="AT46" s="40">
        <f t="shared" si="89"/>
        <v>8869432.5</v>
      </c>
      <c r="AU46" s="40">
        <f t="shared" si="0"/>
        <v>798240</v>
      </c>
      <c r="AV46" s="40">
        <f t="shared" si="1"/>
        <v>319760</v>
      </c>
      <c r="AW46" s="40">
        <f t="shared" si="90"/>
        <v>20700</v>
      </c>
      <c r="AX46" s="128">
        <f t="shared" si="91"/>
        <v>9091168.3125</v>
      </c>
      <c r="AY46" s="128">
        <f t="shared" si="2"/>
        <v>818200</v>
      </c>
      <c r="AZ46" s="128">
        <f t="shared" si="3"/>
        <v>327760</v>
      </c>
      <c r="BA46" s="128">
        <f t="shared" si="92"/>
        <v>21220</v>
      </c>
      <c r="BB46" s="40">
        <f t="shared" si="93"/>
        <v>9318447.5203124993</v>
      </c>
      <c r="BC46" s="40">
        <f t="shared" si="4"/>
        <v>838660</v>
      </c>
      <c r="BD46" s="40">
        <f t="shared" si="5"/>
        <v>344350</v>
      </c>
      <c r="BE46" s="40">
        <f t="shared" si="94"/>
        <v>22290</v>
      </c>
      <c r="BF46" s="128">
        <f t="shared" si="95"/>
        <v>9551408.7083203103</v>
      </c>
      <c r="BG46" s="128">
        <f t="shared" si="6"/>
        <v>859620</v>
      </c>
      <c r="BH46" s="128">
        <f t="shared" si="7"/>
        <v>352960</v>
      </c>
      <c r="BI46" s="128">
        <f t="shared" si="96"/>
        <v>22850</v>
      </c>
      <c r="BJ46" s="40">
        <f t="shared" si="97"/>
        <v>9790193.9260283168</v>
      </c>
      <c r="BK46" s="40">
        <f t="shared" si="8"/>
        <v>881110</v>
      </c>
      <c r="BL46" s="40">
        <f t="shared" si="9"/>
        <v>370830</v>
      </c>
      <c r="BM46" s="40">
        <f t="shared" si="98"/>
        <v>24010</v>
      </c>
      <c r="BN46" s="128">
        <f t="shared" si="99"/>
        <v>10034948.774179025</v>
      </c>
      <c r="BO46" s="128">
        <f t="shared" si="10"/>
        <v>903140</v>
      </c>
      <c r="BP46" s="128">
        <f t="shared" si="11"/>
        <v>389600</v>
      </c>
      <c r="BQ46" s="128">
        <f t="shared" si="100"/>
        <v>25220</v>
      </c>
      <c r="BR46" s="40">
        <f t="shared" si="101"/>
        <v>10285822.4935335</v>
      </c>
      <c r="BS46" s="40">
        <f t="shared" si="12"/>
        <v>925720</v>
      </c>
      <c r="BT46" s="40">
        <f t="shared" si="13"/>
        <v>399340</v>
      </c>
      <c r="BU46" s="40">
        <f t="shared" si="102"/>
        <v>25850</v>
      </c>
      <c r="BV46" s="128">
        <f t="shared" si="103"/>
        <v>10542968.055871837</v>
      </c>
      <c r="BW46" s="128">
        <f t="shared" si="14"/>
        <v>948860</v>
      </c>
      <c r="BX46" s="128">
        <f t="shared" si="15"/>
        <v>419560</v>
      </c>
      <c r="BY46" s="128">
        <f t="shared" si="104"/>
        <v>27160</v>
      </c>
      <c r="BZ46" s="40">
        <f t="shared" si="105"/>
        <v>10806542.257268632</v>
      </c>
      <c r="CA46" s="40">
        <f t="shared" si="16"/>
        <v>972580</v>
      </c>
      <c r="CB46" s="40">
        <f t="shared" si="17"/>
        <v>430050</v>
      </c>
      <c r="CC46" s="40">
        <f t="shared" si="106"/>
        <v>27840</v>
      </c>
      <c r="CD46" s="128">
        <f t="shared" si="107"/>
        <v>11076705.813700346</v>
      </c>
      <c r="CE46" s="128">
        <f t="shared" si="18"/>
        <v>996900</v>
      </c>
      <c r="CF46" s="128">
        <f t="shared" si="19"/>
        <v>440800</v>
      </c>
      <c r="CG46" s="128">
        <f t="shared" si="108"/>
        <v>28540</v>
      </c>
      <c r="CH46" s="40">
        <f t="shared" si="109"/>
        <v>11353623.459042855</v>
      </c>
      <c r="CI46" s="40">
        <f t="shared" si="20"/>
        <v>1021820</v>
      </c>
      <c r="CJ46" s="40">
        <f t="shared" si="21"/>
        <v>451820</v>
      </c>
      <c r="CK46" s="40">
        <f t="shared" si="110"/>
        <v>29250</v>
      </c>
      <c r="CL46" s="128">
        <f t="shared" si="111"/>
        <v>11637464.045518925</v>
      </c>
      <c r="CM46" s="128">
        <f t="shared" si="22"/>
        <v>1047370</v>
      </c>
      <c r="CN46" s="128">
        <f t="shared" si="23"/>
        <v>463110</v>
      </c>
      <c r="CO46" s="128">
        <f t="shared" si="112"/>
        <v>29980</v>
      </c>
      <c r="CP46" s="40">
        <f t="shared" si="113"/>
        <v>11928400.646656897</v>
      </c>
      <c r="CQ46" s="40">
        <f t="shared" si="24"/>
        <v>1073550</v>
      </c>
      <c r="CR46" s="40">
        <f t="shared" si="25"/>
        <v>474690</v>
      </c>
      <c r="CS46" s="40">
        <f t="shared" si="114"/>
        <v>30730</v>
      </c>
      <c r="CT46" s="128">
        <f t="shared" si="115"/>
        <v>12226610.662823318</v>
      </c>
      <c r="CU46" s="128">
        <f t="shared" si="26"/>
        <v>1100390</v>
      </c>
      <c r="CV46" s="128">
        <f t="shared" si="27"/>
        <v>486560</v>
      </c>
      <c r="CW46" s="128">
        <f t="shared" si="116"/>
        <v>31500</v>
      </c>
      <c r="CX46" s="40">
        <f t="shared" si="117"/>
        <v>12532275.929393899</v>
      </c>
      <c r="CY46" s="40">
        <f t="shared" si="28"/>
        <v>1127900</v>
      </c>
      <c r="CZ46" s="40">
        <f t="shared" si="29"/>
        <v>498720</v>
      </c>
      <c r="DA46" s="40">
        <f t="shared" si="118"/>
        <v>32290</v>
      </c>
      <c r="DB46" s="128">
        <f t="shared" si="119"/>
        <v>12845582.827628745</v>
      </c>
      <c r="DC46" s="128">
        <f t="shared" si="30"/>
        <v>1156100</v>
      </c>
      <c r="DD46" s="128">
        <f t="shared" si="31"/>
        <v>511190</v>
      </c>
      <c r="DE46" s="128">
        <f t="shared" si="120"/>
        <v>33090</v>
      </c>
      <c r="DF46" s="40">
        <f t="shared" si="121"/>
        <v>13166722.398319462</v>
      </c>
      <c r="DG46" s="40">
        <f t="shared" si="32"/>
        <v>1185000</v>
      </c>
      <c r="DH46" s="40">
        <f t="shared" si="33"/>
        <v>523970</v>
      </c>
      <c r="DI46" s="40">
        <f t="shared" si="122"/>
        <v>33920</v>
      </c>
      <c r="DJ46" s="128">
        <f t="shared" si="123"/>
        <v>13495890.458277447</v>
      </c>
      <c r="DK46" s="128">
        <f t="shared" si="34"/>
        <v>1214630</v>
      </c>
      <c r="DL46" s="128">
        <f t="shared" si="35"/>
        <v>537070</v>
      </c>
      <c r="DM46" s="128">
        <f t="shared" si="124"/>
        <v>34770</v>
      </c>
      <c r="DN46" s="40">
        <f t="shared" si="125"/>
        <v>13833287.719734382</v>
      </c>
      <c r="DO46" s="40">
        <f t="shared" si="36"/>
        <v>1244990</v>
      </c>
      <c r="DP46" s="40">
        <f t="shared" si="37"/>
        <v>550500</v>
      </c>
      <c r="DQ46" s="40">
        <f t="shared" si="126"/>
        <v>35640</v>
      </c>
      <c r="DR46" s="128">
        <f t="shared" si="127"/>
        <v>14179119.91272774</v>
      </c>
      <c r="DS46" s="128">
        <f t="shared" si="38"/>
        <v>1276120</v>
      </c>
      <c r="DT46" s="128">
        <f t="shared" si="39"/>
        <v>564260</v>
      </c>
      <c r="DU46" s="128">
        <f t="shared" si="128"/>
        <v>36530</v>
      </c>
      <c r="DV46" s="40">
        <f t="shared" si="129"/>
        <v>14533597.910545932</v>
      </c>
      <c r="DW46" s="40">
        <f t="shared" si="40"/>
        <v>1308020</v>
      </c>
      <c r="DX46" s="40">
        <f t="shared" si="41"/>
        <v>578370</v>
      </c>
      <c r="DY46" s="40">
        <f t="shared" si="130"/>
        <v>37440</v>
      </c>
      <c r="DZ46" s="128">
        <f t="shared" si="131"/>
        <v>14896937.85830958</v>
      </c>
      <c r="EA46" s="128">
        <f t="shared" si="42"/>
        <v>1340720</v>
      </c>
      <c r="EB46" s="128">
        <f t="shared" si="43"/>
        <v>592820</v>
      </c>
      <c r="EC46" s="128">
        <f t="shared" si="132"/>
        <v>38380</v>
      </c>
      <c r="ED46" s="40">
        <f t="shared" si="133"/>
        <v>15269361.304767318</v>
      </c>
      <c r="EE46" s="40">
        <f t="shared" si="44"/>
        <v>1374240</v>
      </c>
      <c r="EF46" s="40">
        <f t="shared" si="45"/>
        <v>607650</v>
      </c>
      <c r="EG46" s="40">
        <f t="shared" si="134"/>
        <v>39340</v>
      </c>
      <c r="EH46" s="128">
        <f t="shared" si="135"/>
        <v>15651095.3373865</v>
      </c>
      <c r="EI46" s="128">
        <f t="shared" si="46"/>
        <v>1408590</v>
      </c>
      <c r="EJ46" s="128">
        <f t="shared" si="47"/>
        <v>622840</v>
      </c>
      <c r="EK46" s="128">
        <f t="shared" si="136"/>
        <v>40320</v>
      </c>
      <c r="EL46" s="40">
        <f t="shared" si="137"/>
        <v>16042372.720821161</v>
      </c>
      <c r="EM46" s="40">
        <f t="shared" si="48"/>
        <v>1443810</v>
      </c>
      <c r="EN46" s="40">
        <f t="shared" si="49"/>
        <v>638410</v>
      </c>
      <c r="EO46" s="40">
        <f t="shared" si="138"/>
        <v>41330</v>
      </c>
      <c r="EP46" s="128">
        <f t="shared" si="139"/>
        <v>16443432.038841689</v>
      </c>
      <c r="EQ46" s="128">
        <f t="shared" si="50"/>
        <v>1479900</v>
      </c>
      <c r="ER46" s="128">
        <f t="shared" si="51"/>
        <v>654370</v>
      </c>
      <c r="ES46" s="128">
        <f t="shared" si="140"/>
        <v>42370</v>
      </c>
      <c r="ET46" s="40">
        <f t="shared" si="141"/>
        <v>16854517.83981273</v>
      </c>
      <c r="EU46" s="40">
        <f t="shared" si="52"/>
        <v>1516900</v>
      </c>
      <c r="EV46" s="40">
        <f t="shared" si="53"/>
        <v>670730</v>
      </c>
      <c r="EW46" s="40">
        <f t="shared" si="142"/>
        <v>43420</v>
      </c>
      <c r="EX46" s="128">
        <f t="shared" si="143"/>
        <v>17275880.785808045</v>
      </c>
      <c r="EY46" s="128">
        <f t="shared" si="54"/>
        <v>1554820</v>
      </c>
      <c r="EZ46" s="128">
        <f t="shared" si="55"/>
        <v>687500</v>
      </c>
      <c r="FA46" s="128">
        <f t="shared" si="144"/>
        <v>44510</v>
      </c>
      <c r="FB46" s="40">
        <f t="shared" si="145"/>
        <v>17707777.805453245</v>
      </c>
      <c r="FC46" s="40">
        <f t="shared" si="56"/>
        <v>1593700</v>
      </c>
      <c r="FD46" s="40">
        <f t="shared" si="57"/>
        <v>704680</v>
      </c>
      <c r="FE46" s="40">
        <f t="shared" si="146"/>
        <v>45620</v>
      </c>
      <c r="FF46" s="128">
        <f t="shared" si="147"/>
        <v>18150472.250589576</v>
      </c>
      <c r="FG46" s="128">
        <f t="shared" si="58"/>
        <v>1633540</v>
      </c>
      <c r="FH46" s="128">
        <f t="shared" si="59"/>
        <v>722300</v>
      </c>
      <c r="FI46" s="128">
        <f t="shared" si="148"/>
        <v>46760</v>
      </c>
      <c r="FJ46" s="40">
        <f t="shared" si="149"/>
        <v>18604234.056854315</v>
      </c>
      <c r="FK46" s="40">
        <f t="shared" si="60"/>
        <v>1674380</v>
      </c>
      <c r="FL46" s="40">
        <f t="shared" si="61"/>
        <v>740360</v>
      </c>
      <c r="FM46" s="40">
        <f t="shared" si="150"/>
        <v>47930</v>
      </c>
      <c r="FN46" s="128">
        <f t="shared" si="151"/>
        <v>19069339.908275671</v>
      </c>
      <c r="FO46" s="128">
        <f t="shared" si="62"/>
        <v>1716240</v>
      </c>
      <c r="FP46" s="128">
        <f t="shared" si="63"/>
        <v>758870</v>
      </c>
      <c r="FQ46" s="128">
        <f t="shared" si="152"/>
        <v>49130</v>
      </c>
      <c r="FR46" s="40">
        <f t="shared" si="153"/>
        <v>19546073.405982561</v>
      </c>
      <c r="FS46" s="40">
        <f t="shared" si="64"/>
        <v>1759140</v>
      </c>
      <c r="FT46" s="40">
        <f t="shared" si="65"/>
        <v>777840</v>
      </c>
      <c r="FU46" s="40">
        <f t="shared" si="154"/>
        <v>50360</v>
      </c>
      <c r="FV46" s="128">
        <f t="shared" si="155"/>
        <v>20034725.241132125</v>
      </c>
      <c r="FW46" s="128">
        <f t="shared" si="66"/>
        <v>1803120</v>
      </c>
      <c r="FX46" s="128">
        <f t="shared" si="67"/>
        <v>797280</v>
      </c>
      <c r="FY46" s="128">
        <f t="shared" si="156"/>
        <v>51620</v>
      </c>
      <c r="FZ46" s="40">
        <f t="shared" si="157"/>
        <v>20535593.372160427</v>
      </c>
      <c r="GA46" s="40">
        <f t="shared" si="68"/>
        <v>1848200</v>
      </c>
      <c r="GB46" s="40">
        <f t="shared" si="69"/>
        <v>817220</v>
      </c>
      <c r="GC46" s="40">
        <f t="shared" si="158"/>
        <v>52910</v>
      </c>
      <c r="GD46" s="128">
        <f t="shared" si="159"/>
        <v>21048983.206464436</v>
      </c>
      <c r="GE46" s="128">
        <f t="shared" si="70"/>
        <v>1894400</v>
      </c>
      <c r="GF46" s="128">
        <f t="shared" si="71"/>
        <v>837650</v>
      </c>
      <c r="GG46" s="128">
        <f t="shared" si="160"/>
        <v>54230</v>
      </c>
      <c r="GH46" s="40">
        <f t="shared" si="161"/>
        <v>21575207.786626045</v>
      </c>
      <c r="GI46" s="40">
        <f t="shared" si="72"/>
        <v>1941760</v>
      </c>
      <c r="GJ46" s="40">
        <f t="shared" si="73"/>
        <v>858590</v>
      </c>
      <c r="GK46" s="40">
        <f t="shared" si="162"/>
        <v>55590</v>
      </c>
      <c r="GL46" s="128">
        <f t="shared" si="163"/>
        <v>22114587.981291693</v>
      </c>
      <c r="GM46" s="128">
        <f t="shared" si="74"/>
        <v>1990310</v>
      </c>
      <c r="GN46" s="128">
        <f t="shared" si="75"/>
        <v>880050</v>
      </c>
      <c r="GO46" s="128">
        <f t="shared" si="164"/>
        <v>56980</v>
      </c>
      <c r="GP46" s="40">
        <f t="shared" si="165"/>
        <v>22667452.680823982</v>
      </c>
      <c r="GQ46" s="40">
        <f t="shared" si="76"/>
        <v>2040070</v>
      </c>
      <c r="GR46" s="40">
        <f t="shared" si="77"/>
        <v>902050</v>
      </c>
      <c r="GS46" s="40">
        <f t="shared" si="166"/>
        <v>58400</v>
      </c>
      <c r="GT46" s="128">
        <f t="shared" si="167"/>
        <v>23234138.997844581</v>
      </c>
      <c r="GU46" s="128">
        <f t="shared" si="78"/>
        <v>2091070</v>
      </c>
      <c r="GV46" s="128">
        <f t="shared" si="79"/>
        <v>924610</v>
      </c>
      <c r="GW46" s="128">
        <f t="shared" si="168"/>
        <v>59860</v>
      </c>
      <c r="GX46" s="40">
        <f t="shared" si="169"/>
        <v>23814992.472790692</v>
      </c>
      <c r="GY46" s="40">
        <f t="shared" si="80"/>
        <v>2143340</v>
      </c>
      <c r="GZ46" s="40">
        <f t="shared" si="81"/>
        <v>947720</v>
      </c>
      <c r="HA46" s="40">
        <f t="shared" si="170"/>
        <v>61360</v>
      </c>
      <c r="HB46" s="128" t="e">
        <f t="shared" si="171"/>
        <v>#REF!</v>
      </c>
      <c r="HC46" s="128" t="e">
        <f t="shared" si="82"/>
        <v>#REF!</v>
      </c>
      <c r="HD46" s="128" t="e">
        <f t="shared" si="83"/>
        <v>#REF!</v>
      </c>
      <c r="HE46" s="128" t="e">
        <f t="shared" si="172"/>
        <v>#REF!</v>
      </c>
    </row>
    <row r="47" spans="1:213">
      <c r="H47" s="45"/>
      <c r="O47" s="24" t="s">
        <v>504</v>
      </c>
      <c r="P47" s="24" t="s">
        <v>334</v>
      </c>
      <c r="S47" s="719">
        <v>270000</v>
      </c>
      <c r="V47" s="42"/>
      <c r="W47" s="101"/>
      <c r="AD47" s="26"/>
      <c r="AE47" s="27"/>
      <c r="AF47" s="778"/>
      <c r="AG47" s="28"/>
      <c r="AH47" s="28"/>
      <c r="AJ47" s="41">
        <v>40</v>
      </c>
      <c r="AK47" s="41">
        <v>50</v>
      </c>
      <c r="AL47" s="890">
        <v>8543880</v>
      </c>
      <c r="AM47" s="40">
        <f t="shared" si="84"/>
        <v>768950</v>
      </c>
      <c r="AN47" s="40">
        <v>277430</v>
      </c>
      <c r="AO47" s="40">
        <v>28440</v>
      </c>
      <c r="AP47" s="891">
        <f t="shared" si="85"/>
        <v>8689130</v>
      </c>
      <c r="AQ47" s="131">
        <f t="shared" si="86"/>
        <v>782020</v>
      </c>
      <c r="AR47" s="130">
        <f t="shared" si="87"/>
        <v>308030</v>
      </c>
      <c r="AS47" s="128">
        <f t="shared" si="88"/>
        <v>19940</v>
      </c>
      <c r="AT47" s="40">
        <f t="shared" si="89"/>
        <v>8993249.5499999989</v>
      </c>
      <c r="AU47" s="40">
        <f t="shared" si="0"/>
        <v>809390</v>
      </c>
      <c r="AV47" s="40">
        <f t="shared" si="1"/>
        <v>324230</v>
      </c>
      <c r="AW47" s="40">
        <f t="shared" si="90"/>
        <v>20990</v>
      </c>
      <c r="AX47" s="128">
        <f t="shared" si="91"/>
        <v>9218080.7887499984</v>
      </c>
      <c r="AY47" s="128">
        <f t="shared" si="2"/>
        <v>829620</v>
      </c>
      <c r="AZ47" s="128">
        <f t="shared" si="3"/>
        <v>332330</v>
      </c>
      <c r="BA47" s="128">
        <f t="shared" si="92"/>
        <v>21510</v>
      </c>
      <c r="BB47" s="40">
        <f t="shared" si="93"/>
        <v>9448532.8084687479</v>
      </c>
      <c r="BC47" s="40">
        <f t="shared" si="4"/>
        <v>850360</v>
      </c>
      <c r="BD47" s="40">
        <f t="shared" si="5"/>
        <v>349160</v>
      </c>
      <c r="BE47" s="40">
        <f t="shared" si="94"/>
        <v>22600</v>
      </c>
      <c r="BF47" s="128">
        <f t="shared" si="95"/>
        <v>9684746.1286804657</v>
      </c>
      <c r="BG47" s="128">
        <f t="shared" si="6"/>
        <v>871620</v>
      </c>
      <c r="BH47" s="128">
        <f t="shared" si="7"/>
        <v>357880</v>
      </c>
      <c r="BI47" s="128">
        <f t="shared" si="96"/>
        <v>23170</v>
      </c>
      <c r="BJ47" s="40">
        <f t="shared" si="97"/>
        <v>9926864.7818974759</v>
      </c>
      <c r="BK47" s="40">
        <f t="shared" si="8"/>
        <v>893410</v>
      </c>
      <c r="BL47" s="40">
        <f t="shared" si="9"/>
        <v>376000</v>
      </c>
      <c r="BM47" s="40">
        <f t="shared" si="98"/>
        <v>24340</v>
      </c>
      <c r="BN47" s="128">
        <f t="shared" si="99"/>
        <v>10175036.401444912</v>
      </c>
      <c r="BO47" s="128">
        <f t="shared" si="10"/>
        <v>915750</v>
      </c>
      <c r="BP47" s="128">
        <f t="shared" si="11"/>
        <v>395040</v>
      </c>
      <c r="BQ47" s="128">
        <f t="shared" si="100"/>
        <v>25570</v>
      </c>
      <c r="BR47" s="40">
        <f t="shared" si="101"/>
        <v>10429412.311481034</v>
      </c>
      <c r="BS47" s="40">
        <f t="shared" si="12"/>
        <v>938640</v>
      </c>
      <c r="BT47" s="40">
        <f t="shared" si="13"/>
        <v>404910</v>
      </c>
      <c r="BU47" s="40">
        <f t="shared" si="102"/>
        <v>26210</v>
      </c>
      <c r="BV47" s="128">
        <f t="shared" si="103"/>
        <v>10690147.61926806</v>
      </c>
      <c r="BW47" s="128">
        <f t="shared" si="14"/>
        <v>962110</v>
      </c>
      <c r="BX47" s="128">
        <f t="shared" si="15"/>
        <v>425410</v>
      </c>
      <c r="BY47" s="128">
        <f t="shared" si="104"/>
        <v>27540</v>
      </c>
      <c r="BZ47" s="40">
        <f t="shared" si="105"/>
        <v>10957401.30974976</v>
      </c>
      <c r="CA47" s="40">
        <f t="shared" si="16"/>
        <v>986160</v>
      </c>
      <c r="CB47" s="40">
        <f t="shared" si="17"/>
        <v>436050</v>
      </c>
      <c r="CC47" s="40">
        <f t="shared" si="106"/>
        <v>28230</v>
      </c>
      <c r="CD47" s="128">
        <f t="shared" si="107"/>
        <v>11231336.342493502</v>
      </c>
      <c r="CE47" s="128">
        <f t="shared" si="18"/>
        <v>1010820</v>
      </c>
      <c r="CF47" s="128">
        <f t="shared" si="19"/>
        <v>446950</v>
      </c>
      <c r="CG47" s="128">
        <f t="shared" si="108"/>
        <v>28940</v>
      </c>
      <c r="CH47" s="40">
        <f t="shared" si="109"/>
        <v>11512119.751055839</v>
      </c>
      <c r="CI47" s="40">
        <f t="shared" si="20"/>
        <v>1036090</v>
      </c>
      <c r="CJ47" s="40">
        <f t="shared" si="21"/>
        <v>458120</v>
      </c>
      <c r="CK47" s="40">
        <f t="shared" si="110"/>
        <v>29660</v>
      </c>
      <c r="CL47" s="128">
        <f t="shared" si="111"/>
        <v>11799922.744832233</v>
      </c>
      <c r="CM47" s="128">
        <f t="shared" si="22"/>
        <v>1061990</v>
      </c>
      <c r="CN47" s="128">
        <f t="shared" si="23"/>
        <v>469580</v>
      </c>
      <c r="CO47" s="128">
        <f t="shared" si="112"/>
        <v>30400</v>
      </c>
      <c r="CP47" s="40">
        <f t="shared" si="113"/>
        <v>12094920.813453037</v>
      </c>
      <c r="CQ47" s="40">
        <f t="shared" si="24"/>
        <v>1088540</v>
      </c>
      <c r="CR47" s="40">
        <f t="shared" si="25"/>
        <v>481320</v>
      </c>
      <c r="CS47" s="40">
        <f t="shared" si="114"/>
        <v>31160</v>
      </c>
      <c r="CT47" s="128">
        <f t="shared" si="115"/>
        <v>12397293.833789362</v>
      </c>
      <c r="CU47" s="128">
        <f t="shared" si="26"/>
        <v>1115750</v>
      </c>
      <c r="CV47" s="128">
        <f t="shared" si="27"/>
        <v>493350</v>
      </c>
      <c r="CW47" s="128">
        <f t="shared" si="116"/>
        <v>31940</v>
      </c>
      <c r="CX47" s="40">
        <f t="shared" si="117"/>
        <v>12707226.179634094</v>
      </c>
      <c r="CY47" s="40">
        <f t="shared" si="28"/>
        <v>1143650</v>
      </c>
      <c r="CZ47" s="40">
        <f t="shared" si="29"/>
        <v>505680</v>
      </c>
      <c r="DA47" s="40">
        <f t="shared" si="118"/>
        <v>32740</v>
      </c>
      <c r="DB47" s="128">
        <f t="shared" si="119"/>
        <v>13024906.834124945</v>
      </c>
      <c r="DC47" s="128">
        <f t="shared" si="30"/>
        <v>1172240</v>
      </c>
      <c r="DD47" s="128">
        <f t="shared" si="31"/>
        <v>518330</v>
      </c>
      <c r="DE47" s="128">
        <f t="shared" si="120"/>
        <v>33560</v>
      </c>
      <c r="DF47" s="40">
        <f t="shared" si="121"/>
        <v>13350529.504978068</v>
      </c>
      <c r="DG47" s="40">
        <f t="shared" ref="DG47:DG48" si="173">ROUNDDOWN(DF47*DG$3,-1)</f>
        <v>1201540</v>
      </c>
      <c r="DH47" s="40">
        <f t="shared" ref="DH47:DH48" si="174">ROUNDDOWN(DF47*DH$3,-1)</f>
        <v>531280</v>
      </c>
      <c r="DI47" s="40">
        <f t="shared" ref="DI47:DI48" si="175">ROUNDDOWN(DH47*DI$3,-1)</f>
        <v>34400</v>
      </c>
      <c r="DJ47" s="128">
        <f t="shared" si="123"/>
        <v>13684292.742602518</v>
      </c>
      <c r="DK47" s="128">
        <f t="shared" ref="DK47:DK48" si="176">ROUNDDOWN(DJ47*DK$3,-1)</f>
        <v>1231580</v>
      </c>
      <c r="DL47" s="128">
        <f t="shared" ref="DL47:DL48" si="177">ROUNDDOWN(DJ47*DL$3,-1)</f>
        <v>544570</v>
      </c>
      <c r="DM47" s="128">
        <f t="shared" ref="DM47:DM48" si="178">ROUNDDOWN(DL47*DM$3,-1)</f>
        <v>35260</v>
      </c>
      <c r="DN47" s="40">
        <f t="shared" si="125"/>
        <v>14026400.061167579</v>
      </c>
      <c r="DO47" s="40">
        <f t="shared" ref="DO47:DO48" si="179">ROUNDDOWN(DN47*DO$3,-1)</f>
        <v>1262370</v>
      </c>
      <c r="DP47" s="40">
        <f t="shared" ref="DP47:DP48" si="180">ROUNDDOWN(DN47*DP$3,-1)</f>
        <v>558180</v>
      </c>
      <c r="DQ47" s="40">
        <f t="shared" ref="DQ47:DQ48" si="181">ROUNDDOWN(DP47*DQ$3,-1)</f>
        <v>36140</v>
      </c>
      <c r="DR47" s="128">
        <f t="shared" si="127"/>
        <v>14377060.062696768</v>
      </c>
      <c r="DS47" s="128">
        <f t="shared" ref="DS47:DS48" si="182">ROUNDDOWN(DR47*DS$3,-1)</f>
        <v>1293930</v>
      </c>
      <c r="DT47" s="128">
        <f t="shared" ref="DT47:DT48" si="183">ROUNDDOWN(DR47*DT$3,-1)</f>
        <v>572140</v>
      </c>
      <c r="DU47" s="128">
        <f t="shared" ref="DU47:DU48" si="184">ROUNDDOWN(DT47*DU$3,-1)</f>
        <v>37040</v>
      </c>
      <c r="DV47" s="40">
        <f t="shared" si="129"/>
        <v>14736486.564264186</v>
      </c>
      <c r="DW47" s="40">
        <f t="shared" ref="DW47:DW48" si="185">ROUNDDOWN(DV47*DW$3,-1)</f>
        <v>1326280</v>
      </c>
      <c r="DX47" s="40">
        <f t="shared" ref="DX47:DX48" si="186">ROUNDDOWN(DV47*DX$3,-1)</f>
        <v>586440</v>
      </c>
      <c r="DY47" s="40">
        <f t="shared" ref="DY47:DY48" si="187">ROUNDDOWN(DX47*DY$3,-1)</f>
        <v>37970</v>
      </c>
      <c r="DZ47" s="128">
        <f t="shared" si="131"/>
        <v>15104898.728370789</v>
      </c>
      <c r="EA47" s="128">
        <f t="shared" ref="EA47:EA48" si="188">ROUNDDOWN(DZ47*EA$3,-1)</f>
        <v>1359440</v>
      </c>
      <c r="EB47" s="128">
        <f t="shared" ref="EB47:EB48" si="189">ROUNDDOWN(DZ47*EB$3,-1)</f>
        <v>601100</v>
      </c>
      <c r="EC47" s="128">
        <f t="shared" ref="EC47:EC48" si="190">ROUNDDOWN(EB47*EC$3,-1)</f>
        <v>38920</v>
      </c>
      <c r="ED47" s="40">
        <f t="shared" si="133"/>
        <v>15482521.196580058</v>
      </c>
      <c r="EE47" s="40">
        <f t="shared" ref="EE47:EE48" si="191">ROUNDDOWN(ED47*EE$3,-1)</f>
        <v>1393420</v>
      </c>
      <c r="EF47" s="40">
        <f t="shared" ref="EF47:EF48" si="192">ROUNDDOWN(ED47*EF$3,-1)</f>
        <v>616130</v>
      </c>
      <c r="EG47" s="40">
        <f t="shared" ref="EG47:EG48" si="193">ROUNDDOWN(EF47*EG$3,-1)</f>
        <v>39890</v>
      </c>
      <c r="EH47" s="128">
        <f t="shared" si="135"/>
        <v>15869584.226494558</v>
      </c>
      <c r="EI47" s="128">
        <f t="shared" ref="EI47:EI48" si="194">ROUNDDOWN(EH47*EI$3,-1)</f>
        <v>1428260</v>
      </c>
      <c r="EJ47" s="128">
        <f t="shared" ref="EJ47:EJ48" si="195">ROUNDDOWN(EH47*EJ$3,-1)</f>
        <v>631530</v>
      </c>
      <c r="EK47" s="128">
        <f t="shared" ref="EK47:EK48" si="196">ROUNDDOWN(EJ47*EK$3,-1)</f>
        <v>40890</v>
      </c>
      <c r="EL47" s="40">
        <f t="shared" si="137"/>
        <v>16266323.832156921</v>
      </c>
      <c r="EM47" s="40">
        <f t="shared" ref="EM47:EM48" si="197">ROUNDDOWN(EL47*EM$3,-1)</f>
        <v>1463960</v>
      </c>
      <c r="EN47" s="40">
        <f t="shared" ref="EN47:EN48" si="198">ROUNDDOWN(EL47*EN$3,-1)</f>
        <v>647320</v>
      </c>
      <c r="EO47" s="40">
        <f t="shared" ref="EO47:EO48" si="199">ROUNDDOWN(EN47*EO$3,-1)</f>
        <v>41910</v>
      </c>
      <c r="EP47" s="128">
        <f t="shared" si="139"/>
        <v>16672981.927960843</v>
      </c>
      <c r="EQ47" s="128">
        <f t="shared" ref="EQ47:EQ48" si="200">ROUNDDOWN(EP47*EQ$3,-1)</f>
        <v>1500560</v>
      </c>
      <c r="ER47" s="128">
        <f t="shared" ref="ER47:ER48" si="201">ROUNDDOWN(EP47*ER$3,-1)</f>
        <v>663500</v>
      </c>
      <c r="ES47" s="128">
        <f t="shared" ref="ES47:ES48" si="202">ROUNDDOWN(ER47*ES$3,-1)</f>
        <v>42960</v>
      </c>
      <c r="ET47" s="40">
        <f t="shared" si="141"/>
        <v>17089806.476159863</v>
      </c>
      <c r="EU47" s="40">
        <f t="shared" ref="EU47:EU48" si="203">ROUNDDOWN(ET47*EU$3,-1)</f>
        <v>1538080</v>
      </c>
      <c r="EV47" s="40">
        <f t="shared" ref="EV47:EV48" si="204">ROUNDDOWN(ET47*EV$3,-1)</f>
        <v>680090</v>
      </c>
      <c r="EW47" s="40">
        <f t="shared" ref="EW47:EW48" si="205">ROUNDDOWN(EV47*EW$3,-1)</f>
        <v>44030</v>
      </c>
      <c r="EX47" s="128">
        <f t="shared" si="143"/>
        <v>17517051.638063859</v>
      </c>
      <c r="EY47" s="128">
        <f t="shared" ref="EY47:EY48" si="206">ROUNDDOWN(EX47*EY$3,-1)</f>
        <v>1576530</v>
      </c>
      <c r="EZ47" s="128">
        <f t="shared" ref="EZ47:EZ48" si="207">ROUNDDOWN(EX47*EZ$3,-1)</f>
        <v>697090</v>
      </c>
      <c r="FA47" s="128">
        <f t="shared" ref="FA47:FA48" si="208">ROUNDDOWN(EZ47*FA$3,-1)</f>
        <v>45130</v>
      </c>
      <c r="FB47" s="40">
        <f t="shared" si="145"/>
        <v>17954977.929015454</v>
      </c>
      <c r="FC47" s="40">
        <f t="shared" ref="FC47:FC48" si="209">ROUNDDOWN(FB47*FC$3,-1)</f>
        <v>1615940</v>
      </c>
      <c r="FD47" s="40">
        <f t="shared" ref="FD47:FD48" si="210">ROUNDDOWN(FB47*FD$3,-1)</f>
        <v>714520</v>
      </c>
      <c r="FE47" s="40">
        <f t="shared" ref="FE47:FE48" si="211">ROUNDDOWN(FD47*FE$3,-1)</f>
        <v>46260</v>
      </c>
      <c r="FF47" s="128">
        <f t="shared" si="147"/>
        <v>18403852.37724084</v>
      </c>
      <c r="FG47" s="128">
        <f t="shared" ref="FG47:FG48" si="212">ROUNDDOWN(FF47*FG$3,-1)</f>
        <v>1656340</v>
      </c>
      <c r="FH47" s="128">
        <f t="shared" ref="FH47:FH48" si="213">ROUNDDOWN(FF47*FH$3,-1)</f>
        <v>732380</v>
      </c>
      <c r="FI47" s="128">
        <f t="shared" ref="FI47:FI48" si="214">ROUNDDOWN(FH47*FI$3,-1)</f>
        <v>47420</v>
      </c>
      <c r="FJ47" s="40">
        <f t="shared" si="149"/>
        <v>18863948.686671861</v>
      </c>
      <c r="FK47" s="40">
        <f t="shared" ref="FK47:FK48" si="215">ROUNDDOWN(FJ47*FK$3,-1)</f>
        <v>1697750</v>
      </c>
      <c r="FL47" s="40">
        <f t="shared" ref="FL47:FL48" si="216">ROUNDDOWN(FJ47*FL$3,-1)</f>
        <v>750690</v>
      </c>
      <c r="FM47" s="40">
        <f t="shared" ref="FM47:FM48" si="217">ROUNDDOWN(FL47*FM$3,-1)</f>
        <v>48600</v>
      </c>
      <c r="FN47" s="128">
        <f t="shared" si="151"/>
        <v>19335547.403838657</v>
      </c>
      <c r="FO47" s="128">
        <f t="shared" ref="FO47:FO48" si="218">ROUNDDOWN(FN47*FO$3,-1)</f>
        <v>1740190</v>
      </c>
      <c r="FP47" s="128">
        <f t="shared" ref="FP47:FP48" si="219">ROUNDDOWN(FN47*FP$3,-1)</f>
        <v>769460</v>
      </c>
      <c r="FQ47" s="128">
        <f t="shared" ref="FQ47:FQ48" si="220">ROUNDDOWN(FP47*FQ$3,-1)</f>
        <v>49820</v>
      </c>
      <c r="FR47" s="40">
        <f t="shared" si="153"/>
        <v>19818936.088934623</v>
      </c>
      <c r="FS47" s="40">
        <f t="shared" ref="FS47:FS48" si="221">ROUNDDOWN(FR47*FS$3,-1)</f>
        <v>1783700</v>
      </c>
      <c r="FT47" s="40">
        <f t="shared" ref="FT47:FT48" si="222">ROUNDDOWN(FR47*FT$3,-1)</f>
        <v>788700</v>
      </c>
      <c r="FU47" s="40">
        <f t="shared" ref="FU47:FU48" si="223">ROUNDDOWN(FT47*FU$3,-1)</f>
        <v>51060</v>
      </c>
      <c r="FV47" s="128">
        <f t="shared" si="155"/>
        <v>20314409.491157986</v>
      </c>
      <c r="FW47" s="128">
        <f t="shared" ref="FW47:FW48" si="224">ROUNDDOWN(FV47*FW$3,-1)</f>
        <v>1828290</v>
      </c>
      <c r="FX47" s="128">
        <f t="shared" ref="FX47:FX48" si="225">ROUNDDOWN(FV47*FX$3,-1)</f>
        <v>808410</v>
      </c>
      <c r="FY47" s="128">
        <f t="shared" ref="FY47:FY48" si="226">ROUNDDOWN(FX47*FY$3,-1)</f>
        <v>52340</v>
      </c>
      <c r="FZ47" s="40">
        <f t="shared" si="157"/>
        <v>20822269.728436936</v>
      </c>
      <c r="GA47" s="40">
        <f t="shared" ref="GA47:GA48" si="227">ROUNDDOWN(FZ47*GA$3,-1)</f>
        <v>1874000</v>
      </c>
      <c r="GB47" s="40">
        <f t="shared" ref="GB47:GB48" si="228">ROUNDDOWN(FZ47*GB$3,-1)</f>
        <v>828630</v>
      </c>
      <c r="GC47" s="40">
        <f t="shared" ref="GC47:GC48" si="229">ROUNDDOWN(GB47*GC$3,-1)</f>
        <v>53650</v>
      </c>
      <c r="GD47" s="128">
        <f t="shared" si="159"/>
        <v>21342826.471647859</v>
      </c>
      <c r="GE47" s="128">
        <f t="shared" ref="GE47:GE48" si="230">ROUNDDOWN(GD47*GE$3,-1)</f>
        <v>1920850</v>
      </c>
      <c r="GF47" s="128">
        <f t="shared" ref="GF47:GF48" si="231">ROUNDDOWN(GD47*GF$3,-1)</f>
        <v>849340</v>
      </c>
      <c r="GG47" s="128">
        <f t="shared" ref="GG47:GG48" si="232">ROUNDDOWN(GF47*GG$3,-1)</f>
        <v>54990</v>
      </c>
      <c r="GH47" s="40">
        <f t="shared" si="161"/>
        <v>21876397.133439053</v>
      </c>
      <c r="GI47" s="40">
        <f t="shared" ref="GI47:GI48" si="233">ROUNDDOWN(GH47*GI$3,-1)</f>
        <v>1968870</v>
      </c>
      <c r="GJ47" s="40">
        <f t="shared" ref="GJ47:GJ48" si="234">ROUNDDOWN(GH47*GJ$3,-1)</f>
        <v>870570</v>
      </c>
      <c r="GK47" s="40">
        <f t="shared" ref="GK47:GK48" si="235">ROUNDDOWN(GJ47*GK$3,-1)</f>
        <v>56360</v>
      </c>
      <c r="GL47" s="128">
        <f t="shared" si="163"/>
        <v>22423307.061775029</v>
      </c>
      <c r="GM47" s="128">
        <f t="shared" ref="GM47:GM48" si="236">ROUNDDOWN(GL47*GM$3,-1)</f>
        <v>2018090</v>
      </c>
      <c r="GN47" s="128">
        <f t="shared" ref="GN47:GN48" si="237">ROUNDDOWN(GL47*GN$3,-1)</f>
        <v>892340</v>
      </c>
      <c r="GO47" s="128">
        <f t="shared" ref="GO47:GO48" si="238">ROUNDDOWN(GN47*GO$3,-1)</f>
        <v>57770</v>
      </c>
      <c r="GP47" s="40">
        <f t="shared" si="165"/>
        <v>22983889.738319401</v>
      </c>
      <c r="GQ47" s="40">
        <f t="shared" ref="GQ47:GQ48" si="239">ROUNDDOWN(GP47*GQ$3,-1)</f>
        <v>2068550</v>
      </c>
      <c r="GR47" s="40">
        <f t="shared" ref="GR47:GR48" si="240">ROUNDDOWN(GP47*GR$3,-1)</f>
        <v>914650</v>
      </c>
      <c r="GS47" s="40">
        <f t="shared" ref="GS47:GS48" si="241">ROUNDDOWN(GR47*GS$3,-1)</f>
        <v>59220</v>
      </c>
      <c r="GT47" s="128">
        <f t="shared" si="167"/>
        <v>23558486.981777385</v>
      </c>
      <c r="GU47" s="128">
        <f t="shared" ref="GU47:GU48" si="242">ROUNDDOWN(GT47*GU$3,-1)</f>
        <v>2120260</v>
      </c>
      <c r="GV47" s="128">
        <f t="shared" ref="GV47:GV48" si="243">ROUNDDOWN(GT47*GV$3,-1)</f>
        <v>937510</v>
      </c>
      <c r="GW47" s="128">
        <f t="shared" ref="GW47:GW48" si="244">ROUNDDOWN(GV47*GW$3,-1)</f>
        <v>60700</v>
      </c>
      <c r="GX47" s="40">
        <f t="shared" si="169"/>
        <v>24147449.156321816</v>
      </c>
      <c r="GY47" s="40">
        <f t="shared" ref="GY47:GY48" si="245">ROUNDDOWN(GX47*GY$3,-1)</f>
        <v>2173270</v>
      </c>
      <c r="GZ47" s="40">
        <f t="shared" ref="GZ47:GZ48" si="246">ROUNDDOWN(GX47*GZ$3,-1)</f>
        <v>960950</v>
      </c>
      <c r="HA47" s="40">
        <f t="shared" ref="HA47:HA48" si="247">ROUNDDOWN(GZ47*HA$3,-1)</f>
        <v>62220</v>
      </c>
      <c r="HB47" s="128" t="e">
        <f t="shared" si="171"/>
        <v>#REF!</v>
      </c>
      <c r="HC47" s="128" t="e">
        <f t="shared" ref="HC47:HC48" si="248">ROUNDDOWN(HB47*HC$3,-1)</f>
        <v>#REF!</v>
      </c>
      <c r="HD47" s="128" t="e">
        <f t="shared" ref="HD47:HD48" si="249">ROUNDDOWN(HB47*HD$3,-1)</f>
        <v>#REF!</v>
      </c>
      <c r="HE47" s="128" t="e">
        <f t="shared" ref="HE47:HE48" si="250">ROUNDDOWN(HD47*HE$3,-1)</f>
        <v>#REF!</v>
      </c>
    </row>
    <row r="48" spans="1:213">
      <c r="H48" s="45"/>
      <c r="O48" s="24">
        <v>1</v>
      </c>
      <c r="P48" s="28">
        <v>0</v>
      </c>
      <c r="S48" s="719">
        <v>280000</v>
      </c>
      <c r="V48" s="42"/>
      <c r="W48" s="101"/>
      <c r="Y48" s="24" t="s">
        <v>500</v>
      </c>
      <c r="Z48" s="24" t="s">
        <v>471</v>
      </c>
      <c r="AA48" s="647" t="s">
        <v>508</v>
      </c>
      <c r="AD48" s="26"/>
      <c r="AE48" s="27"/>
      <c r="AF48" s="778"/>
      <c r="AG48" s="28"/>
      <c r="AH48" s="28"/>
      <c r="AJ48" s="22">
        <v>41</v>
      </c>
      <c r="AK48" s="41">
        <v>50</v>
      </c>
      <c r="AL48" s="890">
        <v>8543880</v>
      </c>
      <c r="AM48" s="40">
        <f t="shared" si="84"/>
        <v>768950</v>
      </c>
      <c r="AN48" s="40">
        <v>277430</v>
      </c>
      <c r="AO48" s="40">
        <v>28440</v>
      </c>
      <c r="AP48" s="891">
        <f t="shared" si="85"/>
        <v>8689130</v>
      </c>
      <c r="AQ48" s="131">
        <f t="shared" si="86"/>
        <v>782020</v>
      </c>
      <c r="AR48" s="128">
        <f>ROUND(AP48*$AR$3,-1)</f>
        <v>308030</v>
      </c>
      <c r="AS48" s="128">
        <f t="shared" si="88"/>
        <v>19940</v>
      </c>
      <c r="AT48" s="40">
        <f t="shared" si="89"/>
        <v>8993249.5499999989</v>
      </c>
      <c r="AU48" s="40">
        <f>ROUNDDOWN(AT48*AU$3,-1)</f>
        <v>809390</v>
      </c>
      <c r="AV48" s="40">
        <f t="shared" si="1"/>
        <v>324230</v>
      </c>
      <c r="AW48" s="40">
        <f>ROUNDDOWN(AV48*AW$3,-1)</f>
        <v>20990</v>
      </c>
      <c r="AX48" s="128">
        <f t="shared" si="91"/>
        <v>9218080.7887499984</v>
      </c>
      <c r="AY48" s="128">
        <f>ROUNDDOWN(AX48*AY$3,-1)</f>
        <v>829620</v>
      </c>
      <c r="AZ48" s="128">
        <f>ROUNDDOWN(AX48*AZ$3,-1)</f>
        <v>332330</v>
      </c>
      <c r="BA48" s="128">
        <f>ROUNDDOWN(AZ48*BA$3,-1)</f>
        <v>21510</v>
      </c>
      <c r="BB48" s="40">
        <f t="shared" si="93"/>
        <v>9448532.8084687479</v>
      </c>
      <c r="BC48" s="40">
        <f>ROUNDDOWN(BB48*BC$3,-1)</f>
        <v>850360</v>
      </c>
      <c r="BD48" s="40">
        <f>ROUNDDOWN(BB48*BD$3,-1)</f>
        <v>349160</v>
      </c>
      <c r="BE48" s="40">
        <f>ROUNDDOWN(BD48*BE$3,-1)</f>
        <v>22600</v>
      </c>
      <c r="BF48" s="128">
        <f t="shared" si="95"/>
        <v>9684746.1286804657</v>
      </c>
      <c r="BG48" s="128">
        <f>ROUNDDOWN(BF48*BG$3,-1)</f>
        <v>871620</v>
      </c>
      <c r="BH48" s="128">
        <f>ROUNDDOWN(BF48*BH$3,-1)</f>
        <v>357880</v>
      </c>
      <c r="BI48" s="128">
        <f>ROUNDDOWN(BH48*BI$3,-1)</f>
        <v>23170</v>
      </c>
      <c r="BJ48" s="40">
        <f t="shared" si="97"/>
        <v>9926864.7818974759</v>
      </c>
      <c r="BK48" s="40">
        <f>ROUNDDOWN(BJ48*BK$3,-1)</f>
        <v>893410</v>
      </c>
      <c r="BL48" s="40">
        <f>ROUNDDOWN(BJ48*BL$3,-1)</f>
        <v>376000</v>
      </c>
      <c r="BM48" s="40">
        <f>ROUNDDOWN(BL48*BM$3,-1)</f>
        <v>24340</v>
      </c>
      <c r="BN48" s="128">
        <f t="shared" si="99"/>
        <v>10175036.401444912</v>
      </c>
      <c r="BO48" s="128">
        <f>ROUNDDOWN(BN48*BO$3,-1)</f>
        <v>915750</v>
      </c>
      <c r="BP48" s="128">
        <f>ROUNDDOWN(BN48*BP$3,-1)</f>
        <v>395040</v>
      </c>
      <c r="BQ48" s="128">
        <f>ROUNDDOWN(BP48*BQ$3,-1)</f>
        <v>25570</v>
      </c>
      <c r="BR48" s="40">
        <f t="shared" si="101"/>
        <v>10429412.311481034</v>
      </c>
      <c r="BS48" s="40">
        <f>ROUNDDOWN(BR48*BS$3,-1)</f>
        <v>938640</v>
      </c>
      <c r="BT48" s="40">
        <f>ROUNDDOWN(BR48*BT$3,-1)</f>
        <v>404910</v>
      </c>
      <c r="BU48" s="40">
        <f>ROUNDDOWN(BT48*BU$3,-1)</f>
        <v>26210</v>
      </c>
      <c r="BV48" s="128">
        <f t="shared" si="103"/>
        <v>10690147.61926806</v>
      </c>
      <c r="BW48" s="128">
        <f>ROUNDDOWN(BV48*BW$3,-1)</f>
        <v>962110</v>
      </c>
      <c r="BX48" s="128">
        <f>ROUNDDOWN(BV48*BX$3,-1)</f>
        <v>425410</v>
      </c>
      <c r="BY48" s="128">
        <f>ROUNDDOWN(BX48*BY$3,-1)</f>
        <v>27540</v>
      </c>
      <c r="BZ48" s="40">
        <f t="shared" si="105"/>
        <v>10957401.30974976</v>
      </c>
      <c r="CA48" s="40">
        <f>ROUNDDOWN(BZ48*CA$3,-1)</f>
        <v>986160</v>
      </c>
      <c r="CB48" s="40">
        <f>ROUNDDOWN(BZ48*CB$3,-1)</f>
        <v>436050</v>
      </c>
      <c r="CC48" s="40">
        <f>ROUNDDOWN(CB48*CC$3,-1)</f>
        <v>28230</v>
      </c>
      <c r="CD48" s="128">
        <f t="shared" si="107"/>
        <v>11231336.342493502</v>
      </c>
      <c r="CE48" s="128">
        <f>ROUNDDOWN(CD48*CE$3,-1)</f>
        <v>1010820</v>
      </c>
      <c r="CF48" s="128">
        <f>ROUNDDOWN(CD48*CF$3,-1)</f>
        <v>446950</v>
      </c>
      <c r="CG48" s="128">
        <f>ROUNDDOWN(CF48*CG$3,-1)</f>
        <v>28940</v>
      </c>
      <c r="CH48" s="40">
        <f t="shared" si="109"/>
        <v>11512119.751055839</v>
      </c>
      <c r="CI48" s="40">
        <f>ROUNDDOWN(CH48*CI$3,-1)</f>
        <v>1036090</v>
      </c>
      <c r="CJ48" s="40">
        <f>ROUNDDOWN(CH48*CJ$3,-1)</f>
        <v>458120</v>
      </c>
      <c r="CK48" s="40">
        <f>ROUNDDOWN(CJ48*CK$3,-1)</f>
        <v>29660</v>
      </c>
      <c r="CL48" s="128">
        <f t="shared" si="111"/>
        <v>11799922.744832233</v>
      </c>
      <c r="CM48" s="128">
        <f>ROUNDDOWN(CL48*CM$3,-1)</f>
        <v>1061990</v>
      </c>
      <c r="CN48" s="128">
        <f>ROUNDDOWN(CL48*CN$3,-1)</f>
        <v>469580</v>
      </c>
      <c r="CO48" s="128">
        <f>ROUNDDOWN(CN48*CO$3,-1)</f>
        <v>30400</v>
      </c>
      <c r="CP48" s="40">
        <f t="shared" si="113"/>
        <v>12094920.813453037</v>
      </c>
      <c r="CQ48" s="40">
        <f>ROUNDDOWN(CP48*CQ$3,-1)</f>
        <v>1088540</v>
      </c>
      <c r="CR48" s="40">
        <f>ROUNDDOWN(CP48*CR$3,-1)</f>
        <v>481320</v>
      </c>
      <c r="CS48" s="40">
        <f>ROUNDDOWN(CR48*CS$3,-1)</f>
        <v>31160</v>
      </c>
      <c r="CT48" s="128">
        <f t="shared" si="115"/>
        <v>12397293.833789362</v>
      </c>
      <c r="CU48" s="128">
        <f>ROUNDDOWN(CT48*CU$3,-1)</f>
        <v>1115750</v>
      </c>
      <c r="CV48" s="128">
        <f>ROUNDDOWN(CT48*CV$3,-1)</f>
        <v>493350</v>
      </c>
      <c r="CW48" s="128">
        <f>ROUNDDOWN(CV48*CW$3,-1)</f>
        <v>31940</v>
      </c>
      <c r="CX48" s="40">
        <f t="shared" si="117"/>
        <v>12707226.179634094</v>
      </c>
      <c r="CY48" s="40">
        <f>ROUNDDOWN(CX48*CY$3,-1)</f>
        <v>1143650</v>
      </c>
      <c r="CZ48" s="40">
        <f>ROUNDDOWN(CX48*CZ$3,-1)</f>
        <v>505680</v>
      </c>
      <c r="DA48" s="40">
        <f>ROUNDDOWN(CZ48*DA$3,-1)</f>
        <v>32740</v>
      </c>
      <c r="DB48" s="128">
        <f t="shared" si="119"/>
        <v>13024906.834124945</v>
      </c>
      <c r="DC48" s="128">
        <f>ROUNDDOWN(DB48*DC$3,-1)</f>
        <v>1172240</v>
      </c>
      <c r="DD48" s="128">
        <f>ROUNDDOWN(DB48*DD$3,-1)</f>
        <v>518330</v>
      </c>
      <c r="DE48" s="128">
        <f>ROUNDDOWN(DD48*DE$3,-1)</f>
        <v>33560</v>
      </c>
      <c r="DF48" s="40">
        <f t="shared" si="121"/>
        <v>13350529.504978068</v>
      </c>
      <c r="DG48" s="40">
        <f t="shared" si="173"/>
        <v>1201540</v>
      </c>
      <c r="DH48" s="40">
        <f t="shared" si="174"/>
        <v>531280</v>
      </c>
      <c r="DI48" s="40">
        <f t="shared" si="175"/>
        <v>34400</v>
      </c>
      <c r="DJ48" s="128">
        <f t="shared" si="123"/>
        <v>13684292.742602518</v>
      </c>
      <c r="DK48" s="128">
        <f t="shared" si="176"/>
        <v>1231580</v>
      </c>
      <c r="DL48" s="128">
        <f t="shared" si="177"/>
        <v>544570</v>
      </c>
      <c r="DM48" s="128">
        <f t="shared" si="178"/>
        <v>35260</v>
      </c>
      <c r="DN48" s="40">
        <f t="shared" si="125"/>
        <v>14026400.061167579</v>
      </c>
      <c r="DO48" s="40">
        <f t="shared" si="179"/>
        <v>1262370</v>
      </c>
      <c r="DP48" s="40">
        <f t="shared" si="180"/>
        <v>558180</v>
      </c>
      <c r="DQ48" s="40">
        <f t="shared" si="181"/>
        <v>36140</v>
      </c>
      <c r="DR48" s="128">
        <f t="shared" si="127"/>
        <v>14377060.062696768</v>
      </c>
      <c r="DS48" s="128">
        <f t="shared" si="182"/>
        <v>1293930</v>
      </c>
      <c r="DT48" s="128">
        <f t="shared" si="183"/>
        <v>572140</v>
      </c>
      <c r="DU48" s="128">
        <f t="shared" si="184"/>
        <v>37040</v>
      </c>
      <c r="DV48" s="40">
        <f t="shared" si="129"/>
        <v>14736486.564264186</v>
      </c>
      <c r="DW48" s="40">
        <f t="shared" si="185"/>
        <v>1326280</v>
      </c>
      <c r="DX48" s="40">
        <f t="shared" si="186"/>
        <v>586440</v>
      </c>
      <c r="DY48" s="40">
        <f t="shared" si="187"/>
        <v>37970</v>
      </c>
      <c r="DZ48" s="128">
        <f t="shared" si="131"/>
        <v>15104898.728370789</v>
      </c>
      <c r="EA48" s="128">
        <f t="shared" si="188"/>
        <v>1359440</v>
      </c>
      <c r="EB48" s="128">
        <f t="shared" si="189"/>
        <v>601100</v>
      </c>
      <c r="EC48" s="128">
        <f t="shared" si="190"/>
        <v>38920</v>
      </c>
      <c r="ED48" s="40">
        <f t="shared" si="133"/>
        <v>15482521.196580058</v>
      </c>
      <c r="EE48" s="40">
        <f t="shared" si="191"/>
        <v>1393420</v>
      </c>
      <c r="EF48" s="40">
        <f t="shared" si="192"/>
        <v>616130</v>
      </c>
      <c r="EG48" s="40">
        <f t="shared" si="193"/>
        <v>39890</v>
      </c>
      <c r="EH48" s="128">
        <f t="shared" si="135"/>
        <v>15869584.226494558</v>
      </c>
      <c r="EI48" s="128">
        <f t="shared" si="194"/>
        <v>1428260</v>
      </c>
      <c r="EJ48" s="128">
        <f t="shared" si="195"/>
        <v>631530</v>
      </c>
      <c r="EK48" s="128">
        <f t="shared" si="196"/>
        <v>40890</v>
      </c>
      <c r="EL48" s="40">
        <f t="shared" si="137"/>
        <v>16266323.832156921</v>
      </c>
      <c r="EM48" s="40">
        <f t="shared" si="197"/>
        <v>1463960</v>
      </c>
      <c r="EN48" s="40">
        <f t="shared" si="198"/>
        <v>647320</v>
      </c>
      <c r="EO48" s="40">
        <f t="shared" si="199"/>
        <v>41910</v>
      </c>
      <c r="EP48" s="128">
        <f t="shared" si="139"/>
        <v>16672981.927960843</v>
      </c>
      <c r="EQ48" s="128">
        <f t="shared" si="200"/>
        <v>1500560</v>
      </c>
      <c r="ER48" s="128">
        <f t="shared" si="201"/>
        <v>663500</v>
      </c>
      <c r="ES48" s="128">
        <f t="shared" si="202"/>
        <v>42960</v>
      </c>
      <c r="ET48" s="40">
        <f t="shared" si="141"/>
        <v>17089806.476159863</v>
      </c>
      <c r="EU48" s="40">
        <f t="shared" si="203"/>
        <v>1538080</v>
      </c>
      <c r="EV48" s="40">
        <f t="shared" si="204"/>
        <v>680090</v>
      </c>
      <c r="EW48" s="40">
        <f t="shared" si="205"/>
        <v>44030</v>
      </c>
      <c r="EX48" s="128">
        <f t="shared" si="143"/>
        <v>17517051.638063859</v>
      </c>
      <c r="EY48" s="128">
        <f t="shared" si="206"/>
        <v>1576530</v>
      </c>
      <c r="EZ48" s="128">
        <f t="shared" si="207"/>
        <v>697090</v>
      </c>
      <c r="FA48" s="128">
        <f t="shared" si="208"/>
        <v>45130</v>
      </c>
      <c r="FB48" s="40">
        <f t="shared" si="145"/>
        <v>17954977.929015454</v>
      </c>
      <c r="FC48" s="40">
        <f t="shared" si="209"/>
        <v>1615940</v>
      </c>
      <c r="FD48" s="40">
        <f t="shared" si="210"/>
        <v>714520</v>
      </c>
      <c r="FE48" s="40">
        <f t="shared" si="211"/>
        <v>46260</v>
      </c>
      <c r="FF48" s="128">
        <f t="shared" si="147"/>
        <v>18403852.37724084</v>
      </c>
      <c r="FG48" s="128">
        <f t="shared" si="212"/>
        <v>1656340</v>
      </c>
      <c r="FH48" s="128">
        <f t="shared" si="213"/>
        <v>732380</v>
      </c>
      <c r="FI48" s="128">
        <f t="shared" si="214"/>
        <v>47420</v>
      </c>
      <c r="FJ48" s="40">
        <f t="shared" si="149"/>
        <v>18863948.686671861</v>
      </c>
      <c r="FK48" s="40">
        <f t="shared" si="215"/>
        <v>1697750</v>
      </c>
      <c r="FL48" s="40">
        <f t="shared" si="216"/>
        <v>750690</v>
      </c>
      <c r="FM48" s="40">
        <f t="shared" si="217"/>
        <v>48600</v>
      </c>
      <c r="FN48" s="128">
        <f t="shared" si="151"/>
        <v>19335547.403838657</v>
      </c>
      <c r="FO48" s="128">
        <f t="shared" si="218"/>
        <v>1740190</v>
      </c>
      <c r="FP48" s="128">
        <f t="shared" si="219"/>
        <v>769460</v>
      </c>
      <c r="FQ48" s="128">
        <f t="shared" si="220"/>
        <v>49820</v>
      </c>
      <c r="FR48" s="40">
        <f t="shared" si="153"/>
        <v>19818936.088934623</v>
      </c>
      <c r="FS48" s="40">
        <f t="shared" si="221"/>
        <v>1783700</v>
      </c>
      <c r="FT48" s="40">
        <f t="shared" si="222"/>
        <v>788700</v>
      </c>
      <c r="FU48" s="40">
        <f t="shared" si="223"/>
        <v>51060</v>
      </c>
      <c r="FV48" s="128">
        <f t="shared" si="155"/>
        <v>20314409.491157986</v>
      </c>
      <c r="FW48" s="128">
        <f t="shared" si="224"/>
        <v>1828290</v>
      </c>
      <c r="FX48" s="128">
        <f t="shared" si="225"/>
        <v>808410</v>
      </c>
      <c r="FY48" s="128">
        <f t="shared" si="226"/>
        <v>52340</v>
      </c>
      <c r="FZ48" s="40">
        <f t="shared" si="157"/>
        <v>20822269.728436936</v>
      </c>
      <c r="GA48" s="40">
        <f t="shared" si="227"/>
        <v>1874000</v>
      </c>
      <c r="GB48" s="40">
        <f t="shared" si="228"/>
        <v>828630</v>
      </c>
      <c r="GC48" s="40">
        <f t="shared" si="229"/>
        <v>53650</v>
      </c>
      <c r="GD48" s="128">
        <f t="shared" si="159"/>
        <v>21342826.471647859</v>
      </c>
      <c r="GE48" s="128">
        <f t="shared" si="230"/>
        <v>1920850</v>
      </c>
      <c r="GF48" s="128">
        <f t="shared" si="231"/>
        <v>849340</v>
      </c>
      <c r="GG48" s="128">
        <f t="shared" si="232"/>
        <v>54990</v>
      </c>
      <c r="GH48" s="40">
        <f t="shared" si="161"/>
        <v>21876397.133439053</v>
      </c>
      <c r="GI48" s="40">
        <f t="shared" si="233"/>
        <v>1968870</v>
      </c>
      <c r="GJ48" s="40">
        <f t="shared" si="234"/>
        <v>870570</v>
      </c>
      <c r="GK48" s="40">
        <f t="shared" si="235"/>
        <v>56360</v>
      </c>
      <c r="GL48" s="128">
        <f t="shared" si="163"/>
        <v>22423307.061775029</v>
      </c>
      <c r="GM48" s="128">
        <f t="shared" si="236"/>
        <v>2018090</v>
      </c>
      <c r="GN48" s="128">
        <f t="shared" si="237"/>
        <v>892340</v>
      </c>
      <c r="GO48" s="128">
        <f t="shared" si="238"/>
        <v>57770</v>
      </c>
      <c r="GP48" s="40">
        <f t="shared" si="165"/>
        <v>22983889.738319401</v>
      </c>
      <c r="GQ48" s="40">
        <f t="shared" si="239"/>
        <v>2068550</v>
      </c>
      <c r="GR48" s="40">
        <f t="shared" si="240"/>
        <v>914650</v>
      </c>
      <c r="GS48" s="40">
        <f t="shared" si="241"/>
        <v>59220</v>
      </c>
      <c r="GT48" s="128">
        <f t="shared" si="167"/>
        <v>23558486.981777385</v>
      </c>
      <c r="GU48" s="128">
        <f t="shared" si="242"/>
        <v>2120260</v>
      </c>
      <c r="GV48" s="128">
        <f t="shared" si="243"/>
        <v>937510</v>
      </c>
      <c r="GW48" s="128">
        <f t="shared" si="244"/>
        <v>60700</v>
      </c>
      <c r="GX48" s="40">
        <f t="shared" si="169"/>
        <v>24147449.156321816</v>
      </c>
      <c r="GY48" s="40">
        <f t="shared" si="245"/>
        <v>2173270</v>
      </c>
      <c r="GZ48" s="40">
        <f t="shared" si="246"/>
        <v>960950</v>
      </c>
      <c r="HA48" s="40">
        <f t="shared" si="247"/>
        <v>62220</v>
      </c>
      <c r="HB48" s="128" t="e">
        <f t="shared" si="171"/>
        <v>#REF!</v>
      </c>
      <c r="HC48" s="128" t="e">
        <f t="shared" si="248"/>
        <v>#REF!</v>
      </c>
      <c r="HD48" s="128" t="e">
        <f t="shared" si="249"/>
        <v>#REF!</v>
      </c>
      <c r="HE48" s="128" t="e">
        <f t="shared" si="250"/>
        <v>#REF!</v>
      </c>
    </row>
    <row r="49" spans="3:123">
      <c r="H49" s="45"/>
      <c r="O49" s="24">
        <v>2</v>
      </c>
      <c r="P49" s="28">
        <v>5000</v>
      </c>
      <c r="S49" s="719">
        <v>290000</v>
      </c>
      <c r="V49" s="42"/>
      <c r="W49" s="101"/>
      <c r="Y49" s="596">
        <v>2021</v>
      </c>
      <c r="Z49" s="165">
        <v>2</v>
      </c>
      <c r="AA49" s="165">
        <v>9</v>
      </c>
      <c r="AB49" s="167"/>
      <c r="AD49" s="26"/>
      <c r="AE49" s="27"/>
      <c r="AF49" s="778"/>
      <c r="AG49" s="28"/>
      <c r="AH49" s="28"/>
      <c r="AM49" s="858">
        <v>4.0405124999999729E-2</v>
      </c>
    </row>
    <row r="50" spans="3:123">
      <c r="H50" s="45"/>
      <c r="O50" s="24">
        <v>3</v>
      </c>
      <c r="P50" s="28">
        <v>10000</v>
      </c>
      <c r="S50" s="720">
        <v>2</v>
      </c>
      <c r="V50" s="42"/>
      <c r="W50" s="101"/>
      <c r="Y50" s="596">
        <v>2022</v>
      </c>
      <c r="Z50" s="165">
        <v>2</v>
      </c>
      <c r="AA50" s="165">
        <v>9</v>
      </c>
      <c r="AD50" s="26"/>
      <c r="AE50" s="27"/>
      <c r="AF50" s="778"/>
      <c r="AG50" s="28"/>
      <c r="AH50" s="28"/>
    </row>
    <row r="51" spans="3:123">
      <c r="O51" s="24">
        <v>4</v>
      </c>
      <c r="P51" s="28">
        <v>15000</v>
      </c>
      <c r="S51" s="719"/>
      <c r="V51" s="42"/>
      <c r="W51" s="101"/>
      <c r="Y51" s="596">
        <v>2023</v>
      </c>
      <c r="Z51" s="165">
        <v>1</v>
      </c>
      <c r="AA51" s="165">
        <v>9</v>
      </c>
      <c r="AD51" s="26"/>
      <c r="AE51" s="27"/>
      <c r="AF51" s="778"/>
      <c r="AG51" s="28"/>
      <c r="AH51" s="28"/>
      <c r="AL51" s="42">
        <v>2021</v>
      </c>
      <c r="AM51" s="42">
        <v>2022</v>
      </c>
      <c r="AN51" s="42">
        <v>2023</v>
      </c>
      <c r="AO51" s="42">
        <v>2024</v>
      </c>
      <c r="AP51" s="42">
        <v>2025</v>
      </c>
      <c r="AQ51" s="42">
        <v>2026</v>
      </c>
      <c r="AR51" s="42">
        <v>2027</v>
      </c>
      <c r="AS51" s="42">
        <v>2028</v>
      </c>
      <c r="AT51" s="42">
        <v>2029</v>
      </c>
      <c r="AU51" s="42">
        <v>2030</v>
      </c>
      <c r="AV51" s="42">
        <v>2031</v>
      </c>
      <c r="AW51" s="42">
        <v>2032</v>
      </c>
      <c r="AX51" s="42">
        <v>2033</v>
      </c>
      <c r="AY51" s="42">
        <v>2034</v>
      </c>
      <c r="AZ51" s="42">
        <v>2035</v>
      </c>
      <c r="BA51" s="42">
        <v>2036</v>
      </c>
      <c r="BB51" s="42">
        <v>2037</v>
      </c>
      <c r="BC51" s="42">
        <v>2038</v>
      </c>
      <c r="BD51" s="42">
        <v>2039</v>
      </c>
      <c r="BE51" s="42">
        <v>2040</v>
      </c>
      <c r="BF51" s="42">
        <v>2041</v>
      </c>
      <c r="BG51" s="42">
        <v>2042</v>
      </c>
      <c r="BH51" s="42">
        <v>2043</v>
      </c>
      <c r="BI51" s="42">
        <v>2044</v>
      </c>
      <c r="BJ51" s="42">
        <v>2045</v>
      </c>
      <c r="BK51" s="42">
        <v>2046</v>
      </c>
      <c r="BL51" s="42">
        <v>2047</v>
      </c>
      <c r="BM51" s="42">
        <v>2048</v>
      </c>
      <c r="BN51" s="42">
        <v>2049</v>
      </c>
      <c r="BO51" s="42">
        <v>2050</v>
      </c>
      <c r="BP51" s="42">
        <v>2051</v>
      </c>
      <c r="BQ51" s="42">
        <v>2052</v>
      </c>
      <c r="BR51" s="42">
        <v>2053</v>
      </c>
      <c r="BS51" s="42">
        <v>2054</v>
      </c>
      <c r="BT51" s="42">
        <v>2055</v>
      </c>
      <c r="BU51" s="42">
        <v>2056</v>
      </c>
      <c r="BV51" s="42">
        <v>2057</v>
      </c>
      <c r="BW51" s="42">
        <v>2058</v>
      </c>
      <c r="BX51" s="42">
        <v>2059</v>
      </c>
      <c r="BY51" s="42">
        <v>2060</v>
      </c>
      <c r="BZ51" s="42">
        <v>2061</v>
      </c>
      <c r="CA51" s="42">
        <v>2062</v>
      </c>
    </row>
    <row r="52" spans="3:123" ht="20">
      <c r="O52" s="24">
        <v>5</v>
      </c>
      <c r="P52" s="28">
        <v>20000</v>
      </c>
      <c r="S52" s="719"/>
      <c r="V52" s="42"/>
      <c r="W52" s="101"/>
      <c r="Y52" s="596">
        <v>2024</v>
      </c>
      <c r="Z52" s="165">
        <v>2</v>
      </c>
      <c r="AA52" s="165">
        <v>9</v>
      </c>
      <c r="AD52" s="26"/>
      <c r="AE52" s="27"/>
      <c r="AF52" s="778"/>
      <c r="AG52" s="28"/>
      <c r="AH52" s="28"/>
      <c r="AL52" s="614">
        <v>2</v>
      </c>
      <c r="AM52" s="614">
        <v>2</v>
      </c>
      <c r="AN52" s="614">
        <v>2</v>
      </c>
      <c r="AO52" s="614">
        <v>2</v>
      </c>
      <c r="AP52" s="614">
        <v>2</v>
      </c>
      <c r="AQ52" s="614">
        <v>2</v>
      </c>
      <c r="AR52" s="614">
        <v>2</v>
      </c>
      <c r="AS52" s="614">
        <v>2</v>
      </c>
      <c r="AT52" s="615">
        <v>2</v>
      </c>
      <c r="AU52" s="615">
        <v>2</v>
      </c>
      <c r="AV52" s="615">
        <v>2</v>
      </c>
      <c r="AW52" s="616">
        <v>2</v>
      </c>
      <c r="AX52" s="616">
        <v>2</v>
      </c>
      <c r="AY52" s="616">
        <v>2</v>
      </c>
      <c r="AZ52" s="616">
        <v>2</v>
      </c>
      <c r="BA52" s="616">
        <v>2</v>
      </c>
      <c r="BB52" s="616">
        <v>2</v>
      </c>
      <c r="BC52" s="616">
        <v>2</v>
      </c>
      <c r="BD52" s="616">
        <v>2</v>
      </c>
      <c r="BE52" s="616">
        <v>2</v>
      </c>
      <c r="BF52" s="616">
        <v>2</v>
      </c>
      <c r="BG52" s="616">
        <v>2</v>
      </c>
      <c r="BH52" s="616">
        <v>2</v>
      </c>
      <c r="BI52" s="616">
        <v>2</v>
      </c>
      <c r="BJ52" s="616">
        <v>2</v>
      </c>
      <c r="BK52" s="616">
        <v>2</v>
      </c>
      <c r="BL52" s="616">
        <v>2</v>
      </c>
      <c r="BM52" s="616">
        <v>2</v>
      </c>
      <c r="BN52" s="616">
        <v>2</v>
      </c>
      <c r="BO52" s="616">
        <v>2</v>
      </c>
      <c r="BP52" s="616">
        <v>2</v>
      </c>
      <c r="BQ52" s="616">
        <v>2</v>
      </c>
      <c r="BR52" s="616">
        <v>2</v>
      </c>
      <c r="BS52" s="616">
        <v>2</v>
      </c>
      <c r="BT52" s="616">
        <v>2</v>
      </c>
      <c r="BU52" s="616">
        <v>2</v>
      </c>
      <c r="BV52" s="616">
        <v>2</v>
      </c>
      <c r="BW52" s="616">
        <v>2</v>
      </c>
      <c r="BX52" s="616">
        <v>2</v>
      </c>
      <c r="BY52" s="616">
        <v>2</v>
      </c>
      <c r="BZ52" s="616">
        <v>2</v>
      </c>
      <c r="CA52" s="616">
        <v>2</v>
      </c>
    </row>
    <row r="53" spans="3:123">
      <c r="O53" s="24">
        <v>6</v>
      </c>
      <c r="P53" s="28">
        <v>25000</v>
      </c>
      <c r="S53" s="719"/>
      <c r="V53" s="42"/>
      <c r="W53" s="101"/>
      <c r="Y53" s="596">
        <v>2025</v>
      </c>
      <c r="Z53" s="165">
        <v>1</v>
      </c>
      <c r="AA53" s="165">
        <v>10</v>
      </c>
      <c r="AD53" s="26"/>
      <c r="AE53" s="27"/>
      <c r="AF53" s="778"/>
      <c r="AG53" s="28"/>
      <c r="AH53" s="28"/>
      <c r="AL53" s="612" t="str">
        <f>IF(AL52=1,"S",IF(AL52=2,"A",IF(AL52=3,"B",IF(AL52=4,"없음",0))))</f>
        <v>A</v>
      </c>
      <c r="AM53" s="612" t="str">
        <f>IF(AM52=1,"S",IF(AM52=2,"A",IF(AM52=3,"B",IF(AM52=4,"없음",0))))</f>
        <v>A</v>
      </c>
      <c r="AN53" s="612" t="str">
        <f t="shared" ref="AN53:CA53" si="251">IF(AN52=1,"S",IF(AN52=2,"A",IF(AN52=3,"B",IF(AN52=4,"없음",0))))</f>
        <v>A</v>
      </c>
      <c r="AO53" s="612" t="str">
        <f t="shared" si="251"/>
        <v>A</v>
      </c>
      <c r="AP53" s="612" t="str">
        <f t="shared" si="251"/>
        <v>A</v>
      </c>
      <c r="AQ53" s="612" t="str">
        <f t="shared" si="251"/>
        <v>A</v>
      </c>
      <c r="AR53" s="612" t="str">
        <f t="shared" si="251"/>
        <v>A</v>
      </c>
      <c r="AS53" s="612" t="str">
        <f t="shared" si="251"/>
        <v>A</v>
      </c>
      <c r="AT53" s="612" t="str">
        <f t="shared" si="251"/>
        <v>A</v>
      </c>
      <c r="AU53" s="612" t="str">
        <f t="shared" si="251"/>
        <v>A</v>
      </c>
      <c r="AV53" s="612" t="str">
        <f t="shared" si="251"/>
        <v>A</v>
      </c>
      <c r="AW53" s="612" t="str">
        <f t="shared" si="251"/>
        <v>A</v>
      </c>
      <c r="AX53" s="612" t="str">
        <f t="shared" si="251"/>
        <v>A</v>
      </c>
      <c r="AY53" s="612" t="str">
        <f t="shared" si="251"/>
        <v>A</v>
      </c>
      <c r="AZ53" s="612" t="str">
        <f t="shared" si="251"/>
        <v>A</v>
      </c>
      <c r="BA53" s="612" t="str">
        <f t="shared" si="251"/>
        <v>A</v>
      </c>
      <c r="BB53" s="612" t="str">
        <f t="shared" si="251"/>
        <v>A</v>
      </c>
      <c r="BC53" s="612" t="str">
        <f t="shared" si="251"/>
        <v>A</v>
      </c>
      <c r="BD53" s="612" t="str">
        <f t="shared" si="251"/>
        <v>A</v>
      </c>
      <c r="BE53" s="612" t="str">
        <f t="shared" si="251"/>
        <v>A</v>
      </c>
      <c r="BF53" s="612" t="str">
        <f t="shared" si="251"/>
        <v>A</v>
      </c>
      <c r="BG53" s="612" t="str">
        <f t="shared" si="251"/>
        <v>A</v>
      </c>
      <c r="BH53" s="612" t="str">
        <f t="shared" si="251"/>
        <v>A</v>
      </c>
      <c r="BI53" s="612" t="str">
        <f t="shared" si="251"/>
        <v>A</v>
      </c>
      <c r="BJ53" s="612" t="str">
        <f t="shared" si="251"/>
        <v>A</v>
      </c>
      <c r="BK53" s="612" t="str">
        <f t="shared" si="251"/>
        <v>A</v>
      </c>
      <c r="BL53" s="612" t="str">
        <f t="shared" si="251"/>
        <v>A</v>
      </c>
      <c r="BM53" s="612" t="str">
        <f t="shared" si="251"/>
        <v>A</v>
      </c>
      <c r="BN53" s="612" t="str">
        <f t="shared" si="251"/>
        <v>A</v>
      </c>
      <c r="BO53" s="612" t="str">
        <f t="shared" si="251"/>
        <v>A</v>
      </c>
      <c r="BP53" s="612" t="str">
        <f t="shared" si="251"/>
        <v>A</v>
      </c>
      <c r="BQ53" s="612" t="str">
        <f t="shared" si="251"/>
        <v>A</v>
      </c>
      <c r="BR53" s="612" t="str">
        <f t="shared" si="251"/>
        <v>A</v>
      </c>
      <c r="BS53" s="612" t="str">
        <f t="shared" si="251"/>
        <v>A</v>
      </c>
      <c r="BT53" s="612" t="str">
        <f t="shared" si="251"/>
        <v>A</v>
      </c>
      <c r="BU53" s="612" t="str">
        <f t="shared" si="251"/>
        <v>A</v>
      </c>
      <c r="BV53" s="612" t="str">
        <f t="shared" si="251"/>
        <v>A</v>
      </c>
      <c r="BW53" s="612" t="str">
        <f t="shared" si="251"/>
        <v>A</v>
      </c>
      <c r="BX53" s="612" t="str">
        <f t="shared" si="251"/>
        <v>A</v>
      </c>
      <c r="BY53" s="612" t="str">
        <f t="shared" si="251"/>
        <v>A</v>
      </c>
      <c r="BZ53" s="612" t="str">
        <f t="shared" si="251"/>
        <v>A</v>
      </c>
      <c r="CA53" s="612" t="str">
        <f t="shared" si="251"/>
        <v>A</v>
      </c>
      <c r="CB53" s="93"/>
      <c r="CC53" s="93"/>
      <c r="CD53" s="93"/>
      <c r="CE53" s="93"/>
      <c r="CF53" s="93"/>
      <c r="CG53" s="93"/>
      <c r="CH53" s="93"/>
      <c r="CI53" s="93"/>
      <c r="CJ53" s="93"/>
      <c r="CK53" s="93"/>
      <c r="CL53" s="93"/>
      <c r="CM53" s="93"/>
      <c r="CN53" s="93"/>
      <c r="CO53" s="93"/>
      <c r="CP53" s="93"/>
      <c r="CQ53" s="93"/>
      <c r="CR53" s="93"/>
      <c r="CS53" s="93"/>
      <c r="CT53" s="93"/>
      <c r="CU53" s="93"/>
      <c r="CV53" s="93"/>
      <c r="CW53" s="93"/>
      <c r="CX53" s="93"/>
      <c r="CY53" s="93"/>
      <c r="CZ53" s="93"/>
      <c r="DA53" s="93"/>
      <c r="DB53" s="93"/>
      <c r="DC53" s="93"/>
      <c r="DD53" s="93"/>
      <c r="DE53" s="93"/>
      <c r="DF53" s="93"/>
      <c r="DG53" s="93"/>
      <c r="DH53" s="93"/>
      <c r="DI53" s="93"/>
      <c r="DJ53" s="93"/>
      <c r="DK53" s="93"/>
      <c r="DL53" s="93"/>
      <c r="DM53" s="93"/>
      <c r="DN53" s="93"/>
      <c r="DO53" s="93"/>
      <c r="DP53" s="93"/>
      <c r="DQ53" s="93"/>
      <c r="DR53" s="93"/>
      <c r="DS53" s="93"/>
    </row>
    <row r="54" spans="3:123">
      <c r="O54" s="24">
        <v>7</v>
      </c>
      <c r="P54" s="28">
        <v>30000</v>
      </c>
      <c r="S54" s="719"/>
      <c r="V54" s="42"/>
      <c r="W54" s="101"/>
      <c r="Y54" s="596">
        <v>2026</v>
      </c>
      <c r="Z54" s="165">
        <v>2</v>
      </c>
      <c r="AA54" s="165">
        <v>9</v>
      </c>
      <c r="AD54" s="26"/>
      <c r="AE54" s="27"/>
      <c r="AF54" s="778"/>
      <c r="AG54" s="28"/>
      <c r="AH54" s="28"/>
      <c r="AL54" s="42" t="s">
        <v>68</v>
      </c>
      <c r="AM54" s="42" t="s">
        <v>68</v>
      </c>
      <c r="AN54" s="42" t="s">
        <v>68</v>
      </c>
      <c r="AO54" s="42" t="s">
        <v>68</v>
      </c>
      <c r="AP54" s="42" t="s">
        <v>68</v>
      </c>
      <c r="AQ54" s="42" t="s">
        <v>68</v>
      </c>
      <c r="AR54" s="42" t="s">
        <v>68</v>
      </c>
      <c r="AS54" s="42" t="s">
        <v>68</v>
      </c>
      <c r="AT54" s="42" t="s">
        <v>68</v>
      </c>
      <c r="AU54" s="42" t="s">
        <v>68</v>
      </c>
      <c r="AV54" s="42" t="s">
        <v>68</v>
      </c>
      <c r="AW54" s="42" t="s">
        <v>68</v>
      </c>
      <c r="AX54" s="42" t="s">
        <v>68</v>
      </c>
      <c r="AY54" s="42" t="s">
        <v>68</v>
      </c>
      <c r="AZ54" s="42" t="s">
        <v>68</v>
      </c>
      <c r="BA54" s="42" t="s">
        <v>68</v>
      </c>
      <c r="BB54" s="42" t="s">
        <v>68</v>
      </c>
      <c r="BC54" s="42" t="s">
        <v>68</v>
      </c>
      <c r="BD54" s="42" t="s">
        <v>68</v>
      </c>
      <c r="BE54" s="42" t="s">
        <v>68</v>
      </c>
      <c r="BF54" s="42" t="s">
        <v>68</v>
      </c>
      <c r="BG54" s="42" t="s">
        <v>68</v>
      </c>
      <c r="BH54" s="42" t="s">
        <v>68</v>
      </c>
      <c r="BI54" s="42" t="s">
        <v>68</v>
      </c>
      <c r="BJ54" s="42" t="s">
        <v>68</v>
      </c>
      <c r="BK54" s="42" t="s">
        <v>68</v>
      </c>
      <c r="BL54" s="42" t="s">
        <v>68</v>
      </c>
      <c r="BM54" s="42" t="s">
        <v>68</v>
      </c>
      <c r="BN54" s="42" t="s">
        <v>68</v>
      </c>
      <c r="BO54" s="42" t="s">
        <v>68</v>
      </c>
      <c r="BP54" s="42" t="s">
        <v>68</v>
      </c>
      <c r="BQ54" s="42" t="s">
        <v>68</v>
      </c>
      <c r="BR54" s="42" t="s">
        <v>68</v>
      </c>
      <c r="BS54" s="42" t="s">
        <v>68</v>
      </c>
      <c r="BT54" s="42" t="s">
        <v>68</v>
      </c>
      <c r="BU54" s="42" t="s">
        <v>68</v>
      </c>
      <c r="BV54" s="42" t="s">
        <v>68</v>
      </c>
      <c r="BW54" s="42" t="s">
        <v>68</v>
      </c>
      <c r="BX54" s="42" t="s">
        <v>68</v>
      </c>
      <c r="BY54" s="42" t="s">
        <v>68</v>
      </c>
      <c r="BZ54" s="42" t="s">
        <v>68</v>
      </c>
      <c r="CA54" s="42" t="s">
        <v>68</v>
      </c>
    </row>
    <row r="55" spans="3:123">
      <c r="C55" s="649">
        <f>IF('2025'!S36&gt;'2025'!S37,'2025'!S36,'2025'!S37)</f>
        <v>2054</v>
      </c>
      <c r="D55" s="650">
        <f>IF('2025'!S36&gt;'2025'!S37,'2025'!T36+1,IF(AND('2025'!S36='2025'!S37,'2025'!T36&gt;='2025'!T37),'2025'!T36+1,IF(AND('2025'!S36='2025'!S37,'2025'!T36&lt;='2025'!T37),'2025'!T37+1,IF('2025'!S36&lt;'2025'!S37,'2025'!T37+1,"에러"))))</f>
        <v>4</v>
      </c>
      <c r="O55" s="24">
        <v>8</v>
      </c>
      <c r="P55" s="28">
        <v>35000</v>
      </c>
      <c r="V55" s="42"/>
      <c r="W55" s="101"/>
      <c r="Y55" s="596">
        <v>2027</v>
      </c>
      <c r="Z55" s="165">
        <v>2</v>
      </c>
      <c r="AA55" s="165">
        <v>9</v>
      </c>
      <c r="AD55" s="26"/>
      <c r="AE55" s="27"/>
      <c r="AF55" s="778"/>
      <c r="AG55" s="28"/>
      <c r="AH55" s="28"/>
      <c r="AL55" s="613" t="s">
        <v>535</v>
      </c>
      <c r="AM55" s="613" t="s">
        <v>535</v>
      </c>
      <c r="AN55" s="613" t="s">
        <v>535</v>
      </c>
      <c r="AO55" s="613" t="s">
        <v>535</v>
      </c>
      <c r="AP55" s="613" t="s">
        <v>535</v>
      </c>
      <c r="AQ55" s="613" t="s">
        <v>535</v>
      </c>
      <c r="AR55" s="613" t="s">
        <v>535</v>
      </c>
      <c r="AS55" s="613" t="s">
        <v>535</v>
      </c>
      <c r="AT55" s="613" t="s">
        <v>535</v>
      </c>
      <c r="AU55" s="613" t="s">
        <v>535</v>
      </c>
      <c r="AV55" s="613" t="s">
        <v>535</v>
      </c>
      <c r="AW55" s="613" t="s">
        <v>535</v>
      </c>
      <c r="AX55" s="613" t="s">
        <v>535</v>
      </c>
      <c r="AY55" s="613" t="s">
        <v>535</v>
      </c>
      <c r="AZ55" s="613" t="s">
        <v>535</v>
      </c>
      <c r="BA55" s="613" t="s">
        <v>535</v>
      </c>
      <c r="BB55" s="613" t="s">
        <v>535</v>
      </c>
      <c r="BC55" s="613" t="s">
        <v>535</v>
      </c>
      <c r="BD55" s="613" t="s">
        <v>535</v>
      </c>
      <c r="BE55" s="613" t="s">
        <v>535</v>
      </c>
      <c r="BF55" s="613" t="s">
        <v>535</v>
      </c>
      <c r="BG55" s="613" t="s">
        <v>535</v>
      </c>
      <c r="BH55" s="613" t="s">
        <v>535</v>
      </c>
      <c r="BI55" s="613" t="s">
        <v>535</v>
      </c>
      <c r="BJ55" s="613" t="s">
        <v>535</v>
      </c>
      <c r="BK55" s="613" t="s">
        <v>535</v>
      </c>
      <c r="BL55" s="613" t="s">
        <v>535</v>
      </c>
      <c r="BM55" s="613" t="s">
        <v>535</v>
      </c>
      <c r="BN55" s="613" t="s">
        <v>535</v>
      </c>
      <c r="BO55" s="613" t="s">
        <v>535</v>
      </c>
      <c r="BP55" s="613" t="s">
        <v>535</v>
      </c>
      <c r="BQ55" s="613" t="s">
        <v>535</v>
      </c>
      <c r="BR55" s="613" t="s">
        <v>535</v>
      </c>
      <c r="BS55" s="613" t="s">
        <v>535</v>
      </c>
      <c r="BT55" s="613" t="s">
        <v>535</v>
      </c>
      <c r="BU55" s="613" t="s">
        <v>535</v>
      </c>
      <c r="BV55" s="613" t="s">
        <v>535</v>
      </c>
      <c r="BW55" s="613" t="s">
        <v>535</v>
      </c>
      <c r="BX55" s="613" t="s">
        <v>535</v>
      </c>
      <c r="BY55" s="613" t="s">
        <v>535</v>
      </c>
      <c r="BZ55" s="613" t="s">
        <v>535</v>
      </c>
      <c r="CA55" s="613" t="s">
        <v>535</v>
      </c>
      <c r="CB55" s="595"/>
      <c r="CC55" s="595"/>
      <c r="CD55" s="595"/>
      <c r="CE55" s="595"/>
      <c r="CF55" s="595"/>
      <c r="CG55" s="595"/>
      <c r="CH55" s="595"/>
      <c r="CI55" s="595"/>
      <c r="CJ55" s="595"/>
      <c r="CK55" s="595"/>
      <c r="CL55" s="595"/>
      <c r="CM55" s="595"/>
      <c r="CN55" s="595"/>
      <c r="CO55" s="595"/>
      <c r="CP55" s="595"/>
      <c r="CQ55" s="595"/>
      <c r="CR55" s="595"/>
      <c r="CS55" s="595"/>
      <c r="CT55" s="595"/>
      <c r="CU55" s="595"/>
      <c r="CV55" s="595"/>
      <c r="CW55" s="595"/>
      <c r="CX55" s="595"/>
      <c r="CY55" s="595"/>
      <c r="CZ55" s="595"/>
      <c r="DA55" s="595"/>
      <c r="DB55" s="595"/>
      <c r="DC55" s="595"/>
      <c r="DD55" s="595"/>
      <c r="DE55" s="595"/>
      <c r="DF55" s="595"/>
      <c r="DG55" s="595"/>
      <c r="DH55" s="595"/>
      <c r="DI55" s="595"/>
      <c r="DJ55" s="595"/>
      <c r="DK55" s="595"/>
      <c r="DL55" s="595"/>
      <c r="DM55" s="595"/>
      <c r="DN55" s="595"/>
      <c r="DO55" s="595"/>
      <c r="DP55" s="595"/>
      <c r="DQ55" s="595"/>
      <c r="DR55" s="595"/>
      <c r="DS55" s="595"/>
    </row>
    <row r="56" spans="3:123">
      <c r="O56" s="24">
        <v>9</v>
      </c>
      <c r="P56" s="28">
        <v>40000</v>
      </c>
      <c r="V56" s="42"/>
      <c r="W56" s="101"/>
      <c r="Y56" s="596">
        <v>2028</v>
      </c>
      <c r="Z56" s="165">
        <v>1</v>
      </c>
      <c r="AA56" s="165">
        <v>10</v>
      </c>
      <c r="AD56" s="26"/>
      <c r="AE56" s="27"/>
      <c r="AF56" s="778"/>
      <c r="AG56" s="28"/>
      <c r="AH56" s="28"/>
      <c r="AL56" s="613" t="s">
        <v>550</v>
      </c>
      <c r="AM56" s="613" t="s">
        <v>550</v>
      </c>
      <c r="AN56" s="613" t="s">
        <v>550</v>
      </c>
      <c r="AO56" s="613" t="s">
        <v>550</v>
      </c>
      <c r="AP56" s="613" t="s">
        <v>550</v>
      </c>
      <c r="AQ56" s="613" t="s">
        <v>550</v>
      </c>
      <c r="AR56" s="613" t="s">
        <v>550</v>
      </c>
      <c r="AS56" s="613" t="s">
        <v>550</v>
      </c>
      <c r="AT56" s="613" t="s">
        <v>550</v>
      </c>
      <c r="AU56" s="613" t="s">
        <v>550</v>
      </c>
      <c r="AV56" s="613" t="s">
        <v>550</v>
      </c>
      <c r="AW56" s="613" t="s">
        <v>550</v>
      </c>
      <c r="AX56" s="613" t="s">
        <v>550</v>
      </c>
      <c r="AY56" s="613" t="s">
        <v>550</v>
      </c>
      <c r="AZ56" s="613" t="s">
        <v>550</v>
      </c>
      <c r="BA56" s="613" t="s">
        <v>550</v>
      </c>
      <c r="BB56" s="613" t="s">
        <v>550</v>
      </c>
      <c r="BC56" s="613" t="s">
        <v>550</v>
      </c>
      <c r="BD56" s="613" t="s">
        <v>550</v>
      </c>
      <c r="BE56" s="613" t="s">
        <v>550</v>
      </c>
      <c r="BF56" s="613" t="s">
        <v>550</v>
      </c>
      <c r="BG56" s="613" t="s">
        <v>550</v>
      </c>
      <c r="BH56" s="613" t="s">
        <v>550</v>
      </c>
      <c r="BI56" s="613" t="s">
        <v>550</v>
      </c>
      <c r="BJ56" s="613" t="s">
        <v>550</v>
      </c>
      <c r="BK56" s="613" t="s">
        <v>550</v>
      </c>
      <c r="BL56" s="613" t="s">
        <v>550</v>
      </c>
      <c r="BM56" s="613" t="s">
        <v>550</v>
      </c>
      <c r="BN56" s="613" t="s">
        <v>550</v>
      </c>
      <c r="BO56" s="613" t="s">
        <v>550</v>
      </c>
      <c r="BP56" s="613" t="s">
        <v>550</v>
      </c>
      <c r="BQ56" s="613" t="s">
        <v>550</v>
      </c>
      <c r="BR56" s="613" t="s">
        <v>550</v>
      </c>
      <c r="BS56" s="613" t="s">
        <v>550</v>
      </c>
      <c r="BT56" s="613" t="s">
        <v>550</v>
      </c>
      <c r="BU56" s="613" t="s">
        <v>550</v>
      </c>
      <c r="BV56" s="613" t="s">
        <v>550</v>
      </c>
      <c r="BW56" s="613" t="s">
        <v>550</v>
      </c>
      <c r="BX56" s="613" t="s">
        <v>550</v>
      </c>
      <c r="BY56" s="613" t="s">
        <v>550</v>
      </c>
      <c r="BZ56" s="613" t="s">
        <v>550</v>
      </c>
      <c r="CA56" s="613" t="s">
        <v>550</v>
      </c>
      <c r="CB56" s="595"/>
      <c r="CC56" s="595"/>
      <c r="CD56" s="595"/>
      <c r="CE56" s="595"/>
      <c r="CF56" s="595"/>
      <c r="CG56" s="595"/>
      <c r="CH56" s="595"/>
      <c r="CI56" s="595"/>
      <c r="CJ56" s="595"/>
      <c r="CK56" s="595"/>
      <c r="CL56" s="595"/>
      <c r="CM56" s="595"/>
      <c r="CN56" s="595"/>
      <c r="CO56" s="595"/>
      <c r="CP56" s="595"/>
      <c r="CQ56" s="595"/>
      <c r="CR56" s="595"/>
      <c r="CS56" s="595"/>
      <c r="CT56" s="595"/>
      <c r="CU56" s="595"/>
      <c r="CV56" s="595"/>
      <c r="CW56" s="595"/>
      <c r="CX56" s="595"/>
      <c r="CY56" s="595"/>
      <c r="CZ56" s="595"/>
      <c r="DA56" s="595"/>
      <c r="DB56" s="595"/>
      <c r="DC56" s="595"/>
      <c r="DD56" s="595"/>
      <c r="DE56" s="595"/>
      <c r="DF56" s="595"/>
      <c r="DG56" s="595"/>
      <c r="DH56" s="595"/>
      <c r="DI56" s="595"/>
      <c r="DJ56" s="595"/>
      <c r="DK56" s="595"/>
      <c r="DL56" s="595"/>
      <c r="DM56" s="595"/>
      <c r="DN56" s="595"/>
      <c r="DO56" s="595"/>
      <c r="DP56" s="595"/>
      <c r="DQ56" s="595"/>
      <c r="DR56" s="595"/>
      <c r="DS56" s="595"/>
    </row>
    <row r="57" spans="3:123">
      <c r="O57" s="24">
        <v>10</v>
      </c>
      <c r="P57" s="28">
        <v>45000</v>
      </c>
      <c r="V57" s="42"/>
      <c r="W57" s="101"/>
      <c r="Y57" s="596">
        <v>2029</v>
      </c>
      <c r="Z57" s="165">
        <v>2</v>
      </c>
      <c r="AA57" s="165">
        <v>9</v>
      </c>
      <c r="AD57" s="26"/>
      <c r="AE57" s="27"/>
      <c r="AF57" s="778"/>
      <c r="AG57" s="28"/>
      <c r="AH57" s="28"/>
      <c r="AL57" s="613" t="s">
        <v>503</v>
      </c>
      <c r="AM57" s="613" t="s">
        <v>503</v>
      </c>
      <c r="AN57" s="613" t="s">
        <v>503</v>
      </c>
      <c r="AO57" s="613" t="s">
        <v>503</v>
      </c>
      <c r="AP57" s="613" t="s">
        <v>503</v>
      </c>
      <c r="AQ57" s="613" t="s">
        <v>503</v>
      </c>
      <c r="AR57" s="613" t="s">
        <v>503</v>
      </c>
      <c r="AS57" s="613" t="s">
        <v>503</v>
      </c>
      <c r="AT57" s="613" t="s">
        <v>503</v>
      </c>
      <c r="AU57" s="613" t="s">
        <v>503</v>
      </c>
      <c r="AV57" s="613" t="s">
        <v>503</v>
      </c>
      <c r="AW57" s="613" t="s">
        <v>503</v>
      </c>
      <c r="AX57" s="613" t="s">
        <v>503</v>
      </c>
      <c r="AY57" s="613" t="s">
        <v>503</v>
      </c>
      <c r="AZ57" s="613" t="s">
        <v>503</v>
      </c>
      <c r="BA57" s="613" t="s">
        <v>503</v>
      </c>
      <c r="BB57" s="613" t="s">
        <v>503</v>
      </c>
      <c r="BC57" s="613" t="s">
        <v>503</v>
      </c>
      <c r="BD57" s="613" t="s">
        <v>503</v>
      </c>
      <c r="BE57" s="613" t="s">
        <v>503</v>
      </c>
      <c r="BF57" s="613" t="s">
        <v>503</v>
      </c>
      <c r="BG57" s="613" t="s">
        <v>503</v>
      </c>
      <c r="BH57" s="613" t="s">
        <v>503</v>
      </c>
      <c r="BI57" s="613" t="s">
        <v>503</v>
      </c>
      <c r="BJ57" s="613" t="s">
        <v>503</v>
      </c>
      <c r="BK57" s="613" t="s">
        <v>503</v>
      </c>
      <c r="BL57" s="613" t="s">
        <v>503</v>
      </c>
      <c r="BM57" s="613" t="s">
        <v>503</v>
      </c>
      <c r="BN57" s="613" t="s">
        <v>503</v>
      </c>
      <c r="BO57" s="613" t="s">
        <v>503</v>
      </c>
      <c r="BP57" s="613" t="s">
        <v>503</v>
      </c>
      <c r="BQ57" s="613" t="s">
        <v>503</v>
      </c>
      <c r="BR57" s="613" t="s">
        <v>503</v>
      </c>
      <c r="BS57" s="613" t="s">
        <v>503</v>
      </c>
      <c r="BT57" s="613" t="s">
        <v>503</v>
      </c>
      <c r="BU57" s="613" t="s">
        <v>503</v>
      </c>
      <c r="BV57" s="613" t="s">
        <v>503</v>
      </c>
      <c r="BW57" s="613" t="s">
        <v>503</v>
      </c>
      <c r="BX57" s="613" t="s">
        <v>503</v>
      </c>
      <c r="BY57" s="613" t="s">
        <v>503</v>
      </c>
      <c r="BZ57" s="613" t="s">
        <v>503</v>
      </c>
      <c r="CA57" s="613" t="s">
        <v>503</v>
      </c>
      <c r="CB57" s="595"/>
      <c r="CC57" s="595"/>
      <c r="CD57" s="595"/>
      <c r="CE57" s="595"/>
      <c r="CF57" s="595"/>
      <c r="CG57" s="595"/>
      <c r="CH57" s="595"/>
      <c r="CI57" s="595"/>
      <c r="CJ57" s="595"/>
      <c r="CK57" s="595"/>
      <c r="CL57" s="595"/>
      <c r="CM57" s="595"/>
      <c r="CN57" s="595"/>
      <c r="CO57" s="595"/>
      <c r="CP57" s="595"/>
      <c r="CQ57" s="595"/>
      <c r="CR57" s="595"/>
      <c r="CS57" s="595"/>
      <c r="CT57" s="595"/>
      <c r="CU57" s="595"/>
      <c r="CV57" s="595"/>
      <c r="CW57" s="595"/>
      <c r="CX57" s="595"/>
      <c r="CY57" s="595"/>
      <c r="CZ57" s="595"/>
      <c r="DA57" s="595"/>
      <c r="DB57" s="595"/>
      <c r="DC57" s="595"/>
      <c r="DD57" s="595"/>
      <c r="DE57" s="595"/>
      <c r="DF57" s="595"/>
      <c r="DG57" s="595"/>
      <c r="DH57" s="595"/>
      <c r="DI57" s="595"/>
      <c r="DJ57" s="595"/>
      <c r="DK57" s="595"/>
      <c r="DL57" s="595"/>
      <c r="DM57" s="595"/>
      <c r="DN57" s="595"/>
      <c r="DO57" s="595"/>
      <c r="DP57" s="595"/>
      <c r="DQ57" s="595"/>
      <c r="DR57" s="595"/>
      <c r="DS57" s="595"/>
    </row>
    <row r="58" spans="3:123">
      <c r="O58" s="24">
        <v>11</v>
      </c>
      <c r="P58" s="28">
        <v>50000</v>
      </c>
      <c r="V58" s="42"/>
      <c r="W58" s="101"/>
      <c r="Y58" s="596">
        <v>2030</v>
      </c>
      <c r="Z58" s="165">
        <v>2</v>
      </c>
      <c r="AA58" s="165">
        <v>9</v>
      </c>
      <c r="AD58" s="26"/>
      <c r="AE58" s="27"/>
      <c r="AF58" s="778"/>
      <c r="AG58" s="28"/>
      <c r="AH58" s="28"/>
      <c r="AL58" s="713" t="s">
        <v>559</v>
      </c>
      <c r="AM58" s="713" t="s">
        <v>559</v>
      </c>
      <c r="AN58" s="713" t="s">
        <v>559</v>
      </c>
      <c r="AO58" s="713" t="s">
        <v>559</v>
      </c>
      <c r="AP58" s="713" t="s">
        <v>559</v>
      </c>
      <c r="AQ58" s="713" t="s">
        <v>559</v>
      </c>
      <c r="AR58" s="713" t="s">
        <v>559</v>
      </c>
      <c r="AS58" s="713" t="s">
        <v>559</v>
      </c>
      <c r="AT58" s="713" t="s">
        <v>559</v>
      </c>
      <c r="AU58" s="713" t="s">
        <v>559</v>
      </c>
      <c r="AV58" s="713" t="s">
        <v>559</v>
      </c>
      <c r="AW58" s="713" t="s">
        <v>559</v>
      </c>
      <c r="AX58" s="713" t="s">
        <v>559</v>
      </c>
      <c r="AY58" s="713" t="s">
        <v>559</v>
      </c>
      <c r="AZ58" s="713" t="s">
        <v>559</v>
      </c>
      <c r="BA58" s="713" t="s">
        <v>559</v>
      </c>
      <c r="BB58" s="713" t="s">
        <v>559</v>
      </c>
      <c r="BC58" s="713" t="s">
        <v>559</v>
      </c>
      <c r="BD58" s="713" t="s">
        <v>559</v>
      </c>
      <c r="BE58" s="713" t="s">
        <v>559</v>
      </c>
      <c r="BF58" s="713" t="s">
        <v>559</v>
      </c>
      <c r="BG58" s="713" t="s">
        <v>559</v>
      </c>
      <c r="BH58" s="713" t="s">
        <v>559</v>
      </c>
      <c r="BI58" s="713" t="s">
        <v>559</v>
      </c>
      <c r="BJ58" s="713" t="s">
        <v>559</v>
      </c>
      <c r="BK58" s="713" t="s">
        <v>559</v>
      </c>
      <c r="BL58" s="713" t="s">
        <v>559</v>
      </c>
      <c r="BM58" s="713" t="s">
        <v>559</v>
      </c>
      <c r="BN58" s="713" t="s">
        <v>559</v>
      </c>
      <c r="BO58" s="713" t="s">
        <v>559</v>
      </c>
      <c r="BP58" s="713" t="s">
        <v>559</v>
      </c>
      <c r="BQ58" s="713" t="s">
        <v>559</v>
      </c>
      <c r="BR58" s="713" t="s">
        <v>559</v>
      </c>
      <c r="BS58" s="713" t="s">
        <v>559</v>
      </c>
      <c r="BT58" s="713" t="s">
        <v>559</v>
      </c>
      <c r="BU58" s="713" t="s">
        <v>559</v>
      </c>
      <c r="BV58" s="713" t="s">
        <v>559</v>
      </c>
      <c r="BW58" s="713" t="s">
        <v>559</v>
      </c>
      <c r="BX58" s="713" t="s">
        <v>559</v>
      </c>
      <c r="BY58" s="713" t="s">
        <v>559</v>
      </c>
      <c r="BZ58" s="713" t="s">
        <v>559</v>
      </c>
      <c r="CA58" s="713" t="s">
        <v>559</v>
      </c>
      <c r="CB58" s="595"/>
      <c r="CC58" s="595"/>
      <c r="CD58" s="595"/>
      <c r="CE58" s="595"/>
      <c r="CF58" s="595"/>
      <c r="CG58" s="595"/>
      <c r="CH58" s="595"/>
      <c r="CI58" s="595"/>
      <c r="CJ58" s="595"/>
      <c r="CK58" s="595"/>
      <c r="CL58" s="595"/>
      <c r="CM58" s="595"/>
      <c r="CN58" s="595"/>
      <c r="CO58" s="595"/>
      <c r="CP58" s="595"/>
      <c r="CQ58" s="595"/>
      <c r="CR58" s="595"/>
      <c r="CS58" s="595"/>
      <c r="CT58" s="595"/>
      <c r="CU58" s="595"/>
      <c r="CV58" s="595"/>
      <c r="CW58" s="595"/>
      <c r="CX58" s="595"/>
      <c r="CY58" s="595"/>
      <c r="CZ58" s="595"/>
      <c r="DA58" s="595"/>
      <c r="DB58" s="595"/>
      <c r="DC58" s="595"/>
      <c r="DD58" s="595"/>
      <c r="DE58" s="595"/>
      <c r="DF58" s="595"/>
      <c r="DG58" s="595"/>
      <c r="DH58" s="595"/>
      <c r="DI58" s="595"/>
      <c r="DJ58" s="595"/>
      <c r="DK58" s="595"/>
      <c r="DL58" s="595"/>
      <c r="DM58" s="595"/>
      <c r="DN58" s="595"/>
      <c r="DO58" s="595"/>
      <c r="DP58" s="595"/>
      <c r="DQ58" s="595"/>
      <c r="DR58" s="595"/>
      <c r="DS58" s="595"/>
    </row>
    <row r="59" spans="3:123">
      <c r="O59" s="24">
        <v>12</v>
      </c>
      <c r="P59" s="28">
        <v>55000</v>
      </c>
      <c r="V59" s="42"/>
      <c r="W59" s="101"/>
      <c r="Y59" s="596">
        <v>2031</v>
      </c>
      <c r="Z59" s="165">
        <v>1</v>
      </c>
      <c r="AA59" s="165">
        <v>10</v>
      </c>
      <c r="AD59" s="26"/>
      <c r="AE59" s="27"/>
      <c r="AF59" s="778"/>
      <c r="AG59" s="28"/>
      <c r="AH59" s="28"/>
      <c r="AL59" s="613" t="s">
        <v>533</v>
      </c>
    </row>
    <row r="60" spans="3:123">
      <c r="O60" s="24">
        <v>13</v>
      </c>
      <c r="P60" s="28">
        <v>60000</v>
      </c>
      <c r="V60" s="42"/>
      <c r="W60" s="101"/>
      <c r="Y60" s="596">
        <v>2032</v>
      </c>
      <c r="Z60" s="165">
        <v>2</v>
      </c>
      <c r="AA60" s="165">
        <v>9</v>
      </c>
      <c r="AD60" s="26"/>
      <c r="AE60" s="27"/>
      <c r="AF60" s="778"/>
      <c r="AG60" s="28"/>
      <c r="AH60" s="28"/>
      <c r="AL60" s="613">
        <v>3</v>
      </c>
    </row>
    <row r="61" spans="3:123" ht="18">
      <c r="O61" s="24">
        <v>14</v>
      </c>
      <c r="P61" s="28">
        <v>65000</v>
      </c>
      <c r="V61" s="42"/>
      <c r="W61" s="101"/>
      <c r="Y61" s="596">
        <v>2033</v>
      </c>
      <c r="Z61" s="165">
        <v>1</v>
      </c>
      <c r="AA61" s="165">
        <v>9</v>
      </c>
      <c r="AD61" s="26"/>
      <c r="AE61" s="27"/>
      <c r="AF61" s="778"/>
      <c r="AG61" s="28"/>
      <c r="AH61" s="28"/>
      <c r="AP61" s="152" t="s">
        <v>135</v>
      </c>
      <c r="AQ61" s="1114">
        <f>'2025'!B2</f>
        <v>35431</v>
      </c>
      <c r="AR61" s="1115"/>
      <c r="AS61" s="1116"/>
    </row>
    <row r="62" spans="3:123" ht="18">
      <c r="O62" s="24">
        <v>15</v>
      </c>
      <c r="P62" s="28">
        <v>70000</v>
      </c>
      <c r="V62" s="42"/>
      <c r="W62" s="101"/>
      <c r="Y62" s="596">
        <v>2034</v>
      </c>
      <c r="Z62" s="165">
        <v>2</v>
      </c>
      <c r="AA62" s="165">
        <v>9</v>
      </c>
      <c r="AD62" s="26"/>
      <c r="AE62" s="27"/>
      <c r="AF62" s="778"/>
      <c r="AG62" s="28"/>
      <c r="AH62" s="28"/>
      <c r="AP62" s="152" t="s">
        <v>29</v>
      </c>
      <c r="AQ62" s="1117">
        <f>DATE(YEAR(AQ61)+62,MONTH(AQ61),DAY(AQ61))</f>
        <v>58076</v>
      </c>
      <c r="AR62" s="1118"/>
      <c r="AS62" s="1119"/>
    </row>
    <row r="63" spans="3:123" ht="18">
      <c r="O63" s="24">
        <v>16</v>
      </c>
      <c r="P63" s="28">
        <v>75000</v>
      </c>
      <c r="V63" s="42"/>
      <c r="W63" s="101"/>
      <c r="Y63" s="596">
        <v>2035</v>
      </c>
      <c r="Z63" s="165">
        <v>2</v>
      </c>
      <c r="AA63" s="165">
        <v>9</v>
      </c>
      <c r="AD63" s="26"/>
      <c r="AE63" s="27"/>
      <c r="AF63" s="778"/>
      <c r="AG63" s="28"/>
      <c r="AH63" s="28"/>
      <c r="AP63" s="152" t="s">
        <v>26</v>
      </c>
      <c r="AQ63" s="1120">
        <f>IF(AND(MONTH(AQ62)&gt;=3,MONTH(AQ62)&lt;=8),DATE(YEAR(AQ62),(8),(31)),IF(AND(MONTH(AQ62)&gt;=1,MONTH(AQ62)&lt;=2),(DATE(YEAR(AQ62),(2),(28))),(DATE(YEAR(AQ62)+1,(2),(28)))))</f>
        <v>58134</v>
      </c>
      <c r="AR63" s="1121"/>
      <c r="AS63" s="1122"/>
    </row>
    <row r="64" spans="3:123">
      <c r="O64" s="24">
        <v>17</v>
      </c>
      <c r="P64" s="28">
        <v>80000</v>
      </c>
      <c r="V64" s="42"/>
      <c r="W64" s="101"/>
      <c r="Y64" s="596">
        <v>2036</v>
      </c>
      <c r="Z64" s="165">
        <v>1</v>
      </c>
      <c r="AA64" s="165">
        <v>10</v>
      </c>
      <c r="AD64" s="26"/>
      <c r="AE64" s="27"/>
      <c r="AF64" s="778"/>
      <c r="AG64" s="28"/>
      <c r="AH64" s="28"/>
    </row>
    <row r="65" spans="15:79" ht="18">
      <c r="O65" s="24">
        <v>18</v>
      </c>
      <c r="P65" s="28">
        <v>85000</v>
      </c>
      <c r="V65" s="107"/>
      <c r="W65" s="108"/>
      <c r="Y65" s="596">
        <v>2037</v>
      </c>
      <c r="Z65" s="165">
        <v>2</v>
      </c>
      <c r="AA65" s="165">
        <v>9</v>
      </c>
      <c r="AD65" s="26"/>
      <c r="AE65" s="27"/>
      <c r="AF65" s="778"/>
      <c r="AG65" s="28"/>
      <c r="AH65" s="28"/>
      <c r="AJ65" s="734"/>
      <c r="AK65" s="736"/>
      <c r="AL65" s="735"/>
      <c r="AM65" s="735"/>
      <c r="AN65" s="735"/>
      <c r="AO65" s="735"/>
      <c r="AP65" s="735"/>
      <c r="AQ65" s="735"/>
      <c r="AR65" s="735"/>
      <c r="AS65" s="735"/>
      <c r="AT65" s="735"/>
      <c r="AU65" s="735"/>
      <c r="AV65" s="735"/>
      <c r="AW65" s="735"/>
      <c r="AX65" s="735"/>
      <c r="AY65" s="735"/>
      <c r="AZ65" s="735"/>
      <c r="BA65" s="735"/>
      <c r="BB65" s="735"/>
      <c r="BC65" s="735"/>
      <c r="BD65" s="735"/>
      <c r="BE65" s="735"/>
      <c r="BF65" s="735"/>
      <c r="BG65" s="735"/>
      <c r="BH65" s="735"/>
      <c r="BI65" s="735"/>
      <c r="BJ65" s="735"/>
      <c r="BK65" s="735"/>
      <c r="BL65" s="735"/>
      <c r="BM65" s="735"/>
      <c r="BN65" s="735"/>
      <c r="BO65" s="735"/>
      <c r="BP65" s="735"/>
      <c r="BQ65" s="735"/>
      <c r="BR65" s="735"/>
      <c r="BS65" s="735"/>
      <c r="BT65" s="735"/>
      <c r="BU65" s="735"/>
      <c r="BV65" s="735"/>
      <c r="BW65" s="735"/>
      <c r="BX65" s="735"/>
      <c r="BY65" s="735"/>
      <c r="BZ65" s="735"/>
      <c r="CA65" s="735"/>
    </row>
    <row r="66" spans="15:79">
      <c r="O66" s="24">
        <v>19</v>
      </c>
      <c r="P66" s="28">
        <v>90000</v>
      </c>
      <c r="V66" s="22"/>
      <c r="W66" s="97"/>
      <c r="Y66" s="596">
        <v>2038</v>
      </c>
      <c r="Z66" s="165">
        <v>2</v>
      </c>
      <c r="AA66" s="165">
        <v>9</v>
      </c>
      <c r="AD66" s="26"/>
      <c r="AE66" s="27"/>
      <c r="AF66" s="778"/>
      <c r="AG66" s="28"/>
      <c r="AH66" s="28"/>
      <c r="AJ66" s="753"/>
      <c r="AK66" s="737"/>
      <c r="AL66" s="741"/>
      <c r="AM66" s="742"/>
      <c r="AN66" s="742"/>
      <c r="AO66" s="742"/>
      <c r="AP66" s="742"/>
      <c r="AQ66" s="742"/>
      <c r="AR66" s="742"/>
      <c r="AS66" s="742"/>
      <c r="AT66" s="742"/>
      <c r="AU66" s="742"/>
      <c r="AV66" s="742"/>
      <c r="AW66" s="742"/>
      <c r="AX66" s="742"/>
      <c r="AY66" s="742"/>
      <c r="AZ66" s="742"/>
      <c r="BA66" s="742"/>
      <c r="BB66" s="742"/>
      <c r="BC66" s="742"/>
      <c r="BD66" s="742"/>
      <c r="BE66" s="742"/>
      <c r="BF66" s="742"/>
      <c r="BG66" s="742"/>
      <c r="BH66" s="742"/>
      <c r="BI66" s="742"/>
      <c r="BJ66" s="742"/>
      <c r="BK66" s="742"/>
      <c r="BL66" s="742"/>
      <c r="BM66" s="742"/>
      <c r="BN66" s="742"/>
      <c r="BO66" s="742"/>
      <c r="BP66" s="742"/>
      <c r="BQ66" s="742"/>
      <c r="BR66" s="742"/>
      <c r="BS66" s="742"/>
      <c r="BT66" s="742"/>
      <c r="BU66" s="742"/>
      <c r="BV66" s="742"/>
      <c r="BW66" s="742"/>
      <c r="BX66" s="742"/>
      <c r="BY66" s="742"/>
      <c r="BZ66" s="742"/>
      <c r="CA66" s="742"/>
    </row>
    <row r="67" spans="15:79" ht="18">
      <c r="O67" s="24">
        <v>20</v>
      </c>
      <c r="P67" s="28">
        <v>95000</v>
      </c>
      <c r="V67" s="22"/>
      <c r="W67" s="97"/>
      <c r="Y67" s="596">
        <v>2039</v>
      </c>
      <c r="Z67" s="165">
        <v>1</v>
      </c>
      <c r="AA67" s="165">
        <v>10</v>
      </c>
      <c r="AD67" s="26"/>
      <c r="AE67" s="27"/>
      <c r="AF67" s="778"/>
      <c r="AG67" s="28"/>
      <c r="AH67" s="28"/>
      <c r="AJ67" s="729"/>
      <c r="AK67" s="754"/>
      <c r="AL67" s="158"/>
      <c r="AM67" s="743"/>
      <c r="AN67" s="743"/>
      <c r="AO67" s="743"/>
      <c r="AP67" s="743"/>
      <c r="AQ67" s="743"/>
      <c r="AR67" s="743"/>
      <c r="AS67" s="743"/>
      <c r="AT67" s="743"/>
      <c r="AU67" s="743"/>
      <c r="AV67" s="743"/>
      <c r="AW67" s="743"/>
      <c r="AX67" s="743"/>
      <c r="AY67" s="743"/>
      <c r="AZ67" s="743"/>
      <c r="BA67" s="743"/>
      <c r="BB67" s="743"/>
      <c r="BC67" s="743"/>
      <c r="BD67" s="743"/>
      <c r="BE67" s="743"/>
      <c r="BF67" s="743"/>
      <c r="BG67" s="743"/>
      <c r="BH67" s="743"/>
      <c r="BI67" s="743"/>
      <c r="BJ67" s="743"/>
      <c r="BK67" s="743"/>
      <c r="BL67" s="743"/>
      <c r="BM67" s="743"/>
      <c r="BN67" s="743"/>
      <c r="BO67" s="743"/>
      <c r="BP67" s="743"/>
      <c r="BQ67" s="743"/>
      <c r="BR67" s="743"/>
      <c r="BS67" s="743"/>
      <c r="BT67" s="743"/>
      <c r="BU67" s="743"/>
      <c r="BV67" s="743"/>
      <c r="BW67" s="743"/>
      <c r="BX67" s="743"/>
      <c r="BY67" s="743"/>
      <c r="BZ67" s="743"/>
      <c r="CA67" s="743"/>
    </row>
    <row r="68" spans="15:79" ht="18">
      <c r="O68" s="24">
        <v>21</v>
      </c>
      <c r="P68" s="28">
        <v>100000</v>
      </c>
      <c r="V68" s="22"/>
      <c r="W68" s="97"/>
      <c r="Y68" s="596">
        <v>2040</v>
      </c>
      <c r="Z68" s="165">
        <v>2</v>
      </c>
      <c r="AA68" s="165">
        <v>9</v>
      </c>
      <c r="AD68" s="26"/>
      <c r="AE68" s="27"/>
      <c r="AF68" s="778"/>
      <c r="AG68" s="28"/>
      <c r="AH68" s="28"/>
      <c r="AJ68" s="729"/>
      <c r="AK68" s="754"/>
      <c r="AL68" s="28"/>
      <c r="AM68" s="743"/>
      <c r="AN68" s="743"/>
      <c r="AO68" s="743"/>
      <c r="AP68" s="743"/>
      <c r="AQ68" s="743"/>
      <c r="AR68" s="743"/>
      <c r="AS68" s="743"/>
      <c r="AT68" s="743"/>
      <c r="AU68" s="743"/>
      <c r="AV68" s="743"/>
      <c r="AW68" s="743"/>
      <c r="AX68" s="743"/>
      <c r="AY68" s="743"/>
      <c r="AZ68" s="743"/>
      <c r="BA68" s="743"/>
      <c r="BB68" s="743"/>
      <c r="BC68" s="743"/>
      <c r="BD68" s="743"/>
      <c r="BE68" s="743"/>
      <c r="BF68" s="743"/>
      <c r="BG68" s="743"/>
      <c r="BH68" s="743"/>
      <c r="BI68" s="743"/>
      <c r="BJ68" s="743"/>
      <c r="BK68" s="743"/>
      <c r="BL68" s="743"/>
      <c r="BM68" s="743"/>
      <c r="BN68" s="743"/>
      <c r="BO68" s="743"/>
      <c r="BP68" s="743"/>
      <c r="BQ68" s="743"/>
      <c r="BR68" s="743"/>
      <c r="BS68" s="743"/>
      <c r="BT68" s="743"/>
      <c r="BU68" s="743"/>
      <c r="BV68" s="743"/>
      <c r="BW68" s="743"/>
      <c r="BX68" s="743"/>
      <c r="BY68" s="743"/>
      <c r="BZ68" s="743"/>
      <c r="CA68" s="743"/>
    </row>
    <row r="69" spans="15:79" ht="18">
      <c r="O69" s="24">
        <v>22</v>
      </c>
      <c r="P69" s="28">
        <v>105000</v>
      </c>
      <c r="V69" s="22"/>
      <c r="W69" s="97"/>
      <c r="Y69" s="596">
        <v>2041</v>
      </c>
      <c r="Z69" s="165">
        <v>2</v>
      </c>
      <c r="AA69" s="165">
        <v>9</v>
      </c>
      <c r="AD69" s="26"/>
      <c r="AE69" s="27"/>
      <c r="AF69" s="778"/>
      <c r="AG69" s="28"/>
      <c r="AH69" s="28"/>
      <c r="AJ69" s="729"/>
      <c r="AK69" s="754"/>
      <c r="AL69" s="28"/>
      <c r="AM69" s="743"/>
      <c r="AN69" s="743"/>
      <c r="AO69" s="743"/>
      <c r="AP69" s="743"/>
      <c r="AQ69" s="743"/>
      <c r="AR69" s="743"/>
      <c r="AS69" s="743"/>
      <c r="AT69" s="743"/>
      <c r="AU69" s="743"/>
      <c r="AV69" s="743"/>
      <c r="AW69" s="743"/>
      <c r="AX69" s="743"/>
      <c r="AY69" s="743"/>
      <c r="AZ69" s="743"/>
      <c r="BA69" s="743"/>
      <c r="BB69" s="743"/>
      <c r="BC69" s="743"/>
      <c r="BD69" s="743"/>
      <c r="BE69" s="743"/>
      <c r="BF69" s="743"/>
      <c r="BG69" s="743"/>
      <c r="BH69" s="743"/>
      <c r="BI69" s="743"/>
      <c r="BJ69" s="743"/>
      <c r="BK69" s="743"/>
      <c r="BL69" s="743"/>
      <c r="BM69" s="743"/>
      <c r="BN69" s="743"/>
      <c r="BO69" s="743"/>
      <c r="BP69" s="743"/>
      <c r="BQ69" s="743"/>
      <c r="BR69" s="743"/>
      <c r="BS69" s="743"/>
      <c r="BT69" s="743"/>
      <c r="BU69" s="743"/>
      <c r="BV69" s="743"/>
      <c r="BW69" s="743"/>
      <c r="BX69" s="743"/>
      <c r="BY69" s="743"/>
      <c r="BZ69" s="743"/>
      <c r="CA69" s="743"/>
    </row>
    <row r="70" spans="15:79" ht="18">
      <c r="O70" s="24">
        <v>23</v>
      </c>
      <c r="P70" s="28">
        <v>110000</v>
      </c>
      <c r="V70" s="22"/>
      <c r="W70" s="97"/>
      <c r="Y70" s="596">
        <v>2042</v>
      </c>
      <c r="Z70" s="165">
        <v>1</v>
      </c>
      <c r="AA70" s="165">
        <v>9</v>
      </c>
      <c r="AD70" s="26"/>
      <c r="AE70" s="27"/>
      <c r="AF70" s="778"/>
      <c r="AG70" s="28"/>
      <c r="AH70" s="28"/>
      <c r="AJ70" s="730"/>
      <c r="AK70" s="755"/>
      <c r="AL70" s="28"/>
      <c r="AM70" s="743"/>
      <c r="AN70" s="743"/>
      <c r="AO70" s="743"/>
      <c r="AP70" s="743"/>
      <c r="AQ70" s="743"/>
      <c r="AR70" s="743"/>
      <c r="AS70" s="743"/>
      <c r="AT70" s="743"/>
      <c r="AU70" s="743"/>
      <c r="AV70" s="743"/>
      <c r="AW70" s="743"/>
      <c r="AX70" s="743"/>
      <c r="AY70" s="743"/>
      <c r="AZ70" s="743"/>
      <c r="BA70" s="743"/>
      <c r="BB70" s="743"/>
      <c r="BC70" s="743"/>
      <c r="BD70" s="743"/>
      <c r="BE70" s="743"/>
      <c r="BF70" s="743"/>
      <c r="BG70" s="743"/>
      <c r="BH70" s="743"/>
      <c r="BI70" s="743"/>
      <c r="BJ70" s="743"/>
      <c r="BK70" s="743"/>
      <c r="BL70" s="743"/>
      <c r="BM70" s="743"/>
      <c r="BN70" s="743"/>
      <c r="BO70" s="743"/>
      <c r="BP70" s="743"/>
      <c r="BQ70" s="743"/>
      <c r="BR70" s="743"/>
      <c r="BS70" s="743"/>
      <c r="BT70" s="743"/>
      <c r="BU70" s="743"/>
      <c r="BV70" s="743"/>
      <c r="BW70" s="743"/>
      <c r="BX70" s="743"/>
      <c r="BY70" s="743"/>
      <c r="BZ70" s="743"/>
      <c r="CA70" s="743"/>
    </row>
    <row r="71" spans="15:79">
      <c r="O71" s="24">
        <v>24</v>
      </c>
      <c r="P71" s="28">
        <v>115000</v>
      </c>
      <c r="V71" s="22"/>
      <c r="W71" s="97"/>
      <c r="Y71" s="596">
        <v>2043</v>
      </c>
      <c r="Z71" s="165">
        <v>2</v>
      </c>
      <c r="AA71" s="165">
        <v>9</v>
      </c>
      <c r="AD71" s="26"/>
      <c r="AE71" s="27"/>
      <c r="AF71" s="778"/>
      <c r="AG71" s="28"/>
      <c r="AH71" s="28"/>
      <c r="AJ71" s="748"/>
      <c r="AK71" s="749"/>
      <c r="AL71" s="750"/>
      <c r="AM71" s="739"/>
      <c r="AN71" s="740"/>
      <c r="AO71" s="740"/>
      <c r="AP71" s="740"/>
      <c r="AQ71" s="740"/>
      <c r="AR71" s="740"/>
      <c r="AS71" s="740"/>
      <c r="AT71" s="740"/>
      <c r="AU71" s="740"/>
      <c r="AV71" s="740"/>
      <c r="AW71" s="740"/>
      <c r="AX71" s="740"/>
      <c r="AY71" s="740"/>
      <c r="AZ71" s="740"/>
      <c r="BA71" s="740"/>
      <c r="BB71" s="740"/>
      <c r="BC71" s="740"/>
      <c r="BD71" s="740"/>
      <c r="BE71" s="740"/>
      <c r="BF71" s="740"/>
      <c r="BG71" s="740"/>
      <c r="BH71" s="740"/>
      <c r="BI71" s="740"/>
      <c r="BJ71" s="740"/>
      <c r="BK71" s="740"/>
      <c r="BL71" s="740"/>
      <c r="BM71" s="740"/>
      <c r="BN71" s="740"/>
      <c r="BO71" s="740"/>
      <c r="BP71" s="740"/>
      <c r="BQ71" s="740"/>
      <c r="BR71" s="740"/>
      <c r="BS71" s="740"/>
      <c r="BT71" s="740"/>
      <c r="BU71" s="740"/>
      <c r="BV71" s="740"/>
      <c r="BW71" s="740"/>
      <c r="BX71" s="740"/>
      <c r="BY71" s="740"/>
      <c r="BZ71" s="740"/>
      <c r="CA71" s="740"/>
    </row>
    <row r="72" spans="15:79" ht="18">
      <c r="O72" s="24">
        <v>25</v>
      </c>
      <c r="P72" s="28">
        <v>120000</v>
      </c>
      <c r="V72" s="22"/>
      <c r="W72" s="97"/>
      <c r="Y72" s="596">
        <v>2044</v>
      </c>
      <c r="Z72" s="165">
        <v>1</v>
      </c>
      <c r="AA72" s="165">
        <v>10</v>
      </c>
      <c r="AD72" s="26"/>
      <c r="AE72" s="27"/>
      <c r="AF72" s="778"/>
      <c r="AG72" s="28"/>
      <c r="AH72" s="28"/>
      <c r="AJ72" s="731"/>
      <c r="AK72" s="745"/>
      <c r="AL72" s="751"/>
      <c r="AM72" s="743"/>
      <c r="AN72" s="743"/>
      <c r="AO72" s="743"/>
      <c r="AP72" s="743"/>
      <c r="AQ72" s="743"/>
      <c r="AR72" s="743"/>
      <c r="AS72" s="743"/>
      <c r="AT72" s="743"/>
      <c r="AU72" s="743"/>
      <c r="AV72" s="743"/>
      <c r="AW72" s="743"/>
      <c r="AX72" s="743"/>
      <c r="AY72" s="743"/>
      <c r="AZ72" s="743"/>
      <c r="BA72" s="743"/>
      <c r="BB72" s="743"/>
      <c r="BC72" s="743"/>
      <c r="BD72" s="743"/>
      <c r="BE72" s="743"/>
      <c r="BF72" s="743"/>
      <c r="BG72" s="743"/>
      <c r="BH72" s="743"/>
      <c r="BI72" s="743"/>
      <c r="BJ72" s="743"/>
      <c r="BK72" s="743"/>
      <c r="BL72" s="743"/>
      <c r="BM72" s="743"/>
      <c r="BN72" s="743"/>
      <c r="BO72" s="743"/>
      <c r="BP72" s="743"/>
      <c r="BQ72" s="743"/>
      <c r="BR72" s="743"/>
      <c r="BS72" s="743"/>
      <c r="BT72" s="743"/>
      <c r="BU72" s="743"/>
      <c r="BV72" s="743"/>
      <c r="BW72" s="743"/>
      <c r="BX72" s="743"/>
      <c r="BY72" s="743"/>
      <c r="BZ72" s="743"/>
      <c r="CA72" s="743"/>
    </row>
    <row r="73" spans="15:79" ht="18">
      <c r="O73" s="24">
        <v>26</v>
      </c>
      <c r="P73" s="28">
        <v>125000</v>
      </c>
      <c r="V73" s="22"/>
      <c r="W73" s="97"/>
      <c r="Y73" s="596">
        <v>2045</v>
      </c>
      <c r="Z73" s="165">
        <v>2</v>
      </c>
      <c r="AA73" s="165">
        <v>9</v>
      </c>
      <c r="AD73" s="26"/>
      <c r="AE73" s="27"/>
      <c r="AF73" s="778"/>
      <c r="AG73" s="28"/>
      <c r="AH73" s="28"/>
      <c r="AJ73" s="731"/>
      <c r="AK73" s="745"/>
      <c r="AL73" s="751"/>
      <c r="AM73" s="743"/>
      <c r="AN73" s="743"/>
      <c r="AO73" s="743"/>
      <c r="AP73" s="743"/>
      <c r="AQ73" s="743"/>
      <c r="AR73" s="743"/>
      <c r="AS73" s="743"/>
      <c r="AT73" s="743"/>
      <c r="AU73" s="743"/>
      <c r="AV73" s="743"/>
      <c r="AW73" s="743"/>
      <c r="AX73" s="743"/>
      <c r="AY73" s="743"/>
      <c r="AZ73" s="743"/>
      <c r="BA73" s="743"/>
      <c r="BB73" s="743"/>
      <c r="BC73" s="743"/>
      <c r="BD73" s="743"/>
      <c r="BE73" s="743"/>
      <c r="BF73" s="743"/>
      <c r="BG73" s="743"/>
      <c r="BH73" s="743"/>
      <c r="BI73" s="743"/>
      <c r="BJ73" s="743"/>
      <c r="BK73" s="743"/>
      <c r="BL73" s="743"/>
      <c r="BM73" s="743"/>
      <c r="BN73" s="743"/>
      <c r="BO73" s="743"/>
      <c r="BP73" s="743"/>
      <c r="BQ73" s="743"/>
      <c r="BR73" s="743"/>
      <c r="BS73" s="743"/>
      <c r="BT73" s="743"/>
      <c r="BU73" s="743"/>
      <c r="BV73" s="743"/>
      <c r="BW73" s="743"/>
      <c r="BX73" s="743"/>
      <c r="BY73" s="743"/>
      <c r="BZ73" s="743"/>
      <c r="CA73" s="743"/>
    </row>
    <row r="74" spans="15:79" ht="18">
      <c r="O74" s="24">
        <v>27</v>
      </c>
      <c r="P74" s="28">
        <v>130000</v>
      </c>
      <c r="V74" s="22"/>
      <c r="W74" s="97"/>
      <c r="Y74" s="596">
        <v>2046</v>
      </c>
      <c r="Z74" s="165">
        <v>2</v>
      </c>
      <c r="AA74" s="165">
        <v>9</v>
      </c>
      <c r="AD74" s="26"/>
      <c r="AE74" s="27"/>
      <c r="AF74" s="778"/>
      <c r="AG74" s="28"/>
      <c r="AH74" s="28"/>
      <c r="AJ74" s="731"/>
      <c r="AK74" s="745"/>
      <c r="AL74" s="751"/>
      <c r="AM74" s="743"/>
      <c r="AN74" s="743"/>
      <c r="AO74" s="743"/>
      <c r="AP74" s="743"/>
      <c r="AQ74" s="743"/>
      <c r="AR74" s="743"/>
      <c r="AS74" s="743"/>
      <c r="AT74" s="743"/>
      <c r="AU74" s="743"/>
      <c r="AV74" s="743"/>
      <c r="AW74" s="743"/>
      <c r="AX74" s="743"/>
      <c r="AY74" s="743"/>
      <c r="AZ74" s="743"/>
      <c r="BA74" s="743"/>
      <c r="BB74" s="743"/>
      <c r="BC74" s="743"/>
      <c r="BD74" s="743"/>
      <c r="BE74" s="743"/>
      <c r="BF74" s="743"/>
      <c r="BG74" s="743"/>
      <c r="BH74" s="743"/>
      <c r="BI74" s="743"/>
      <c r="BJ74" s="743"/>
      <c r="BK74" s="743"/>
      <c r="BL74" s="743"/>
      <c r="BM74" s="743"/>
      <c r="BN74" s="743"/>
      <c r="BO74" s="743"/>
      <c r="BP74" s="743"/>
      <c r="BQ74" s="743"/>
      <c r="BR74" s="743"/>
      <c r="BS74" s="743"/>
      <c r="BT74" s="743"/>
      <c r="BU74" s="743"/>
      <c r="BV74" s="743"/>
      <c r="BW74" s="743"/>
      <c r="BX74" s="743"/>
      <c r="BY74" s="743"/>
      <c r="BZ74" s="743"/>
      <c r="CA74" s="743"/>
    </row>
    <row r="75" spans="15:79" ht="18">
      <c r="O75" s="24">
        <v>28</v>
      </c>
      <c r="P75" s="28">
        <v>135000</v>
      </c>
      <c r="V75" s="22"/>
      <c r="W75" s="97"/>
      <c r="Y75" s="596">
        <v>2047</v>
      </c>
      <c r="Z75" s="165">
        <v>1</v>
      </c>
      <c r="AA75" s="165">
        <v>10</v>
      </c>
      <c r="AD75" s="26"/>
      <c r="AE75" s="27"/>
      <c r="AF75" s="778"/>
      <c r="AG75" s="28"/>
      <c r="AH75" s="28"/>
      <c r="AJ75" s="746"/>
      <c r="AK75" s="747"/>
      <c r="AL75" s="752"/>
      <c r="AM75" s="743"/>
      <c r="AN75" s="743"/>
      <c r="AO75" s="743"/>
      <c r="AP75" s="743"/>
      <c r="AQ75" s="743"/>
      <c r="AR75" s="743"/>
      <c r="AS75" s="743"/>
      <c r="AT75" s="743"/>
      <c r="AU75" s="743"/>
      <c r="AV75" s="743"/>
      <c r="AW75" s="743"/>
      <c r="AX75" s="743"/>
      <c r="AY75" s="743"/>
      <c r="AZ75" s="743"/>
      <c r="BA75" s="743"/>
      <c r="BB75" s="743"/>
      <c r="BC75" s="743"/>
      <c r="BD75" s="743"/>
      <c r="BE75" s="743"/>
      <c r="BF75" s="743"/>
      <c r="BG75" s="743"/>
      <c r="BH75" s="743"/>
      <c r="BI75" s="743"/>
      <c r="BJ75" s="743"/>
      <c r="BK75" s="743"/>
      <c r="BL75" s="743"/>
      <c r="BM75" s="743"/>
      <c r="BN75" s="743"/>
      <c r="BO75" s="743"/>
      <c r="BP75" s="743"/>
      <c r="BQ75" s="743"/>
      <c r="BR75" s="743"/>
      <c r="BS75" s="743"/>
      <c r="BT75" s="743"/>
      <c r="BU75" s="743"/>
      <c r="BV75" s="743"/>
      <c r="BW75" s="743"/>
      <c r="BX75" s="743"/>
      <c r="BY75" s="743"/>
      <c r="BZ75" s="743"/>
      <c r="CA75" s="743"/>
    </row>
    <row r="76" spans="15:79">
      <c r="O76" s="24">
        <v>29</v>
      </c>
      <c r="P76" s="28">
        <v>140000</v>
      </c>
      <c r="V76" s="22"/>
      <c r="W76" s="97"/>
      <c r="Y76" s="596">
        <v>2048</v>
      </c>
      <c r="Z76" s="165">
        <v>2</v>
      </c>
      <c r="AA76" s="165">
        <v>9</v>
      </c>
      <c r="AD76" s="26"/>
      <c r="AE76" s="27"/>
      <c r="AF76" s="778"/>
      <c r="AG76" s="28"/>
      <c r="AH76" s="28"/>
      <c r="AJ76" s="758"/>
      <c r="AK76" s="756"/>
      <c r="AL76" s="757"/>
      <c r="AM76" s="739"/>
      <c r="AN76" s="744"/>
      <c r="AO76" s="744"/>
      <c r="AP76" s="744"/>
      <c r="AQ76" s="744"/>
      <c r="AR76" s="744"/>
      <c r="AS76" s="744"/>
      <c r="AT76" s="744"/>
      <c r="AU76" s="744"/>
      <c r="AV76" s="744"/>
      <c r="AW76" s="744"/>
      <c r="AX76" s="744"/>
      <c r="AY76" s="744"/>
      <c r="AZ76" s="744"/>
      <c r="BA76" s="744"/>
      <c r="BB76" s="744"/>
      <c r="BC76" s="744"/>
      <c r="BD76" s="744"/>
      <c r="BE76" s="744"/>
      <c r="BF76" s="744"/>
      <c r="BG76" s="744"/>
      <c r="BH76" s="744"/>
      <c r="BI76" s="744"/>
      <c r="BJ76" s="744"/>
      <c r="BK76" s="744"/>
      <c r="BL76" s="744"/>
      <c r="BM76" s="744"/>
      <c r="BN76" s="744"/>
      <c r="BO76" s="744"/>
      <c r="BP76" s="744"/>
      <c r="BQ76" s="744"/>
      <c r="BR76" s="744"/>
      <c r="BS76" s="744"/>
      <c r="BT76" s="744"/>
      <c r="BU76" s="744"/>
      <c r="BV76" s="744"/>
      <c r="BW76" s="744"/>
      <c r="BX76" s="744"/>
      <c r="BY76" s="744"/>
      <c r="BZ76" s="744"/>
      <c r="CA76" s="744"/>
    </row>
    <row r="77" spans="15:79" ht="18">
      <c r="O77" s="24">
        <v>30</v>
      </c>
      <c r="P77" s="28">
        <v>145000</v>
      </c>
      <c r="V77" s="22"/>
      <c r="W77" s="97"/>
      <c r="Y77" s="596">
        <v>2049</v>
      </c>
      <c r="Z77" s="165">
        <v>2</v>
      </c>
      <c r="AA77" s="165">
        <v>9</v>
      </c>
      <c r="AD77" s="26"/>
      <c r="AE77" s="27"/>
      <c r="AF77" s="778"/>
      <c r="AG77" s="28"/>
      <c r="AH77" s="28"/>
      <c r="AJ77" s="759"/>
      <c r="AK77" s="760"/>
      <c r="AL77" s="761"/>
      <c r="AM77" s="743"/>
      <c r="AN77" s="743"/>
      <c r="AO77" s="743"/>
      <c r="AP77" s="743"/>
      <c r="AQ77" s="743"/>
      <c r="AR77" s="743"/>
      <c r="AS77" s="743"/>
      <c r="AT77" s="743"/>
      <c r="AU77" s="743"/>
      <c r="AV77" s="743"/>
      <c r="AW77" s="743"/>
      <c r="AX77" s="743"/>
      <c r="AY77" s="743"/>
      <c r="AZ77" s="743"/>
      <c r="BA77" s="743"/>
      <c r="BB77" s="743"/>
      <c r="BC77" s="743"/>
      <c r="BD77" s="743"/>
      <c r="BE77" s="743"/>
      <c r="BF77" s="743"/>
      <c r="BG77" s="743"/>
      <c r="BH77" s="743"/>
      <c r="BI77" s="743"/>
      <c r="BJ77" s="743"/>
      <c r="BK77" s="743"/>
      <c r="BL77" s="743"/>
      <c r="BM77" s="743"/>
      <c r="BN77" s="743"/>
      <c r="BO77" s="743"/>
      <c r="BP77" s="743"/>
      <c r="BQ77" s="743"/>
      <c r="BR77" s="743"/>
      <c r="BS77" s="743"/>
      <c r="BT77" s="743"/>
      <c r="BU77" s="743"/>
      <c r="BV77" s="743"/>
      <c r="BW77" s="743"/>
      <c r="BX77" s="743"/>
      <c r="BY77" s="743"/>
      <c r="BZ77" s="743"/>
      <c r="CA77" s="743"/>
    </row>
    <row r="78" spans="15:79" ht="18">
      <c r="O78" s="24">
        <v>31</v>
      </c>
      <c r="P78" s="28">
        <v>150000</v>
      </c>
      <c r="V78" s="22"/>
      <c r="W78" s="97"/>
      <c r="Y78" s="596">
        <v>2050</v>
      </c>
      <c r="Z78" s="165">
        <v>1</v>
      </c>
      <c r="AA78" s="165">
        <v>9</v>
      </c>
      <c r="AD78" s="26"/>
      <c r="AE78" s="27"/>
      <c r="AF78" s="778"/>
      <c r="AG78" s="28"/>
      <c r="AH78" s="28"/>
      <c r="AJ78" s="759"/>
      <c r="AK78" s="760"/>
      <c r="AL78" s="761"/>
      <c r="AM78" s="743"/>
      <c r="AN78" s="743"/>
      <c r="AO78" s="743"/>
      <c r="AP78" s="743"/>
      <c r="AQ78" s="743"/>
      <c r="AR78" s="743"/>
      <c r="AS78" s="743"/>
      <c r="AT78" s="743"/>
      <c r="AU78" s="743"/>
      <c r="AV78" s="743"/>
      <c r="AW78" s="743"/>
      <c r="AX78" s="743"/>
      <c r="AY78" s="743"/>
      <c r="AZ78" s="743"/>
      <c r="BA78" s="743"/>
      <c r="BB78" s="743"/>
      <c r="BC78" s="743"/>
      <c r="BD78" s="743"/>
      <c r="BE78" s="743"/>
      <c r="BF78" s="743"/>
      <c r="BG78" s="743"/>
      <c r="BH78" s="743"/>
      <c r="BI78" s="743"/>
      <c r="BJ78" s="743"/>
      <c r="BK78" s="743"/>
      <c r="BL78" s="743"/>
      <c r="BM78" s="743"/>
      <c r="BN78" s="743"/>
      <c r="BO78" s="743"/>
      <c r="BP78" s="743"/>
      <c r="BQ78" s="743"/>
      <c r="BR78" s="743"/>
      <c r="BS78" s="743"/>
      <c r="BT78" s="743"/>
      <c r="BU78" s="743"/>
      <c r="BV78" s="743"/>
      <c r="BW78" s="743"/>
      <c r="BX78" s="743"/>
      <c r="BY78" s="743"/>
      <c r="BZ78" s="743"/>
      <c r="CA78" s="743"/>
    </row>
    <row r="79" spans="15:79" ht="18">
      <c r="V79" s="22"/>
      <c r="W79" s="97"/>
      <c r="Y79" s="596">
        <v>2051</v>
      </c>
      <c r="Z79" s="165">
        <v>2</v>
      </c>
      <c r="AA79" s="165">
        <v>9</v>
      </c>
      <c r="AD79" s="26"/>
      <c r="AE79" s="27"/>
      <c r="AF79" s="778"/>
      <c r="AG79" s="28"/>
      <c r="AH79" s="28"/>
      <c r="AJ79" s="759"/>
      <c r="AK79" s="760"/>
      <c r="AL79" s="761"/>
      <c r="AM79" s="743"/>
      <c r="AN79" s="743"/>
      <c r="AO79" s="743"/>
      <c r="AP79" s="743"/>
      <c r="AQ79" s="743"/>
      <c r="AR79" s="743"/>
      <c r="AS79" s="743"/>
      <c r="AT79" s="743"/>
      <c r="AU79" s="743"/>
      <c r="AV79" s="743"/>
      <c r="AW79" s="743"/>
      <c r="AX79" s="743"/>
      <c r="AY79" s="743"/>
      <c r="AZ79" s="743"/>
      <c r="BA79" s="743"/>
      <c r="BB79" s="743"/>
      <c r="BC79" s="743"/>
      <c r="BD79" s="743"/>
      <c r="BE79" s="743"/>
      <c r="BF79" s="743"/>
      <c r="BG79" s="743"/>
      <c r="BH79" s="743"/>
      <c r="BI79" s="743"/>
      <c r="BJ79" s="743"/>
      <c r="BK79" s="743"/>
      <c r="BL79" s="743"/>
      <c r="BM79" s="743"/>
      <c r="BN79" s="743"/>
      <c r="BO79" s="743"/>
      <c r="BP79" s="743"/>
      <c r="BQ79" s="743"/>
      <c r="BR79" s="743"/>
      <c r="BS79" s="743"/>
      <c r="BT79" s="743"/>
      <c r="BU79" s="743"/>
      <c r="BV79" s="743"/>
      <c r="BW79" s="743"/>
      <c r="BX79" s="743"/>
      <c r="BY79" s="743"/>
      <c r="BZ79" s="743"/>
      <c r="CA79" s="743"/>
    </row>
    <row r="80" spans="15:79" ht="18">
      <c r="V80" s="22"/>
      <c r="W80" s="97"/>
      <c r="Y80" s="596">
        <v>2052</v>
      </c>
      <c r="Z80" s="165">
        <v>2</v>
      </c>
      <c r="AA80" s="165">
        <v>9</v>
      </c>
      <c r="AD80" s="26"/>
      <c r="AE80" s="27"/>
      <c r="AF80" s="778"/>
      <c r="AG80" s="28"/>
      <c r="AH80" s="28"/>
      <c r="AJ80" s="762"/>
      <c r="AK80" s="763"/>
      <c r="AL80" s="764"/>
      <c r="AM80" s="743"/>
      <c r="AN80" s="743"/>
      <c r="AO80" s="743"/>
      <c r="AP80" s="743"/>
      <c r="AQ80" s="743"/>
      <c r="AR80" s="743"/>
      <c r="AS80" s="743"/>
      <c r="AT80" s="743"/>
      <c r="AU80" s="743"/>
      <c r="AV80" s="743"/>
      <c r="AW80" s="743"/>
      <c r="AX80" s="743"/>
      <c r="AY80" s="743"/>
      <c r="AZ80" s="743"/>
      <c r="BA80" s="743"/>
      <c r="BB80" s="743"/>
      <c r="BC80" s="743"/>
      <c r="BD80" s="743"/>
      <c r="BE80" s="743"/>
      <c r="BF80" s="743"/>
      <c r="BG80" s="743"/>
      <c r="BH80" s="743"/>
      <c r="BI80" s="743"/>
      <c r="BJ80" s="743"/>
      <c r="BK80" s="743"/>
      <c r="BL80" s="743"/>
      <c r="BM80" s="743"/>
      <c r="BN80" s="743"/>
      <c r="BO80" s="743"/>
      <c r="BP80" s="743"/>
      <c r="BQ80" s="743"/>
      <c r="BR80" s="743"/>
      <c r="BS80" s="743"/>
      <c r="BT80" s="743"/>
      <c r="BU80" s="743"/>
      <c r="BV80" s="743"/>
      <c r="BW80" s="743"/>
      <c r="BX80" s="743"/>
      <c r="BY80" s="743"/>
      <c r="BZ80" s="743"/>
      <c r="CA80" s="743"/>
    </row>
    <row r="81" spans="20:79">
      <c r="T81" s="591"/>
      <c r="V81" s="22"/>
      <c r="W81" s="97"/>
      <c r="Y81" s="596">
        <v>2053</v>
      </c>
      <c r="Z81" s="165">
        <v>2</v>
      </c>
      <c r="AA81" s="165">
        <v>9</v>
      </c>
      <c r="AD81" s="26"/>
      <c r="AE81" s="27"/>
      <c r="AF81" s="778"/>
      <c r="AG81" s="28"/>
      <c r="AH81" s="28"/>
      <c r="AJ81" s="767"/>
      <c r="AK81" s="738"/>
      <c r="AL81" s="768"/>
      <c r="AM81" s="739"/>
      <c r="AN81" s="744"/>
      <c r="AO81" s="744"/>
      <c r="AP81" s="744"/>
      <c r="AQ81" s="744"/>
      <c r="AR81" s="744"/>
      <c r="AS81" s="744"/>
      <c r="AT81" s="744"/>
      <c r="AU81" s="744"/>
      <c r="AV81" s="744"/>
      <c r="AW81" s="744"/>
      <c r="AX81" s="744"/>
      <c r="AY81" s="744"/>
      <c r="AZ81" s="744"/>
      <c r="BA81" s="744"/>
      <c r="BB81" s="744"/>
      <c r="BC81" s="744"/>
      <c r="BD81" s="744"/>
      <c r="BE81" s="744"/>
      <c r="BF81" s="744"/>
      <c r="BG81" s="744"/>
      <c r="BH81" s="744"/>
      <c r="BI81" s="744"/>
      <c r="BJ81" s="744"/>
      <c r="BK81" s="744"/>
      <c r="BL81" s="744"/>
      <c r="BM81" s="744"/>
      <c r="BN81" s="744"/>
      <c r="BO81" s="744"/>
      <c r="BP81" s="744"/>
      <c r="BQ81" s="744"/>
      <c r="BR81" s="744"/>
      <c r="BS81" s="744"/>
      <c r="BT81" s="744"/>
      <c r="BU81" s="744"/>
      <c r="BV81" s="744"/>
      <c r="BW81" s="744"/>
      <c r="BX81" s="744"/>
      <c r="BY81" s="744"/>
      <c r="BZ81" s="744"/>
      <c r="CA81" s="744"/>
    </row>
    <row r="82" spans="20:79" ht="18">
      <c r="V82" s="22"/>
      <c r="W82" s="97"/>
      <c r="Y82" s="596">
        <v>2054</v>
      </c>
      <c r="Z82" s="165">
        <v>2</v>
      </c>
      <c r="AA82" s="165">
        <v>9</v>
      </c>
      <c r="AD82" s="26"/>
      <c r="AE82" s="27"/>
      <c r="AF82" s="778"/>
      <c r="AG82" s="28"/>
      <c r="AH82" s="28"/>
      <c r="AJ82" s="732"/>
      <c r="AK82" s="765"/>
      <c r="AL82" s="769"/>
      <c r="AM82" s="743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  <c r="BA82" s="743"/>
      <c r="BB82" s="743"/>
      <c r="BC82" s="743"/>
      <c r="BD82" s="743"/>
      <c r="BE82" s="743"/>
      <c r="BF82" s="743"/>
      <c r="BG82" s="743"/>
      <c r="BH82" s="743"/>
      <c r="BI82" s="743"/>
      <c r="BJ82" s="743"/>
      <c r="BK82" s="743"/>
      <c r="BL82" s="743"/>
      <c r="BM82" s="743"/>
      <c r="BN82" s="743"/>
      <c r="BO82" s="743"/>
      <c r="BP82" s="743"/>
      <c r="BQ82" s="743"/>
      <c r="BR82" s="743"/>
      <c r="BS82" s="743"/>
      <c r="BT82" s="743"/>
      <c r="BU82" s="743"/>
      <c r="BV82" s="743"/>
      <c r="BW82" s="743"/>
      <c r="BX82" s="743"/>
      <c r="BY82" s="743"/>
      <c r="BZ82" s="743"/>
      <c r="CA82" s="743"/>
    </row>
    <row r="83" spans="20:79" ht="18">
      <c r="V83" s="22"/>
      <c r="W83" s="97"/>
      <c r="Y83" s="596">
        <v>2055</v>
      </c>
      <c r="Z83" s="165">
        <v>1</v>
      </c>
      <c r="AA83" s="165">
        <v>10</v>
      </c>
      <c r="AD83" s="26"/>
      <c r="AE83" s="27"/>
      <c r="AF83" s="778"/>
      <c r="AG83" s="28"/>
      <c r="AH83" s="28"/>
      <c r="AJ83" s="732"/>
      <c r="AK83" s="765"/>
      <c r="AL83" s="769"/>
      <c r="AM83" s="743"/>
      <c r="AN83" s="743"/>
      <c r="AO83" s="743"/>
      <c r="AP83" s="743"/>
      <c r="AQ83" s="743"/>
      <c r="AR83" s="743"/>
      <c r="AS83" s="743"/>
      <c r="AT83" s="743"/>
      <c r="AU83" s="743"/>
      <c r="AV83" s="743"/>
      <c r="AW83" s="743"/>
      <c r="AX83" s="743"/>
      <c r="AY83" s="743"/>
      <c r="AZ83" s="743"/>
      <c r="BA83" s="743"/>
      <c r="BB83" s="743"/>
      <c r="BC83" s="743"/>
      <c r="BD83" s="743"/>
      <c r="BE83" s="743"/>
      <c r="BF83" s="743"/>
      <c r="BG83" s="743"/>
      <c r="BH83" s="743"/>
      <c r="BI83" s="743"/>
      <c r="BJ83" s="743"/>
      <c r="BK83" s="743"/>
      <c r="BL83" s="743"/>
      <c r="BM83" s="743"/>
      <c r="BN83" s="743"/>
      <c r="BO83" s="743"/>
      <c r="BP83" s="743"/>
      <c r="BQ83" s="743"/>
      <c r="BR83" s="743"/>
      <c r="BS83" s="743"/>
      <c r="BT83" s="743"/>
      <c r="BU83" s="743"/>
      <c r="BV83" s="743"/>
      <c r="BW83" s="743"/>
      <c r="BX83" s="743"/>
      <c r="BY83" s="743"/>
      <c r="BZ83" s="743"/>
      <c r="CA83" s="743"/>
    </row>
    <row r="84" spans="20:79" ht="18">
      <c r="V84" s="22"/>
      <c r="W84" s="97"/>
      <c r="Y84" s="596">
        <v>2056</v>
      </c>
      <c r="Z84" s="165">
        <v>2</v>
      </c>
      <c r="AA84" s="165">
        <v>9</v>
      </c>
      <c r="AD84" s="26"/>
      <c r="AE84" s="27"/>
      <c r="AF84" s="778"/>
      <c r="AG84" s="28"/>
      <c r="AH84" s="28"/>
      <c r="AJ84" s="732"/>
      <c r="AK84" s="765"/>
      <c r="AL84" s="769"/>
      <c r="AM84" s="743"/>
      <c r="AN84" s="743"/>
      <c r="AO84" s="743"/>
      <c r="AP84" s="743"/>
      <c r="AQ84" s="743"/>
      <c r="AR84" s="743"/>
      <c r="AS84" s="743"/>
      <c r="AT84" s="743"/>
      <c r="AU84" s="743"/>
      <c r="AV84" s="743"/>
      <c r="AW84" s="743"/>
      <c r="AX84" s="743"/>
      <c r="AY84" s="743"/>
      <c r="AZ84" s="743"/>
      <c r="BA84" s="743"/>
      <c r="BB84" s="743"/>
      <c r="BC84" s="743"/>
      <c r="BD84" s="743"/>
      <c r="BE84" s="743"/>
      <c r="BF84" s="743"/>
      <c r="BG84" s="743"/>
      <c r="BH84" s="743"/>
      <c r="BI84" s="743"/>
      <c r="BJ84" s="743"/>
      <c r="BK84" s="743"/>
      <c r="BL84" s="743"/>
      <c r="BM84" s="743"/>
      <c r="BN84" s="743"/>
      <c r="BO84" s="743"/>
      <c r="BP84" s="743"/>
      <c r="BQ84" s="743"/>
      <c r="BR84" s="743"/>
      <c r="BS84" s="743"/>
      <c r="BT84" s="743"/>
      <c r="BU84" s="743"/>
      <c r="BV84" s="743"/>
      <c r="BW84" s="743"/>
      <c r="BX84" s="743"/>
      <c r="BY84" s="743"/>
      <c r="BZ84" s="743"/>
      <c r="CA84" s="743"/>
    </row>
    <row r="85" spans="20:79" ht="18">
      <c r="V85" s="22"/>
      <c r="W85" s="97"/>
      <c r="Y85" s="596">
        <v>2057</v>
      </c>
      <c r="Z85" s="165">
        <v>2</v>
      </c>
      <c r="AA85" s="165">
        <v>9</v>
      </c>
      <c r="AD85" s="26"/>
      <c r="AE85" s="27"/>
      <c r="AF85" s="778"/>
      <c r="AG85" s="28"/>
      <c r="AH85" s="28"/>
      <c r="AJ85" s="733"/>
      <c r="AK85" s="766"/>
      <c r="AL85" s="770"/>
      <c r="AM85" s="743"/>
      <c r="AN85" s="743"/>
      <c r="AO85" s="743"/>
      <c r="AP85" s="743"/>
      <c r="AQ85" s="743"/>
      <c r="AR85" s="743"/>
      <c r="AS85" s="743"/>
      <c r="AT85" s="743"/>
      <c r="AU85" s="743"/>
      <c r="AV85" s="743"/>
      <c r="AW85" s="743"/>
      <c r="AX85" s="743"/>
      <c r="AY85" s="743"/>
      <c r="AZ85" s="743"/>
      <c r="BA85" s="743"/>
      <c r="BB85" s="743"/>
      <c r="BC85" s="743"/>
      <c r="BD85" s="743"/>
      <c r="BE85" s="743"/>
      <c r="BF85" s="743"/>
      <c r="BG85" s="743"/>
      <c r="BH85" s="743"/>
      <c r="BI85" s="743"/>
      <c r="BJ85" s="743"/>
      <c r="BK85" s="743"/>
      <c r="BL85" s="743"/>
      <c r="BM85" s="743"/>
      <c r="BN85" s="743"/>
      <c r="BO85" s="743"/>
      <c r="BP85" s="743"/>
      <c r="BQ85" s="743"/>
      <c r="BR85" s="743"/>
      <c r="BS85" s="743"/>
      <c r="BT85" s="743"/>
      <c r="BU85" s="743"/>
      <c r="BV85" s="743"/>
      <c r="BW85" s="743"/>
      <c r="BX85" s="743"/>
      <c r="BY85" s="743"/>
      <c r="BZ85" s="743"/>
      <c r="CA85" s="743"/>
    </row>
    <row r="86" spans="20:79">
      <c r="V86" s="22"/>
      <c r="W86" s="97"/>
      <c r="Y86" s="596">
        <v>2058</v>
      </c>
      <c r="Z86" s="165">
        <v>1</v>
      </c>
      <c r="AA86" s="165">
        <v>10</v>
      </c>
      <c r="AD86" s="26"/>
      <c r="AE86" s="27"/>
      <c r="AF86" s="778"/>
      <c r="AG86" s="28"/>
      <c r="AH86" s="28"/>
    </row>
    <row r="87" spans="20:79">
      <c r="V87" s="22"/>
      <c r="W87" s="97"/>
      <c r="Y87" s="596">
        <v>2059</v>
      </c>
      <c r="Z87" s="165">
        <v>2</v>
      </c>
      <c r="AA87" s="165">
        <v>9</v>
      </c>
      <c r="AD87" s="26"/>
      <c r="AE87" s="27"/>
      <c r="AF87" s="778"/>
      <c r="AG87" s="28"/>
      <c r="AH87" s="28"/>
    </row>
    <row r="88" spans="20:79">
      <c r="V88" s="22"/>
      <c r="W88" s="97"/>
      <c r="Y88" s="596">
        <v>2060</v>
      </c>
      <c r="Z88" s="165">
        <v>2</v>
      </c>
      <c r="AA88" s="165">
        <v>9</v>
      </c>
      <c r="AD88" s="26"/>
      <c r="AE88" s="27"/>
      <c r="AF88" s="778"/>
      <c r="AG88" s="28"/>
      <c r="AH88" s="28"/>
    </row>
    <row r="89" spans="20:79">
      <c r="V89" s="22"/>
      <c r="W89" s="97"/>
      <c r="Y89" s="596">
        <v>2061</v>
      </c>
      <c r="Z89" s="165">
        <v>1</v>
      </c>
      <c r="AA89" s="165">
        <v>9</v>
      </c>
      <c r="AD89" s="26"/>
      <c r="AE89" s="27"/>
      <c r="AF89" s="778"/>
      <c r="AG89" s="28"/>
      <c r="AH89" s="28"/>
    </row>
    <row r="90" spans="20:79">
      <c r="V90" s="22"/>
      <c r="W90" s="97"/>
      <c r="Y90" s="596"/>
      <c r="Z90" s="165"/>
      <c r="AA90" s="165"/>
      <c r="AD90" s="26"/>
      <c r="AE90" s="27"/>
      <c r="AF90" s="778"/>
      <c r="AG90" s="28"/>
      <c r="AH90" s="28"/>
    </row>
    <row r="91" spans="20:79">
      <c r="V91" s="22"/>
      <c r="W91" s="97"/>
      <c r="Y91" s="596"/>
      <c r="Z91" s="165"/>
      <c r="AA91" s="647"/>
      <c r="AD91" s="26"/>
      <c r="AE91" s="27"/>
      <c r="AF91" s="778"/>
      <c r="AG91" s="28"/>
      <c r="AH91" s="28"/>
    </row>
    <row r="92" spans="20:79">
      <c r="V92" s="22"/>
      <c r="W92" s="97"/>
      <c r="Y92" s="596"/>
      <c r="Z92" s="165"/>
      <c r="AA92" s="647"/>
      <c r="AD92" s="26"/>
      <c r="AE92" s="27"/>
      <c r="AF92" s="778"/>
      <c r="AG92" s="28"/>
      <c r="AH92" s="28"/>
    </row>
    <row r="93" spans="20:79">
      <c r="V93" s="22"/>
      <c r="W93" s="97"/>
      <c r="Y93" s="596"/>
      <c r="Z93" s="165"/>
      <c r="AA93" s="647"/>
      <c r="AD93" s="26"/>
      <c r="AE93" s="27"/>
      <c r="AF93" s="778"/>
      <c r="AG93" s="28"/>
      <c r="AH93" s="28"/>
    </row>
    <row r="94" spans="20:79">
      <c r="V94" s="22"/>
      <c r="W94" s="97"/>
      <c r="Y94" s="596"/>
      <c r="Z94" s="165"/>
      <c r="AA94" s="647"/>
      <c r="AD94" s="26"/>
      <c r="AE94" s="27"/>
      <c r="AF94" s="778"/>
      <c r="AG94" s="28"/>
      <c r="AH94" s="28"/>
    </row>
    <row r="95" spans="20:79">
      <c r="V95" s="22"/>
      <c r="W95" s="97"/>
      <c r="Y95" s="596"/>
      <c r="Z95" s="165"/>
      <c r="AA95" s="647"/>
      <c r="AD95" s="26"/>
      <c r="AE95" s="27"/>
      <c r="AF95" s="778"/>
      <c r="AG95" s="28"/>
      <c r="AH95" s="28"/>
    </row>
    <row r="96" spans="20:79">
      <c r="V96" s="22"/>
      <c r="W96" s="97"/>
      <c r="Y96" s="596"/>
      <c r="Z96" s="165"/>
      <c r="AA96" s="647"/>
      <c r="AD96" s="26"/>
      <c r="AE96" s="27"/>
      <c r="AF96" s="778"/>
      <c r="AG96" s="28"/>
      <c r="AH96" s="28"/>
    </row>
    <row r="97" spans="17:34">
      <c r="T97" s="591"/>
      <c r="V97" s="22"/>
      <c r="W97" s="97"/>
      <c r="Y97" s="596"/>
      <c r="Z97" s="165"/>
      <c r="AA97" s="647"/>
      <c r="AD97" s="26"/>
      <c r="AE97" s="27"/>
      <c r="AF97" s="778"/>
      <c r="AG97" s="28"/>
      <c r="AH97" s="28"/>
    </row>
    <row r="98" spans="17:34">
      <c r="V98" s="22"/>
      <c r="W98" s="97"/>
      <c r="Y98" s="596"/>
      <c r="Z98" s="165"/>
      <c r="AA98" s="647"/>
      <c r="AD98" s="26"/>
      <c r="AE98" s="27"/>
      <c r="AF98" s="778"/>
      <c r="AG98" s="28"/>
      <c r="AH98" s="28"/>
    </row>
    <row r="99" spans="17:34">
      <c r="V99" s="22"/>
      <c r="W99" s="97"/>
      <c r="Y99" s="596"/>
      <c r="Z99" s="165"/>
      <c r="AA99" s="647"/>
      <c r="AD99" s="26"/>
      <c r="AE99" s="27"/>
      <c r="AF99" s="778"/>
      <c r="AG99" s="28"/>
      <c r="AH99" s="28"/>
    </row>
    <row r="100" spans="17:34">
      <c r="V100" s="22"/>
      <c r="W100" s="97"/>
      <c r="Y100" s="596"/>
      <c r="Z100" s="165"/>
      <c r="AA100" s="647"/>
      <c r="AD100" s="26"/>
      <c r="AE100" s="27"/>
      <c r="AF100" s="778"/>
      <c r="AG100" s="28"/>
      <c r="AH100" s="28"/>
    </row>
    <row r="101" spans="17:34">
      <c r="V101" s="22"/>
      <c r="W101" s="97"/>
      <c r="Y101" s="596"/>
      <c r="Z101" s="165"/>
      <c r="AA101" s="647"/>
      <c r="AD101" s="26"/>
      <c r="AE101" s="27"/>
      <c r="AF101" s="778"/>
      <c r="AG101" s="28"/>
      <c r="AH101" s="28"/>
    </row>
    <row r="102" spans="17:34">
      <c r="V102" s="22"/>
      <c r="W102" s="97"/>
      <c r="Y102" s="596"/>
      <c r="Z102" s="165"/>
      <c r="AA102" s="647"/>
      <c r="AD102" s="26"/>
      <c r="AE102" s="27"/>
      <c r="AF102" s="778"/>
      <c r="AG102" s="28"/>
      <c r="AH102" s="28"/>
    </row>
    <row r="103" spans="17:34">
      <c r="V103" s="22"/>
      <c r="W103" s="97"/>
      <c r="Y103" s="596"/>
      <c r="Z103" s="165"/>
      <c r="AA103" s="647"/>
      <c r="AD103" s="26"/>
      <c r="AE103" s="27"/>
      <c r="AF103" s="778"/>
      <c r="AG103" s="28"/>
      <c r="AH103" s="28"/>
    </row>
    <row r="104" spans="17:34">
      <c r="V104" s="22"/>
      <c r="W104" s="97"/>
      <c r="Y104" s="596"/>
      <c r="Z104" s="165"/>
      <c r="AA104" s="647"/>
      <c r="AD104" s="26"/>
      <c r="AE104" s="27"/>
      <c r="AF104" s="778"/>
      <c r="AG104" s="28"/>
      <c r="AH104" s="28"/>
    </row>
    <row r="105" spans="17:34">
      <c r="V105" s="22"/>
      <c r="W105" s="97"/>
      <c r="Y105" s="596"/>
      <c r="Z105" s="165"/>
      <c r="AA105" s="647"/>
      <c r="AD105" s="26"/>
      <c r="AE105" s="27"/>
      <c r="AF105" s="778"/>
      <c r="AG105" s="28"/>
      <c r="AH105" s="28"/>
    </row>
    <row r="106" spans="17:34">
      <c r="V106" s="22"/>
      <c r="W106" s="97"/>
      <c r="Y106" s="596"/>
      <c r="Z106" s="165"/>
      <c r="AA106" s="647"/>
      <c r="AD106" s="26"/>
      <c r="AE106" s="27"/>
      <c r="AF106" s="778"/>
      <c r="AG106" s="28"/>
      <c r="AH106" s="28"/>
    </row>
    <row r="107" spans="17:34">
      <c r="V107" s="22"/>
      <c r="W107" s="97"/>
      <c r="Y107" s="596"/>
      <c r="Z107" s="165"/>
      <c r="AA107" s="647"/>
      <c r="AD107" s="26"/>
      <c r="AE107" s="27"/>
      <c r="AF107" s="778"/>
      <c r="AG107" s="28"/>
      <c r="AH107" s="28"/>
    </row>
    <row r="108" spans="17:34">
      <c r="V108" s="22"/>
      <c r="W108" s="97"/>
      <c r="Y108" s="596"/>
      <c r="Z108" s="165"/>
      <c r="AA108" s="647"/>
      <c r="AD108" s="26"/>
      <c r="AE108" s="27"/>
      <c r="AF108" s="778"/>
      <c r="AG108" s="28"/>
      <c r="AH108" s="28"/>
    </row>
    <row r="109" spans="17:34">
      <c r="Q109" s="99"/>
      <c r="T109" s="97"/>
      <c r="V109" s="22"/>
      <c r="W109" s="97"/>
      <c r="Y109" s="99"/>
      <c r="AD109" s="26"/>
      <c r="AE109" s="27"/>
      <c r="AF109" s="778"/>
      <c r="AG109" s="28"/>
      <c r="AH109" s="28"/>
    </row>
    <row r="110" spans="17:34">
      <c r="Q110" s="99"/>
      <c r="T110" s="97"/>
      <c r="V110" s="22"/>
      <c r="W110" s="97"/>
      <c r="Y110" s="99"/>
      <c r="AD110" s="26"/>
      <c r="AE110" s="27"/>
      <c r="AF110" s="778"/>
      <c r="AG110" s="28"/>
      <c r="AH110" s="28"/>
    </row>
    <row r="111" spans="17:34">
      <c r="Q111" s="99"/>
      <c r="T111" s="97"/>
      <c r="V111" s="22"/>
      <c r="W111" s="97"/>
      <c r="Y111" s="99"/>
      <c r="AD111" s="26"/>
      <c r="AE111" s="27"/>
      <c r="AF111" s="778"/>
      <c r="AG111" s="28"/>
      <c r="AH111" s="28"/>
    </row>
    <row r="112" spans="17:34">
      <c r="Q112" s="99"/>
      <c r="T112" s="97"/>
      <c r="V112" s="22"/>
      <c r="W112" s="97"/>
      <c r="Y112" s="99"/>
      <c r="AD112" s="26"/>
      <c r="AE112" s="27"/>
      <c r="AF112" s="778"/>
      <c r="AG112" s="28"/>
      <c r="AH112" s="28"/>
    </row>
    <row r="113" spans="3:44">
      <c r="Q113" s="99"/>
      <c r="T113" s="97"/>
      <c r="V113" s="22"/>
      <c r="W113" s="97"/>
      <c r="Y113" s="99"/>
      <c r="AD113" s="26"/>
      <c r="AE113" s="32"/>
      <c r="AF113" s="778"/>
      <c r="AG113" s="28"/>
      <c r="AH113" s="28"/>
    </row>
    <row r="114" spans="3:44" ht="27">
      <c r="C114" s="1041">
        <v>2024</v>
      </c>
      <c r="D114" s="42">
        <f>C114+1</f>
        <v>2025</v>
      </c>
      <c r="E114" s="42">
        <f t="shared" ref="E114:AR114" si="252">D114+1</f>
        <v>2026</v>
      </c>
      <c r="F114" s="42">
        <f t="shared" si="252"/>
        <v>2027</v>
      </c>
      <c r="G114" s="42">
        <f t="shared" si="252"/>
        <v>2028</v>
      </c>
      <c r="H114" s="42">
        <f t="shared" si="252"/>
        <v>2029</v>
      </c>
      <c r="I114" s="42">
        <f t="shared" si="252"/>
        <v>2030</v>
      </c>
      <c r="J114" s="42">
        <f t="shared" si="252"/>
        <v>2031</v>
      </c>
      <c r="K114" s="42">
        <f t="shared" si="252"/>
        <v>2032</v>
      </c>
      <c r="L114" s="42">
        <f t="shared" si="252"/>
        <v>2033</v>
      </c>
      <c r="M114" s="42">
        <f t="shared" si="252"/>
        <v>2034</v>
      </c>
      <c r="N114" s="42">
        <f t="shared" si="252"/>
        <v>2035</v>
      </c>
      <c r="O114" s="42">
        <f t="shared" si="252"/>
        <v>2036</v>
      </c>
      <c r="P114" s="42">
        <f t="shared" si="252"/>
        <v>2037</v>
      </c>
      <c r="Q114" s="42">
        <f t="shared" si="252"/>
        <v>2038</v>
      </c>
      <c r="R114" s="42">
        <f t="shared" si="252"/>
        <v>2039</v>
      </c>
      <c r="S114" s="42">
        <f t="shared" si="252"/>
        <v>2040</v>
      </c>
      <c r="T114" s="42">
        <f t="shared" si="252"/>
        <v>2041</v>
      </c>
      <c r="U114" s="42">
        <f t="shared" si="252"/>
        <v>2042</v>
      </c>
      <c r="V114" s="42">
        <f t="shared" si="252"/>
        <v>2043</v>
      </c>
      <c r="W114" s="42">
        <f t="shared" si="252"/>
        <v>2044</v>
      </c>
      <c r="X114" s="42">
        <f t="shared" si="252"/>
        <v>2045</v>
      </c>
      <c r="Y114" s="42">
        <f t="shared" si="252"/>
        <v>2046</v>
      </c>
      <c r="Z114" s="42">
        <f t="shared" si="252"/>
        <v>2047</v>
      </c>
      <c r="AA114" s="42">
        <f t="shared" si="252"/>
        <v>2048</v>
      </c>
      <c r="AB114" s="42">
        <f t="shared" si="252"/>
        <v>2049</v>
      </c>
      <c r="AC114" s="42">
        <f t="shared" si="252"/>
        <v>2050</v>
      </c>
      <c r="AD114" s="42">
        <f t="shared" si="252"/>
        <v>2051</v>
      </c>
      <c r="AE114" s="42">
        <f t="shared" si="252"/>
        <v>2052</v>
      </c>
      <c r="AF114" s="42">
        <f t="shared" si="252"/>
        <v>2053</v>
      </c>
      <c r="AG114" s="42">
        <f t="shared" si="252"/>
        <v>2054</v>
      </c>
      <c r="AH114" s="42">
        <f t="shared" si="252"/>
        <v>2055</v>
      </c>
      <c r="AI114" s="42">
        <f t="shared" si="252"/>
        <v>2056</v>
      </c>
      <c r="AJ114" s="42">
        <f t="shared" si="252"/>
        <v>2057</v>
      </c>
      <c r="AK114" s="42">
        <f t="shared" si="252"/>
        <v>2058</v>
      </c>
      <c r="AL114" s="42">
        <f t="shared" si="252"/>
        <v>2059</v>
      </c>
      <c r="AM114" s="42">
        <f t="shared" si="252"/>
        <v>2060</v>
      </c>
      <c r="AN114" s="42">
        <f t="shared" si="252"/>
        <v>2061</v>
      </c>
      <c r="AO114" s="42">
        <f t="shared" si="252"/>
        <v>2062</v>
      </c>
      <c r="AP114" s="42">
        <f t="shared" si="252"/>
        <v>2063</v>
      </c>
      <c r="AQ114" s="42">
        <f t="shared" si="252"/>
        <v>2064</v>
      </c>
      <c r="AR114" s="42">
        <f t="shared" si="252"/>
        <v>2065</v>
      </c>
    </row>
    <row r="115" spans="3:44">
      <c r="C115" s="24" t="s">
        <v>569</v>
      </c>
      <c r="D115" s="24" t="s">
        <v>569</v>
      </c>
      <c r="E115" s="24" t="s">
        <v>569</v>
      </c>
      <c r="F115" s="24" t="s">
        <v>569</v>
      </c>
      <c r="G115" s="24" t="s">
        <v>569</v>
      </c>
      <c r="H115" s="24" t="s">
        <v>569</v>
      </c>
      <c r="I115" s="24" t="s">
        <v>569</v>
      </c>
      <c r="J115" s="24" t="s">
        <v>569</v>
      </c>
      <c r="K115" s="24" t="s">
        <v>569</v>
      </c>
      <c r="L115" s="24" t="s">
        <v>569</v>
      </c>
      <c r="M115" s="24" t="s">
        <v>569</v>
      </c>
      <c r="N115" s="24" t="s">
        <v>569</v>
      </c>
      <c r="O115" s="24" t="s">
        <v>569</v>
      </c>
      <c r="P115" s="24" t="s">
        <v>569</v>
      </c>
      <c r="Q115" s="24" t="s">
        <v>569</v>
      </c>
      <c r="R115" s="24" t="s">
        <v>569</v>
      </c>
      <c r="S115" s="24" t="s">
        <v>569</v>
      </c>
      <c r="T115" s="24" t="s">
        <v>569</v>
      </c>
      <c r="U115" s="24" t="s">
        <v>569</v>
      </c>
      <c r="V115" s="24" t="s">
        <v>569</v>
      </c>
      <c r="W115" s="24" t="s">
        <v>569</v>
      </c>
      <c r="X115" s="24" t="s">
        <v>569</v>
      </c>
      <c r="Y115" s="24" t="s">
        <v>569</v>
      </c>
      <c r="Z115" s="24" t="s">
        <v>569</v>
      </c>
      <c r="AA115" s="647" t="s">
        <v>569</v>
      </c>
      <c r="AB115" s="24" t="s">
        <v>569</v>
      </c>
      <c r="AC115" s="24" t="s">
        <v>569</v>
      </c>
      <c r="AD115" s="24" t="s">
        <v>569</v>
      </c>
      <c r="AE115" s="24" t="s">
        <v>569</v>
      </c>
      <c r="AF115" s="780" t="s">
        <v>569</v>
      </c>
      <c r="AG115" s="24" t="s">
        <v>569</v>
      </c>
      <c r="AH115" s="24" t="s">
        <v>569</v>
      </c>
      <c r="AI115" s="24" t="s">
        <v>569</v>
      </c>
      <c r="AJ115" s="24" t="s">
        <v>569</v>
      </c>
      <c r="AK115" s="24" t="s">
        <v>569</v>
      </c>
      <c r="AL115" s="24" t="s">
        <v>569</v>
      </c>
      <c r="AM115" s="24" t="s">
        <v>569</v>
      </c>
      <c r="AN115" s="24" t="s">
        <v>569</v>
      </c>
      <c r="AO115" s="24" t="s">
        <v>569</v>
      </c>
      <c r="AP115" s="24" t="s">
        <v>569</v>
      </c>
      <c r="AQ115" s="24" t="s">
        <v>569</v>
      </c>
      <c r="AR115" s="24" t="s">
        <v>569</v>
      </c>
    </row>
    <row r="116" spans="3:44">
      <c r="C116" s="24" t="s">
        <v>555</v>
      </c>
      <c r="D116" s="24" t="s">
        <v>555</v>
      </c>
      <c r="E116" s="24" t="s">
        <v>555</v>
      </c>
      <c r="F116" s="24" t="s">
        <v>555</v>
      </c>
      <c r="G116" s="24" t="s">
        <v>555</v>
      </c>
      <c r="H116" s="24" t="s">
        <v>555</v>
      </c>
      <c r="I116" s="24" t="s">
        <v>555</v>
      </c>
      <c r="J116" s="24" t="s">
        <v>555</v>
      </c>
      <c r="K116" s="24" t="s">
        <v>555</v>
      </c>
      <c r="L116" s="24" t="s">
        <v>555</v>
      </c>
      <c r="M116" s="24" t="s">
        <v>555</v>
      </c>
      <c r="N116" s="24" t="s">
        <v>555</v>
      </c>
      <c r="O116" s="24" t="s">
        <v>555</v>
      </c>
      <c r="P116" s="24" t="s">
        <v>555</v>
      </c>
      <c r="Q116" s="24" t="s">
        <v>555</v>
      </c>
      <c r="R116" s="24" t="s">
        <v>555</v>
      </c>
      <c r="S116" s="24" t="s">
        <v>555</v>
      </c>
      <c r="T116" s="24" t="s">
        <v>555</v>
      </c>
      <c r="U116" s="24" t="s">
        <v>555</v>
      </c>
      <c r="V116" s="24" t="s">
        <v>555</v>
      </c>
      <c r="W116" s="24" t="s">
        <v>555</v>
      </c>
      <c r="X116" s="24" t="s">
        <v>555</v>
      </c>
      <c r="Y116" s="24" t="s">
        <v>555</v>
      </c>
      <c r="Z116" s="24" t="s">
        <v>555</v>
      </c>
      <c r="AA116" s="647" t="s">
        <v>555</v>
      </c>
      <c r="AB116" s="24" t="s">
        <v>555</v>
      </c>
      <c r="AC116" s="24" t="s">
        <v>555</v>
      </c>
      <c r="AD116" s="24" t="s">
        <v>555</v>
      </c>
      <c r="AE116" s="24" t="s">
        <v>555</v>
      </c>
      <c r="AF116" s="780" t="s">
        <v>555</v>
      </c>
      <c r="AG116" s="24" t="s">
        <v>555</v>
      </c>
      <c r="AH116" s="24" t="s">
        <v>555</v>
      </c>
      <c r="AI116" s="24" t="s">
        <v>555</v>
      </c>
      <c r="AJ116" s="24" t="s">
        <v>555</v>
      </c>
      <c r="AK116" s="24" t="s">
        <v>555</v>
      </c>
      <c r="AL116" s="24" t="s">
        <v>555</v>
      </c>
      <c r="AM116" s="24" t="s">
        <v>555</v>
      </c>
      <c r="AN116" s="24" t="s">
        <v>555</v>
      </c>
      <c r="AO116" s="24" t="s">
        <v>555</v>
      </c>
      <c r="AP116" s="24" t="s">
        <v>555</v>
      </c>
      <c r="AQ116" s="24" t="s">
        <v>555</v>
      </c>
      <c r="AR116" s="24" t="s">
        <v>555</v>
      </c>
    </row>
    <row r="117" spans="3:44">
      <c r="C117" s="24" t="s">
        <v>574</v>
      </c>
      <c r="D117" s="24" t="s">
        <v>574</v>
      </c>
      <c r="E117" s="24" t="s">
        <v>574</v>
      </c>
      <c r="F117" s="24" t="s">
        <v>574</v>
      </c>
      <c r="G117" s="24" t="s">
        <v>574</v>
      </c>
      <c r="H117" s="24" t="s">
        <v>574</v>
      </c>
      <c r="I117" s="24" t="s">
        <v>574</v>
      </c>
      <c r="J117" s="24" t="s">
        <v>574</v>
      </c>
      <c r="K117" s="24" t="s">
        <v>574</v>
      </c>
      <c r="L117" s="24" t="s">
        <v>574</v>
      </c>
      <c r="M117" s="24" t="s">
        <v>574</v>
      </c>
      <c r="N117" s="24" t="s">
        <v>574</v>
      </c>
      <c r="O117" s="24" t="s">
        <v>574</v>
      </c>
      <c r="P117" s="24" t="s">
        <v>574</v>
      </c>
      <c r="Q117" s="24" t="s">
        <v>574</v>
      </c>
      <c r="R117" s="24" t="s">
        <v>574</v>
      </c>
      <c r="S117" s="24" t="s">
        <v>574</v>
      </c>
      <c r="T117" s="24" t="s">
        <v>574</v>
      </c>
      <c r="U117" s="24" t="s">
        <v>574</v>
      </c>
      <c r="V117" s="24" t="s">
        <v>574</v>
      </c>
      <c r="W117" s="24" t="s">
        <v>574</v>
      </c>
      <c r="X117" s="24" t="s">
        <v>574</v>
      </c>
      <c r="Y117" s="24" t="s">
        <v>574</v>
      </c>
      <c r="Z117" s="24" t="s">
        <v>574</v>
      </c>
      <c r="AA117" s="647" t="s">
        <v>574</v>
      </c>
      <c r="AB117" s="24" t="s">
        <v>574</v>
      </c>
      <c r="AC117" s="24" t="s">
        <v>574</v>
      </c>
      <c r="AD117" s="24" t="s">
        <v>574</v>
      </c>
      <c r="AE117" s="24" t="s">
        <v>574</v>
      </c>
      <c r="AF117" s="780" t="s">
        <v>574</v>
      </c>
      <c r="AG117" s="24" t="s">
        <v>574</v>
      </c>
      <c r="AH117" s="24" t="s">
        <v>574</v>
      </c>
      <c r="AI117" s="24" t="s">
        <v>574</v>
      </c>
      <c r="AJ117" s="24" t="s">
        <v>574</v>
      </c>
      <c r="AK117" s="24" t="s">
        <v>574</v>
      </c>
      <c r="AL117" s="24" t="s">
        <v>574</v>
      </c>
      <c r="AM117" s="24" t="s">
        <v>574</v>
      </c>
      <c r="AN117" s="24" t="s">
        <v>574</v>
      </c>
      <c r="AO117" s="24" t="s">
        <v>574</v>
      </c>
      <c r="AP117" s="24" t="s">
        <v>574</v>
      </c>
      <c r="AQ117" s="24" t="s">
        <v>574</v>
      </c>
      <c r="AR117" s="24" t="s">
        <v>574</v>
      </c>
    </row>
    <row r="118" spans="3:44">
      <c r="C118" s="24" t="s">
        <v>537</v>
      </c>
      <c r="D118" s="24" t="s">
        <v>537</v>
      </c>
      <c r="E118" s="24" t="s">
        <v>537</v>
      </c>
      <c r="F118" s="24" t="s">
        <v>537</v>
      </c>
      <c r="G118" s="24" t="s">
        <v>537</v>
      </c>
      <c r="H118" s="24" t="s">
        <v>537</v>
      </c>
      <c r="I118" s="24" t="s">
        <v>537</v>
      </c>
      <c r="J118" s="24" t="s">
        <v>537</v>
      </c>
      <c r="K118" s="24" t="s">
        <v>537</v>
      </c>
      <c r="L118" s="24" t="s">
        <v>537</v>
      </c>
      <c r="M118" s="24" t="s">
        <v>537</v>
      </c>
      <c r="N118" s="24" t="s">
        <v>537</v>
      </c>
      <c r="O118" s="24" t="s">
        <v>537</v>
      </c>
      <c r="P118" s="24" t="s">
        <v>537</v>
      </c>
      <c r="Q118" s="24" t="s">
        <v>537</v>
      </c>
      <c r="R118" s="24" t="s">
        <v>537</v>
      </c>
      <c r="S118" s="24" t="s">
        <v>537</v>
      </c>
      <c r="T118" s="24" t="s">
        <v>537</v>
      </c>
      <c r="U118" s="24" t="s">
        <v>537</v>
      </c>
      <c r="V118" s="24" t="s">
        <v>537</v>
      </c>
      <c r="W118" s="24" t="s">
        <v>537</v>
      </c>
      <c r="X118" s="24" t="s">
        <v>537</v>
      </c>
      <c r="Y118" s="24" t="s">
        <v>537</v>
      </c>
      <c r="Z118" s="24" t="s">
        <v>537</v>
      </c>
      <c r="AA118" s="647" t="s">
        <v>537</v>
      </c>
      <c r="AB118" s="24" t="s">
        <v>537</v>
      </c>
      <c r="AC118" s="24" t="s">
        <v>537</v>
      </c>
      <c r="AD118" s="24" t="s">
        <v>537</v>
      </c>
      <c r="AE118" s="24" t="s">
        <v>537</v>
      </c>
      <c r="AF118" s="780" t="s">
        <v>537</v>
      </c>
      <c r="AG118" s="24" t="s">
        <v>537</v>
      </c>
      <c r="AH118" s="24" t="s">
        <v>537</v>
      </c>
      <c r="AI118" s="24" t="s">
        <v>537</v>
      </c>
      <c r="AJ118" s="24" t="s">
        <v>537</v>
      </c>
      <c r="AK118" s="24" t="s">
        <v>537</v>
      </c>
      <c r="AL118" s="24" t="s">
        <v>537</v>
      </c>
      <c r="AM118" s="24" t="s">
        <v>537</v>
      </c>
      <c r="AN118" s="24" t="s">
        <v>537</v>
      </c>
      <c r="AO118" s="24" t="s">
        <v>537</v>
      </c>
      <c r="AP118" s="24" t="s">
        <v>537</v>
      </c>
      <c r="AQ118" s="24" t="s">
        <v>537</v>
      </c>
      <c r="AR118" s="24" t="s">
        <v>537</v>
      </c>
    </row>
    <row r="119" spans="3:44">
      <c r="C119" s="608">
        <v>2</v>
      </c>
      <c r="D119" s="608">
        <v>2</v>
      </c>
      <c r="E119" s="608">
        <v>2</v>
      </c>
      <c r="F119" s="608">
        <v>2</v>
      </c>
      <c r="G119" s="608">
        <v>2</v>
      </c>
      <c r="H119" s="608">
        <v>2</v>
      </c>
      <c r="I119" s="608">
        <v>2</v>
      </c>
      <c r="J119" s="608">
        <v>2</v>
      </c>
      <c r="K119" s="608">
        <v>2</v>
      </c>
      <c r="L119" s="608">
        <v>2</v>
      </c>
      <c r="M119" s="608">
        <v>2</v>
      </c>
      <c r="N119" s="608">
        <v>2</v>
      </c>
      <c r="O119" s="608">
        <v>2</v>
      </c>
      <c r="P119" s="608">
        <v>2</v>
      </c>
      <c r="Q119" s="608">
        <v>2</v>
      </c>
      <c r="R119" s="608">
        <v>2</v>
      </c>
      <c r="S119" s="608">
        <v>2</v>
      </c>
      <c r="T119" s="608">
        <v>2</v>
      </c>
      <c r="U119" s="608">
        <v>2</v>
      </c>
      <c r="V119" s="608">
        <v>2</v>
      </c>
      <c r="W119" s="608">
        <v>2</v>
      </c>
      <c r="X119" s="608">
        <v>2</v>
      </c>
      <c r="Y119" s="608">
        <v>2</v>
      </c>
      <c r="Z119" s="608">
        <v>2</v>
      </c>
      <c r="AA119" s="608">
        <v>2</v>
      </c>
      <c r="AB119" s="608">
        <v>2</v>
      </c>
      <c r="AC119" s="608">
        <v>2</v>
      </c>
      <c r="AD119" s="608">
        <v>2</v>
      </c>
      <c r="AE119" s="608">
        <v>2</v>
      </c>
      <c r="AF119" s="777">
        <v>2</v>
      </c>
      <c r="AG119" s="608">
        <v>2</v>
      </c>
      <c r="AH119" s="608">
        <v>2</v>
      </c>
      <c r="AI119" s="608">
        <v>2</v>
      </c>
      <c r="AJ119" s="608">
        <v>2</v>
      </c>
      <c r="AK119" s="608">
        <v>2</v>
      </c>
      <c r="AL119" s="608">
        <v>2</v>
      </c>
      <c r="AM119" s="608">
        <v>2</v>
      </c>
      <c r="AN119" s="608">
        <v>2</v>
      </c>
      <c r="AO119" s="608">
        <v>2</v>
      </c>
      <c r="AP119" s="608">
        <v>2</v>
      </c>
      <c r="AQ119" s="608">
        <v>2</v>
      </c>
      <c r="AR119" s="608">
        <v>2</v>
      </c>
    </row>
    <row r="120" spans="3:44">
      <c r="C120" s="24" t="s">
        <v>562</v>
      </c>
      <c r="D120" s="24" t="s">
        <v>562</v>
      </c>
      <c r="E120" s="24" t="s">
        <v>562</v>
      </c>
      <c r="F120" s="24" t="s">
        <v>562</v>
      </c>
      <c r="G120" s="24" t="s">
        <v>562</v>
      </c>
      <c r="H120" s="24" t="s">
        <v>562</v>
      </c>
      <c r="I120" s="24" t="s">
        <v>562</v>
      </c>
      <c r="J120" s="24" t="s">
        <v>562</v>
      </c>
      <c r="K120" s="24" t="s">
        <v>562</v>
      </c>
      <c r="L120" s="24" t="s">
        <v>562</v>
      </c>
      <c r="M120" s="24" t="s">
        <v>562</v>
      </c>
      <c r="N120" s="24" t="s">
        <v>562</v>
      </c>
      <c r="O120" s="24" t="s">
        <v>562</v>
      </c>
      <c r="P120" s="24" t="s">
        <v>562</v>
      </c>
      <c r="Q120" s="24" t="s">
        <v>562</v>
      </c>
      <c r="R120" s="24" t="s">
        <v>562</v>
      </c>
      <c r="S120" s="24" t="s">
        <v>562</v>
      </c>
      <c r="T120" s="24" t="s">
        <v>562</v>
      </c>
      <c r="U120" s="24" t="s">
        <v>562</v>
      </c>
      <c r="V120" s="24" t="s">
        <v>562</v>
      </c>
      <c r="W120" s="24" t="s">
        <v>562</v>
      </c>
      <c r="X120" s="24" t="s">
        <v>562</v>
      </c>
      <c r="Y120" s="24" t="s">
        <v>562</v>
      </c>
      <c r="Z120" s="24" t="s">
        <v>562</v>
      </c>
      <c r="AA120" s="647" t="s">
        <v>562</v>
      </c>
      <c r="AB120" s="24" t="s">
        <v>562</v>
      </c>
      <c r="AC120" s="24" t="s">
        <v>562</v>
      </c>
      <c r="AD120" s="24" t="s">
        <v>562</v>
      </c>
      <c r="AE120" s="24" t="s">
        <v>562</v>
      </c>
      <c r="AF120" s="780" t="s">
        <v>562</v>
      </c>
      <c r="AG120" s="24" t="s">
        <v>562</v>
      </c>
      <c r="AH120" s="24" t="s">
        <v>562</v>
      </c>
      <c r="AI120" s="24" t="s">
        <v>562</v>
      </c>
      <c r="AJ120" s="24" t="s">
        <v>562</v>
      </c>
      <c r="AK120" s="24" t="s">
        <v>562</v>
      </c>
      <c r="AL120" s="24" t="s">
        <v>562</v>
      </c>
      <c r="AM120" s="24" t="s">
        <v>562</v>
      </c>
      <c r="AN120" s="24" t="s">
        <v>562</v>
      </c>
      <c r="AO120" s="24" t="s">
        <v>562</v>
      </c>
      <c r="AP120" s="24" t="s">
        <v>562</v>
      </c>
      <c r="AQ120" s="24" t="s">
        <v>562</v>
      </c>
      <c r="AR120" s="24" t="s">
        <v>562</v>
      </c>
    </row>
    <row r="121" spans="3:44">
      <c r="C121" s="24" t="s">
        <v>556</v>
      </c>
      <c r="D121" s="24" t="s">
        <v>556</v>
      </c>
      <c r="E121" s="24" t="s">
        <v>556</v>
      </c>
      <c r="F121" s="24" t="s">
        <v>556</v>
      </c>
      <c r="G121" s="24" t="s">
        <v>556</v>
      </c>
      <c r="H121" s="24" t="s">
        <v>556</v>
      </c>
      <c r="I121" s="24" t="s">
        <v>556</v>
      </c>
      <c r="J121" s="24" t="s">
        <v>556</v>
      </c>
      <c r="K121" s="24" t="s">
        <v>556</v>
      </c>
      <c r="L121" s="24" t="s">
        <v>556</v>
      </c>
      <c r="M121" s="24" t="s">
        <v>556</v>
      </c>
      <c r="N121" s="24" t="s">
        <v>556</v>
      </c>
      <c r="O121" s="24" t="s">
        <v>556</v>
      </c>
      <c r="P121" s="24" t="s">
        <v>556</v>
      </c>
      <c r="Q121" s="24" t="s">
        <v>556</v>
      </c>
      <c r="R121" s="24" t="s">
        <v>556</v>
      </c>
      <c r="S121" s="24" t="s">
        <v>556</v>
      </c>
      <c r="T121" s="24" t="s">
        <v>556</v>
      </c>
      <c r="U121" s="24" t="s">
        <v>556</v>
      </c>
      <c r="V121" s="24" t="s">
        <v>556</v>
      </c>
      <c r="W121" s="24" t="s">
        <v>556</v>
      </c>
      <c r="X121" s="24" t="s">
        <v>556</v>
      </c>
      <c r="Y121" s="24" t="s">
        <v>556</v>
      </c>
      <c r="Z121" s="24" t="s">
        <v>556</v>
      </c>
      <c r="AA121" s="647" t="s">
        <v>556</v>
      </c>
      <c r="AB121" s="24" t="s">
        <v>556</v>
      </c>
      <c r="AC121" s="24" t="s">
        <v>556</v>
      </c>
      <c r="AD121" s="24" t="s">
        <v>556</v>
      </c>
      <c r="AE121" s="24" t="s">
        <v>556</v>
      </c>
      <c r="AF121" s="780" t="s">
        <v>556</v>
      </c>
      <c r="AG121" s="24" t="s">
        <v>556</v>
      </c>
      <c r="AH121" s="24" t="s">
        <v>556</v>
      </c>
      <c r="AI121" s="24" t="s">
        <v>556</v>
      </c>
      <c r="AJ121" s="24" t="s">
        <v>556</v>
      </c>
      <c r="AK121" s="24" t="s">
        <v>556</v>
      </c>
      <c r="AL121" s="24" t="s">
        <v>556</v>
      </c>
      <c r="AM121" s="24" t="s">
        <v>556</v>
      </c>
      <c r="AN121" s="24" t="s">
        <v>556</v>
      </c>
      <c r="AO121" s="24" t="s">
        <v>556</v>
      </c>
      <c r="AP121" s="24" t="s">
        <v>556</v>
      </c>
      <c r="AQ121" s="24" t="s">
        <v>556</v>
      </c>
      <c r="AR121" s="24" t="s">
        <v>556</v>
      </c>
    </row>
    <row r="122" spans="3:44">
      <c r="C122" s="609">
        <v>1</v>
      </c>
      <c r="D122" s="609">
        <v>1</v>
      </c>
      <c r="E122" s="609">
        <v>1</v>
      </c>
      <c r="F122" s="609">
        <v>1</v>
      </c>
      <c r="G122" s="609">
        <v>1</v>
      </c>
      <c r="H122" s="609">
        <v>1</v>
      </c>
      <c r="I122" s="609">
        <v>1</v>
      </c>
      <c r="J122" s="609">
        <v>1</v>
      </c>
      <c r="K122" s="609">
        <v>1</v>
      </c>
      <c r="L122" s="609">
        <v>1</v>
      </c>
      <c r="M122" s="609">
        <v>1</v>
      </c>
      <c r="N122" s="609">
        <v>1</v>
      </c>
      <c r="O122" s="609">
        <v>1</v>
      </c>
      <c r="P122" s="609">
        <v>1</v>
      </c>
      <c r="Q122" s="609">
        <v>1</v>
      </c>
      <c r="R122" s="609">
        <v>1</v>
      </c>
      <c r="S122" s="609">
        <v>1</v>
      </c>
      <c r="T122" s="609">
        <v>1</v>
      </c>
      <c r="U122" s="609">
        <v>1</v>
      </c>
      <c r="V122" s="609">
        <v>1</v>
      </c>
      <c r="W122" s="609">
        <v>1</v>
      </c>
      <c r="X122" s="609">
        <v>1</v>
      </c>
      <c r="Y122" s="609">
        <v>1</v>
      </c>
      <c r="Z122" s="609">
        <v>1</v>
      </c>
      <c r="AA122" s="609">
        <v>1</v>
      </c>
      <c r="AB122" s="609">
        <v>1</v>
      </c>
      <c r="AC122" s="609">
        <v>1</v>
      </c>
      <c r="AD122" s="609">
        <v>1</v>
      </c>
      <c r="AE122" s="609">
        <v>1</v>
      </c>
      <c r="AF122" s="777">
        <v>1</v>
      </c>
      <c r="AG122" s="609">
        <v>1</v>
      </c>
      <c r="AH122" s="609">
        <v>1</v>
      </c>
      <c r="AI122" s="609">
        <v>1</v>
      </c>
      <c r="AJ122" s="609">
        <v>1</v>
      </c>
      <c r="AK122" s="609">
        <v>1</v>
      </c>
      <c r="AL122" s="609">
        <v>1</v>
      </c>
      <c r="AM122" s="609">
        <v>1</v>
      </c>
      <c r="AN122" s="609">
        <v>1</v>
      </c>
      <c r="AO122" s="609">
        <v>1</v>
      </c>
      <c r="AP122" s="609">
        <v>1</v>
      </c>
      <c r="AQ122" s="609">
        <v>1</v>
      </c>
      <c r="AR122" s="609">
        <v>1</v>
      </c>
    </row>
    <row r="123" spans="3:44">
      <c r="Q123" s="99"/>
      <c r="T123" s="97"/>
      <c r="V123" s="22"/>
      <c r="W123" s="97"/>
      <c r="Y123" s="99"/>
    </row>
    <row r="124" spans="3:44">
      <c r="Q124" s="99"/>
      <c r="T124" s="97"/>
      <c r="V124" s="22"/>
      <c r="W124" s="97"/>
      <c r="Y124" s="99"/>
    </row>
    <row r="125" spans="3:44">
      <c r="C125" s="1052" t="s">
        <v>664</v>
      </c>
      <c r="D125" s="1052" t="s">
        <v>663</v>
      </c>
      <c r="O125" s="1195" t="s">
        <v>368</v>
      </c>
      <c r="P125" s="1195"/>
      <c r="Q125" s="166"/>
      <c r="R125" s="1196" t="s">
        <v>388</v>
      </c>
      <c r="S125" s="1197"/>
      <c r="T125" s="97"/>
      <c r="V125" s="22"/>
      <c r="W125" s="97"/>
      <c r="Y125" s="99"/>
    </row>
    <row r="126" spans="3:44">
      <c r="C126" s="22" t="s">
        <v>289</v>
      </c>
      <c r="D126" s="22">
        <v>120000</v>
      </c>
      <c r="M126" s="705"/>
      <c r="N126" s="163"/>
      <c r="O126" s="646" t="e">
        <f>'2025'!#REF!</f>
        <v>#REF!</v>
      </c>
      <c r="P126" s="647" t="e">
        <f>'2025'!#REF!</f>
        <v>#REF!</v>
      </c>
      <c r="Q126" s="166" t="e">
        <f>O126+P126</f>
        <v>#REF!</v>
      </c>
      <c r="R126" s="1198"/>
      <c r="S126" s="1199"/>
      <c r="T126" s="97"/>
      <c r="V126" s="22"/>
      <c r="W126" s="97"/>
      <c r="Y126" s="99"/>
    </row>
    <row r="127" spans="3:44">
      <c r="C127" s="22" t="s">
        <v>297</v>
      </c>
      <c r="D127" s="22">
        <v>30000</v>
      </c>
      <c r="O127" s="135"/>
      <c r="P127" s="135"/>
      <c r="Q127" s="166"/>
      <c r="R127" s="1200" t="e">
        <f>IF($Q$129&gt;$Q$126,O129,O126)</f>
        <v>#REF!</v>
      </c>
      <c r="S127" s="1200" t="e">
        <f>IF($Q$129&gt;$Q$126,P129,P126)</f>
        <v>#REF!</v>
      </c>
      <c r="T127" s="97"/>
      <c r="V127" s="22"/>
      <c r="W127" s="97"/>
      <c r="Y127" s="99"/>
    </row>
    <row r="128" spans="3:44">
      <c r="C128" s="22" t="s">
        <v>281</v>
      </c>
      <c r="D128" s="22">
        <v>40000</v>
      </c>
      <c r="O128" s="1195" t="s">
        <v>387</v>
      </c>
      <c r="P128" s="1195"/>
      <c r="Q128" s="166"/>
      <c r="R128" s="1201"/>
      <c r="S128" s="1201"/>
      <c r="T128" s="97"/>
      <c r="V128" s="22"/>
      <c r="W128" s="97"/>
      <c r="Y128" s="99"/>
    </row>
    <row r="129" spans="3:42">
      <c r="C129" s="22" t="s">
        <v>274</v>
      </c>
      <c r="D129" s="22">
        <v>40000</v>
      </c>
      <c r="O129" s="646" t="e">
        <f>'2025'!#REF!</f>
        <v>#REF!</v>
      </c>
      <c r="P129" s="647">
        <f>MONTH('2025'!B2)+1</f>
        <v>2</v>
      </c>
      <c r="Q129" s="166" t="e">
        <f>O129+P129</f>
        <v>#REF!</v>
      </c>
      <c r="R129" s="1202"/>
      <c r="S129" s="1202"/>
      <c r="T129" s="97"/>
      <c r="V129" s="22"/>
      <c r="W129" s="97"/>
      <c r="Y129" s="99"/>
    </row>
    <row r="130" spans="3:42">
      <c r="C130" s="22" t="s">
        <v>303</v>
      </c>
      <c r="D130" s="22">
        <v>30000</v>
      </c>
      <c r="Q130" s="99"/>
      <c r="T130" s="97"/>
      <c r="V130" s="22"/>
      <c r="W130" s="97"/>
      <c r="Y130" s="99"/>
    </row>
    <row r="131" spans="3:42">
      <c r="C131" s="22" t="s">
        <v>292</v>
      </c>
      <c r="T131" s="97"/>
      <c r="V131" s="22"/>
      <c r="W131" s="97"/>
      <c r="Y131" s="99"/>
    </row>
    <row r="132" spans="3:42">
      <c r="C132" s="22" t="s">
        <v>300</v>
      </c>
      <c r="T132" s="97"/>
      <c r="V132" s="22"/>
      <c r="W132" s="97"/>
      <c r="Y132" s="99"/>
    </row>
    <row r="133" spans="3:42">
      <c r="C133" s="22">
        <v>7</v>
      </c>
      <c r="Q133" s="99"/>
      <c r="T133" s="97"/>
      <c r="V133" s="22"/>
      <c r="W133" s="97"/>
      <c r="Y133" s="99"/>
    </row>
    <row r="134" spans="3:42">
      <c r="Q134" s="99"/>
      <c r="T134" s="97"/>
      <c r="V134" s="22"/>
      <c r="W134" s="97"/>
      <c r="Y134" s="99"/>
    </row>
    <row r="135" spans="3:42">
      <c r="Q135" s="99"/>
      <c r="T135" s="97"/>
      <c r="V135" s="22"/>
      <c r="W135" s="97"/>
      <c r="Y135" s="99"/>
    </row>
    <row r="136" spans="3:42">
      <c r="Q136" s="99"/>
      <c r="T136" s="97"/>
      <c r="V136" s="22"/>
      <c r="W136" s="97"/>
      <c r="Y136" s="99"/>
    </row>
    <row r="137" spans="3:42" ht="18">
      <c r="C137" s="22" t="s">
        <v>292</v>
      </c>
      <c r="D137" s="22" t="s">
        <v>291</v>
      </c>
      <c r="E137" s="643">
        <v>25000</v>
      </c>
      <c r="Q137" s="99"/>
      <c r="T137" s="97"/>
      <c r="V137" s="22"/>
      <c r="W137" s="791">
        <v>5063140</v>
      </c>
      <c r="X137" s="25">
        <f>(W137-W151)/W151</f>
        <v>5.1087283710984942E-2</v>
      </c>
      <c r="Y137" s="99"/>
    </row>
    <row r="138" spans="3:42">
      <c r="D138" s="22" t="s">
        <v>298</v>
      </c>
      <c r="E138" s="22">
        <v>30000</v>
      </c>
      <c r="Q138" s="99"/>
      <c r="T138" s="97"/>
      <c r="V138" s="22"/>
      <c r="W138" s="97"/>
      <c r="Y138" s="99"/>
    </row>
    <row r="139" spans="3:42">
      <c r="D139" s="22" t="s">
        <v>278</v>
      </c>
      <c r="E139" s="22">
        <v>35000</v>
      </c>
      <c r="Q139" s="99"/>
      <c r="T139" s="97"/>
      <c r="V139" s="22"/>
      <c r="W139" s="97"/>
      <c r="Y139" s="99"/>
    </row>
    <row r="140" spans="3:42">
      <c r="D140" s="22" t="s">
        <v>409</v>
      </c>
      <c r="E140" s="22">
        <v>40000</v>
      </c>
      <c r="Q140" s="99"/>
      <c r="T140" s="97"/>
      <c r="V140" s="22"/>
      <c r="W140" s="97"/>
      <c r="Y140" s="99"/>
    </row>
    <row r="141" spans="3:42">
      <c r="D141" s="22" t="s">
        <v>397</v>
      </c>
      <c r="E141" s="22">
        <v>45000</v>
      </c>
      <c r="Q141" s="99"/>
      <c r="T141" s="97"/>
      <c r="V141" s="22"/>
      <c r="W141" s="97"/>
      <c r="Y141" s="99"/>
    </row>
    <row r="142" spans="3:42">
      <c r="D142" s="22" t="s">
        <v>410</v>
      </c>
      <c r="E142" s="22">
        <v>50000</v>
      </c>
      <c r="Q142" s="99"/>
      <c r="T142" s="97"/>
      <c r="V142" s="22"/>
      <c r="W142" s="97"/>
      <c r="Y142" s="99"/>
    </row>
    <row r="143" spans="3:42">
      <c r="Q143" s="99"/>
      <c r="T143" s="97"/>
      <c r="V143" s="22"/>
      <c r="W143" s="25">
        <f>W151*(1+1.624%)</f>
        <v>4895278.892</v>
      </c>
      <c r="X143" s="25">
        <f t="shared" ref="X143:Y143" si="253">X151*(1+1.624%)</f>
        <v>4099298.7496000002</v>
      </c>
      <c r="Y143" s="25">
        <f t="shared" si="253"/>
        <v>3502308.5616000001</v>
      </c>
      <c r="AA143" s="772" t="s">
        <v>626</v>
      </c>
      <c r="AF143" s="781" t="s">
        <v>624</v>
      </c>
      <c r="AG143" s="25">
        <f>AG151*(1+1.624%)</f>
        <v>5544249.7560000001</v>
      </c>
      <c r="AH143" s="25">
        <f t="shared" ref="AH143:AI144" si="254">AH151*(1+1.624%)</f>
        <v>4642743.2520000003</v>
      </c>
      <c r="AI143" s="25">
        <f t="shared" si="254"/>
        <v>3966618.4552000002</v>
      </c>
      <c r="AK143" s="22" t="s">
        <v>632</v>
      </c>
      <c r="AL143" s="25">
        <f>AL151*(1+1.624%)</f>
        <v>6378694.5824000007</v>
      </c>
      <c r="AM143" s="25">
        <f t="shared" ref="AM143:AN144" si="255">AM151*(1+1.624%)</f>
        <v>5341509.8760000002</v>
      </c>
      <c r="AN143" s="25">
        <f t="shared" si="255"/>
        <v>4563618.8056000005</v>
      </c>
      <c r="AP143" s="22" t="s">
        <v>631</v>
      </c>
    </row>
    <row r="144" spans="3:42">
      <c r="Q144" s="99"/>
      <c r="T144" s="97"/>
      <c r="V144" s="22"/>
      <c r="W144" s="25">
        <f>W152*(1+1.624%)</f>
        <v>4974799.6720000003</v>
      </c>
      <c r="X144" s="25">
        <f t="shared" ref="X144:Y144" si="256">X152*(1+1.624%)</f>
        <v>4165892.9568000003</v>
      </c>
      <c r="Y144" s="25">
        <f t="shared" si="256"/>
        <v>3559207.8392000003</v>
      </c>
      <c r="AG144" s="25">
        <f>AG152*(1+1.624%)</f>
        <v>5634268.2952000005</v>
      </c>
      <c r="AH144" s="25">
        <f t="shared" si="254"/>
        <v>4718127.9352000002</v>
      </c>
      <c r="AI144" s="25">
        <f t="shared" si="254"/>
        <v>4031017.5840000003</v>
      </c>
      <c r="AL144" s="25">
        <f>AL152*(1+1.624%)</f>
        <v>6482340.9000000004</v>
      </c>
      <c r="AM144" s="25">
        <f t="shared" si="255"/>
        <v>5428306.9344000006</v>
      </c>
      <c r="AN144" s="25">
        <f t="shared" si="255"/>
        <v>4637773.8383999998</v>
      </c>
    </row>
    <row r="145" spans="3:42">
      <c r="C145" s="1096" t="s">
        <v>340</v>
      </c>
      <c r="D145" s="1096"/>
      <c r="E145" s="1096"/>
      <c r="F145" s="1096"/>
      <c r="Q145" s="99"/>
      <c r="T145" s="97"/>
      <c r="V145" s="22"/>
      <c r="W145" s="967" t="s">
        <v>557</v>
      </c>
      <c r="X145" s="967"/>
      <c r="Y145" s="967"/>
      <c r="Z145" s="967"/>
      <c r="AA145" s="963" t="s">
        <v>630</v>
      </c>
      <c r="AB145" s="982" t="s">
        <v>531</v>
      </c>
      <c r="AC145" s="982"/>
      <c r="AD145" s="982"/>
      <c r="AE145" s="982"/>
      <c r="AF145" s="982"/>
      <c r="AG145" s="996" t="s">
        <v>574</v>
      </c>
      <c r="AH145" s="996"/>
      <c r="AI145" s="996"/>
      <c r="AJ145" s="996"/>
      <c r="AK145" s="996"/>
      <c r="AL145" s="1011" t="s">
        <v>537</v>
      </c>
      <c r="AM145" s="1011"/>
      <c r="AN145" s="1011"/>
      <c r="AO145" s="1011"/>
      <c r="AP145" s="1011"/>
    </row>
    <row r="146" spans="3:42">
      <c r="D146" s="22" t="s">
        <v>520</v>
      </c>
      <c r="E146" s="22" t="s">
        <v>524</v>
      </c>
      <c r="F146" s="22" t="s">
        <v>519</v>
      </c>
      <c r="G146" s="22" t="s">
        <v>526</v>
      </c>
      <c r="H146" s="22" t="s">
        <v>521</v>
      </c>
      <c r="I146" s="22" t="s">
        <v>530</v>
      </c>
      <c r="J146" s="22" t="s">
        <v>528</v>
      </c>
      <c r="K146" s="22" t="s">
        <v>534</v>
      </c>
      <c r="L146" s="22" t="s">
        <v>522</v>
      </c>
      <c r="M146" s="22" t="s">
        <v>551</v>
      </c>
      <c r="N146" s="22" t="s">
        <v>517</v>
      </c>
      <c r="O146" s="22" t="s">
        <v>525</v>
      </c>
      <c r="P146" s="22" t="s">
        <v>510</v>
      </c>
      <c r="Q146" s="99"/>
      <c r="U146" s="25" t="s">
        <v>332</v>
      </c>
      <c r="V146" s="601">
        <v>3</v>
      </c>
      <c r="W146" s="968">
        <f>W149*(1+V150)</f>
        <v>4830335.5600000005</v>
      </c>
      <c r="X146" s="969">
        <f>X149*(1+V150)</f>
        <v>4035218.68</v>
      </c>
      <c r="Y146" s="970">
        <f>Y149*(1+V150)</f>
        <v>3438875.88</v>
      </c>
      <c r="Z146" s="971">
        <v>5</v>
      </c>
      <c r="AA146" s="964"/>
      <c r="AB146" s="983"/>
      <c r="AC146" s="983"/>
      <c r="AD146" s="983"/>
      <c r="AE146" s="983"/>
      <c r="AF146" s="983"/>
      <c r="AG146" s="997"/>
      <c r="AH146" s="997"/>
      <c r="AI146" s="998"/>
      <c r="AJ146" s="998"/>
      <c r="AK146" s="998"/>
      <c r="AL146" s="1012"/>
      <c r="AM146" s="1012"/>
      <c r="AN146" s="1012"/>
      <c r="AO146" s="1012"/>
      <c r="AP146" s="1012"/>
    </row>
    <row r="147" spans="3:42">
      <c r="C147" s="675">
        <f ca="1">VALUE('2025'!$D$1)</f>
        <v>2025</v>
      </c>
      <c r="D147" s="678">
        <f ca="1">VLOOKUP('2025'!B26-100000-'2025'!C17,'2015 근로소득 간이세액표'!$C$4:$N$845,3)</f>
        <v>291670</v>
      </c>
      <c r="E147" s="678">
        <f ca="1">VLOOKUP('2025'!C26-100000-'2025'!D17,'2015 근로소득 간이세액표'!$C$4:$N$845,3)</f>
        <v>66060</v>
      </c>
      <c r="F147" s="678">
        <f ca="1">VLOOKUP('2025'!D26-100000-'2025'!E17,'2015 근로소득 간이세액표'!$C$4:$N$845,3)</f>
        <v>802480</v>
      </c>
      <c r="G147" s="678">
        <f ca="1">VLOOKUP('2025'!E26-100000-'2025'!F17,'2015 근로소득 간이세액표'!$C$4:$N$845,3)</f>
        <v>75900</v>
      </c>
      <c r="H147" s="678">
        <f ca="1">VLOOKUP('2025'!F26-100000-'2025'!G17,'2015 근로소득 간이세액표'!$C$4:$N$845,3)</f>
        <v>75900</v>
      </c>
      <c r="I147" s="678">
        <f ca="1">VLOOKUP('2025'!G26-100000-'2025'!H17,'2015 근로소득 간이세액표'!$C$4:$N$845,3)</f>
        <v>75900</v>
      </c>
      <c r="J147" s="678">
        <f ca="1">VLOOKUP('2025'!H26-100000-'2025'!I17,'2015 근로소득 간이세액표'!$C$4:$N$845,3)</f>
        <v>129440</v>
      </c>
      <c r="K147" s="678">
        <f ca="1">VLOOKUP('2025'!I26-100000-'2025'!J17,'2015 근로소득 간이세액표'!$C$4:$N$845,3)</f>
        <v>72480</v>
      </c>
      <c r="L147" s="678">
        <f ca="1">VLOOKUP('2025'!J26-100000-'2025'!K17,'2015 근로소득 간이세액표'!$C$4:$N$845,3)</f>
        <v>82750</v>
      </c>
      <c r="M147" s="706">
        <f ca="1">VLOOKUP('2025'!K26-100000-'2025'!L17,'2015 근로소득 간이세액표'!$C$4:$N$845,3)</f>
        <v>291670</v>
      </c>
      <c r="N147" s="678">
        <f ca="1">VLOOKUP('2025'!L26-100000-'2025'!M17,'2015 근로소득 간이세액표'!$C$4:$N$845,3)</f>
        <v>86170</v>
      </c>
      <c r="O147" s="678">
        <f ca="1">VLOOKUP('2025'!M26-100000-'2025'!N17,'2015 근로소득 간이세액표'!$C$4:$N$845,3)</f>
        <v>29280</v>
      </c>
      <c r="P147" s="679">
        <f ca="1">SUM(D147:O147)</f>
        <v>2079700</v>
      </c>
      <c r="Q147" s="99"/>
      <c r="T147" s="25">
        <v>1</v>
      </c>
      <c r="U147" s="25">
        <v>2</v>
      </c>
      <c r="V147" s="25">
        <v>3</v>
      </c>
      <c r="W147" s="972">
        <v>4</v>
      </c>
      <c r="X147" s="973">
        <v>5</v>
      </c>
      <c r="Y147" s="970">
        <v>6</v>
      </c>
      <c r="Z147" s="970">
        <v>7</v>
      </c>
      <c r="AA147" s="964">
        <v>8</v>
      </c>
      <c r="AB147" s="984">
        <v>9</v>
      </c>
      <c r="AC147" s="985">
        <v>10</v>
      </c>
      <c r="AD147" s="984">
        <v>11</v>
      </c>
      <c r="AE147" s="985">
        <v>12</v>
      </c>
      <c r="AF147" s="984">
        <v>13</v>
      </c>
      <c r="AG147" s="999">
        <v>14</v>
      </c>
      <c r="AH147" s="1000">
        <v>15</v>
      </c>
      <c r="AI147" s="999">
        <v>16</v>
      </c>
      <c r="AJ147" s="1000">
        <v>17</v>
      </c>
      <c r="AK147" s="999">
        <v>18</v>
      </c>
      <c r="AL147" s="1013">
        <v>19</v>
      </c>
      <c r="AM147" s="1014">
        <v>20</v>
      </c>
      <c r="AN147" s="1013">
        <v>21</v>
      </c>
      <c r="AO147" s="1014">
        <v>22</v>
      </c>
      <c r="AP147" s="1013">
        <v>23</v>
      </c>
    </row>
    <row r="148" spans="3:42" ht="18">
      <c r="C148" s="675">
        <f ca="1">VALUE('2026'!$D$1)</f>
        <v>2026</v>
      </c>
      <c r="D148" s="678" t="e">
        <f ca="1">VLOOKUP('2025'!B27-100000-'2025'!C18,'2015 근로소득 간이세액표'!$C$4:$N$845,3)</f>
        <v>#N/A</v>
      </c>
      <c r="E148" s="678" t="e">
        <f ca="1">VLOOKUP('2025'!C27-100000-'2025'!D18,'2015 근로소득 간이세액표'!$C$4:$N$845,3)</f>
        <v>#N/A</v>
      </c>
      <c r="F148" s="678" t="e">
        <f ca="1">VLOOKUP('2025'!D27-100000-'2025'!E18,'2015 근로소득 간이세액표'!$C$4:$N$845,3)</f>
        <v>#N/A</v>
      </c>
      <c r="G148" s="678" t="e">
        <f ca="1">VLOOKUP('2025'!E27-100000-'2025'!F18,'2015 근로소득 간이세액표'!$C$4:$N$845,3)</f>
        <v>#N/A</v>
      </c>
      <c r="H148" s="678" t="e">
        <f ca="1">VLOOKUP('2025'!F27-100000-'2025'!G18,'2015 근로소득 간이세액표'!$C$4:$N$845,3)</f>
        <v>#N/A</v>
      </c>
      <c r="I148" s="678" t="e">
        <f ca="1">VLOOKUP('2025'!G27-100000-'2025'!H18,'2015 근로소득 간이세액표'!$C$4:$N$845,3)</f>
        <v>#N/A</v>
      </c>
      <c r="J148" s="678" t="e">
        <f ca="1">VLOOKUP('2025'!H27-100000-'2025'!I18,'2015 근로소득 간이세액표'!$C$4:$N$845,3)</f>
        <v>#N/A</v>
      </c>
      <c r="K148" s="678" t="e">
        <f ca="1">VLOOKUP('2025'!I27-100000-'2025'!J18,'2015 근로소득 간이세액표'!$C$4:$N$845,3)</f>
        <v>#N/A</v>
      </c>
      <c r="L148" s="678" t="e">
        <f ca="1">VLOOKUP('2025'!J27-100000-'2025'!K18,'2015 근로소득 간이세액표'!$C$4:$N$845,3)</f>
        <v>#N/A</v>
      </c>
      <c r="M148" s="706" t="e">
        <f ca="1">VLOOKUP('2025'!K27-100000-'2025'!L18,'2015 근로소득 간이세액표'!$C$4:$N$845,3)</f>
        <v>#N/A</v>
      </c>
      <c r="N148" s="678" t="e">
        <f ca="1">VLOOKUP('2025'!L27-100000-'2025'!M18,'2015 근로소득 간이세액표'!$C$4:$N$845,3)</f>
        <v>#N/A</v>
      </c>
      <c r="O148" s="678" t="e">
        <f ca="1">VLOOKUP('2025'!M27-100000-'2025'!N18,'2015 근로소득 간이세액표'!$C$4:$N$845,3)</f>
        <v>#N/A</v>
      </c>
      <c r="P148" s="679" t="e">
        <f t="shared" ref="P148:P156" ca="1" si="257">SUM(D148:O148)</f>
        <v>#N/A</v>
      </c>
      <c r="Q148" s="99"/>
      <c r="T148" s="42" t="s">
        <v>500</v>
      </c>
      <c r="U148" s="24" t="s">
        <v>635</v>
      </c>
      <c r="V148" s="142" t="s">
        <v>636</v>
      </c>
      <c r="W148" s="974" t="s">
        <v>506</v>
      </c>
      <c r="X148" s="974" t="s">
        <v>501</v>
      </c>
      <c r="Y148" s="974" t="s">
        <v>515</v>
      </c>
      <c r="Z148" s="975"/>
      <c r="AA148" s="965" t="s">
        <v>370</v>
      </c>
      <c r="AB148" s="986" t="s">
        <v>506</v>
      </c>
      <c r="AC148" s="986" t="s">
        <v>501</v>
      </c>
      <c r="AD148" s="986" t="s">
        <v>515</v>
      </c>
      <c r="AE148" s="987"/>
      <c r="AF148" s="995" t="s">
        <v>347</v>
      </c>
      <c r="AG148" s="1001" t="s">
        <v>506</v>
      </c>
      <c r="AH148" s="1001" t="s">
        <v>501</v>
      </c>
      <c r="AI148" s="1001" t="s">
        <v>515</v>
      </c>
      <c r="AJ148" s="1002"/>
      <c r="AK148" s="1003" t="s">
        <v>367</v>
      </c>
      <c r="AL148" s="1015" t="s">
        <v>506</v>
      </c>
      <c r="AM148" s="1015" t="s">
        <v>501</v>
      </c>
      <c r="AN148" s="1015" t="s">
        <v>515</v>
      </c>
      <c r="AO148" s="1016"/>
      <c r="AP148" s="1017" t="s">
        <v>369</v>
      </c>
    </row>
    <row r="149" spans="3:42" ht="18">
      <c r="C149" s="675">
        <f ca="1">VALUE('2027'!$D$1)</f>
        <v>2027</v>
      </c>
      <c r="D149" s="678" t="e">
        <f ca="1">VLOOKUP('2025'!B28-100000-'2025'!C19,'2015 근로소득 간이세액표'!$C$4:$N$845,3)</f>
        <v>#N/A</v>
      </c>
      <c r="E149" s="678" t="e">
        <f ca="1">VLOOKUP('2025'!C28-100000-'2025'!D19,'2015 근로소득 간이세액표'!$C$4:$N$845,3)</f>
        <v>#N/A</v>
      </c>
      <c r="F149" s="678" t="e">
        <f ca="1">VLOOKUP('2025'!D28-100000-'2025'!E19,'2015 근로소득 간이세액표'!$C$4:$N$845,3)</f>
        <v>#N/A</v>
      </c>
      <c r="G149" s="678" t="e">
        <f ca="1">VLOOKUP('2025'!E28-100000-'2025'!F19,'2015 근로소득 간이세액표'!$C$4:$N$845,3)</f>
        <v>#N/A</v>
      </c>
      <c r="H149" s="678" t="e">
        <f ca="1">VLOOKUP('2025'!F28-100000-'2025'!G19,'2015 근로소득 간이세액표'!$C$4:$N$845,3)</f>
        <v>#N/A</v>
      </c>
      <c r="I149" s="678" t="e">
        <f ca="1">VLOOKUP('2025'!G28-100000-'2025'!H19,'2015 근로소득 간이세액표'!$C$4:$N$845,3)</f>
        <v>#N/A</v>
      </c>
      <c r="J149" s="678" t="e">
        <f ca="1">VLOOKUP('2025'!H28-100000-'2025'!I19,'2015 근로소득 간이세액표'!$C$4:$N$845,3)</f>
        <v>#N/A</v>
      </c>
      <c r="K149" s="678" t="e">
        <f ca="1">VLOOKUP('2025'!I28-100000-'2025'!J19,'2015 근로소득 간이세액표'!$C$4:$N$845,3)</f>
        <v>#N/A</v>
      </c>
      <c r="L149" s="678" t="e">
        <f ca="1">VLOOKUP('2025'!J28-100000-'2025'!K19,'2015 근로소득 간이세액표'!$C$4:$N$845,3)</f>
        <v>#N/A</v>
      </c>
      <c r="M149" s="706" t="e">
        <f ca="1">VLOOKUP('2025'!K28-100000-'2025'!L19,'2015 근로소득 간이세액표'!$C$4:$N$845,3)</f>
        <v>#N/A</v>
      </c>
      <c r="N149" s="678" t="e">
        <f ca="1">VLOOKUP('2025'!L28-100000-'2025'!M19,'2015 근로소득 간이세액표'!$C$4:$N$845,3)</f>
        <v>#N/A</v>
      </c>
      <c r="O149" s="678" t="e">
        <f ca="1">VLOOKUP('2025'!M28-100000-'2025'!N19,'2015 근로소득 간이세액표'!$C$4:$N$845,3)</f>
        <v>#N/A</v>
      </c>
      <c r="P149" s="679" t="e">
        <f t="shared" ca="1" si="257"/>
        <v>#N/A</v>
      </c>
      <c r="Q149" s="99"/>
      <c r="T149" s="160" t="s">
        <v>201</v>
      </c>
      <c r="U149" s="1043">
        <v>2.8000000000000004E-2</v>
      </c>
      <c r="V149" s="143"/>
      <c r="W149" s="976">
        <v>4698770</v>
      </c>
      <c r="X149" s="976">
        <v>3925310</v>
      </c>
      <c r="Y149" s="976">
        <v>3345210</v>
      </c>
      <c r="Z149" s="977">
        <v>0</v>
      </c>
      <c r="AA149" s="966">
        <v>3621200</v>
      </c>
      <c r="AB149" s="988">
        <v>2896330</v>
      </c>
      <c r="AC149" s="988">
        <v>2419560</v>
      </c>
      <c r="AD149" s="988">
        <v>2061990</v>
      </c>
      <c r="AE149" s="989">
        <v>0</v>
      </c>
      <c r="AF149" s="990">
        <v>2455300</v>
      </c>
      <c r="AG149" s="1004">
        <v>5321730</v>
      </c>
      <c r="AH149" s="1004">
        <v>4445720</v>
      </c>
      <c r="AI149" s="1004">
        <v>3788720</v>
      </c>
      <c r="AJ149" s="1005">
        <v>0</v>
      </c>
      <c r="AK149" s="1006">
        <v>4101300</v>
      </c>
      <c r="AL149" s="1018">
        <v>6122720</v>
      </c>
      <c r="AM149" s="1018">
        <v>5114870</v>
      </c>
      <c r="AN149" s="1018">
        <v>4358970</v>
      </c>
      <c r="AO149" s="1019">
        <v>0</v>
      </c>
      <c r="AP149" s="1020">
        <v>4718600</v>
      </c>
    </row>
    <row r="150" spans="3:42" ht="18">
      <c r="C150" s="675">
        <f ca="1">VALUE('2028'!$D$1)</f>
        <v>2028</v>
      </c>
      <c r="D150" s="678" t="e">
        <f ca="1">VLOOKUP('2025'!B29-100000-'2025'!C20,'2015 근로소득 간이세액표'!$C$4:$N$845,3)</f>
        <v>#N/A</v>
      </c>
      <c r="E150" s="678" t="e">
        <f ca="1">VLOOKUP('2025'!C29-100000-'2025'!D20,'2015 근로소득 간이세액표'!$C$4:$N$845,3)</f>
        <v>#N/A</v>
      </c>
      <c r="F150" s="678" t="e">
        <f ca="1">VLOOKUP('2025'!D29-100000-'2025'!E20,'2015 근로소득 간이세액표'!$C$4:$N$845,3)</f>
        <v>#N/A</v>
      </c>
      <c r="G150" s="678" t="e">
        <f ca="1">VLOOKUP('2025'!E29-100000-'2025'!F20,'2015 근로소득 간이세액표'!$C$4:$N$845,3)</f>
        <v>#N/A</v>
      </c>
      <c r="H150" s="678" t="e">
        <f ca="1">VLOOKUP('2025'!F29-100000-'2025'!G20,'2015 근로소득 간이세액표'!$C$4:$N$845,3)</f>
        <v>#N/A</v>
      </c>
      <c r="I150" s="678" t="e">
        <f ca="1">VLOOKUP('2025'!G29-100000-'2025'!H20,'2015 근로소득 간이세액표'!$C$4:$N$845,3)</f>
        <v>#N/A</v>
      </c>
      <c r="J150" s="678" t="e">
        <f ca="1">VLOOKUP('2025'!H29-100000-'2025'!I20,'2015 근로소득 간이세액표'!$C$4:$N$845,3)</f>
        <v>#N/A</v>
      </c>
      <c r="K150" s="678" t="e">
        <f ca="1">VLOOKUP('2025'!I29-100000-'2025'!J20,'2015 근로소득 간이세액표'!$C$4:$N$845,3)</f>
        <v>#N/A</v>
      </c>
      <c r="L150" s="678" t="e">
        <f ca="1">VLOOKUP('2025'!J29-100000-'2025'!K20,'2015 근로소득 간이세액표'!$C$4:$N$845,3)</f>
        <v>#N/A</v>
      </c>
      <c r="M150" s="706" t="e">
        <f ca="1">VLOOKUP('2025'!K29-100000-'2025'!L20,'2015 근로소득 간이세액표'!$C$4:$N$845,3)</f>
        <v>#N/A</v>
      </c>
      <c r="N150" s="678" t="e">
        <f ca="1">VLOOKUP('2025'!L29-100000-'2025'!M20,'2015 근로소득 간이세액표'!$C$4:$N$845,3)</f>
        <v>#N/A</v>
      </c>
      <c r="O150" s="678" t="e">
        <f ca="1">VLOOKUP('2025'!M29-100000-'2025'!N20,'2015 근로소득 간이세액표'!$C$4:$N$845,3)</f>
        <v>#N/A</v>
      </c>
      <c r="P150" s="679" t="e">
        <f t="shared" ca="1" si="257"/>
        <v>#N/A</v>
      </c>
      <c r="Q150" s="99"/>
      <c r="T150" s="792" t="s">
        <v>121</v>
      </c>
      <c r="U150" s="1044">
        <v>8.9999999999999993E-3</v>
      </c>
      <c r="V150" s="793">
        <v>2.8000000000000004E-2</v>
      </c>
      <c r="W150" s="976">
        <v>4768550</v>
      </c>
      <c r="X150" s="976">
        <v>3993170</v>
      </c>
      <c r="Y150" s="976">
        <v>3411640</v>
      </c>
      <c r="Z150" s="977">
        <v>0</v>
      </c>
      <c r="AA150" s="966">
        <v>3735900</v>
      </c>
      <c r="AB150" s="988">
        <v>3057710</v>
      </c>
      <c r="AC150" s="988">
        <v>2560520</v>
      </c>
      <c r="AD150" s="988">
        <v>2187630</v>
      </c>
      <c r="AE150" s="989">
        <v>0</v>
      </c>
      <c r="AF150" s="990">
        <v>2533100</v>
      </c>
      <c r="AG150" s="1004">
        <v>5400760</v>
      </c>
      <c r="AH150" s="1004">
        <v>4522590</v>
      </c>
      <c r="AI150" s="1004">
        <v>3863960</v>
      </c>
      <c r="AJ150" s="1005">
        <v>0</v>
      </c>
      <c r="AK150" s="1006">
        <v>4231200</v>
      </c>
      <c r="AL150" s="1018">
        <v>6213650</v>
      </c>
      <c r="AM150" s="1018">
        <v>5203420</v>
      </c>
      <c r="AN150" s="1018">
        <v>4445490</v>
      </c>
      <c r="AO150" s="1019">
        <v>0</v>
      </c>
      <c r="AP150" s="1020">
        <v>4868000</v>
      </c>
    </row>
    <row r="151" spans="3:42" ht="18">
      <c r="C151" s="675">
        <f ca="1">VALUE('2029'!$D$1)</f>
        <v>2029</v>
      </c>
      <c r="D151" s="678" t="e">
        <f>VLOOKUP('2025'!B30-100000-'2025'!C21,'2015 근로소득 간이세액표'!$C$4:$N$845,3)</f>
        <v>#N/A</v>
      </c>
      <c r="E151" s="678" t="e">
        <f>VLOOKUP('2025'!C30-100000-'2025'!D21,'2015 근로소득 간이세액표'!$C$4:$N$845,3)</f>
        <v>#N/A</v>
      </c>
      <c r="F151" s="678" t="e">
        <f>VLOOKUP('2025'!D30-100000-'2025'!E21,'2015 근로소득 간이세액표'!$C$4:$N$845,3)</f>
        <v>#N/A</v>
      </c>
      <c r="G151" s="678" t="e">
        <f>VLOOKUP('2025'!E30-100000-'2025'!F21,'2015 근로소득 간이세액표'!$C$4:$N$845,3)</f>
        <v>#N/A</v>
      </c>
      <c r="H151" s="678" t="e">
        <f>VLOOKUP('2025'!F30-100000-'2025'!G21,'2015 근로소득 간이세액표'!$C$4:$N$845,3)</f>
        <v>#N/A</v>
      </c>
      <c r="I151" s="678" t="e">
        <f>VLOOKUP('2025'!G30-100000-'2025'!H21,'2015 근로소득 간이세액표'!$C$4:$N$845,3)</f>
        <v>#N/A</v>
      </c>
      <c r="J151" s="678" t="e">
        <f>VLOOKUP('2025'!H30-100000-'2025'!I21,'2015 근로소득 간이세액표'!$C$4:$N$845,3)</f>
        <v>#N/A</v>
      </c>
      <c r="K151" s="678" t="e">
        <f>VLOOKUP('2025'!I30-100000-'2025'!J21,'2015 근로소득 간이세액표'!$C$4:$N$845,3)</f>
        <v>#N/A</v>
      </c>
      <c r="L151" s="678" t="e">
        <f>VLOOKUP('2025'!J30-100000-'2025'!K21,'2015 근로소득 간이세액표'!$C$4:$N$845,3)</f>
        <v>#N/A</v>
      </c>
      <c r="M151" s="706" t="e">
        <f>VLOOKUP('2025'!K30-100000-'2025'!L21,'2015 근로소득 간이세액표'!$C$4:$N$845,3)</f>
        <v>#N/A</v>
      </c>
      <c r="N151" s="678" t="e">
        <f>VLOOKUP('2025'!L30-100000-'2025'!M21,'2015 근로소득 간이세액표'!$C$4:$N$845,3)</f>
        <v>#N/A</v>
      </c>
      <c r="O151" s="678" t="e">
        <f>VLOOKUP('2025'!M30-100000-'2025'!N21,'2015 근로소득 간이세액표'!$C$4:$N$845,3)</f>
        <v>#N/A</v>
      </c>
      <c r="P151" s="679" t="e">
        <f t="shared" si="257"/>
        <v>#N/A</v>
      </c>
      <c r="Q151" s="99"/>
      <c r="T151" s="160" t="s">
        <v>136</v>
      </c>
      <c r="U151" s="1045">
        <v>1.4E-2</v>
      </c>
      <c r="V151" s="144">
        <v>8.9999999999999993E-3</v>
      </c>
      <c r="W151" s="978">
        <f t="shared" ref="W151:W153" si="258">ROUND(W150*AA151/AA150,-1)</f>
        <v>4817050</v>
      </c>
      <c r="X151" s="978">
        <f t="shared" ref="X151:X209" si="259">ROUND(X150*AA151/AA150,-1)</f>
        <v>4033790</v>
      </c>
      <c r="Y151" s="978">
        <f t="shared" ref="Y151:Y209" si="260">ROUND(Y150*AA151/AA150,-1)</f>
        <v>3446340</v>
      </c>
      <c r="Z151" s="979">
        <v>0</v>
      </c>
      <c r="AA151" s="966">
        <v>3773900</v>
      </c>
      <c r="AB151" s="991">
        <v>3088800</v>
      </c>
      <c r="AC151" s="991">
        <v>2586560</v>
      </c>
      <c r="AD151" s="991">
        <v>2209870</v>
      </c>
      <c r="AE151" s="992">
        <v>0</v>
      </c>
      <c r="AF151" s="990">
        <v>2558800</v>
      </c>
      <c r="AG151" s="1007">
        <f t="shared" ref="AG151:AG153" si="261">ROUND(AG150*AK151/AK150,-1)</f>
        <v>5455650</v>
      </c>
      <c r="AH151" s="1007">
        <f t="shared" ref="AH151:AH209" si="262">ROUND(AH150*AK151/AK150,-1)</f>
        <v>4568550</v>
      </c>
      <c r="AI151" s="1007">
        <f t="shared" ref="AI151:AI209" si="263">ROUND(AI150*AK151/AK150,-1)</f>
        <v>3903230</v>
      </c>
      <c r="AJ151" s="1008">
        <v>0</v>
      </c>
      <c r="AK151" s="1006">
        <v>4274200</v>
      </c>
      <c r="AL151" s="1021">
        <v>6276760</v>
      </c>
      <c r="AM151" s="1021">
        <v>5256150</v>
      </c>
      <c r="AN151" s="1021">
        <v>4490690</v>
      </c>
      <c r="AO151" s="1022">
        <v>0</v>
      </c>
      <c r="AP151" s="1020">
        <v>4917500</v>
      </c>
    </row>
    <row r="152" spans="3:42" ht="27">
      <c r="C152" s="675">
        <f ca="1">VALUE('2030'!$D$1)</f>
        <v>2030</v>
      </c>
      <c r="D152" s="678" t="e">
        <f>VLOOKUP('2025'!B31-100000-'2025'!C22,'2015 근로소득 간이세액표'!$C$4:$N$845,3)</f>
        <v>#N/A</v>
      </c>
      <c r="E152" s="678" t="e">
        <f>VLOOKUP('2025'!C31-100000-'2025'!D22,'2015 근로소득 간이세액표'!$C$4:$N$845,3)</f>
        <v>#N/A</v>
      </c>
      <c r="F152" s="678" t="e">
        <f>VLOOKUP('2025'!D31-100000-'2025'!E22,'2015 근로소득 간이세액표'!$C$4:$N$845,3)</f>
        <v>#N/A</v>
      </c>
      <c r="G152" s="678" t="e">
        <f>VLOOKUP('2025'!E31-100000-'2025'!F22,'2015 근로소득 간이세액표'!$C$4:$N$845,3)</f>
        <v>#N/A</v>
      </c>
      <c r="H152" s="678" t="e">
        <f>VLOOKUP('2025'!F31-100000-'2025'!G22,'2015 근로소득 간이세액표'!$C$4:$N$845,3)</f>
        <v>#N/A</v>
      </c>
      <c r="I152" s="678" t="e">
        <f>VLOOKUP('2025'!G31-100000-'2025'!H22,'2015 근로소득 간이세액표'!$C$4:$N$845,3)</f>
        <v>#N/A</v>
      </c>
      <c r="J152" s="678" t="e">
        <f>VLOOKUP('2025'!H31-100000-'2025'!I22,'2015 근로소득 간이세액표'!$C$4:$N$845,3)</f>
        <v>#N/A</v>
      </c>
      <c r="K152" s="678" t="e">
        <f>VLOOKUP('2025'!I31-100000-'2025'!J22,'2015 근로소득 간이세액표'!$C$4:$N$845,3)</f>
        <v>#N/A</v>
      </c>
      <c r="L152" s="678" t="e">
        <f>VLOOKUP('2025'!J31-100000-'2025'!K22,'2015 근로소득 간이세액표'!$C$4:$N$845,3)</f>
        <v>#N/A</v>
      </c>
      <c r="M152" s="706" t="e">
        <f>VLOOKUP('2025'!K31-100000-'2025'!L22,'2015 근로소득 간이세액표'!$C$4:$N$845,3)</f>
        <v>#N/A</v>
      </c>
      <c r="N152" s="678" t="e">
        <f>VLOOKUP('2025'!L31-100000-'2025'!M22,'2015 근로소득 간이세액표'!$C$4:$N$845,3)</f>
        <v>#N/A</v>
      </c>
      <c r="O152" s="678" t="e">
        <f>VLOOKUP('2025'!M31-100000-'2025'!N22,'2015 근로소득 간이세액표'!$C$4:$N$845,3)</f>
        <v>#N/A</v>
      </c>
      <c r="P152" s="679" t="e">
        <f t="shared" si="257"/>
        <v>#N/A</v>
      </c>
      <c r="Q152" s="99"/>
      <c r="S152" s="788" t="s">
        <v>576</v>
      </c>
      <c r="T152" s="789" t="s">
        <v>137</v>
      </c>
      <c r="U152" s="1046">
        <v>1.7000000000000001E-2</v>
      </c>
      <c r="V152" s="790">
        <v>1.4E-2</v>
      </c>
      <c r="W152" s="980">
        <v>4895300</v>
      </c>
      <c r="X152" s="980">
        <v>4099320</v>
      </c>
      <c r="Y152" s="980">
        <v>3502330</v>
      </c>
      <c r="Z152" s="981">
        <v>0</v>
      </c>
      <c r="AA152" s="1024">
        <v>3835200</v>
      </c>
      <c r="AB152" s="993">
        <f>ROUND(AB151*AF152/AF151,-1)</f>
        <v>3139020</v>
      </c>
      <c r="AC152" s="993">
        <f>ROUND(AC151*AF152/AF151,-1)</f>
        <v>2628610</v>
      </c>
      <c r="AD152" s="993">
        <f>ROUND(AD151*AF152/AF151,-1)</f>
        <v>2245800</v>
      </c>
      <c r="AE152" s="994">
        <v>0</v>
      </c>
      <c r="AF152" s="1025">
        <v>2600400</v>
      </c>
      <c r="AG152" s="1009">
        <v>5544230</v>
      </c>
      <c r="AH152" s="1009">
        <v>4642730</v>
      </c>
      <c r="AI152" s="1009">
        <v>3966600</v>
      </c>
      <c r="AJ152" s="1010">
        <v>0</v>
      </c>
      <c r="AK152" s="1026">
        <v>4343600</v>
      </c>
      <c r="AL152" s="1023">
        <v>6378750</v>
      </c>
      <c r="AM152" s="1023">
        <v>5341560</v>
      </c>
      <c r="AN152" s="1023">
        <v>4563660</v>
      </c>
      <c r="AO152" s="1028">
        <v>0</v>
      </c>
      <c r="AP152" s="1027">
        <v>4997400</v>
      </c>
    </row>
    <row r="153" spans="3:42" ht="27">
      <c r="C153" s="675">
        <f ca="1">VALUE('2031'!$D$1)</f>
        <v>2031</v>
      </c>
      <c r="D153" s="678" t="e">
        <f>VLOOKUP('2025'!B32-100000-'2025'!C23,'2015 근로소득 간이세액표'!$C$4:$N$845,3)</f>
        <v>#N/A</v>
      </c>
      <c r="E153" s="678" t="e">
        <f>VLOOKUP('2025'!C32-100000-'2025'!D23,'2015 근로소득 간이세액표'!$C$4:$N$845,3)</f>
        <v>#N/A</v>
      </c>
      <c r="F153" s="678" t="e">
        <f>VLOOKUP('2025'!D32-100000-'2025'!E23,'2015 근로소득 간이세액표'!$C$4:$N$845,3)</f>
        <v>#N/A</v>
      </c>
      <c r="G153" s="678" t="e">
        <f>VLOOKUP('2025'!E32-100000-'2025'!F23,'2015 근로소득 간이세액표'!$C$4:$N$845,3)</f>
        <v>#N/A</v>
      </c>
      <c r="H153" s="678" t="e">
        <f>VLOOKUP('2025'!F32-100000-'2025'!G23,'2015 근로소득 간이세액표'!$C$4:$N$845,3)</f>
        <v>#N/A</v>
      </c>
      <c r="I153" s="678" t="e">
        <f>VLOOKUP('2025'!G32-100000-'2025'!H23,'2015 근로소득 간이세액표'!$C$4:$N$845,3)</f>
        <v>#N/A</v>
      </c>
      <c r="J153" s="678" t="e">
        <f>VLOOKUP('2025'!H32-100000-'2025'!I23,'2015 근로소득 간이세액표'!$C$4:$N$845,3)</f>
        <v>#N/A</v>
      </c>
      <c r="K153" s="678" t="e">
        <f>VLOOKUP('2025'!I32-100000-'2025'!J23,'2015 근로소득 간이세액표'!$C$4:$N$845,3)</f>
        <v>#N/A</v>
      </c>
      <c r="L153" s="678" t="e">
        <f>VLOOKUP('2025'!J32-100000-'2025'!K23,'2015 근로소득 간이세액표'!$C$4:$N$845,3)</f>
        <v>#N/A</v>
      </c>
      <c r="M153" s="706" t="e">
        <f>VLOOKUP('2025'!K32-100000-'2025'!L23,'2015 근로소득 간이세액표'!$C$4:$N$845,3)</f>
        <v>#N/A</v>
      </c>
      <c r="N153" s="678" t="e">
        <f>VLOOKUP('2025'!L32-100000-'2025'!M23,'2015 근로소득 간이세액표'!$C$4:$N$845,3)</f>
        <v>#N/A</v>
      </c>
      <c r="O153" s="678" t="e">
        <f>VLOOKUP('2025'!M32-100000-'2025'!N23,'2015 근로소득 간이세액표'!$C$4:$N$845,3)</f>
        <v>#N/A</v>
      </c>
      <c r="P153" s="679" t="e">
        <f t="shared" si="257"/>
        <v>#N/A</v>
      </c>
      <c r="Q153" s="99"/>
      <c r="S153" s="788" t="s">
        <v>571</v>
      </c>
      <c r="T153" s="160" t="s">
        <v>127</v>
      </c>
      <c r="U153" s="1045">
        <v>2.5000000000000001E-2</v>
      </c>
      <c r="V153" s="144">
        <v>1.7000000000000001E-2</v>
      </c>
      <c r="W153" s="1032">
        <f t="shared" si="258"/>
        <v>4978520</v>
      </c>
      <c r="X153" s="1032">
        <f t="shared" si="259"/>
        <v>4169010</v>
      </c>
      <c r="Y153" s="1032">
        <f t="shared" si="260"/>
        <v>3561870</v>
      </c>
      <c r="Z153" s="613">
        <v>0</v>
      </c>
      <c r="AA153" s="1042">
        <v>3900400</v>
      </c>
      <c r="AB153" s="782">
        <f>ROUND(AB152*AF153/AF152,-1)</f>
        <v>3192380</v>
      </c>
      <c r="AC153" s="782">
        <f t="shared" ref="AC153:AC209" si="264">ROUND(AC152*AF153/AF152,-1)</f>
        <v>2673290</v>
      </c>
      <c r="AD153" s="782">
        <f t="shared" ref="AD153:AD209" si="265">ROUND(AD152*AF153/AF152,-1)</f>
        <v>2283970</v>
      </c>
      <c r="AE153" s="728">
        <v>0</v>
      </c>
      <c r="AF153" s="1042">
        <v>2644600</v>
      </c>
      <c r="AG153" s="784">
        <f t="shared" si="261"/>
        <v>5638430</v>
      </c>
      <c r="AH153" s="784">
        <f t="shared" si="262"/>
        <v>4721610</v>
      </c>
      <c r="AI153" s="784">
        <f t="shared" si="263"/>
        <v>4033990</v>
      </c>
      <c r="AJ153" s="785">
        <v>0</v>
      </c>
      <c r="AK153" s="1042">
        <v>4417400</v>
      </c>
      <c r="AL153" s="786">
        <f>ROUND(AL152*AP153/AP152,-1)</f>
        <v>6487250</v>
      </c>
      <c r="AM153" s="786">
        <f t="shared" ref="AM153:AM209" si="266">ROUND(AM152*AP153/AP152,-1)</f>
        <v>5432410</v>
      </c>
      <c r="AN153" s="786">
        <f t="shared" ref="AN153:AN209" si="267">ROUND(AN152*AP153/AP152,-1)</f>
        <v>4641280</v>
      </c>
      <c r="AO153" s="787">
        <v>0</v>
      </c>
      <c r="AP153" s="1042">
        <v>5082400</v>
      </c>
    </row>
    <row r="154" spans="3:42" ht="27">
      <c r="C154" s="675">
        <f ca="1">VALUE('2032'!$D$1)</f>
        <v>2032</v>
      </c>
      <c r="D154" s="678" t="e">
        <f>VLOOKUP('2025'!B33-100000-'2025'!C24,'2015 근로소득 간이세액표'!$C$4:$N$845,3)</f>
        <v>#N/A</v>
      </c>
      <c r="E154" s="678" t="e">
        <f>VLOOKUP('2025'!C33-100000-'2025'!D24,'2015 근로소득 간이세액표'!$C$4:$N$845,3)</f>
        <v>#N/A</v>
      </c>
      <c r="F154" s="678" t="e">
        <f>VLOOKUP('2025'!D33-100000-'2025'!E24,'2015 근로소득 간이세액표'!$C$4:$N$845,3)</f>
        <v>#N/A</v>
      </c>
      <c r="G154" s="678" t="e">
        <f>VLOOKUP('2025'!E33-100000-'2025'!F24,'2015 근로소득 간이세액표'!$C$4:$N$845,3)</f>
        <v>#N/A</v>
      </c>
      <c r="H154" s="678" t="e">
        <f>VLOOKUP('2025'!F33-100000-'2025'!G24,'2015 근로소득 간이세액표'!$C$4:$N$845,3)</f>
        <v>#N/A</v>
      </c>
      <c r="I154" s="678" t="e">
        <f>VLOOKUP('2025'!G33-100000-'2025'!H24,'2015 근로소득 간이세액표'!$C$4:$N$845,3)</f>
        <v>#N/A</v>
      </c>
      <c r="J154" s="678" t="e">
        <f>VLOOKUP('2025'!H33-100000-'2025'!I24,'2015 근로소득 간이세액표'!$C$4:$N$845,3)</f>
        <v>#N/A</v>
      </c>
      <c r="K154" s="678" t="e">
        <f>VLOOKUP('2025'!I33-100000-'2025'!J24,'2015 근로소득 간이세액표'!$C$4:$N$845,3)</f>
        <v>#N/A</v>
      </c>
      <c r="L154" s="678" t="e">
        <f>VLOOKUP('2025'!J33-100000-'2025'!K24,'2015 근로소득 간이세액표'!$C$4:$N$845,3)</f>
        <v>#N/A</v>
      </c>
      <c r="M154" s="706" t="e">
        <f>VLOOKUP('2025'!K33-100000-'2025'!L24,'2015 근로소득 간이세액표'!$C$4:$N$845,3)</f>
        <v>#N/A</v>
      </c>
      <c r="N154" s="678" t="e">
        <f>VLOOKUP('2025'!L33-100000-'2025'!M24,'2015 근로소득 간이세액표'!$C$4:$N$845,3)</f>
        <v>#N/A</v>
      </c>
      <c r="O154" s="678" t="e">
        <f>VLOOKUP('2025'!M33-100000-'2025'!N24,'2015 근로소득 간이세액표'!$C$4:$N$845,3)</f>
        <v>#N/A</v>
      </c>
      <c r="P154" s="679" t="e">
        <f t="shared" si="257"/>
        <v>#N/A</v>
      </c>
      <c r="Q154" s="99"/>
      <c r="S154" s="788" t="s">
        <v>573</v>
      </c>
      <c r="T154" s="160" t="s">
        <v>141</v>
      </c>
      <c r="U154" s="1045">
        <v>0.03</v>
      </c>
      <c r="V154" s="144">
        <v>2.5000000000000001E-2</v>
      </c>
      <c r="W154" s="1054">
        <f>ROUND(W153*AA154/AA153,-1)</f>
        <v>5102970</v>
      </c>
      <c r="X154" s="1054">
        <f t="shared" si="259"/>
        <v>4273220</v>
      </c>
      <c r="Y154" s="1054">
        <f t="shared" si="260"/>
        <v>3650910</v>
      </c>
      <c r="Z154" s="613">
        <v>0</v>
      </c>
      <c r="AA154" s="1053">
        <v>3997900</v>
      </c>
      <c r="AB154" s="782">
        <f ca="1">ROUND(AB153*AF154/AF153,-1)</f>
        <v>3664730</v>
      </c>
      <c r="AC154" s="782">
        <f t="shared" ca="1" si="264"/>
        <v>3068840</v>
      </c>
      <c r="AD154" s="782">
        <f t="shared" ca="1" si="265"/>
        <v>2621910</v>
      </c>
      <c r="AE154" s="728">
        <v>0</v>
      </c>
      <c r="AF154" s="771">
        <f ca="1">gibon40!$G$12</f>
        <v>3035900</v>
      </c>
      <c r="AG154" s="784">
        <f ca="1">ROUND(AG153*AK154/AK153,-1)</f>
        <v>6472950</v>
      </c>
      <c r="AH154" s="784">
        <f t="shared" ca="1" si="262"/>
        <v>5420430</v>
      </c>
      <c r="AI154" s="784">
        <f t="shared" ca="1" si="263"/>
        <v>4631040</v>
      </c>
      <c r="AJ154" s="785">
        <v>0</v>
      </c>
      <c r="AK154" s="771">
        <f ca="1">gibon40!$G$27</f>
        <v>5071200</v>
      </c>
      <c r="AL154" s="786">
        <f ca="1">ROUND(AL153*AP154/AP153,-1)</f>
        <v>7447500</v>
      </c>
      <c r="AM154" s="786">
        <f t="shared" ca="1" si="266"/>
        <v>6236520</v>
      </c>
      <c r="AN154" s="786">
        <f t="shared" ca="1" si="267"/>
        <v>5328290</v>
      </c>
      <c r="AO154" s="787">
        <v>0</v>
      </c>
      <c r="AP154" s="771">
        <f ca="1">gibon40!$G$32</f>
        <v>5834700</v>
      </c>
    </row>
    <row r="155" spans="3:42" ht="20">
      <c r="C155" s="675">
        <f ca="1">VALUE('2033'!$D$1)</f>
        <v>2033</v>
      </c>
      <c r="D155" s="678" t="e">
        <f>VLOOKUP('2025'!B34-100000-'2025'!C25,'2015 근로소득 간이세액표'!$C$4:$N$845,3)</f>
        <v>#N/A</v>
      </c>
      <c r="E155" s="678" t="e">
        <f>VLOOKUP('2025'!C34-100000-'2025'!D25,'2015 근로소득 간이세액표'!$C$4:$N$845,3)</f>
        <v>#N/A</v>
      </c>
      <c r="F155" s="678" t="e">
        <f>VLOOKUP('2025'!D34-100000-'2025'!E25,'2015 근로소득 간이세액표'!$C$4:$N$845,3)</f>
        <v>#N/A</v>
      </c>
      <c r="G155" s="678" t="e">
        <f>VLOOKUP('2025'!E34-100000-'2025'!F25,'2015 근로소득 간이세액표'!$C$4:$N$845,3)</f>
        <v>#N/A</v>
      </c>
      <c r="H155" s="678" t="e">
        <f>VLOOKUP('2025'!F34-100000-'2025'!G25,'2015 근로소득 간이세액표'!$C$4:$N$845,3)</f>
        <v>#N/A</v>
      </c>
      <c r="I155" s="678" t="e">
        <f>VLOOKUP('2025'!G34-100000-'2025'!H25,'2015 근로소득 간이세액표'!$C$4:$N$845,3)</f>
        <v>#N/A</v>
      </c>
      <c r="J155" s="678" t="e">
        <f>VLOOKUP('2025'!H34-100000-'2025'!I25,'2015 근로소득 간이세액표'!$C$4:$N$845,3)</f>
        <v>#N/A</v>
      </c>
      <c r="K155" s="678" t="e">
        <f>VLOOKUP('2025'!I34-100000-'2025'!J25,'2015 근로소득 간이세액표'!$C$4:$N$845,3)</f>
        <v>#N/A</v>
      </c>
      <c r="L155" s="678" t="e">
        <f>VLOOKUP('2025'!J34-100000-'2025'!K25,'2015 근로소득 간이세액표'!$C$4:$N$845,3)</f>
        <v>#N/A</v>
      </c>
      <c r="M155" s="706" t="e">
        <f>VLOOKUP('2025'!K34-100000-'2025'!L25,'2015 근로소득 간이세액표'!$C$4:$N$845,3)</f>
        <v>#N/A</v>
      </c>
      <c r="N155" s="678" t="e">
        <f>VLOOKUP('2025'!L34-100000-'2025'!M25,'2015 근로소득 간이세액표'!$C$4:$N$845,3)</f>
        <v>#N/A</v>
      </c>
      <c r="O155" s="678" t="e">
        <f>VLOOKUP('2025'!M34-100000-'2025'!N25,'2015 근로소득 간이세액표'!$C$4:$N$845,3)</f>
        <v>#N/A</v>
      </c>
      <c r="P155" s="679" t="e">
        <f t="shared" si="257"/>
        <v>#N/A</v>
      </c>
      <c r="Q155" s="99"/>
      <c r="S155" s="788" t="s">
        <v>572</v>
      </c>
      <c r="T155" s="160" t="s">
        <v>115</v>
      </c>
      <c r="U155" s="1045">
        <f t="shared" ref="U155:U209" ca="1" si="268">INDIRECT(T155&amp;"!d2")</f>
        <v>3.5000000000000003E-2</v>
      </c>
      <c r="V155" s="144">
        <f t="shared" ref="V155:V209" si="269">U154</f>
        <v>0.03</v>
      </c>
      <c r="W155" s="783">
        <f t="shared" ref="W155:W209" si="270">ROUND(W154*AA155/AA154,-1)</f>
        <v>5256010</v>
      </c>
      <c r="X155" s="783">
        <f t="shared" si="259"/>
        <v>4401380</v>
      </c>
      <c r="Y155" s="783">
        <f t="shared" si="260"/>
        <v>3760400</v>
      </c>
      <c r="Z155" s="613">
        <v>0</v>
      </c>
      <c r="AA155" s="771">
        <f t="shared" ref="AA155:AA209" si="271">ROUND(AA154*(1+V155),-2)</f>
        <v>4117800</v>
      </c>
      <c r="AB155" s="782">
        <f t="shared" ref="AB155:AB209" ca="1" si="272">ROUND(AB154*AF155/AF154,-1)</f>
        <v>3756350</v>
      </c>
      <c r="AC155" s="782">
        <f t="shared" ca="1" si="264"/>
        <v>3145560</v>
      </c>
      <c r="AD155" s="782">
        <f t="shared" ca="1" si="265"/>
        <v>2687460</v>
      </c>
      <c r="AE155" s="728">
        <v>0</v>
      </c>
      <c r="AF155" s="771">
        <f ca="1">gibon40!$H$12</f>
        <v>3111800</v>
      </c>
      <c r="AG155" s="784">
        <f t="shared" ref="AG155:AG209" ca="1" si="273">ROUND(AG154*AK155/AK154,-1)</f>
        <v>6634800</v>
      </c>
      <c r="AH155" s="784">
        <f t="shared" ca="1" si="262"/>
        <v>5555960</v>
      </c>
      <c r="AI155" s="784">
        <f t="shared" ca="1" si="263"/>
        <v>4746830</v>
      </c>
      <c r="AJ155" s="785">
        <v>0</v>
      </c>
      <c r="AK155" s="771">
        <f ca="1">gibon40!$H$27</f>
        <v>5198000</v>
      </c>
      <c r="AL155" s="786">
        <f t="shared" ref="AL155:AL209" ca="1" si="274">ROUND(AL154*AP155/AP154,-1)</f>
        <v>7633730</v>
      </c>
      <c r="AM155" s="786">
        <f t="shared" ca="1" si="266"/>
        <v>6392470</v>
      </c>
      <c r="AN155" s="786">
        <f t="shared" ca="1" si="267"/>
        <v>5461530</v>
      </c>
      <c r="AO155" s="787">
        <v>0</v>
      </c>
      <c r="AP155" s="771">
        <f ca="1">gibon40!$H$32</f>
        <v>5980600</v>
      </c>
    </row>
    <row r="156" spans="3:42" ht="20">
      <c r="C156" s="675">
        <f ca="1">VALUE('2034'!$D$1)</f>
        <v>2034</v>
      </c>
      <c r="D156" s="678" t="e">
        <f ca="1">VLOOKUP('2025'!B35-100000-'2025'!C26,'2015 근로소득 간이세액표'!$C$4:$N$845,3)</f>
        <v>#N/A</v>
      </c>
      <c r="E156" s="678" t="e">
        <f ca="1">VLOOKUP('2025'!C35-100000-'2025'!D26,'2015 근로소득 간이세액표'!$C$4:$N$845,3)</f>
        <v>#N/A</v>
      </c>
      <c r="F156" s="678" t="e">
        <f ca="1">VLOOKUP('2025'!D35-100000-'2025'!E26,'2015 근로소득 간이세액표'!$C$4:$N$845,3)</f>
        <v>#N/A</v>
      </c>
      <c r="G156" s="678" t="e">
        <f ca="1">VLOOKUP('2025'!E35-100000-'2025'!F26,'2015 근로소득 간이세액표'!$C$4:$N$845,3)</f>
        <v>#N/A</v>
      </c>
      <c r="H156" s="678" t="e">
        <f ca="1">VLOOKUP('2025'!F35-100000-'2025'!G26,'2015 근로소득 간이세액표'!$C$4:$N$845,3)</f>
        <v>#N/A</v>
      </c>
      <c r="I156" s="678" t="e">
        <f ca="1">VLOOKUP('2025'!G35-100000-'2025'!H26,'2015 근로소득 간이세액표'!$C$4:$N$845,3)</f>
        <v>#N/A</v>
      </c>
      <c r="J156" s="678" t="e">
        <f ca="1">VLOOKUP('2025'!H35-100000-'2025'!I26,'2015 근로소득 간이세액표'!$C$4:$N$845,3)</f>
        <v>#N/A</v>
      </c>
      <c r="K156" s="678" t="e">
        <f ca="1">VLOOKUP('2025'!I35-100000-'2025'!J26,'2015 근로소득 간이세액표'!$C$4:$N$845,3)</f>
        <v>#N/A</v>
      </c>
      <c r="L156" s="678" t="e">
        <f ca="1">VLOOKUP('2025'!J35-100000-'2025'!K26,'2015 근로소득 간이세액표'!$C$4:$N$845,3)</f>
        <v>#N/A</v>
      </c>
      <c r="M156" s="706" t="e">
        <f ca="1">VLOOKUP('2025'!K35-100000-'2025'!L26,'2015 근로소득 간이세액표'!$C$4:$N$845,3)</f>
        <v>#N/A</v>
      </c>
      <c r="N156" s="678" t="e">
        <f ca="1">VLOOKUP('2025'!L35-100000-'2025'!M26,'2015 근로소득 간이세액표'!$C$4:$N$845,3)</f>
        <v>#N/A</v>
      </c>
      <c r="O156" s="678" t="e">
        <f ca="1">VLOOKUP('2025'!M35-100000-'2025'!N26,'2015 근로소득 간이세액표'!$C$4:$N$845,3)</f>
        <v>#N/A</v>
      </c>
      <c r="P156" s="679" t="e">
        <f t="shared" ca="1" si="257"/>
        <v>#N/A</v>
      </c>
      <c r="Q156" s="99"/>
      <c r="S156" s="788" t="s">
        <v>567</v>
      </c>
      <c r="T156" s="160" t="s">
        <v>142</v>
      </c>
      <c r="U156" s="1045">
        <f t="shared" ca="1" si="268"/>
        <v>2.5000000000000001E-2</v>
      </c>
      <c r="V156" s="144">
        <f t="shared" ca="1" si="269"/>
        <v>3.5000000000000003E-2</v>
      </c>
      <c r="W156" s="783">
        <f t="shared" ca="1" si="270"/>
        <v>5439940</v>
      </c>
      <c r="X156" s="783">
        <f t="shared" ca="1" si="259"/>
        <v>4555400</v>
      </c>
      <c r="Y156" s="783">
        <f t="shared" ca="1" si="260"/>
        <v>3891990</v>
      </c>
      <c r="Z156" s="613">
        <v>0</v>
      </c>
      <c r="AA156" s="771">
        <f t="shared" ca="1" si="271"/>
        <v>4261900</v>
      </c>
      <c r="AB156" s="782">
        <f t="shared" ca="1" si="272"/>
        <v>3850260</v>
      </c>
      <c r="AC156" s="782">
        <f t="shared" ca="1" si="264"/>
        <v>3224200</v>
      </c>
      <c r="AD156" s="782">
        <f t="shared" ca="1" si="265"/>
        <v>2754650</v>
      </c>
      <c r="AE156" s="728">
        <v>0</v>
      </c>
      <c r="AF156" s="771">
        <f ca="1">gibon40!$I$12</f>
        <v>3189600</v>
      </c>
      <c r="AG156" s="784">
        <f t="shared" ca="1" si="273"/>
        <v>6800730</v>
      </c>
      <c r="AH156" s="784">
        <f t="shared" ca="1" si="262"/>
        <v>5694910</v>
      </c>
      <c r="AI156" s="784">
        <f t="shared" ca="1" si="263"/>
        <v>4865550</v>
      </c>
      <c r="AJ156" s="785">
        <v>0</v>
      </c>
      <c r="AK156" s="771">
        <f ca="1">gibon40!$I$27</f>
        <v>5328000</v>
      </c>
      <c r="AL156" s="786">
        <f t="shared" ca="1" si="274"/>
        <v>7824550</v>
      </c>
      <c r="AM156" s="786">
        <f t="shared" ca="1" si="266"/>
        <v>6552270</v>
      </c>
      <c r="AN156" s="786">
        <f t="shared" ca="1" si="267"/>
        <v>5598050</v>
      </c>
      <c r="AO156" s="787">
        <v>0</v>
      </c>
      <c r="AP156" s="771">
        <f ca="1">gibon40!$I$32</f>
        <v>6130100</v>
      </c>
    </row>
    <row r="157" spans="3:42" ht="20">
      <c r="C157" s="675">
        <f ca="1">VALUE('2035'!$D$1)</f>
        <v>2035</v>
      </c>
      <c r="Q157" s="99"/>
      <c r="S157" s="788" t="s">
        <v>579</v>
      </c>
      <c r="T157" s="160" t="s">
        <v>143</v>
      </c>
      <c r="U157" s="1045">
        <f t="shared" ca="1" si="268"/>
        <v>2.5000000000000001E-2</v>
      </c>
      <c r="V157" s="144">
        <f t="shared" ca="1" si="269"/>
        <v>2.5000000000000001E-2</v>
      </c>
      <c r="W157" s="783">
        <f t="shared" ca="1" si="270"/>
        <v>5575880</v>
      </c>
      <c r="X157" s="783">
        <f t="shared" ca="1" si="259"/>
        <v>4669230</v>
      </c>
      <c r="Y157" s="783">
        <f t="shared" ca="1" si="260"/>
        <v>3989250</v>
      </c>
      <c r="Z157" s="613">
        <v>0</v>
      </c>
      <c r="AA157" s="771">
        <f t="shared" ca="1" si="271"/>
        <v>4368400</v>
      </c>
      <c r="AB157" s="782">
        <f t="shared" ca="1" si="272"/>
        <v>3946470</v>
      </c>
      <c r="AC157" s="782">
        <f t="shared" ca="1" si="264"/>
        <v>3304760</v>
      </c>
      <c r="AD157" s="782">
        <f t="shared" ca="1" si="265"/>
        <v>2823480</v>
      </c>
      <c r="AE157" s="728">
        <v>0</v>
      </c>
      <c r="AF157" s="771">
        <f ca="1">gibon40!$J$12</f>
        <v>3269300</v>
      </c>
      <c r="AG157" s="784">
        <f t="shared" ca="1" si="273"/>
        <v>6970750</v>
      </c>
      <c r="AH157" s="784">
        <f t="shared" ca="1" si="262"/>
        <v>5837280</v>
      </c>
      <c r="AI157" s="784">
        <f t="shared" ca="1" si="263"/>
        <v>4987190</v>
      </c>
      <c r="AJ157" s="785">
        <v>0</v>
      </c>
      <c r="AK157" s="771">
        <f ca="1">gibon40!$J$27</f>
        <v>5461200</v>
      </c>
      <c r="AL157" s="786">
        <f t="shared" ca="1" si="274"/>
        <v>8020220</v>
      </c>
      <c r="AM157" s="786">
        <f t="shared" ca="1" si="266"/>
        <v>6716130</v>
      </c>
      <c r="AN157" s="786">
        <f t="shared" ca="1" si="267"/>
        <v>5738040</v>
      </c>
      <c r="AO157" s="787">
        <v>0</v>
      </c>
      <c r="AP157" s="771">
        <f ca="1">gibon40!$J$32</f>
        <v>6283400</v>
      </c>
    </row>
    <row r="158" spans="3:42" ht="20">
      <c r="C158" s="675">
        <f ca="1">VALUE('2036'!$D$1)</f>
        <v>2036</v>
      </c>
      <c r="Q158" s="99"/>
      <c r="S158" s="788" t="s">
        <v>604</v>
      </c>
      <c r="T158" s="160" t="s">
        <v>173</v>
      </c>
      <c r="U158" s="1045">
        <f t="shared" ca="1" si="268"/>
        <v>2.5000000000000001E-2</v>
      </c>
      <c r="V158" s="144">
        <f t="shared" ca="1" si="269"/>
        <v>2.5000000000000001E-2</v>
      </c>
      <c r="W158" s="783">
        <f t="shared" ca="1" si="270"/>
        <v>5715260</v>
      </c>
      <c r="X158" s="783">
        <f t="shared" ca="1" si="259"/>
        <v>4785950</v>
      </c>
      <c r="Y158" s="783">
        <f t="shared" ca="1" si="260"/>
        <v>4088970</v>
      </c>
      <c r="Z158" s="613">
        <v>0</v>
      </c>
      <c r="AA158" s="771">
        <f t="shared" ca="1" si="271"/>
        <v>4477600</v>
      </c>
      <c r="AB158" s="782">
        <f t="shared" ca="1" si="272"/>
        <v>4045090</v>
      </c>
      <c r="AC158" s="782">
        <f t="shared" ca="1" si="264"/>
        <v>3387350</v>
      </c>
      <c r="AD158" s="782">
        <f t="shared" ca="1" si="265"/>
        <v>2894040</v>
      </c>
      <c r="AE158" s="728">
        <v>0</v>
      </c>
      <c r="AF158" s="771">
        <f ca="1">gibon40!$K$12</f>
        <v>3351000</v>
      </c>
      <c r="AG158" s="784">
        <f t="shared" ca="1" si="273"/>
        <v>7144980</v>
      </c>
      <c r="AH158" s="784">
        <f t="shared" ca="1" si="262"/>
        <v>5983180</v>
      </c>
      <c r="AI158" s="784">
        <f t="shared" ca="1" si="263"/>
        <v>5111840</v>
      </c>
      <c r="AJ158" s="785">
        <v>0</v>
      </c>
      <c r="AK158" s="771">
        <f ca="1">gibon40!$K$27</f>
        <v>5597700</v>
      </c>
      <c r="AL158" s="786">
        <f t="shared" ca="1" si="274"/>
        <v>8220740</v>
      </c>
      <c r="AM158" s="786">
        <f t="shared" ca="1" si="266"/>
        <v>6884050</v>
      </c>
      <c r="AN158" s="786">
        <f t="shared" ca="1" si="267"/>
        <v>5881500</v>
      </c>
      <c r="AO158" s="787">
        <v>0</v>
      </c>
      <c r="AP158" s="771">
        <f ca="1">gibon40!$K$32</f>
        <v>6440500</v>
      </c>
    </row>
    <row r="159" spans="3:42" ht="20">
      <c r="C159" s="675">
        <f ca="1">VALUE('2037'!$D$1)</f>
        <v>2037</v>
      </c>
      <c r="Q159" s="99"/>
      <c r="S159" s="788" t="s">
        <v>605</v>
      </c>
      <c r="T159" s="160" t="s">
        <v>154</v>
      </c>
      <c r="U159" s="1045">
        <f t="shared" ca="1" si="268"/>
        <v>2.5000000000000001E-2</v>
      </c>
      <c r="V159" s="144">
        <f t="shared" ca="1" si="269"/>
        <v>2.5000000000000001E-2</v>
      </c>
      <c r="W159" s="783">
        <f t="shared" ca="1" si="270"/>
        <v>5858090</v>
      </c>
      <c r="X159" s="783">
        <f t="shared" ca="1" si="259"/>
        <v>4905560</v>
      </c>
      <c r="Y159" s="783">
        <f t="shared" ca="1" si="260"/>
        <v>4191160</v>
      </c>
      <c r="Z159" s="613">
        <v>0</v>
      </c>
      <c r="AA159" s="771">
        <f t="shared" ca="1" si="271"/>
        <v>4589500</v>
      </c>
      <c r="AB159" s="782">
        <f t="shared" ca="1" si="272"/>
        <v>4146250</v>
      </c>
      <c r="AC159" s="782">
        <f t="shared" ca="1" si="264"/>
        <v>3472060</v>
      </c>
      <c r="AD159" s="782">
        <f t="shared" ca="1" si="265"/>
        <v>2966410</v>
      </c>
      <c r="AE159" s="728">
        <v>0</v>
      </c>
      <c r="AF159" s="771">
        <f ca="1">gibon40!$L$12</f>
        <v>3434800</v>
      </c>
      <c r="AG159" s="784">
        <f t="shared" ca="1" si="273"/>
        <v>7323550</v>
      </c>
      <c r="AH159" s="784">
        <f t="shared" ca="1" si="262"/>
        <v>6132710</v>
      </c>
      <c r="AI159" s="784">
        <f t="shared" ca="1" si="263"/>
        <v>5239600</v>
      </c>
      <c r="AJ159" s="785">
        <v>0</v>
      </c>
      <c r="AK159" s="771">
        <f ca="1">gibon40!$L$27</f>
        <v>5737600</v>
      </c>
      <c r="AL159" s="786">
        <f t="shared" ca="1" si="274"/>
        <v>8426240</v>
      </c>
      <c r="AM159" s="786">
        <f t="shared" ca="1" si="266"/>
        <v>7056140</v>
      </c>
      <c r="AN159" s="786">
        <f t="shared" ca="1" si="267"/>
        <v>6028530</v>
      </c>
      <c r="AO159" s="787">
        <v>0</v>
      </c>
      <c r="AP159" s="771">
        <f ca="1">gibon40!$L$32</f>
        <v>6601500</v>
      </c>
    </row>
    <row r="160" spans="3:42" ht="20">
      <c r="C160" s="675">
        <f ca="1">VALUE('2038'!$D$1)</f>
        <v>2038</v>
      </c>
      <c r="Q160" s="99"/>
      <c r="S160" s="788" t="s">
        <v>601</v>
      </c>
      <c r="T160" s="160" t="s">
        <v>171</v>
      </c>
      <c r="U160" s="1045">
        <f t="shared" ca="1" si="268"/>
        <v>2.5000000000000001E-2</v>
      </c>
      <c r="V160" s="144">
        <f t="shared" ca="1" si="269"/>
        <v>2.5000000000000001E-2</v>
      </c>
      <c r="W160" s="783">
        <f t="shared" ca="1" si="270"/>
        <v>6004490</v>
      </c>
      <c r="X160" s="783">
        <f t="shared" ca="1" si="259"/>
        <v>5028160</v>
      </c>
      <c r="Y160" s="783">
        <f t="shared" ca="1" si="260"/>
        <v>4295900</v>
      </c>
      <c r="Z160" s="613">
        <v>0</v>
      </c>
      <c r="AA160" s="771">
        <f t="shared" ca="1" si="271"/>
        <v>4704200</v>
      </c>
      <c r="AB160" s="782">
        <f t="shared" ca="1" si="272"/>
        <v>4249940</v>
      </c>
      <c r="AC160" s="782">
        <f t="shared" ca="1" si="264"/>
        <v>3558890</v>
      </c>
      <c r="AD160" s="782">
        <f t="shared" ca="1" si="265"/>
        <v>3040600</v>
      </c>
      <c r="AE160" s="728">
        <v>0</v>
      </c>
      <c r="AF160" s="771">
        <f ca="1">gibon40!$M$12</f>
        <v>3520700</v>
      </c>
      <c r="AG160" s="784">
        <f t="shared" ca="1" si="273"/>
        <v>7506590</v>
      </c>
      <c r="AH160" s="784">
        <f t="shared" ca="1" si="262"/>
        <v>6285980</v>
      </c>
      <c r="AI160" s="784">
        <f t="shared" ca="1" si="263"/>
        <v>5370550</v>
      </c>
      <c r="AJ160" s="785">
        <v>0</v>
      </c>
      <c r="AK160" s="771">
        <f ca="1">gibon40!$M$27</f>
        <v>5881000</v>
      </c>
      <c r="AL160" s="786">
        <f t="shared" ca="1" si="274"/>
        <v>8636850</v>
      </c>
      <c r="AM160" s="786">
        <f t="shared" ca="1" si="266"/>
        <v>7232500</v>
      </c>
      <c r="AN160" s="786">
        <f t="shared" ca="1" si="267"/>
        <v>6179210</v>
      </c>
      <c r="AO160" s="787">
        <v>0</v>
      </c>
      <c r="AP160" s="771">
        <f ca="1">gibon40!$M$32</f>
        <v>6766500</v>
      </c>
    </row>
    <row r="161" spans="3:42" ht="20">
      <c r="C161" s="675">
        <f ca="1">VALUE('2039'!$D$1)</f>
        <v>2039</v>
      </c>
      <c r="Q161" s="99"/>
      <c r="S161" s="788" t="s">
        <v>591</v>
      </c>
      <c r="T161" s="160" t="s">
        <v>156</v>
      </c>
      <c r="U161" s="1045">
        <f t="shared" ca="1" si="268"/>
        <v>2.5000000000000001E-2</v>
      </c>
      <c r="V161" s="144">
        <f t="shared" ca="1" si="269"/>
        <v>2.5000000000000001E-2</v>
      </c>
      <c r="W161" s="783">
        <f t="shared" ca="1" si="270"/>
        <v>6154600</v>
      </c>
      <c r="X161" s="783">
        <f t="shared" ca="1" si="259"/>
        <v>5153860</v>
      </c>
      <c r="Y161" s="783">
        <f t="shared" ca="1" si="260"/>
        <v>4403290</v>
      </c>
      <c r="Z161" s="613">
        <v>0</v>
      </c>
      <c r="AA161" s="771">
        <f t="shared" ca="1" si="271"/>
        <v>4821800</v>
      </c>
      <c r="AB161" s="782">
        <f t="shared" ca="1" si="272"/>
        <v>4356170</v>
      </c>
      <c r="AC161" s="782">
        <f t="shared" ca="1" si="264"/>
        <v>3647840</v>
      </c>
      <c r="AD161" s="782">
        <f t="shared" ca="1" si="265"/>
        <v>3116600</v>
      </c>
      <c r="AE161" s="728">
        <v>0</v>
      </c>
      <c r="AF161" s="771">
        <f ca="1">gibon40!$N$12</f>
        <v>3608700</v>
      </c>
      <c r="AG161" s="784">
        <f t="shared" ca="1" si="273"/>
        <v>7694220</v>
      </c>
      <c r="AH161" s="784">
        <f t="shared" ca="1" si="262"/>
        <v>6443100</v>
      </c>
      <c r="AI161" s="784">
        <f t="shared" ca="1" si="263"/>
        <v>5504790</v>
      </c>
      <c r="AJ161" s="785">
        <v>0</v>
      </c>
      <c r="AK161" s="771">
        <f ca="1">gibon40!$N$27</f>
        <v>6028000</v>
      </c>
      <c r="AL161" s="786">
        <f t="shared" ca="1" si="274"/>
        <v>8852820</v>
      </c>
      <c r="AM161" s="786">
        <f t="shared" ca="1" si="266"/>
        <v>7413350</v>
      </c>
      <c r="AN161" s="786">
        <f t="shared" ca="1" si="267"/>
        <v>6333720</v>
      </c>
      <c r="AO161" s="787">
        <v>0</v>
      </c>
      <c r="AP161" s="771">
        <f ca="1">gibon40!$N$32</f>
        <v>6935700</v>
      </c>
    </row>
    <row r="162" spans="3:42" ht="20">
      <c r="C162" s="675">
        <f ca="1">VALUE('2040'!$D$1)</f>
        <v>2040</v>
      </c>
      <c r="Q162" s="99"/>
      <c r="S162" s="788" t="s">
        <v>596</v>
      </c>
      <c r="T162" s="160" t="s">
        <v>174</v>
      </c>
      <c r="U162" s="704">
        <f t="shared" ca="1" si="268"/>
        <v>2.5000000000000001E-2</v>
      </c>
      <c r="V162" s="144">
        <f t="shared" ca="1" si="269"/>
        <v>2.5000000000000001E-2</v>
      </c>
      <c r="W162" s="783">
        <f t="shared" ca="1" si="270"/>
        <v>6308410</v>
      </c>
      <c r="X162" s="783">
        <f t="shared" ca="1" si="259"/>
        <v>5282660</v>
      </c>
      <c r="Y162" s="783">
        <f t="shared" ca="1" si="260"/>
        <v>4513330</v>
      </c>
      <c r="Z162" s="613">
        <v>0</v>
      </c>
      <c r="AA162" s="771">
        <f t="shared" ca="1" si="271"/>
        <v>4942300</v>
      </c>
      <c r="AB162" s="782">
        <f t="shared" ca="1" si="272"/>
        <v>4465050</v>
      </c>
      <c r="AC162" s="782">
        <f t="shared" ca="1" si="264"/>
        <v>3739020</v>
      </c>
      <c r="AD162" s="782">
        <f t="shared" ca="1" si="265"/>
        <v>3194500</v>
      </c>
      <c r="AE162" s="728">
        <v>0</v>
      </c>
      <c r="AF162" s="771">
        <f ca="1">gibon40!$O$12</f>
        <v>3698900</v>
      </c>
      <c r="AG162" s="784">
        <f t="shared" ca="1" si="273"/>
        <v>7886580</v>
      </c>
      <c r="AH162" s="784">
        <f t="shared" ca="1" si="262"/>
        <v>6604180</v>
      </c>
      <c r="AI162" s="784">
        <f t="shared" ca="1" si="263"/>
        <v>5642410</v>
      </c>
      <c r="AJ162" s="785">
        <v>0</v>
      </c>
      <c r="AK162" s="771">
        <f ca="1">gibon40!$O$27</f>
        <v>6178700</v>
      </c>
      <c r="AL162" s="786">
        <f t="shared" ca="1" si="274"/>
        <v>9074150</v>
      </c>
      <c r="AM162" s="786">
        <f t="shared" ca="1" si="266"/>
        <v>7598690</v>
      </c>
      <c r="AN162" s="786">
        <f t="shared" ca="1" si="267"/>
        <v>6492070</v>
      </c>
      <c r="AO162" s="787">
        <v>0</v>
      </c>
      <c r="AP162" s="771">
        <f ca="1">gibon40!$O$32</f>
        <v>7109100</v>
      </c>
    </row>
    <row r="163" spans="3:42" ht="20">
      <c r="C163" s="675">
        <f ca="1">VALUE('2041'!$D$1)</f>
        <v>2041</v>
      </c>
      <c r="Q163" s="99"/>
      <c r="S163" s="788" t="s">
        <v>593</v>
      </c>
      <c r="T163" s="160" t="s">
        <v>175</v>
      </c>
      <c r="U163" s="704">
        <f t="shared" ca="1" si="268"/>
        <v>2.5000000000000001E-2</v>
      </c>
      <c r="V163" s="144">
        <f t="shared" ca="1" si="269"/>
        <v>2.5000000000000001E-2</v>
      </c>
      <c r="W163" s="783">
        <f t="shared" ca="1" si="270"/>
        <v>6466170</v>
      </c>
      <c r="X163" s="783">
        <f t="shared" ca="1" si="259"/>
        <v>5414770</v>
      </c>
      <c r="Y163" s="783">
        <f t="shared" ca="1" si="260"/>
        <v>4626200</v>
      </c>
      <c r="Z163" s="613">
        <v>0</v>
      </c>
      <c r="AA163" s="771">
        <f t="shared" ca="1" si="271"/>
        <v>5065900</v>
      </c>
      <c r="AB163" s="782">
        <f t="shared" ca="1" si="272"/>
        <v>4576710</v>
      </c>
      <c r="AC163" s="782">
        <f t="shared" ca="1" si="264"/>
        <v>3832520</v>
      </c>
      <c r="AD163" s="782">
        <f t="shared" ca="1" si="265"/>
        <v>3274390</v>
      </c>
      <c r="AE163" s="728">
        <v>0</v>
      </c>
      <c r="AF163" s="771">
        <f ca="1">gibon40!$P$12</f>
        <v>3791400</v>
      </c>
      <c r="AG163" s="784">
        <f t="shared" ca="1" si="273"/>
        <v>8083790</v>
      </c>
      <c r="AH163" s="784">
        <f t="shared" ca="1" si="262"/>
        <v>6769320</v>
      </c>
      <c r="AI163" s="784">
        <f t="shared" ca="1" si="263"/>
        <v>5783500</v>
      </c>
      <c r="AJ163" s="785">
        <v>0</v>
      </c>
      <c r="AK163" s="771">
        <f ca="1">gibon40!$P$27</f>
        <v>6333200</v>
      </c>
      <c r="AL163" s="786">
        <f t="shared" ca="1" si="274"/>
        <v>9300970</v>
      </c>
      <c r="AM163" s="786">
        <f t="shared" ca="1" si="266"/>
        <v>7788630</v>
      </c>
      <c r="AN163" s="786">
        <f t="shared" ca="1" si="267"/>
        <v>6654350</v>
      </c>
      <c r="AO163" s="787">
        <v>0</v>
      </c>
      <c r="AP163" s="771">
        <f ca="1">gibon40!$P$32</f>
        <v>7286800</v>
      </c>
    </row>
    <row r="164" spans="3:42" ht="20">
      <c r="C164" s="675">
        <f ca="1">VALUE('2042'!$D$1)</f>
        <v>2042</v>
      </c>
      <c r="Q164" s="99"/>
      <c r="S164" s="788" t="s">
        <v>575</v>
      </c>
      <c r="T164" s="160" t="s">
        <v>151</v>
      </c>
      <c r="U164" s="704">
        <f t="shared" ca="1" si="268"/>
        <v>2.5000000000000001E-2</v>
      </c>
      <c r="V164" s="144">
        <f t="shared" ca="1" si="269"/>
        <v>2.5000000000000001E-2</v>
      </c>
      <c r="W164" s="783">
        <f t="shared" ca="1" si="270"/>
        <v>6627760</v>
      </c>
      <c r="X164" s="783">
        <f t="shared" ca="1" si="259"/>
        <v>5550090</v>
      </c>
      <c r="Y164" s="783">
        <f t="shared" ca="1" si="260"/>
        <v>4741810</v>
      </c>
      <c r="Z164" s="613">
        <v>0</v>
      </c>
      <c r="AA164" s="771">
        <f t="shared" ca="1" si="271"/>
        <v>5192500</v>
      </c>
      <c r="AB164" s="782">
        <f t="shared" ca="1" si="272"/>
        <v>4691150</v>
      </c>
      <c r="AC164" s="782">
        <f t="shared" ca="1" si="264"/>
        <v>3928350</v>
      </c>
      <c r="AD164" s="782">
        <f t="shared" ca="1" si="265"/>
        <v>3356260</v>
      </c>
      <c r="AE164" s="728">
        <v>0</v>
      </c>
      <c r="AF164" s="771">
        <f ca="1">gibon40!$Q$12</f>
        <v>3886200</v>
      </c>
      <c r="AG164" s="784">
        <f t="shared" ca="1" si="273"/>
        <v>8285850</v>
      </c>
      <c r="AH164" s="784">
        <f t="shared" ca="1" si="262"/>
        <v>6938520</v>
      </c>
      <c r="AI164" s="784">
        <f t="shared" ca="1" si="263"/>
        <v>5928060</v>
      </c>
      <c r="AJ164" s="785">
        <v>0</v>
      </c>
      <c r="AK164" s="771">
        <f ca="1">gibon40!$Q$27</f>
        <v>6491500</v>
      </c>
      <c r="AL164" s="786">
        <f t="shared" ca="1" si="274"/>
        <v>9533530</v>
      </c>
      <c r="AM164" s="786">
        <f t="shared" ca="1" si="266"/>
        <v>7983380</v>
      </c>
      <c r="AN164" s="786">
        <f t="shared" ca="1" si="267"/>
        <v>6820740</v>
      </c>
      <c r="AO164" s="787">
        <v>0</v>
      </c>
      <c r="AP164" s="771">
        <f ca="1">gibon40!$Q$32</f>
        <v>7469000</v>
      </c>
    </row>
    <row r="165" spans="3:42" ht="20">
      <c r="C165" s="675">
        <f ca="1">VALUE('2043'!$D$1)</f>
        <v>2043</v>
      </c>
      <c r="Q165" s="99"/>
      <c r="S165" s="788" t="s">
        <v>608</v>
      </c>
      <c r="T165" s="160" t="s">
        <v>145</v>
      </c>
      <c r="U165" s="704">
        <f t="shared" ca="1" si="268"/>
        <v>2.5000000000000001E-2</v>
      </c>
      <c r="V165" s="144">
        <f t="shared" ca="1" si="269"/>
        <v>2.5000000000000001E-2</v>
      </c>
      <c r="W165" s="783">
        <f t="shared" ca="1" si="270"/>
        <v>6793440</v>
      </c>
      <c r="X165" s="783">
        <f t="shared" ca="1" si="259"/>
        <v>5688830</v>
      </c>
      <c r="Y165" s="783">
        <f t="shared" ca="1" si="260"/>
        <v>4860340</v>
      </c>
      <c r="Z165" s="613">
        <v>0</v>
      </c>
      <c r="AA165" s="771">
        <f t="shared" ca="1" si="271"/>
        <v>5322300</v>
      </c>
      <c r="AB165" s="782">
        <f t="shared" ca="1" si="272"/>
        <v>4808480</v>
      </c>
      <c r="AC165" s="782">
        <f t="shared" ca="1" si="264"/>
        <v>4026600</v>
      </c>
      <c r="AD165" s="782">
        <f t="shared" ca="1" si="265"/>
        <v>3440210</v>
      </c>
      <c r="AE165" s="728">
        <v>0</v>
      </c>
      <c r="AF165" s="771">
        <f ca="1">gibon40!$R$12</f>
        <v>3983400</v>
      </c>
      <c r="AG165" s="784">
        <f t="shared" ca="1" si="273"/>
        <v>8493010</v>
      </c>
      <c r="AH165" s="784">
        <f t="shared" ca="1" si="262"/>
        <v>7112000</v>
      </c>
      <c r="AI165" s="784">
        <f t="shared" ca="1" si="263"/>
        <v>6076270</v>
      </c>
      <c r="AJ165" s="785">
        <v>0</v>
      </c>
      <c r="AK165" s="771">
        <f ca="1">gibon40!$R$27</f>
        <v>6653800</v>
      </c>
      <c r="AL165" s="786">
        <f t="shared" ca="1" si="274"/>
        <v>9771840</v>
      </c>
      <c r="AM165" s="786">
        <f t="shared" ca="1" si="266"/>
        <v>8182940</v>
      </c>
      <c r="AN165" s="786">
        <f t="shared" ca="1" si="267"/>
        <v>6991240</v>
      </c>
      <c r="AO165" s="787">
        <v>0</v>
      </c>
      <c r="AP165" s="771">
        <f ca="1">gibon40!$R$32</f>
        <v>7655700</v>
      </c>
    </row>
    <row r="166" spans="3:42" ht="20">
      <c r="C166" s="675">
        <f ca="1">VALUE('2044'!$D$1)</f>
        <v>2044</v>
      </c>
      <c r="Q166" s="99"/>
      <c r="S166" s="788" t="s">
        <v>506</v>
      </c>
      <c r="T166" s="160" t="s">
        <v>155</v>
      </c>
      <c r="U166" s="704">
        <f t="shared" ca="1" si="268"/>
        <v>2.5000000000000001E-2</v>
      </c>
      <c r="V166" s="144">
        <f t="shared" ca="1" si="269"/>
        <v>2.5000000000000001E-2</v>
      </c>
      <c r="W166" s="783">
        <f t="shared" ca="1" si="270"/>
        <v>6963330</v>
      </c>
      <c r="X166" s="783">
        <f t="shared" ca="1" si="259"/>
        <v>5831100</v>
      </c>
      <c r="Y166" s="783">
        <f t="shared" ca="1" si="260"/>
        <v>4981890</v>
      </c>
      <c r="Z166" s="613">
        <v>0</v>
      </c>
      <c r="AA166" s="771">
        <f t="shared" ca="1" si="271"/>
        <v>5455400</v>
      </c>
      <c r="AB166" s="782">
        <f t="shared" ca="1" si="272"/>
        <v>4928710</v>
      </c>
      <c r="AC166" s="782">
        <f t="shared" ca="1" si="264"/>
        <v>4127280</v>
      </c>
      <c r="AD166" s="782">
        <f t="shared" ca="1" si="265"/>
        <v>3526230</v>
      </c>
      <c r="AE166" s="728">
        <v>0</v>
      </c>
      <c r="AF166" s="771">
        <f ca="1">gibon40!$S$12</f>
        <v>4083000</v>
      </c>
      <c r="AG166" s="784">
        <f t="shared" ca="1" si="273"/>
        <v>8705280</v>
      </c>
      <c r="AH166" s="784">
        <f t="shared" ca="1" si="262"/>
        <v>7289750</v>
      </c>
      <c r="AI166" s="784">
        <f t="shared" ca="1" si="263"/>
        <v>6228140</v>
      </c>
      <c r="AJ166" s="785">
        <v>0</v>
      </c>
      <c r="AK166" s="771">
        <f ca="1">gibon40!$S$27</f>
        <v>6820100</v>
      </c>
      <c r="AL166" s="786">
        <f t="shared" ca="1" si="274"/>
        <v>10016150</v>
      </c>
      <c r="AM166" s="786">
        <f t="shared" ca="1" si="266"/>
        <v>8387520</v>
      </c>
      <c r="AN166" s="786">
        <f t="shared" ca="1" si="267"/>
        <v>7166030</v>
      </c>
      <c r="AO166" s="787">
        <v>0</v>
      </c>
      <c r="AP166" s="771">
        <f ca="1">gibon40!$S$32</f>
        <v>7847100</v>
      </c>
    </row>
    <row r="167" spans="3:42" ht="20">
      <c r="C167" s="675">
        <f ca="1">VALUE('2045'!$D$1)</f>
        <v>2045</v>
      </c>
      <c r="Q167" s="99"/>
      <c r="S167" s="788" t="s">
        <v>584</v>
      </c>
      <c r="T167" s="160" t="s">
        <v>168</v>
      </c>
      <c r="U167" s="704">
        <f t="shared" ca="1" si="268"/>
        <v>2.5000000000000001E-2</v>
      </c>
      <c r="V167" s="144">
        <f t="shared" ca="1" si="269"/>
        <v>2.5000000000000001E-2</v>
      </c>
      <c r="W167" s="783">
        <f t="shared" ca="1" si="270"/>
        <v>7137430</v>
      </c>
      <c r="X167" s="783">
        <f t="shared" ca="1" si="259"/>
        <v>5976890</v>
      </c>
      <c r="Y167" s="783">
        <f t="shared" ca="1" si="260"/>
        <v>5106450</v>
      </c>
      <c r="Z167" s="613">
        <v>0</v>
      </c>
      <c r="AA167" s="771">
        <f t="shared" ca="1" si="271"/>
        <v>5591800</v>
      </c>
      <c r="AB167" s="782">
        <f t="shared" ca="1" si="272"/>
        <v>5051960</v>
      </c>
      <c r="AC167" s="782">
        <f t="shared" ca="1" si="264"/>
        <v>4230490</v>
      </c>
      <c r="AD167" s="782">
        <f t="shared" ca="1" si="265"/>
        <v>3614410</v>
      </c>
      <c r="AE167" s="728">
        <v>0</v>
      </c>
      <c r="AF167" s="771">
        <f ca="1">gibon40!$T$12</f>
        <v>4185100</v>
      </c>
      <c r="AG167" s="784">
        <f t="shared" ca="1" si="273"/>
        <v>8922910</v>
      </c>
      <c r="AH167" s="784">
        <f t="shared" ca="1" si="262"/>
        <v>7471990</v>
      </c>
      <c r="AI167" s="784">
        <f t="shared" ca="1" si="263"/>
        <v>6383840</v>
      </c>
      <c r="AJ167" s="785">
        <v>0</v>
      </c>
      <c r="AK167" s="771">
        <f ca="1">gibon40!$T$27</f>
        <v>6990600</v>
      </c>
      <c r="AL167" s="786">
        <f t="shared" ca="1" si="274"/>
        <v>10266580</v>
      </c>
      <c r="AM167" s="786">
        <f t="shared" ca="1" si="266"/>
        <v>8597230</v>
      </c>
      <c r="AN167" s="786">
        <f t="shared" ca="1" si="267"/>
        <v>7345200</v>
      </c>
      <c r="AO167" s="787">
        <v>0</v>
      </c>
      <c r="AP167" s="771">
        <f ca="1">gibon40!$T$32</f>
        <v>8043300</v>
      </c>
    </row>
    <row r="168" spans="3:42" ht="20">
      <c r="C168" s="675">
        <f ca="1">VALUE('2046'!$D$1)</f>
        <v>2046</v>
      </c>
      <c r="Q168" s="99"/>
      <c r="S168" s="788" t="s">
        <v>561</v>
      </c>
      <c r="T168" s="160" t="s">
        <v>153</v>
      </c>
      <c r="U168" s="704">
        <f t="shared" ca="1" si="268"/>
        <v>2.5000000000000001E-2</v>
      </c>
      <c r="V168" s="144">
        <f t="shared" ca="1" si="269"/>
        <v>2.5000000000000001E-2</v>
      </c>
      <c r="W168" s="783">
        <f t="shared" ca="1" si="270"/>
        <v>7315870</v>
      </c>
      <c r="X168" s="783">
        <f t="shared" ca="1" si="259"/>
        <v>6126320</v>
      </c>
      <c r="Y168" s="783">
        <f t="shared" ca="1" si="260"/>
        <v>5234120</v>
      </c>
      <c r="Z168" s="613">
        <v>0</v>
      </c>
      <c r="AA168" s="771">
        <f t="shared" ca="1" si="271"/>
        <v>5731600</v>
      </c>
      <c r="AB168" s="782">
        <f t="shared" ca="1" si="272"/>
        <v>5178230</v>
      </c>
      <c r="AC168" s="782">
        <f t="shared" ca="1" si="264"/>
        <v>4336220</v>
      </c>
      <c r="AD168" s="782">
        <f t="shared" ca="1" si="265"/>
        <v>3704750</v>
      </c>
      <c r="AE168" s="728">
        <v>0</v>
      </c>
      <c r="AF168" s="771">
        <f ca="1">gibon40!$U$12</f>
        <v>4289700</v>
      </c>
      <c r="AG168" s="784">
        <f t="shared" ca="1" si="273"/>
        <v>9146030</v>
      </c>
      <c r="AH168" s="784">
        <f t="shared" ca="1" si="262"/>
        <v>7658830</v>
      </c>
      <c r="AI168" s="784">
        <f t="shared" ca="1" si="263"/>
        <v>6543470</v>
      </c>
      <c r="AJ168" s="785">
        <v>0</v>
      </c>
      <c r="AK168" s="771">
        <f ca="1">gibon40!$U$27</f>
        <v>7165400</v>
      </c>
      <c r="AL168" s="786">
        <f t="shared" ca="1" si="274"/>
        <v>10523270</v>
      </c>
      <c r="AM168" s="786">
        <f t="shared" ca="1" si="266"/>
        <v>8812180</v>
      </c>
      <c r="AN168" s="786">
        <f t="shared" ca="1" si="267"/>
        <v>7528850</v>
      </c>
      <c r="AO168" s="787">
        <v>0</v>
      </c>
      <c r="AP168" s="771">
        <f ca="1">gibon40!$U$32</f>
        <v>8244400</v>
      </c>
    </row>
    <row r="169" spans="3:42" ht="20">
      <c r="C169" s="675">
        <f ca="1">VALUE('2047'!$D$1)</f>
        <v>2047</v>
      </c>
      <c r="Q169" s="99"/>
      <c r="S169" s="788" t="s">
        <v>598</v>
      </c>
      <c r="T169" s="160" t="s">
        <v>147</v>
      </c>
      <c r="U169" s="704">
        <f t="shared" ca="1" si="268"/>
        <v>2.5000000000000001E-2</v>
      </c>
      <c r="V169" s="144">
        <f t="shared" ca="1" si="269"/>
        <v>2.5000000000000001E-2</v>
      </c>
      <c r="W169" s="783">
        <f t="shared" ca="1" si="270"/>
        <v>7498780</v>
      </c>
      <c r="X169" s="783">
        <f t="shared" ca="1" si="259"/>
        <v>6279490</v>
      </c>
      <c r="Y169" s="783">
        <f t="shared" ca="1" si="260"/>
        <v>5364980</v>
      </c>
      <c r="Z169" s="613">
        <v>0</v>
      </c>
      <c r="AA169" s="771">
        <f t="shared" ca="1" si="271"/>
        <v>5874900</v>
      </c>
      <c r="AB169" s="782">
        <f t="shared" ca="1" si="272"/>
        <v>5307630</v>
      </c>
      <c r="AC169" s="782">
        <f t="shared" ca="1" si="264"/>
        <v>4444580</v>
      </c>
      <c r="AD169" s="782">
        <f t="shared" ca="1" si="265"/>
        <v>3797330</v>
      </c>
      <c r="AE169" s="728">
        <v>0</v>
      </c>
      <c r="AF169" s="771">
        <f ca="1">gibon40!$V$12</f>
        <v>4396900</v>
      </c>
      <c r="AG169" s="784">
        <f t="shared" ca="1" si="273"/>
        <v>9374640</v>
      </c>
      <c r="AH169" s="784">
        <f t="shared" ca="1" si="262"/>
        <v>7850260</v>
      </c>
      <c r="AI169" s="784">
        <f t="shared" ca="1" si="263"/>
        <v>6707020</v>
      </c>
      <c r="AJ169" s="785">
        <v>0</v>
      </c>
      <c r="AK169" s="771">
        <f ca="1">gibon40!$V$27</f>
        <v>7344500</v>
      </c>
      <c r="AL169" s="786">
        <f t="shared" ca="1" si="274"/>
        <v>10786340</v>
      </c>
      <c r="AM169" s="786">
        <f t="shared" ca="1" si="266"/>
        <v>9032470</v>
      </c>
      <c r="AN169" s="786">
        <f t="shared" ca="1" si="267"/>
        <v>7717060</v>
      </c>
      <c r="AO169" s="787">
        <v>0</v>
      </c>
      <c r="AP169" s="771">
        <f ca="1">gibon40!$V$32</f>
        <v>8450500</v>
      </c>
    </row>
    <row r="170" spans="3:42" ht="20">
      <c r="C170" s="675">
        <f ca="1">VALUE('2048'!$D$1)</f>
        <v>2048</v>
      </c>
      <c r="Q170" s="99"/>
      <c r="S170" s="788" t="s">
        <v>600</v>
      </c>
      <c r="T170" s="160" t="s">
        <v>149</v>
      </c>
      <c r="U170" s="704">
        <f t="shared" ca="1" si="268"/>
        <v>2.5000000000000001E-2</v>
      </c>
      <c r="V170" s="144">
        <f t="shared" ca="1" si="269"/>
        <v>2.5000000000000001E-2</v>
      </c>
      <c r="W170" s="783">
        <f t="shared" ca="1" si="270"/>
        <v>7686280</v>
      </c>
      <c r="X170" s="783">
        <f t="shared" ca="1" si="259"/>
        <v>6436510</v>
      </c>
      <c r="Y170" s="783">
        <f t="shared" ca="1" si="260"/>
        <v>5499130</v>
      </c>
      <c r="Z170" s="613">
        <v>0</v>
      </c>
      <c r="AA170" s="771">
        <f t="shared" ca="1" si="271"/>
        <v>6021800</v>
      </c>
      <c r="AB170" s="782">
        <f t="shared" ca="1" si="272"/>
        <v>5440290</v>
      </c>
      <c r="AC170" s="782">
        <f t="shared" ca="1" si="264"/>
        <v>4555670</v>
      </c>
      <c r="AD170" s="782">
        <f t="shared" ca="1" si="265"/>
        <v>3892240</v>
      </c>
      <c r="AE170" s="728">
        <v>0</v>
      </c>
      <c r="AF170" s="771">
        <f ca="1">gibon40!$W$12</f>
        <v>4506800</v>
      </c>
      <c r="AG170" s="784">
        <f t="shared" ca="1" si="273"/>
        <v>9608990</v>
      </c>
      <c r="AH170" s="784">
        <f t="shared" ca="1" si="262"/>
        <v>8046500</v>
      </c>
      <c r="AI170" s="784">
        <f t="shared" ca="1" si="263"/>
        <v>6874680</v>
      </c>
      <c r="AJ170" s="785">
        <v>0</v>
      </c>
      <c r="AK170" s="771">
        <f ca="1">gibon40!$W$27</f>
        <v>7528100</v>
      </c>
      <c r="AL170" s="786">
        <f t="shared" ca="1" si="274"/>
        <v>11056050</v>
      </c>
      <c r="AM170" s="786">
        <f t="shared" ca="1" si="266"/>
        <v>9258320</v>
      </c>
      <c r="AN170" s="786">
        <f t="shared" ca="1" si="267"/>
        <v>7910020</v>
      </c>
      <c r="AO170" s="787">
        <v>0</v>
      </c>
      <c r="AP170" s="771">
        <f ca="1">gibon40!$W$32</f>
        <v>8661800</v>
      </c>
    </row>
    <row r="171" spans="3:42" ht="20">
      <c r="C171" s="675">
        <f ca="1">VALUE('2049'!$D$1)</f>
        <v>2049</v>
      </c>
      <c r="Q171" s="99"/>
      <c r="S171" s="788" t="s">
        <v>597</v>
      </c>
      <c r="T171" s="160" t="s">
        <v>150</v>
      </c>
      <c r="U171" s="704">
        <f t="shared" ca="1" si="268"/>
        <v>2.5000000000000001E-2</v>
      </c>
      <c r="V171" s="144">
        <f t="shared" ca="1" si="269"/>
        <v>2.5000000000000001E-2</v>
      </c>
      <c r="W171" s="783">
        <f t="shared" ca="1" si="270"/>
        <v>7878380</v>
      </c>
      <c r="X171" s="783">
        <f t="shared" ca="1" si="259"/>
        <v>6597370</v>
      </c>
      <c r="Y171" s="783">
        <f t="shared" ca="1" si="260"/>
        <v>5636570</v>
      </c>
      <c r="Z171" s="613">
        <v>0</v>
      </c>
      <c r="AA171" s="771">
        <f t="shared" ca="1" si="271"/>
        <v>6172300</v>
      </c>
      <c r="AB171" s="782">
        <f t="shared" ca="1" si="272"/>
        <v>5576330</v>
      </c>
      <c r="AC171" s="782">
        <f t="shared" ca="1" si="264"/>
        <v>4669590</v>
      </c>
      <c r="AD171" s="782">
        <f t="shared" ca="1" si="265"/>
        <v>3989570</v>
      </c>
      <c r="AE171" s="728">
        <v>0</v>
      </c>
      <c r="AF171" s="771">
        <f ca="1">gibon40!$X$12</f>
        <v>4619500</v>
      </c>
      <c r="AG171" s="784">
        <f t="shared" ca="1" si="273"/>
        <v>9849210</v>
      </c>
      <c r="AH171" s="784">
        <f t="shared" ca="1" si="262"/>
        <v>8247660</v>
      </c>
      <c r="AI171" s="784">
        <f t="shared" ca="1" si="263"/>
        <v>7046540</v>
      </c>
      <c r="AJ171" s="785">
        <v>0</v>
      </c>
      <c r="AK171" s="771">
        <f ca="1">gibon40!$X$27</f>
        <v>7716300</v>
      </c>
      <c r="AL171" s="786">
        <f t="shared" ca="1" si="274"/>
        <v>11332390</v>
      </c>
      <c r="AM171" s="786">
        <f t="shared" ca="1" si="266"/>
        <v>9489730</v>
      </c>
      <c r="AN171" s="786">
        <f t="shared" ca="1" si="267"/>
        <v>8107730</v>
      </c>
      <c r="AO171" s="787">
        <v>0</v>
      </c>
      <c r="AP171" s="771">
        <f ca="1">gibon40!$X$32</f>
        <v>8878300</v>
      </c>
    </row>
    <row r="172" spans="3:42" ht="20">
      <c r="C172" s="675">
        <f ca="1">VALUE('2050'!$D$1)</f>
        <v>2050</v>
      </c>
      <c r="Q172" s="99"/>
      <c r="S172" s="788" t="s">
        <v>609</v>
      </c>
      <c r="T172" s="160" t="s">
        <v>146</v>
      </c>
      <c r="U172" s="704">
        <f t="shared" ca="1" si="268"/>
        <v>2.5000000000000001E-2</v>
      </c>
      <c r="V172" s="144">
        <f t="shared" ca="1" si="269"/>
        <v>2.5000000000000001E-2</v>
      </c>
      <c r="W172" s="783">
        <f t="shared" ca="1" si="270"/>
        <v>8075330</v>
      </c>
      <c r="X172" s="783">
        <f t="shared" ca="1" si="259"/>
        <v>6762300</v>
      </c>
      <c r="Y172" s="783">
        <f t="shared" ca="1" si="260"/>
        <v>5777480</v>
      </c>
      <c r="Z172" s="613">
        <v>0</v>
      </c>
      <c r="AA172" s="771">
        <f t="shared" ca="1" si="271"/>
        <v>6326600</v>
      </c>
      <c r="AB172" s="782">
        <f t="shared" ca="1" si="272"/>
        <v>5715750</v>
      </c>
      <c r="AC172" s="782">
        <f t="shared" ca="1" si="264"/>
        <v>4786340</v>
      </c>
      <c r="AD172" s="782">
        <f t="shared" ca="1" si="265"/>
        <v>4089320</v>
      </c>
      <c r="AE172" s="728">
        <v>0</v>
      </c>
      <c r="AF172" s="771">
        <f ca="1">gibon40!$Y$12</f>
        <v>4735000</v>
      </c>
      <c r="AG172" s="784">
        <f t="shared" ca="1" si="273"/>
        <v>10095430</v>
      </c>
      <c r="AH172" s="784">
        <f t="shared" ca="1" si="262"/>
        <v>8453840</v>
      </c>
      <c r="AI172" s="784">
        <f t="shared" ca="1" si="263"/>
        <v>7222700</v>
      </c>
      <c r="AJ172" s="785">
        <v>0</v>
      </c>
      <c r="AK172" s="771">
        <f ca="1">gibon40!$Y$27</f>
        <v>7909200</v>
      </c>
      <c r="AL172" s="786">
        <f t="shared" ca="1" si="274"/>
        <v>11615750</v>
      </c>
      <c r="AM172" s="786">
        <f t="shared" ca="1" si="266"/>
        <v>9727020</v>
      </c>
      <c r="AN172" s="786">
        <f t="shared" ca="1" si="267"/>
        <v>8310460</v>
      </c>
      <c r="AO172" s="787">
        <v>0</v>
      </c>
      <c r="AP172" s="771">
        <f ca="1">gibon40!$Y$32</f>
        <v>9100300</v>
      </c>
    </row>
    <row r="173" spans="3:42" ht="20">
      <c r="C173" s="675">
        <f ca="1">VALUE('2051'!$D$1)</f>
        <v>2051</v>
      </c>
      <c r="Q173" s="99"/>
      <c r="S173" s="788" t="s">
        <v>610</v>
      </c>
      <c r="T173" s="160" t="s">
        <v>162</v>
      </c>
      <c r="U173" s="704">
        <f t="shared" ca="1" si="268"/>
        <v>2.5000000000000001E-2</v>
      </c>
      <c r="V173" s="144">
        <f t="shared" ca="1" si="269"/>
        <v>2.5000000000000001E-2</v>
      </c>
      <c r="W173" s="783">
        <f t="shared" ca="1" si="270"/>
        <v>8277260</v>
      </c>
      <c r="X173" s="783">
        <f t="shared" ca="1" si="259"/>
        <v>6931390</v>
      </c>
      <c r="Y173" s="783">
        <f t="shared" ca="1" si="260"/>
        <v>5921950</v>
      </c>
      <c r="Z173" s="613">
        <v>0</v>
      </c>
      <c r="AA173" s="771">
        <f t="shared" ca="1" si="271"/>
        <v>6484800</v>
      </c>
      <c r="AB173" s="782">
        <f t="shared" ca="1" si="272"/>
        <v>5858670</v>
      </c>
      <c r="AC173" s="782">
        <f t="shared" ca="1" si="264"/>
        <v>4906020</v>
      </c>
      <c r="AD173" s="782">
        <f t="shared" ca="1" si="265"/>
        <v>4191570</v>
      </c>
      <c r="AE173" s="728">
        <v>0</v>
      </c>
      <c r="AF173" s="771">
        <f ca="1">gibon40!$Z$12</f>
        <v>4853400</v>
      </c>
      <c r="AG173" s="784">
        <f t="shared" ca="1" si="273"/>
        <v>10347780</v>
      </c>
      <c r="AH173" s="784">
        <f t="shared" ca="1" si="262"/>
        <v>8665150</v>
      </c>
      <c r="AI173" s="784">
        <f t="shared" ca="1" si="263"/>
        <v>7403240</v>
      </c>
      <c r="AJ173" s="785">
        <v>0</v>
      </c>
      <c r="AK173" s="771">
        <f ca="1">gibon40!$Z$27</f>
        <v>8106900</v>
      </c>
      <c r="AL173" s="786">
        <f t="shared" ca="1" si="274"/>
        <v>11906130</v>
      </c>
      <c r="AM173" s="786">
        <f t="shared" ca="1" si="266"/>
        <v>9970190</v>
      </c>
      <c r="AN173" s="786">
        <f t="shared" ca="1" si="267"/>
        <v>8518210</v>
      </c>
      <c r="AO173" s="787">
        <v>0</v>
      </c>
      <c r="AP173" s="771">
        <f ca="1">gibon40!$Z$32</f>
        <v>9327800</v>
      </c>
    </row>
    <row r="174" spans="3:42" ht="20">
      <c r="C174" s="675">
        <f ca="1">VALUE('2052'!$D$1)</f>
        <v>2052</v>
      </c>
      <c r="Q174" s="99"/>
      <c r="S174" s="788" t="s">
        <v>595</v>
      </c>
      <c r="T174" s="160" t="s">
        <v>158</v>
      </c>
      <c r="U174" s="704">
        <f t="shared" ca="1" si="268"/>
        <v>2.5000000000000001E-2</v>
      </c>
      <c r="V174" s="144">
        <f t="shared" ca="1" si="269"/>
        <v>2.5000000000000001E-2</v>
      </c>
      <c r="W174" s="783">
        <f t="shared" ca="1" si="270"/>
        <v>8484170</v>
      </c>
      <c r="X174" s="783">
        <f t="shared" ca="1" si="259"/>
        <v>7104650</v>
      </c>
      <c r="Y174" s="783">
        <f t="shared" ca="1" si="260"/>
        <v>6069980</v>
      </c>
      <c r="Z174" s="613">
        <v>0</v>
      </c>
      <c r="AA174" s="771">
        <f t="shared" ca="1" si="271"/>
        <v>6646900</v>
      </c>
      <c r="AB174" s="782">
        <f t="shared" ca="1" si="272"/>
        <v>6005090</v>
      </c>
      <c r="AC174" s="782">
        <f t="shared" ca="1" si="264"/>
        <v>5028640</v>
      </c>
      <c r="AD174" s="782">
        <f t="shared" ca="1" si="265"/>
        <v>4296330</v>
      </c>
      <c r="AE174" s="728">
        <v>0</v>
      </c>
      <c r="AF174" s="771">
        <f ca="1">gibon40!$AA$12</f>
        <v>4974700</v>
      </c>
      <c r="AG174" s="784">
        <f t="shared" ca="1" si="273"/>
        <v>10606510</v>
      </c>
      <c r="AH174" s="784">
        <f t="shared" ca="1" si="262"/>
        <v>8881810</v>
      </c>
      <c r="AI174" s="784">
        <f t="shared" ca="1" si="263"/>
        <v>7588350</v>
      </c>
      <c r="AJ174" s="785">
        <v>0</v>
      </c>
      <c r="AK174" s="771">
        <f ca="1">gibon40!$AA$27</f>
        <v>8309600</v>
      </c>
      <c r="AL174" s="786">
        <f t="shared" ca="1" si="274"/>
        <v>12203790</v>
      </c>
      <c r="AM174" s="786">
        <f t="shared" ca="1" si="266"/>
        <v>10219450</v>
      </c>
      <c r="AN174" s="786">
        <f t="shared" ca="1" si="267"/>
        <v>8731170</v>
      </c>
      <c r="AO174" s="787">
        <v>0</v>
      </c>
      <c r="AP174" s="771">
        <f ca="1">gibon40!$AA$32</f>
        <v>9561000</v>
      </c>
    </row>
    <row r="175" spans="3:42" ht="20">
      <c r="C175" s="675">
        <f ca="1">VALUE('2053'!$D$1)</f>
        <v>2053</v>
      </c>
      <c r="Q175" s="99"/>
      <c r="S175" s="788" t="s">
        <v>592</v>
      </c>
      <c r="T175" s="160" t="s">
        <v>116</v>
      </c>
      <c r="U175" s="704">
        <f t="shared" ca="1" si="268"/>
        <v>2.5000000000000001E-2</v>
      </c>
      <c r="V175" s="144">
        <f t="shared" ca="1" si="269"/>
        <v>2.5000000000000001E-2</v>
      </c>
      <c r="W175" s="783">
        <f t="shared" ca="1" si="270"/>
        <v>8696310</v>
      </c>
      <c r="X175" s="783">
        <f t="shared" ca="1" si="259"/>
        <v>7282300</v>
      </c>
      <c r="Y175" s="783">
        <f t="shared" ca="1" si="260"/>
        <v>6221750</v>
      </c>
      <c r="Z175" s="613">
        <v>0</v>
      </c>
      <c r="AA175" s="771">
        <f t="shared" ca="1" si="271"/>
        <v>6813100</v>
      </c>
      <c r="AB175" s="782">
        <f t="shared" ca="1" si="272"/>
        <v>6155260</v>
      </c>
      <c r="AC175" s="782">
        <f t="shared" ca="1" si="264"/>
        <v>5154390</v>
      </c>
      <c r="AD175" s="782">
        <f t="shared" ca="1" si="265"/>
        <v>4403770</v>
      </c>
      <c r="AE175" s="728">
        <v>0</v>
      </c>
      <c r="AF175" s="771">
        <f ca="1">gibon40!$AB$12</f>
        <v>5099100</v>
      </c>
      <c r="AG175" s="784">
        <f t="shared" ca="1" si="273"/>
        <v>10871620</v>
      </c>
      <c r="AH175" s="784">
        <f t="shared" ca="1" si="262"/>
        <v>9103810</v>
      </c>
      <c r="AI175" s="784">
        <f t="shared" ca="1" si="263"/>
        <v>7778020</v>
      </c>
      <c r="AJ175" s="785">
        <v>0</v>
      </c>
      <c r="AK175" s="771">
        <f ca="1">gibon40!$AB$27</f>
        <v>8517300</v>
      </c>
      <c r="AL175" s="786">
        <f t="shared" ca="1" si="274"/>
        <v>12508850</v>
      </c>
      <c r="AM175" s="786">
        <f t="shared" ca="1" si="266"/>
        <v>10474910</v>
      </c>
      <c r="AN175" s="786">
        <f t="shared" ca="1" si="267"/>
        <v>8949430</v>
      </c>
      <c r="AO175" s="787">
        <v>0</v>
      </c>
      <c r="AP175" s="771">
        <f ca="1">gibon40!$AB$32</f>
        <v>9800000</v>
      </c>
    </row>
    <row r="176" spans="3:42" ht="20">
      <c r="C176" s="675">
        <f ca="1">VALUE('2054'!$D$1)</f>
        <v>2054</v>
      </c>
      <c r="Q176" s="99"/>
      <c r="S176" s="788" t="s">
        <v>590</v>
      </c>
      <c r="T176" s="160" t="s">
        <v>166</v>
      </c>
      <c r="U176" s="704">
        <f t="shared" ca="1" si="268"/>
        <v>2.5000000000000001E-2</v>
      </c>
      <c r="V176" s="144">
        <f t="shared" ca="1" si="269"/>
        <v>2.5000000000000001E-2</v>
      </c>
      <c r="W176" s="783">
        <f t="shared" ca="1" si="270"/>
        <v>8913680</v>
      </c>
      <c r="X176" s="783">
        <f t="shared" ca="1" si="259"/>
        <v>7464330</v>
      </c>
      <c r="Y176" s="783">
        <f t="shared" ca="1" si="260"/>
        <v>6377270</v>
      </c>
      <c r="Z176" s="613">
        <v>0</v>
      </c>
      <c r="AA176" s="771">
        <f t="shared" ca="1" si="271"/>
        <v>6983400</v>
      </c>
      <c r="AB176" s="782">
        <f t="shared" ca="1" si="272"/>
        <v>6309170</v>
      </c>
      <c r="AC176" s="782">
        <f t="shared" ca="1" si="264"/>
        <v>5283270</v>
      </c>
      <c r="AD176" s="782">
        <f t="shared" ca="1" si="265"/>
        <v>4513880</v>
      </c>
      <c r="AE176" s="728">
        <v>0</v>
      </c>
      <c r="AF176" s="771">
        <f ca="1">gibon40!$AC$12</f>
        <v>5226600</v>
      </c>
      <c r="AG176" s="784">
        <f t="shared" ca="1" si="273"/>
        <v>11143370</v>
      </c>
      <c r="AH176" s="784">
        <f t="shared" ca="1" si="262"/>
        <v>9331370</v>
      </c>
      <c r="AI176" s="784">
        <f t="shared" ca="1" si="263"/>
        <v>7972440</v>
      </c>
      <c r="AJ176" s="785">
        <v>0</v>
      </c>
      <c r="AK176" s="771">
        <f ca="1">gibon40!$AC$27</f>
        <v>8730200</v>
      </c>
      <c r="AL176" s="786">
        <f t="shared" ca="1" si="274"/>
        <v>12821570</v>
      </c>
      <c r="AM176" s="786">
        <f t="shared" ca="1" si="266"/>
        <v>10736780</v>
      </c>
      <c r="AN176" s="786">
        <f t="shared" ca="1" si="267"/>
        <v>9173170</v>
      </c>
      <c r="AO176" s="787">
        <v>0</v>
      </c>
      <c r="AP176" s="771">
        <f ca="1">gibon40!$AC$32</f>
        <v>10045000</v>
      </c>
    </row>
    <row r="177" spans="3:42" ht="20">
      <c r="C177" s="675">
        <f ca="1">VALUE('2055'!$D$1)</f>
        <v>2055</v>
      </c>
      <c r="Q177" s="99"/>
      <c r="S177" s="788" t="s">
        <v>603</v>
      </c>
      <c r="T177" s="160" t="s">
        <v>172</v>
      </c>
      <c r="U177" s="704">
        <f t="shared" ca="1" si="268"/>
        <v>2.5000000000000001E-2</v>
      </c>
      <c r="V177" s="144">
        <f t="shared" ca="1" si="269"/>
        <v>2.5000000000000001E-2</v>
      </c>
      <c r="W177" s="783">
        <f t="shared" ca="1" si="270"/>
        <v>9136540</v>
      </c>
      <c r="X177" s="783">
        <f t="shared" ca="1" si="259"/>
        <v>7650950</v>
      </c>
      <c r="Y177" s="783">
        <f t="shared" ca="1" si="260"/>
        <v>6536720</v>
      </c>
      <c r="Z177" s="613">
        <v>0</v>
      </c>
      <c r="AA177" s="771">
        <f t="shared" ca="1" si="271"/>
        <v>7158000</v>
      </c>
      <c r="AB177" s="782">
        <f t="shared" ca="1" si="272"/>
        <v>6466940</v>
      </c>
      <c r="AC177" s="782">
        <f t="shared" ca="1" si="264"/>
        <v>5415390</v>
      </c>
      <c r="AD177" s="782">
        <f t="shared" ca="1" si="265"/>
        <v>4626760</v>
      </c>
      <c r="AE177" s="728">
        <v>0</v>
      </c>
      <c r="AF177" s="771">
        <f ca="1">gibon40!$AD$12</f>
        <v>5357300</v>
      </c>
      <c r="AG177" s="784">
        <f t="shared" ca="1" si="273"/>
        <v>11422010</v>
      </c>
      <c r="AH177" s="784">
        <f t="shared" ca="1" si="262"/>
        <v>9564700</v>
      </c>
      <c r="AI177" s="784">
        <f t="shared" ca="1" si="263"/>
        <v>8171790</v>
      </c>
      <c r="AJ177" s="785">
        <v>0</v>
      </c>
      <c r="AK177" s="771">
        <f ca="1">gibon40!$AD$27</f>
        <v>8948500</v>
      </c>
      <c r="AL177" s="786">
        <f t="shared" ca="1" si="274"/>
        <v>13142080</v>
      </c>
      <c r="AM177" s="786">
        <f t="shared" ca="1" si="266"/>
        <v>11005170</v>
      </c>
      <c r="AN177" s="786">
        <f t="shared" ca="1" si="267"/>
        <v>9402480</v>
      </c>
      <c r="AO177" s="787">
        <v>0</v>
      </c>
      <c r="AP177" s="771">
        <f ca="1">gibon40!$AD$32</f>
        <v>10296100</v>
      </c>
    </row>
    <row r="178" spans="3:42" ht="20">
      <c r="C178" s="675">
        <f ca="1">VALUE('2056'!$D$1)</f>
        <v>2056</v>
      </c>
      <c r="Q178" s="99"/>
      <c r="S178" s="788" t="s">
        <v>583</v>
      </c>
      <c r="T178" s="160" t="s">
        <v>164</v>
      </c>
      <c r="U178" s="704">
        <f t="shared" ca="1" si="268"/>
        <v>2.5000000000000001E-2</v>
      </c>
      <c r="V178" s="144">
        <f t="shared" ca="1" si="269"/>
        <v>2.5000000000000001E-2</v>
      </c>
      <c r="W178" s="783">
        <f t="shared" ca="1" si="270"/>
        <v>9365020</v>
      </c>
      <c r="X178" s="783">
        <f t="shared" ca="1" si="259"/>
        <v>7842280</v>
      </c>
      <c r="Y178" s="783">
        <f t="shared" ca="1" si="260"/>
        <v>6700180</v>
      </c>
      <c r="Z178" s="613">
        <v>0</v>
      </c>
      <c r="AA178" s="771">
        <f t="shared" ca="1" si="271"/>
        <v>7337000</v>
      </c>
      <c r="AB178" s="782">
        <f t="shared" ca="1" si="272"/>
        <v>6628570</v>
      </c>
      <c r="AC178" s="782">
        <f t="shared" ca="1" si="264"/>
        <v>5550740</v>
      </c>
      <c r="AD178" s="782">
        <f t="shared" ca="1" si="265"/>
        <v>4742400</v>
      </c>
      <c r="AE178" s="728">
        <v>0</v>
      </c>
      <c r="AF178" s="771">
        <f ca="1">gibon40!$AE$12</f>
        <v>5491200</v>
      </c>
      <c r="AG178" s="784">
        <f t="shared" ca="1" si="273"/>
        <v>11707540</v>
      </c>
      <c r="AH178" s="784">
        <f t="shared" ca="1" si="262"/>
        <v>9803800</v>
      </c>
      <c r="AI178" s="784">
        <f t="shared" ca="1" si="263"/>
        <v>8376070</v>
      </c>
      <c r="AJ178" s="785">
        <v>0</v>
      </c>
      <c r="AK178" s="771">
        <f ca="1">gibon40!$AE$27</f>
        <v>9172200</v>
      </c>
      <c r="AL178" s="786">
        <f t="shared" ca="1" si="274"/>
        <v>13470630</v>
      </c>
      <c r="AM178" s="786">
        <f t="shared" ca="1" si="266"/>
        <v>11280300</v>
      </c>
      <c r="AN178" s="786">
        <f t="shared" ca="1" si="267"/>
        <v>9637540</v>
      </c>
      <c r="AO178" s="787">
        <v>0</v>
      </c>
      <c r="AP178" s="771">
        <f ca="1">gibon40!$AE$32</f>
        <v>10553500</v>
      </c>
    </row>
    <row r="179" spans="3:42" ht="20">
      <c r="C179" s="675">
        <f ca="1">VALUE('2057'!$D$1)</f>
        <v>2057</v>
      </c>
      <c r="Q179" s="99"/>
      <c r="S179" s="788" t="s">
        <v>606</v>
      </c>
      <c r="T179" s="160" t="s">
        <v>117</v>
      </c>
      <c r="U179" s="704">
        <f t="shared" ca="1" si="268"/>
        <v>2.5000000000000001E-2</v>
      </c>
      <c r="V179" s="144">
        <f t="shared" ca="1" si="269"/>
        <v>2.5000000000000001E-2</v>
      </c>
      <c r="W179" s="783">
        <f t="shared" ca="1" si="270"/>
        <v>9599110</v>
      </c>
      <c r="X179" s="783">
        <f t="shared" ca="1" si="259"/>
        <v>8038310</v>
      </c>
      <c r="Y179" s="783">
        <f t="shared" ca="1" si="260"/>
        <v>6867660</v>
      </c>
      <c r="Z179" s="613">
        <v>0</v>
      </c>
      <c r="AA179" s="771">
        <f t="shared" ca="1" si="271"/>
        <v>7520400</v>
      </c>
      <c r="AB179" s="782">
        <f t="shared" ca="1" si="272"/>
        <v>6794310</v>
      </c>
      <c r="AC179" s="782">
        <f t="shared" ca="1" si="264"/>
        <v>5689530</v>
      </c>
      <c r="AD179" s="782">
        <f t="shared" ca="1" si="265"/>
        <v>4860980</v>
      </c>
      <c r="AE179" s="728">
        <v>0</v>
      </c>
      <c r="AF179" s="771">
        <f ca="1">gibon40!$AF$12</f>
        <v>5628500</v>
      </c>
      <c r="AG179" s="784">
        <f t="shared" ca="1" si="273"/>
        <v>12000220</v>
      </c>
      <c r="AH179" s="784">
        <f t="shared" ca="1" si="262"/>
        <v>10048890</v>
      </c>
      <c r="AI179" s="784">
        <f t="shared" ca="1" si="263"/>
        <v>8585470</v>
      </c>
      <c r="AJ179" s="785">
        <v>0</v>
      </c>
      <c r="AK179" s="771">
        <f ca="1">gibon40!$AF$27</f>
        <v>9401500</v>
      </c>
      <c r="AL179" s="786">
        <f t="shared" ca="1" si="274"/>
        <v>13807350</v>
      </c>
      <c r="AM179" s="786">
        <f t="shared" ca="1" si="266"/>
        <v>11562270</v>
      </c>
      <c r="AN179" s="786">
        <f t="shared" ca="1" si="267"/>
        <v>9878440</v>
      </c>
      <c r="AO179" s="787">
        <v>0</v>
      </c>
      <c r="AP179" s="771">
        <f ca="1">gibon40!$AF$32</f>
        <v>10817300</v>
      </c>
    </row>
    <row r="180" spans="3:42" ht="20">
      <c r="C180" s="675">
        <f ca="1">VALUE('2058'!$D$1)</f>
        <v>2058</v>
      </c>
      <c r="Q180" s="99"/>
      <c r="S180" s="788" t="s">
        <v>611</v>
      </c>
      <c r="T180" s="160" t="s">
        <v>159</v>
      </c>
      <c r="U180" s="704">
        <f t="shared" ca="1" si="268"/>
        <v>2.5000000000000001E-2</v>
      </c>
      <c r="V180" s="144">
        <f t="shared" ca="1" si="269"/>
        <v>2.5000000000000001E-2</v>
      </c>
      <c r="W180" s="783">
        <f t="shared" ca="1" si="270"/>
        <v>9839070</v>
      </c>
      <c r="X180" s="783">
        <f t="shared" ca="1" si="259"/>
        <v>8239260</v>
      </c>
      <c r="Y180" s="783">
        <f t="shared" ca="1" si="260"/>
        <v>7039340</v>
      </c>
      <c r="Z180" s="613">
        <v>0</v>
      </c>
      <c r="AA180" s="771">
        <f t="shared" ca="1" si="271"/>
        <v>7708400</v>
      </c>
      <c r="AB180" s="782">
        <f t="shared" ca="1" si="272"/>
        <v>6964150</v>
      </c>
      <c r="AC180" s="782">
        <f t="shared" ca="1" si="264"/>
        <v>5831760</v>
      </c>
      <c r="AD180" s="782">
        <f t="shared" ca="1" si="265"/>
        <v>4982490</v>
      </c>
      <c r="AE180" s="728">
        <v>0</v>
      </c>
      <c r="AF180" s="771">
        <f ca="1">gibon40!$AG$12</f>
        <v>5769200</v>
      </c>
      <c r="AG180" s="784">
        <f t="shared" ca="1" si="273"/>
        <v>12300180</v>
      </c>
      <c r="AH180" s="784">
        <f t="shared" ca="1" si="262"/>
        <v>10300070</v>
      </c>
      <c r="AI180" s="784">
        <f t="shared" ca="1" si="263"/>
        <v>8800070</v>
      </c>
      <c r="AJ180" s="785">
        <v>0</v>
      </c>
      <c r="AK180" s="771">
        <f ca="1">gibon40!$AG$27</f>
        <v>9636500</v>
      </c>
      <c r="AL180" s="786">
        <f t="shared" ca="1" si="274"/>
        <v>14152490</v>
      </c>
      <c r="AM180" s="786">
        <f t="shared" ca="1" si="266"/>
        <v>11851290</v>
      </c>
      <c r="AN180" s="786">
        <f t="shared" ca="1" si="267"/>
        <v>10125370</v>
      </c>
      <c r="AO180" s="787">
        <v>0</v>
      </c>
      <c r="AP180" s="771">
        <f ca="1">gibon40!$AG$32</f>
        <v>11087700</v>
      </c>
    </row>
    <row r="181" spans="3:42" ht="20">
      <c r="C181" s="675">
        <f ca="1">VALUE('2059'!$D$1)</f>
        <v>2059</v>
      </c>
      <c r="Q181" s="99"/>
      <c r="S181" s="788" t="s">
        <v>599</v>
      </c>
      <c r="T181" s="160" t="s">
        <v>157</v>
      </c>
      <c r="U181" s="704">
        <f t="shared" ca="1" si="268"/>
        <v>2.5000000000000001E-2</v>
      </c>
      <c r="V181" s="144">
        <f t="shared" ca="1" si="269"/>
        <v>2.5000000000000001E-2</v>
      </c>
      <c r="W181" s="783">
        <f t="shared" ca="1" si="270"/>
        <v>10085030</v>
      </c>
      <c r="X181" s="783">
        <f t="shared" ca="1" si="259"/>
        <v>8445230</v>
      </c>
      <c r="Y181" s="783">
        <f t="shared" ca="1" si="260"/>
        <v>7215310</v>
      </c>
      <c r="Z181" s="613">
        <v>0</v>
      </c>
      <c r="AA181" s="771">
        <f t="shared" ca="1" si="271"/>
        <v>7901100</v>
      </c>
      <c r="AB181" s="782">
        <f t="shared" ca="1" si="272"/>
        <v>7138220</v>
      </c>
      <c r="AC181" s="782">
        <f t="shared" ca="1" si="264"/>
        <v>5977520</v>
      </c>
      <c r="AD181" s="782">
        <f t="shared" ca="1" si="265"/>
        <v>5107030</v>
      </c>
      <c r="AE181" s="728">
        <v>0</v>
      </c>
      <c r="AF181" s="771">
        <f ca="1">gibon40!$AH$12</f>
        <v>5913400</v>
      </c>
      <c r="AG181" s="784">
        <f t="shared" ca="1" si="273"/>
        <v>12607670</v>
      </c>
      <c r="AH181" s="784">
        <f t="shared" ca="1" si="262"/>
        <v>10557560</v>
      </c>
      <c r="AI181" s="784">
        <f t="shared" ca="1" si="263"/>
        <v>9020060</v>
      </c>
      <c r="AJ181" s="785">
        <v>0</v>
      </c>
      <c r="AK181" s="771">
        <f ca="1">gibon40!$AH$27</f>
        <v>9877400</v>
      </c>
      <c r="AL181" s="786">
        <f t="shared" ca="1" si="274"/>
        <v>14506310</v>
      </c>
      <c r="AM181" s="786">
        <f t="shared" ca="1" si="266"/>
        <v>12147580</v>
      </c>
      <c r="AN181" s="786">
        <f t="shared" ca="1" si="267"/>
        <v>10378510</v>
      </c>
      <c r="AO181" s="787">
        <v>0</v>
      </c>
      <c r="AP181" s="771">
        <f ca="1">gibon40!$AH$32</f>
        <v>11364900</v>
      </c>
    </row>
    <row r="182" spans="3:42" ht="20">
      <c r="C182" s="675">
        <f ca="1">VALUE('2060'!$D$1)</f>
        <v>2060</v>
      </c>
      <c r="Q182" s="99"/>
      <c r="S182" s="788" t="s">
        <v>587</v>
      </c>
      <c r="T182" s="160" t="s">
        <v>160</v>
      </c>
      <c r="U182" s="704">
        <f t="shared" ca="1" si="268"/>
        <v>2.5000000000000001E-2</v>
      </c>
      <c r="V182" s="144">
        <f t="shared" ca="1" si="269"/>
        <v>2.5000000000000001E-2</v>
      </c>
      <c r="W182" s="783">
        <f t="shared" ca="1" si="270"/>
        <v>10337120</v>
      </c>
      <c r="X182" s="783">
        <f t="shared" ca="1" si="259"/>
        <v>8656330</v>
      </c>
      <c r="Y182" s="783">
        <f t="shared" ca="1" si="260"/>
        <v>7395670</v>
      </c>
      <c r="Z182" s="613">
        <v>0</v>
      </c>
      <c r="AA182" s="771">
        <f t="shared" ca="1" si="271"/>
        <v>8098600</v>
      </c>
      <c r="AB182" s="782">
        <f t="shared" ca="1" si="272"/>
        <v>7316630</v>
      </c>
      <c r="AC182" s="782">
        <f t="shared" ca="1" si="264"/>
        <v>6126920</v>
      </c>
      <c r="AD182" s="782">
        <f t="shared" ca="1" si="265"/>
        <v>5234680</v>
      </c>
      <c r="AE182" s="728">
        <v>0</v>
      </c>
      <c r="AF182" s="771">
        <f ca="1">gibon40!AI$12</f>
        <v>6061200</v>
      </c>
      <c r="AG182" s="784">
        <f t="shared" ca="1" si="273"/>
        <v>12922820</v>
      </c>
      <c r="AH182" s="784">
        <f t="shared" ca="1" si="262"/>
        <v>10821460</v>
      </c>
      <c r="AI182" s="784">
        <f t="shared" ca="1" si="263"/>
        <v>9245530</v>
      </c>
      <c r="AJ182" s="785">
        <v>0</v>
      </c>
      <c r="AK182" s="771">
        <f ca="1">gibon40!AI$27</f>
        <v>10124300</v>
      </c>
      <c r="AL182" s="786">
        <f t="shared" ca="1" si="274"/>
        <v>14868940</v>
      </c>
      <c r="AM182" s="786">
        <f t="shared" ca="1" si="266"/>
        <v>12451250</v>
      </c>
      <c r="AN182" s="786">
        <f t="shared" ca="1" si="267"/>
        <v>10637950</v>
      </c>
      <c r="AO182" s="787">
        <v>0</v>
      </c>
      <c r="AP182" s="771">
        <f ca="1">gibon40!AI$32</f>
        <v>11649000</v>
      </c>
    </row>
    <row r="183" spans="3:42" ht="20">
      <c r="C183" s="675">
        <f ca="1">VALUE('2061'!$D$1)</f>
        <v>2061</v>
      </c>
      <c r="Q183" s="99"/>
      <c r="S183" s="788" t="s">
        <v>589</v>
      </c>
      <c r="T183" s="160" t="s">
        <v>161</v>
      </c>
      <c r="U183" s="704">
        <f t="shared" ca="1" si="268"/>
        <v>2.5000000000000001E-2</v>
      </c>
      <c r="V183" s="144">
        <f t="shared" ca="1" si="269"/>
        <v>2.5000000000000001E-2</v>
      </c>
      <c r="W183" s="783">
        <f t="shared" ca="1" si="270"/>
        <v>10595590</v>
      </c>
      <c r="X183" s="783">
        <f t="shared" ca="1" si="259"/>
        <v>8872780</v>
      </c>
      <c r="Y183" s="783">
        <f t="shared" ca="1" si="260"/>
        <v>7580590</v>
      </c>
      <c r="Z183" s="613">
        <v>0</v>
      </c>
      <c r="AA183" s="771">
        <f t="shared" ca="1" si="271"/>
        <v>8301100</v>
      </c>
      <c r="AB183" s="782">
        <f t="shared" ca="1" si="272"/>
        <v>7499510</v>
      </c>
      <c r="AC183" s="782">
        <f t="shared" ca="1" si="264"/>
        <v>6280060</v>
      </c>
      <c r="AD183" s="782">
        <f t="shared" ca="1" si="265"/>
        <v>5365520</v>
      </c>
      <c r="AE183" s="728">
        <v>0</v>
      </c>
      <c r="AF183" s="771">
        <f ca="1">gibon40!$AJ$12</f>
        <v>6212700</v>
      </c>
      <c r="AG183" s="784">
        <f t="shared" ca="1" si="273"/>
        <v>13245880</v>
      </c>
      <c r="AH183" s="784">
        <f t="shared" ca="1" si="262"/>
        <v>11091990</v>
      </c>
      <c r="AI183" s="784">
        <f t="shared" ca="1" si="263"/>
        <v>9476660</v>
      </c>
      <c r="AJ183" s="785">
        <v>0</v>
      </c>
      <c r="AK183" s="771">
        <f ca="1">gibon40!$AJ$27</f>
        <v>10377400</v>
      </c>
      <c r="AL183" s="786">
        <f t="shared" ca="1" si="274"/>
        <v>15240630</v>
      </c>
      <c r="AM183" s="786">
        <f t="shared" ca="1" si="266"/>
        <v>12762500</v>
      </c>
      <c r="AN183" s="786">
        <f t="shared" ca="1" si="267"/>
        <v>10903880</v>
      </c>
      <c r="AO183" s="787">
        <v>0</v>
      </c>
      <c r="AP183" s="771">
        <f ca="1">gibon40!$AJ$32</f>
        <v>11940200</v>
      </c>
    </row>
    <row r="184" spans="3:42" ht="20">
      <c r="C184" s="675">
        <f ca="1">VALUE('2062'!$D$1)</f>
        <v>2062</v>
      </c>
      <c r="Q184" s="99"/>
      <c r="S184" s="788" t="s">
        <v>578</v>
      </c>
      <c r="T184" s="160" t="s">
        <v>152</v>
      </c>
      <c r="U184" s="704">
        <f t="shared" ca="1" si="268"/>
        <v>2.5000000000000001E-2</v>
      </c>
      <c r="V184" s="144">
        <f t="shared" ca="1" si="269"/>
        <v>2.5000000000000001E-2</v>
      </c>
      <c r="W184" s="783">
        <f t="shared" ca="1" si="270"/>
        <v>10860440</v>
      </c>
      <c r="X184" s="783">
        <f t="shared" ca="1" si="259"/>
        <v>9094570</v>
      </c>
      <c r="Y184" s="783">
        <f t="shared" ca="1" si="260"/>
        <v>7770080</v>
      </c>
      <c r="Z184" s="613">
        <v>0</v>
      </c>
      <c r="AA184" s="771">
        <f t="shared" ca="1" si="271"/>
        <v>8508600</v>
      </c>
      <c r="AB184" s="782">
        <f t="shared" ca="1" si="272"/>
        <v>7686980</v>
      </c>
      <c r="AC184" s="782">
        <f t="shared" ca="1" si="264"/>
        <v>6437040</v>
      </c>
      <c r="AD184" s="782">
        <f t="shared" ca="1" si="265"/>
        <v>5499640</v>
      </c>
      <c r="AE184" s="728">
        <v>0</v>
      </c>
      <c r="AF184" s="771">
        <f ca="1">gibon40!$AK$12</f>
        <v>6368000</v>
      </c>
      <c r="AG184" s="784">
        <f t="shared" ca="1" si="273"/>
        <v>13576980</v>
      </c>
      <c r="AH184" s="784">
        <f t="shared" ca="1" si="262"/>
        <v>11369250</v>
      </c>
      <c r="AI184" s="784">
        <f t="shared" ca="1" si="263"/>
        <v>9713540</v>
      </c>
      <c r="AJ184" s="785">
        <v>0</v>
      </c>
      <c r="AK184" s="771">
        <f ca="1">gibon40!$AK$27</f>
        <v>10636800</v>
      </c>
      <c r="AL184" s="786">
        <f t="shared" ca="1" si="274"/>
        <v>15621640</v>
      </c>
      <c r="AM184" s="786">
        <f t="shared" ca="1" si="266"/>
        <v>13081560</v>
      </c>
      <c r="AN184" s="786">
        <f t="shared" ca="1" si="267"/>
        <v>11176470</v>
      </c>
      <c r="AO184" s="787">
        <v>0</v>
      </c>
      <c r="AP184" s="771">
        <f ca="1">gibon40!$AK$32</f>
        <v>12238700</v>
      </c>
    </row>
    <row r="185" spans="3:42" ht="20">
      <c r="C185" s="675">
        <f ca="1">VALUE('2063'!$D$1)</f>
        <v>2063</v>
      </c>
      <c r="Q185" s="99"/>
      <c r="S185" s="788" t="s">
        <v>552</v>
      </c>
      <c r="T185" s="160" t="s">
        <v>176</v>
      </c>
      <c r="U185" s="704">
        <f t="shared" ca="1" si="268"/>
        <v>2.5000000000000001E-2</v>
      </c>
      <c r="V185" s="144">
        <f t="shared" ca="1" si="269"/>
        <v>2.5000000000000001E-2</v>
      </c>
      <c r="W185" s="783">
        <f t="shared" ca="1" si="270"/>
        <v>11131930</v>
      </c>
      <c r="X185" s="783">
        <f t="shared" ca="1" si="259"/>
        <v>9321920</v>
      </c>
      <c r="Y185" s="783">
        <f t="shared" ca="1" si="260"/>
        <v>7964320</v>
      </c>
      <c r="Z185" s="613">
        <v>0</v>
      </c>
      <c r="AA185" s="771">
        <f t="shared" ca="1" si="271"/>
        <v>8721300</v>
      </c>
      <c r="AB185" s="782">
        <f t="shared" ca="1" si="272"/>
        <v>7879150</v>
      </c>
      <c r="AC185" s="782">
        <f t="shared" ca="1" si="264"/>
        <v>6597970</v>
      </c>
      <c r="AD185" s="782">
        <f t="shared" ca="1" si="265"/>
        <v>5637130</v>
      </c>
      <c r="AE185" s="728">
        <v>0</v>
      </c>
      <c r="AF185" s="771">
        <f ca="1">gibon40!$AL$12</f>
        <v>6527200</v>
      </c>
      <c r="AG185" s="784">
        <f t="shared" ca="1" si="273"/>
        <v>13916380</v>
      </c>
      <c r="AH185" s="784">
        <f t="shared" ca="1" si="262"/>
        <v>11653460</v>
      </c>
      <c r="AI185" s="784">
        <f t="shared" ca="1" si="263"/>
        <v>9956360</v>
      </c>
      <c r="AJ185" s="785">
        <v>0</v>
      </c>
      <c r="AK185" s="771">
        <f ca="1">gibon40!$AL$27</f>
        <v>10902700</v>
      </c>
      <c r="AL185" s="786">
        <f t="shared" ca="1" si="274"/>
        <v>16012220</v>
      </c>
      <c r="AM185" s="786">
        <f t="shared" ca="1" si="266"/>
        <v>13408630</v>
      </c>
      <c r="AN185" s="786">
        <f t="shared" ca="1" si="267"/>
        <v>11455910</v>
      </c>
      <c r="AO185" s="787">
        <v>0</v>
      </c>
      <c r="AP185" s="771">
        <f ca="1">gibon40!$AL$32</f>
        <v>12544700</v>
      </c>
    </row>
    <row r="186" spans="3:42" ht="20">
      <c r="C186" s="675">
        <f ca="1">VALUE('2064'!$D$1)</f>
        <v>2064</v>
      </c>
      <c r="Q186" s="99"/>
      <c r="S186" s="788" t="s">
        <v>607</v>
      </c>
      <c r="T186" s="160" t="s">
        <v>163</v>
      </c>
      <c r="U186" s="704">
        <f t="shared" ca="1" si="268"/>
        <v>2.5000000000000001E-2</v>
      </c>
      <c r="V186" s="144">
        <f t="shared" ca="1" si="269"/>
        <v>2.5000000000000001E-2</v>
      </c>
      <c r="W186" s="783">
        <f t="shared" ca="1" si="270"/>
        <v>11410190</v>
      </c>
      <c r="X186" s="783">
        <f t="shared" ca="1" si="259"/>
        <v>9554930</v>
      </c>
      <c r="Y186" s="783">
        <f t="shared" ca="1" si="260"/>
        <v>8163400</v>
      </c>
      <c r="Z186" s="613">
        <v>0</v>
      </c>
      <c r="AA186" s="771">
        <f t="shared" ca="1" si="271"/>
        <v>8939300</v>
      </c>
      <c r="AB186" s="782">
        <f t="shared" ca="1" si="272"/>
        <v>8076150</v>
      </c>
      <c r="AC186" s="782">
        <f t="shared" ca="1" si="264"/>
        <v>6762940</v>
      </c>
      <c r="AD186" s="782">
        <f t="shared" ca="1" si="265"/>
        <v>5778080</v>
      </c>
      <c r="AE186" s="728">
        <v>0</v>
      </c>
      <c r="AF186" s="771">
        <f ca="1">gibon40!$AM$12</f>
        <v>6690400</v>
      </c>
      <c r="AG186" s="784">
        <f t="shared" ca="1" si="273"/>
        <v>14264330</v>
      </c>
      <c r="AH186" s="784">
        <f t="shared" ca="1" si="262"/>
        <v>11944830</v>
      </c>
      <c r="AI186" s="784">
        <f t="shared" ca="1" si="263"/>
        <v>10205300</v>
      </c>
      <c r="AJ186" s="785">
        <v>0</v>
      </c>
      <c r="AK186" s="771">
        <f ca="1">gibon40!$AM$27</f>
        <v>11175300</v>
      </c>
      <c r="AL186" s="786">
        <f t="shared" ca="1" si="274"/>
        <v>16412500</v>
      </c>
      <c r="AM186" s="786">
        <f t="shared" ca="1" si="266"/>
        <v>13743830</v>
      </c>
      <c r="AN186" s="786">
        <f t="shared" ca="1" si="267"/>
        <v>11742290</v>
      </c>
      <c r="AO186" s="787">
        <v>0</v>
      </c>
      <c r="AP186" s="771">
        <f ca="1">gibon40!$AM$32</f>
        <v>12858300</v>
      </c>
    </row>
    <row r="187" spans="3:42" ht="20">
      <c r="C187" s="675">
        <f ca="1">VALUE('2065'!$D$1)</f>
        <v>2065</v>
      </c>
      <c r="Q187" s="99"/>
      <c r="S187" s="788" t="s">
        <v>594</v>
      </c>
      <c r="T187" s="160" t="s">
        <v>165</v>
      </c>
      <c r="U187" s="704">
        <f t="shared" ca="1" si="268"/>
        <v>2.5000000000000001E-2</v>
      </c>
      <c r="V187" s="144">
        <f t="shared" ca="1" si="269"/>
        <v>2.5000000000000001E-2</v>
      </c>
      <c r="W187" s="783">
        <f t="shared" ca="1" si="270"/>
        <v>11695470</v>
      </c>
      <c r="X187" s="783">
        <f t="shared" ca="1" si="259"/>
        <v>9793820</v>
      </c>
      <c r="Y187" s="783">
        <f t="shared" ca="1" si="260"/>
        <v>8367500</v>
      </c>
      <c r="Z187" s="613">
        <v>0</v>
      </c>
      <c r="AA187" s="771">
        <f t="shared" ca="1" si="271"/>
        <v>9162800</v>
      </c>
      <c r="AB187" s="782">
        <f t="shared" ca="1" si="272"/>
        <v>8278100</v>
      </c>
      <c r="AC187" s="782">
        <f t="shared" ca="1" si="264"/>
        <v>6932050</v>
      </c>
      <c r="AD187" s="782">
        <f t="shared" ca="1" si="265"/>
        <v>5922570</v>
      </c>
      <c r="AE187" s="728">
        <v>0</v>
      </c>
      <c r="AF187" s="771">
        <f ca="1">gibon40!$AN$12</f>
        <v>6857700</v>
      </c>
      <c r="AG187" s="784">
        <f t="shared" ca="1" si="273"/>
        <v>14620960</v>
      </c>
      <c r="AH187" s="784">
        <f t="shared" ca="1" si="262"/>
        <v>12243470</v>
      </c>
      <c r="AI187" s="784">
        <f t="shared" ca="1" si="263"/>
        <v>10460450</v>
      </c>
      <c r="AJ187" s="785">
        <v>0</v>
      </c>
      <c r="AK187" s="771">
        <f ca="1">gibon40!$AN$27</f>
        <v>11454700</v>
      </c>
      <c r="AL187" s="786">
        <f t="shared" ca="1" si="274"/>
        <v>16822870</v>
      </c>
      <c r="AM187" s="786">
        <f t="shared" ca="1" si="266"/>
        <v>14087470</v>
      </c>
      <c r="AN187" s="786">
        <f t="shared" ca="1" si="267"/>
        <v>12035890</v>
      </c>
      <c r="AO187" s="787">
        <v>0</v>
      </c>
      <c r="AP187" s="771">
        <f ca="1">gibon40!$AN$32</f>
        <v>13179800</v>
      </c>
    </row>
    <row r="188" spans="3:42" ht="20">
      <c r="Q188" s="99"/>
      <c r="S188" s="788" t="s">
        <v>558</v>
      </c>
      <c r="T188" s="160" t="s">
        <v>167</v>
      </c>
      <c r="U188" s="704">
        <f t="shared" ca="1" si="268"/>
        <v>2.5000000000000001E-2</v>
      </c>
      <c r="V188" s="144">
        <f t="shared" ca="1" si="269"/>
        <v>2.5000000000000001E-2</v>
      </c>
      <c r="W188" s="783">
        <f t="shared" ca="1" si="270"/>
        <v>11987900</v>
      </c>
      <c r="X188" s="783">
        <f t="shared" ca="1" si="259"/>
        <v>10038700</v>
      </c>
      <c r="Y188" s="783">
        <f t="shared" ca="1" si="260"/>
        <v>8576710</v>
      </c>
      <c r="Z188" s="613">
        <v>0</v>
      </c>
      <c r="AA188" s="771">
        <f t="shared" ca="1" si="271"/>
        <v>9391900</v>
      </c>
      <c r="AB188" s="782">
        <f t="shared" ca="1" si="272"/>
        <v>8485000</v>
      </c>
      <c r="AC188" s="782">
        <f t="shared" ca="1" si="264"/>
        <v>7105310</v>
      </c>
      <c r="AD188" s="782">
        <f t="shared" ca="1" si="265"/>
        <v>6070600</v>
      </c>
      <c r="AE188" s="728">
        <v>0</v>
      </c>
      <c r="AF188" s="771">
        <f ca="1">gibon40!$AO$12</f>
        <v>7029100</v>
      </c>
      <c r="AG188" s="784">
        <f t="shared" ca="1" si="273"/>
        <v>14986530</v>
      </c>
      <c r="AH188" s="784">
        <f t="shared" ca="1" si="262"/>
        <v>12549590</v>
      </c>
      <c r="AI188" s="784">
        <f t="shared" ca="1" si="263"/>
        <v>10721990</v>
      </c>
      <c r="AJ188" s="785">
        <v>0</v>
      </c>
      <c r="AK188" s="771">
        <f ca="1">gibon40!$AO$27</f>
        <v>11741100</v>
      </c>
      <c r="AL188" s="786">
        <f t="shared" ca="1" si="274"/>
        <v>17243450</v>
      </c>
      <c r="AM188" s="786">
        <f t="shared" ca="1" si="266"/>
        <v>14439660</v>
      </c>
      <c r="AN188" s="786">
        <f t="shared" ca="1" si="267"/>
        <v>12336790</v>
      </c>
      <c r="AO188" s="787">
        <v>0</v>
      </c>
      <c r="AP188" s="771">
        <f ca="1">gibon40!$AO$32</f>
        <v>13509300</v>
      </c>
    </row>
    <row r="189" spans="3:42" ht="20">
      <c r="Q189" s="99"/>
      <c r="S189" s="788" t="s">
        <v>580</v>
      </c>
      <c r="T189" s="160" t="s">
        <v>148</v>
      </c>
      <c r="U189" s="704">
        <f t="shared" ca="1" si="268"/>
        <v>2.5000000000000001E-2</v>
      </c>
      <c r="V189" s="144">
        <f t="shared" ca="1" si="269"/>
        <v>2.5000000000000001E-2</v>
      </c>
      <c r="W189" s="783">
        <f t="shared" ca="1" si="270"/>
        <v>12287600</v>
      </c>
      <c r="X189" s="783">
        <f t="shared" ca="1" si="259"/>
        <v>10289670</v>
      </c>
      <c r="Y189" s="783">
        <f t="shared" ca="1" si="260"/>
        <v>8791130</v>
      </c>
      <c r="Z189" s="613">
        <v>0</v>
      </c>
      <c r="AA189" s="771">
        <f t="shared" ca="1" si="271"/>
        <v>9626700</v>
      </c>
      <c r="AB189" s="782">
        <f t="shared" ca="1" si="272"/>
        <v>8697090</v>
      </c>
      <c r="AC189" s="782">
        <f t="shared" ca="1" si="264"/>
        <v>7282910</v>
      </c>
      <c r="AD189" s="782">
        <f t="shared" ca="1" si="265"/>
        <v>6222340</v>
      </c>
      <c r="AE189" s="728">
        <v>0</v>
      </c>
      <c r="AF189" s="771">
        <f ca="1">gibon40!$AP$12</f>
        <v>7204800</v>
      </c>
      <c r="AG189" s="784">
        <f t="shared" ca="1" si="273"/>
        <v>15361160</v>
      </c>
      <c r="AH189" s="784">
        <f t="shared" ca="1" si="262"/>
        <v>12863300</v>
      </c>
      <c r="AI189" s="784">
        <f t="shared" ca="1" si="263"/>
        <v>10990010</v>
      </c>
      <c r="AJ189" s="785">
        <v>0</v>
      </c>
      <c r="AK189" s="771">
        <f ca="1">gibon40!$AP$27</f>
        <v>12034600</v>
      </c>
      <c r="AL189" s="786">
        <f t="shared" ca="1" si="274"/>
        <v>17674490</v>
      </c>
      <c r="AM189" s="786">
        <f t="shared" ca="1" si="266"/>
        <v>14800620</v>
      </c>
      <c r="AN189" s="786">
        <f t="shared" ca="1" si="267"/>
        <v>12645180</v>
      </c>
      <c r="AO189" s="787">
        <v>0</v>
      </c>
      <c r="AP189" s="771">
        <f ca="1">gibon40!$AP$32</f>
        <v>13847000</v>
      </c>
    </row>
    <row r="190" spans="3:42" ht="20">
      <c r="Q190" s="99"/>
      <c r="S190" s="788" t="s">
        <v>582</v>
      </c>
      <c r="T190" s="160" t="s">
        <v>202</v>
      </c>
      <c r="U190" s="704">
        <f t="shared" ca="1" si="268"/>
        <v>2.5000000000000001E-2</v>
      </c>
      <c r="V190" s="144">
        <f t="shared" ca="1" si="269"/>
        <v>2.5000000000000001E-2</v>
      </c>
      <c r="W190" s="783">
        <f t="shared" ca="1" si="270"/>
        <v>12594830</v>
      </c>
      <c r="X190" s="783">
        <f t="shared" ca="1" si="259"/>
        <v>10546950</v>
      </c>
      <c r="Y190" s="783">
        <f t="shared" ca="1" si="260"/>
        <v>9010940</v>
      </c>
      <c r="Z190" s="613">
        <v>0</v>
      </c>
      <c r="AA190" s="771">
        <f t="shared" ca="1" si="271"/>
        <v>9867400</v>
      </c>
      <c r="AB190" s="782">
        <f t="shared" ca="1" si="272"/>
        <v>8914490</v>
      </c>
      <c r="AC190" s="782">
        <f t="shared" ca="1" si="264"/>
        <v>7464960</v>
      </c>
      <c r="AD190" s="782">
        <f t="shared" ca="1" si="265"/>
        <v>6377880</v>
      </c>
      <c r="AE190" s="728">
        <v>0</v>
      </c>
      <c r="AF190" s="771">
        <f ca="1">gibon40!$AQ$12</f>
        <v>7384900</v>
      </c>
      <c r="AG190" s="784">
        <f t="shared" ca="1" si="273"/>
        <v>15745230</v>
      </c>
      <c r="AH190" s="784">
        <f t="shared" ca="1" si="262"/>
        <v>13184920</v>
      </c>
      <c r="AI190" s="784">
        <f t="shared" ca="1" si="263"/>
        <v>11264790</v>
      </c>
      <c r="AJ190" s="785">
        <v>0</v>
      </c>
      <c r="AK190" s="771">
        <f ca="1">gibon40!$AQ$27</f>
        <v>12335500</v>
      </c>
      <c r="AL190" s="786">
        <f t="shared" ca="1" si="274"/>
        <v>18116380</v>
      </c>
      <c r="AM190" s="786">
        <f t="shared" ca="1" si="266"/>
        <v>15170660</v>
      </c>
      <c r="AN190" s="786">
        <f t="shared" ca="1" si="267"/>
        <v>12961330</v>
      </c>
      <c r="AO190" s="787">
        <v>0</v>
      </c>
      <c r="AP190" s="771">
        <f ca="1">gibon40!$AQ$32</f>
        <v>14193200</v>
      </c>
    </row>
    <row r="191" spans="3:42" ht="20">
      <c r="Q191" s="99"/>
      <c r="S191" s="788" t="s">
        <v>585</v>
      </c>
      <c r="T191" s="160" t="s">
        <v>194</v>
      </c>
      <c r="U191" s="704">
        <f t="shared" ca="1" si="268"/>
        <v>2.5000000000000001E-2</v>
      </c>
      <c r="V191" s="144">
        <f t="shared" ca="1" si="269"/>
        <v>2.5000000000000001E-2</v>
      </c>
      <c r="W191" s="783">
        <f t="shared" ca="1" si="270"/>
        <v>12909720</v>
      </c>
      <c r="X191" s="783">
        <f t="shared" ca="1" si="259"/>
        <v>10810640</v>
      </c>
      <c r="Y191" s="783">
        <f t="shared" ca="1" si="260"/>
        <v>9236230</v>
      </c>
      <c r="Z191" s="613">
        <v>0</v>
      </c>
      <c r="AA191" s="771">
        <f t="shared" ca="1" si="271"/>
        <v>10114100</v>
      </c>
      <c r="AB191" s="782">
        <f t="shared" ca="1" si="272"/>
        <v>9137330</v>
      </c>
      <c r="AC191" s="782">
        <f t="shared" ca="1" si="264"/>
        <v>7651560</v>
      </c>
      <c r="AD191" s="782">
        <f t="shared" ca="1" si="265"/>
        <v>6537310</v>
      </c>
      <c r="AE191" s="728">
        <v>0</v>
      </c>
      <c r="AF191" s="771">
        <f ca="1">gibon40!$AR$12</f>
        <v>7569500</v>
      </c>
      <c r="AG191" s="784">
        <f t="shared" ca="1" si="273"/>
        <v>16138880</v>
      </c>
      <c r="AH191" s="784">
        <f t="shared" ca="1" si="262"/>
        <v>13514560</v>
      </c>
      <c r="AI191" s="784">
        <f t="shared" ca="1" si="263"/>
        <v>11546420</v>
      </c>
      <c r="AJ191" s="785">
        <v>0</v>
      </c>
      <c r="AK191" s="771">
        <f ca="1">gibon40!$AR$27</f>
        <v>12643900</v>
      </c>
      <c r="AL191" s="786">
        <f t="shared" ca="1" si="274"/>
        <v>18569250</v>
      </c>
      <c r="AM191" s="786">
        <f t="shared" ca="1" si="266"/>
        <v>15549890</v>
      </c>
      <c r="AN191" s="786">
        <f t="shared" ca="1" si="267"/>
        <v>13285340</v>
      </c>
      <c r="AO191" s="787">
        <v>0</v>
      </c>
      <c r="AP191" s="771">
        <f ca="1">gibon40!$AR$32</f>
        <v>14548000</v>
      </c>
    </row>
    <row r="192" spans="3:42" ht="20">
      <c r="Q192" s="99"/>
      <c r="S192" s="788" t="s">
        <v>613</v>
      </c>
      <c r="T192" s="160" t="s">
        <v>177</v>
      </c>
      <c r="U192" s="704">
        <f t="shared" ca="1" si="268"/>
        <v>2.5000000000000001E-2</v>
      </c>
      <c r="V192" s="144">
        <f t="shared" ca="1" si="269"/>
        <v>2.5000000000000001E-2</v>
      </c>
      <c r="W192" s="783">
        <f t="shared" ca="1" si="270"/>
        <v>13232520</v>
      </c>
      <c r="X192" s="783">
        <f t="shared" ca="1" si="259"/>
        <v>11080960</v>
      </c>
      <c r="Y192" s="783">
        <f t="shared" ca="1" si="260"/>
        <v>9467180</v>
      </c>
      <c r="Z192" s="613">
        <v>0</v>
      </c>
      <c r="AA192" s="771">
        <f t="shared" ca="1" si="271"/>
        <v>10367000</v>
      </c>
      <c r="AB192" s="782">
        <f t="shared" ca="1" si="272"/>
        <v>9365720</v>
      </c>
      <c r="AC192" s="782">
        <f t="shared" ca="1" si="264"/>
        <v>7842810</v>
      </c>
      <c r="AD192" s="782">
        <f t="shared" ca="1" si="265"/>
        <v>6700710</v>
      </c>
      <c r="AE192" s="728">
        <v>0</v>
      </c>
      <c r="AF192" s="771">
        <f ca="1">gibon40!$AS$12</f>
        <v>7758700</v>
      </c>
      <c r="AG192" s="784">
        <f t="shared" ca="1" si="273"/>
        <v>16542360</v>
      </c>
      <c r="AH192" s="784">
        <f t="shared" ca="1" si="262"/>
        <v>13852430</v>
      </c>
      <c r="AI192" s="784">
        <f t="shared" ca="1" si="263"/>
        <v>11835080</v>
      </c>
      <c r="AJ192" s="785">
        <v>0</v>
      </c>
      <c r="AK192" s="771">
        <f ca="1">gibon40!$AS$27</f>
        <v>12960000</v>
      </c>
      <c r="AL192" s="786">
        <f t="shared" ca="1" si="274"/>
        <v>19033480</v>
      </c>
      <c r="AM192" s="786">
        <f t="shared" ca="1" si="266"/>
        <v>15938640</v>
      </c>
      <c r="AN192" s="786">
        <f t="shared" ca="1" si="267"/>
        <v>13617470</v>
      </c>
      <c r="AO192" s="787">
        <v>0</v>
      </c>
      <c r="AP192" s="771">
        <f ca="1">gibon40!$AS$32</f>
        <v>14911700</v>
      </c>
    </row>
    <row r="193" spans="17:42" ht="20">
      <c r="Q193" s="99"/>
      <c r="S193" s="788" t="s">
        <v>619</v>
      </c>
      <c r="T193" s="160" t="s">
        <v>191</v>
      </c>
      <c r="U193" s="704">
        <f t="shared" ca="1" si="268"/>
        <v>2.5000000000000001E-2</v>
      </c>
      <c r="V193" s="144">
        <f t="shared" ca="1" si="269"/>
        <v>2.5000000000000001E-2</v>
      </c>
      <c r="W193" s="783">
        <f t="shared" ca="1" si="270"/>
        <v>13563360</v>
      </c>
      <c r="X193" s="783">
        <f t="shared" ca="1" si="259"/>
        <v>11358010</v>
      </c>
      <c r="Y193" s="783">
        <f t="shared" ca="1" si="260"/>
        <v>9703880</v>
      </c>
      <c r="Z193" s="613">
        <v>0</v>
      </c>
      <c r="AA193" s="771">
        <f t="shared" ca="1" si="271"/>
        <v>10626200</v>
      </c>
      <c r="AB193" s="782">
        <f t="shared" ca="1" si="272"/>
        <v>9599900</v>
      </c>
      <c r="AC193" s="782">
        <f t="shared" ca="1" si="264"/>
        <v>8038910</v>
      </c>
      <c r="AD193" s="782">
        <f t="shared" ca="1" si="265"/>
        <v>6868260</v>
      </c>
      <c r="AE193" s="728">
        <v>0</v>
      </c>
      <c r="AF193" s="771">
        <f ca="1">gibon40!$AT$12</f>
        <v>7952700</v>
      </c>
      <c r="AG193" s="784">
        <f t="shared" ca="1" si="273"/>
        <v>16955920</v>
      </c>
      <c r="AH193" s="784">
        <f t="shared" ca="1" si="262"/>
        <v>14198740</v>
      </c>
      <c r="AI193" s="784">
        <f t="shared" ca="1" si="263"/>
        <v>12130960</v>
      </c>
      <c r="AJ193" s="785">
        <v>0</v>
      </c>
      <c r="AK193" s="771">
        <f ca="1">gibon40!$AT$27</f>
        <v>13284000</v>
      </c>
      <c r="AL193" s="786">
        <f t="shared" ca="1" si="274"/>
        <v>19509330</v>
      </c>
      <c r="AM193" s="786">
        <f t="shared" ca="1" si="266"/>
        <v>16337110</v>
      </c>
      <c r="AN193" s="786">
        <f t="shared" ca="1" si="267"/>
        <v>13957910</v>
      </c>
      <c r="AO193" s="787">
        <v>0</v>
      </c>
      <c r="AP193" s="771">
        <f ca="1">gibon40!$AT$32</f>
        <v>15284500</v>
      </c>
    </row>
    <row r="194" spans="17:42" ht="20">
      <c r="Q194" s="99"/>
      <c r="S194" s="788" t="s">
        <v>627</v>
      </c>
      <c r="T194" s="160" t="s">
        <v>181</v>
      </c>
      <c r="U194" s="704">
        <f t="shared" ca="1" si="268"/>
        <v>2.5000000000000001E-2</v>
      </c>
      <c r="V194" s="144">
        <f t="shared" ca="1" si="269"/>
        <v>2.5000000000000001E-2</v>
      </c>
      <c r="W194" s="783">
        <f t="shared" ca="1" si="270"/>
        <v>13902500</v>
      </c>
      <c r="X194" s="783">
        <f t="shared" ca="1" si="259"/>
        <v>11642010</v>
      </c>
      <c r="Y194" s="783">
        <f t="shared" ca="1" si="260"/>
        <v>9946520</v>
      </c>
      <c r="Z194" s="613">
        <v>0</v>
      </c>
      <c r="AA194" s="771">
        <f t="shared" ca="1" si="271"/>
        <v>10891900</v>
      </c>
      <c r="AB194" s="782" t="e">
        <f t="shared" ca="1" si="272"/>
        <v>#REF!</v>
      </c>
      <c r="AC194" s="782" t="e">
        <f t="shared" ca="1" si="264"/>
        <v>#REF!</v>
      </c>
      <c r="AD194" s="782" t="e">
        <f t="shared" ca="1" si="265"/>
        <v>#REF!</v>
      </c>
      <c r="AE194" s="728">
        <v>0</v>
      </c>
      <c r="AF194" s="771" t="e">
        <f>gibon40!#REF!</f>
        <v>#REF!</v>
      </c>
      <c r="AG194" s="784" t="e">
        <f t="shared" ca="1" si="273"/>
        <v>#REF!</v>
      </c>
      <c r="AH194" s="784" t="e">
        <f t="shared" ca="1" si="262"/>
        <v>#REF!</v>
      </c>
      <c r="AI194" s="784" t="e">
        <f t="shared" ca="1" si="263"/>
        <v>#REF!</v>
      </c>
      <c r="AJ194" s="785">
        <v>0</v>
      </c>
      <c r="AK194" s="771" t="e">
        <f>gibon40!#REF!</f>
        <v>#REF!</v>
      </c>
      <c r="AL194" s="786" t="e">
        <f t="shared" ca="1" si="274"/>
        <v>#REF!</v>
      </c>
      <c r="AM194" s="786" t="e">
        <f t="shared" ca="1" si="266"/>
        <v>#REF!</v>
      </c>
      <c r="AN194" s="786" t="e">
        <f t="shared" ca="1" si="267"/>
        <v>#REF!</v>
      </c>
      <c r="AO194" s="787">
        <v>0</v>
      </c>
      <c r="AP194" s="771" t="e">
        <f>gibon40!#REF!</f>
        <v>#REF!</v>
      </c>
    </row>
    <row r="195" spans="17:42" ht="20">
      <c r="Q195" s="99"/>
      <c r="S195" s="788" t="s">
        <v>602</v>
      </c>
      <c r="T195" s="160" t="s">
        <v>208</v>
      </c>
      <c r="U195" s="704">
        <f t="shared" ca="1" si="268"/>
        <v>2.5000000000000001E-2</v>
      </c>
      <c r="V195" s="144">
        <f t="shared" ca="1" si="269"/>
        <v>2.5000000000000001E-2</v>
      </c>
      <c r="W195" s="783">
        <f t="shared" ca="1" si="270"/>
        <v>14250070</v>
      </c>
      <c r="X195" s="783">
        <f t="shared" ca="1" si="259"/>
        <v>11933060</v>
      </c>
      <c r="Y195" s="783">
        <f t="shared" ca="1" si="260"/>
        <v>10195190</v>
      </c>
      <c r="Z195" s="613">
        <v>0</v>
      </c>
      <c r="AA195" s="771">
        <f t="shared" ca="1" si="271"/>
        <v>11164200</v>
      </c>
      <c r="AB195" s="782" t="e">
        <f t="shared" ca="1" si="272"/>
        <v>#REF!</v>
      </c>
      <c r="AC195" s="782" t="e">
        <f t="shared" ca="1" si="264"/>
        <v>#REF!</v>
      </c>
      <c r="AD195" s="782" t="e">
        <f t="shared" ca="1" si="265"/>
        <v>#REF!</v>
      </c>
      <c r="AE195" s="728">
        <v>0</v>
      </c>
      <c r="AF195" s="771" t="e">
        <f>gibon40!#REF!</f>
        <v>#REF!</v>
      </c>
      <c r="AG195" s="784" t="e">
        <f t="shared" ca="1" si="273"/>
        <v>#REF!</v>
      </c>
      <c r="AH195" s="784" t="e">
        <f t="shared" ca="1" si="262"/>
        <v>#REF!</v>
      </c>
      <c r="AI195" s="784" t="e">
        <f t="shared" ca="1" si="263"/>
        <v>#REF!</v>
      </c>
      <c r="AJ195" s="785">
        <v>0</v>
      </c>
      <c r="AK195" s="771" t="e">
        <f>gibon40!#REF!</f>
        <v>#REF!</v>
      </c>
      <c r="AL195" s="786" t="e">
        <f t="shared" ca="1" si="274"/>
        <v>#REF!</v>
      </c>
      <c r="AM195" s="786" t="e">
        <f t="shared" ca="1" si="266"/>
        <v>#REF!</v>
      </c>
      <c r="AN195" s="786" t="e">
        <f t="shared" ca="1" si="267"/>
        <v>#REF!</v>
      </c>
      <c r="AO195" s="787">
        <v>0</v>
      </c>
      <c r="AP195" s="771" t="e">
        <f>gibon40!#REF!</f>
        <v>#REF!</v>
      </c>
    </row>
    <row r="196" spans="17:42" ht="20">
      <c r="Q196" s="99"/>
      <c r="S196" s="788" t="s">
        <v>612</v>
      </c>
      <c r="T196" s="160" t="s">
        <v>169</v>
      </c>
      <c r="U196" s="704" t="e">
        <f t="shared" ca="1" si="268"/>
        <v>#REF!</v>
      </c>
      <c r="V196" s="144">
        <f t="shared" ca="1" si="269"/>
        <v>2.5000000000000001E-2</v>
      </c>
      <c r="W196" s="783">
        <f t="shared" ca="1" si="270"/>
        <v>14606320</v>
      </c>
      <c r="X196" s="783">
        <f t="shared" ca="1" si="259"/>
        <v>12231380</v>
      </c>
      <c r="Y196" s="783">
        <f t="shared" ca="1" si="260"/>
        <v>10450070</v>
      </c>
      <c r="Z196" s="613">
        <v>0</v>
      </c>
      <c r="AA196" s="771">
        <f t="shared" ca="1" si="271"/>
        <v>11443300</v>
      </c>
      <c r="AB196" s="782" t="e">
        <f t="shared" ca="1" si="272"/>
        <v>#REF!</v>
      </c>
      <c r="AC196" s="782" t="e">
        <f t="shared" ca="1" si="264"/>
        <v>#REF!</v>
      </c>
      <c r="AD196" s="782" t="e">
        <f t="shared" ca="1" si="265"/>
        <v>#REF!</v>
      </c>
      <c r="AE196" s="728">
        <v>0</v>
      </c>
      <c r="AF196" s="771" t="e">
        <f>gibon40!#REF!</f>
        <v>#REF!</v>
      </c>
      <c r="AG196" s="784" t="e">
        <f t="shared" ca="1" si="273"/>
        <v>#REF!</v>
      </c>
      <c r="AH196" s="784" t="e">
        <f t="shared" ca="1" si="262"/>
        <v>#REF!</v>
      </c>
      <c r="AI196" s="784" t="e">
        <f t="shared" ca="1" si="263"/>
        <v>#REF!</v>
      </c>
      <c r="AJ196" s="785">
        <v>0</v>
      </c>
      <c r="AK196" s="771" t="e">
        <f>gibon40!#REF!</f>
        <v>#REF!</v>
      </c>
      <c r="AL196" s="786" t="e">
        <f t="shared" ca="1" si="274"/>
        <v>#REF!</v>
      </c>
      <c r="AM196" s="786" t="e">
        <f t="shared" ca="1" si="266"/>
        <v>#REF!</v>
      </c>
      <c r="AN196" s="786" t="e">
        <f t="shared" ca="1" si="267"/>
        <v>#REF!</v>
      </c>
      <c r="AO196" s="787">
        <v>0</v>
      </c>
      <c r="AP196" s="771" t="e">
        <f>gibon40!#REF!</f>
        <v>#REF!</v>
      </c>
    </row>
    <row r="197" spans="17:42" ht="20">
      <c r="Q197" s="99"/>
      <c r="S197" s="788" t="s">
        <v>623</v>
      </c>
      <c r="T197" s="160" t="s">
        <v>197</v>
      </c>
      <c r="U197" s="704" t="e">
        <f t="shared" ca="1" si="268"/>
        <v>#REF!</v>
      </c>
      <c r="V197" s="144" t="e">
        <f t="shared" ca="1" si="269"/>
        <v>#REF!</v>
      </c>
      <c r="W197" s="783" t="e">
        <f t="shared" ca="1" si="270"/>
        <v>#REF!</v>
      </c>
      <c r="X197" s="783" t="e">
        <f t="shared" ca="1" si="259"/>
        <v>#REF!</v>
      </c>
      <c r="Y197" s="783" t="e">
        <f t="shared" ca="1" si="260"/>
        <v>#REF!</v>
      </c>
      <c r="Z197" s="613">
        <v>0</v>
      </c>
      <c r="AA197" s="771" t="e">
        <f t="shared" ca="1" si="271"/>
        <v>#REF!</v>
      </c>
      <c r="AB197" s="782" t="e">
        <f t="shared" ca="1" si="272"/>
        <v>#REF!</v>
      </c>
      <c r="AC197" s="782" t="e">
        <f t="shared" ca="1" si="264"/>
        <v>#REF!</v>
      </c>
      <c r="AD197" s="782" t="e">
        <f t="shared" ca="1" si="265"/>
        <v>#REF!</v>
      </c>
      <c r="AE197" s="728">
        <v>0</v>
      </c>
      <c r="AF197" s="771" t="e">
        <f>gibon40!#REF!</f>
        <v>#REF!</v>
      </c>
      <c r="AG197" s="784" t="e">
        <f t="shared" ca="1" si="273"/>
        <v>#REF!</v>
      </c>
      <c r="AH197" s="784" t="e">
        <f t="shared" ca="1" si="262"/>
        <v>#REF!</v>
      </c>
      <c r="AI197" s="784" t="e">
        <f t="shared" ca="1" si="263"/>
        <v>#REF!</v>
      </c>
      <c r="AJ197" s="785">
        <v>0</v>
      </c>
      <c r="AK197" s="771" t="e">
        <f>gibon40!#REF!</f>
        <v>#REF!</v>
      </c>
      <c r="AL197" s="786" t="e">
        <f t="shared" ca="1" si="274"/>
        <v>#REF!</v>
      </c>
      <c r="AM197" s="786" t="e">
        <f t="shared" ca="1" si="266"/>
        <v>#REF!</v>
      </c>
      <c r="AN197" s="786" t="e">
        <f t="shared" ca="1" si="267"/>
        <v>#REF!</v>
      </c>
      <c r="AO197" s="787">
        <v>0</v>
      </c>
      <c r="AP197" s="771" t="e">
        <f>gibon40!#REF!</f>
        <v>#REF!</v>
      </c>
    </row>
    <row r="198" spans="17:42" ht="20">
      <c r="Q198" s="99"/>
      <c r="S198" s="788" t="s">
        <v>625</v>
      </c>
      <c r="T198" s="160" t="s">
        <v>179</v>
      </c>
      <c r="U198" s="704" t="e">
        <f t="shared" ca="1" si="268"/>
        <v>#REF!</v>
      </c>
      <c r="V198" s="144" t="e">
        <f t="shared" ca="1" si="269"/>
        <v>#REF!</v>
      </c>
      <c r="W198" s="783" t="e">
        <f t="shared" ca="1" si="270"/>
        <v>#REF!</v>
      </c>
      <c r="X198" s="783" t="e">
        <f t="shared" ca="1" si="259"/>
        <v>#REF!</v>
      </c>
      <c r="Y198" s="783" t="e">
        <f t="shared" ca="1" si="260"/>
        <v>#REF!</v>
      </c>
      <c r="Z198" s="613">
        <v>0</v>
      </c>
      <c r="AA198" s="771" t="e">
        <f t="shared" ca="1" si="271"/>
        <v>#REF!</v>
      </c>
      <c r="AB198" s="782" t="e">
        <f t="shared" ca="1" si="272"/>
        <v>#REF!</v>
      </c>
      <c r="AC198" s="782" t="e">
        <f t="shared" ca="1" si="264"/>
        <v>#REF!</v>
      </c>
      <c r="AD198" s="782" t="e">
        <f t="shared" ca="1" si="265"/>
        <v>#REF!</v>
      </c>
      <c r="AE198" s="728">
        <v>0</v>
      </c>
      <c r="AF198" s="771" t="e">
        <f>gibon40!#REF!</f>
        <v>#REF!</v>
      </c>
      <c r="AG198" s="784" t="e">
        <f t="shared" ca="1" si="273"/>
        <v>#REF!</v>
      </c>
      <c r="AH198" s="784" t="e">
        <f t="shared" ca="1" si="262"/>
        <v>#REF!</v>
      </c>
      <c r="AI198" s="784" t="e">
        <f t="shared" ca="1" si="263"/>
        <v>#REF!</v>
      </c>
      <c r="AJ198" s="785">
        <v>0</v>
      </c>
      <c r="AK198" s="771" t="e">
        <f>gibon40!#REF!</f>
        <v>#REF!</v>
      </c>
      <c r="AL198" s="786" t="e">
        <f t="shared" ca="1" si="274"/>
        <v>#REF!</v>
      </c>
      <c r="AM198" s="786" t="e">
        <f t="shared" ca="1" si="266"/>
        <v>#REF!</v>
      </c>
      <c r="AN198" s="786" t="e">
        <f t="shared" ca="1" si="267"/>
        <v>#REF!</v>
      </c>
      <c r="AO198" s="787">
        <v>0</v>
      </c>
      <c r="AP198" s="771" t="e">
        <f>gibon40!#REF!</f>
        <v>#REF!</v>
      </c>
    </row>
    <row r="199" spans="17:42" ht="20">
      <c r="Q199" s="99"/>
      <c r="S199" s="788" t="s">
        <v>615</v>
      </c>
      <c r="T199" s="160" t="s">
        <v>190</v>
      </c>
      <c r="U199" s="704" t="e">
        <f t="shared" ca="1" si="268"/>
        <v>#REF!</v>
      </c>
      <c r="V199" s="144" t="e">
        <f t="shared" ca="1" si="269"/>
        <v>#REF!</v>
      </c>
      <c r="W199" s="783" t="e">
        <f t="shared" ca="1" si="270"/>
        <v>#REF!</v>
      </c>
      <c r="X199" s="783" t="e">
        <f t="shared" ca="1" si="259"/>
        <v>#REF!</v>
      </c>
      <c r="Y199" s="783" t="e">
        <f t="shared" ca="1" si="260"/>
        <v>#REF!</v>
      </c>
      <c r="Z199" s="613">
        <v>0</v>
      </c>
      <c r="AA199" s="771" t="e">
        <f t="shared" ca="1" si="271"/>
        <v>#REF!</v>
      </c>
      <c r="AB199" s="782" t="e">
        <f t="shared" ca="1" si="272"/>
        <v>#REF!</v>
      </c>
      <c r="AC199" s="782" t="e">
        <f t="shared" ca="1" si="264"/>
        <v>#REF!</v>
      </c>
      <c r="AD199" s="782" t="e">
        <f t="shared" ca="1" si="265"/>
        <v>#REF!</v>
      </c>
      <c r="AE199" s="728">
        <v>0</v>
      </c>
      <c r="AF199" s="771" t="e">
        <f>gibon40!#REF!</f>
        <v>#REF!</v>
      </c>
      <c r="AG199" s="784" t="e">
        <f t="shared" ca="1" si="273"/>
        <v>#REF!</v>
      </c>
      <c r="AH199" s="784" t="e">
        <f t="shared" ca="1" si="262"/>
        <v>#REF!</v>
      </c>
      <c r="AI199" s="784" t="e">
        <f t="shared" ca="1" si="263"/>
        <v>#REF!</v>
      </c>
      <c r="AJ199" s="785">
        <v>0</v>
      </c>
      <c r="AK199" s="771" t="e">
        <f>gibon40!#REF!</f>
        <v>#REF!</v>
      </c>
      <c r="AL199" s="786" t="e">
        <f t="shared" ca="1" si="274"/>
        <v>#REF!</v>
      </c>
      <c r="AM199" s="786" t="e">
        <f t="shared" ca="1" si="266"/>
        <v>#REF!</v>
      </c>
      <c r="AN199" s="786" t="e">
        <f t="shared" ca="1" si="267"/>
        <v>#REF!</v>
      </c>
      <c r="AO199" s="787">
        <v>0</v>
      </c>
      <c r="AP199" s="771" t="e">
        <f>gibon40!#REF!</f>
        <v>#REF!</v>
      </c>
    </row>
    <row r="200" spans="17:42" ht="20">
      <c r="Q200" s="99"/>
      <c r="S200" s="788"/>
      <c r="T200" s="160" t="s">
        <v>199</v>
      </c>
      <c r="U200" s="704" t="e">
        <f t="shared" ca="1" si="268"/>
        <v>#REF!</v>
      </c>
      <c r="V200" s="144" t="e">
        <f t="shared" ca="1" si="269"/>
        <v>#REF!</v>
      </c>
      <c r="W200" s="783" t="e">
        <f t="shared" ca="1" si="270"/>
        <v>#REF!</v>
      </c>
      <c r="X200" s="783" t="e">
        <f t="shared" ca="1" si="259"/>
        <v>#REF!</v>
      </c>
      <c r="Y200" s="783" t="e">
        <f t="shared" ca="1" si="260"/>
        <v>#REF!</v>
      </c>
      <c r="Z200" s="613">
        <v>0</v>
      </c>
      <c r="AA200" s="771" t="e">
        <f t="shared" ca="1" si="271"/>
        <v>#REF!</v>
      </c>
      <c r="AB200" s="782" t="e">
        <f t="shared" ca="1" si="272"/>
        <v>#REF!</v>
      </c>
      <c r="AC200" s="782" t="e">
        <f t="shared" ca="1" si="264"/>
        <v>#REF!</v>
      </c>
      <c r="AD200" s="782" t="e">
        <f t="shared" ca="1" si="265"/>
        <v>#REF!</v>
      </c>
      <c r="AE200" s="728">
        <v>0</v>
      </c>
      <c r="AF200" s="771">
        <f>gibon40!$AU$12</f>
        <v>0</v>
      </c>
      <c r="AG200" s="784" t="e">
        <f t="shared" ca="1" si="273"/>
        <v>#REF!</v>
      </c>
      <c r="AH200" s="784" t="e">
        <f t="shared" ca="1" si="262"/>
        <v>#REF!</v>
      </c>
      <c r="AI200" s="784" t="e">
        <f t="shared" ca="1" si="263"/>
        <v>#REF!</v>
      </c>
      <c r="AJ200" s="785">
        <v>0</v>
      </c>
      <c r="AK200" s="771">
        <f>gibon40!$AU$27</f>
        <v>0</v>
      </c>
      <c r="AL200" s="786" t="e">
        <f t="shared" ca="1" si="274"/>
        <v>#REF!</v>
      </c>
      <c r="AM200" s="786" t="e">
        <f t="shared" ca="1" si="266"/>
        <v>#REF!</v>
      </c>
      <c r="AN200" s="786" t="e">
        <f t="shared" ca="1" si="267"/>
        <v>#REF!</v>
      </c>
      <c r="AO200" s="787">
        <v>0</v>
      </c>
      <c r="AP200" s="771">
        <f>gibon40!$AU$32</f>
        <v>0</v>
      </c>
    </row>
    <row r="201" spans="17:42" ht="20">
      <c r="Q201" s="99"/>
      <c r="S201" s="788"/>
      <c r="T201" s="160" t="s">
        <v>200</v>
      </c>
      <c r="U201" s="704" t="e">
        <f t="shared" ca="1" si="268"/>
        <v>#REF!</v>
      </c>
      <c r="V201" s="144" t="e">
        <f t="shared" ca="1" si="269"/>
        <v>#REF!</v>
      </c>
      <c r="W201" s="783" t="e">
        <f t="shared" ca="1" si="270"/>
        <v>#REF!</v>
      </c>
      <c r="X201" s="783" t="e">
        <f t="shared" ca="1" si="259"/>
        <v>#REF!</v>
      </c>
      <c r="Y201" s="783" t="e">
        <f t="shared" ca="1" si="260"/>
        <v>#REF!</v>
      </c>
      <c r="Z201" s="613">
        <v>0</v>
      </c>
      <c r="AA201" s="771" t="e">
        <f t="shared" ca="1" si="271"/>
        <v>#REF!</v>
      </c>
      <c r="AB201" s="782" t="e">
        <f t="shared" ca="1" si="272"/>
        <v>#REF!</v>
      </c>
      <c r="AC201" s="782" t="e">
        <f t="shared" ca="1" si="264"/>
        <v>#REF!</v>
      </c>
      <c r="AD201" s="782" t="e">
        <f t="shared" ca="1" si="265"/>
        <v>#REF!</v>
      </c>
      <c r="AE201" s="728">
        <v>0</v>
      </c>
      <c r="AF201" s="771" t="str">
        <f>gibon40!$AV$12</f>
        <v>기간제교사성과급기준</v>
      </c>
      <c r="AG201" s="784" t="e">
        <f t="shared" ca="1" si="273"/>
        <v>#REF!</v>
      </c>
      <c r="AH201" s="784" t="e">
        <f t="shared" ca="1" si="262"/>
        <v>#REF!</v>
      </c>
      <c r="AI201" s="784" t="e">
        <f t="shared" ca="1" si="263"/>
        <v>#REF!</v>
      </c>
      <c r="AJ201" s="785">
        <v>0</v>
      </c>
      <c r="AK201" s="771" t="str">
        <f>gibon40!$AV$27</f>
        <v>교감성과급기준</v>
      </c>
      <c r="AL201" s="786" t="e">
        <f t="shared" ca="1" si="274"/>
        <v>#REF!</v>
      </c>
      <c r="AM201" s="786" t="e">
        <f t="shared" ca="1" si="266"/>
        <v>#REF!</v>
      </c>
      <c r="AN201" s="786" t="e">
        <f t="shared" ca="1" si="267"/>
        <v>#REF!</v>
      </c>
      <c r="AO201" s="787">
        <v>0</v>
      </c>
      <c r="AP201" s="771" t="str">
        <f>gibon40!$AV$32</f>
        <v>교장성과급기준</v>
      </c>
    </row>
    <row r="202" spans="17:42" ht="20">
      <c r="Q202" s="99"/>
      <c r="S202" s="788"/>
      <c r="T202" s="160" t="s">
        <v>204</v>
      </c>
      <c r="U202" s="704" t="e">
        <f t="shared" ca="1" si="268"/>
        <v>#REF!</v>
      </c>
      <c r="V202" s="144" t="e">
        <f t="shared" ca="1" si="269"/>
        <v>#REF!</v>
      </c>
      <c r="W202" s="783" t="e">
        <f t="shared" ca="1" si="270"/>
        <v>#REF!</v>
      </c>
      <c r="X202" s="783" t="e">
        <f t="shared" ca="1" si="259"/>
        <v>#REF!</v>
      </c>
      <c r="Y202" s="783" t="e">
        <f t="shared" ca="1" si="260"/>
        <v>#REF!</v>
      </c>
      <c r="Z202" s="613">
        <v>0</v>
      </c>
      <c r="AA202" s="771" t="e">
        <f t="shared" ca="1" si="271"/>
        <v>#REF!</v>
      </c>
      <c r="AB202" s="782" t="e">
        <f t="shared" ca="1" si="272"/>
        <v>#REF!</v>
      </c>
      <c r="AC202" s="782" t="e">
        <f t="shared" ca="1" si="264"/>
        <v>#REF!</v>
      </c>
      <c r="AD202" s="782" t="e">
        <f t="shared" ca="1" si="265"/>
        <v>#REF!</v>
      </c>
      <c r="AE202" s="728">
        <v>0</v>
      </c>
      <c r="AF202" s="771">
        <f>gibon40!$AW$12</f>
        <v>15</v>
      </c>
      <c r="AG202" s="784" t="e">
        <f t="shared" ca="1" si="273"/>
        <v>#REF!</v>
      </c>
      <c r="AH202" s="784" t="e">
        <f t="shared" ca="1" si="262"/>
        <v>#REF!</v>
      </c>
      <c r="AI202" s="784" t="e">
        <f t="shared" ca="1" si="263"/>
        <v>#REF!</v>
      </c>
      <c r="AJ202" s="785">
        <v>0</v>
      </c>
      <c r="AK202" s="771">
        <f>gibon40!$AW$27</f>
        <v>30</v>
      </c>
      <c r="AL202" s="786" t="e">
        <f t="shared" ca="1" si="274"/>
        <v>#REF!</v>
      </c>
      <c r="AM202" s="786" t="e">
        <f t="shared" ca="1" si="266"/>
        <v>#REF!</v>
      </c>
      <c r="AN202" s="786" t="e">
        <f t="shared" ca="1" si="267"/>
        <v>#REF!</v>
      </c>
      <c r="AO202" s="787">
        <v>0</v>
      </c>
      <c r="AP202" s="771">
        <f>gibon40!$AW$32</f>
        <v>35</v>
      </c>
    </row>
    <row r="203" spans="17:42" ht="20">
      <c r="Q203" s="99"/>
      <c r="S203" s="788"/>
      <c r="T203" s="160" t="s">
        <v>196</v>
      </c>
      <c r="U203" s="704" t="e">
        <f t="shared" ca="1" si="268"/>
        <v>#REF!</v>
      </c>
      <c r="V203" s="144" t="e">
        <f t="shared" ca="1" si="269"/>
        <v>#REF!</v>
      </c>
      <c r="W203" s="783" t="e">
        <f t="shared" ca="1" si="270"/>
        <v>#REF!</v>
      </c>
      <c r="X203" s="783" t="e">
        <f t="shared" ca="1" si="259"/>
        <v>#REF!</v>
      </c>
      <c r="Y203" s="783" t="e">
        <f t="shared" ca="1" si="260"/>
        <v>#REF!</v>
      </c>
      <c r="Z203" s="613">
        <v>0</v>
      </c>
      <c r="AA203" s="771" t="e">
        <f t="shared" ca="1" si="271"/>
        <v>#REF!</v>
      </c>
      <c r="AB203" s="782" t="e">
        <f t="shared" ca="1" si="272"/>
        <v>#REF!</v>
      </c>
      <c r="AC203" s="782" t="e">
        <f t="shared" ca="1" si="264"/>
        <v>#REF!</v>
      </c>
      <c r="AD203" s="782" t="e">
        <f t="shared" ca="1" si="265"/>
        <v>#REF!</v>
      </c>
      <c r="AE203" s="728">
        <v>0</v>
      </c>
      <c r="AF203" s="771">
        <f>gibon40!$AX$12</f>
        <v>2644600</v>
      </c>
      <c r="AG203" s="784" t="e">
        <f t="shared" ca="1" si="273"/>
        <v>#REF!</v>
      </c>
      <c r="AH203" s="784" t="e">
        <f t="shared" ca="1" si="262"/>
        <v>#REF!</v>
      </c>
      <c r="AI203" s="784" t="e">
        <f t="shared" ca="1" si="263"/>
        <v>#REF!</v>
      </c>
      <c r="AJ203" s="785">
        <v>0</v>
      </c>
      <c r="AK203" s="771">
        <f>gibon40!$AX$27</f>
        <v>4417400</v>
      </c>
      <c r="AL203" s="786" t="e">
        <f t="shared" ca="1" si="274"/>
        <v>#REF!</v>
      </c>
      <c r="AM203" s="786" t="e">
        <f t="shared" ca="1" si="266"/>
        <v>#REF!</v>
      </c>
      <c r="AN203" s="786" t="e">
        <f t="shared" ca="1" si="267"/>
        <v>#REF!</v>
      </c>
      <c r="AO203" s="787">
        <v>0</v>
      </c>
      <c r="AP203" s="771">
        <f>gibon40!$AX$32</f>
        <v>5082400</v>
      </c>
    </row>
    <row r="204" spans="17:42" ht="20">
      <c r="Q204" s="99"/>
      <c r="S204" s="788"/>
      <c r="T204" s="160" t="s">
        <v>184</v>
      </c>
      <c r="U204" s="704" t="e">
        <f t="shared" ca="1" si="268"/>
        <v>#REF!</v>
      </c>
      <c r="V204" s="144" t="e">
        <f t="shared" ca="1" si="269"/>
        <v>#REF!</v>
      </c>
      <c r="W204" s="783" t="e">
        <f t="shared" ca="1" si="270"/>
        <v>#REF!</v>
      </c>
      <c r="X204" s="783" t="e">
        <f t="shared" ca="1" si="259"/>
        <v>#REF!</v>
      </c>
      <c r="Y204" s="783" t="e">
        <f t="shared" ca="1" si="260"/>
        <v>#REF!</v>
      </c>
      <c r="Z204" s="613">
        <v>0</v>
      </c>
      <c r="AA204" s="771" t="e">
        <f t="shared" ca="1" si="271"/>
        <v>#REF!</v>
      </c>
      <c r="AB204" s="782" t="e">
        <f t="shared" ca="1" si="272"/>
        <v>#REF!</v>
      </c>
      <c r="AC204" s="782" t="e">
        <f t="shared" ca="1" si="264"/>
        <v>#REF!</v>
      </c>
      <c r="AD204" s="782" t="e">
        <f t="shared" ca="1" si="265"/>
        <v>#REF!</v>
      </c>
      <c r="AE204" s="728">
        <v>0</v>
      </c>
      <c r="AF204" s="771">
        <f>gibon40!$AY$12</f>
        <v>0</v>
      </c>
      <c r="AG204" s="784" t="e">
        <f t="shared" ca="1" si="273"/>
        <v>#REF!</v>
      </c>
      <c r="AH204" s="784" t="e">
        <f t="shared" ca="1" si="262"/>
        <v>#REF!</v>
      </c>
      <c r="AI204" s="784" t="e">
        <f t="shared" ca="1" si="263"/>
        <v>#REF!</v>
      </c>
      <c r="AJ204" s="785">
        <v>0</v>
      </c>
      <c r="AK204" s="771">
        <f>gibon40!$AY$27</f>
        <v>0</v>
      </c>
      <c r="AL204" s="786" t="e">
        <f t="shared" ca="1" si="274"/>
        <v>#REF!</v>
      </c>
      <c r="AM204" s="786" t="e">
        <f t="shared" ca="1" si="266"/>
        <v>#REF!</v>
      </c>
      <c r="AN204" s="786" t="e">
        <f t="shared" ca="1" si="267"/>
        <v>#REF!</v>
      </c>
      <c r="AO204" s="787">
        <v>0</v>
      </c>
      <c r="AP204" s="771">
        <f>gibon40!$AY$32</f>
        <v>0</v>
      </c>
    </row>
    <row r="205" spans="17:42" ht="20">
      <c r="Q205" s="99"/>
      <c r="S205" s="788"/>
      <c r="T205" s="160" t="s">
        <v>189</v>
      </c>
      <c r="U205" s="704" t="e">
        <f t="shared" ca="1" si="268"/>
        <v>#REF!</v>
      </c>
      <c r="V205" s="144" t="e">
        <f t="shared" ca="1" si="269"/>
        <v>#REF!</v>
      </c>
      <c r="W205" s="783" t="e">
        <f t="shared" ca="1" si="270"/>
        <v>#REF!</v>
      </c>
      <c r="X205" s="783" t="e">
        <f t="shared" ca="1" si="259"/>
        <v>#REF!</v>
      </c>
      <c r="Y205" s="783" t="e">
        <f t="shared" ca="1" si="260"/>
        <v>#REF!</v>
      </c>
      <c r="Z205" s="613">
        <v>0</v>
      </c>
      <c r="AA205" s="771" t="e">
        <f t="shared" ca="1" si="271"/>
        <v>#REF!</v>
      </c>
      <c r="AB205" s="782" t="e">
        <f t="shared" ca="1" si="272"/>
        <v>#REF!</v>
      </c>
      <c r="AC205" s="782" t="e">
        <f t="shared" ca="1" si="264"/>
        <v>#REF!</v>
      </c>
      <c r="AD205" s="782" t="e">
        <f t="shared" ca="1" si="265"/>
        <v>#REF!</v>
      </c>
      <c r="AE205" s="728">
        <v>0</v>
      </c>
      <c r="AF205" s="771">
        <f>gibon40!$AZ$12</f>
        <v>0</v>
      </c>
      <c r="AG205" s="784" t="e">
        <f t="shared" ca="1" si="273"/>
        <v>#REF!</v>
      </c>
      <c r="AH205" s="784" t="e">
        <f t="shared" ca="1" si="262"/>
        <v>#REF!</v>
      </c>
      <c r="AI205" s="784" t="e">
        <f t="shared" ca="1" si="263"/>
        <v>#REF!</v>
      </c>
      <c r="AJ205" s="785">
        <v>0</v>
      </c>
      <c r="AK205" s="771">
        <f>gibon40!$AZ$27</f>
        <v>0</v>
      </c>
      <c r="AL205" s="786" t="e">
        <f t="shared" ca="1" si="274"/>
        <v>#REF!</v>
      </c>
      <c r="AM205" s="786" t="e">
        <f t="shared" ca="1" si="266"/>
        <v>#REF!</v>
      </c>
      <c r="AN205" s="786" t="e">
        <f t="shared" ca="1" si="267"/>
        <v>#REF!</v>
      </c>
      <c r="AO205" s="787">
        <v>0</v>
      </c>
      <c r="AP205" s="771">
        <f>gibon40!$AZ$32</f>
        <v>0</v>
      </c>
    </row>
    <row r="206" spans="17:42" ht="20">
      <c r="Q206" s="99"/>
      <c r="S206" s="788"/>
      <c r="T206" s="160" t="s">
        <v>185</v>
      </c>
      <c r="U206" s="704" t="e">
        <f t="shared" ca="1" si="268"/>
        <v>#REF!</v>
      </c>
      <c r="V206" s="144" t="e">
        <f t="shared" ca="1" si="269"/>
        <v>#REF!</v>
      </c>
      <c r="W206" s="783" t="e">
        <f t="shared" ca="1" si="270"/>
        <v>#REF!</v>
      </c>
      <c r="X206" s="783" t="e">
        <f t="shared" ca="1" si="259"/>
        <v>#REF!</v>
      </c>
      <c r="Y206" s="783" t="e">
        <f t="shared" ca="1" si="260"/>
        <v>#REF!</v>
      </c>
      <c r="Z206" s="613">
        <v>0</v>
      </c>
      <c r="AA206" s="771" t="e">
        <f t="shared" ca="1" si="271"/>
        <v>#REF!</v>
      </c>
      <c r="AB206" s="782" t="e">
        <f t="shared" ca="1" si="272"/>
        <v>#REF!</v>
      </c>
      <c r="AC206" s="782" t="e">
        <f t="shared" ca="1" si="264"/>
        <v>#REF!</v>
      </c>
      <c r="AD206" s="782" t="e">
        <f t="shared" ca="1" si="265"/>
        <v>#REF!</v>
      </c>
      <c r="AE206" s="728">
        <v>0</v>
      </c>
      <c r="AF206" s="771">
        <f>gibon40!$BA$12</f>
        <v>0</v>
      </c>
      <c r="AG206" s="784" t="e">
        <f t="shared" ca="1" si="273"/>
        <v>#REF!</v>
      </c>
      <c r="AH206" s="784" t="e">
        <f t="shared" ca="1" si="262"/>
        <v>#REF!</v>
      </c>
      <c r="AI206" s="784" t="e">
        <f t="shared" ca="1" si="263"/>
        <v>#REF!</v>
      </c>
      <c r="AJ206" s="785">
        <v>0</v>
      </c>
      <c r="AK206" s="771">
        <f>gibon40!$BA$27</f>
        <v>0</v>
      </c>
      <c r="AL206" s="786" t="e">
        <f t="shared" ca="1" si="274"/>
        <v>#REF!</v>
      </c>
      <c r="AM206" s="786" t="e">
        <f t="shared" ca="1" si="266"/>
        <v>#REF!</v>
      </c>
      <c r="AN206" s="786" t="e">
        <f t="shared" ca="1" si="267"/>
        <v>#REF!</v>
      </c>
      <c r="AO206" s="787">
        <v>0</v>
      </c>
      <c r="AP206" s="771">
        <f>gibon40!$BA$32</f>
        <v>0</v>
      </c>
    </row>
    <row r="207" spans="17:42" ht="20">
      <c r="Q207" s="99"/>
      <c r="S207" s="788"/>
      <c r="T207" s="160" t="s">
        <v>187</v>
      </c>
      <c r="U207" s="704" t="e">
        <f t="shared" ca="1" si="268"/>
        <v>#REF!</v>
      </c>
      <c r="V207" s="144" t="e">
        <f t="shared" ca="1" si="269"/>
        <v>#REF!</v>
      </c>
      <c r="W207" s="783" t="e">
        <f t="shared" ca="1" si="270"/>
        <v>#REF!</v>
      </c>
      <c r="X207" s="783" t="e">
        <f t="shared" ca="1" si="259"/>
        <v>#REF!</v>
      </c>
      <c r="Y207" s="783" t="e">
        <f t="shared" ca="1" si="260"/>
        <v>#REF!</v>
      </c>
      <c r="Z207" s="613">
        <v>0</v>
      </c>
      <c r="AA207" s="771" t="e">
        <f t="shared" ca="1" si="271"/>
        <v>#REF!</v>
      </c>
      <c r="AB207" s="782" t="e">
        <f t="shared" ca="1" si="272"/>
        <v>#REF!</v>
      </c>
      <c r="AC207" s="782" t="e">
        <f t="shared" ca="1" si="264"/>
        <v>#REF!</v>
      </c>
      <c r="AD207" s="782" t="e">
        <f t="shared" ca="1" si="265"/>
        <v>#REF!</v>
      </c>
      <c r="AE207" s="728">
        <v>0</v>
      </c>
      <c r="AF207" s="771">
        <f>gibon40!$BB$12</f>
        <v>0</v>
      </c>
      <c r="AG207" s="784" t="e">
        <f t="shared" ca="1" si="273"/>
        <v>#REF!</v>
      </c>
      <c r="AH207" s="784" t="e">
        <f t="shared" ca="1" si="262"/>
        <v>#REF!</v>
      </c>
      <c r="AI207" s="784" t="e">
        <f t="shared" ca="1" si="263"/>
        <v>#REF!</v>
      </c>
      <c r="AJ207" s="785">
        <v>0</v>
      </c>
      <c r="AK207" s="771">
        <f>gibon40!$BB$27</f>
        <v>0</v>
      </c>
      <c r="AL207" s="786" t="e">
        <f t="shared" ca="1" si="274"/>
        <v>#REF!</v>
      </c>
      <c r="AM207" s="786" t="e">
        <f t="shared" ca="1" si="266"/>
        <v>#REF!</v>
      </c>
      <c r="AN207" s="786" t="e">
        <f t="shared" ca="1" si="267"/>
        <v>#REF!</v>
      </c>
      <c r="AO207" s="787">
        <v>0</v>
      </c>
      <c r="AP207" s="771">
        <f>gibon40!$BB$32</f>
        <v>0</v>
      </c>
    </row>
    <row r="208" spans="17:42" ht="20">
      <c r="Q208" s="99"/>
      <c r="S208" s="788"/>
      <c r="T208" s="160" t="s">
        <v>193</v>
      </c>
      <c r="U208" s="704" t="e">
        <f t="shared" ca="1" si="268"/>
        <v>#REF!</v>
      </c>
      <c r="V208" s="144" t="e">
        <f t="shared" ca="1" si="269"/>
        <v>#REF!</v>
      </c>
      <c r="W208" s="783" t="e">
        <f t="shared" ca="1" si="270"/>
        <v>#REF!</v>
      </c>
      <c r="X208" s="783" t="e">
        <f t="shared" ca="1" si="259"/>
        <v>#REF!</v>
      </c>
      <c r="Y208" s="783" t="e">
        <f t="shared" ca="1" si="260"/>
        <v>#REF!</v>
      </c>
      <c r="Z208" s="613">
        <v>0</v>
      </c>
      <c r="AA208" s="771" t="e">
        <f t="shared" ca="1" si="271"/>
        <v>#REF!</v>
      </c>
      <c r="AB208" s="782" t="e">
        <f t="shared" ca="1" si="272"/>
        <v>#REF!</v>
      </c>
      <c r="AC208" s="782" t="e">
        <f t="shared" ca="1" si="264"/>
        <v>#REF!</v>
      </c>
      <c r="AD208" s="782" t="e">
        <f t="shared" ca="1" si="265"/>
        <v>#REF!</v>
      </c>
      <c r="AE208" s="728">
        <v>0</v>
      </c>
      <c r="AF208" s="771">
        <f>gibon40!$BC$12</f>
        <v>0</v>
      </c>
      <c r="AG208" s="784" t="e">
        <f t="shared" ca="1" si="273"/>
        <v>#REF!</v>
      </c>
      <c r="AH208" s="784" t="e">
        <f t="shared" ca="1" si="262"/>
        <v>#REF!</v>
      </c>
      <c r="AI208" s="784" t="e">
        <f t="shared" ca="1" si="263"/>
        <v>#REF!</v>
      </c>
      <c r="AJ208" s="785">
        <v>0</v>
      </c>
      <c r="AK208" s="771">
        <f>gibon40!$BC$27</f>
        <v>0</v>
      </c>
      <c r="AL208" s="786" t="e">
        <f t="shared" ca="1" si="274"/>
        <v>#REF!</v>
      </c>
      <c r="AM208" s="786" t="e">
        <f t="shared" ca="1" si="266"/>
        <v>#REF!</v>
      </c>
      <c r="AN208" s="786" t="e">
        <f t="shared" ca="1" si="267"/>
        <v>#REF!</v>
      </c>
      <c r="AO208" s="787">
        <v>0</v>
      </c>
      <c r="AP208" s="771">
        <f>gibon40!$BC$32</f>
        <v>0</v>
      </c>
    </row>
    <row r="209" spans="17:42" ht="20">
      <c r="Q209" s="99"/>
      <c r="S209" s="788"/>
      <c r="T209" s="160" t="s">
        <v>205</v>
      </c>
      <c r="U209" s="704" t="e">
        <f t="shared" ca="1" si="268"/>
        <v>#REF!</v>
      </c>
      <c r="V209" s="144" t="e">
        <f t="shared" ca="1" si="269"/>
        <v>#REF!</v>
      </c>
      <c r="W209" s="783" t="e">
        <f t="shared" ca="1" si="270"/>
        <v>#REF!</v>
      </c>
      <c r="X209" s="783" t="e">
        <f t="shared" ca="1" si="259"/>
        <v>#REF!</v>
      </c>
      <c r="Y209" s="783" t="e">
        <f t="shared" ca="1" si="260"/>
        <v>#REF!</v>
      </c>
      <c r="Z209" s="613">
        <v>0</v>
      </c>
      <c r="AA209" s="771" t="e">
        <f t="shared" ca="1" si="271"/>
        <v>#REF!</v>
      </c>
      <c r="AB209" s="782" t="e">
        <f t="shared" ca="1" si="272"/>
        <v>#REF!</v>
      </c>
      <c r="AC209" s="782" t="e">
        <f t="shared" ca="1" si="264"/>
        <v>#REF!</v>
      </c>
      <c r="AD209" s="782" t="e">
        <f t="shared" ca="1" si="265"/>
        <v>#REF!</v>
      </c>
      <c r="AE209" s="728">
        <v>0</v>
      </c>
      <c r="AF209" s="771">
        <f>gibon40!$BD$12</f>
        <v>0</v>
      </c>
      <c r="AG209" s="784" t="e">
        <f t="shared" ca="1" si="273"/>
        <v>#REF!</v>
      </c>
      <c r="AH209" s="784" t="e">
        <f t="shared" ca="1" si="262"/>
        <v>#REF!</v>
      </c>
      <c r="AI209" s="784" t="e">
        <f t="shared" ca="1" si="263"/>
        <v>#REF!</v>
      </c>
      <c r="AJ209" s="785">
        <v>0</v>
      </c>
      <c r="AK209" s="771">
        <f>gibon40!$BD$27</f>
        <v>0</v>
      </c>
      <c r="AL209" s="786" t="e">
        <f t="shared" ca="1" si="274"/>
        <v>#REF!</v>
      </c>
      <c r="AM209" s="786" t="e">
        <f t="shared" ca="1" si="266"/>
        <v>#REF!</v>
      </c>
      <c r="AN209" s="786" t="e">
        <f t="shared" ca="1" si="267"/>
        <v>#REF!</v>
      </c>
      <c r="AO209" s="787">
        <v>0</v>
      </c>
      <c r="AP209" s="771">
        <f>gibon40!$BD$32</f>
        <v>0</v>
      </c>
    </row>
    <row r="210" spans="17:42">
      <c r="Q210" s="99"/>
      <c r="T210" s="97"/>
      <c r="V210" s="22"/>
      <c r="W210" s="97"/>
      <c r="AA210" s="771">
        <f>gibon40!$BE$23</f>
        <v>0</v>
      </c>
    </row>
    <row r="211" spans="17:42">
      <c r="Q211" s="99"/>
      <c r="T211" s="97"/>
      <c r="V211" s="22"/>
      <c r="W211" s="97"/>
    </row>
    <row r="212" spans="17:42">
      <c r="Q212" s="99"/>
      <c r="T212" s="97"/>
      <c r="V212" s="22"/>
      <c r="W212" s="97"/>
    </row>
    <row r="213" spans="17:42">
      <c r="Q213" s="99"/>
      <c r="T213" s="97"/>
      <c r="V213" s="22"/>
      <c r="W213" s="97"/>
    </row>
    <row r="214" spans="17:42">
      <c r="Q214" s="99"/>
      <c r="T214" s="97"/>
      <c r="V214" s="22"/>
      <c r="W214" s="97"/>
    </row>
    <row r="215" spans="17:42">
      <c r="Q215" s="99"/>
      <c r="T215" s="97"/>
      <c r="V215" s="22"/>
      <c r="W215" s="97"/>
    </row>
    <row r="216" spans="17:42">
      <c r="Q216" s="99"/>
      <c r="T216" s="97"/>
      <c r="V216" s="22"/>
      <c r="W216" s="97"/>
    </row>
    <row r="217" spans="17:42">
      <c r="Q217" s="99"/>
      <c r="T217" s="97"/>
      <c r="V217" s="22"/>
      <c r="W217" s="97"/>
    </row>
    <row r="218" spans="17:42">
      <c r="Q218" s="99"/>
      <c r="T218" s="97"/>
      <c r="V218" s="22"/>
      <c r="W218" s="97"/>
    </row>
    <row r="219" spans="17:42">
      <c r="Q219" s="99"/>
      <c r="T219" s="97"/>
      <c r="V219" s="22"/>
      <c r="W219" s="97"/>
    </row>
    <row r="220" spans="17:42">
      <c r="Q220" s="99"/>
      <c r="T220" s="97"/>
      <c r="V220" s="22"/>
      <c r="W220" s="97"/>
    </row>
    <row r="221" spans="17:42">
      <c r="Q221" s="99"/>
      <c r="T221" s="97"/>
      <c r="V221" s="22"/>
      <c r="W221" s="97"/>
    </row>
    <row r="222" spans="17:42">
      <c r="Q222" s="99"/>
      <c r="T222" s="97"/>
      <c r="V222" s="22"/>
      <c r="W222" s="97"/>
    </row>
    <row r="223" spans="17:42">
      <c r="Q223" s="99"/>
      <c r="T223" s="97"/>
      <c r="V223" s="22"/>
      <c r="W223" s="97"/>
    </row>
    <row r="224" spans="17:42">
      <c r="Q224" s="99"/>
      <c r="T224" s="97"/>
      <c r="V224" s="22"/>
      <c r="W224" s="97"/>
    </row>
    <row r="225" spans="17:23">
      <c r="Q225" s="99"/>
      <c r="T225" s="97"/>
      <c r="V225" s="22"/>
      <c r="W225" s="97"/>
    </row>
    <row r="226" spans="17:23">
      <c r="Q226" s="99"/>
      <c r="T226" s="97"/>
      <c r="V226" s="22"/>
      <c r="W226" s="97"/>
    </row>
    <row r="227" spans="17:23">
      <c r="Q227" s="99"/>
      <c r="T227" s="97"/>
      <c r="V227" s="22"/>
      <c r="W227" s="97"/>
    </row>
    <row r="228" spans="17:23">
      <c r="Q228" s="99"/>
      <c r="T228" s="97"/>
      <c r="V228" s="22"/>
      <c r="W228" s="97"/>
    </row>
    <row r="229" spans="17:23">
      <c r="Q229" s="99"/>
      <c r="T229" s="97"/>
      <c r="V229" s="22"/>
      <c r="W229" s="97"/>
    </row>
    <row r="230" spans="17:23">
      <c r="Q230" s="99"/>
      <c r="T230" s="97"/>
      <c r="V230" s="22"/>
      <c r="W230" s="97"/>
    </row>
    <row r="231" spans="17:23">
      <c r="Q231" s="99"/>
      <c r="T231" s="97"/>
      <c r="V231" s="22"/>
      <c r="W231" s="97"/>
    </row>
    <row r="232" spans="17:23">
      <c r="Q232" s="99"/>
      <c r="T232" s="97"/>
      <c r="V232" s="22"/>
      <c r="W232" s="97"/>
    </row>
    <row r="233" spans="17:23">
      <c r="Q233" s="99"/>
      <c r="T233" s="97"/>
      <c r="V233" s="22"/>
      <c r="W233" s="97"/>
    </row>
    <row r="234" spans="17:23">
      <c r="Q234" s="99"/>
      <c r="T234" s="97"/>
      <c r="V234" s="22"/>
      <c r="W234" s="97"/>
    </row>
    <row r="235" spans="17:23">
      <c r="Q235" s="99"/>
      <c r="T235" s="97"/>
      <c r="V235" s="22"/>
      <c r="W235" s="97"/>
    </row>
    <row r="236" spans="17:23">
      <c r="Q236" s="99"/>
      <c r="T236" s="97"/>
      <c r="V236" s="22"/>
      <c r="W236" s="97"/>
    </row>
    <row r="237" spans="17:23">
      <c r="Q237" s="99"/>
      <c r="T237" s="97"/>
      <c r="V237" s="22"/>
      <c r="W237" s="97"/>
    </row>
    <row r="238" spans="17:23">
      <c r="Q238" s="99"/>
      <c r="T238" s="97"/>
      <c r="V238" s="22"/>
      <c r="W238" s="97"/>
    </row>
    <row r="239" spans="17:23">
      <c r="Q239" s="99"/>
      <c r="T239" s="97"/>
      <c r="V239" s="22"/>
      <c r="W239" s="97"/>
    </row>
    <row r="240" spans="17:23">
      <c r="Q240" s="99"/>
      <c r="T240" s="97"/>
      <c r="V240" s="22"/>
      <c r="W240" s="97"/>
    </row>
    <row r="241" spans="17:23">
      <c r="Q241" s="99"/>
      <c r="T241" s="97"/>
      <c r="V241" s="22"/>
      <c r="W241" s="97"/>
    </row>
    <row r="242" spans="17:23">
      <c r="Q242" s="99"/>
      <c r="T242" s="97"/>
      <c r="V242" s="22"/>
      <c r="W242" s="97"/>
    </row>
    <row r="243" spans="17:23">
      <c r="Q243" s="99"/>
      <c r="T243" s="97"/>
      <c r="V243" s="22"/>
      <c r="W243" s="97"/>
    </row>
    <row r="244" spans="17:23">
      <c r="Q244" s="99"/>
      <c r="T244" s="97"/>
      <c r="V244" s="22"/>
      <c r="W244" s="97"/>
    </row>
    <row r="245" spans="17:23">
      <c r="Q245" s="99"/>
      <c r="T245" s="97"/>
      <c r="V245" s="22"/>
      <c r="W245" s="97"/>
    </row>
    <row r="246" spans="17:23">
      <c r="Q246" s="99"/>
      <c r="T246" s="97"/>
      <c r="V246" s="22"/>
      <c r="W246" s="97"/>
    </row>
    <row r="247" spans="17:23">
      <c r="Q247" s="99"/>
      <c r="T247" s="97"/>
      <c r="V247" s="22"/>
      <c r="W247" s="97"/>
    </row>
    <row r="248" spans="17:23">
      <c r="Q248" s="99"/>
      <c r="T248" s="97"/>
      <c r="V248" s="22"/>
      <c r="W248" s="97"/>
    </row>
    <row r="249" spans="17:23">
      <c r="Q249" s="99"/>
      <c r="T249" s="97"/>
      <c r="V249" s="22"/>
      <c r="W249" s="97"/>
    </row>
    <row r="250" spans="17:23">
      <c r="Q250" s="99"/>
      <c r="T250" s="97"/>
      <c r="V250" s="22"/>
      <c r="W250" s="97"/>
    </row>
    <row r="251" spans="17:23">
      <c r="Q251" s="99"/>
      <c r="T251" s="97"/>
      <c r="V251" s="22"/>
      <c r="W251" s="97"/>
    </row>
    <row r="252" spans="17:23">
      <c r="Q252" s="99"/>
      <c r="T252" s="97"/>
      <c r="V252" s="22"/>
      <c r="W252" s="97"/>
    </row>
    <row r="253" spans="17:23">
      <c r="Q253" s="99"/>
      <c r="T253" s="97"/>
      <c r="V253" s="22"/>
      <c r="W253" s="97"/>
    </row>
    <row r="254" spans="17:23">
      <c r="Q254" s="99"/>
      <c r="T254" s="97"/>
      <c r="V254" s="22"/>
      <c r="W254" s="97"/>
    </row>
    <row r="255" spans="17:23">
      <c r="Q255" s="99"/>
      <c r="T255" s="97"/>
      <c r="V255" s="22"/>
      <c r="W255" s="97"/>
    </row>
    <row r="256" spans="17:23">
      <c r="Q256" s="99"/>
      <c r="T256" s="97"/>
      <c r="V256" s="22"/>
      <c r="W256" s="97"/>
    </row>
    <row r="257" spans="17:23">
      <c r="Q257" s="99"/>
      <c r="T257" s="97"/>
      <c r="V257" s="22"/>
      <c r="W257" s="97"/>
    </row>
    <row r="258" spans="17:23">
      <c r="Q258" s="99"/>
      <c r="T258" s="97"/>
      <c r="V258" s="22"/>
      <c r="W258" s="97"/>
    </row>
    <row r="259" spans="17:23">
      <c r="Q259" s="99"/>
      <c r="T259" s="97"/>
      <c r="V259" s="22"/>
      <c r="W259" s="97"/>
    </row>
    <row r="260" spans="17:23">
      <c r="Q260" s="99"/>
      <c r="T260" s="97"/>
      <c r="V260" s="22"/>
      <c r="W260" s="97"/>
    </row>
    <row r="261" spans="17:23">
      <c r="Q261" s="99"/>
      <c r="T261" s="97"/>
      <c r="V261" s="22"/>
      <c r="W261" s="97"/>
    </row>
    <row r="262" spans="17:23">
      <c r="Q262" s="99"/>
      <c r="T262" s="97"/>
      <c r="V262" s="22"/>
      <c r="W262" s="97"/>
    </row>
    <row r="263" spans="17:23">
      <c r="Q263" s="99"/>
      <c r="T263" s="97"/>
      <c r="V263" s="22"/>
      <c r="W263" s="97"/>
    </row>
    <row r="264" spans="17:23">
      <c r="Q264" s="99"/>
      <c r="T264" s="97"/>
      <c r="V264" s="22"/>
      <c r="W264" s="97"/>
    </row>
    <row r="265" spans="17:23">
      <c r="Q265" s="99"/>
      <c r="T265" s="97"/>
      <c r="V265" s="22"/>
      <c r="W265" s="97"/>
    </row>
    <row r="266" spans="17:23">
      <c r="Q266" s="99"/>
      <c r="T266" s="97"/>
      <c r="V266" s="22"/>
      <c r="W266" s="97"/>
    </row>
    <row r="267" spans="17:23">
      <c r="Q267" s="99"/>
      <c r="T267" s="97"/>
      <c r="V267" s="22"/>
      <c r="W267" s="97"/>
    </row>
    <row r="268" spans="17:23">
      <c r="Q268" s="99"/>
      <c r="T268" s="97"/>
      <c r="V268" s="22"/>
      <c r="W268" s="97"/>
    </row>
    <row r="269" spans="17:23">
      <c r="Q269" s="99"/>
      <c r="T269" s="97"/>
      <c r="V269" s="22"/>
      <c r="W269" s="97"/>
    </row>
    <row r="270" spans="17:23">
      <c r="Q270" s="99"/>
      <c r="T270" s="97"/>
      <c r="V270" s="22"/>
      <c r="W270" s="97"/>
    </row>
    <row r="271" spans="17:23">
      <c r="Q271" s="99"/>
      <c r="T271" s="97"/>
      <c r="V271" s="22"/>
      <c r="W271" s="97"/>
    </row>
    <row r="272" spans="17:23">
      <c r="Q272" s="99"/>
      <c r="T272" s="97"/>
      <c r="V272" s="22"/>
      <c r="W272" s="97"/>
    </row>
    <row r="273" spans="17:23">
      <c r="Q273" s="99"/>
      <c r="T273" s="97"/>
      <c r="V273" s="22"/>
      <c r="W273" s="97"/>
    </row>
    <row r="274" spans="17:23">
      <c r="Q274" s="99"/>
      <c r="T274" s="97"/>
      <c r="V274" s="22"/>
      <c r="W274" s="97"/>
    </row>
    <row r="275" spans="17:23">
      <c r="Q275" s="99"/>
      <c r="T275" s="97"/>
      <c r="V275" s="22"/>
      <c r="W275" s="97"/>
    </row>
    <row r="276" spans="17:23">
      <c r="Q276" s="99"/>
      <c r="T276" s="97"/>
      <c r="V276" s="22"/>
      <c r="W276" s="97"/>
    </row>
    <row r="277" spans="17:23">
      <c r="Q277" s="99"/>
      <c r="T277" s="97"/>
      <c r="V277" s="22"/>
      <c r="W277" s="97"/>
    </row>
    <row r="278" spans="17:23">
      <c r="Q278" s="99"/>
      <c r="T278" s="97"/>
      <c r="V278" s="22"/>
      <c r="W278" s="97"/>
    </row>
    <row r="279" spans="17:23">
      <c r="Q279" s="99"/>
      <c r="T279" s="97"/>
      <c r="V279" s="22"/>
      <c r="W279" s="97"/>
    </row>
    <row r="280" spans="17:23">
      <c r="Q280" s="99"/>
      <c r="T280" s="97"/>
      <c r="V280" s="22"/>
      <c r="W280" s="97"/>
    </row>
    <row r="281" spans="17:23">
      <c r="Q281" s="99"/>
      <c r="T281" s="97"/>
      <c r="V281" s="22"/>
      <c r="W281" s="97"/>
    </row>
    <row r="282" spans="17:23">
      <c r="Q282" s="99"/>
      <c r="T282" s="97"/>
      <c r="V282" s="22"/>
      <c r="W282" s="97"/>
    </row>
    <row r="283" spans="17:23">
      <c r="Q283" s="99"/>
      <c r="T283" s="97"/>
      <c r="V283" s="22"/>
      <c r="W283" s="97"/>
    </row>
    <row r="284" spans="17:23">
      <c r="Q284" s="99"/>
      <c r="T284" s="97"/>
      <c r="V284" s="22"/>
      <c r="W284" s="97"/>
    </row>
    <row r="285" spans="17:23">
      <c r="Q285" s="99"/>
      <c r="T285" s="97"/>
      <c r="V285" s="22"/>
      <c r="W285" s="97"/>
    </row>
    <row r="286" spans="17:23">
      <c r="Q286" s="99"/>
      <c r="T286" s="97"/>
      <c r="V286" s="22"/>
      <c r="W286" s="97"/>
    </row>
    <row r="287" spans="17:23">
      <c r="Q287" s="99"/>
      <c r="T287" s="97"/>
      <c r="V287" s="22"/>
      <c r="W287" s="97"/>
    </row>
    <row r="288" spans="17:23">
      <c r="Q288" s="99"/>
      <c r="T288" s="97"/>
      <c r="V288" s="22"/>
      <c r="W288" s="97"/>
    </row>
    <row r="289" spans="17:23">
      <c r="Q289" s="99"/>
      <c r="T289" s="97"/>
      <c r="V289" s="22"/>
      <c r="W289" s="97"/>
    </row>
    <row r="290" spans="17:23">
      <c r="Q290" s="99"/>
      <c r="T290" s="97"/>
      <c r="V290" s="22"/>
      <c r="W290" s="97"/>
    </row>
    <row r="291" spans="17:23">
      <c r="Q291" s="99"/>
      <c r="T291" s="97"/>
      <c r="V291" s="22"/>
      <c r="W291" s="97"/>
    </row>
    <row r="292" spans="17:23">
      <c r="Q292" s="99"/>
      <c r="T292" s="97"/>
      <c r="V292" s="22"/>
      <c r="W292" s="97"/>
    </row>
    <row r="293" spans="17:23">
      <c r="Q293" s="99"/>
      <c r="T293" s="97"/>
      <c r="V293" s="22"/>
      <c r="W293" s="97"/>
    </row>
    <row r="294" spans="17:23">
      <c r="Q294" s="99"/>
      <c r="T294" s="97"/>
      <c r="V294" s="22"/>
      <c r="W294" s="97"/>
    </row>
    <row r="295" spans="17:23">
      <c r="Q295" s="99"/>
      <c r="T295" s="97"/>
      <c r="V295" s="22"/>
      <c r="W295" s="97"/>
    </row>
    <row r="296" spans="17:23">
      <c r="Q296" s="99"/>
      <c r="T296" s="97"/>
      <c r="V296" s="22"/>
      <c r="W296" s="97"/>
    </row>
    <row r="297" spans="17:23">
      <c r="Q297" s="99"/>
      <c r="T297" s="97"/>
      <c r="V297" s="22"/>
      <c r="W297" s="97"/>
    </row>
    <row r="298" spans="17:23">
      <c r="Q298" s="99"/>
      <c r="T298" s="97"/>
      <c r="V298" s="22"/>
      <c r="W298" s="97"/>
    </row>
    <row r="299" spans="17:23">
      <c r="Q299" s="99"/>
      <c r="T299" s="97"/>
      <c r="V299" s="22"/>
      <c r="W299" s="97"/>
    </row>
    <row r="300" spans="17:23">
      <c r="Q300" s="99"/>
      <c r="T300" s="97"/>
      <c r="V300" s="22"/>
      <c r="W300" s="97"/>
    </row>
    <row r="301" spans="17:23">
      <c r="Q301" s="99"/>
      <c r="T301" s="97"/>
      <c r="V301" s="22"/>
      <c r="W301" s="97"/>
    </row>
    <row r="302" spans="17:23">
      <c r="Q302" s="99"/>
      <c r="T302" s="97"/>
      <c r="V302" s="22"/>
      <c r="W302" s="97"/>
    </row>
    <row r="303" spans="17:23">
      <c r="Q303" s="99"/>
      <c r="T303" s="97"/>
      <c r="V303" s="22"/>
      <c r="W303" s="97"/>
    </row>
    <row r="304" spans="17:23">
      <c r="Q304" s="99"/>
      <c r="T304" s="97"/>
      <c r="V304" s="22"/>
      <c r="W304" s="97"/>
    </row>
    <row r="305" spans="17:23">
      <c r="Q305" s="99"/>
      <c r="T305" s="97"/>
      <c r="V305" s="22"/>
      <c r="W305" s="97"/>
    </row>
    <row r="306" spans="17:23">
      <c r="Q306" s="99"/>
      <c r="T306" s="97"/>
      <c r="V306" s="22"/>
      <c r="W306" s="97"/>
    </row>
    <row r="307" spans="17:23">
      <c r="Q307" s="99"/>
      <c r="T307" s="97"/>
      <c r="V307" s="22"/>
      <c r="W307" s="97"/>
    </row>
    <row r="308" spans="17:23">
      <c r="Q308" s="99"/>
      <c r="T308" s="97"/>
      <c r="V308" s="22"/>
      <c r="W308" s="97"/>
    </row>
    <row r="309" spans="17:23">
      <c r="Q309" s="99"/>
      <c r="T309" s="97"/>
      <c r="V309" s="22"/>
      <c r="W309" s="97"/>
    </row>
    <row r="310" spans="17:23">
      <c r="Q310" s="99"/>
      <c r="T310" s="97"/>
      <c r="V310" s="22"/>
      <c r="W310" s="97"/>
    </row>
    <row r="311" spans="17:23">
      <c r="Q311" s="99"/>
      <c r="T311" s="97"/>
      <c r="V311" s="22"/>
      <c r="W311" s="97"/>
    </row>
    <row r="312" spans="17:23">
      <c r="Q312" s="99"/>
      <c r="T312" s="97"/>
      <c r="V312" s="22"/>
      <c r="W312" s="97"/>
    </row>
    <row r="313" spans="17:23">
      <c r="Q313" s="99"/>
      <c r="T313" s="97"/>
      <c r="V313" s="22"/>
      <c r="W313" s="97"/>
    </row>
    <row r="314" spans="17:23">
      <c r="Q314" s="99"/>
      <c r="T314" s="97"/>
      <c r="V314" s="22"/>
      <c r="W314" s="97"/>
    </row>
    <row r="315" spans="17:23">
      <c r="Q315" s="99"/>
      <c r="T315" s="97"/>
      <c r="V315" s="22"/>
      <c r="W315" s="97"/>
    </row>
    <row r="316" spans="17:23">
      <c r="Q316" s="99"/>
      <c r="T316" s="97"/>
      <c r="V316" s="22"/>
      <c r="W316" s="97"/>
    </row>
    <row r="317" spans="17:23">
      <c r="Q317" s="99"/>
      <c r="T317" s="97"/>
      <c r="V317" s="22"/>
      <c r="W317" s="97"/>
    </row>
    <row r="318" spans="17:23">
      <c r="Q318" s="99"/>
      <c r="T318" s="97"/>
      <c r="V318" s="22"/>
      <c r="W318" s="97"/>
    </row>
    <row r="319" spans="17:23">
      <c r="Q319" s="99"/>
      <c r="T319" s="97"/>
      <c r="V319" s="22"/>
      <c r="W319" s="97"/>
    </row>
    <row r="320" spans="17:23">
      <c r="Q320" s="99"/>
      <c r="T320" s="97"/>
      <c r="V320" s="22"/>
      <c r="W320" s="97"/>
    </row>
    <row r="321" spans="17:23">
      <c r="Q321" s="99"/>
      <c r="T321" s="97"/>
      <c r="V321" s="22"/>
      <c r="W321" s="97"/>
    </row>
    <row r="322" spans="17:23">
      <c r="Q322" s="99"/>
      <c r="T322" s="97"/>
      <c r="V322" s="22"/>
      <c r="W322" s="97"/>
    </row>
    <row r="323" spans="17:23">
      <c r="Q323" s="99"/>
      <c r="T323" s="97"/>
      <c r="V323" s="22"/>
      <c r="W323" s="97"/>
    </row>
    <row r="324" spans="17:23">
      <c r="Q324" s="99"/>
      <c r="T324" s="97"/>
      <c r="V324" s="22"/>
      <c r="W324" s="97"/>
    </row>
    <row r="325" spans="17:23">
      <c r="Q325" s="99"/>
      <c r="T325" s="97"/>
      <c r="V325" s="22"/>
      <c r="W325" s="97"/>
    </row>
    <row r="326" spans="17:23">
      <c r="Q326" s="99"/>
      <c r="T326" s="97"/>
      <c r="V326" s="22"/>
      <c r="W326" s="97"/>
    </row>
    <row r="327" spans="17:23">
      <c r="Q327" s="99"/>
      <c r="T327" s="97"/>
      <c r="V327" s="22"/>
      <c r="W327" s="97"/>
    </row>
    <row r="328" spans="17:23">
      <c r="Q328" s="99"/>
      <c r="T328" s="97"/>
      <c r="V328" s="22"/>
      <c r="W328" s="97"/>
    </row>
    <row r="329" spans="17:23">
      <c r="Q329" s="99"/>
      <c r="T329" s="97"/>
      <c r="V329" s="22"/>
      <c r="W329" s="97"/>
    </row>
    <row r="330" spans="17:23">
      <c r="Q330" s="99"/>
      <c r="T330" s="97"/>
      <c r="V330" s="22"/>
      <c r="W330" s="97"/>
    </row>
    <row r="331" spans="17:23">
      <c r="Q331" s="99"/>
      <c r="T331" s="97"/>
      <c r="V331" s="22"/>
      <c r="W331" s="97"/>
    </row>
    <row r="332" spans="17:23">
      <c r="Q332" s="99"/>
      <c r="T332" s="97"/>
      <c r="V332" s="22"/>
      <c r="W332" s="97"/>
    </row>
    <row r="333" spans="17:23">
      <c r="Q333" s="99"/>
      <c r="T333" s="97"/>
      <c r="V333" s="22"/>
      <c r="W333" s="97"/>
    </row>
    <row r="334" spans="17:23">
      <c r="Q334" s="99"/>
      <c r="T334" s="97"/>
      <c r="V334" s="22"/>
      <c r="W334" s="97"/>
    </row>
    <row r="335" spans="17:23">
      <c r="Q335" s="99"/>
      <c r="T335" s="97"/>
      <c r="V335" s="22"/>
      <c r="W335" s="97"/>
    </row>
    <row r="336" spans="17:23">
      <c r="Q336" s="99"/>
      <c r="T336" s="97"/>
      <c r="V336" s="22"/>
      <c r="W336" s="97"/>
    </row>
    <row r="337" spans="17:23">
      <c r="Q337" s="99"/>
      <c r="T337" s="97"/>
      <c r="V337" s="22"/>
      <c r="W337" s="97"/>
    </row>
    <row r="338" spans="17:23">
      <c r="Q338" s="99"/>
      <c r="T338" s="97"/>
      <c r="V338" s="22"/>
      <c r="W338" s="97"/>
    </row>
    <row r="339" spans="17:23">
      <c r="Q339" s="99"/>
      <c r="T339" s="97"/>
      <c r="V339" s="22"/>
      <c r="W339" s="97"/>
    </row>
    <row r="340" spans="17:23">
      <c r="Q340" s="99"/>
      <c r="T340" s="97"/>
      <c r="V340" s="22"/>
      <c r="W340" s="97"/>
    </row>
    <row r="341" spans="17:23">
      <c r="Q341" s="99"/>
      <c r="T341" s="97"/>
      <c r="V341" s="22"/>
      <c r="W341" s="97"/>
    </row>
    <row r="342" spans="17:23">
      <c r="Q342" s="99"/>
      <c r="T342" s="97"/>
      <c r="V342" s="22"/>
      <c r="W342" s="97"/>
    </row>
    <row r="343" spans="17:23">
      <c r="Q343" s="99"/>
      <c r="T343" s="97"/>
      <c r="V343" s="22"/>
      <c r="W343" s="97"/>
    </row>
    <row r="344" spans="17:23">
      <c r="Q344" s="99"/>
      <c r="T344" s="97"/>
      <c r="V344" s="22"/>
      <c r="W344" s="97"/>
    </row>
    <row r="345" spans="17:23">
      <c r="Q345" s="99"/>
      <c r="T345" s="97"/>
      <c r="V345" s="22"/>
      <c r="W345" s="97"/>
    </row>
    <row r="346" spans="17:23">
      <c r="Q346" s="99"/>
      <c r="T346" s="97"/>
      <c r="V346" s="22"/>
      <c r="W346" s="97"/>
    </row>
    <row r="347" spans="17:23">
      <c r="Q347" s="99"/>
      <c r="T347" s="97"/>
      <c r="V347" s="22"/>
      <c r="W347" s="97"/>
    </row>
    <row r="348" spans="17:23">
      <c r="Q348" s="99"/>
      <c r="T348" s="97"/>
      <c r="V348" s="22"/>
      <c r="W348" s="97"/>
    </row>
    <row r="349" spans="17:23">
      <c r="Q349" s="99"/>
      <c r="T349" s="97"/>
      <c r="V349" s="22"/>
      <c r="W349" s="97"/>
    </row>
    <row r="350" spans="17:23">
      <c r="Q350" s="99"/>
      <c r="T350" s="97"/>
      <c r="V350" s="22"/>
      <c r="W350" s="97"/>
    </row>
    <row r="351" spans="17:23">
      <c r="Q351" s="99"/>
      <c r="T351" s="97"/>
      <c r="V351" s="22"/>
      <c r="W351" s="97"/>
    </row>
    <row r="352" spans="17:23">
      <c r="Q352" s="99"/>
      <c r="T352" s="97"/>
      <c r="V352" s="22"/>
      <c r="W352" s="97"/>
    </row>
    <row r="353" spans="17:23">
      <c r="Q353" s="99"/>
      <c r="T353" s="97"/>
      <c r="V353" s="22"/>
      <c r="W353" s="97"/>
    </row>
    <row r="354" spans="17:23">
      <c r="Q354" s="99"/>
      <c r="T354" s="97"/>
      <c r="V354" s="22"/>
      <c r="W354" s="97"/>
    </row>
    <row r="355" spans="17:23">
      <c r="Q355" s="99"/>
      <c r="T355" s="97"/>
      <c r="V355" s="22"/>
      <c r="W355" s="97"/>
    </row>
    <row r="356" spans="17:23">
      <c r="Q356" s="99"/>
      <c r="T356" s="97"/>
      <c r="V356" s="22"/>
      <c r="W356" s="97"/>
    </row>
    <row r="357" spans="17:23">
      <c r="Q357" s="99"/>
      <c r="T357" s="97"/>
      <c r="V357" s="22"/>
      <c r="W357" s="97"/>
    </row>
    <row r="358" spans="17:23">
      <c r="Q358" s="99"/>
      <c r="T358" s="97"/>
      <c r="V358" s="22"/>
      <c r="W358" s="97"/>
    </row>
    <row r="359" spans="17:23">
      <c r="Q359" s="99"/>
      <c r="T359" s="97"/>
      <c r="V359" s="22"/>
      <c r="W359" s="97"/>
    </row>
    <row r="360" spans="17:23">
      <c r="Q360" s="99"/>
      <c r="T360" s="97"/>
      <c r="V360" s="22"/>
      <c r="W360" s="97"/>
    </row>
    <row r="361" spans="17:23">
      <c r="Q361" s="99"/>
      <c r="T361" s="97"/>
      <c r="V361" s="22"/>
      <c r="W361" s="97"/>
    </row>
    <row r="362" spans="17:23">
      <c r="Q362" s="99"/>
      <c r="T362" s="97"/>
      <c r="V362" s="22"/>
      <c r="W362" s="97"/>
    </row>
    <row r="363" spans="17:23">
      <c r="Q363" s="99"/>
      <c r="T363" s="97"/>
      <c r="V363" s="22"/>
      <c r="W363" s="97"/>
    </row>
    <row r="364" spans="17:23">
      <c r="Q364" s="99"/>
      <c r="T364" s="97"/>
      <c r="V364" s="22"/>
      <c r="W364" s="97"/>
    </row>
    <row r="365" spans="17:23">
      <c r="Q365" s="99"/>
      <c r="T365" s="97"/>
      <c r="V365" s="22"/>
      <c r="W365" s="97"/>
    </row>
    <row r="366" spans="17:23">
      <c r="Q366" s="99"/>
      <c r="T366" s="97"/>
      <c r="V366" s="22"/>
      <c r="W366" s="97"/>
    </row>
    <row r="367" spans="17:23">
      <c r="Q367" s="99"/>
      <c r="T367" s="97"/>
      <c r="V367" s="22"/>
      <c r="W367" s="97"/>
    </row>
    <row r="368" spans="17:23">
      <c r="Q368" s="99"/>
      <c r="T368" s="97"/>
      <c r="V368" s="22"/>
      <c r="W368" s="97"/>
    </row>
    <row r="369" spans="17:23">
      <c r="Q369" s="99"/>
      <c r="T369" s="97"/>
      <c r="V369" s="22"/>
      <c r="W369" s="97"/>
    </row>
    <row r="370" spans="17:23">
      <c r="Q370" s="99"/>
      <c r="T370" s="97"/>
      <c r="V370" s="22"/>
      <c r="W370" s="97"/>
    </row>
    <row r="371" spans="17:23">
      <c r="Q371" s="99"/>
      <c r="T371" s="97"/>
      <c r="V371" s="22"/>
      <c r="W371" s="97"/>
    </row>
    <row r="372" spans="17:23">
      <c r="Q372" s="99"/>
      <c r="T372" s="97"/>
      <c r="V372" s="22"/>
      <c r="W372" s="97"/>
    </row>
    <row r="373" spans="17:23">
      <c r="Q373" s="99"/>
      <c r="T373" s="97"/>
      <c r="V373" s="22"/>
      <c r="W373" s="97"/>
    </row>
    <row r="374" spans="17:23">
      <c r="Q374" s="99"/>
      <c r="T374" s="97"/>
      <c r="V374" s="22"/>
      <c r="W374" s="97"/>
    </row>
    <row r="375" spans="17:23">
      <c r="Q375" s="99"/>
      <c r="T375" s="97"/>
      <c r="V375" s="22"/>
      <c r="W375" s="97"/>
    </row>
    <row r="376" spans="17:23">
      <c r="Q376" s="99"/>
      <c r="T376" s="97"/>
      <c r="V376" s="22"/>
      <c r="W376" s="97"/>
    </row>
    <row r="377" spans="17:23">
      <c r="Q377" s="99"/>
      <c r="T377" s="97"/>
      <c r="V377" s="22"/>
      <c r="W377" s="97"/>
    </row>
    <row r="378" spans="17:23">
      <c r="Q378" s="99"/>
      <c r="T378" s="97"/>
      <c r="V378" s="22"/>
      <c r="W378" s="97"/>
    </row>
    <row r="379" spans="17:23">
      <c r="Q379" s="99"/>
      <c r="T379" s="97"/>
      <c r="V379" s="22"/>
      <c r="W379" s="97"/>
    </row>
    <row r="380" spans="17:23">
      <c r="Q380" s="99"/>
      <c r="T380" s="97"/>
      <c r="V380" s="22"/>
      <c r="W380" s="97"/>
    </row>
    <row r="381" spans="17:23">
      <c r="Q381" s="99"/>
      <c r="T381" s="97"/>
      <c r="V381" s="22"/>
      <c r="W381" s="97"/>
    </row>
    <row r="382" spans="17:23">
      <c r="Q382" s="99"/>
      <c r="T382" s="97"/>
      <c r="V382" s="22"/>
      <c r="W382" s="97"/>
    </row>
    <row r="383" spans="17:23">
      <c r="Q383" s="99"/>
      <c r="T383" s="97"/>
      <c r="V383" s="22"/>
      <c r="W383" s="97"/>
    </row>
    <row r="384" spans="17:23">
      <c r="Q384" s="99"/>
      <c r="T384" s="97"/>
      <c r="V384" s="22"/>
      <c r="W384" s="97"/>
    </row>
    <row r="385" spans="17:23">
      <c r="Q385" s="99"/>
      <c r="T385" s="97"/>
      <c r="V385" s="22"/>
      <c r="W385" s="97"/>
    </row>
    <row r="386" spans="17:23">
      <c r="Q386" s="99"/>
      <c r="T386" s="97"/>
      <c r="V386" s="22"/>
      <c r="W386" s="97"/>
    </row>
    <row r="387" spans="17:23">
      <c r="Q387" s="99"/>
      <c r="T387" s="97"/>
      <c r="V387" s="22"/>
      <c r="W387" s="97"/>
    </row>
    <row r="388" spans="17:23">
      <c r="Q388" s="99"/>
      <c r="T388" s="97"/>
      <c r="V388" s="22"/>
      <c r="W388" s="97"/>
    </row>
    <row r="389" spans="17:23">
      <c r="Q389" s="99"/>
      <c r="T389" s="97"/>
      <c r="V389" s="22"/>
      <c r="W389" s="97"/>
    </row>
    <row r="390" spans="17:23">
      <c r="Q390" s="99"/>
      <c r="T390" s="97"/>
      <c r="V390" s="22"/>
      <c r="W390" s="97"/>
    </row>
    <row r="391" spans="17:23">
      <c r="Q391" s="99"/>
      <c r="T391" s="97"/>
      <c r="V391" s="22"/>
      <c r="W391" s="97"/>
    </row>
    <row r="392" spans="17:23">
      <c r="Q392" s="99"/>
      <c r="T392" s="97"/>
      <c r="V392" s="22"/>
      <c r="W392" s="97"/>
    </row>
    <row r="393" spans="17:23">
      <c r="Q393" s="99"/>
      <c r="T393" s="97"/>
      <c r="V393" s="22"/>
      <c r="W393" s="97"/>
    </row>
    <row r="394" spans="17:23">
      <c r="Q394" s="99"/>
      <c r="T394" s="97"/>
      <c r="V394" s="22"/>
      <c r="W394" s="97"/>
    </row>
    <row r="395" spans="17:23">
      <c r="Q395" s="99"/>
      <c r="T395" s="97"/>
      <c r="V395" s="22"/>
      <c r="W395" s="97"/>
    </row>
    <row r="396" spans="17:23">
      <c r="Q396" s="99"/>
      <c r="T396" s="97"/>
      <c r="V396" s="22"/>
      <c r="W396" s="97"/>
    </row>
    <row r="397" spans="17:23">
      <c r="Q397" s="99"/>
      <c r="T397" s="97"/>
      <c r="V397" s="22"/>
      <c r="W397" s="97"/>
    </row>
    <row r="398" spans="17:23">
      <c r="Q398" s="99"/>
      <c r="T398" s="97"/>
      <c r="V398" s="22"/>
      <c r="W398" s="97"/>
    </row>
    <row r="399" spans="17:23">
      <c r="Q399" s="99"/>
      <c r="T399" s="97"/>
      <c r="V399" s="22"/>
      <c r="W399" s="97"/>
    </row>
    <row r="400" spans="17:23">
      <c r="Q400" s="99"/>
      <c r="T400" s="97"/>
      <c r="V400" s="22"/>
      <c r="W400" s="97"/>
    </row>
    <row r="401" spans="17:23">
      <c r="Q401" s="99"/>
      <c r="T401" s="97"/>
      <c r="V401" s="22"/>
      <c r="W401" s="97"/>
    </row>
    <row r="402" spans="17:23">
      <c r="Q402" s="99"/>
      <c r="T402" s="97"/>
      <c r="V402" s="22"/>
      <c r="W402" s="97"/>
    </row>
    <row r="403" spans="17:23">
      <c r="Q403" s="99"/>
      <c r="T403" s="97"/>
      <c r="V403" s="22"/>
      <c r="W403" s="97"/>
    </row>
    <row r="404" spans="17:23">
      <c r="Q404" s="99"/>
      <c r="T404" s="97"/>
      <c r="V404" s="22"/>
      <c r="W404" s="97"/>
    </row>
    <row r="405" spans="17:23">
      <c r="Q405" s="99"/>
      <c r="T405" s="97"/>
      <c r="V405" s="22"/>
      <c r="W405" s="97"/>
    </row>
    <row r="406" spans="17:23">
      <c r="Q406" s="99"/>
      <c r="T406" s="97"/>
      <c r="V406" s="22"/>
      <c r="W406" s="97"/>
    </row>
    <row r="407" spans="17:23">
      <c r="Q407" s="99"/>
      <c r="T407" s="97"/>
      <c r="V407" s="22"/>
      <c r="W407" s="97"/>
    </row>
    <row r="408" spans="17:23">
      <c r="Q408" s="99"/>
      <c r="T408" s="97"/>
      <c r="V408" s="22"/>
      <c r="W408" s="97"/>
    </row>
    <row r="409" spans="17:23">
      <c r="Q409" s="99"/>
      <c r="T409" s="97"/>
      <c r="V409" s="22"/>
      <c r="W409" s="97"/>
    </row>
    <row r="410" spans="17:23">
      <c r="Q410" s="99"/>
      <c r="T410" s="97"/>
      <c r="V410" s="22"/>
      <c r="W410" s="97"/>
    </row>
    <row r="411" spans="17:23">
      <c r="Q411" s="99"/>
      <c r="T411" s="97"/>
      <c r="V411" s="22"/>
      <c r="W411" s="97"/>
    </row>
    <row r="412" spans="17:23">
      <c r="Q412" s="99"/>
      <c r="T412" s="97"/>
      <c r="V412" s="22"/>
      <c r="W412" s="97"/>
    </row>
    <row r="413" spans="17:23">
      <c r="Q413" s="99"/>
      <c r="T413" s="97"/>
      <c r="V413" s="22"/>
      <c r="W413" s="97"/>
    </row>
    <row r="414" spans="17:23">
      <c r="Q414" s="99"/>
      <c r="T414" s="97"/>
      <c r="V414" s="22"/>
      <c r="W414" s="97"/>
    </row>
    <row r="415" spans="17:23">
      <c r="Q415" s="99"/>
      <c r="T415" s="97"/>
      <c r="V415" s="22"/>
      <c r="W415" s="97"/>
    </row>
    <row r="416" spans="17:23">
      <c r="Q416" s="99"/>
      <c r="T416" s="97"/>
      <c r="V416" s="22"/>
      <c r="W416" s="97"/>
    </row>
    <row r="417" spans="17:23">
      <c r="Q417" s="99"/>
      <c r="T417" s="97"/>
      <c r="V417" s="22"/>
      <c r="W417" s="97"/>
    </row>
    <row r="418" spans="17:23">
      <c r="Q418" s="99"/>
      <c r="T418" s="97"/>
      <c r="V418" s="22"/>
      <c r="W418" s="97"/>
    </row>
    <row r="419" spans="17:23">
      <c r="Q419" s="99"/>
      <c r="T419" s="97"/>
      <c r="V419" s="22"/>
      <c r="W419" s="97"/>
    </row>
    <row r="420" spans="17:23">
      <c r="Q420" s="99"/>
      <c r="T420" s="97"/>
      <c r="V420" s="22"/>
      <c r="W420" s="97"/>
    </row>
    <row r="421" spans="17:23">
      <c r="Q421" s="99"/>
      <c r="T421" s="97"/>
      <c r="V421" s="22"/>
      <c r="W421" s="97"/>
    </row>
    <row r="422" spans="17:23">
      <c r="Q422" s="99"/>
      <c r="T422" s="97"/>
      <c r="V422" s="22"/>
      <c r="W422" s="97"/>
    </row>
    <row r="423" spans="17:23">
      <c r="Q423" s="99"/>
      <c r="T423" s="97"/>
      <c r="V423" s="22"/>
      <c r="W423" s="97"/>
    </row>
    <row r="424" spans="17:23">
      <c r="Q424" s="99"/>
      <c r="T424" s="97"/>
      <c r="V424" s="22"/>
      <c r="W424" s="97"/>
    </row>
    <row r="425" spans="17:23">
      <c r="Q425" s="99"/>
      <c r="T425" s="97"/>
      <c r="V425" s="22"/>
      <c r="W425" s="97"/>
    </row>
    <row r="426" spans="17:23">
      <c r="Q426" s="99"/>
      <c r="T426" s="97"/>
      <c r="V426" s="22"/>
      <c r="W426" s="97"/>
    </row>
    <row r="427" spans="17:23">
      <c r="Q427" s="99"/>
      <c r="T427" s="97"/>
      <c r="V427" s="22"/>
      <c r="W427" s="97"/>
    </row>
    <row r="428" spans="17:23">
      <c r="Q428" s="99"/>
      <c r="T428" s="97"/>
      <c r="V428" s="22"/>
      <c r="W428" s="97"/>
    </row>
    <row r="429" spans="17:23">
      <c r="Q429" s="99"/>
      <c r="T429" s="97"/>
      <c r="V429" s="22"/>
      <c r="W429" s="97"/>
    </row>
    <row r="430" spans="17:23">
      <c r="Q430" s="99"/>
      <c r="T430" s="97"/>
      <c r="V430" s="22"/>
      <c r="W430" s="97"/>
    </row>
    <row r="431" spans="17:23">
      <c r="Q431" s="99"/>
      <c r="T431" s="97"/>
      <c r="V431" s="22"/>
      <c r="W431" s="97"/>
    </row>
    <row r="432" spans="17:23">
      <c r="Q432" s="99"/>
      <c r="T432" s="97"/>
      <c r="V432" s="22"/>
      <c r="W432" s="97"/>
    </row>
    <row r="433" spans="17:23">
      <c r="Q433" s="99"/>
      <c r="T433" s="97"/>
      <c r="V433" s="22"/>
      <c r="W433" s="97"/>
    </row>
    <row r="434" spans="17:23">
      <c r="Q434" s="99"/>
      <c r="T434" s="97"/>
      <c r="V434" s="22"/>
      <c r="W434" s="97"/>
    </row>
    <row r="435" spans="17:23">
      <c r="Q435" s="99"/>
      <c r="T435" s="97"/>
      <c r="V435" s="22"/>
      <c r="W435" s="97"/>
    </row>
    <row r="436" spans="17:23">
      <c r="Q436" s="99"/>
      <c r="T436" s="97"/>
      <c r="V436" s="22"/>
      <c r="W436" s="97"/>
    </row>
    <row r="437" spans="17:23">
      <c r="Q437" s="99"/>
      <c r="T437" s="97"/>
      <c r="V437" s="22"/>
      <c r="W437" s="97"/>
    </row>
    <row r="438" spans="17:23">
      <c r="Q438" s="99"/>
      <c r="T438" s="97"/>
      <c r="V438" s="22"/>
      <c r="W438" s="97"/>
    </row>
    <row r="439" spans="17:23">
      <c r="Q439" s="99"/>
      <c r="T439" s="97"/>
      <c r="V439" s="22"/>
      <c r="W439" s="97"/>
    </row>
    <row r="440" spans="17:23">
      <c r="Q440" s="99"/>
      <c r="T440" s="97"/>
      <c r="V440" s="22"/>
      <c r="W440" s="97"/>
    </row>
    <row r="441" spans="17:23">
      <c r="Q441" s="99"/>
      <c r="T441" s="97"/>
      <c r="V441" s="22"/>
      <c r="W441" s="97"/>
    </row>
    <row r="442" spans="17:23">
      <c r="Q442" s="99"/>
      <c r="T442" s="97"/>
      <c r="V442" s="22"/>
      <c r="W442" s="97"/>
    </row>
    <row r="443" spans="17:23">
      <c r="Q443" s="99"/>
      <c r="T443" s="97"/>
      <c r="V443" s="22"/>
      <c r="W443" s="97"/>
    </row>
    <row r="444" spans="17:23">
      <c r="Q444" s="99"/>
      <c r="T444" s="97"/>
      <c r="V444" s="22"/>
      <c r="W444" s="97"/>
    </row>
    <row r="445" spans="17:23">
      <c r="Q445" s="99"/>
      <c r="T445" s="97"/>
      <c r="V445" s="22"/>
      <c r="W445" s="97"/>
    </row>
    <row r="446" spans="17:23">
      <c r="Q446" s="99"/>
      <c r="T446" s="97"/>
      <c r="V446" s="22"/>
      <c r="W446" s="97"/>
    </row>
    <row r="447" spans="17:23">
      <c r="Q447" s="99"/>
      <c r="T447" s="97"/>
      <c r="V447" s="22"/>
      <c r="W447" s="97"/>
    </row>
    <row r="448" spans="17:23">
      <c r="Q448" s="99"/>
      <c r="T448" s="97"/>
      <c r="V448" s="22"/>
      <c r="W448" s="97"/>
    </row>
    <row r="449" spans="17:23">
      <c r="Q449" s="99"/>
      <c r="T449" s="97"/>
      <c r="V449" s="22"/>
      <c r="W449" s="97"/>
    </row>
    <row r="450" spans="17:23">
      <c r="Q450" s="99"/>
      <c r="T450" s="97"/>
      <c r="V450" s="22"/>
      <c r="W450" s="97"/>
    </row>
    <row r="451" spans="17:23">
      <c r="Q451" s="99"/>
      <c r="T451" s="97"/>
      <c r="V451" s="22"/>
      <c r="W451" s="97"/>
    </row>
    <row r="452" spans="17:23">
      <c r="Q452" s="99"/>
      <c r="T452" s="97"/>
      <c r="V452" s="22"/>
      <c r="W452" s="97"/>
    </row>
    <row r="453" spans="17:23">
      <c r="Q453" s="99"/>
      <c r="T453" s="97"/>
      <c r="V453" s="22"/>
      <c r="W453" s="97"/>
    </row>
    <row r="454" spans="17:23">
      <c r="Q454" s="99"/>
      <c r="T454" s="97"/>
      <c r="V454" s="22"/>
      <c r="W454" s="97"/>
    </row>
    <row r="455" spans="17:23">
      <c r="Q455" s="99"/>
      <c r="T455" s="97"/>
      <c r="V455" s="22"/>
      <c r="W455" s="97"/>
    </row>
    <row r="456" spans="17:23">
      <c r="Q456" s="99"/>
      <c r="T456" s="97"/>
      <c r="V456" s="22"/>
      <c r="W456" s="97"/>
    </row>
    <row r="457" spans="17:23">
      <c r="Q457" s="99"/>
      <c r="T457" s="97"/>
      <c r="V457" s="22"/>
      <c r="W457" s="97"/>
    </row>
    <row r="458" spans="17:23">
      <c r="Q458" s="99"/>
      <c r="T458" s="97"/>
      <c r="V458" s="22"/>
      <c r="W458" s="97"/>
    </row>
    <row r="459" spans="17:23">
      <c r="Q459" s="99"/>
      <c r="T459" s="97"/>
      <c r="V459" s="22"/>
      <c r="W459" s="97"/>
    </row>
    <row r="460" spans="17:23">
      <c r="Q460" s="99"/>
      <c r="T460" s="97"/>
      <c r="V460" s="22"/>
      <c r="W460" s="97"/>
    </row>
    <row r="461" spans="17:23">
      <c r="Q461" s="99"/>
      <c r="T461" s="97"/>
      <c r="V461" s="22"/>
      <c r="W461" s="97"/>
    </row>
    <row r="462" spans="17:23">
      <c r="Q462" s="99"/>
      <c r="T462" s="97"/>
      <c r="V462" s="22"/>
      <c r="W462" s="97"/>
    </row>
    <row r="463" spans="17:23">
      <c r="Q463" s="99"/>
      <c r="T463" s="97"/>
      <c r="V463" s="22"/>
      <c r="W463" s="97"/>
    </row>
    <row r="464" spans="17:23">
      <c r="Q464" s="99"/>
      <c r="T464" s="97"/>
      <c r="V464" s="22"/>
      <c r="W464" s="97"/>
    </row>
    <row r="465" spans="17:23">
      <c r="Q465" s="99"/>
      <c r="T465" s="97"/>
      <c r="V465" s="22"/>
      <c r="W465" s="97"/>
    </row>
    <row r="466" spans="17:23">
      <c r="Q466" s="99"/>
      <c r="T466" s="97"/>
      <c r="V466" s="22"/>
      <c r="W466" s="97"/>
    </row>
    <row r="467" spans="17:23">
      <c r="Q467" s="99"/>
      <c r="T467" s="97"/>
      <c r="V467" s="22"/>
      <c r="W467" s="97"/>
    </row>
    <row r="468" spans="17:23">
      <c r="Q468" s="99"/>
      <c r="T468" s="97"/>
      <c r="V468" s="22"/>
      <c r="W468" s="97"/>
    </row>
    <row r="469" spans="17:23">
      <c r="Q469" s="99"/>
      <c r="T469" s="97"/>
      <c r="V469" s="22"/>
      <c r="W469" s="97"/>
    </row>
    <row r="470" spans="17:23">
      <c r="Q470" s="99"/>
      <c r="T470" s="97"/>
      <c r="V470" s="22"/>
      <c r="W470" s="97"/>
    </row>
    <row r="471" spans="17:23">
      <c r="Q471" s="99"/>
      <c r="T471" s="97"/>
      <c r="V471" s="22"/>
      <c r="W471" s="97"/>
    </row>
    <row r="472" spans="17:23">
      <c r="Q472" s="99"/>
      <c r="T472" s="97"/>
      <c r="V472" s="22"/>
      <c r="W472" s="97"/>
    </row>
    <row r="473" spans="17:23">
      <c r="Q473" s="99"/>
      <c r="T473" s="97"/>
      <c r="V473" s="22"/>
      <c r="W473" s="97"/>
    </row>
    <row r="474" spans="17:23">
      <c r="Q474" s="99"/>
      <c r="T474" s="97"/>
      <c r="V474" s="22"/>
      <c r="W474" s="97"/>
    </row>
    <row r="475" spans="17:23">
      <c r="Q475" s="99"/>
      <c r="T475" s="97"/>
      <c r="V475" s="22"/>
      <c r="W475" s="97"/>
    </row>
    <row r="476" spans="17:23">
      <c r="Q476" s="99"/>
      <c r="T476" s="97"/>
      <c r="V476" s="22"/>
      <c r="W476" s="97"/>
    </row>
    <row r="477" spans="17:23">
      <c r="Q477" s="99"/>
      <c r="T477" s="97"/>
      <c r="V477" s="22"/>
      <c r="W477" s="97"/>
    </row>
    <row r="478" spans="17:23">
      <c r="Q478" s="99"/>
      <c r="T478" s="97"/>
      <c r="V478" s="22"/>
      <c r="W478" s="97"/>
    </row>
    <row r="479" spans="17:23">
      <c r="Q479" s="99"/>
      <c r="T479" s="97"/>
      <c r="V479" s="22"/>
      <c r="W479" s="97"/>
    </row>
    <row r="480" spans="17:23">
      <c r="Q480" s="99"/>
      <c r="T480" s="97"/>
      <c r="V480" s="22"/>
      <c r="W480" s="97"/>
    </row>
    <row r="481" spans="17:23">
      <c r="Q481" s="99"/>
      <c r="T481" s="97"/>
      <c r="V481" s="22"/>
      <c r="W481" s="97"/>
    </row>
    <row r="482" spans="17:23">
      <c r="Q482" s="99"/>
      <c r="T482" s="97"/>
      <c r="V482" s="22"/>
      <c r="W482" s="97"/>
    </row>
    <row r="483" spans="17:23">
      <c r="Q483" s="99"/>
      <c r="T483" s="97"/>
      <c r="V483" s="22"/>
      <c r="W483" s="97"/>
    </row>
    <row r="484" spans="17:23">
      <c r="Q484" s="99"/>
      <c r="T484" s="97"/>
      <c r="V484" s="22"/>
      <c r="W484" s="97"/>
    </row>
    <row r="485" spans="17:23">
      <c r="Q485" s="99"/>
      <c r="T485" s="97"/>
      <c r="V485" s="22"/>
      <c r="W485" s="97"/>
    </row>
    <row r="486" spans="17:23">
      <c r="Q486" s="99"/>
      <c r="T486" s="97"/>
      <c r="V486" s="22"/>
      <c r="W486" s="97"/>
    </row>
    <row r="487" spans="17:23">
      <c r="Q487" s="99"/>
      <c r="T487" s="97"/>
      <c r="V487" s="22"/>
      <c r="W487" s="97"/>
    </row>
    <row r="488" spans="17:23">
      <c r="Q488" s="99"/>
      <c r="T488" s="97"/>
      <c r="V488" s="22"/>
      <c r="W488" s="97"/>
    </row>
    <row r="489" spans="17:23">
      <c r="Q489" s="99"/>
      <c r="T489" s="97"/>
      <c r="V489" s="22"/>
      <c r="W489" s="97"/>
    </row>
    <row r="490" spans="17:23">
      <c r="Q490" s="99"/>
      <c r="T490" s="97"/>
      <c r="V490" s="22"/>
      <c r="W490" s="97"/>
    </row>
    <row r="491" spans="17:23">
      <c r="Q491" s="99"/>
      <c r="T491" s="97"/>
      <c r="V491" s="22"/>
      <c r="W491" s="97"/>
    </row>
    <row r="492" spans="17:23">
      <c r="Q492" s="99"/>
      <c r="T492" s="97"/>
      <c r="V492" s="22"/>
      <c r="W492" s="97"/>
    </row>
    <row r="493" spans="17:23">
      <c r="Q493" s="99"/>
      <c r="T493" s="97"/>
      <c r="V493" s="22"/>
      <c r="W493" s="97"/>
    </row>
    <row r="494" spans="17:23">
      <c r="Q494" s="99"/>
      <c r="T494" s="97"/>
      <c r="V494" s="22"/>
      <c r="W494" s="97"/>
    </row>
    <row r="495" spans="17:23">
      <c r="Q495" s="99"/>
      <c r="T495" s="97"/>
      <c r="V495" s="22"/>
      <c r="W495" s="97"/>
    </row>
    <row r="496" spans="17:23">
      <c r="Q496" s="99"/>
      <c r="T496" s="97"/>
      <c r="V496" s="22"/>
      <c r="W496" s="97"/>
    </row>
    <row r="497" spans="17:23">
      <c r="Q497" s="99"/>
      <c r="T497" s="97"/>
      <c r="V497" s="22"/>
      <c r="W497" s="97"/>
    </row>
    <row r="498" spans="17:23">
      <c r="Q498" s="99"/>
      <c r="T498" s="97"/>
      <c r="V498" s="22"/>
      <c r="W498" s="97"/>
    </row>
    <row r="499" spans="17:23">
      <c r="Q499" s="99"/>
      <c r="T499" s="97"/>
      <c r="V499" s="22"/>
      <c r="W499" s="97"/>
    </row>
    <row r="500" spans="17:23">
      <c r="Q500" s="99"/>
      <c r="T500" s="97"/>
      <c r="V500" s="22"/>
      <c r="W500" s="97"/>
    </row>
    <row r="501" spans="17:23">
      <c r="Q501" s="99"/>
      <c r="T501" s="97"/>
      <c r="V501" s="22"/>
      <c r="W501" s="97"/>
    </row>
    <row r="502" spans="17:23">
      <c r="Q502" s="99"/>
      <c r="T502" s="97"/>
      <c r="V502" s="22"/>
      <c r="W502" s="97"/>
    </row>
    <row r="503" spans="17:23">
      <c r="Q503" s="99"/>
      <c r="T503" s="97"/>
      <c r="V503" s="22"/>
      <c r="W503" s="97"/>
    </row>
    <row r="504" spans="17:23">
      <c r="Q504" s="99"/>
      <c r="T504" s="97"/>
      <c r="V504" s="22"/>
      <c r="W504" s="97"/>
    </row>
    <row r="505" spans="17:23">
      <c r="Q505" s="99"/>
      <c r="T505" s="97"/>
      <c r="V505" s="22"/>
      <c r="W505" s="97"/>
    </row>
    <row r="506" spans="17:23">
      <c r="Q506" s="99"/>
      <c r="T506" s="97"/>
      <c r="V506" s="22"/>
      <c r="W506" s="97"/>
    </row>
    <row r="507" spans="17:23">
      <c r="Q507" s="99"/>
      <c r="T507" s="97"/>
      <c r="V507" s="22"/>
      <c r="W507" s="97"/>
    </row>
    <row r="508" spans="17:23">
      <c r="Q508" s="99"/>
      <c r="T508" s="97"/>
      <c r="V508" s="22"/>
      <c r="W508" s="97"/>
    </row>
    <row r="509" spans="17:23">
      <c r="Q509" s="99"/>
      <c r="T509" s="97"/>
      <c r="V509" s="22"/>
      <c r="W509" s="97"/>
    </row>
    <row r="510" spans="17:23">
      <c r="Q510" s="99"/>
      <c r="T510" s="97"/>
      <c r="V510" s="22"/>
      <c r="W510" s="97"/>
    </row>
    <row r="511" spans="17:23">
      <c r="Q511" s="99"/>
      <c r="T511" s="97"/>
      <c r="V511" s="22"/>
      <c r="W511" s="97"/>
    </row>
    <row r="512" spans="17:23">
      <c r="Q512" s="99"/>
      <c r="T512" s="97"/>
      <c r="V512" s="22"/>
      <c r="W512" s="97"/>
    </row>
    <row r="513" spans="17:23">
      <c r="Q513" s="99"/>
      <c r="T513" s="97"/>
      <c r="V513" s="22"/>
      <c r="W513" s="97"/>
    </row>
    <row r="514" spans="17:23">
      <c r="Q514" s="99"/>
      <c r="T514" s="97"/>
      <c r="V514" s="22"/>
      <c r="W514" s="97"/>
    </row>
    <row r="515" spans="17:23">
      <c r="Q515" s="99"/>
      <c r="T515" s="97"/>
      <c r="V515" s="22"/>
      <c r="W515" s="97"/>
    </row>
    <row r="516" spans="17:23">
      <c r="Q516" s="99"/>
      <c r="T516" s="97"/>
      <c r="V516" s="22"/>
      <c r="W516" s="97"/>
    </row>
    <row r="517" spans="17:23">
      <c r="Q517" s="99"/>
      <c r="T517" s="97"/>
      <c r="V517" s="22"/>
      <c r="W517" s="97"/>
    </row>
    <row r="518" spans="17:23">
      <c r="Q518" s="99"/>
      <c r="T518" s="97"/>
      <c r="V518" s="22"/>
      <c r="W518" s="97"/>
    </row>
    <row r="519" spans="17:23">
      <c r="Q519" s="99"/>
      <c r="T519" s="97"/>
      <c r="V519" s="22"/>
      <c r="W519" s="97"/>
    </row>
    <row r="520" spans="17:23">
      <c r="Q520" s="99"/>
      <c r="T520" s="97"/>
      <c r="V520" s="22"/>
      <c r="W520" s="97"/>
    </row>
    <row r="521" spans="17:23">
      <c r="Q521" s="99"/>
      <c r="T521" s="97"/>
      <c r="V521" s="22"/>
      <c r="W521" s="97"/>
    </row>
    <row r="522" spans="17:23">
      <c r="Q522" s="99"/>
      <c r="T522" s="97"/>
      <c r="V522" s="22"/>
      <c r="W522" s="97"/>
    </row>
    <row r="523" spans="17:23">
      <c r="Q523" s="99"/>
      <c r="T523" s="97"/>
      <c r="V523" s="22"/>
      <c r="W523" s="97"/>
    </row>
    <row r="524" spans="17:23">
      <c r="Q524" s="99"/>
      <c r="T524" s="97"/>
      <c r="V524" s="22"/>
      <c r="W524" s="97"/>
    </row>
    <row r="525" spans="17:23">
      <c r="Q525" s="99"/>
      <c r="T525" s="97"/>
      <c r="V525" s="22"/>
      <c r="W525" s="97"/>
    </row>
    <row r="526" spans="17:23">
      <c r="Q526" s="99"/>
      <c r="T526" s="97"/>
      <c r="V526" s="22"/>
      <c r="W526" s="97"/>
    </row>
    <row r="527" spans="17:23">
      <c r="Q527" s="99"/>
      <c r="T527" s="97"/>
      <c r="V527" s="22"/>
      <c r="W527" s="97"/>
    </row>
    <row r="528" spans="17:23">
      <c r="Q528" s="99"/>
      <c r="T528" s="97"/>
      <c r="V528" s="22"/>
      <c r="W528" s="97"/>
    </row>
    <row r="529" spans="17:23">
      <c r="Q529" s="99"/>
      <c r="T529" s="97"/>
      <c r="V529" s="22"/>
      <c r="W529" s="97"/>
    </row>
    <row r="530" spans="17:23">
      <c r="Q530" s="99"/>
      <c r="T530" s="97"/>
      <c r="V530" s="22"/>
      <c r="W530" s="97"/>
    </row>
    <row r="531" spans="17:23">
      <c r="Q531" s="99"/>
      <c r="T531" s="97"/>
      <c r="V531" s="22"/>
      <c r="W531" s="97"/>
    </row>
    <row r="532" spans="17:23">
      <c r="Q532" s="99"/>
      <c r="T532" s="97"/>
      <c r="V532" s="22"/>
      <c r="W532" s="97"/>
    </row>
    <row r="533" spans="17:23">
      <c r="Q533" s="99"/>
      <c r="T533" s="97"/>
      <c r="V533" s="22"/>
      <c r="W533" s="97"/>
    </row>
    <row r="534" spans="17:23">
      <c r="Q534" s="99"/>
      <c r="T534" s="97"/>
      <c r="V534" s="22"/>
      <c r="W534" s="97"/>
    </row>
    <row r="535" spans="17:23">
      <c r="Q535" s="99"/>
      <c r="T535" s="97"/>
      <c r="V535" s="22"/>
      <c r="W535" s="97"/>
    </row>
    <row r="536" spans="17:23">
      <c r="Q536" s="99"/>
      <c r="T536" s="97"/>
      <c r="V536" s="22"/>
      <c r="W536" s="97"/>
    </row>
    <row r="537" spans="17:23">
      <c r="Q537" s="99"/>
      <c r="T537" s="97"/>
      <c r="V537" s="22"/>
      <c r="W537" s="97"/>
    </row>
    <row r="538" spans="17:23">
      <c r="Q538" s="99"/>
      <c r="T538" s="97"/>
      <c r="V538" s="22"/>
      <c r="W538" s="97"/>
    </row>
    <row r="539" spans="17:23">
      <c r="Q539" s="99"/>
      <c r="T539" s="97"/>
      <c r="V539" s="22"/>
      <c r="W539" s="97"/>
    </row>
    <row r="540" spans="17:23">
      <c r="Q540" s="99"/>
      <c r="T540" s="97"/>
      <c r="V540" s="22"/>
      <c r="W540" s="97"/>
    </row>
    <row r="541" spans="17:23">
      <c r="Q541" s="99"/>
      <c r="T541" s="97"/>
      <c r="V541" s="22"/>
      <c r="W541" s="97"/>
    </row>
    <row r="542" spans="17:23">
      <c r="Q542" s="99"/>
      <c r="T542" s="97"/>
      <c r="V542" s="22"/>
      <c r="W542" s="97"/>
    </row>
    <row r="543" spans="17:23">
      <c r="Q543" s="99"/>
      <c r="T543" s="97"/>
      <c r="V543" s="22"/>
      <c r="W543" s="97"/>
    </row>
    <row r="544" spans="17:23">
      <c r="Q544" s="99"/>
      <c r="T544" s="97"/>
      <c r="V544" s="22"/>
      <c r="W544" s="97"/>
    </row>
    <row r="545" spans="17:23">
      <c r="Q545" s="99"/>
      <c r="T545" s="97"/>
      <c r="V545" s="22"/>
      <c r="W545" s="97"/>
    </row>
    <row r="546" spans="17:23">
      <c r="Q546" s="99"/>
      <c r="T546" s="97"/>
      <c r="V546" s="22"/>
      <c r="W546" s="97"/>
    </row>
    <row r="547" spans="17:23">
      <c r="Q547" s="99"/>
      <c r="T547" s="97"/>
      <c r="V547" s="22"/>
      <c r="W547" s="97"/>
    </row>
    <row r="548" spans="17:23">
      <c r="Q548" s="99"/>
      <c r="T548" s="97"/>
      <c r="V548" s="22"/>
      <c r="W548" s="97"/>
    </row>
    <row r="549" spans="17:23">
      <c r="Q549" s="99"/>
      <c r="T549" s="97"/>
      <c r="V549" s="22"/>
      <c r="W549" s="97"/>
    </row>
    <row r="550" spans="17:23">
      <c r="Q550" s="99"/>
      <c r="T550" s="97"/>
      <c r="V550" s="22"/>
      <c r="W550" s="97"/>
    </row>
    <row r="551" spans="17:23">
      <c r="Q551" s="99"/>
      <c r="T551" s="97"/>
      <c r="V551" s="22"/>
      <c r="W551" s="97"/>
    </row>
    <row r="552" spans="17:23">
      <c r="Q552" s="99"/>
      <c r="T552" s="97"/>
      <c r="V552" s="22"/>
      <c r="W552" s="97"/>
    </row>
    <row r="553" spans="17:23">
      <c r="Q553" s="99"/>
      <c r="T553" s="97"/>
      <c r="V553" s="22"/>
      <c r="W553" s="97"/>
    </row>
    <row r="554" spans="17:23">
      <c r="Q554" s="99"/>
      <c r="T554" s="97"/>
      <c r="V554" s="22"/>
      <c r="W554" s="97"/>
    </row>
    <row r="555" spans="17:23">
      <c r="Q555" s="99"/>
      <c r="T555" s="97"/>
      <c r="V555" s="22"/>
      <c r="W555" s="97"/>
    </row>
    <row r="556" spans="17:23">
      <c r="Q556" s="99"/>
      <c r="T556" s="97"/>
      <c r="V556" s="22"/>
      <c r="W556" s="97"/>
    </row>
    <row r="557" spans="17:23">
      <c r="Q557" s="99"/>
      <c r="T557" s="97"/>
      <c r="V557" s="22"/>
      <c r="W557" s="97"/>
    </row>
    <row r="558" spans="17:23">
      <c r="Q558" s="99"/>
      <c r="T558" s="97"/>
      <c r="V558" s="22"/>
      <c r="W558" s="97"/>
    </row>
    <row r="559" spans="17:23">
      <c r="Q559" s="99"/>
      <c r="T559" s="97"/>
      <c r="V559" s="22"/>
      <c r="W559" s="97"/>
    </row>
    <row r="560" spans="17:23">
      <c r="Q560" s="99"/>
      <c r="T560" s="97"/>
      <c r="V560" s="22"/>
      <c r="W560" s="97"/>
    </row>
    <row r="561" spans="17:23">
      <c r="Q561" s="99"/>
      <c r="T561" s="97"/>
      <c r="V561" s="22"/>
      <c r="W561" s="97"/>
    </row>
    <row r="562" spans="17:23">
      <c r="Q562" s="99"/>
      <c r="T562" s="97"/>
      <c r="V562" s="22"/>
      <c r="W562" s="97"/>
    </row>
    <row r="563" spans="17:23">
      <c r="Q563" s="99"/>
      <c r="T563" s="97"/>
      <c r="V563" s="22"/>
      <c r="W563" s="97"/>
    </row>
    <row r="564" spans="17:23">
      <c r="Q564" s="99"/>
      <c r="T564" s="97"/>
      <c r="V564" s="22"/>
      <c r="W564" s="97"/>
    </row>
    <row r="565" spans="17:23">
      <c r="Q565" s="99"/>
      <c r="T565" s="97"/>
      <c r="V565" s="22"/>
      <c r="W565" s="97"/>
    </row>
    <row r="566" spans="17:23">
      <c r="Q566" s="99"/>
      <c r="T566" s="97"/>
      <c r="V566" s="22"/>
      <c r="W566" s="97"/>
    </row>
    <row r="567" spans="17:23">
      <c r="Q567" s="99"/>
      <c r="T567" s="97"/>
      <c r="V567" s="22"/>
      <c r="W567" s="97"/>
    </row>
    <row r="568" spans="17:23">
      <c r="Q568" s="99"/>
      <c r="T568" s="97"/>
      <c r="V568" s="22"/>
      <c r="W568" s="97"/>
    </row>
    <row r="569" spans="17:23">
      <c r="Q569" s="99"/>
      <c r="T569" s="97"/>
      <c r="V569" s="22"/>
      <c r="W569" s="97"/>
    </row>
    <row r="570" spans="17:23">
      <c r="Q570" s="99"/>
      <c r="T570" s="97"/>
      <c r="V570" s="22"/>
      <c r="W570" s="97"/>
    </row>
    <row r="571" spans="17:23">
      <c r="Q571" s="99"/>
      <c r="T571" s="97"/>
      <c r="V571" s="22"/>
      <c r="W571" s="97"/>
    </row>
    <row r="572" spans="17:23">
      <c r="Q572" s="99"/>
      <c r="T572" s="97"/>
      <c r="V572" s="22"/>
      <c r="W572" s="97"/>
    </row>
    <row r="573" spans="17:23">
      <c r="Q573" s="99"/>
      <c r="T573" s="97"/>
      <c r="V573" s="22"/>
      <c r="W573" s="97"/>
    </row>
    <row r="574" spans="17:23">
      <c r="Q574" s="99"/>
      <c r="T574" s="97"/>
      <c r="V574" s="22"/>
      <c r="W574" s="97"/>
    </row>
    <row r="575" spans="17:23">
      <c r="Q575" s="99"/>
      <c r="T575" s="97"/>
      <c r="V575" s="22"/>
      <c r="W575" s="97"/>
    </row>
    <row r="576" spans="17:23">
      <c r="Q576" s="99"/>
      <c r="T576" s="97"/>
      <c r="V576" s="22"/>
      <c r="W576" s="97"/>
    </row>
    <row r="577" spans="17:23">
      <c r="Q577" s="99"/>
      <c r="T577" s="97"/>
      <c r="V577" s="22"/>
      <c r="W577" s="97"/>
    </row>
    <row r="578" spans="17:23">
      <c r="Q578" s="99"/>
      <c r="T578" s="97"/>
      <c r="V578" s="22"/>
      <c r="W578" s="97"/>
    </row>
    <row r="579" spans="17:23">
      <c r="Q579" s="99"/>
      <c r="T579" s="97"/>
      <c r="V579" s="22"/>
      <c r="W579" s="97"/>
    </row>
    <row r="580" spans="17:23">
      <c r="Q580" s="99"/>
      <c r="T580" s="97"/>
      <c r="V580" s="22"/>
      <c r="W580" s="97"/>
    </row>
    <row r="581" spans="17:23">
      <c r="Q581" s="99"/>
      <c r="T581" s="97"/>
      <c r="V581" s="22"/>
      <c r="W581" s="97"/>
    </row>
    <row r="582" spans="17:23">
      <c r="Q582" s="99"/>
      <c r="T582" s="97"/>
      <c r="V582" s="22"/>
      <c r="W582" s="97"/>
    </row>
    <row r="583" spans="17:23">
      <c r="Q583" s="99"/>
      <c r="T583" s="97"/>
      <c r="V583" s="22"/>
      <c r="W583" s="97"/>
    </row>
    <row r="584" spans="17:23">
      <c r="Q584" s="99"/>
      <c r="T584" s="97"/>
      <c r="V584" s="22"/>
      <c r="W584" s="97"/>
    </row>
    <row r="585" spans="17:23">
      <c r="Q585" s="99"/>
      <c r="T585" s="97"/>
      <c r="V585" s="22"/>
      <c r="W585" s="97"/>
    </row>
    <row r="586" spans="17:23">
      <c r="Q586" s="99"/>
      <c r="T586" s="97"/>
      <c r="V586" s="22"/>
      <c r="W586" s="97"/>
    </row>
    <row r="587" spans="17:23">
      <c r="Q587" s="99"/>
      <c r="T587" s="97"/>
      <c r="V587" s="22"/>
      <c r="W587" s="97"/>
    </row>
    <row r="588" spans="17:23">
      <c r="Q588" s="99"/>
      <c r="T588" s="97"/>
      <c r="V588" s="22"/>
      <c r="W588" s="97"/>
    </row>
    <row r="589" spans="17:23">
      <c r="Q589" s="99"/>
      <c r="T589" s="97"/>
      <c r="V589" s="22"/>
      <c r="W589" s="97"/>
    </row>
    <row r="590" spans="17:23">
      <c r="Q590" s="99"/>
      <c r="T590" s="97"/>
      <c r="V590" s="22"/>
      <c r="W590" s="97"/>
    </row>
    <row r="591" spans="17:23">
      <c r="Q591" s="99"/>
      <c r="T591" s="97"/>
      <c r="V591" s="22"/>
      <c r="W591" s="97"/>
    </row>
    <row r="592" spans="17:23">
      <c r="Q592" s="99"/>
      <c r="T592" s="97"/>
      <c r="V592" s="22"/>
      <c r="W592" s="97"/>
    </row>
    <row r="593" spans="17:24">
      <c r="Q593" s="99"/>
      <c r="T593" s="97"/>
      <c r="V593" s="22"/>
      <c r="W593" s="97"/>
    </row>
    <row r="594" spans="17:24">
      <c r="Q594" s="99"/>
      <c r="T594" s="97"/>
      <c r="V594" s="22"/>
      <c r="W594" s="97"/>
    </row>
    <row r="595" spans="17:24">
      <c r="Q595" s="99"/>
      <c r="T595" s="97"/>
      <c r="V595" s="22"/>
      <c r="W595" s="97"/>
    </row>
    <row r="596" spans="17:24">
      <c r="Q596" s="99"/>
      <c r="T596" s="97"/>
      <c r="V596" s="22"/>
      <c r="W596" s="97"/>
    </row>
    <row r="597" spans="17:24">
      <c r="Q597" s="99"/>
      <c r="T597" s="97"/>
      <c r="V597" s="22"/>
      <c r="W597" s="97"/>
    </row>
    <row r="598" spans="17:24">
      <c r="Q598" s="99"/>
      <c r="T598" s="97"/>
      <c r="V598" s="22"/>
      <c r="W598" s="97"/>
    </row>
    <row r="599" spans="17:24">
      <c r="Q599" s="99"/>
      <c r="T599" s="97"/>
      <c r="V599" s="22"/>
      <c r="W599" s="97"/>
    </row>
    <row r="600" spans="17:24">
      <c r="Q600" s="99"/>
      <c r="T600" s="97"/>
      <c r="V600" s="22"/>
      <c r="W600" s="97"/>
    </row>
    <row r="601" spans="17:24">
      <c r="Q601" s="99"/>
      <c r="T601" s="97"/>
      <c r="V601" s="22"/>
      <c r="W601" s="97"/>
      <c r="X601" s="102">
        <v>1.0000000000000001E-5</v>
      </c>
    </row>
    <row r="602" spans="17:24">
      <c r="Q602" s="99"/>
      <c r="T602" s="97"/>
      <c r="V602" s="22"/>
      <c r="W602" s="97"/>
    </row>
    <row r="603" spans="17:24">
      <c r="Q603" s="99"/>
      <c r="T603" s="97"/>
      <c r="V603" s="22"/>
      <c r="W603" s="97"/>
    </row>
    <row r="604" spans="17:24">
      <c r="Q604" s="99"/>
      <c r="T604" s="97"/>
      <c r="V604" s="22"/>
      <c r="W604" s="97"/>
    </row>
    <row r="605" spans="17:24">
      <c r="Q605" s="99"/>
      <c r="T605" s="97"/>
      <c r="V605" s="22"/>
      <c r="W605" s="97"/>
    </row>
    <row r="606" spans="17:24">
      <c r="Q606" s="99"/>
      <c r="T606" s="97"/>
      <c r="V606" s="22"/>
      <c r="W606" s="97"/>
    </row>
    <row r="607" spans="17:24">
      <c r="Q607" s="99"/>
      <c r="T607" s="97"/>
      <c r="V607" s="22"/>
      <c r="W607" s="97"/>
    </row>
    <row r="608" spans="17:24">
      <c r="Q608" s="99"/>
      <c r="T608" s="97"/>
      <c r="V608" s="22"/>
      <c r="W608" s="97"/>
    </row>
    <row r="609" spans="17:23">
      <c r="Q609" s="99"/>
      <c r="T609" s="97"/>
      <c r="V609" s="22"/>
      <c r="W609" s="97"/>
    </row>
    <row r="610" spans="17:23">
      <c r="Q610" s="99"/>
      <c r="T610" s="97"/>
      <c r="V610" s="22"/>
      <c r="W610" s="97"/>
    </row>
    <row r="611" spans="17:23">
      <c r="Q611" s="99"/>
      <c r="T611" s="97"/>
      <c r="V611" s="22"/>
      <c r="W611" s="97"/>
    </row>
    <row r="612" spans="17:23">
      <c r="Q612" s="99"/>
      <c r="T612" s="97"/>
      <c r="V612" s="22"/>
      <c r="W612" s="97"/>
    </row>
    <row r="613" spans="17:23">
      <c r="Q613" s="99"/>
      <c r="T613" s="97"/>
      <c r="V613" s="22"/>
      <c r="W613" s="97"/>
    </row>
    <row r="614" spans="17:23">
      <c r="Q614" s="99"/>
      <c r="T614" s="97"/>
      <c r="V614" s="22"/>
      <c r="W614" s="97"/>
    </row>
    <row r="615" spans="17:23">
      <c r="Q615" s="99"/>
      <c r="T615" s="97"/>
      <c r="V615" s="22"/>
      <c r="W615" s="97"/>
    </row>
    <row r="616" spans="17:23">
      <c r="Q616" s="99"/>
      <c r="T616" s="97"/>
      <c r="V616" s="22"/>
      <c r="W616" s="97"/>
    </row>
    <row r="617" spans="17:23">
      <c r="Q617" s="99"/>
      <c r="T617" s="97"/>
      <c r="V617" s="22"/>
      <c r="W617" s="97"/>
    </row>
    <row r="618" spans="17:23">
      <c r="Q618" s="99"/>
      <c r="T618" s="97"/>
      <c r="V618" s="22"/>
      <c r="W618" s="97"/>
    </row>
    <row r="619" spans="17:23">
      <c r="Q619" s="99"/>
      <c r="T619" s="97"/>
      <c r="V619" s="22"/>
      <c r="W619" s="97"/>
    </row>
    <row r="620" spans="17:23">
      <c r="Q620" s="99"/>
      <c r="T620" s="97"/>
      <c r="V620" s="22"/>
      <c r="W620" s="97"/>
    </row>
    <row r="621" spans="17:23">
      <c r="Q621" s="99"/>
      <c r="T621" s="97"/>
      <c r="V621" s="22"/>
      <c r="W621" s="97"/>
    </row>
    <row r="622" spans="17:23">
      <c r="Q622" s="99"/>
      <c r="T622" s="97"/>
      <c r="V622" s="22"/>
      <c r="W622" s="97"/>
    </row>
    <row r="623" spans="17:23">
      <c r="Q623" s="99"/>
      <c r="T623" s="97"/>
      <c r="V623" s="22"/>
      <c r="W623" s="97"/>
    </row>
    <row r="624" spans="17:23">
      <c r="Q624" s="99"/>
      <c r="T624" s="97"/>
      <c r="V624" s="22"/>
      <c r="W624" s="97"/>
    </row>
    <row r="625" spans="17:23">
      <c r="Q625" s="99"/>
      <c r="T625" s="97"/>
      <c r="V625" s="22"/>
      <c r="W625" s="97"/>
    </row>
    <row r="626" spans="17:23">
      <c r="Q626" s="99"/>
      <c r="T626" s="97"/>
      <c r="V626" s="22"/>
      <c r="W626" s="97"/>
    </row>
    <row r="627" spans="17:23">
      <c r="Q627" s="99"/>
      <c r="T627" s="97"/>
      <c r="V627" s="22"/>
      <c r="W627" s="97"/>
    </row>
    <row r="628" spans="17:23">
      <c r="Q628" s="99"/>
      <c r="T628" s="97"/>
      <c r="V628" s="22"/>
      <c r="W628" s="97"/>
    </row>
    <row r="629" spans="17:23">
      <c r="Q629" s="99"/>
      <c r="T629" s="97"/>
      <c r="V629" s="22"/>
      <c r="W629" s="97"/>
    </row>
    <row r="630" spans="17:23">
      <c r="Q630" s="99"/>
      <c r="T630" s="97"/>
      <c r="V630" s="22"/>
      <c r="W630" s="97"/>
    </row>
    <row r="631" spans="17:23">
      <c r="Q631" s="99"/>
      <c r="T631" s="97"/>
      <c r="V631" s="22"/>
      <c r="W631" s="97"/>
    </row>
    <row r="632" spans="17:23">
      <c r="Q632" s="99"/>
      <c r="T632" s="97"/>
      <c r="V632" s="22"/>
      <c r="W632" s="97"/>
    </row>
    <row r="633" spans="17:23">
      <c r="Q633" s="99"/>
      <c r="T633" s="97"/>
      <c r="V633" s="22"/>
      <c r="W633" s="97"/>
    </row>
    <row r="634" spans="17:23">
      <c r="Q634" s="99"/>
      <c r="T634" s="97"/>
      <c r="V634" s="22"/>
      <c r="W634" s="97"/>
    </row>
    <row r="635" spans="17:23">
      <c r="Q635" s="99"/>
      <c r="T635" s="97"/>
      <c r="V635" s="22"/>
      <c r="W635" s="97"/>
    </row>
    <row r="636" spans="17:23">
      <c r="Q636" s="99"/>
      <c r="T636" s="97"/>
      <c r="V636" s="22"/>
      <c r="W636" s="97"/>
    </row>
    <row r="637" spans="17:23">
      <c r="Q637" s="99"/>
      <c r="T637" s="97"/>
      <c r="V637" s="22"/>
      <c r="W637" s="97"/>
    </row>
    <row r="638" spans="17:23">
      <c r="Q638" s="99"/>
      <c r="T638" s="97"/>
      <c r="V638" s="22"/>
      <c r="W638" s="97"/>
    </row>
    <row r="639" spans="17:23">
      <c r="Q639" s="99"/>
      <c r="T639" s="97"/>
      <c r="V639" s="22"/>
      <c r="W639" s="97"/>
    </row>
    <row r="640" spans="17:23">
      <c r="Q640" s="99"/>
      <c r="T640" s="97"/>
      <c r="V640" s="22"/>
      <c r="W640" s="97"/>
    </row>
    <row r="641" spans="17:23">
      <c r="Q641" s="99"/>
      <c r="T641" s="97"/>
      <c r="V641" s="22"/>
      <c r="W641" s="97"/>
    </row>
    <row r="642" spans="17:23">
      <c r="Q642" s="99"/>
      <c r="T642" s="97"/>
      <c r="V642" s="22"/>
      <c r="W642" s="97"/>
    </row>
    <row r="643" spans="17:23">
      <c r="Q643" s="99"/>
      <c r="T643" s="97"/>
      <c r="V643" s="22"/>
      <c r="W643" s="97"/>
    </row>
    <row r="644" spans="17:23">
      <c r="Q644" s="99"/>
      <c r="T644" s="97"/>
      <c r="V644" s="22"/>
      <c r="W644" s="97"/>
    </row>
    <row r="645" spans="17:23">
      <c r="Q645" s="99"/>
      <c r="T645" s="97"/>
      <c r="V645" s="22"/>
      <c r="W645" s="97"/>
    </row>
    <row r="646" spans="17:23">
      <c r="Q646" s="99"/>
      <c r="T646" s="97"/>
      <c r="V646" s="22"/>
      <c r="W646" s="97"/>
    </row>
    <row r="647" spans="17:23">
      <c r="Q647" s="99"/>
      <c r="T647" s="97"/>
      <c r="V647" s="22"/>
      <c r="W647" s="97"/>
    </row>
    <row r="648" spans="17:23">
      <c r="Q648" s="99"/>
      <c r="T648" s="97"/>
      <c r="V648" s="22"/>
      <c r="W648" s="97"/>
    </row>
    <row r="649" spans="17:23">
      <c r="Q649" s="99"/>
      <c r="T649" s="97"/>
      <c r="V649" s="22"/>
      <c r="W649" s="97"/>
    </row>
    <row r="650" spans="17:23">
      <c r="Q650" s="99"/>
      <c r="T650" s="97"/>
      <c r="V650" s="22"/>
      <c r="W650" s="97"/>
    </row>
    <row r="651" spans="17:23">
      <c r="Q651" s="99"/>
      <c r="T651" s="97"/>
      <c r="V651" s="22"/>
      <c r="W651" s="97"/>
    </row>
    <row r="652" spans="17:23">
      <c r="Q652" s="99"/>
      <c r="T652" s="97"/>
      <c r="V652" s="22"/>
      <c r="W652" s="97"/>
    </row>
    <row r="653" spans="17:23">
      <c r="Q653" s="99"/>
      <c r="T653" s="97"/>
      <c r="V653" s="22"/>
      <c r="W653" s="97"/>
    </row>
    <row r="654" spans="17:23">
      <c r="Q654" s="99"/>
      <c r="T654" s="97"/>
      <c r="V654" s="22"/>
      <c r="W654" s="97"/>
    </row>
    <row r="655" spans="17:23">
      <c r="Q655" s="99"/>
      <c r="T655" s="97"/>
      <c r="V655" s="22"/>
      <c r="W655" s="97"/>
    </row>
    <row r="656" spans="17:23">
      <c r="Q656" s="99"/>
      <c r="T656" s="97"/>
      <c r="V656" s="22"/>
      <c r="W656" s="97"/>
    </row>
    <row r="657" spans="17:23">
      <c r="Q657" s="99"/>
      <c r="T657" s="97"/>
      <c r="V657" s="22"/>
      <c r="W657" s="97"/>
    </row>
    <row r="658" spans="17:23">
      <c r="Q658" s="99"/>
      <c r="T658" s="97"/>
      <c r="V658" s="22"/>
      <c r="W658" s="97"/>
    </row>
    <row r="659" spans="17:23">
      <c r="Q659" s="99"/>
      <c r="T659" s="97"/>
      <c r="V659" s="22"/>
      <c r="W659" s="97"/>
    </row>
    <row r="660" spans="17:23">
      <c r="Q660" s="99"/>
      <c r="T660" s="97"/>
      <c r="V660" s="22"/>
      <c r="W660" s="97"/>
    </row>
    <row r="661" spans="17:23">
      <c r="Q661" s="99"/>
      <c r="T661" s="97"/>
      <c r="V661" s="22"/>
      <c r="W661" s="97"/>
    </row>
    <row r="662" spans="17:23">
      <c r="Q662" s="99"/>
      <c r="T662" s="97"/>
      <c r="V662" s="22"/>
      <c r="W662" s="97"/>
    </row>
    <row r="663" spans="17:23">
      <c r="Q663" s="99"/>
      <c r="T663" s="97"/>
      <c r="V663" s="22"/>
      <c r="W663" s="97"/>
    </row>
    <row r="664" spans="17:23">
      <c r="Q664" s="99"/>
      <c r="T664" s="97"/>
      <c r="V664" s="22"/>
      <c r="W664" s="97"/>
    </row>
    <row r="665" spans="17:23">
      <c r="Q665" s="99"/>
      <c r="T665" s="97"/>
      <c r="V665" s="22"/>
      <c r="W665" s="97"/>
    </row>
    <row r="666" spans="17:23">
      <c r="Q666" s="99"/>
      <c r="T666" s="97"/>
      <c r="V666" s="22"/>
      <c r="W666" s="97"/>
    </row>
    <row r="667" spans="17:23">
      <c r="Q667" s="99"/>
      <c r="T667" s="97"/>
      <c r="V667" s="22"/>
      <c r="W667" s="97"/>
    </row>
    <row r="668" spans="17:23">
      <c r="Q668" s="99"/>
      <c r="T668" s="97"/>
      <c r="V668" s="22"/>
      <c r="W668" s="97"/>
    </row>
    <row r="669" spans="17:23">
      <c r="Q669" s="99"/>
      <c r="T669" s="97"/>
      <c r="V669" s="22"/>
      <c r="W669" s="97"/>
    </row>
    <row r="670" spans="17:23">
      <c r="Q670" s="99"/>
      <c r="T670" s="97"/>
      <c r="V670" s="22"/>
      <c r="W670" s="97"/>
    </row>
    <row r="671" spans="17:23">
      <c r="Q671" s="99"/>
      <c r="T671" s="97"/>
      <c r="V671" s="22"/>
      <c r="W671" s="97"/>
    </row>
    <row r="672" spans="17:23">
      <c r="Q672" s="99"/>
      <c r="T672" s="97"/>
      <c r="V672" s="22"/>
      <c r="W672" s="97"/>
    </row>
    <row r="673" spans="17:23">
      <c r="Q673" s="99"/>
      <c r="T673" s="97"/>
      <c r="V673" s="22"/>
      <c r="W673" s="97"/>
    </row>
    <row r="674" spans="17:23">
      <c r="Q674" s="99"/>
      <c r="T674" s="97"/>
      <c r="V674" s="22"/>
      <c r="W674" s="97"/>
    </row>
    <row r="675" spans="17:23">
      <c r="Q675" s="99"/>
      <c r="T675" s="97"/>
      <c r="V675" s="22"/>
      <c r="W675" s="97"/>
    </row>
    <row r="676" spans="17:23">
      <c r="Q676" s="99"/>
      <c r="T676" s="97"/>
      <c r="V676" s="22"/>
      <c r="W676" s="97"/>
    </row>
    <row r="677" spans="17:23">
      <c r="Q677" s="99"/>
      <c r="T677" s="97"/>
      <c r="V677" s="22"/>
      <c r="W677" s="97"/>
    </row>
    <row r="678" spans="17:23">
      <c r="Q678" s="99"/>
      <c r="T678" s="97"/>
      <c r="V678" s="22"/>
      <c r="W678" s="97"/>
    </row>
    <row r="679" spans="17:23">
      <c r="Q679" s="99"/>
      <c r="T679" s="97"/>
      <c r="V679" s="22"/>
      <c r="W679" s="97"/>
    </row>
    <row r="680" spans="17:23">
      <c r="Q680" s="99"/>
      <c r="T680" s="97"/>
      <c r="V680" s="22"/>
      <c r="W680" s="97"/>
    </row>
    <row r="681" spans="17:23">
      <c r="Q681" s="99"/>
      <c r="T681" s="97"/>
      <c r="V681" s="22"/>
      <c r="W681" s="97"/>
    </row>
    <row r="682" spans="17:23">
      <c r="Q682" s="99"/>
      <c r="T682" s="97"/>
      <c r="V682" s="22"/>
      <c r="W682" s="97"/>
    </row>
    <row r="683" spans="17:23">
      <c r="Q683" s="99"/>
      <c r="T683" s="97"/>
      <c r="V683" s="22"/>
      <c r="W683" s="97"/>
    </row>
    <row r="684" spans="17:23">
      <c r="Q684" s="99"/>
      <c r="T684" s="97"/>
      <c r="V684" s="22"/>
      <c r="W684" s="97"/>
    </row>
    <row r="685" spans="17:23">
      <c r="Q685" s="99"/>
      <c r="T685" s="97"/>
      <c r="V685" s="22"/>
      <c r="W685" s="97"/>
    </row>
    <row r="686" spans="17:23">
      <c r="Q686" s="99"/>
      <c r="T686" s="97"/>
      <c r="V686" s="22"/>
      <c r="W686" s="97"/>
    </row>
    <row r="687" spans="17:23">
      <c r="Q687" s="99"/>
      <c r="T687" s="97"/>
      <c r="V687" s="22"/>
      <c r="W687" s="97"/>
    </row>
    <row r="688" spans="17:23">
      <c r="Q688" s="99"/>
      <c r="T688" s="97"/>
      <c r="V688" s="22"/>
      <c r="W688" s="97"/>
    </row>
    <row r="689" spans="17:23">
      <c r="Q689" s="99"/>
      <c r="T689" s="97"/>
      <c r="V689" s="22"/>
      <c r="W689" s="97"/>
    </row>
    <row r="690" spans="17:23">
      <c r="Q690" s="99"/>
      <c r="T690" s="97"/>
      <c r="V690" s="22"/>
      <c r="W690" s="97"/>
    </row>
    <row r="691" spans="17:23">
      <c r="Q691" s="99"/>
      <c r="T691" s="97"/>
      <c r="V691" s="22"/>
      <c r="W691" s="97"/>
    </row>
    <row r="692" spans="17:23">
      <c r="Q692" s="99"/>
      <c r="T692" s="97"/>
      <c r="V692" s="22"/>
      <c r="W692" s="97"/>
    </row>
    <row r="693" spans="17:23">
      <c r="Q693" s="99"/>
      <c r="T693" s="97"/>
      <c r="V693" s="22"/>
      <c r="W693" s="97"/>
    </row>
    <row r="694" spans="17:23">
      <c r="Q694" s="99"/>
      <c r="T694" s="97"/>
      <c r="V694" s="22"/>
      <c r="W694" s="97"/>
    </row>
    <row r="695" spans="17:23">
      <c r="Q695" s="99"/>
      <c r="T695" s="97"/>
      <c r="V695" s="22"/>
      <c r="W695" s="97"/>
    </row>
    <row r="696" spans="17:23">
      <c r="Q696" s="99"/>
      <c r="T696" s="97"/>
      <c r="V696" s="22"/>
      <c r="W696" s="97"/>
    </row>
    <row r="697" spans="17:23">
      <c r="Q697" s="99"/>
      <c r="T697" s="97"/>
      <c r="V697" s="22"/>
      <c r="W697" s="97"/>
    </row>
    <row r="698" spans="17:23">
      <c r="Q698" s="99"/>
      <c r="T698" s="97"/>
      <c r="V698" s="22"/>
      <c r="W698" s="97"/>
    </row>
    <row r="699" spans="17:23">
      <c r="Q699" s="99"/>
      <c r="T699" s="97"/>
      <c r="V699" s="22"/>
      <c r="W699" s="97"/>
    </row>
    <row r="700" spans="17:23">
      <c r="Q700" s="99"/>
      <c r="T700" s="97"/>
      <c r="V700" s="22"/>
      <c r="W700" s="97"/>
    </row>
    <row r="701" spans="17:23">
      <c r="Q701" s="99"/>
      <c r="T701" s="97"/>
      <c r="V701" s="22"/>
      <c r="W701" s="97"/>
    </row>
    <row r="702" spans="17:23">
      <c r="Q702" s="99"/>
      <c r="T702" s="97"/>
      <c r="V702" s="22"/>
      <c r="W702" s="97"/>
    </row>
    <row r="703" spans="17:23">
      <c r="Q703" s="99"/>
      <c r="T703" s="97"/>
      <c r="V703" s="22"/>
      <c r="W703" s="97"/>
    </row>
    <row r="704" spans="17:23">
      <c r="Q704" s="99"/>
      <c r="T704" s="97"/>
      <c r="V704" s="22"/>
      <c r="W704" s="97"/>
    </row>
    <row r="705" spans="17:23">
      <c r="Q705" s="99"/>
      <c r="T705" s="97"/>
      <c r="V705" s="22"/>
      <c r="W705" s="97"/>
    </row>
    <row r="706" spans="17:23">
      <c r="Q706" s="99"/>
      <c r="T706" s="97"/>
      <c r="V706" s="22"/>
      <c r="W706" s="97"/>
    </row>
    <row r="707" spans="17:23">
      <c r="Q707" s="99"/>
      <c r="T707" s="97"/>
      <c r="V707" s="22"/>
      <c r="W707" s="97"/>
    </row>
    <row r="708" spans="17:23">
      <c r="Q708" s="99"/>
      <c r="T708" s="97"/>
      <c r="V708" s="22"/>
      <c r="W708" s="97"/>
    </row>
    <row r="709" spans="17:23">
      <c r="Q709" s="99"/>
      <c r="T709" s="97"/>
      <c r="V709" s="22"/>
      <c r="W709" s="97"/>
    </row>
    <row r="710" spans="17:23">
      <c r="Q710" s="99"/>
      <c r="T710" s="97"/>
      <c r="V710" s="22"/>
      <c r="W710" s="97"/>
    </row>
    <row r="711" spans="17:23">
      <c r="Q711" s="99"/>
      <c r="T711" s="97"/>
      <c r="V711" s="22"/>
      <c r="W711" s="97"/>
    </row>
    <row r="712" spans="17:23">
      <c r="Q712" s="99"/>
      <c r="T712" s="97"/>
      <c r="V712" s="22"/>
      <c r="W712" s="97"/>
    </row>
    <row r="713" spans="17:23">
      <c r="Q713" s="99"/>
      <c r="T713" s="97"/>
      <c r="V713" s="22"/>
      <c r="W713" s="97"/>
    </row>
    <row r="714" spans="17:23">
      <c r="Q714" s="99"/>
      <c r="T714" s="97"/>
      <c r="V714" s="22"/>
      <c r="W714" s="97"/>
    </row>
    <row r="715" spans="17:23">
      <c r="Q715" s="99"/>
      <c r="T715" s="97"/>
      <c r="V715" s="22"/>
      <c r="W715" s="97"/>
    </row>
    <row r="716" spans="17:23">
      <c r="Q716" s="99"/>
      <c r="T716" s="97"/>
      <c r="V716" s="22"/>
      <c r="W716" s="97"/>
    </row>
    <row r="717" spans="17:23">
      <c r="Q717" s="99"/>
      <c r="T717" s="97"/>
      <c r="V717" s="22"/>
      <c r="W717" s="97"/>
    </row>
    <row r="718" spans="17:23">
      <c r="Q718" s="99"/>
      <c r="T718" s="97"/>
      <c r="V718" s="22"/>
      <c r="W718" s="97"/>
    </row>
    <row r="719" spans="17:23">
      <c r="Q719" s="99"/>
      <c r="T719" s="97"/>
      <c r="V719" s="22"/>
      <c r="W719" s="97"/>
    </row>
    <row r="720" spans="17:23">
      <c r="Q720" s="99"/>
      <c r="T720" s="97"/>
      <c r="V720" s="22"/>
      <c r="W720" s="97"/>
    </row>
    <row r="721" spans="17:23">
      <c r="Q721" s="99"/>
      <c r="T721" s="97"/>
      <c r="V721" s="22"/>
      <c r="W721" s="97"/>
    </row>
    <row r="722" spans="17:23">
      <c r="Q722" s="99"/>
      <c r="T722" s="97"/>
      <c r="V722" s="22"/>
      <c r="W722" s="97"/>
    </row>
    <row r="723" spans="17:23">
      <c r="Q723" s="99"/>
      <c r="T723" s="97"/>
      <c r="V723" s="22"/>
      <c r="W723" s="97"/>
    </row>
    <row r="724" spans="17:23">
      <c r="Q724" s="99"/>
      <c r="T724" s="97"/>
      <c r="V724" s="22"/>
      <c r="W724" s="97"/>
    </row>
    <row r="725" spans="17:23">
      <c r="Q725" s="99"/>
      <c r="T725" s="97"/>
      <c r="V725" s="22"/>
      <c r="W725" s="97"/>
    </row>
    <row r="726" spans="17:23">
      <c r="Q726" s="99"/>
      <c r="T726" s="97"/>
      <c r="V726" s="22"/>
      <c r="W726" s="97"/>
    </row>
    <row r="727" spans="17:23">
      <c r="Q727" s="99"/>
      <c r="T727" s="97"/>
      <c r="V727" s="22"/>
      <c r="W727" s="97"/>
    </row>
    <row r="728" spans="17:23">
      <c r="Q728" s="99"/>
      <c r="T728" s="97"/>
      <c r="V728" s="22"/>
      <c r="W728" s="97"/>
    </row>
    <row r="729" spans="17:23">
      <c r="Q729" s="99"/>
      <c r="T729" s="97"/>
      <c r="V729" s="22"/>
      <c r="W729" s="97"/>
    </row>
    <row r="730" spans="17:23">
      <c r="Q730" s="99"/>
      <c r="T730" s="97"/>
      <c r="V730" s="22"/>
      <c r="W730" s="97"/>
    </row>
    <row r="731" spans="17:23">
      <c r="Q731" s="99"/>
      <c r="T731" s="97"/>
      <c r="V731" s="22"/>
      <c r="W731" s="97"/>
    </row>
    <row r="732" spans="17:23">
      <c r="Q732" s="99"/>
      <c r="T732" s="97"/>
      <c r="V732" s="22"/>
      <c r="W732" s="97"/>
    </row>
    <row r="733" spans="17:23">
      <c r="Q733" s="99"/>
      <c r="T733" s="97"/>
      <c r="V733" s="22"/>
      <c r="W733" s="97"/>
    </row>
    <row r="734" spans="17:23">
      <c r="Q734" s="99"/>
      <c r="T734" s="97"/>
      <c r="V734" s="22"/>
      <c r="W734" s="97"/>
    </row>
    <row r="735" spans="17:23">
      <c r="Q735" s="99"/>
      <c r="T735" s="97"/>
      <c r="V735" s="22"/>
      <c r="W735" s="97"/>
    </row>
    <row r="736" spans="17:23">
      <c r="Q736" s="99"/>
      <c r="T736" s="97"/>
      <c r="V736" s="22"/>
      <c r="W736" s="97"/>
    </row>
    <row r="737" spans="17:23">
      <c r="Q737" s="99"/>
      <c r="T737" s="97"/>
      <c r="V737" s="22"/>
      <c r="W737" s="97"/>
    </row>
    <row r="738" spans="17:23">
      <c r="Q738" s="99"/>
      <c r="T738" s="97"/>
      <c r="V738" s="22"/>
      <c r="W738" s="97"/>
    </row>
    <row r="739" spans="17:23">
      <c r="Q739" s="99"/>
      <c r="T739" s="97"/>
      <c r="V739" s="22"/>
      <c r="W739" s="97"/>
    </row>
    <row r="740" spans="17:23">
      <c r="Q740" s="99"/>
      <c r="T740" s="97"/>
      <c r="V740" s="22"/>
      <c r="W740" s="97"/>
    </row>
    <row r="741" spans="17:23">
      <c r="Q741" s="99"/>
      <c r="T741" s="97"/>
      <c r="V741" s="22"/>
      <c r="W741" s="97"/>
    </row>
    <row r="742" spans="17:23">
      <c r="Q742" s="99"/>
      <c r="T742" s="97"/>
      <c r="V742" s="22"/>
      <c r="W742" s="97"/>
    </row>
    <row r="743" spans="17:23">
      <c r="Q743" s="99"/>
      <c r="T743" s="97"/>
      <c r="V743" s="22"/>
      <c r="W743" s="97"/>
    </row>
    <row r="744" spans="17:23">
      <c r="Q744" s="99"/>
      <c r="T744" s="97"/>
      <c r="V744" s="22"/>
      <c r="W744" s="97"/>
    </row>
    <row r="745" spans="17:23">
      <c r="Q745" s="99"/>
      <c r="T745" s="97"/>
      <c r="V745" s="22"/>
      <c r="W745" s="97"/>
    </row>
    <row r="746" spans="17:23">
      <c r="Q746" s="99"/>
      <c r="T746" s="97"/>
      <c r="V746" s="22"/>
      <c r="W746" s="97"/>
    </row>
    <row r="747" spans="17:23">
      <c r="Q747" s="99"/>
      <c r="T747" s="97"/>
      <c r="V747" s="22"/>
      <c r="W747" s="97"/>
    </row>
    <row r="748" spans="17:23">
      <c r="Q748" s="99"/>
      <c r="T748" s="97"/>
      <c r="V748" s="22"/>
      <c r="W748" s="97"/>
    </row>
    <row r="749" spans="17:23">
      <c r="Q749" s="99"/>
      <c r="T749" s="97"/>
      <c r="V749" s="22"/>
      <c r="W749" s="97"/>
    </row>
    <row r="750" spans="17:23">
      <c r="Q750" s="99"/>
      <c r="T750" s="97"/>
      <c r="V750" s="22"/>
      <c r="W750" s="97"/>
    </row>
    <row r="751" spans="17:23">
      <c r="Q751" s="99"/>
      <c r="T751" s="97"/>
      <c r="V751" s="22"/>
      <c r="W751" s="97"/>
    </row>
    <row r="752" spans="17:23">
      <c r="Q752" s="99"/>
      <c r="T752" s="97"/>
      <c r="V752" s="22"/>
      <c r="W752" s="97"/>
    </row>
    <row r="753" spans="17:23">
      <c r="Q753" s="99"/>
      <c r="T753" s="97"/>
      <c r="V753" s="22"/>
      <c r="W753" s="97"/>
    </row>
    <row r="754" spans="17:23">
      <c r="Q754" s="99"/>
      <c r="T754" s="97"/>
      <c r="V754" s="22"/>
      <c r="W754" s="97"/>
    </row>
    <row r="755" spans="17:23">
      <c r="Q755" s="99"/>
      <c r="T755" s="97"/>
      <c r="V755" s="22"/>
      <c r="W755" s="97"/>
    </row>
    <row r="756" spans="17:23">
      <c r="Q756" s="99"/>
      <c r="T756" s="97"/>
      <c r="V756" s="22"/>
      <c r="W756" s="97"/>
    </row>
    <row r="757" spans="17:23">
      <c r="Q757" s="99"/>
      <c r="T757" s="97"/>
      <c r="V757" s="22"/>
      <c r="W757" s="97"/>
    </row>
    <row r="758" spans="17:23">
      <c r="Q758" s="99"/>
      <c r="T758" s="97"/>
      <c r="V758" s="22"/>
      <c r="W758" s="97"/>
    </row>
    <row r="759" spans="17:23">
      <c r="Q759" s="99"/>
      <c r="T759" s="97"/>
      <c r="V759" s="22"/>
      <c r="W759" s="97"/>
    </row>
    <row r="760" spans="17:23">
      <c r="Q760" s="99"/>
      <c r="T760" s="97"/>
      <c r="V760" s="22"/>
      <c r="W760" s="97"/>
    </row>
    <row r="761" spans="17:23">
      <c r="Q761" s="99"/>
      <c r="T761" s="97"/>
      <c r="V761" s="22"/>
      <c r="W761" s="97"/>
    </row>
    <row r="762" spans="17:23">
      <c r="Q762" s="99"/>
      <c r="T762" s="97"/>
      <c r="V762" s="22"/>
      <c r="W762" s="97"/>
    </row>
    <row r="763" spans="17:23">
      <c r="Q763" s="99"/>
      <c r="T763" s="97"/>
      <c r="V763" s="22"/>
      <c r="W763" s="97"/>
    </row>
    <row r="764" spans="17:23">
      <c r="Q764" s="99"/>
      <c r="T764" s="97"/>
      <c r="V764" s="22"/>
      <c r="W764" s="97"/>
    </row>
    <row r="765" spans="17:23">
      <c r="Q765" s="99"/>
      <c r="T765" s="97"/>
      <c r="V765" s="22"/>
      <c r="W765" s="97"/>
    </row>
    <row r="766" spans="17:23">
      <c r="Q766" s="99"/>
      <c r="T766" s="97"/>
      <c r="V766" s="22"/>
      <c r="W766" s="97"/>
    </row>
    <row r="767" spans="17:23">
      <c r="Q767" s="99"/>
      <c r="T767" s="97"/>
      <c r="V767" s="22"/>
      <c r="W767" s="97"/>
    </row>
    <row r="768" spans="17:23">
      <c r="Q768" s="99"/>
      <c r="T768" s="97"/>
      <c r="V768" s="22"/>
      <c r="W768" s="97"/>
    </row>
    <row r="769" spans="17:23">
      <c r="Q769" s="99"/>
      <c r="T769" s="97"/>
      <c r="V769" s="22"/>
      <c r="W769" s="97"/>
    </row>
    <row r="770" spans="17:23">
      <c r="Q770" s="99"/>
      <c r="T770" s="97"/>
      <c r="V770" s="22"/>
      <c r="W770" s="97"/>
    </row>
    <row r="771" spans="17:23">
      <c r="Q771" s="99"/>
      <c r="T771" s="97"/>
      <c r="V771" s="22"/>
      <c r="W771" s="97"/>
    </row>
    <row r="772" spans="17:23">
      <c r="Q772" s="99"/>
      <c r="T772" s="97"/>
      <c r="V772" s="22"/>
      <c r="W772" s="97"/>
    </row>
    <row r="773" spans="17:23">
      <c r="Q773" s="99"/>
      <c r="T773" s="97"/>
      <c r="V773" s="22"/>
      <c r="W773" s="97"/>
    </row>
    <row r="774" spans="17:23">
      <c r="Q774" s="99"/>
      <c r="T774" s="97"/>
      <c r="V774" s="22"/>
      <c r="W774" s="97"/>
    </row>
    <row r="775" spans="17:23">
      <c r="Q775" s="99"/>
      <c r="T775" s="97"/>
      <c r="V775" s="22"/>
      <c r="W775" s="97"/>
    </row>
    <row r="776" spans="17:23">
      <c r="Q776" s="99"/>
      <c r="T776" s="97"/>
      <c r="V776" s="22"/>
      <c r="W776" s="97"/>
    </row>
    <row r="777" spans="17:23">
      <c r="Q777" s="99"/>
      <c r="T777" s="97"/>
      <c r="V777" s="22"/>
      <c r="W777" s="97"/>
    </row>
    <row r="778" spans="17:23">
      <c r="Q778" s="99"/>
      <c r="T778" s="97"/>
      <c r="V778" s="22"/>
      <c r="W778" s="97"/>
    </row>
    <row r="779" spans="17:23">
      <c r="Q779" s="99"/>
      <c r="T779" s="97"/>
      <c r="V779" s="22"/>
      <c r="W779" s="97"/>
    </row>
    <row r="780" spans="17:23">
      <c r="Q780" s="99"/>
      <c r="T780" s="97"/>
      <c r="V780" s="22"/>
      <c r="W780" s="97"/>
    </row>
    <row r="781" spans="17:23">
      <c r="Q781" s="99"/>
      <c r="T781" s="97"/>
      <c r="V781" s="22"/>
      <c r="W781" s="97"/>
    </row>
    <row r="782" spans="17:23">
      <c r="Q782" s="99"/>
      <c r="T782" s="97"/>
      <c r="V782" s="22"/>
      <c r="W782" s="97"/>
    </row>
    <row r="783" spans="17:23">
      <c r="Q783" s="99"/>
      <c r="T783" s="97"/>
      <c r="V783" s="22"/>
      <c r="W783" s="97"/>
    </row>
    <row r="784" spans="17:23">
      <c r="Q784" s="99"/>
      <c r="T784" s="97"/>
      <c r="V784" s="22"/>
      <c r="W784" s="97"/>
    </row>
    <row r="785" spans="17:23">
      <c r="Q785" s="99"/>
      <c r="T785" s="97"/>
      <c r="V785" s="22"/>
      <c r="W785" s="97"/>
    </row>
    <row r="786" spans="17:23">
      <c r="Q786" s="99"/>
      <c r="T786" s="97"/>
      <c r="V786" s="22"/>
      <c r="W786" s="97"/>
    </row>
    <row r="787" spans="17:23">
      <c r="Q787" s="99"/>
      <c r="T787" s="97"/>
      <c r="V787" s="22"/>
      <c r="W787" s="97"/>
    </row>
    <row r="788" spans="17:23">
      <c r="Q788" s="99"/>
      <c r="T788" s="97"/>
      <c r="V788" s="22"/>
      <c r="W788" s="97"/>
    </row>
    <row r="789" spans="17:23">
      <c r="Q789" s="99"/>
      <c r="T789" s="97"/>
      <c r="V789" s="22"/>
      <c r="W789" s="97"/>
    </row>
    <row r="790" spans="17:23">
      <c r="Q790" s="99"/>
      <c r="T790" s="97"/>
      <c r="V790" s="22"/>
      <c r="W790" s="97"/>
    </row>
    <row r="791" spans="17:23">
      <c r="Q791" s="99"/>
      <c r="T791" s="97"/>
      <c r="V791" s="22"/>
      <c r="W791" s="97"/>
    </row>
    <row r="792" spans="17:23">
      <c r="Q792" s="99"/>
      <c r="T792" s="97"/>
      <c r="V792" s="22"/>
      <c r="W792" s="97"/>
    </row>
    <row r="793" spans="17:23">
      <c r="Q793" s="99"/>
      <c r="T793" s="97"/>
      <c r="V793" s="22"/>
      <c r="W793" s="97"/>
    </row>
    <row r="794" spans="17:23">
      <c r="Q794" s="99"/>
      <c r="T794" s="97"/>
      <c r="V794" s="22"/>
      <c r="W794" s="97"/>
    </row>
    <row r="795" spans="17:23">
      <c r="Q795" s="99"/>
      <c r="T795" s="97"/>
      <c r="V795" s="22"/>
      <c r="W795" s="97"/>
    </row>
    <row r="796" spans="17:23">
      <c r="Q796" s="99"/>
      <c r="T796" s="97"/>
      <c r="V796" s="22"/>
      <c r="W796" s="97"/>
    </row>
    <row r="797" spans="17:23">
      <c r="Q797" s="99"/>
      <c r="T797" s="97"/>
      <c r="V797" s="22"/>
      <c r="W797" s="97"/>
    </row>
    <row r="798" spans="17:23">
      <c r="Q798" s="99"/>
      <c r="T798" s="97"/>
      <c r="V798" s="22"/>
      <c r="W798" s="97"/>
    </row>
    <row r="799" spans="17:23">
      <c r="Q799" s="99"/>
      <c r="T799" s="97"/>
      <c r="V799" s="22"/>
      <c r="W799" s="97"/>
    </row>
    <row r="800" spans="17:23">
      <c r="Q800" s="99"/>
      <c r="T800" s="97"/>
      <c r="V800" s="22"/>
      <c r="W800" s="97"/>
    </row>
    <row r="801" spans="17:23">
      <c r="Q801" s="99"/>
      <c r="T801" s="97"/>
      <c r="V801" s="22"/>
      <c r="W801" s="97"/>
    </row>
    <row r="802" spans="17:23">
      <c r="Q802" s="99"/>
      <c r="T802" s="97"/>
      <c r="V802" s="22"/>
      <c r="W802" s="97"/>
    </row>
    <row r="803" spans="17:23">
      <c r="Q803" s="99"/>
      <c r="T803" s="97"/>
      <c r="V803" s="22"/>
      <c r="W803" s="97"/>
    </row>
    <row r="804" spans="17:23">
      <c r="Q804" s="99"/>
      <c r="T804" s="97"/>
      <c r="V804" s="22"/>
      <c r="W804" s="97"/>
    </row>
    <row r="805" spans="17:23">
      <c r="Q805" s="99"/>
      <c r="T805" s="97"/>
      <c r="V805" s="22"/>
      <c r="W805" s="97"/>
    </row>
    <row r="806" spans="17:23">
      <c r="Q806" s="99"/>
      <c r="T806" s="97"/>
      <c r="V806" s="22"/>
      <c r="W806" s="97"/>
    </row>
    <row r="807" spans="17:23">
      <c r="Q807" s="99"/>
      <c r="T807" s="97"/>
      <c r="V807" s="22"/>
      <c r="W807" s="97"/>
    </row>
    <row r="808" spans="17:23">
      <c r="Q808" s="99"/>
      <c r="T808" s="97"/>
      <c r="V808" s="22"/>
      <c r="W808" s="97"/>
    </row>
    <row r="809" spans="17:23">
      <c r="Q809" s="99"/>
      <c r="T809" s="97"/>
      <c r="V809" s="22"/>
      <c r="W809" s="97"/>
    </row>
    <row r="810" spans="17:23">
      <c r="Q810" s="99"/>
      <c r="T810" s="97"/>
      <c r="V810" s="22"/>
      <c r="W810" s="97"/>
    </row>
    <row r="811" spans="17:23">
      <c r="Q811" s="99"/>
      <c r="T811" s="97"/>
      <c r="V811" s="22"/>
      <c r="W811" s="97"/>
    </row>
    <row r="812" spans="17:23">
      <c r="Q812" s="99"/>
      <c r="T812" s="97"/>
      <c r="V812" s="22"/>
      <c r="W812" s="97"/>
    </row>
    <row r="813" spans="17:23">
      <c r="Q813" s="99"/>
      <c r="T813" s="97"/>
      <c r="V813" s="22"/>
      <c r="W813" s="97"/>
    </row>
    <row r="814" spans="17:23">
      <c r="Q814" s="99"/>
      <c r="T814" s="97"/>
      <c r="V814" s="22"/>
      <c r="W814" s="97"/>
    </row>
    <row r="815" spans="17:23">
      <c r="Q815" s="99"/>
      <c r="T815" s="97"/>
      <c r="V815" s="22"/>
      <c r="W815" s="97"/>
    </row>
    <row r="816" spans="17:23">
      <c r="Q816" s="99"/>
      <c r="T816" s="97"/>
      <c r="V816" s="22"/>
      <c r="W816" s="97"/>
    </row>
    <row r="817" spans="17:23">
      <c r="Q817" s="99"/>
      <c r="T817" s="97"/>
      <c r="V817" s="22"/>
      <c r="W817" s="97"/>
    </row>
    <row r="818" spans="17:23">
      <c r="Q818" s="99"/>
      <c r="T818" s="97"/>
      <c r="V818" s="22"/>
      <c r="W818" s="97"/>
    </row>
    <row r="819" spans="17:23">
      <c r="Q819" s="99"/>
      <c r="T819" s="97"/>
      <c r="V819" s="22"/>
      <c r="W819" s="97"/>
    </row>
    <row r="820" spans="17:23">
      <c r="Q820" s="99"/>
      <c r="T820" s="97"/>
      <c r="V820" s="22"/>
      <c r="W820" s="97"/>
    </row>
    <row r="821" spans="17:23">
      <c r="Q821" s="99"/>
      <c r="T821" s="97"/>
      <c r="V821" s="22"/>
      <c r="W821" s="97"/>
    </row>
    <row r="822" spans="17:23">
      <c r="Q822" s="99"/>
      <c r="T822" s="97"/>
      <c r="V822" s="22"/>
      <c r="W822" s="97"/>
    </row>
    <row r="823" spans="17:23">
      <c r="Q823" s="99"/>
      <c r="T823" s="97"/>
      <c r="V823" s="22"/>
      <c r="W823" s="97"/>
    </row>
    <row r="824" spans="17:23">
      <c r="Q824" s="99"/>
      <c r="T824" s="97"/>
      <c r="V824" s="22"/>
      <c r="W824" s="97"/>
    </row>
    <row r="825" spans="17:23">
      <c r="Q825" s="99"/>
      <c r="T825" s="97"/>
      <c r="V825" s="22"/>
      <c r="W825" s="97"/>
    </row>
    <row r="826" spans="17:23">
      <c r="Q826" s="99"/>
      <c r="T826" s="97"/>
      <c r="V826" s="22"/>
      <c r="W826" s="97"/>
    </row>
    <row r="827" spans="17:23">
      <c r="Q827" s="99"/>
      <c r="T827" s="97"/>
      <c r="V827" s="22"/>
      <c r="W827" s="97"/>
    </row>
    <row r="828" spans="17:23">
      <c r="Q828" s="99"/>
      <c r="T828" s="97"/>
      <c r="V828" s="22"/>
      <c r="W828" s="97"/>
    </row>
    <row r="829" spans="17:23">
      <c r="Q829" s="99"/>
      <c r="T829" s="97"/>
      <c r="V829" s="22"/>
      <c r="W829" s="97"/>
    </row>
    <row r="830" spans="17:23">
      <c r="Q830" s="99"/>
      <c r="T830" s="97"/>
      <c r="V830" s="22"/>
      <c r="W830" s="97"/>
    </row>
    <row r="831" spans="17:23">
      <c r="Q831" s="99"/>
      <c r="T831" s="97"/>
      <c r="V831" s="22"/>
      <c r="W831" s="97"/>
    </row>
    <row r="832" spans="17:23">
      <c r="Q832" s="99"/>
      <c r="T832" s="97"/>
      <c r="V832" s="22"/>
      <c r="W832" s="97"/>
    </row>
    <row r="833" spans="17:23">
      <c r="Q833" s="99"/>
      <c r="T833" s="97"/>
      <c r="V833" s="22"/>
      <c r="W833" s="97"/>
    </row>
    <row r="834" spans="17:23">
      <c r="Q834" s="99"/>
      <c r="T834" s="97"/>
      <c r="V834" s="22"/>
      <c r="W834" s="97"/>
    </row>
    <row r="835" spans="17:23">
      <c r="Q835" s="99"/>
      <c r="T835" s="97"/>
      <c r="V835" s="22"/>
      <c r="W835" s="97"/>
    </row>
    <row r="836" spans="17:23">
      <c r="Q836" s="99"/>
      <c r="T836" s="97"/>
      <c r="V836" s="22"/>
      <c r="W836" s="97"/>
    </row>
    <row r="837" spans="17:23">
      <c r="Q837" s="99"/>
      <c r="T837" s="97"/>
      <c r="V837" s="22"/>
      <c r="W837" s="97"/>
    </row>
    <row r="838" spans="17:23">
      <c r="Q838" s="99"/>
      <c r="T838" s="97"/>
      <c r="V838" s="22"/>
      <c r="W838" s="97"/>
    </row>
    <row r="839" spans="17:23">
      <c r="Q839" s="99"/>
      <c r="T839" s="97"/>
      <c r="V839" s="22"/>
      <c r="W839" s="97"/>
    </row>
    <row r="840" spans="17:23">
      <c r="Q840" s="99"/>
      <c r="T840" s="97"/>
      <c r="V840" s="22"/>
      <c r="W840" s="97"/>
    </row>
    <row r="841" spans="17:23">
      <c r="Q841" s="99"/>
      <c r="T841" s="97"/>
      <c r="V841" s="22"/>
      <c r="W841" s="97"/>
    </row>
    <row r="842" spans="17:23">
      <c r="Q842" s="99"/>
      <c r="T842" s="97"/>
      <c r="V842" s="22"/>
      <c r="W842" s="97"/>
    </row>
    <row r="843" spans="17:23">
      <c r="Q843" s="99"/>
      <c r="T843" s="97"/>
      <c r="V843" s="22"/>
      <c r="W843" s="97"/>
    </row>
    <row r="844" spans="17:23">
      <c r="Q844" s="99"/>
      <c r="T844" s="97"/>
      <c r="V844" s="22"/>
      <c r="W844" s="97"/>
    </row>
    <row r="845" spans="17:23">
      <c r="Q845" s="99"/>
      <c r="T845" s="97"/>
      <c r="V845" s="22"/>
      <c r="W845" s="97"/>
    </row>
    <row r="846" spans="17:23">
      <c r="Q846" s="99"/>
      <c r="T846" s="97"/>
      <c r="V846" s="22"/>
      <c r="W846" s="97"/>
    </row>
    <row r="847" spans="17:23">
      <c r="Q847" s="99"/>
      <c r="T847" s="97"/>
      <c r="V847" s="22"/>
      <c r="W847" s="97"/>
    </row>
    <row r="848" spans="17:23">
      <c r="Q848" s="99"/>
      <c r="T848" s="97"/>
      <c r="V848" s="22"/>
      <c r="W848" s="97"/>
    </row>
    <row r="849" spans="17:23">
      <c r="Q849" s="99"/>
      <c r="T849" s="97"/>
      <c r="V849" s="22"/>
      <c r="W849" s="97"/>
    </row>
    <row r="850" spans="17:23">
      <c r="Q850" s="99"/>
      <c r="T850" s="97"/>
      <c r="V850" s="22"/>
      <c r="W850" s="97"/>
    </row>
    <row r="851" spans="17:23">
      <c r="Q851" s="99"/>
      <c r="T851" s="97"/>
      <c r="V851" s="22"/>
      <c r="W851" s="97"/>
    </row>
    <row r="852" spans="17:23">
      <c r="Q852" s="99"/>
      <c r="T852" s="97"/>
      <c r="V852" s="22"/>
      <c r="W852" s="97"/>
    </row>
    <row r="853" spans="17:23">
      <c r="Q853" s="99"/>
      <c r="T853" s="97"/>
      <c r="V853" s="22"/>
      <c r="W853" s="97"/>
    </row>
    <row r="854" spans="17:23">
      <c r="Q854" s="99"/>
      <c r="T854" s="97"/>
      <c r="V854" s="22"/>
      <c r="W854" s="97"/>
    </row>
    <row r="855" spans="17:23">
      <c r="Q855" s="99"/>
      <c r="T855" s="97"/>
      <c r="V855" s="22"/>
      <c r="W855" s="97"/>
    </row>
    <row r="856" spans="17:23">
      <c r="Q856" s="99"/>
      <c r="T856" s="97"/>
      <c r="V856" s="22"/>
      <c r="W856" s="97"/>
    </row>
    <row r="857" spans="17:23">
      <c r="Q857" s="99"/>
      <c r="T857" s="97"/>
      <c r="V857" s="22"/>
      <c r="W857" s="97"/>
    </row>
    <row r="858" spans="17:23">
      <c r="Q858" s="99"/>
      <c r="T858" s="97"/>
      <c r="V858" s="22"/>
      <c r="W858" s="97"/>
    </row>
    <row r="859" spans="17:23">
      <c r="Q859" s="99"/>
      <c r="T859" s="97"/>
      <c r="V859" s="22"/>
      <c r="W859" s="97"/>
    </row>
    <row r="860" spans="17:23">
      <c r="Q860" s="99"/>
      <c r="T860" s="97"/>
      <c r="V860" s="22"/>
      <c r="W860" s="97"/>
    </row>
    <row r="861" spans="17:23">
      <c r="Q861" s="99"/>
      <c r="T861" s="97"/>
      <c r="V861" s="22"/>
      <c r="W861" s="97"/>
    </row>
    <row r="862" spans="17:23">
      <c r="Q862" s="99"/>
      <c r="T862" s="97"/>
      <c r="V862" s="22"/>
      <c r="W862" s="97"/>
    </row>
    <row r="863" spans="17:23">
      <c r="Q863" s="99"/>
      <c r="T863" s="97"/>
      <c r="V863" s="22"/>
      <c r="W863" s="97"/>
    </row>
    <row r="864" spans="17:23">
      <c r="Q864" s="99"/>
      <c r="T864" s="97"/>
      <c r="V864" s="22"/>
      <c r="W864" s="97"/>
    </row>
    <row r="865" spans="17:23">
      <c r="Q865" s="99"/>
      <c r="T865" s="97"/>
      <c r="V865" s="22"/>
      <c r="W865" s="97"/>
    </row>
    <row r="866" spans="17:23">
      <c r="Q866" s="99"/>
      <c r="T866" s="97"/>
      <c r="V866" s="22"/>
      <c r="W866" s="97"/>
    </row>
    <row r="867" spans="17:23">
      <c r="Q867" s="99"/>
      <c r="T867" s="97"/>
      <c r="V867" s="22"/>
      <c r="W867" s="97"/>
    </row>
    <row r="868" spans="17:23">
      <c r="Q868" s="99"/>
      <c r="T868" s="97"/>
      <c r="V868" s="22"/>
      <c r="W868" s="97"/>
    </row>
    <row r="869" spans="17:23">
      <c r="Q869" s="99"/>
      <c r="T869" s="97"/>
      <c r="V869" s="22"/>
      <c r="W869" s="97"/>
    </row>
    <row r="870" spans="17:23">
      <c r="Q870" s="99"/>
      <c r="T870" s="97"/>
      <c r="V870" s="22"/>
      <c r="W870" s="97"/>
    </row>
    <row r="871" spans="17:23">
      <c r="Q871" s="99"/>
      <c r="T871" s="97"/>
      <c r="V871" s="22"/>
      <c r="W871" s="97"/>
    </row>
    <row r="872" spans="17:23">
      <c r="Q872" s="99"/>
      <c r="T872" s="97"/>
      <c r="V872" s="22"/>
      <c r="W872" s="97"/>
    </row>
    <row r="873" spans="17:23">
      <c r="Q873" s="99"/>
      <c r="T873" s="97"/>
      <c r="V873" s="22"/>
      <c r="W873" s="97"/>
    </row>
    <row r="874" spans="17:23">
      <c r="Q874" s="99"/>
      <c r="T874" s="97"/>
      <c r="V874" s="22"/>
      <c r="W874" s="97"/>
    </row>
    <row r="875" spans="17:23">
      <c r="Q875" s="99"/>
      <c r="T875" s="97"/>
      <c r="V875" s="22"/>
      <c r="W875" s="97"/>
    </row>
    <row r="876" spans="17:23">
      <c r="Q876" s="99"/>
      <c r="T876" s="97"/>
      <c r="V876" s="22"/>
      <c r="W876" s="97"/>
    </row>
    <row r="877" spans="17:23">
      <c r="Q877" s="99"/>
      <c r="T877" s="97"/>
      <c r="V877" s="22"/>
      <c r="W877" s="97"/>
    </row>
    <row r="878" spans="17:23">
      <c r="Q878" s="99"/>
      <c r="T878" s="97"/>
      <c r="V878" s="22"/>
      <c r="W878" s="97"/>
    </row>
    <row r="879" spans="17:23">
      <c r="Q879" s="99"/>
      <c r="T879" s="97"/>
      <c r="V879" s="22"/>
      <c r="W879" s="97"/>
    </row>
    <row r="880" spans="17:23">
      <c r="Q880" s="99"/>
      <c r="T880" s="97"/>
      <c r="V880" s="22"/>
      <c r="W880" s="97"/>
    </row>
    <row r="881" spans="17:23">
      <c r="Q881" s="99"/>
      <c r="T881" s="97"/>
      <c r="V881" s="22"/>
      <c r="W881" s="97"/>
    </row>
    <row r="882" spans="17:23">
      <c r="Q882" s="99"/>
      <c r="T882" s="97"/>
      <c r="V882" s="22"/>
      <c r="W882" s="97"/>
    </row>
    <row r="883" spans="17:23">
      <c r="Q883" s="99"/>
      <c r="T883" s="97"/>
      <c r="V883" s="22"/>
      <c r="W883" s="97"/>
    </row>
    <row r="884" spans="17:23">
      <c r="Q884" s="99"/>
      <c r="T884" s="97"/>
      <c r="V884" s="22"/>
      <c r="W884" s="97"/>
    </row>
    <row r="885" spans="17:23">
      <c r="Q885" s="99"/>
      <c r="T885" s="97"/>
      <c r="V885" s="22"/>
      <c r="W885" s="97"/>
    </row>
    <row r="886" spans="17:23">
      <c r="Q886" s="99"/>
      <c r="T886" s="97"/>
      <c r="V886" s="22"/>
      <c r="W886" s="97"/>
    </row>
    <row r="887" spans="17:23">
      <c r="Q887" s="99"/>
      <c r="T887" s="97"/>
      <c r="V887" s="22"/>
      <c r="W887" s="97"/>
    </row>
    <row r="888" spans="17:23">
      <c r="Q888" s="99"/>
      <c r="T888" s="97"/>
      <c r="V888" s="22"/>
      <c r="W888" s="97"/>
    </row>
    <row r="889" spans="17:23">
      <c r="Q889" s="99"/>
      <c r="T889" s="97"/>
      <c r="V889" s="22"/>
      <c r="W889" s="97"/>
    </row>
    <row r="890" spans="17:23">
      <c r="Q890" s="99"/>
      <c r="T890" s="97"/>
      <c r="V890" s="22"/>
      <c r="W890" s="97"/>
    </row>
    <row r="891" spans="17:23">
      <c r="Q891" s="99"/>
      <c r="T891" s="97"/>
      <c r="V891" s="22"/>
      <c r="W891" s="97"/>
    </row>
    <row r="892" spans="17:23">
      <c r="Q892" s="99"/>
      <c r="T892" s="97"/>
      <c r="V892" s="22"/>
      <c r="W892" s="97"/>
    </row>
    <row r="893" spans="17:23">
      <c r="Q893" s="99"/>
      <c r="T893" s="97"/>
      <c r="V893" s="22"/>
      <c r="W893" s="97"/>
    </row>
    <row r="894" spans="17:23">
      <c r="Q894" s="99"/>
      <c r="T894" s="97"/>
      <c r="V894" s="22"/>
      <c r="W894" s="97"/>
    </row>
    <row r="895" spans="17:23">
      <c r="Q895" s="99"/>
      <c r="T895" s="97"/>
      <c r="V895" s="22"/>
      <c r="W895" s="97"/>
    </row>
    <row r="896" spans="17:23">
      <c r="Q896" s="99"/>
      <c r="T896" s="97"/>
      <c r="V896" s="22"/>
      <c r="W896" s="97"/>
    </row>
    <row r="897" spans="17:23">
      <c r="Q897" s="99"/>
      <c r="T897" s="97"/>
      <c r="V897" s="22"/>
      <c r="W897" s="97"/>
    </row>
    <row r="898" spans="17:23">
      <c r="Q898" s="99"/>
      <c r="T898" s="97"/>
      <c r="V898" s="22"/>
      <c r="W898" s="97"/>
    </row>
    <row r="899" spans="17:23">
      <c r="Q899" s="99"/>
      <c r="T899" s="97"/>
      <c r="V899" s="22"/>
      <c r="W899" s="97"/>
    </row>
    <row r="900" spans="17:23">
      <c r="Q900" s="99"/>
      <c r="T900" s="97"/>
      <c r="V900" s="22"/>
      <c r="W900" s="97"/>
    </row>
    <row r="901" spans="17:23">
      <c r="Q901" s="99"/>
      <c r="T901" s="97"/>
      <c r="V901" s="22"/>
      <c r="W901" s="97"/>
    </row>
    <row r="902" spans="17:23">
      <c r="Q902" s="99"/>
      <c r="T902" s="97"/>
      <c r="V902" s="22"/>
      <c r="W902" s="97"/>
    </row>
    <row r="903" spans="17:23">
      <c r="Q903" s="99"/>
      <c r="T903" s="97"/>
      <c r="V903" s="22"/>
      <c r="W903" s="97"/>
    </row>
    <row r="904" spans="17:23">
      <c r="Q904" s="99"/>
      <c r="T904" s="97"/>
      <c r="V904" s="22"/>
      <c r="W904" s="97"/>
    </row>
    <row r="905" spans="17:23">
      <c r="Q905" s="99"/>
      <c r="T905" s="97"/>
      <c r="V905" s="22"/>
      <c r="W905" s="97"/>
    </row>
    <row r="906" spans="17:23">
      <c r="Q906" s="99"/>
      <c r="T906" s="97"/>
      <c r="V906" s="22"/>
      <c r="W906" s="97"/>
    </row>
    <row r="907" spans="17:23">
      <c r="Q907" s="99"/>
      <c r="T907" s="97"/>
      <c r="V907" s="22"/>
      <c r="W907" s="97"/>
    </row>
    <row r="908" spans="17:23">
      <c r="Q908" s="99"/>
      <c r="T908" s="97"/>
      <c r="V908" s="22"/>
      <c r="W908" s="97"/>
    </row>
    <row r="909" spans="17:23">
      <c r="Q909" s="99"/>
      <c r="T909" s="97"/>
      <c r="V909" s="22"/>
      <c r="W909" s="97"/>
    </row>
    <row r="910" spans="17:23">
      <c r="Q910" s="99"/>
      <c r="T910" s="97"/>
      <c r="V910" s="22"/>
      <c r="W910" s="97"/>
    </row>
    <row r="911" spans="17:23">
      <c r="Q911" s="99"/>
      <c r="T911" s="97"/>
      <c r="V911" s="22"/>
      <c r="W911" s="97"/>
    </row>
    <row r="912" spans="17:23">
      <c r="Q912" s="99"/>
      <c r="T912" s="97"/>
      <c r="V912" s="22"/>
      <c r="W912" s="97"/>
    </row>
    <row r="913" spans="17:23">
      <c r="Q913" s="99"/>
      <c r="T913" s="97"/>
      <c r="V913" s="22"/>
      <c r="W913" s="97"/>
    </row>
    <row r="914" spans="17:23">
      <c r="Q914" s="99"/>
      <c r="T914" s="97"/>
      <c r="V914" s="22"/>
      <c r="W914" s="97"/>
    </row>
    <row r="915" spans="17:23">
      <c r="Q915" s="99"/>
      <c r="T915" s="97"/>
      <c r="V915" s="22"/>
      <c r="W915" s="97"/>
    </row>
    <row r="916" spans="17:23">
      <c r="Q916" s="99"/>
      <c r="T916" s="97"/>
      <c r="V916" s="22"/>
      <c r="W916" s="97"/>
    </row>
    <row r="917" spans="17:23">
      <c r="Q917" s="99"/>
      <c r="T917" s="97"/>
      <c r="V917" s="22"/>
      <c r="W917" s="97"/>
    </row>
    <row r="918" spans="17:23">
      <c r="Q918" s="99"/>
      <c r="T918" s="97"/>
      <c r="V918" s="22"/>
      <c r="W918" s="97"/>
    </row>
    <row r="919" spans="17:23">
      <c r="Q919" s="99"/>
      <c r="T919" s="97"/>
      <c r="V919" s="22"/>
      <c r="W919" s="97"/>
    </row>
    <row r="920" spans="17:23">
      <c r="Q920" s="99"/>
      <c r="T920" s="97"/>
      <c r="V920" s="22"/>
      <c r="W920" s="97"/>
    </row>
    <row r="921" spans="17:23">
      <c r="Q921" s="99"/>
      <c r="T921" s="97"/>
      <c r="V921" s="22"/>
      <c r="W921" s="97"/>
    </row>
    <row r="922" spans="17:23">
      <c r="Q922" s="99"/>
      <c r="T922" s="97"/>
      <c r="V922" s="22"/>
      <c r="W922" s="97"/>
    </row>
    <row r="923" spans="17:23">
      <c r="Q923" s="99"/>
      <c r="T923" s="97"/>
      <c r="V923" s="22"/>
      <c r="W923" s="97"/>
    </row>
    <row r="924" spans="17:23">
      <c r="Q924" s="99"/>
      <c r="T924" s="97"/>
      <c r="V924" s="22"/>
      <c r="W924" s="97"/>
    </row>
    <row r="925" spans="17:23">
      <c r="Q925" s="99"/>
      <c r="T925" s="97"/>
      <c r="V925" s="22"/>
      <c r="W925" s="97"/>
    </row>
    <row r="926" spans="17:23">
      <c r="Q926" s="99"/>
      <c r="T926" s="97"/>
      <c r="V926" s="22"/>
      <c r="W926" s="97"/>
    </row>
    <row r="927" spans="17:23">
      <c r="Q927" s="99"/>
      <c r="T927" s="97"/>
      <c r="V927" s="22"/>
      <c r="W927" s="97"/>
    </row>
    <row r="928" spans="17:23">
      <c r="Q928" s="99"/>
      <c r="T928" s="97"/>
      <c r="V928" s="22"/>
      <c r="W928" s="97"/>
    </row>
    <row r="929" spans="17:23">
      <c r="Q929" s="99"/>
      <c r="T929" s="97"/>
      <c r="V929" s="22"/>
      <c r="W929" s="97"/>
    </row>
    <row r="930" spans="17:23">
      <c r="Q930" s="99"/>
      <c r="T930" s="97"/>
      <c r="V930" s="22"/>
      <c r="W930" s="97"/>
    </row>
    <row r="931" spans="17:23">
      <c r="Q931" s="99"/>
      <c r="T931" s="97"/>
      <c r="V931" s="22"/>
      <c r="W931" s="97"/>
    </row>
    <row r="932" spans="17:23">
      <c r="Q932" s="99"/>
      <c r="T932" s="97"/>
      <c r="V932" s="22"/>
      <c r="W932" s="97"/>
    </row>
    <row r="933" spans="17:23">
      <c r="Q933" s="99"/>
      <c r="T933" s="97"/>
      <c r="V933" s="22"/>
      <c r="W933" s="97"/>
    </row>
    <row r="934" spans="17:23">
      <c r="Q934" s="99"/>
      <c r="T934" s="97"/>
      <c r="V934" s="22"/>
      <c r="W934" s="97"/>
    </row>
    <row r="935" spans="17:23">
      <c r="Q935" s="99"/>
      <c r="T935" s="97"/>
      <c r="V935" s="22"/>
      <c r="W935" s="97"/>
    </row>
    <row r="936" spans="17:23">
      <c r="Q936" s="99"/>
      <c r="T936" s="97"/>
      <c r="V936" s="22"/>
      <c r="W936" s="97"/>
    </row>
    <row r="937" spans="17:23">
      <c r="Q937" s="99"/>
      <c r="T937" s="97"/>
      <c r="V937" s="22"/>
      <c r="W937" s="97"/>
    </row>
    <row r="938" spans="17:23">
      <c r="Q938" s="99"/>
      <c r="T938" s="97"/>
      <c r="V938" s="22"/>
      <c r="W938" s="97"/>
    </row>
    <row r="939" spans="17:23">
      <c r="Q939" s="99"/>
      <c r="T939" s="97"/>
      <c r="V939" s="22"/>
      <c r="W939" s="97"/>
    </row>
    <row r="940" spans="17:23">
      <c r="Q940" s="99"/>
      <c r="T940" s="97"/>
      <c r="V940" s="22"/>
      <c r="W940" s="97"/>
    </row>
    <row r="941" spans="17:23">
      <c r="Q941" s="99"/>
      <c r="T941" s="97"/>
      <c r="V941" s="22"/>
      <c r="W941" s="97"/>
    </row>
    <row r="942" spans="17:23">
      <c r="Q942" s="99"/>
      <c r="T942" s="97"/>
      <c r="V942" s="22"/>
      <c r="W942" s="97"/>
    </row>
    <row r="943" spans="17:23">
      <c r="Q943" s="99"/>
      <c r="T943" s="97"/>
      <c r="V943" s="22"/>
      <c r="W943" s="97"/>
    </row>
    <row r="944" spans="17:23">
      <c r="Q944" s="99"/>
      <c r="T944" s="97"/>
      <c r="V944" s="22"/>
      <c r="W944" s="97"/>
    </row>
    <row r="945" spans="17:23">
      <c r="Q945" s="99"/>
      <c r="T945" s="97"/>
      <c r="V945" s="22"/>
      <c r="W945" s="97"/>
    </row>
    <row r="946" spans="17:23">
      <c r="Q946" s="99"/>
      <c r="T946" s="97"/>
      <c r="V946" s="22"/>
      <c r="W946" s="97"/>
    </row>
    <row r="947" spans="17:23">
      <c r="Q947" s="99"/>
      <c r="T947" s="97"/>
      <c r="V947" s="22"/>
      <c r="W947" s="97"/>
    </row>
    <row r="948" spans="17:23">
      <c r="Q948" s="99"/>
      <c r="T948" s="97"/>
      <c r="V948" s="22"/>
      <c r="W948" s="97"/>
    </row>
    <row r="949" spans="17:23">
      <c r="Q949" s="99"/>
      <c r="T949" s="97"/>
      <c r="V949" s="22"/>
      <c r="W949" s="97"/>
    </row>
    <row r="950" spans="17:23">
      <c r="Q950" s="99"/>
      <c r="T950" s="97"/>
      <c r="V950" s="22"/>
      <c r="W950" s="97"/>
    </row>
    <row r="951" spans="17:23">
      <c r="Q951" s="99"/>
      <c r="T951" s="97"/>
      <c r="V951" s="22"/>
      <c r="W951" s="97"/>
    </row>
    <row r="952" spans="17:23">
      <c r="Q952" s="99"/>
      <c r="T952" s="97"/>
      <c r="V952" s="22"/>
      <c r="W952" s="97"/>
    </row>
    <row r="953" spans="17:23">
      <c r="Q953" s="99"/>
      <c r="T953" s="97"/>
      <c r="V953" s="22"/>
      <c r="W953" s="97"/>
    </row>
    <row r="954" spans="17:23">
      <c r="Q954" s="99"/>
      <c r="T954" s="97"/>
      <c r="V954" s="22"/>
      <c r="W954" s="97"/>
    </row>
    <row r="955" spans="17:23">
      <c r="Q955" s="99"/>
      <c r="T955" s="97"/>
      <c r="V955" s="22"/>
      <c r="W955" s="97"/>
    </row>
    <row r="956" spans="17:23">
      <c r="Q956" s="99"/>
      <c r="T956" s="97"/>
      <c r="V956" s="22"/>
      <c r="W956" s="97"/>
    </row>
    <row r="957" spans="17:23">
      <c r="Q957" s="99"/>
      <c r="T957" s="97"/>
      <c r="V957" s="22"/>
      <c r="W957" s="97"/>
    </row>
    <row r="958" spans="17:23">
      <c r="Q958" s="99"/>
      <c r="T958" s="97"/>
      <c r="V958" s="22"/>
      <c r="W958" s="97"/>
    </row>
    <row r="959" spans="17:23">
      <c r="Q959" s="99"/>
      <c r="T959" s="97"/>
      <c r="V959" s="22"/>
      <c r="W959" s="97"/>
    </row>
    <row r="960" spans="17:23">
      <c r="Q960" s="99"/>
      <c r="T960" s="97"/>
      <c r="V960" s="22"/>
      <c r="W960" s="97"/>
    </row>
    <row r="961" spans="17:23">
      <c r="Q961" s="99"/>
      <c r="T961" s="97"/>
      <c r="V961" s="22"/>
      <c r="W961" s="97"/>
    </row>
    <row r="962" spans="17:23">
      <c r="Q962" s="99"/>
      <c r="T962" s="97"/>
      <c r="V962" s="22"/>
      <c r="W962" s="97"/>
    </row>
    <row r="963" spans="17:23">
      <c r="Q963" s="99"/>
      <c r="T963" s="97"/>
      <c r="V963" s="22"/>
      <c r="W963" s="97"/>
    </row>
    <row r="964" spans="17:23">
      <c r="Q964" s="99"/>
      <c r="T964" s="97"/>
      <c r="V964" s="22"/>
      <c r="W964" s="97"/>
    </row>
    <row r="965" spans="17:23">
      <c r="Q965" s="99"/>
      <c r="T965" s="97"/>
      <c r="V965" s="22"/>
      <c r="W965" s="97"/>
    </row>
    <row r="966" spans="17:23">
      <c r="Q966" s="99"/>
      <c r="T966" s="97"/>
      <c r="V966" s="22"/>
      <c r="W966" s="97"/>
    </row>
    <row r="967" spans="17:23">
      <c r="Q967" s="99"/>
      <c r="T967" s="97"/>
      <c r="V967" s="22"/>
      <c r="W967" s="97"/>
    </row>
    <row r="968" spans="17:23">
      <c r="Q968" s="99"/>
      <c r="T968" s="97"/>
      <c r="V968" s="22"/>
      <c r="W968" s="97"/>
    </row>
    <row r="969" spans="17:23">
      <c r="Q969" s="99"/>
      <c r="T969" s="97"/>
      <c r="V969" s="22"/>
      <c r="W969" s="97"/>
    </row>
    <row r="970" spans="17:23">
      <c r="Q970" s="99"/>
      <c r="T970" s="97"/>
      <c r="V970" s="22"/>
      <c r="W970" s="97"/>
    </row>
    <row r="971" spans="17:23">
      <c r="Q971" s="99"/>
      <c r="T971" s="97"/>
      <c r="V971" s="22"/>
      <c r="W971" s="97"/>
    </row>
    <row r="972" spans="17:23">
      <c r="Q972" s="99"/>
      <c r="T972" s="97"/>
      <c r="V972" s="22"/>
      <c r="W972" s="97"/>
    </row>
    <row r="973" spans="17:23">
      <c r="Q973" s="99"/>
      <c r="T973" s="97"/>
      <c r="V973" s="22"/>
      <c r="W973" s="97"/>
    </row>
    <row r="974" spans="17:23">
      <c r="Q974" s="99"/>
      <c r="T974" s="97"/>
      <c r="V974" s="22"/>
      <c r="W974" s="97"/>
    </row>
    <row r="975" spans="17:23">
      <c r="Q975" s="99"/>
      <c r="T975" s="97"/>
      <c r="V975" s="22"/>
      <c r="W975" s="97"/>
    </row>
    <row r="976" spans="17:23">
      <c r="Q976" s="99"/>
      <c r="T976" s="97"/>
      <c r="V976" s="22"/>
      <c r="W976" s="97"/>
    </row>
    <row r="977" spans="17:23">
      <c r="Q977" s="99"/>
      <c r="T977" s="97"/>
      <c r="V977" s="22"/>
      <c r="W977" s="97"/>
    </row>
    <row r="978" spans="17:23">
      <c r="Q978" s="99"/>
      <c r="T978" s="97"/>
      <c r="V978" s="22"/>
      <c r="W978" s="97"/>
    </row>
    <row r="979" spans="17:23">
      <c r="Q979" s="99"/>
      <c r="T979" s="97"/>
      <c r="V979" s="22"/>
      <c r="W979" s="97"/>
    </row>
    <row r="980" spans="17:23">
      <c r="Q980" s="99"/>
      <c r="T980" s="97"/>
      <c r="V980" s="22"/>
      <c r="W980" s="97"/>
    </row>
    <row r="981" spans="17:23">
      <c r="Q981" s="99"/>
      <c r="T981" s="97"/>
      <c r="V981" s="22"/>
      <c r="W981" s="97"/>
    </row>
    <row r="982" spans="17:23">
      <c r="Q982" s="99"/>
      <c r="T982" s="97"/>
      <c r="V982" s="22"/>
      <c r="W982" s="97"/>
    </row>
    <row r="983" spans="17:23">
      <c r="Q983" s="99"/>
      <c r="T983" s="97"/>
      <c r="V983" s="22"/>
      <c r="W983" s="97"/>
    </row>
    <row r="984" spans="17:23">
      <c r="Q984" s="99"/>
      <c r="T984" s="97"/>
      <c r="V984" s="22"/>
      <c r="W984" s="97"/>
    </row>
    <row r="985" spans="17:23">
      <c r="Q985" s="99"/>
      <c r="T985" s="97"/>
      <c r="V985" s="22"/>
      <c r="W985" s="97"/>
    </row>
    <row r="986" spans="17:23">
      <c r="Q986" s="99"/>
      <c r="T986" s="97"/>
      <c r="V986" s="22"/>
      <c r="W986" s="97"/>
    </row>
    <row r="987" spans="17:23">
      <c r="Q987" s="99"/>
      <c r="T987" s="97"/>
      <c r="V987" s="22"/>
      <c r="W987" s="97"/>
    </row>
    <row r="988" spans="17:23">
      <c r="Q988" s="99"/>
      <c r="T988" s="97"/>
      <c r="V988" s="22"/>
      <c r="W988" s="97"/>
    </row>
    <row r="989" spans="17:23">
      <c r="Q989" s="99"/>
      <c r="T989" s="97"/>
      <c r="V989" s="22"/>
      <c r="W989" s="97"/>
    </row>
    <row r="990" spans="17:23">
      <c r="Q990" s="99"/>
      <c r="T990" s="97"/>
      <c r="V990" s="22"/>
      <c r="W990" s="97"/>
    </row>
    <row r="991" spans="17:23">
      <c r="Q991" s="99"/>
      <c r="T991" s="97"/>
      <c r="V991" s="22"/>
      <c r="W991" s="97"/>
    </row>
    <row r="992" spans="17:23">
      <c r="Q992" s="99"/>
      <c r="T992" s="97"/>
      <c r="V992" s="22"/>
      <c r="W992" s="97"/>
    </row>
    <row r="993" spans="17:23">
      <c r="Q993" s="99"/>
      <c r="T993" s="97"/>
      <c r="V993" s="22"/>
      <c r="W993" s="97"/>
    </row>
    <row r="994" spans="17:23">
      <c r="Q994" s="99"/>
      <c r="T994" s="97"/>
      <c r="V994" s="22"/>
      <c r="W994" s="97"/>
    </row>
    <row r="995" spans="17:23">
      <c r="Q995" s="99"/>
      <c r="T995" s="97"/>
      <c r="V995" s="22"/>
      <c r="W995" s="97"/>
    </row>
    <row r="996" spans="17:23">
      <c r="Q996" s="99"/>
      <c r="T996" s="97"/>
      <c r="V996" s="22"/>
      <c r="W996" s="97"/>
    </row>
    <row r="997" spans="17:23">
      <c r="Q997" s="99"/>
      <c r="T997" s="97"/>
      <c r="V997" s="22"/>
      <c r="W997" s="97"/>
    </row>
    <row r="998" spans="17:23">
      <c r="Q998" s="99"/>
      <c r="T998" s="97"/>
      <c r="V998" s="22"/>
      <c r="W998" s="97"/>
    </row>
    <row r="999" spans="17:23">
      <c r="Q999" s="99"/>
      <c r="T999" s="97"/>
      <c r="V999" s="22"/>
      <c r="W999" s="97"/>
    </row>
    <row r="1000" spans="17:23">
      <c r="Q1000" s="99"/>
      <c r="T1000" s="97"/>
      <c r="V1000" s="22"/>
      <c r="W1000" s="97"/>
    </row>
    <row r="1001" spans="17:23">
      <c r="Q1001" s="99"/>
      <c r="T1001" s="97"/>
      <c r="V1001" s="22"/>
      <c r="W1001" s="97"/>
    </row>
    <row r="1002" spans="17:23">
      <c r="Q1002" s="99"/>
      <c r="T1002" s="97"/>
      <c r="V1002" s="22"/>
      <c r="W1002" s="97"/>
    </row>
    <row r="1003" spans="17:23">
      <c r="Q1003" s="99"/>
      <c r="T1003" s="97"/>
      <c r="V1003" s="22"/>
      <c r="W1003" s="97"/>
    </row>
    <row r="1004" spans="17:23">
      <c r="Q1004" s="99"/>
      <c r="T1004" s="97"/>
      <c r="V1004" s="22"/>
      <c r="W1004" s="97"/>
    </row>
    <row r="1005" spans="17:23">
      <c r="Q1005" s="99"/>
      <c r="T1005" s="97"/>
      <c r="V1005" s="22"/>
      <c r="W1005" s="97"/>
    </row>
    <row r="1006" spans="17:23">
      <c r="Q1006" s="99"/>
      <c r="T1006" s="97"/>
      <c r="V1006" s="22"/>
      <c r="W1006" s="97"/>
    </row>
    <row r="1007" spans="17:23">
      <c r="Q1007" s="99"/>
      <c r="T1007" s="97"/>
      <c r="V1007" s="22"/>
      <c r="W1007" s="97"/>
    </row>
    <row r="1008" spans="17:23">
      <c r="Q1008" s="99"/>
      <c r="T1008" s="97"/>
      <c r="V1008" s="22"/>
      <c r="W1008" s="97"/>
    </row>
    <row r="1009" spans="17:23">
      <c r="Q1009" s="99"/>
      <c r="T1009" s="97"/>
      <c r="V1009" s="22"/>
      <c r="W1009" s="97"/>
    </row>
    <row r="1010" spans="17:23">
      <c r="Q1010" s="99"/>
      <c r="T1010" s="97"/>
      <c r="V1010" s="22"/>
      <c r="W1010" s="97"/>
    </row>
    <row r="1011" spans="17:23">
      <c r="Q1011" s="99"/>
      <c r="T1011" s="97"/>
      <c r="V1011" s="22"/>
      <c r="W1011" s="97"/>
    </row>
    <row r="1012" spans="17:23">
      <c r="Q1012" s="99"/>
      <c r="T1012" s="97"/>
      <c r="V1012" s="22"/>
      <c r="W1012" s="97"/>
    </row>
    <row r="1013" spans="17:23">
      <c r="Q1013" s="99"/>
      <c r="T1013" s="97"/>
      <c r="V1013" s="22"/>
      <c r="W1013" s="97"/>
    </row>
    <row r="1014" spans="17:23">
      <c r="Q1014" s="99"/>
      <c r="T1014" s="97"/>
      <c r="V1014" s="22"/>
      <c r="W1014" s="97"/>
    </row>
    <row r="1015" spans="17:23">
      <c r="Q1015" s="99"/>
      <c r="T1015" s="97"/>
      <c r="V1015" s="22"/>
      <c r="W1015" s="97"/>
    </row>
    <row r="1016" spans="17:23">
      <c r="Q1016" s="99"/>
      <c r="T1016" s="97"/>
      <c r="V1016" s="22"/>
      <c r="W1016" s="97"/>
    </row>
    <row r="1017" spans="17:23">
      <c r="Q1017" s="99"/>
      <c r="T1017" s="97"/>
      <c r="V1017" s="22"/>
      <c r="W1017" s="97"/>
    </row>
    <row r="1018" spans="17:23">
      <c r="Q1018" s="99"/>
      <c r="T1018" s="97"/>
      <c r="V1018" s="22"/>
      <c r="W1018" s="97"/>
    </row>
    <row r="1019" spans="17:23">
      <c r="Q1019" s="99"/>
      <c r="T1019" s="97"/>
      <c r="V1019" s="22"/>
      <c r="W1019" s="97"/>
    </row>
    <row r="1020" spans="17:23">
      <c r="Q1020" s="99"/>
      <c r="T1020" s="97"/>
      <c r="V1020" s="22"/>
      <c r="W1020" s="97"/>
    </row>
    <row r="1021" spans="17:23">
      <c r="Q1021" s="99"/>
      <c r="T1021" s="97"/>
      <c r="V1021" s="22"/>
      <c r="W1021" s="97"/>
    </row>
    <row r="1022" spans="17:23">
      <c r="Q1022" s="99"/>
      <c r="T1022" s="97"/>
      <c r="V1022" s="22"/>
      <c r="W1022" s="97"/>
    </row>
    <row r="1023" spans="17:23">
      <c r="Q1023" s="99"/>
      <c r="T1023" s="97"/>
      <c r="V1023" s="22"/>
      <c r="W1023" s="97"/>
    </row>
    <row r="1024" spans="17:23">
      <c r="Q1024" s="99"/>
      <c r="T1024" s="97"/>
      <c r="V1024" s="22"/>
      <c r="W1024" s="97"/>
    </row>
    <row r="1025" spans="17:23">
      <c r="Q1025" s="99"/>
      <c r="T1025" s="97"/>
      <c r="V1025" s="22"/>
      <c r="W1025" s="97"/>
    </row>
    <row r="1026" spans="17:23">
      <c r="Q1026" s="99"/>
      <c r="T1026" s="97"/>
      <c r="V1026" s="22"/>
      <c r="W1026" s="97"/>
    </row>
    <row r="1027" spans="17:23">
      <c r="Q1027" s="99"/>
      <c r="T1027" s="97"/>
      <c r="V1027" s="22"/>
      <c r="W1027" s="97"/>
    </row>
    <row r="1028" spans="17:23">
      <c r="Q1028" s="99"/>
      <c r="T1028" s="97"/>
      <c r="V1028" s="22"/>
      <c r="W1028" s="97"/>
    </row>
    <row r="1029" spans="17:23">
      <c r="Q1029" s="99"/>
      <c r="T1029" s="97"/>
      <c r="V1029" s="22"/>
      <c r="W1029" s="97"/>
    </row>
    <row r="1030" spans="17:23">
      <c r="Q1030" s="99"/>
      <c r="T1030" s="97"/>
      <c r="V1030" s="22"/>
      <c r="W1030" s="97"/>
    </row>
    <row r="1031" spans="17:23">
      <c r="Q1031" s="99"/>
      <c r="T1031" s="97"/>
      <c r="V1031" s="22"/>
      <c r="W1031" s="97"/>
    </row>
    <row r="1032" spans="17:23">
      <c r="Q1032" s="99"/>
      <c r="T1032" s="97"/>
      <c r="V1032" s="22"/>
      <c r="W1032" s="97"/>
    </row>
    <row r="1033" spans="17:23">
      <c r="Q1033" s="99"/>
      <c r="T1033" s="97"/>
      <c r="V1033" s="22"/>
      <c r="W1033" s="97"/>
    </row>
    <row r="1034" spans="17:23">
      <c r="Q1034" s="99"/>
      <c r="T1034" s="97"/>
      <c r="V1034" s="22"/>
      <c r="W1034" s="97"/>
    </row>
    <row r="1035" spans="17:23">
      <c r="Q1035" s="99"/>
      <c r="T1035" s="97"/>
      <c r="V1035" s="22"/>
      <c r="W1035" s="97"/>
    </row>
    <row r="1036" spans="17:23">
      <c r="Q1036" s="99"/>
      <c r="T1036" s="97"/>
      <c r="V1036" s="22"/>
      <c r="W1036" s="97"/>
    </row>
    <row r="1037" spans="17:23">
      <c r="Q1037" s="99"/>
      <c r="T1037" s="97"/>
      <c r="V1037" s="22"/>
      <c r="W1037" s="97"/>
    </row>
    <row r="1038" spans="17:23">
      <c r="Q1038" s="99"/>
      <c r="T1038" s="97"/>
      <c r="V1038" s="22"/>
      <c r="W1038" s="97"/>
    </row>
    <row r="1039" spans="17:23">
      <c r="Q1039" s="99"/>
      <c r="T1039" s="97"/>
      <c r="V1039" s="22"/>
      <c r="W1039" s="97"/>
    </row>
    <row r="1040" spans="17:23">
      <c r="Q1040" s="99"/>
      <c r="T1040" s="97"/>
      <c r="V1040" s="22"/>
      <c r="W1040" s="97"/>
    </row>
    <row r="1041" spans="17:23">
      <c r="Q1041" s="99"/>
      <c r="T1041" s="97"/>
      <c r="V1041" s="22"/>
      <c r="W1041" s="97"/>
    </row>
    <row r="1042" spans="17:23">
      <c r="Q1042" s="99"/>
      <c r="T1042" s="97"/>
      <c r="V1042" s="22"/>
      <c r="W1042" s="97"/>
    </row>
    <row r="1043" spans="17:23">
      <c r="Q1043" s="99"/>
      <c r="T1043" s="97"/>
      <c r="V1043" s="22"/>
      <c r="W1043" s="97"/>
    </row>
    <row r="1044" spans="17:23">
      <c r="Q1044" s="99"/>
      <c r="T1044" s="97"/>
      <c r="V1044" s="22"/>
      <c r="W1044" s="97"/>
    </row>
    <row r="1045" spans="17:23">
      <c r="Q1045" s="99"/>
      <c r="T1045" s="97"/>
      <c r="V1045" s="22"/>
      <c r="W1045" s="97"/>
    </row>
    <row r="1046" spans="17:23">
      <c r="Q1046" s="99"/>
      <c r="T1046" s="97"/>
      <c r="V1046" s="22"/>
      <c r="W1046" s="97"/>
    </row>
    <row r="1047" spans="17:23">
      <c r="Q1047" s="99"/>
      <c r="T1047" s="97"/>
      <c r="V1047" s="22"/>
      <c r="W1047" s="97"/>
    </row>
    <row r="1048" spans="17:23">
      <c r="Q1048" s="99"/>
      <c r="T1048" s="97"/>
      <c r="V1048" s="22"/>
      <c r="W1048" s="97"/>
    </row>
    <row r="1049" spans="17:23">
      <c r="Q1049" s="99"/>
      <c r="T1049" s="97"/>
      <c r="V1049" s="22"/>
      <c r="W1049" s="97"/>
    </row>
    <row r="1050" spans="17:23">
      <c r="Q1050" s="99"/>
      <c r="T1050" s="97"/>
      <c r="V1050" s="22"/>
      <c r="W1050" s="97"/>
    </row>
    <row r="1051" spans="17:23">
      <c r="Q1051" s="99"/>
      <c r="T1051" s="97"/>
      <c r="V1051" s="22"/>
      <c r="W1051" s="97"/>
    </row>
    <row r="1052" spans="17:23">
      <c r="Q1052" s="99"/>
      <c r="T1052" s="97"/>
      <c r="V1052" s="22"/>
      <c r="W1052" s="97"/>
    </row>
    <row r="1053" spans="17:23">
      <c r="Q1053" s="99"/>
      <c r="T1053" s="97"/>
      <c r="V1053" s="22"/>
      <c r="W1053" s="97"/>
    </row>
    <row r="1054" spans="17:23">
      <c r="Q1054" s="99"/>
      <c r="T1054" s="97"/>
      <c r="V1054" s="22"/>
      <c r="W1054" s="97"/>
    </row>
    <row r="1055" spans="17:23">
      <c r="Q1055" s="99"/>
      <c r="T1055" s="97"/>
      <c r="V1055" s="22"/>
      <c r="W1055" s="97"/>
    </row>
    <row r="1056" spans="17:23">
      <c r="Q1056" s="99"/>
      <c r="T1056" s="97"/>
      <c r="V1056" s="22"/>
      <c r="W1056" s="97"/>
    </row>
    <row r="1057" spans="17:23">
      <c r="Q1057" s="99"/>
      <c r="T1057" s="97"/>
      <c r="V1057" s="22"/>
      <c r="W1057" s="97"/>
    </row>
    <row r="1058" spans="17:23">
      <c r="Q1058" s="99"/>
      <c r="T1058" s="97"/>
      <c r="V1058" s="22"/>
      <c r="W1058" s="97"/>
    </row>
    <row r="1059" spans="17:23">
      <c r="Q1059" s="99"/>
      <c r="T1059" s="97"/>
      <c r="V1059" s="22"/>
      <c r="W1059" s="97"/>
    </row>
    <row r="1060" spans="17:23">
      <c r="Q1060" s="99"/>
      <c r="T1060" s="97"/>
      <c r="V1060" s="22"/>
      <c r="W1060" s="97"/>
    </row>
    <row r="1061" spans="17:23">
      <c r="Q1061" s="99"/>
      <c r="T1061" s="97"/>
      <c r="V1061" s="22"/>
      <c r="W1061" s="97"/>
    </row>
    <row r="1062" spans="17:23">
      <c r="Q1062" s="99"/>
      <c r="T1062" s="97"/>
      <c r="V1062" s="22"/>
      <c r="W1062" s="97"/>
    </row>
    <row r="1063" spans="17:23">
      <c r="Q1063" s="99"/>
      <c r="T1063" s="97"/>
      <c r="V1063" s="22"/>
      <c r="W1063" s="97"/>
    </row>
    <row r="1064" spans="17:23">
      <c r="Q1064" s="99"/>
      <c r="T1064" s="97"/>
      <c r="V1064" s="22"/>
      <c r="W1064" s="97"/>
    </row>
    <row r="1065" spans="17:23">
      <c r="Q1065" s="99"/>
      <c r="T1065" s="97"/>
      <c r="V1065" s="22"/>
      <c r="W1065" s="97"/>
    </row>
    <row r="1066" spans="17:23">
      <c r="Q1066" s="99"/>
      <c r="T1066" s="97"/>
      <c r="V1066" s="22"/>
      <c r="W1066" s="97"/>
    </row>
    <row r="1067" spans="17:23">
      <c r="Q1067" s="99"/>
      <c r="T1067" s="97"/>
      <c r="V1067" s="22"/>
      <c r="W1067" s="97"/>
    </row>
    <row r="1068" spans="17:23">
      <c r="Q1068" s="99"/>
      <c r="T1068" s="97"/>
      <c r="V1068" s="22"/>
      <c r="W1068" s="97"/>
    </row>
    <row r="1069" spans="17:23">
      <c r="Q1069" s="99"/>
      <c r="T1069" s="97"/>
      <c r="V1069" s="22"/>
      <c r="W1069" s="97"/>
    </row>
    <row r="1070" spans="17:23">
      <c r="Q1070" s="99"/>
      <c r="T1070" s="97"/>
      <c r="V1070" s="22"/>
      <c r="W1070" s="97"/>
    </row>
    <row r="1071" spans="17:23">
      <c r="Q1071" s="99"/>
      <c r="T1071" s="97"/>
      <c r="V1071" s="22"/>
      <c r="W1071" s="97"/>
    </row>
    <row r="1072" spans="17:23">
      <c r="Q1072" s="99"/>
      <c r="T1072" s="97"/>
      <c r="V1072" s="22"/>
      <c r="W1072" s="97"/>
    </row>
    <row r="1073" spans="17:23">
      <c r="Q1073" s="99"/>
      <c r="T1073" s="97"/>
      <c r="V1073" s="22"/>
      <c r="W1073" s="97"/>
    </row>
    <row r="1074" spans="17:23">
      <c r="Q1074" s="99"/>
      <c r="T1074" s="97"/>
      <c r="V1074" s="22"/>
      <c r="W1074" s="97"/>
    </row>
    <row r="1075" spans="17:23">
      <c r="Q1075" s="99"/>
      <c r="T1075" s="97"/>
      <c r="V1075" s="22"/>
      <c r="W1075" s="97"/>
    </row>
    <row r="1076" spans="17:23">
      <c r="Q1076" s="99"/>
      <c r="T1076" s="97"/>
      <c r="V1076" s="22"/>
      <c r="W1076" s="97"/>
    </row>
    <row r="1077" spans="17:23">
      <c r="Q1077" s="99"/>
      <c r="T1077" s="97"/>
      <c r="V1077" s="22"/>
      <c r="W1077" s="97"/>
    </row>
    <row r="1078" spans="17:23">
      <c r="Q1078" s="99"/>
      <c r="T1078" s="97"/>
      <c r="V1078" s="22"/>
      <c r="W1078" s="97"/>
    </row>
    <row r="1079" spans="17:23">
      <c r="Q1079" s="99"/>
      <c r="T1079" s="97"/>
      <c r="V1079" s="22"/>
      <c r="W1079" s="97"/>
    </row>
    <row r="1080" spans="17:23">
      <c r="Q1080" s="99"/>
      <c r="T1080" s="97"/>
      <c r="V1080" s="22"/>
      <c r="W1080" s="97"/>
    </row>
    <row r="1081" spans="17:23">
      <c r="Q1081" s="99"/>
      <c r="T1081" s="97"/>
      <c r="V1081" s="22"/>
      <c r="W1081" s="97"/>
    </row>
    <row r="1082" spans="17:23">
      <c r="Q1082" s="99"/>
      <c r="T1082" s="97"/>
      <c r="V1082" s="22"/>
      <c r="W1082" s="97"/>
    </row>
    <row r="1083" spans="17:23">
      <c r="Q1083" s="99"/>
      <c r="T1083" s="97"/>
      <c r="V1083" s="22"/>
      <c r="W1083" s="97"/>
    </row>
    <row r="1084" spans="17:23">
      <c r="Q1084" s="99"/>
      <c r="T1084" s="97"/>
      <c r="V1084" s="22"/>
      <c r="W1084" s="97"/>
    </row>
    <row r="1085" spans="17:23">
      <c r="Q1085" s="99"/>
      <c r="T1085" s="97"/>
      <c r="V1085" s="22"/>
      <c r="W1085" s="97"/>
    </row>
    <row r="1086" spans="17:23">
      <c r="Q1086" s="99"/>
      <c r="T1086" s="97"/>
      <c r="V1086" s="22"/>
      <c r="W1086" s="97"/>
    </row>
    <row r="1087" spans="17:23">
      <c r="Q1087" s="99"/>
      <c r="T1087" s="97"/>
      <c r="V1087" s="22"/>
      <c r="W1087" s="97"/>
    </row>
    <row r="1088" spans="17:23">
      <c r="Q1088" s="99"/>
      <c r="T1088" s="97"/>
      <c r="V1088" s="22"/>
      <c r="W1088" s="97"/>
    </row>
    <row r="1089" spans="17:23">
      <c r="Q1089" s="99"/>
      <c r="T1089" s="97"/>
      <c r="V1089" s="22"/>
      <c r="W1089" s="97"/>
    </row>
    <row r="1090" spans="17:23">
      <c r="Q1090" s="99"/>
      <c r="T1090" s="97"/>
      <c r="V1090" s="22"/>
      <c r="W1090" s="97"/>
    </row>
    <row r="1091" spans="17:23">
      <c r="Q1091" s="99"/>
      <c r="T1091" s="97"/>
      <c r="V1091" s="22"/>
      <c r="W1091" s="97"/>
    </row>
    <row r="1092" spans="17:23">
      <c r="Q1092" s="99"/>
      <c r="T1092" s="97"/>
      <c r="V1092" s="22"/>
      <c r="W1092" s="97"/>
    </row>
    <row r="1093" spans="17:23">
      <c r="Q1093" s="99"/>
      <c r="T1093" s="97"/>
      <c r="V1093" s="22"/>
      <c r="W1093" s="97"/>
    </row>
    <row r="1094" spans="17:23">
      <c r="Q1094" s="99"/>
      <c r="T1094" s="97"/>
      <c r="V1094" s="22"/>
      <c r="W1094" s="97"/>
    </row>
    <row r="1095" spans="17:23">
      <c r="Q1095" s="99"/>
      <c r="T1095" s="97"/>
      <c r="V1095" s="22"/>
      <c r="W1095" s="97"/>
    </row>
    <row r="1096" spans="17:23">
      <c r="Q1096" s="99"/>
      <c r="T1096" s="97"/>
      <c r="V1096" s="22"/>
      <c r="W1096" s="97"/>
    </row>
    <row r="1097" spans="17:23">
      <c r="Q1097" s="99"/>
      <c r="T1097" s="97"/>
      <c r="V1097" s="22"/>
      <c r="W1097" s="97"/>
    </row>
    <row r="1098" spans="17:23">
      <c r="Q1098" s="99"/>
      <c r="T1098" s="97"/>
      <c r="V1098" s="22"/>
      <c r="W1098" s="97"/>
    </row>
    <row r="1099" spans="17:23">
      <c r="Q1099" s="99"/>
      <c r="T1099" s="97"/>
      <c r="V1099" s="22"/>
      <c r="W1099" s="97"/>
    </row>
    <row r="1100" spans="17:23">
      <c r="Q1100" s="99"/>
      <c r="T1100" s="97"/>
      <c r="V1100" s="22"/>
      <c r="W1100" s="97"/>
    </row>
    <row r="1101" spans="17:23">
      <c r="Q1101" s="99"/>
      <c r="T1101" s="97"/>
      <c r="V1101" s="22"/>
      <c r="W1101" s="97"/>
    </row>
    <row r="1102" spans="17:23">
      <c r="Q1102" s="99"/>
      <c r="T1102" s="97"/>
      <c r="V1102" s="22"/>
      <c r="W1102" s="97"/>
    </row>
    <row r="1103" spans="17:23">
      <c r="Q1103" s="99"/>
      <c r="T1103" s="97"/>
      <c r="V1103" s="22"/>
      <c r="W1103" s="97"/>
    </row>
    <row r="1104" spans="17:23">
      <c r="Q1104" s="99"/>
      <c r="T1104" s="97"/>
      <c r="V1104" s="22"/>
      <c r="W1104" s="97"/>
    </row>
    <row r="1105" spans="17:23">
      <c r="Q1105" s="99"/>
      <c r="T1105" s="97"/>
      <c r="V1105" s="22"/>
      <c r="W1105" s="97"/>
    </row>
    <row r="1106" spans="17:23">
      <c r="Q1106" s="99"/>
      <c r="T1106" s="97"/>
      <c r="V1106" s="22"/>
      <c r="W1106" s="97"/>
    </row>
    <row r="1107" spans="17:23">
      <c r="Q1107" s="99"/>
      <c r="T1107" s="97"/>
      <c r="V1107" s="22"/>
      <c r="W1107" s="97"/>
    </row>
    <row r="1108" spans="17:23">
      <c r="Q1108" s="99"/>
      <c r="T1108" s="97"/>
      <c r="V1108" s="22"/>
      <c r="W1108" s="97"/>
    </row>
    <row r="1109" spans="17:23">
      <c r="Q1109" s="99"/>
      <c r="T1109" s="97"/>
      <c r="V1109" s="22"/>
      <c r="W1109" s="97"/>
    </row>
    <row r="1110" spans="17:23">
      <c r="Q1110" s="99"/>
      <c r="T1110" s="97"/>
      <c r="V1110" s="22"/>
      <c r="W1110" s="97"/>
    </row>
    <row r="1111" spans="17:23">
      <c r="Q1111" s="99"/>
      <c r="T1111" s="97"/>
      <c r="V1111" s="22"/>
      <c r="W1111" s="97"/>
    </row>
    <row r="1112" spans="17:23">
      <c r="Q1112" s="99"/>
      <c r="T1112" s="97"/>
      <c r="V1112" s="22"/>
      <c r="W1112" s="97"/>
    </row>
    <row r="1113" spans="17:23">
      <c r="Q1113" s="99"/>
      <c r="T1113" s="97"/>
      <c r="V1113" s="22"/>
      <c r="W1113" s="97"/>
    </row>
    <row r="1114" spans="17:23">
      <c r="Q1114" s="99"/>
      <c r="T1114" s="97"/>
      <c r="V1114" s="22"/>
      <c r="W1114" s="97"/>
    </row>
    <row r="1115" spans="17:23">
      <c r="Q1115" s="99"/>
      <c r="T1115" s="97"/>
      <c r="V1115" s="22"/>
      <c r="W1115" s="97"/>
    </row>
    <row r="1116" spans="17:23">
      <c r="Q1116" s="99"/>
      <c r="T1116" s="97"/>
      <c r="V1116" s="22"/>
      <c r="W1116" s="97"/>
    </row>
    <row r="1117" spans="17:23">
      <c r="Q1117" s="99"/>
      <c r="T1117" s="97"/>
      <c r="V1117" s="22"/>
      <c r="W1117" s="97"/>
    </row>
    <row r="1118" spans="17:23">
      <c r="Q1118" s="99"/>
      <c r="T1118" s="97"/>
      <c r="V1118" s="22"/>
      <c r="W1118" s="97"/>
    </row>
    <row r="1119" spans="17:23">
      <c r="Q1119" s="99"/>
      <c r="T1119" s="97"/>
      <c r="V1119" s="22"/>
      <c r="W1119" s="97"/>
    </row>
    <row r="1120" spans="17:23">
      <c r="Q1120" s="99"/>
      <c r="T1120" s="97"/>
      <c r="V1120" s="22"/>
      <c r="W1120" s="97"/>
    </row>
    <row r="1121" spans="17:23">
      <c r="Q1121" s="99"/>
      <c r="T1121" s="97"/>
      <c r="V1121" s="22"/>
      <c r="W1121" s="97"/>
    </row>
    <row r="1122" spans="17:23">
      <c r="Q1122" s="99"/>
      <c r="T1122" s="97"/>
      <c r="V1122" s="22"/>
      <c r="W1122" s="97"/>
    </row>
    <row r="1123" spans="17:23">
      <c r="Q1123" s="99"/>
      <c r="T1123" s="97"/>
      <c r="V1123" s="22"/>
      <c r="W1123" s="97"/>
    </row>
    <row r="1124" spans="17:23">
      <c r="Q1124" s="99"/>
      <c r="T1124" s="97"/>
      <c r="V1124" s="22"/>
      <c r="W1124" s="97"/>
    </row>
    <row r="1125" spans="17:23">
      <c r="Q1125" s="99"/>
      <c r="T1125" s="97"/>
      <c r="V1125" s="22"/>
      <c r="W1125" s="97"/>
    </row>
    <row r="1126" spans="17:23">
      <c r="Q1126" s="99"/>
      <c r="T1126" s="97"/>
      <c r="V1126" s="22"/>
      <c r="W1126" s="97"/>
    </row>
    <row r="1127" spans="17:23">
      <c r="Q1127" s="99"/>
      <c r="T1127" s="97"/>
      <c r="V1127" s="22"/>
      <c r="W1127" s="97"/>
    </row>
    <row r="1128" spans="17:23">
      <c r="Q1128" s="99"/>
      <c r="T1128" s="97"/>
      <c r="V1128" s="22"/>
      <c r="W1128" s="97"/>
    </row>
    <row r="1129" spans="17:23">
      <c r="Q1129" s="99"/>
      <c r="T1129" s="97"/>
      <c r="V1129" s="22"/>
      <c r="W1129" s="97"/>
    </row>
    <row r="1130" spans="17:23">
      <c r="Q1130" s="99"/>
      <c r="T1130" s="97"/>
      <c r="V1130" s="22"/>
      <c r="W1130" s="97"/>
    </row>
    <row r="1131" spans="17:23">
      <c r="Q1131" s="99"/>
      <c r="T1131" s="97"/>
      <c r="V1131" s="22"/>
      <c r="W1131" s="97"/>
    </row>
    <row r="1132" spans="17:23">
      <c r="Q1132" s="99"/>
      <c r="T1132" s="97"/>
      <c r="V1132" s="22"/>
      <c r="W1132" s="97"/>
    </row>
    <row r="1133" spans="17:23">
      <c r="Q1133" s="99"/>
      <c r="T1133" s="97"/>
      <c r="V1133" s="22"/>
      <c r="W1133" s="97"/>
    </row>
    <row r="1134" spans="17:23">
      <c r="Q1134" s="99"/>
      <c r="T1134" s="97"/>
      <c r="V1134" s="22"/>
      <c r="W1134" s="97"/>
    </row>
    <row r="1135" spans="17:23">
      <c r="Q1135" s="99"/>
      <c r="T1135" s="97"/>
      <c r="V1135" s="22"/>
      <c r="W1135" s="97"/>
    </row>
    <row r="1136" spans="17:23">
      <c r="Q1136" s="99"/>
      <c r="T1136" s="97"/>
      <c r="V1136" s="22"/>
      <c r="W1136" s="97"/>
    </row>
    <row r="1137" spans="17:23">
      <c r="Q1137" s="99"/>
      <c r="T1137" s="97"/>
      <c r="V1137" s="22"/>
      <c r="W1137" s="97"/>
    </row>
    <row r="1138" spans="17:23">
      <c r="Q1138" s="99"/>
      <c r="T1138" s="97"/>
      <c r="V1138" s="22"/>
      <c r="W1138" s="97"/>
    </row>
    <row r="1139" spans="17:23">
      <c r="Q1139" s="99"/>
      <c r="T1139" s="97"/>
      <c r="V1139" s="22"/>
      <c r="W1139" s="97"/>
    </row>
    <row r="1140" spans="17:23">
      <c r="Q1140" s="99"/>
      <c r="T1140" s="97"/>
      <c r="V1140" s="22"/>
      <c r="W1140" s="97"/>
    </row>
    <row r="1141" spans="17:23">
      <c r="Q1141" s="99"/>
      <c r="T1141" s="97"/>
      <c r="V1141" s="22"/>
      <c r="W1141" s="97"/>
    </row>
    <row r="1142" spans="17:23">
      <c r="Q1142" s="99"/>
      <c r="T1142" s="97"/>
      <c r="V1142" s="22"/>
      <c r="W1142" s="97"/>
    </row>
    <row r="1143" spans="17:23">
      <c r="Q1143" s="99"/>
      <c r="T1143" s="97"/>
      <c r="V1143" s="22"/>
      <c r="W1143" s="97"/>
    </row>
    <row r="1144" spans="17:23">
      <c r="Q1144" s="99"/>
      <c r="T1144" s="97"/>
      <c r="V1144" s="22"/>
      <c r="W1144" s="97"/>
    </row>
    <row r="1145" spans="17:23">
      <c r="Q1145" s="99"/>
      <c r="T1145" s="97"/>
      <c r="V1145" s="22"/>
      <c r="W1145" s="97"/>
    </row>
    <row r="1146" spans="17:23">
      <c r="Q1146" s="99"/>
      <c r="T1146" s="97"/>
      <c r="V1146" s="22"/>
      <c r="W1146" s="97"/>
    </row>
    <row r="1147" spans="17:23">
      <c r="Q1147" s="99"/>
      <c r="T1147" s="97"/>
      <c r="V1147" s="22"/>
      <c r="W1147" s="97"/>
    </row>
    <row r="1148" spans="17:23">
      <c r="Q1148" s="99"/>
      <c r="T1148" s="97"/>
      <c r="V1148" s="22"/>
      <c r="W1148" s="97"/>
    </row>
    <row r="1149" spans="17:23">
      <c r="Q1149" s="99"/>
      <c r="T1149" s="97"/>
      <c r="V1149" s="22"/>
      <c r="W1149" s="97"/>
    </row>
    <row r="1150" spans="17:23">
      <c r="Q1150" s="99"/>
      <c r="T1150" s="97"/>
      <c r="V1150" s="22"/>
      <c r="W1150" s="97"/>
    </row>
    <row r="1151" spans="17:23">
      <c r="Q1151" s="99"/>
      <c r="T1151" s="97"/>
      <c r="V1151" s="22"/>
      <c r="W1151" s="97"/>
    </row>
    <row r="1152" spans="17:23">
      <c r="Q1152" s="99"/>
      <c r="T1152" s="97"/>
      <c r="V1152" s="22"/>
      <c r="W1152" s="97"/>
    </row>
    <row r="1153" spans="17:23">
      <c r="Q1153" s="99"/>
      <c r="T1153" s="97"/>
      <c r="V1153" s="22"/>
      <c r="W1153" s="97"/>
    </row>
    <row r="1154" spans="17:23">
      <c r="Q1154" s="99"/>
      <c r="T1154" s="97"/>
      <c r="V1154" s="22"/>
      <c r="W1154" s="97"/>
    </row>
    <row r="1155" spans="17:23">
      <c r="Q1155" s="99"/>
      <c r="T1155" s="97"/>
      <c r="V1155" s="22"/>
      <c r="W1155" s="97"/>
    </row>
    <row r="1156" spans="17:23">
      <c r="Q1156" s="99"/>
      <c r="T1156" s="97"/>
      <c r="V1156" s="22"/>
      <c r="W1156" s="97"/>
    </row>
    <row r="1157" spans="17:23">
      <c r="Q1157" s="99"/>
      <c r="T1157" s="97"/>
      <c r="V1157" s="22"/>
      <c r="W1157" s="97"/>
    </row>
    <row r="1158" spans="17:23">
      <c r="Q1158" s="99"/>
      <c r="T1158" s="97"/>
      <c r="V1158" s="22"/>
      <c r="W1158" s="97"/>
    </row>
    <row r="1159" spans="17:23">
      <c r="Q1159" s="99"/>
      <c r="T1159" s="97"/>
      <c r="V1159" s="22"/>
      <c r="W1159" s="97"/>
    </row>
    <row r="1160" spans="17:23">
      <c r="Q1160" s="99"/>
      <c r="T1160" s="97"/>
      <c r="V1160" s="22"/>
      <c r="W1160" s="97"/>
    </row>
    <row r="1161" spans="17:23">
      <c r="Q1161" s="99"/>
      <c r="T1161" s="97"/>
      <c r="V1161" s="22"/>
      <c r="W1161" s="97"/>
    </row>
    <row r="1162" spans="17:23">
      <c r="Q1162" s="99"/>
      <c r="T1162" s="97"/>
      <c r="V1162" s="22"/>
      <c r="W1162" s="97"/>
    </row>
    <row r="1163" spans="17:23">
      <c r="Q1163" s="99"/>
      <c r="T1163" s="97"/>
      <c r="V1163" s="22"/>
      <c r="W1163" s="97"/>
    </row>
    <row r="1164" spans="17:23">
      <c r="Q1164" s="99"/>
      <c r="T1164" s="97"/>
      <c r="V1164" s="22"/>
      <c r="W1164" s="97"/>
    </row>
    <row r="1165" spans="17:23">
      <c r="Q1165" s="99"/>
      <c r="T1165" s="97"/>
      <c r="V1165" s="22"/>
      <c r="W1165" s="97"/>
    </row>
    <row r="1166" spans="17:23">
      <c r="Q1166" s="99"/>
      <c r="T1166" s="97"/>
      <c r="V1166" s="22"/>
      <c r="W1166" s="97"/>
    </row>
    <row r="1167" spans="17:23">
      <c r="Q1167" s="99"/>
      <c r="T1167" s="97"/>
      <c r="V1167" s="22"/>
      <c r="W1167" s="97"/>
    </row>
    <row r="1168" spans="17:23">
      <c r="Q1168" s="99"/>
      <c r="T1168" s="97"/>
      <c r="V1168" s="22"/>
      <c r="W1168" s="97"/>
    </row>
    <row r="1169" spans="17:23">
      <c r="Q1169" s="99"/>
      <c r="T1169" s="97"/>
      <c r="V1169" s="22"/>
      <c r="W1169" s="97"/>
    </row>
    <row r="1170" spans="17:23">
      <c r="Q1170" s="99"/>
      <c r="T1170" s="97"/>
      <c r="V1170" s="22"/>
      <c r="W1170" s="97"/>
    </row>
    <row r="1171" spans="17:23">
      <c r="Q1171" s="99"/>
      <c r="T1171" s="97"/>
      <c r="V1171" s="22"/>
      <c r="W1171" s="97"/>
    </row>
    <row r="1172" spans="17:23">
      <c r="Q1172" s="99"/>
      <c r="T1172" s="97"/>
      <c r="V1172" s="22"/>
      <c r="W1172" s="97"/>
    </row>
    <row r="1173" spans="17:23">
      <c r="Q1173" s="99"/>
      <c r="T1173" s="97"/>
      <c r="V1173" s="22"/>
      <c r="W1173" s="97"/>
    </row>
    <row r="1174" spans="17:23">
      <c r="Q1174" s="99"/>
      <c r="T1174" s="97"/>
      <c r="V1174" s="22"/>
      <c r="W1174" s="97"/>
    </row>
    <row r="1175" spans="17:23">
      <c r="Q1175" s="99"/>
      <c r="T1175" s="97"/>
      <c r="V1175" s="22"/>
      <c r="W1175" s="97"/>
    </row>
    <row r="1176" spans="17:23">
      <c r="Q1176" s="99"/>
      <c r="T1176" s="97"/>
      <c r="V1176" s="22"/>
      <c r="W1176" s="97"/>
    </row>
    <row r="1177" spans="17:23">
      <c r="Q1177" s="99"/>
      <c r="T1177" s="97"/>
      <c r="V1177" s="22"/>
      <c r="W1177" s="97"/>
    </row>
    <row r="1178" spans="17:23">
      <c r="Q1178" s="99"/>
      <c r="T1178" s="97"/>
      <c r="V1178" s="22"/>
      <c r="W1178" s="97"/>
    </row>
    <row r="1179" spans="17:23">
      <c r="Q1179" s="99"/>
      <c r="T1179" s="97"/>
      <c r="V1179" s="22"/>
      <c r="W1179" s="97"/>
    </row>
    <row r="1180" spans="17:23">
      <c r="Q1180" s="99"/>
      <c r="T1180" s="97"/>
      <c r="V1180" s="22"/>
      <c r="W1180" s="97"/>
    </row>
    <row r="1181" spans="17:23">
      <c r="Q1181" s="99"/>
      <c r="T1181" s="97"/>
      <c r="V1181" s="22"/>
      <c r="W1181" s="97"/>
    </row>
    <row r="1182" spans="17:23">
      <c r="Q1182" s="99"/>
      <c r="T1182" s="97"/>
      <c r="V1182" s="22"/>
      <c r="W1182" s="97"/>
    </row>
    <row r="1183" spans="17:23">
      <c r="Q1183" s="99"/>
      <c r="T1183" s="97"/>
      <c r="V1183" s="22"/>
      <c r="W1183" s="97"/>
    </row>
    <row r="1184" spans="17:23">
      <c r="Q1184" s="99"/>
      <c r="T1184" s="97"/>
      <c r="V1184" s="22"/>
      <c r="W1184" s="97"/>
    </row>
    <row r="1185" spans="17:23">
      <c r="Q1185" s="99"/>
      <c r="T1185" s="97"/>
      <c r="V1185" s="22"/>
      <c r="W1185" s="97"/>
    </row>
    <row r="1186" spans="17:23">
      <c r="Q1186" s="99"/>
      <c r="T1186" s="97"/>
      <c r="V1186" s="22"/>
      <c r="W1186" s="97"/>
    </row>
    <row r="1187" spans="17:23">
      <c r="Q1187" s="99"/>
      <c r="T1187" s="97"/>
      <c r="V1187" s="22"/>
      <c r="W1187" s="97"/>
    </row>
    <row r="1188" spans="17:23">
      <c r="Q1188" s="99"/>
      <c r="T1188" s="97"/>
      <c r="V1188" s="22"/>
      <c r="W1188" s="97"/>
    </row>
    <row r="1189" spans="17:23">
      <c r="Q1189" s="99"/>
      <c r="T1189" s="97"/>
      <c r="V1189" s="22"/>
      <c r="W1189" s="97"/>
    </row>
    <row r="1190" spans="17:23">
      <c r="Q1190" s="99"/>
      <c r="T1190" s="97"/>
      <c r="V1190" s="22"/>
      <c r="W1190" s="97"/>
    </row>
    <row r="1191" spans="17:23">
      <c r="Q1191" s="99"/>
      <c r="T1191" s="97"/>
      <c r="V1191" s="22"/>
      <c r="W1191" s="97"/>
    </row>
    <row r="1192" spans="17:23">
      <c r="Q1192" s="99"/>
      <c r="T1192" s="97"/>
      <c r="V1192" s="22"/>
      <c r="W1192" s="97"/>
    </row>
    <row r="1193" spans="17:23">
      <c r="Q1193" s="99"/>
      <c r="T1193" s="97"/>
      <c r="V1193" s="22"/>
      <c r="W1193" s="97"/>
    </row>
    <row r="1194" spans="17:23">
      <c r="Q1194" s="99"/>
      <c r="T1194" s="97"/>
      <c r="V1194" s="22"/>
      <c r="W1194" s="97"/>
    </row>
    <row r="1195" spans="17:23">
      <c r="Q1195" s="99"/>
      <c r="T1195" s="97"/>
      <c r="V1195" s="22"/>
      <c r="W1195" s="97"/>
    </row>
    <row r="1196" spans="17:23">
      <c r="Q1196" s="99"/>
      <c r="T1196" s="97"/>
      <c r="V1196" s="22"/>
      <c r="W1196" s="97"/>
    </row>
    <row r="1197" spans="17:23">
      <c r="Q1197" s="99"/>
      <c r="T1197" s="97"/>
      <c r="V1197" s="22"/>
      <c r="W1197" s="97"/>
    </row>
    <row r="1198" spans="17:23">
      <c r="Q1198" s="99"/>
      <c r="T1198" s="97"/>
      <c r="V1198" s="22"/>
      <c r="W1198" s="97"/>
    </row>
    <row r="1199" spans="17:23">
      <c r="Q1199" s="99"/>
      <c r="T1199" s="97"/>
      <c r="V1199" s="22"/>
      <c r="W1199" s="97"/>
    </row>
    <row r="1200" spans="17:23">
      <c r="Q1200" s="99"/>
      <c r="T1200" s="97"/>
      <c r="V1200" s="22"/>
      <c r="W1200" s="97"/>
    </row>
    <row r="1201" spans="17:23">
      <c r="Q1201" s="99"/>
      <c r="T1201" s="97"/>
      <c r="V1201" s="22"/>
      <c r="W1201" s="97"/>
    </row>
    <row r="1202" spans="17:23">
      <c r="Q1202" s="99"/>
      <c r="T1202" s="97"/>
      <c r="V1202" s="22"/>
      <c r="W1202" s="97"/>
    </row>
    <row r="1203" spans="17:23">
      <c r="Q1203" s="99"/>
      <c r="T1203" s="97"/>
      <c r="V1203" s="22"/>
      <c r="W1203" s="97"/>
    </row>
    <row r="1204" spans="17:23">
      <c r="Q1204" s="99"/>
      <c r="T1204" s="97"/>
      <c r="V1204" s="22"/>
      <c r="W1204" s="97"/>
    </row>
    <row r="1205" spans="17:23">
      <c r="Q1205" s="99"/>
      <c r="T1205" s="97"/>
      <c r="V1205" s="22"/>
      <c r="W1205" s="97"/>
    </row>
    <row r="1206" spans="17:23">
      <c r="Q1206" s="99"/>
      <c r="T1206" s="97"/>
      <c r="V1206" s="22"/>
      <c r="W1206" s="97"/>
    </row>
    <row r="1207" spans="17:23">
      <c r="Q1207" s="99"/>
      <c r="T1207" s="97"/>
      <c r="V1207" s="22"/>
      <c r="W1207" s="97"/>
    </row>
    <row r="1208" spans="17:23">
      <c r="Q1208" s="99"/>
      <c r="T1208" s="97"/>
      <c r="V1208" s="22"/>
      <c r="W1208" s="97"/>
    </row>
    <row r="1209" spans="17:23">
      <c r="Q1209" s="99"/>
      <c r="T1209" s="97"/>
      <c r="V1209" s="22"/>
      <c r="W1209" s="97"/>
    </row>
    <row r="1210" spans="17:23">
      <c r="Q1210" s="99"/>
      <c r="T1210" s="97"/>
      <c r="V1210" s="22"/>
      <c r="W1210" s="97"/>
    </row>
    <row r="1211" spans="17:23">
      <c r="Q1211" s="99"/>
      <c r="T1211" s="97"/>
      <c r="V1211" s="22"/>
      <c r="W1211" s="97"/>
    </row>
    <row r="1212" spans="17:23">
      <c r="Q1212" s="99"/>
      <c r="T1212" s="97"/>
      <c r="V1212" s="22"/>
      <c r="W1212" s="97"/>
    </row>
    <row r="1213" spans="17:23">
      <c r="Q1213" s="99"/>
      <c r="T1213" s="97"/>
      <c r="V1213" s="22"/>
      <c r="W1213" s="97"/>
    </row>
    <row r="1214" spans="17:23">
      <c r="Q1214" s="99"/>
      <c r="T1214" s="97"/>
      <c r="V1214" s="22"/>
      <c r="W1214" s="97"/>
    </row>
    <row r="1215" spans="17:23">
      <c r="Q1215" s="99"/>
      <c r="T1215" s="97"/>
      <c r="V1215" s="22"/>
      <c r="W1215" s="97"/>
    </row>
    <row r="1216" spans="17:23">
      <c r="Q1216" s="99"/>
      <c r="T1216" s="97"/>
      <c r="V1216" s="22"/>
      <c r="W1216" s="97"/>
    </row>
    <row r="1217" spans="17:23">
      <c r="Q1217" s="99"/>
      <c r="T1217" s="97"/>
      <c r="V1217" s="22"/>
      <c r="W1217" s="97"/>
    </row>
    <row r="1218" spans="17:23">
      <c r="Q1218" s="99"/>
      <c r="T1218" s="97"/>
      <c r="V1218" s="22"/>
      <c r="W1218" s="97"/>
    </row>
    <row r="1219" spans="17:23">
      <c r="Q1219" s="99"/>
      <c r="T1219" s="97"/>
      <c r="V1219" s="22"/>
      <c r="W1219" s="97"/>
    </row>
    <row r="1220" spans="17:23">
      <c r="Q1220" s="99"/>
      <c r="T1220" s="97"/>
      <c r="V1220" s="22"/>
      <c r="W1220" s="97"/>
    </row>
    <row r="1221" spans="17:23">
      <c r="Q1221" s="99"/>
      <c r="T1221" s="97"/>
      <c r="V1221" s="22"/>
      <c r="W1221" s="97"/>
    </row>
    <row r="1222" spans="17:23">
      <c r="Q1222" s="99"/>
      <c r="T1222" s="97"/>
      <c r="V1222" s="22"/>
      <c r="W1222" s="97"/>
    </row>
    <row r="1223" spans="17:23">
      <c r="Q1223" s="99"/>
      <c r="T1223" s="97"/>
      <c r="V1223" s="22"/>
      <c r="W1223" s="97"/>
    </row>
    <row r="1224" spans="17:23">
      <c r="Q1224" s="99"/>
      <c r="T1224" s="97"/>
      <c r="V1224" s="22"/>
      <c r="W1224" s="97"/>
    </row>
    <row r="1225" spans="17:23">
      <c r="Q1225" s="99"/>
      <c r="T1225" s="97"/>
      <c r="V1225" s="22"/>
      <c r="W1225" s="97"/>
    </row>
    <row r="1226" spans="17:23">
      <c r="Q1226" s="99"/>
      <c r="T1226" s="97"/>
      <c r="V1226" s="22"/>
      <c r="W1226" s="97"/>
    </row>
    <row r="1227" spans="17:23">
      <c r="Q1227" s="99"/>
      <c r="T1227" s="97"/>
      <c r="V1227" s="22"/>
      <c r="W1227" s="97"/>
    </row>
    <row r="1228" spans="17:23">
      <c r="Q1228" s="99"/>
      <c r="T1228" s="97"/>
      <c r="V1228" s="22"/>
      <c r="W1228" s="97"/>
    </row>
    <row r="1229" spans="17:23">
      <c r="Q1229" s="99"/>
      <c r="T1229" s="97"/>
      <c r="V1229" s="22"/>
      <c r="W1229" s="97"/>
    </row>
    <row r="1230" spans="17:23">
      <c r="Q1230" s="99"/>
      <c r="T1230" s="97"/>
      <c r="V1230" s="22"/>
      <c r="W1230" s="97"/>
    </row>
    <row r="1231" spans="17:23">
      <c r="Q1231" s="99"/>
      <c r="T1231" s="97"/>
      <c r="V1231" s="22"/>
      <c r="W1231" s="97"/>
    </row>
    <row r="1232" spans="17:23">
      <c r="Q1232" s="99"/>
      <c r="T1232" s="97"/>
      <c r="V1232" s="22"/>
      <c r="W1232" s="97"/>
    </row>
    <row r="1233" spans="17:23">
      <c r="Q1233" s="99"/>
      <c r="T1233" s="97"/>
      <c r="V1233" s="22"/>
      <c r="W1233" s="97"/>
    </row>
    <row r="1234" spans="17:23">
      <c r="Q1234" s="99"/>
      <c r="T1234" s="97"/>
      <c r="V1234" s="22"/>
      <c r="W1234" s="97"/>
    </row>
    <row r="1235" spans="17:23">
      <c r="Q1235" s="99"/>
      <c r="T1235" s="97"/>
      <c r="V1235" s="22"/>
      <c r="W1235" s="97"/>
    </row>
    <row r="1236" spans="17:23">
      <c r="Q1236" s="99"/>
      <c r="T1236" s="97"/>
      <c r="V1236" s="22"/>
      <c r="W1236" s="97"/>
    </row>
    <row r="1237" spans="17:23">
      <c r="Q1237" s="99"/>
      <c r="T1237" s="97"/>
      <c r="V1237" s="22"/>
      <c r="W1237" s="97"/>
    </row>
    <row r="1238" spans="17:23">
      <c r="Q1238" s="99"/>
      <c r="T1238" s="97"/>
      <c r="V1238" s="22"/>
      <c r="W1238" s="97"/>
    </row>
    <row r="1239" spans="17:23">
      <c r="Q1239" s="99"/>
      <c r="T1239" s="97"/>
      <c r="V1239" s="22"/>
      <c r="W1239" s="97"/>
    </row>
    <row r="1240" spans="17:23">
      <c r="Q1240" s="99"/>
      <c r="T1240" s="97"/>
      <c r="V1240" s="22"/>
      <c r="W1240" s="97"/>
    </row>
    <row r="1241" spans="17:23">
      <c r="Q1241" s="99"/>
      <c r="T1241" s="97"/>
      <c r="V1241" s="22"/>
      <c r="W1241" s="97"/>
    </row>
    <row r="1242" spans="17:23">
      <c r="Q1242" s="99"/>
      <c r="T1242" s="97"/>
      <c r="V1242" s="22"/>
      <c r="W1242" s="97"/>
    </row>
    <row r="1243" spans="17:23">
      <c r="Q1243" s="99"/>
      <c r="T1243" s="97"/>
      <c r="V1243" s="22"/>
      <c r="W1243" s="97"/>
    </row>
    <row r="1244" spans="17:23">
      <c r="Q1244" s="99"/>
      <c r="T1244" s="97"/>
      <c r="V1244" s="22"/>
      <c r="W1244" s="97"/>
    </row>
    <row r="1245" spans="17:23">
      <c r="Q1245" s="99"/>
      <c r="T1245" s="97"/>
      <c r="V1245" s="22"/>
      <c r="W1245" s="97"/>
    </row>
    <row r="1246" spans="17:23">
      <c r="Q1246" s="99"/>
      <c r="T1246" s="97"/>
      <c r="V1246" s="22"/>
      <c r="W1246" s="97"/>
    </row>
    <row r="1247" spans="17:23">
      <c r="Q1247" s="99"/>
      <c r="T1247" s="97"/>
      <c r="V1247" s="22"/>
      <c r="W1247" s="97"/>
    </row>
    <row r="1248" spans="17:23">
      <c r="Q1248" s="99"/>
      <c r="T1248" s="97"/>
      <c r="V1248" s="22"/>
      <c r="W1248" s="97"/>
    </row>
    <row r="1249" spans="17:23">
      <c r="Q1249" s="99"/>
      <c r="T1249" s="97"/>
      <c r="V1249" s="22"/>
      <c r="W1249" s="97"/>
    </row>
    <row r="1250" spans="17:23">
      <c r="Q1250" s="99"/>
      <c r="T1250" s="97"/>
      <c r="V1250" s="22"/>
      <c r="W1250" s="97"/>
    </row>
    <row r="1251" spans="17:23">
      <c r="Q1251" s="99"/>
      <c r="T1251" s="97"/>
      <c r="V1251" s="22"/>
      <c r="W1251" s="97"/>
    </row>
    <row r="1252" spans="17:23">
      <c r="Q1252" s="99"/>
      <c r="T1252" s="97"/>
      <c r="V1252" s="22"/>
      <c r="W1252" s="97"/>
    </row>
    <row r="1253" spans="17:23">
      <c r="Q1253" s="99"/>
      <c r="T1253" s="97"/>
      <c r="V1253" s="22"/>
      <c r="W1253" s="97"/>
    </row>
    <row r="1254" spans="17:23">
      <c r="Q1254" s="99"/>
      <c r="T1254" s="97"/>
      <c r="V1254" s="22"/>
      <c r="W1254" s="97"/>
    </row>
    <row r="1255" spans="17:23">
      <c r="Q1255" s="99"/>
      <c r="T1255" s="97"/>
      <c r="V1255" s="22"/>
      <c r="W1255" s="97"/>
    </row>
    <row r="1256" spans="17:23">
      <c r="Q1256" s="99"/>
      <c r="T1256" s="97"/>
      <c r="V1256" s="22"/>
      <c r="W1256" s="97"/>
    </row>
    <row r="1257" spans="17:23">
      <c r="Q1257" s="99"/>
      <c r="T1257" s="97"/>
      <c r="V1257" s="22"/>
      <c r="W1257" s="97"/>
    </row>
    <row r="1258" spans="17:23">
      <c r="Q1258" s="99"/>
      <c r="T1258" s="97"/>
      <c r="V1258" s="22"/>
      <c r="W1258" s="97"/>
    </row>
    <row r="1259" spans="17:23">
      <c r="Q1259" s="99"/>
      <c r="T1259" s="97"/>
      <c r="V1259" s="22"/>
      <c r="W1259" s="97"/>
    </row>
    <row r="1260" spans="17:23">
      <c r="Q1260" s="99"/>
      <c r="T1260" s="97"/>
      <c r="V1260" s="22"/>
      <c r="W1260" s="97"/>
    </row>
    <row r="1261" spans="17:23">
      <c r="Q1261" s="99"/>
      <c r="T1261" s="97"/>
      <c r="V1261" s="22"/>
      <c r="W1261" s="97"/>
    </row>
    <row r="1262" spans="17:23">
      <c r="Q1262" s="99"/>
      <c r="T1262" s="97"/>
      <c r="V1262" s="22"/>
      <c r="W1262" s="97"/>
    </row>
    <row r="1263" spans="17:23">
      <c r="Q1263" s="99"/>
      <c r="T1263" s="97"/>
      <c r="V1263" s="22"/>
      <c r="W1263" s="97"/>
    </row>
    <row r="1264" spans="17:23">
      <c r="Q1264" s="99"/>
      <c r="T1264" s="97"/>
      <c r="V1264" s="22"/>
      <c r="W1264" s="97"/>
    </row>
    <row r="1265" spans="17:23">
      <c r="Q1265" s="99"/>
      <c r="T1265" s="97"/>
      <c r="V1265" s="22"/>
      <c r="W1265" s="97"/>
    </row>
    <row r="1266" spans="17:23">
      <c r="Q1266" s="99"/>
      <c r="T1266" s="97"/>
      <c r="V1266" s="22"/>
      <c r="W1266" s="97"/>
    </row>
    <row r="1267" spans="17:23">
      <c r="Q1267" s="99"/>
      <c r="T1267" s="97"/>
      <c r="V1267" s="22"/>
      <c r="W1267" s="97"/>
    </row>
    <row r="1268" spans="17:23">
      <c r="Q1268" s="99"/>
      <c r="T1268" s="97"/>
      <c r="V1268" s="22"/>
      <c r="W1268" s="97"/>
    </row>
    <row r="1269" spans="17:23">
      <c r="Q1269" s="99"/>
      <c r="T1269" s="97"/>
      <c r="V1269" s="22"/>
      <c r="W1269" s="97"/>
    </row>
    <row r="1270" spans="17:23">
      <c r="Q1270" s="99"/>
      <c r="T1270" s="97"/>
      <c r="V1270" s="22"/>
      <c r="W1270" s="97"/>
    </row>
    <row r="1271" spans="17:23">
      <c r="Q1271" s="99"/>
      <c r="T1271" s="97"/>
      <c r="V1271" s="22"/>
      <c r="W1271" s="97"/>
    </row>
    <row r="1272" spans="17:23">
      <c r="Q1272" s="99"/>
      <c r="T1272" s="97"/>
      <c r="V1272" s="22"/>
      <c r="W1272" s="97"/>
    </row>
    <row r="1273" spans="17:23">
      <c r="Q1273" s="99"/>
      <c r="T1273" s="97"/>
      <c r="V1273" s="22"/>
      <c r="W1273" s="97"/>
    </row>
    <row r="1274" spans="17:23">
      <c r="Q1274" s="99"/>
      <c r="T1274" s="97"/>
      <c r="V1274" s="22"/>
      <c r="W1274" s="97"/>
    </row>
    <row r="1275" spans="17:23">
      <c r="Q1275" s="99"/>
      <c r="T1275" s="97"/>
      <c r="V1275" s="22"/>
      <c r="W1275" s="97"/>
    </row>
    <row r="1276" spans="17:23">
      <c r="Q1276" s="99"/>
      <c r="T1276" s="97"/>
      <c r="V1276" s="22"/>
      <c r="W1276" s="97"/>
    </row>
    <row r="1277" spans="17:23">
      <c r="Q1277" s="99"/>
      <c r="T1277" s="97"/>
      <c r="V1277" s="22"/>
      <c r="W1277" s="97"/>
    </row>
    <row r="1278" spans="17:23">
      <c r="Q1278" s="99"/>
      <c r="T1278" s="97"/>
      <c r="V1278" s="22"/>
      <c r="W1278" s="97"/>
    </row>
    <row r="1279" spans="17:23">
      <c r="Q1279" s="99"/>
      <c r="T1279" s="97"/>
      <c r="V1279" s="22"/>
      <c r="W1279" s="97"/>
    </row>
    <row r="1280" spans="17:23">
      <c r="Q1280" s="99"/>
      <c r="T1280" s="97"/>
      <c r="V1280" s="22"/>
      <c r="W1280" s="97"/>
    </row>
    <row r="1281" spans="17:23">
      <c r="Q1281" s="99"/>
      <c r="T1281" s="97"/>
      <c r="V1281" s="22"/>
      <c r="W1281" s="97"/>
    </row>
    <row r="1282" spans="17:23">
      <c r="Q1282" s="99"/>
      <c r="T1282" s="97"/>
      <c r="V1282" s="22"/>
      <c r="W1282" s="97"/>
    </row>
    <row r="1283" spans="17:23">
      <c r="Q1283" s="99"/>
      <c r="T1283" s="97"/>
      <c r="V1283" s="22"/>
      <c r="W1283" s="97"/>
    </row>
    <row r="1284" spans="17:23">
      <c r="Q1284" s="99"/>
      <c r="T1284" s="97"/>
      <c r="V1284" s="22"/>
      <c r="W1284" s="97"/>
    </row>
    <row r="1285" spans="17:23">
      <c r="Q1285" s="99"/>
      <c r="T1285" s="97"/>
      <c r="V1285" s="22"/>
      <c r="W1285" s="97"/>
    </row>
    <row r="1286" spans="17:23">
      <c r="Q1286" s="99"/>
      <c r="T1286" s="97"/>
      <c r="V1286" s="22"/>
      <c r="W1286" s="97"/>
    </row>
    <row r="1287" spans="17:23">
      <c r="Q1287" s="99"/>
      <c r="T1287" s="97"/>
      <c r="V1287" s="22"/>
      <c r="W1287" s="97"/>
    </row>
    <row r="1288" spans="17:23">
      <c r="Q1288" s="99"/>
      <c r="T1288" s="97"/>
      <c r="V1288" s="22"/>
      <c r="W1288" s="97"/>
    </row>
    <row r="1289" spans="17:23">
      <c r="Q1289" s="99"/>
      <c r="T1289" s="97"/>
      <c r="V1289" s="22"/>
      <c r="W1289" s="97"/>
    </row>
    <row r="1290" spans="17:23">
      <c r="Q1290" s="99"/>
      <c r="T1290" s="97"/>
      <c r="V1290" s="22"/>
      <c r="W1290" s="97"/>
    </row>
    <row r="1291" spans="17:23">
      <c r="Q1291" s="99"/>
      <c r="T1291" s="97"/>
      <c r="V1291" s="22"/>
      <c r="W1291" s="97"/>
    </row>
    <row r="1292" spans="17:23">
      <c r="Q1292" s="99"/>
      <c r="T1292" s="97"/>
      <c r="V1292" s="22"/>
      <c r="W1292" s="97"/>
    </row>
    <row r="1293" spans="17:23">
      <c r="Q1293" s="99"/>
      <c r="T1293" s="97"/>
      <c r="V1293" s="22"/>
      <c r="W1293" s="97"/>
    </row>
    <row r="1294" spans="17:23">
      <c r="Q1294" s="99"/>
      <c r="T1294" s="97"/>
      <c r="V1294" s="22"/>
      <c r="W1294" s="97"/>
    </row>
    <row r="1295" spans="17:23">
      <c r="Q1295" s="99"/>
      <c r="T1295" s="97"/>
      <c r="V1295" s="22"/>
      <c r="W1295" s="97"/>
    </row>
    <row r="1296" spans="17:23">
      <c r="Q1296" s="99"/>
      <c r="T1296" s="97"/>
      <c r="V1296" s="22"/>
      <c r="W1296" s="97"/>
    </row>
    <row r="1297" spans="17:23">
      <c r="Q1297" s="99"/>
      <c r="T1297" s="97"/>
      <c r="V1297" s="22"/>
      <c r="W1297" s="97"/>
    </row>
    <row r="1298" spans="17:23">
      <c r="Q1298" s="99"/>
      <c r="T1298" s="97"/>
      <c r="V1298" s="22"/>
      <c r="W1298" s="97"/>
    </row>
    <row r="1299" spans="17:23">
      <c r="Q1299" s="99"/>
      <c r="T1299" s="97"/>
      <c r="V1299" s="22"/>
      <c r="W1299" s="97"/>
    </row>
    <row r="1300" spans="17:23">
      <c r="Q1300" s="99"/>
      <c r="T1300" s="97"/>
      <c r="V1300" s="22"/>
      <c r="W1300" s="97"/>
    </row>
    <row r="1301" spans="17:23">
      <c r="Q1301" s="99"/>
      <c r="T1301" s="97"/>
      <c r="V1301" s="22"/>
      <c r="W1301" s="97"/>
    </row>
    <row r="1302" spans="17:23">
      <c r="Q1302" s="99"/>
      <c r="T1302" s="97"/>
      <c r="V1302" s="22"/>
      <c r="W1302" s="97"/>
    </row>
    <row r="1303" spans="17:23">
      <c r="Q1303" s="99"/>
      <c r="T1303" s="97"/>
      <c r="V1303" s="22"/>
      <c r="W1303" s="97"/>
    </row>
    <row r="1304" spans="17:23">
      <c r="Q1304" s="99"/>
      <c r="T1304" s="97"/>
      <c r="V1304" s="22"/>
      <c r="W1304" s="97"/>
    </row>
    <row r="1305" spans="17:23">
      <c r="Q1305" s="99"/>
      <c r="T1305" s="97"/>
      <c r="V1305" s="22"/>
      <c r="W1305" s="97"/>
    </row>
    <row r="1306" spans="17:23">
      <c r="Q1306" s="99"/>
      <c r="T1306" s="97"/>
      <c r="V1306" s="22"/>
      <c r="W1306" s="97"/>
    </row>
    <row r="1307" spans="17:23">
      <c r="Q1307" s="99"/>
      <c r="T1307" s="97"/>
      <c r="V1307" s="22"/>
      <c r="W1307" s="97"/>
    </row>
    <row r="1308" spans="17:23">
      <c r="Q1308" s="99"/>
      <c r="T1308" s="97"/>
      <c r="V1308" s="22"/>
      <c r="W1308" s="97"/>
    </row>
    <row r="1309" spans="17:23">
      <c r="Q1309" s="99"/>
      <c r="T1309" s="97"/>
      <c r="V1309" s="22"/>
      <c r="W1309" s="97"/>
    </row>
    <row r="1310" spans="17:23">
      <c r="Q1310" s="99"/>
      <c r="T1310" s="97"/>
      <c r="V1310" s="22"/>
      <c r="W1310" s="97"/>
    </row>
    <row r="1311" spans="17:23">
      <c r="Q1311" s="99"/>
      <c r="T1311" s="97"/>
      <c r="V1311" s="22"/>
      <c r="W1311" s="97"/>
    </row>
    <row r="1312" spans="17:23">
      <c r="Q1312" s="99"/>
      <c r="T1312" s="97"/>
      <c r="V1312" s="22"/>
      <c r="W1312" s="97"/>
    </row>
    <row r="1313" spans="17:23">
      <c r="Q1313" s="99"/>
      <c r="T1313" s="97"/>
      <c r="V1313" s="22"/>
      <c r="W1313" s="97"/>
    </row>
    <row r="1314" spans="17:23">
      <c r="Q1314" s="99"/>
      <c r="T1314" s="97"/>
      <c r="V1314" s="22"/>
      <c r="W1314" s="97"/>
    </row>
    <row r="1315" spans="17:23">
      <c r="Q1315" s="99"/>
      <c r="T1315" s="97"/>
      <c r="V1315" s="22"/>
      <c r="W1315" s="97"/>
    </row>
    <row r="1316" spans="17:23">
      <c r="Q1316" s="99"/>
      <c r="T1316" s="97"/>
      <c r="V1316" s="22"/>
      <c r="W1316" s="97"/>
    </row>
    <row r="1317" spans="17:23">
      <c r="Q1317" s="99"/>
      <c r="T1317" s="97"/>
      <c r="V1317" s="22"/>
      <c r="W1317" s="97"/>
    </row>
    <row r="1318" spans="17:23">
      <c r="Q1318" s="99"/>
      <c r="T1318" s="97"/>
      <c r="V1318" s="22"/>
      <c r="W1318" s="97"/>
    </row>
    <row r="1319" spans="17:23">
      <c r="Q1319" s="99"/>
      <c r="T1319" s="97"/>
      <c r="V1319" s="22"/>
      <c r="W1319" s="97"/>
    </row>
    <row r="1320" spans="17:23">
      <c r="Q1320" s="99"/>
      <c r="T1320" s="97"/>
      <c r="V1320" s="22"/>
      <c r="W1320" s="97"/>
    </row>
    <row r="1321" spans="17:23">
      <c r="Q1321" s="99"/>
      <c r="T1321" s="97"/>
      <c r="V1321" s="22"/>
      <c r="W1321" s="97"/>
    </row>
    <row r="1322" spans="17:23">
      <c r="Q1322" s="99"/>
      <c r="T1322" s="97"/>
      <c r="V1322" s="22"/>
      <c r="W1322" s="97"/>
    </row>
    <row r="1323" spans="17:23">
      <c r="Q1323" s="99"/>
      <c r="T1323" s="97"/>
      <c r="V1323" s="22"/>
      <c r="W1323" s="97"/>
    </row>
    <row r="1324" spans="17:23">
      <c r="Q1324" s="99"/>
      <c r="T1324" s="97"/>
      <c r="V1324" s="22"/>
      <c r="W1324" s="97"/>
    </row>
    <row r="1325" spans="17:23">
      <c r="Q1325" s="99"/>
      <c r="T1325" s="97"/>
      <c r="V1325" s="22"/>
      <c r="W1325" s="97"/>
    </row>
    <row r="1326" spans="17:23">
      <c r="Q1326" s="99"/>
      <c r="T1326" s="97"/>
      <c r="V1326" s="22"/>
      <c r="W1326" s="97"/>
    </row>
    <row r="1327" spans="17:23">
      <c r="Q1327" s="99"/>
      <c r="T1327" s="97"/>
      <c r="V1327" s="22"/>
      <c r="W1327" s="97"/>
    </row>
    <row r="1328" spans="17:23">
      <c r="Q1328" s="99"/>
      <c r="T1328" s="97"/>
      <c r="V1328" s="22"/>
      <c r="W1328" s="97"/>
    </row>
    <row r="1329" spans="17:23">
      <c r="Q1329" s="99"/>
      <c r="T1329" s="97"/>
      <c r="V1329" s="22"/>
      <c r="W1329" s="97"/>
    </row>
    <row r="1330" spans="17:23">
      <c r="Q1330" s="99"/>
      <c r="T1330" s="97"/>
      <c r="V1330" s="22"/>
      <c r="W1330" s="97"/>
    </row>
    <row r="1331" spans="17:23">
      <c r="Q1331" s="99"/>
      <c r="T1331" s="97"/>
      <c r="V1331" s="22"/>
      <c r="W1331" s="97"/>
    </row>
    <row r="1332" spans="17:23">
      <c r="Q1332" s="99"/>
      <c r="T1332" s="97"/>
      <c r="V1332" s="22"/>
      <c r="W1332" s="97"/>
    </row>
    <row r="1333" spans="17:23">
      <c r="Q1333" s="99"/>
      <c r="T1333" s="97"/>
      <c r="V1333" s="22"/>
      <c r="W1333" s="97"/>
    </row>
    <row r="1334" spans="17:23">
      <c r="Q1334" s="99"/>
      <c r="T1334" s="97"/>
      <c r="V1334" s="22"/>
      <c r="W1334" s="97"/>
    </row>
    <row r="1335" spans="17:23">
      <c r="Q1335" s="99"/>
      <c r="T1335" s="97"/>
      <c r="V1335" s="22"/>
      <c r="W1335" s="97"/>
    </row>
    <row r="1336" spans="17:23">
      <c r="Q1336" s="99"/>
      <c r="T1336" s="97"/>
      <c r="V1336" s="22"/>
      <c r="W1336" s="97"/>
    </row>
    <row r="1337" spans="17:23">
      <c r="Q1337" s="99"/>
      <c r="T1337" s="97"/>
      <c r="V1337" s="22"/>
      <c r="W1337" s="97"/>
    </row>
    <row r="1338" spans="17:23">
      <c r="Q1338" s="99"/>
      <c r="T1338" s="97"/>
      <c r="V1338" s="22"/>
      <c r="W1338" s="97"/>
    </row>
    <row r="1339" spans="17:23">
      <c r="Q1339" s="99"/>
      <c r="T1339" s="97"/>
      <c r="V1339" s="22"/>
      <c r="W1339" s="97"/>
    </row>
    <row r="1340" spans="17:23">
      <c r="Q1340" s="99"/>
      <c r="T1340" s="97"/>
      <c r="V1340" s="22"/>
      <c r="W1340" s="97"/>
    </row>
    <row r="1341" spans="17:23">
      <c r="Q1341" s="99"/>
      <c r="T1341" s="97"/>
      <c r="V1341" s="22"/>
      <c r="W1341" s="97"/>
    </row>
    <row r="1342" spans="17:23">
      <c r="Q1342" s="99"/>
      <c r="T1342" s="97"/>
      <c r="V1342" s="22"/>
      <c r="W1342" s="97"/>
    </row>
    <row r="1343" spans="17:23">
      <c r="Q1343" s="99"/>
      <c r="T1343" s="97"/>
      <c r="V1343" s="22"/>
      <c r="W1343" s="97"/>
    </row>
    <row r="1344" spans="17:23">
      <c r="Q1344" s="99"/>
      <c r="T1344" s="97"/>
      <c r="V1344" s="22"/>
      <c r="W1344" s="97"/>
    </row>
    <row r="1345" spans="17:23">
      <c r="Q1345" s="99"/>
      <c r="T1345" s="97"/>
      <c r="V1345" s="22"/>
      <c r="W1345" s="97"/>
    </row>
    <row r="1346" spans="17:23">
      <c r="Q1346" s="99"/>
      <c r="T1346" s="97"/>
      <c r="V1346" s="22"/>
      <c r="W1346" s="97"/>
    </row>
    <row r="1347" spans="17:23">
      <c r="Q1347" s="99"/>
      <c r="T1347" s="97"/>
      <c r="V1347" s="22"/>
      <c r="W1347" s="97"/>
    </row>
    <row r="1348" spans="17:23">
      <c r="Q1348" s="99"/>
      <c r="T1348" s="97"/>
      <c r="V1348" s="22"/>
      <c r="W1348" s="97"/>
    </row>
    <row r="1349" spans="17:23">
      <c r="Q1349" s="99"/>
      <c r="T1349" s="97"/>
      <c r="V1349" s="22"/>
      <c r="W1349" s="97"/>
    </row>
    <row r="1350" spans="17:23">
      <c r="Q1350" s="99"/>
      <c r="T1350" s="97"/>
      <c r="V1350" s="22"/>
      <c r="W1350" s="97"/>
    </row>
    <row r="1351" spans="17:23">
      <c r="Q1351" s="99"/>
      <c r="T1351" s="97"/>
      <c r="V1351" s="22"/>
      <c r="W1351" s="97"/>
    </row>
    <row r="1352" spans="17:23">
      <c r="Q1352" s="99"/>
      <c r="T1352" s="97"/>
      <c r="V1352" s="22"/>
      <c r="W1352" s="97"/>
    </row>
    <row r="1353" spans="17:23">
      <c r="Q1353" s="99"/>
      <c r="T1353" s="97"/>
      <c r="V1353" s="22"/>
      <c r="W1353" s="97"/>
    </row>
    <row r="1354" spans="17:23">
      <c r="Q1354" s="99"/>
      <c r="T1354" s="97"/>
      <c r="V1354" s="22"/>
      <c r="W1354" s="97"/>
    </row>
    <row r="1355" spans="17:23">
      <c r="Q1355" s="99"/>
      <c r="T1355" s="97"/>
      <c r="V1355" s="22"/>
      <c r="W1355" s="97"/>
    </row>
    <row r="1356" spans="17:23">
      <c r="Q1356" s="99"/>
      <c r="T1356" s="97"/>
      <c r="V1356" s="22"/>
      <c r="W1356" s="97"/>
    </row>
    <row r="1357" spans="17:23">
      <c r="Q1357" s="99"/>
      <c r="T1357" s="97"/>
      <c r="V1357" s="22"/>
      <c r="W1357" s="97"/>
    </row>
    <row r="1358" spans="17:23">
      <c r="Q1358" s="99"/>
      <c r="T1358" s="97"/>
      <c r="V1358" s="22"/>
      <c r="W1358" s="97"/>
    </row>
    <row r="1359" spans="17:23">
      <c r="Q1359" s="99"/>
      <c r="T1359" s="97"/>
      <c r="V1359" s="22"/>
      <c r="W1359" s="97"/>
    </row>
    <row r="1360" spans="17:23">
      <c r="Q1360" s="99"/>
      <c r="T1360" s="97"/>
      <c r="V1360" s="22"/>
      <c r="W1360" s="97"/>
    </row>
    <row r="1361" spans="17:23">
      <c r="Q1361" s="99"/>
      <c r="T1361" s="97"/>
      <c r="V1361" s="22"/>
      <c r="W1361" s="97"/>
    </row>
    <row r="1362" spans="17:23">
      <c r="Q1362" s="99"/>
      <c r="T1362" s="97"/>
      <c r="V1362" s="22"/>
      <c r="W1362" s="97"/>
    </row>
    <row r="1363" spans="17:23">
      <c r="Q1363" s="99"/>
      <c r="T1363" s="97"/>
      <c r="V1363" s="22"/>
      <c r="W1363" s="97"/>
    </row>
    <row r="1364" spans="17:23">
      <c r="Q1364" s="99"/>
      <c r="T1364" s="97"/>
      <c r="V1364" s="22"/>
      <c r="W1364" s="97"/>
    </row>
    <row r="1365" spans="17:23">
      <c r="Q1365" s="99"/>
      <c r="T1365" s="97"/>
      <c r="V1365" s="22"/>
      <c r="W1365" s="97"/>
    </row>
    <row r="1366" spans="17:23">
      <c r="Q1366" s="99"/>
      <c r="T1366" s="97"/>
      <c r="V1366" s="22"/>
      <c r="W1366" s="97"/>
    </row>
    <row r="1367" spans="17:23">
      <c r="Q1367" s="99"/>
      <c r="T1367" s="97"/>
      <c r="V1367" s="22"/>
      <c r="W1367" s="97"/>
    </row>
    <row r="1368" spans="17:23">
      <c r="Q1368" s="99"/>
      <c r="T1368" s="97"/>
      <c r="V1368" s="22"/>
      <c r="W1368" s="97"/>
    </row>
    <row r="1369" spans="17:23">
      <c r="Q1369" s="99"/>
      <c r="T1369" s="97"/>
      <c r="V1369" s="22"/>
      <c r="W1369" s="97"/>
    </row>
    <row r="1370" spans="17:23">
      <c r="Q1370" s="99"/>
      <c r="T1370" s="97"/>
      <c r="V1370" s="22"/>
      <c r="W1370" s="97"/>
    </row>
    <row r="1371" spans="17:23">
      <c r="Q1371" s="99"/>
      <c r="T1371" s="97"/>
      <c r="V1371" s="22"/>
      <c r="W1371" s="97"/>
    </row>
    <row r="1372" spans="17:23">
      <c r="Q1372" s="99"/>
      <c r="T1372" s="97"/>
      <c r="V1372" s="22"/>
      <c r="W1372" s="97"/>
    </row>
    <row r="1373" spans="17:23">
      <c r="Q1373" s="99"/>
      <c r="T1373" s="97"/>
      <c r="V1373" s="22"/>
      <c r="W1373" s="97"/>
    </row>
    <row r="1374" spans="17:23">
      <c r="Q1374" s="99"/>
      <c r="T1374" s="97"/>
      <c r="V1374" s="22"/>
      <c r="W1374" s="97"/>
    </row>
    <row r="1375" spans="17:23">
      <c r="Q1375" s="99"/>
      <c r="T1375" s="97"/>
      <c r="V1375" s="22"/>
      <c r="W1375" s="97"/>
    </row>
    <row r="1376" spans="17:23">
      <c r="Q1376" s="99"/>
      <c r="T1376" s="97"/>
      <c r="V1376" s="22"/>
      <c r="W1376" s="97"/>
    </row>
    <row r="1377" spans="17:23">
      <c r="Q1377" s="99"/>
      <c r="T1377" s="97"/>
      <c r="V1377" s="22"/>
      <c r="W1377" s="97"/>
    </row>
    <row r="1378" spans="17:23">
      <c r="Q1378" s="99"/>
      <c r="T1378" s="97"/>
      <c r="V1378" s="22"/>
      <c r="W1378" s="97"/>
    </row>
    <row r="1379" spans="17:23">
      <c r="Q1379" s="99"/>
      <c r="T1379" s="97"/>
      <c r="V1379" s="22"/>
      <c r="W1379" s="97"/>
    </row>
    <row r="1380" spans="17:23">
      <c r="Q1380" s="99"/>
      <c r="T1380" s="97"/>
      <c r="V1380" s="22"/>
      <c r="W1380" s="97"/>
    </row>
    <row r="1381" spans="17:23">
      <c r="Q1381" s="99"/>
      <c r="T1381" s="97"/>
      <c r="V1381" s="22"/>
      <c r="W1381" s="97"/>
    </row>
    <row r="1382" spans="17:23">
      <c r="Q1382" s="99"/>
      <c r="T1382" s="97"/>
      <c r="V1382" s="22"/>
      <c r="W1382" s="97"/>
    </row>
    <row r="1383" spans="17:23">
      <c r="Q1383" s="99"/>
      <c r="T1383" s="97"/>
      <c r="V1383" s="22"/>
      <c r="W1383" s="97"/>
    </row>
    <row r="1384" spans="17:23">
      <c r="Q1384" s="99"/>
      <c r="T1384" s="97"/>
      <c r="V1384" s="22"/>
      <c r="W1384" s="97"/>
    </row>
    <row r="1385" spans="17:23">
      <c r="Q1385" s="99"/>
      <c r="T1385" s="97"/>
      <c r="V1385" s="22"/>
      <c r="W1385" s="97"/>
    </row>
    <row r="1386" spans="17:23">
      <c r="Q1386" s="99"/>
      <c r="T1386" s="97"/>
      <c r="V1386" s="22"/>
      <c r="W1386" s="97"/>
    </row>
    <row r="1387" spans="17:23">
      <c r="Q1387" s="99"/>
      <c r="T1387" s="97"/>
      <c r="V1387" s="22"/>
      <c r="W1387" s="97"/>
    </row>
    <row r="1388" spans="17:23">
      <c r="Q1388" s="99"/>
      <c r="T1388" s="97"/>
      <c r="V1388" s="22"/>
      <c r="W1388" s="97"/>
    </row>
    <row r="1389" spans="17:23">
      <c r="Q1389" s="99"/>
      <c r="T1389" s="97"/>
      <c r="V1389" s="22"/>
      <c r="W1389" s="97"/>
    </row>
    <row r="1390" spans="17:23">
      <c r="Q1390" s="99"/>
      <c r="T1390" s="97"/>
      <c r="V1390" s="22"/>
      <c r="W1390" s="97"/>
    </row>
    <row r="1391" spans="17:23">
      <c r="Q1391" s="99"/>
      <c r="T1391" s="97"/>
      <c r="V1391" s="22"/>
      <c r="W1391" s="97"/>
    </row>
    <row r="1392" spans="17:23">
      <c r="Q1392" s="99"/>
      <c r="T1392" s="97"/>
      <c r="V1392" s="22"/>
      <c r="W1392" s="97"/>
    </row>
    <row r="1393" spans="17:23">
      <c r="Q1393" s="99"/>
      <c r="T1393" s="97"/>
      <c r="V1393" s="22"/>
      <c r="W1393" s="97"/>
    </row>
    <row r="1394" spans="17:23">
      <c r="Q1394" s="99"/>
      <c r="T1394" s="97"/>
      <c r="V1394" s="22"/>
      <c r="W1394" s="97"/>
    </row>
    <row r="1395" spans="17:23">
      <c r="Q1395" s="99"/>
      <c r="T1395" s="97"/>
      <c r="V1395" s="22"/>
      <c r="W1395" s="97"/>
    </row>
    <row r="1396" spans="17:23">
      <c r="Q1396" s="99"/>
      <c r="T1396" s="97"/>
      <c r="V1396" s="22"/>
      <c r="W1396" s="97"/>
    </row>
    <row r="1397" spans="17:23">
      <c r="Q1397" s="99"/>
      <c r="T1397" s="97"/>
      <c r="V1397" s="22"/>
      <c r="W1397" s="97"/>
    </row>
    <row r="1398" spans="17:23">
      <c r="Q1398" s="99"/>
      <c r="T1398" s="97"/>
      <c r="V1398" s="22"/>
      <c r="W1398" s="97"/>
    </row>
    <row r="1399" spans="17:23">
      <c r="Q1399" s="99"/>
      <c r="T1399" s="97"/>
      <c r="V1399" s="22"/>
      <c r="W1399" s="97"/>
    </row>
    <row r="1400" spans="17:23">
      <c r="Q1400" s="99"/>
      <c r="T1400" s="97"/>
      <c r="V1400" s="22"/>
      <c r="W1400" s="97"/>
    </row>
    <row r="1401" spans="17:23">
      <c r="Q1401" s="99"/>
      <c r="T1401" s="97"/>
      <c r="V1401" s="22"/>
      <c r="W1401" s="97"/>
    </row>
    <row r="1402" spans="17:23">
      <c r="Q1402" s="99"/>
      <c r="T1402" s="97"/>
      <c r="V1402" s="22"/>
      <c r="W1402" s="97"/>
    </row>
    <row r="1403" spans="17:23">
      <c r="Q1403" s="99"/>
      <c r="T1403" s="97"/>
      <c r="V1403" s="22"/>
      <c r="W1403" s="97"/>
    </row>
    <row r="1404" spans="17:23">
      <c r="Q1404" s="99"/>
      <c r="T1404" s="97"/>
      <c r="V1404" s="22"/>
      <c r="W1404" s="97"/>
    </row>
    <row r="1405" spans="17:23">
      <c r="Q1405" s="99"/>
      <c r="T1405" s="97"/>
      <c r="V1405" s="22"/>
      <c r="W1405" s="97"/>
    </row>
    <row r="1406" spans="17:23">
      <c r="Q1406" s="99"/>
      <c r="T1406" s="97"/>
      <c r="V1406" s="22"/>
      <c r="W1406" s="97"/>
    </row>
    <row r="1407" spans="17:23">
      <c r="Q1407" s="99"/>
      <c r="T1407" s="97"/>
      <c r="V1407" s="22"/>
      <c r="W1407" s="97"/>
    </row>
    <row r="1408" spans="17:23">
      <c r="Q1408" s="99"/>
      <c r="T1408" s="97"/>
      <c r="V1408" s="22"/>
      <c r="W1408" s="97"/>
    </row>
    <row r="1409" spans="17:23">
      <c r="Q1409" s="99"/>
      <c r="T1409" s="97"/>
      <c r="V1409" s="22"/>
      <c r="W1409" s="97"/>
    </row>
    <row r="1410" spans="17:23">
      <c r="Q1410" s="99"/>
      <c r="T1410" s="97"/>
      <c r="V1410" s="22"/>
      <c r="W1410" s="97"/>
    </row>
    <row r="1411" spans="17:23">
      <c r="Q1411" s="99"/>
      <c r="T1411" s="97"/>
      <c r="V1411" s="22"/>
      <c r="W1411" s="97"/>
    </row>
    <row r="1412" spans="17:23">
      <c r="Q1412" s="99"/>
      <c r="T1412" s="97"/>
      <c r="V1412" s="22"/>
      <c r="W1412" s="97"/>
    </row>
    <row r="1413" spans="17:23">
      <c r="Q1413" s="99"/>
      <c r="T1413" s="97"/>
      <c r="V1413" s="22"/>
      <c r="W1413" s="97"/>
    </row>
    <row r="1414" spans="17:23">
      <c r="Q1414" s="99"/>
      <c r="T1414" s="97"/>
      <c r="V1414" s="22"/>
      <c r="W1414" s="97"/>
    </row>
    <row r="1415" spans="17:23">
      <c r="Q1415" s="99"/>
      <c r="T1415" s="97"/>
      <c r="V1415" s="22"/>
      <c r="W1415" s="97"/>
    </row>
    <row r="1416" spans="17:23">
      <c r="Q1416" s="99"/>
      <c r="T1416" s="97"/>
      <c r="V1416" s="22"/>
      <c r="W1416" s="97"/>
    </row>
    <row r="1417" spans="17:23">
      <c r="Q1417" s="99"/>
      <c r="T1417" s="97"/>
      <c r="V1417" s="22"/>
      <c r="W1417" s="97"/>
    </row>
    <row r="1418" spans="17:23">
      <c r="Q1418" s="99"/>
      <c r="T1418" s="97"/>
      <c r="V1418" s="22"/>
      <c r="W1418" s="97"/>
    </row>
    <row r="1419" spans="17:23">
      <c r="Q1419" s="99"/>
      <c r="T1419" s="97"/>
      <c r="V1419" s="22"/>
      <c r="W1419" s="97"/>
    </row>
    <row r="1420" spans="17:23">
      <c r="Q1420" s="99"/>
      <c r="T1420" s="97"/>
      <c r="V1420" s="22"/>
      <c r="W1420" s="97"/>
    </row>
    <row r="1421" spans="17:23">
      <c r="Q1421" s="99"/>
      <c r="T1421" s="97"/>
      <c r="V1421" s="22"/>
      <c r="W1421" s="97"/>
    </row>
    <row r="1422" spans="17:23">
      <c r="Q1422" s="99"/>
      <c r="T1422" s="97"/>
      <c r="V1422" s="22"/>
      <c r="W1422" s="97"/>
    </row>
    <row r="1423" spans="17:23">
      <c r="Q1423" s="99"/>
      <c r="T1423" s="97"/>
      <c r="V1423" s="22"/>
      <c r="W1423" s="97"/>
    </row>
    <row r="1424" spans="17:23">
      <c r="Q1424" s="99"/>
      <c r="T1424" s="97"/>
      <c r="V1424" s="22"/>
      <c r="W1424" s="97"/>
    </row>
    <row r="1425" spans="17:23">
      <c r="Q1425" s="99"/>
      <c r="T1425" s="97"/>
      <c r="V1425" s="22"/>
      <c r="W1425" s="97"/>
    </row>
    <row r="1426" spans="17:23">
      <c r="Q1426" s="99"/>
      <c r="T1426" s="97"/>
      <c r="V1426" s="22"/>
      <c r="W1426" s="97"/>
    </row>
    <row r="1427" spans="17:23">
      <c r="Q1427" s="99"/>
      <c r="T1427" s="97"/>
      <c r="V1427" s="22"/>
      <c r="W1427" s="97"/>
    </row>
    <row r="1428" spans="17:23">
      <c r="Q1428" s="99"/>
      <c r="T1428" s="97"/>
      <c r="V1428" s="22"/>
      <c r="W1428" s="97"/>
    </row>
    <row r="1429" spans="17:23">
      <c r="Q1429" s="99"/>
      <c r="T1429" s="97"/>
      <c r="V1429" s="22"/>
      <c r="W1429" s="97"/>
    </row>
    <row r="1430" spans="17:23">
      <c r="Q1430" s="99"/>
      <c r="T1430" s="97"/>
      <c r="V1430" s="22"/>
      <c r="W1430" s="97"/>
    </row>
    <row r="1431" spans="17:23">
      <c r="Q1431" s="99"/>
      <c r="T1431" s="97"/>
      <c r="V1431" s="22"/>
      <c r="W1431" s="97"/>
    </row>
    <row r="1432" spans="17:23">
      <c r="Q1432" s="99"/>
      <c r="T1432" s="97"/>
      <c r="V1432" s="22"/>
      <c r="W1432" s="97"/>
    </row>
    <row r="1433" spans="17:23">
      <c r="Q1433" s="99"/>
      <c r="T1433" s="97"/>
      <c r="V1433" s="22"/>
      <c r="W1433" s="97"/>
    </row>
    <row r="1434" spans="17:23">
      <c r="Q1434" s="99"/>
      <c r="T1434" s="97"/>
      <c r="V1434" s="22"/>
      <c r="W1434" s="97"/>
    </row>
    <row r="1435" spans="17:23">
      <c r="Q1435" s="99"/>
      <c r="T1435" s="97"/>
      <c r="V1435" s="22"/>
      <c r="W1435" s="97"/>
    </row>
    <row r="1436" spans="17:23">
      <c r="Q1436" s="99"/>
      <c r="T1436" s="97"/>
      <c r="V1436" s="22"/>
      <c r="W1436" s="97"/>
    </row>
    <row r="1437" spans="17:23">
      <c r="Q1437" s="99"/>
      <c r="T1437" s="97"/>
      <c r="V1437" s="22"/>
      <c r="W1437" s="97"/>
    </row>
    <row r="1438" spans="17:23">
      <c r="Q1438" s="99"/>
      <c r="T1438" s="97"/>
      <c r="V1438" s="22"/>
      <c r="W1438" s="97"/>
    </row>
    <row r="1439" spans="17:23">
      <c r="Q1439" s="99"/>
      <c r="T1439" s="97"/>
      <c r="V1439" s="22"/>
      <c r="W1439" s="97"/>
    </row>
    <row r="1440" spans="17:23">
      <c r="Q1440" s="99"/>
      <c r="T1440" s="97"/>
      <c r="V1440" s="22"/>
      <c r="W1440" s="97"/>
    </row>
    <row r="1441" spans="17:23">
      <c r="Q1441" s="99"/>
      <c r="T1441" s="97"/>
      <c r="V1441" s="22"/>
      <c r="W1441" s="97"/>
    </row>
    <row r="1442" spans="17:23">
      <c r="Q1442" s="99"/>
      <c r="T1442" s="97"/>
      <c r="V1442" s="22"/>
      <c r="W1442" s="97"/>
    </row>
    <row r="1443" spans="17:23">
      <c r="Q1443" s="99"/>
      <c r="T1443" s="97"/>
      <c r="V1443" s="22"/>
      <c r="W1443" s="97"/>
    </row>
    <row r="1444" spans="17:23">
      <c r="Q1444" s="99"/>
      <c r="T1444" s="97"/>
      <c r="V1444" s="22"/>
      <c r="W1444" s="97"/>
    </row>
    <row r="1445" spans="17:23">
      <c r="Q1445" s="99"/>
      <c r="T1445" s="97"/>
      <c r="V1445" s="22"/>
      <c r="W1445" s="97"/>
    </row>
    <row r="1446" spans="17:23">
      <c r="Q1446" s="99"/>
      <c r="T1446" s="97"/>
      <c r="V1446" s="22"/>
      <c r="W1446" s="97"/>
    </row>
    <row r="1447" spans="17:23">
      <c r="Q1447" s="99"/>
      <c r="T1447" s="97"/>
      <c r="V1447" s="22"/>
      <c r="W1447" s="97"/>
    </row>
    <row r="1448" spans="17:23">
      <c r="Q1448" s="99"/>
      <c r="T1448" s="97"/>
      <c r="V1448" s="22"/>
      <c r="W1448" s="97"/>
    </row>
    <row r="1449" spans="17:23">
      <c r="Q1449" s="99"/>
      <c r="T1449" s="97"/>
      <c r="V1449" s="22"/>
      <c r="W1449" s="97"/>
    </row>
    <row r="1450" spans="17:23">
      <c r="Q1450" s="99"/>
      <c r="T1450" s="97"/>
      <c r="V1450" s="22"/>
      <c r="W1450" s="97"/>
    </row>
    <row r="1451" spans="17:23">
      <c r="Q1451" s="99"/>
      <c r="T1451" s="97"/>
      <c r="V1451" s="22"/>
      <c r="W1451" s="97"/>
    </row>
    <row r="1452" spans="17:23">
      <c r="Q1452" s="99"/>
      <c r="T1452" s="97"/>
      <c r="V1452" s="22"/>
      <c r="W1452" s="97"/>
    </row>
    <row r="1453" spans="17:23">
      <c r="Q1453" s="99"/>
      <c r="T1453" s="97"/>
      <c r="V1453" s="22"/>
      <c r="W1453" s="97"/>
    </row>
    <row r="1454" spans="17:23">
      <c r="Q1454" s="99"/>
      <c r="T1454" s="97"/>
      <c r="V1454" s="22"/>
      <c r="W1454" s="97"/>
    </row>
    <row r="1455" spans="17:23">
      <c r="Q1455" s="99"/>
      <c r="T1455" s="97"/>
      <c r="V1455" s="22"/>
      <c r="W1455" s="97"/>
    </row>
    <row r="1456" spans="17:23">
      <c r="Q1456" s="99"/>
      <c r="T1456" s="97"/>
      <c r="V1456" s="22"/>
      <c r="W1456" s="97"/>
    </row>
    <row r="1457" spans="17:23">
      <c r="Q1457" s="99"/>
      <c r="T1457" s="97"/>
      <c r="V1457" s="22"/>
      <c r="W1457" s="97"/>
    </row>
    <row r="1458" spans="17:23">
      <c r="Q1458" s="99"/>
      <c r="T1458" s="97"/>
      <c r="V1458" s="22"/>
      <c r="W1458" s="97"/>
    </row>
    <row r="1459" spans="17:23">
      <c r="Q1459" s="99"/>
      <c r="T1459" s="97"/>
      <c r="V1459" s="22"/>
      <c r="W1459" s="97"/>
    </row>
    <row r="1460" spans="17:23">
      <c r="Q1460" s="99"/>
      <c r="T1460" s="97"/>
      <c r="V1460" s="22"/>
      <c r="W1460" s="97"/>
    </row>
    <row r="1461" spans="17:23">
      <c r="Q1461" s="99"/>
      <c r="T1461" s="97"/>
      <c r="V1461" s="22"/>
      <c r="W1461" s="97"/>
    </row>
    <row r="1462" spans="17:23">
      <c r="Q1462" s="99"/>
      <c r="T1462" s="97"/>
      <c r="V1462" s="22"/>
      <c r="W1462" s="97"/>
    </row>
    <row r="1463" spans="17:23">
      <c r="Q1463" s="99"/>
      <c r="T1463" s="97"/>
      <c r="V1463" s="22"/>
      <c r="W1463" s="97"/>
    </row>
    <row r="1464" spans="17:23">
      <c r="Q1464" s="99"/>
      <c r="T1464" s="97"/>
      <c r="V1464" s="22"/>
      <c r="W1464" s="97"/>
    </row>
    <row r="1465" spans="17:23">
      <c r="Q1465" s="99"/>
      <c r="T1465" s="97"/>
      <c r="V1465" s="22"/>
      <c r="W1465" s="97"/>
    </row>
    <row r="1466" spans="17:23">
      <c r="Q1466" s="99"/>
      <c r="T1466" s="97"/>
      <c r="V1466" s="22"/>
      <c r="W1466" s="97"/>
    </row>
    <row r="1467" spans="17:23">
      <c r="Q1467" s="99"/>
      <c r="T1467" s="97"/>
      <c r="V1467" s="22"/>
      <c r="W1467" s="97"/>
    </row>
    <row r="1468" spans="17:23">
      <c r="Q1468" s="99"/>
      <c r="T1468" s="97"/>
      <c r="V1468" s="22"/>
      <c r="W1468" s="97"/>
    </row>
    <row r="1469" spans="17:23">
      <c r="Q1469" s="99"/>
      <c r="T1469" s="97"/>
      <c r="V1469" s="22"/>
      <c r="W1469" s="97"/>
    </row>
    <row r="1470" spans="17:23">
      <c r="Q1470" s="99"/>
      <c r="T1470" s="97"/>
      <c r="V1470" s="22"/>
      <c r="W1470" s="97"/>
    </row>
    <row r="1471" spans="17:23">
      <c r="Q1471" s="99"/>
      <c r="T1471" s="97"/>
      <c r="V1471" s="22"/>
      <c r="W1471" s="97"/>
    </row>
    <row r="1472" spans="17:23">
      <c r="Q1472" s="99"/>
      <c r="T1472" s="97"/>
      <c r="V1472" s="22"/>
      <c r="W1472" s="97"/>
    </row>
    <row r="1473" spans="17:23">
      <c r="Q1473" s="99"/>
      <c r="T1473" s="97"/>
      <c r="V1473" s="22"/>
      <c r="W1473" s="97"/>
    </row>
    <row r="1474" spans="17:23">
      <c r="Q1474" s="99"/>
      <c r="T1474" s="97"/>
      <c r="V1474" s="22"/>
      <c r="W1474" s="97"/>
    </row>
    <row r="1475" spans="17:23">
      <c r="Q1475" s="99"/>
      <c r="T1475" s="97"/>
      <c r="V1475" s="22"/>
      <c r="W1475" s="97"/>
    </row>
    <row r="1476" spans="17:23">
      <c r="Q1476" s="99"/>
      <c r="T1476" s="97"/>
      <c r="V1476" s="22"/>
      <c r="W1476" s="97"/>
    </row>
    <row r="1477" spans="17:23">
      <c r="Q1477" s="99"/>
      <c r="T1477" s="97"/>
      <c r="V1477" s="22"/>
      <c r="W1477" s="97"/>
    </row>
    <row r="1478" spans="17:23">
      <c r="Q1478" s="99"/>
      <c r="T1478" s="97"/>
      <c r="V1478" s="22"/>
      <c r="W1478" s="97"/>
    </row>
    <row r="1479" spans="17:23">
      <c r="Q1479" s="99"/>
      <c r="T1479" s="97"/>
      <c r="V1479" s="22"/>
      <c r="W1479" s="97"/>
    </row>
    <row r="1480" spans="17:23">
      <c r="Q1480" s="99"/>
      <c r="T1480" s="97"/>
      <c r="V1480" s="22"/>
      <c r="W1480" s="97"/>
    </row>
    <row r="1481" spans="17:23">
      <c r="Q1481" s="99"/>
      <c r="T1481" s="97"/>
      <c r="V1481" s="22"/>
      <c r="W1481" s="97"/>
    </row>
    <row r="1482" spans="17:23">
      <c r="Q1482" s="99"/>
      <c r="T1482" s="97"/>
      <c r="V1482" s="22"/>
      <c r="W1482" s="97"/>
    </row>
    <row r="1483" spans="17:23">
      <c r="Q1483" s="99"/>
      <c r="T1483" s="97"/>
      <c r="V1483" s="22"/>
      <c r="W1483" s="97"/>
    </row>
    <row r="1484" spans="17:23">
      <c r="Q1484" s="99"/>
      <c r="T1484" s="97"/>
      <c r="V1484" s="22"/>
      <c r="W1484" s="97"/>
    </row>
    <row r="1485" spans="17:23">
      <c r="Q1485" s="99"/>
      <c r="T1485" s="97"/>
      <c r="V1485" s="22"/>
      <c r="W1485" s="97"/>
    </row>
    <row r="1486" spans="17:23">
      <c r="Q1486" s="99"/>
      <c r="T1486" s="97"/>
      <c r="V1486" s="22"/>
      <c r="W1486" s="97"/>
    </row>
    <row r="1487" spans="17:23">
      <c r="Q1487" s="99"/>
      <c r="T1487" s="97"/>
      <c r="V1487" s="22"/>
      <c r="W1487" s="97"/>
    </row>
    <row r="1488" spans="17:23">
      <c r="Q1488" s="99"/>
      <c r="T1488" s="97"/>
      <c r="V1488" s="22"/>
      <c r="W1488" s="97"/>
    </row>
    <row r="1489" spans="17:23">
      <c r="Q1489" s="99"/>
      <c r="T1489" s="97"/>
      <c r="V1489" s="22"/>
      <c r="W1489" s="97"/>
    </row>
    <row r="1490" spans="17:23">
      <c r="Q1490" s="99"/>
      <c r="T1490" s="97"/>
      <c r="V1490" s="22"/>
      <c r="W1490" s="97"/>
    </row>
    <row r="1491" spans="17:23">
      <c r="Q1491" s="99"/>
      <c r="T1491" s="97"/>
      <c r="V1491" s="22"/>
      <c r="W1491" s="97"/>
    </row>
    <row r="1492" spans="17:23">
      <c r="Q1492" s="99"/>
      <c r="T1492" s="97"/>
      <c r="V1492" s="22"/>
      <c r="W1492" s="97"/>
    </row>
    <row r="1493" spans="17:23">
      <c r="Q1493" s="99"/>
      <c r="T1493" s="97"/>
      <c r="V1493" s="22"/>
      <c r="W1493" s="97"/>
    </row>
    <row r="1494" spans="17:23">
      <c r="Q1494" s="99"/>
      <c r="T1494" s="97"/>
      <c r="V1494" s="22"/>
      <c r="W1494" s="97"/>
    </row>
    <row r="1495" spans="17:23">
      <c r="Q1495" s="99"/>
      <c r="T1495" s="97"/>
      <c r="V1495" s="22"/>
      <c r="W1495" s="97"/>
    </row>
    <row r="1496" spans="17:23">
      <c r="Q1496" s="99"/>
      <c r="T1496" s="97"/>
      <c r="V1496" s="22"/>
      <c r="W1496" s="97"/>
    </row>
    <row r="1497" spans="17:23">
      <c r="Q1497" s="99"/>
      <c r="T1497" s="97"/>
      <c r="V1497" s="22"/>
      <c r="W1497" s="97"/>
    </row>
    <row r="1498" spans="17:23">
      <c r="Q1498" s="99"/>
      <c r="T1498" s="97"/>
      <c r="V1498" s="22"/>
      <c r="W1498" s="97"/>
    </row>
    <row r="1499" spans="17:23">
      <c r="Q1499" s="99"/>
      <c r="T1499" s="97"/>
      <c r="V1499" s="22"/>
      <c r="W1499" s="97"/>
    </row>
    <row r="1500" spans="17:23">
      <c r="Q1500" s="99"/>
      <c r="T1500" s="97"/>
      <c r="V1500" s="22"/>
      <c r="W1500" s="97"/>
    </row>
    <row r="1501" spans="17:23">
      <c r="Q1501" s="99"/>
      <c r="T1501" s="97"/>
      <c r="V1501" s="22"/>
      <c r="W1501" s="97"/>
    </row>
    <row r="1502" spans="17:23">
      <c r="Q1502" s="99"/>
      <c r="T1502" s="97"/>
      <c r="V1502" s="22"/>
      <c r="W1502" s="97"/>
    </row>
    <row r="1503" spans="17:23">
      <c r="Q1503" s="99"/>
      <c r="T1503" s="97"/>
      <c r="V1503" s="22"/>
      <c r="W1503" s="97"/>
    </row>
    <row r="1504" spans="17:23">
      <c r="Q1504" s="99"/>
      <c r="T1504" s="97"/>
      <c r="V1504" s="22"/>
      <c r="W1504" s="97"/>
    </row>
    <row r="1505" spans="17:23">
      <c r="Q1505" s="99"/>
      <c r="T1505" s="97"/>
      <c r="V1505" s="22"/>
      <c r="W1505" s="97"/>
    </row>
    <row r="1506" spans="17:23">
      <c r="Q1506" s="99"/>
      <c r="T1506" s="97"/>
      <c r="V1506" s="22"/>
      <c r="W1506" s="97"/>
    </row>
    <row r="1507" spans="17:23">
      <c r="Q1507" s="99"/>
      <c r="T1507" s="97"/>
      <c r="V1507" s="22"/>
      <c r="W1507" s="97"/>
    </row>
    <row r="1508" spans="17:23">
      <c r="Q1508" s="99"/>
      <c r="T1508" s="97"/>
      <c r="V1508" s="22"/>
      <c r="W1508" s="97"/>
    </row>
    <row r="1509" spans="17:23">
      <c r="Q1509" s="99"/>
      <c r="T1509" s="97"/>
      <c r="V1509" s="22"/>
      <c r="W1509" s="97"/>
    </row>
    <row r="1510" spans="17:23">
      <c r="Q1510" s="99"/>
      <c r="T1510" s="97"/>
      <c r="V1510" s="22"/>
      <c r="W1510" s="97"/>
    </row>
    <row r="1511" spans="17:23">
      <c r="Q1511" s="99"/>
      <c r="T1511" s="97"/>
      <c r="V1511" s="22"/>
      <c r="W1511" s="97"/>
    </row>
    <row r="1512" spans="17:23">
      <c r="Q1512" s="99"/>
      <c r="T1512" s="97"/>
      <c r="V1512" s="22"/>
      <c r="W1512" s="97"/>
    </row>
    <row r="1513" spans="17:23">
      <c r="Q1513" s="99"/>
      <c r="T1513" s="97"/>
      <c r="V1513" s="22"/>
      <c r="W1513" s="97"/>
    </row>
    <row r="1514" spans="17:23">
      <c r="Q1514" s="99"/>
      <c r="T1514" s="97"/>
      <c r="V1514" s="22"/>
      <c r="W1514" s="97"/>
    </row>
    <row r="1515" spans="17:23">
      <c r="Q1515" s="99"/>
      <c r="T1515" s="97"/>
      <c r="V1515" s="22"/>
      <c r="W1515" s="97"/>
    </row>
    <row r="1516" spans="17:23">
      <c r="Q1516" s="99"/>
      <c r="T1516" s="97"/>
      <c r="V1516" s="22"/>
      <c r="W1516" s="97"/>
    </row>
    <row r="1517" spans="17:23">
      <c r="Q1517" s="99"/>
      <c r="T1517" s="97"/>
      <c r="V1517" s="22"/>
      <c r="W1517" s="97"/>
    </row>
    <row r="1518" spans="17:23">
      <c r="Q1518" s="99"/>
      <c r="T1518" s="97"/>
      <c r="V1518" s="22"/>
      <c r="W1518" s="97"/>
    </row>
    <row r="1519" spans="17:23">
      <c r="Q1519" s="99"/>
      <c r="T1519" s="97"/>
      <c r="V1519" s="22"/>
      <c r="W1519" s="97"/>
    </row>
    <row r="1520" spans="17:23">
      <c r="Q1520" s="99"/>
      <c r="T1520" s="97"/>
      <c r="V1520" s="22"/>
      <c r="W1520" s="97"/>
    </row>
    <row r="1521" spans="17:23">
      <c r="Q1521" s="99"/>
      <c r="T1521" s="97"/>
      <c r="V1521" s="22"/>
      <c r="W1521" s="97"/>
    </row>
    <row r="1522" spans="17:23">
      <c r="Q1522" s="99"/>
      <c r="T1522" s="97"/>
      <c r="V1522" s="22"/>
      <c r="W1522" s="97"/>
    </row>
    <row r="1523" spans="17:23">
      <c r="Q1523" s="99"/>
      <c r="T1523" s="97"/>
      <c r="V1523" s="22"/>
      <c r="W1523" s="97"/>
    </row>
    <row r="1524" spans="17:23">
      <c r="Q1524" s="99"/>
      <c r="T1524" s="97"/>
      <c r="V1524" s="22"/>
      <c r="W1524" s="97"/>
    </row>
    <row r="1525" spans="17:23">
      <c r="Q1525" s="99"/>
      <c r="T1525" s="97"/>
      <c r="V1525" s="22"/>
      <c r="W1525" s="97"/>
    </row>
    <row r="1526" spans="17:23">
      <c r="Q1526" s="99"/>
      <c r="T1526" s="97"/>
      <c r="V1526" s="22"/>
      <c r="W1526" s="97"/>
    </row>
    <row r="1527" spans="17:23">
      <c r="Q1527" s="99"/>
      <c r="T1527" s="97"/>
      <c r="V1527" s="22"/>
      <c r="W1527" s="97"/>
    </row>
    <row r="1528" spans="17:23">
      <c r="Q1528" s="99"/>
      <c r="T1528" s="97"/>
      <c r="V1528" s="22"/>
      <c r="W1528" s="97"/>
    </row>
    <row r="1529" spans="17:23">
      <c r="Q1529" s="99"/>
      <c r="T1529" s="97"/>
      <c r="V1529" s="22"/>
      <c r="W1529" s="97"/>
    </row>
    <row r="1530" spans="17:23">
      <c r="Q1530" s="99"/>
      <c r="T1530" s="97"/>
      <c r="V1530" s="22"/>
      <c r="W1530" s="97"/>
    </row>
    <row r="1531" spans="17:23">
      <c r="Q1531" s="99"/>
      <c r="T1531" s="97"/>
      <c r="V1531" s="22"/>
      <c r="W1531" s="97"/>
    </row>
    <row r="1532" spans="17:23">
      <c r="Q1532" s="99"/>
      <c r="T1532" s="97"/>
      <c r="V1532" s="22"/>
      <c r="W1532" s="97"/>
    </row>
    <row r="1533" spans="17:23">
      <c r="Q1533" s="99"/>
      <c r="T1533" s="97"/>
      <c r="V1533" s="22"/>
      <c r="W1533" s="97"/>
    </row>
    <row r="1534" spans="17:23">
      <c r="Q1534" s="99"/>
      <c r="T1534" s="97"/>
      <c r="V1534" s="22"/>
      <c r="W1534" s="97"/>
    </row>
    <row r="1535" spans="17:23">
      <c r="Q1535" s="99"/>
      <c r="T1535" s="97"/>
      <c r="V1535" s="22"/>
      <c r="W1535" s="97"/>
    </row>
    <row r="1536" spans="17:23">
      <c r="Q1536" s="99"/>
      <c r="T1536" s="97"/>
      <c r="V1536" s="22"/>
      <c r="W1536" s="97"/>
    </row>
    <row r="1537" spans="17:23">
      <c r="Q1537" s="99"/>
      <c r="T1537" s="97"/>
      <c r="V1537" s="22"/>
      <c r="W1537" s="97"/>
    </row>
    <row r="1538" spans="17:23">
      <c r="Q1538" s="99"/>
      <c r="T1538" s="97"/>
      <c r="V1538" s="22"/>
      <c r="W1538" s="97"/>
    </row>
    <row r="1539" spans="17:23">
      <c r="Q1539" s="99"/>
      <c r="T1539" s="97"/>
      <c r="V1539" s="22"/>
      <c r="W1539" s="97"/>
    </row>
    <row r="1540" spans="17:23">
      <c r="Q1540" s="99"/>
      <c r="T1540" s="97"/>
      <c r="V1540" s="22"/>
      <c r="W1540" s="97"/>
    </row>
    <row r="1541" spans="17:23">
      <c r="Q1541" s="99"/>
      <c r="T1541" s="97"/>
      <c r="V1541" s="22"/>
      <c r="W1541" s="97"/>
    </row>
    <row r="1542" spans="17:23">
      <c r="Q1542" s="99"/>
      <c r="T1542" s="97"/>
      <c r="V1542" s="22"/>
      <c r="W1542" s="97"/>
    </row>
    <row r="1543" spans="17:23">
      <c r="Q1543" s="99"/>
      <c r="T1543" s="97"/>
      <c r="V1543" s="22"/>
      <c r="W1543" s="97"/>
    </row>
    <row r="1544" spans="17:23">
      <c r="Q1544" s="99"/>
      <c r="T1544" s="97"/>
      <c r="V1544" s="22"/>
      <c r="W1544" s="97"/>
    </row>
    <row r="1545" spans="17:23">
      <c r="Q1545" s="99"/>
      <c r="T1545" s="97"/>
      <c r="V1545" s="22"/>
      <c r="W1545" s="97"/>
    </row>
    <row r="1546" spans="17:23">
      <c r="Q1546" s="99"/>
      <c r="T1546" s="97"/>
      <c r="V1546" s="22"/>
      <c r="W1546" s="97"/>
    </row>
    <row r="1547" spans="17:23">
      <c r="Q1547" s="99"/>
      <c r="T1547" s="97"/>
      <c r="V1547" s="22"/>
      <c r="W1547" s="97"/>
    </row>
    <row r="1548" spans="17:23">
      <c r="Q1548" s="99"/>
      <c r="T1548" s="97"/>
      <c r="V1548" s="22"/>
      <c r="W1548" s="97"/>
    </row>
    <row r="1549" spans="17:23">
      <c r="Q1549" s="99"/>
      <c r="T1549" s="97"/>
      <c r="V1549" s="22"/>
      <c r="W1549" s="97"/>
    </row>
    <row r="1550" spans="17:23">
      <c r="Q1550" s="99"/>
      <c r="T1550" s="97"/>
      <c r="V1550" s="22"/>
      <c r="W1550" s="97"/>
    </row>
    <row r="1551" spans="17:23">
      <c r="Q1551" s="99"/>
      <c r="T1551" s="97"/>
      <c r="V1551" s="22"/>
      <c r="W1551" s="97"/>
    </row>
    <row r="1552" spans="17:23">
      <c r="Q1552" s="99"/>
      <c r="T1552" s="97"/>
      <c r="V1552" s="22"/>
      <c r="W1552" s="97"/>
    </row>
    <row r="1553" spans="17:23">
      <c r="Q1553" s="99"/>
      <c r="T1553" s="97"/>
      <c r="V1553" s="22"/>
      <c r="W1553" s="97"/>
    </row>
    <row r="1554" spans="17:23">
      <c r="Q1554" s="99"/>
      <c r="T1554" s="97"/>
      <c r="V1554" s="22"/>
      <c r="W1554" s="97"/>
    </row>
    <row r="1555" spans="17:23">
      <c r="Q1555" s="99"/>
      <c r="T1555" s="97"/>
      <c r="V1555" s="22"/>
      <c r="W1555" s="97"/>
    </row>
    <row r="1556" spans="17:23">
      <c r="Q1556" s="99"/>
      <c r="T1556" s="97"/>
      <c r="V1556" s="22"/>
      <c r="W1556" s="97"/>
    </row>
    <row r="1557" spans="17:23">
      <c r="Q1557" s="99"/>
      <c r="T1557" s="97"/>
      <c r="V1557" s="22"/>
      <c r="W1557" s="97"/>
    </row>
    <row r="1558" spans="17:23">
      <c r="Q1558" s="99"/>
      <c r="T1558" s="97"/>
      <c r="V1558" s="22"/>
      <c r="W1558" s="97"/>
    </row>
    <row r="1559" spans="17:23">
      <c r="Q1559" s="99"/>
      <c r="T1559" s="97"/>
      <c r="V1559" s="22"/>
      <c r="W1559" s="97"/>
    </row>
    <row r="1560" spans="17:23">
      <c r="Q1560" s="99"/>
      <c r="T1560" s="97"/>
      <c r="V1560" s="22"/>
      <c r="W1560" s="97"/>
    </row>
    <row r="1561" spans="17:23">
      <c r="Q1561" s="99"/>
      <c r="T1561" s="97"/>
      <c r="V1561" s="22"/>
      <c r="W1561" s="97"/>
    </row>
    <row r="1562" spans="17:23">
      <c r="Q1562" s="99"/>
      <c r="T1562" s="97"/>
      <c r="V1562" s="22"/>
      <c r="W1562" s="97"/>
    </row>
    <row r="1563" spans="17:23">
      <c r="Q1563" s="99"/>
      <c r="T1563" s="97"/>
      <c r="V1563" s="22"/>
      <c r="W1563" s="97"/>
    </row>
    <row r="1564" spans="17:23">
      <c r="Q1564" s="99"/>
      <c r="T1564" s="97"/>
      <c r="V1564" s="22"/>
      <c r="W1564" s="97"/>
    </row>
    <row r="1565" spans="17:23">
      <c r="Q1565" s="99"/>
      <c r="T1565" s="97"/>
      <c r="V1565" s="22"/>
      <c r="W1565" s="97"/>
    </row>
    <row r="1566" spans="17:23">
      <c r="Q1566" s="99"/>
      <c r="T1566" s="97"/>
      <c r="V1566" s="22"/>
      <c r="W1566" s="97"/>
    </row>
    <row r="1567" spans="17:23">
      <c r="Q1567" s="99"/>
      <c r="T1567" s="97"/>
      <c r="V1567" s="22"/>
      <c r="W1567" s="97"/>
    </row>
    <row r="1568" spans="17:23">
      <c r="Q1568" s="99"/>
      <c r="T1568" s="97"/>
      <c r="V1568" s="22"/>
      <c r="W1568" s="97"/>
    </row>
    <row r="1569" spans="17:23">
      <c r="Q1569" s="99"/>
      <c r="T1569" s="97"/>
      <c r="V1569" s="22"/>
      <c r="W1569" s="97"/>
    </row>
    <row r="1570" spans="17:23">
      <c r="Q1570" s="99"/>
      <c r="T1570" s="97"/>
      <c r="V1570" s="22"/>
      <c r="W1570" s="97"/>
    </row>
    <row r="1571" spans="17:23">
      <c r="Q1571" s="99"/>
      <c r="T1571" s="97"/>
      <c r="V1571" s="22"/>
      <c r="W1571" s="97"/>
    </row>
    <row r="1572" spans="17:23">
      <c r="Q1572" s="99"/>
      <c r="T1572" s="97"/>
      <c r="V1572" s="22"/>
      <c r="W1572" s="97"/>
    </row>
    <row r="1573" spans="17:23">
      <c r="Q1573" s="99"/>
      <c r="T1573" s="97"/>
      <c r="V1573" s="22"/>
      <c r="W1573" s="97"/>
    </row>
    <row r="1574" spans="17:23">
      <c r="Q1574" s="99"/>
      <c r="T1574" s="97"/>
      <c r="V1574" s="22"/>
      <c r="W1574" s="97"/>
    </row>
    <row r="1575" spans="17:23">
      <c r="Q1575" s="99"/>
      <c r="T1575" s="97"/>
      <c r="V1575" s="22"/>
      <c r="W1575" s="97"/>
    </row>
    <row r="1576" spans="17:23">
      <c r="Q1576" s="99"/>
      <c r="T1576" s="97"/>
      <c r="V1576" s="22"/>
      <c r="W1576" s="97"/>
    </row>
    <row r="1577" spans="17:23">
      <c r="Q1577" s="99"/>
      <c r="T1577" s="97"/>
      <c r="V1577" s="22"/>
      <c r="W1577" s="97"/>
    </row>
    <row r="1578" spans="17:23">
      <c r="Q1578" s="99"/>
      <c r="T1578" s="97"/>
      <c r="V1578" s="22"/>
      <c r="W1578" s="97"/>
    </row>
    <row r="1579" spans="17:23">
      <c r="Q1579" s="99"/>
      <c r="T1579" s="97"/>
      <c r="V1579" s="22"/>
      <c r="W1579" s="97"/>
    </row>
    <row r="1580" spans="17:23">
      <c r="Q1580" s="99"/>
      <c r="T1580" s="97"/>
      <c r="V1580" s="22"/>
      <c r="W1580" s="97"/>
    </row>
    <row r="1581" spans="17:23">
      <c r="Q1581" s="99"/>
      <c r="T1581" s="97"/>
      <c r="V1581" s="22"/>
      <c r="W1581" s="97"/>
    </row>
    <row r="1582" spans="17:23">
      <c r="Q1582" s="99"/>
      <c r="T1582" s="97"/>
      <c r="V1582" s="22"/>
      <c r="W1582" s="97"/>
    </row>
    <row r="1583" spans="17:23">
      <c r="Q1583" s="99"/>
      <c r="T1583" s="97"/>
      <c r="V1583" s="22"/>
      <c r="W1583" s="97"/>
    </row>
    <row r="1584" spans="17:23">
      <c r="Q1584" s="99"/>
      <c r="T1584" s="97"/>
      <c r="V1584" s="22"/>
      <c r="W1584" s="97"/>
    </row>
    <row r="1585" spans="17:23">
      <c r="Q1585" s="99"/>
      <c r="T1585" s="97"/>
      <c r="V1585" s="22"/>
      <c r="W1585" s="97"/>
    </row>
    <row r="1586" spans="17:23">
      <c r="Q1586" s="99"/>
      <c r="T1586" s="97"/>
      <c r="V1586" s="22"/>
      <c r="W1586" s="97"/>
    </row>
    <row r="1587" spans="17:23">
      <c r="Q1587" s="99"/>
      <c r="T1587" s="97"/>
      <c r="V1587" s="22"/>
      <c r="W1587" s="97"/>
    </row>
    <row r="1588" spans="17:23">
      <c r="Q1588" s="99"/>
      <c r="T1588" s="97"/>
      <c r="V1588" s="22"/>
      <c r="W1588" s="97"/>
    </row>
    <row r="1589" spans="17:23">
      <c r="Q1589" s="99"/>
      <c r="T1589" s="97"/>
      <c r="V1589" s="22"/>
      <c r="W1589" s="97"/>
    </row>
    <row r="1590" spans="17:23">
      <c r="Q1590" s="99"/>
      <c r="T1590" s="97"/>
      <c r="V1590" s="22"/>
      <c r="W1590" s="97"/>
    </row>
    <row r="1591" spans="17:23">
      <c r="Q1591" s="99"/>
      <c r="T1591" s="97"/>
      <c r="V1591" s="22"/>
      <c r="W1591" s="97"/>
    </row>
    <row r="1592" spans="17:23">
      <c r="Q1592" s="99"/>
      <c r="T1592" s="97"/>
      <c r="V1592" s="22"/>
      <c r="W1592" s="97"/>
    </row>
    <row r="1593" spans="17:23">
      <c r="Q1593" s="99"/>
      <c r="T1593" s="97"/>
      <c r="V1593" s="22"/>
      <c r="W1593" s="97"/>
    </row>
    <row r="1594" spans="17:23">
      <c r="Q1594" s="99"/>
      <c r="T1594" s="97"/>
      <c r="V1594" s="22"/>
      <c r="W1594" s="97"/>
    </row>
    <row r="1595" spans="17:23">
      <c r="Q1595" s="99"/>
      <c r="T1595" s="97"/>
      <c r="V1595" s="22"/>
      <c r="W1595" s="97"/>
    </row>
    <row r="1596" spans="17:23">
      <c r="Q1596" s="99"/>
      <c r="T1596" s="97"/>
      <c r="V1596" s="22"/>
      <c r="W1596" s="97"/>
    </row>
    <row r="1597" spans="17:23">
      <c r="Q1597" s="99"/>
      <c r="T1597" s="97"/>
      <c r="V1597" s="22"/>
      <c r="W1597" s="97"/>
    </row>
    <row r="1598" spans="17:23">
      <c r="Q1598" s="99"/>
      <c r="T1598" s="97"/>
      <c r="V1598" s="22"/>
      <c r="W1598" s="97"/>
    </row>
    <row r="1599" spans="17:23">
      <c r="Q1599" s="99"/>
      <c r="T1599" s="97"/>
      <c r="V1599" s="22"/>
      <c r="W1599" s="97"/>
    </row>
    <row r="1600" spans="17:23">
      <c r="Q1600" s="99"/>
      <c r="T1600" s="97"/>
      <c r="V1600" s="22"/>
      <c r="W1600" s="97"/>
    </row>
    <row r="1601" spans="17:23">
      <c r="Q1601" s="99"/>
      <c r="T1601" s="97"/>
      <c r="V1601" s="22"/>
      <c r="W1601" s="97"/>
    </row>
    <row r="1602" spans="17:23">
      <c r="Q1602" s="99"/>
      <c r="T1602" s="97"/>
      <c r="V1602" s="22"/>
      <c r="W1602" s="97"/>
    </row>
    <row r="1603" spans="17:23">
      <c r="Q1603" s="99"/>
      <c r="T1603" s="97"/>
      <c r="V1603" s="22"/>
      <c r="W1603" s="97"/>
    </row>
    <row r="1604" spans="17:23">
      <c r="Q1604" s="99"/>
      <c r="T1604" s="97"/>
      <c r="V1604" s="22"/>
      <c r="W1604" s="97"/>
    </row>
    <row r="1605" spans="17:23">
      <c r="Q1605" s="99"/>
      <c r="T1605" s="97"/>
      <c r="V1605" s="22"/>
      <c r="W1605" s="97"/>
    </row>
    <row r="1606" spans="17:23">
      <c r="Q1606" s="99"/>
      <c r="T1606" s="97"/>
      <c r="V1606" s="22"/>
      <c r="W1606" s="97"/>
    </row>
    <row r="1607" spans="17:23">
      <c r="Q1607" s="99"/>
      <c r="T1607" s="97"/>
      <c r="V1607" s="22"/>
      <c r="W1607" s="97"/>
    </row>
    <row r="1608" spans="17:23">
      <c r="Q1608" s="99"/>
      <c r="T1608" s="97"/>
      <c r="V1608" s="22"/>
      <c r="W1608" s="97"/>
    </row>
    <row r="1609" spans="17:23">
      <c r="Q1609" s="99"/>
      <c r="T1609" s="97"/>
      <c r="V1609" s="22"/>
      <c r="W1609" s="97"/>
    </row>
    <row r="1610" spans="17:23">
      <c r="Q1610" s="99"/>
      <c r="T1610" s="97"/>
      <c r="V1610" s="22"/>
      <c r="W1610" s="97"/>
    </row>
    <row r="1611" spans="17:23">
      <c r="Q1611" s="99"/>
      <c r="T1611" s="97"/>
      <c r="V1611" s="22"/>
      <c r="W1611" s="97"/>
    </row>
    <row r="1612" spans="17:23">
      <c r="Q1612" s="99"/>
      <c r="T1612" s="97"/>
      <c r="V1612" s="22"/>
      <c r="W1612" s="97"/>
    </row>
    <row r="1613" spans="17:23">
      <c r="Q1613" s="99"/>
      <c r="T1613" s="97"/>
      <c r="V1613" s="22"/>
      <c r="W1613" s="97"/>
    </row>
    <row r="1614" spans="17:23">
      <c r="Q1614" s="99"/>
      <c r="T1614" s="97"/>
      <c r="V1614" s="22"/>
      <c r="W1614" s="97"/>
    </row>
    <row r="1615" spans="17:23">
      <c r="Q1615" s="99"/>
      <c r="T1615" s="97"/>
      <c r="V1615" s="22"/>
      <c r="W1615" s="97"/>
    </row>
    <row r="1616" spans="17:23">
      <c r="Q1616" s="99"/>
      <c r="T1616" s="97"/>
      <c r="V1616" s="22"/>
      <c r="W1616" s="97"/>
    </row>
    <row r="1617" spans="17:23">
      <c r="Q1617" s="99"/>
      <c r="T1617" s="97"/>
      <c r="V1617" s="22"/>
      <c r="W1617" s="97"/>
    </row>
    <row r="1618" spans="17:23">
      <c r="Q1618" s="99"/>
      <c r="T1618" s="97"/>
      <c r="V1618" s="22"/>
      <c r="W1618" s="97"/>
    </row>
    <row r="1619" spans="17:23">
      <c r="Q1619" s="99"/>
      <c r="T1619" s="97"/>
      <c r="V1619" s="22"/>
      <c r="W1619" s="97"/>
    </row>
    <row r="1620" spans="17:23">
      <c r="Q1620" s="99"/>
      <c r="T1620" s="97"/>
      <c r="V1620" s="22"/>
      <c r="W1620" s="97"/>
    </row>
    <row r="1621" spans="17:23">
      <c r="Q1621" s="99"/>
      <c r="T1621" s="97"/>
      <c r="V1621" s="22"/>
      <c r="W1621" s="97"/>
    </row>
    <row r="1622" spans="17:23">
      <c r="Q1622" s="99"/>
      <c r="T1622" s="97"/>
      <c r="V1622" s="22"/>
      <c r="W1622" s="97"/>
    </row>
    <row r="1623" spans="17:23">
      <c r="Q1623" s="99"/>
      <c r="T1623" s="97"/>
      <c r="V1623" s="22"/>
      <c r="W1623" s="97"/>
    </row>
    <row r="1624" spans="17:23">
      <c r="Q1624" s="99"/>
      <c r="T1624" s="97"/>
      <c r="V1624" s="22"/>
      <c r="W1624" s="97"/>
    </row>
    <row r="1625" spans="17:23">
      <c r="Q1625" s="99"/>
      <c r="T1625" s="97"/>
      <c r="V1625" s="22"/>
      <c r="W1625" s="97"/>
    </row>
    <row r="1626" spans="17:23">
      <c r="Q1626" s="99"/>
      <c r="T1626" s="97"/>
      <c r="V1626" s="22"/>
      <c r="W1626" s="97"/>
    </row>
    <row r="1627" spans="17:23">
      <c r="Q1627" s="99"/>
      <c r="T1627" s="97"/>
      <c r="V1627" s="22"/>
      <c r="W1627" s="97"/>
    </row>
    <row r="1628" spans="17:23">
      <c r="Q1628" s="99"/>
      <c r="T1628" s="97"/>
      <c r="V1628" s="22"/>
      <c r="W1628" s="97"/>
    </row>
    <row r="1629" spans="17:23">
      <c r="Q1629" s="99"/>
      <c r="T1629" s="97"/>
      <c r="V1629" s="22"/>
      <c r="W1629" s="97"/>
    </row>
    <row r="1630" spans="17:23">
      <c r="Q1630" s="99"/>
      <c r="T1630" s="97"/>
      <c r="V1630" s="22"/>
      <c r="W1630" s="97"/>
    </row>
    <row r="1631" spans="17:23">
      <c r="Q1631" s="99"/>
      <c r="T1631" s="97"/>
      <c r="V1631" s="22"/>
      <c r="W1631" s="97"/>
    </row>
    <row r="1632" spans="17:23">
      <c r="Q1632" s="99"/>
      <c r="T1632" s="97"/>
      <c r="V1632" s="22"/>
      <c r="W1632" s="97"/>
    </row>
    <row r="1633" spans="17:23">
      <c r="Q1633" s="99"/>
      <c r="T1633" s="97"/>
      <c r="V1633" s="22"/>
      <c r="W1633" s="97"/>
    </row>
    <row r="1634" spans="17:23">
      <c r="Q1634" s="99"/>
      <c r="T1634" s="97"/>
      <c r="V1634" s="22"/>
      <c r="W1634" s="97"/>
    </row>
    <row r="1635" spans="17:23">
      <c r="Q1635" s="99"/>
      <c r="T1635" s="97"/>
      <c r="V1635" s="22"/>
      <c r="W1635" s="97"/>
    </row>
    <row r="1636" spans="17:23">
      <c r="Q1636" s="99"/>
      <c r="T1636" s="97"/>
      <c r="V1636" s="22"/>
      <c r="W1636" s="97"/>
    </row>
    <row r="1637" spans="17:23">
      <c r="Q1637" s="99"/>
      <c r="T1637" s="97"/>
      <c r="V1637" s="22"/>
      <c r="W1637" s="97"/>
    </row>
    <row r="1638" spans="17:23">
      <c r="Q1638" s="99"/>
      <c r="T1638" s="97"/>
      <c r="V1638" s="22"/>
      <c r="W1638" s="97"/>
    </row>
    <row r="1639" spans="17:23">
      <c r="Q1639" s="99"/>
      <c r="T1639" s="97"/>
      <c r="V1639" s="22"/>
      <c r="W1639" s="97"/>
    </row>
    <row r="1640" spans="17:23">
      <c r="Q1640" s="99"/>
      <c r="T1640" s="97"/>
      <c r="V1640" s="22"/>
      <c r="W1640" s="97"/>
    </row>
    <row r="1641" spans="17:23">
      <c r="Q1641" s="99"/>
      <c r="T1641" s="97"/>
      <c r="V1641" s="22"/>
      <c r="W1641" s="97"/>
    </row>
    <row r="1642" spans="17:23">
      <c r="Q1642" s="99"/>
      <c r="T1642" s="97"/>
      <c r="V1642" s="22"/>
      <c r="W1642" s="97"/>
    </row>
    <row r="1643" spans="17:23">
      <c r="Q1643" s="99"/>
      <c r="T1643" s="97"/>
      <c r="V1643" s="22"/>
      <c r="W1643" s="97"/>
    </row>
    <row r="1644" spans="17:23">
      <c r="Q1644" s="99"/>
      <c r="T1644" s="97"/>
      <c r="V1644" s="22"/>
      <c r="W1644" s="97"/>
    </row>
    <row r="1645" spans="17:23">
      <c r="Q1645" s="99"/>
      <c r="T1645" s="97"/>
      <c r="V1645" s="22"/>
      <c r="W1645" s="97"/>
    </row>
    <row r="1646" spans="17:23">
      <c r="Q1646" s="99"/>
      <c r="T1646" s="97"/>
      <c r="V1646" s="22"/>
      <c r="W1646" s="97"/>
    </row>
    <row r="1647" spans="17:23">
      <c r="Q1647" s="99"/>
      <c r="T1647" s="97"/>
      <c r="V1647" s="22"/>
      <c r="W1647" s="97"/>
    </row>
    <row r="1648" spans="17:23">
      <c r="Q1648" s="99"/>
      <c r="T1648" s="97"/>
      <c r="V1648" s="22"/>
      <c r="W1648" s="97"/>
    </row>
    <row r="1649" spans="17:23">
      <c r="Q1649" s="99"/>
      <c r="T1649" s="97"/>
      <c r="V1649" s="22"/>
      <c r="W1649" s="97"/>
    </row>
    <row r="1650" spans="17:23">
      <c r="Q1650" s="99"/>
      <c r="T1650" s="97"/>
      <c r="V1650" s="22"/>
      <c r="W1650" s="97"/>
    </row>
    <row r="1651" spans="17:23">
      <c r="Q1651" s="99"/>
      <c r="T1651" s="97"/>
      <c r="V1651" s="22"/>
      <c r="W1651" s="97"/>
    </row>
    <row r="1652" spans="17:23">
      <c r="Q1652" s="99"/>
      <c r="T1652" s="97"/>
      <c r="V1652" s="22"/>
      <c r="W1652" s="97"/>
    </row>
    <row r="1653" spans="17:23">
      <c r="Q1653" s="99"/>
      <c r="T1653" s="97"/>
      <c r="V1653" s="22"/>
      <c r="W1653" s="97"/>
    </row>
    <row r="1654" spans="17:23">
      <c r="Q1654" s="99"/>
      <c r="T1654" s="97"/>
      <c r="V1654" s="22"/>
      <c r="W1654" s="97"/>
    </row>
    <row r="1655" spans="17:23">
      <c r="Q1655" s="99"/>
      <c r="T1655" s="97"/>
      <c r="V1655" s="22"/>
      <c r="W1655" s="97"/>
    </row>
    <row r="1656" spans="17:23">
      <c r="Q1656" s="99"/>
      <c r="T1656" s="97"/>
      <c r="V1656" s="22"/>
      <c r="W1656" s="97"/>
    </row>
    <row r="1657" spans="17:23">
      <c r="Q1657" s="99"/>
      <c r="T1657" s="97"/>
      <c r="V1657" s="22"/>
      <c r="W1657" s="97"/>
    </row>
    <row r="1658" spans="17:23">
      <c r="Q1658" s="99"/>
      <c r="T1658" s="97"/>
      <c r="V1658" s="22"/>
      <c r="W1658" s="97"/>
    </row>
    <row r="1659" spans="17:23">
      <c r="Q1659" s="99"/>
      <c r="T1659" s="97"/>
      <c r="V1659" s="22"/>
      <c r="W1659" s="97"/>
    </row>
    <row r="1660" spans="17:23">
      <c r="Q1660" s="99"/>
      <c r="T1660" s="97"/>
      <c r="V1660" s="22"/>
      <c r="W1660" s="97"/>
    </row>
    <row r="1661" spans="17:23">
      <c r="Q1661" s="99"/>
      <c r="T1661" s="97"/>
      <c r="V1661" s="22"/>
      <c r="W1661" s="97"/>
    </row>
    <row r="1662" spans="17:23">
      <c r="Q1662" s="99"/>
      <c r="T1662" s="97"/>
      <c r="V1662" s="22"/>
      <c r="W1662" s="97"/>
    </row>
    <row r="1663" spans="17:23">
      <c r="Q1663" s="99"/>
      <c r="T1663" s="97"/>
      <c r="V1663" s="22"/>
      <c r="W1663" s="97"/>
    </row>
    <row r="1664" spans="17:23">
      <c r="Q1664" s="99"/>
      <c r="T1664" s="97"/>
      <c r="V1664" s="22"/>
      <c r="W1664" s="97"/>
    </row>
    <row r="1665" spans="17:23">
      <c r="Q1665" s="99"/>
      <c r="T1665" s="97"/>
      <c r="V1665" s="22"/>
      <c r="W1665" s="97"/>
    </row>
    <row r="1666" spans="17:23">
      <c r="Q1666" s="99"/>
      <c r="T1666" s="97"/>
      <c r="V1666" s="22"/>
      <c r="W1666" s="97"/>
    </row>
    <row r="1667" spans="17:23">
      <c r="Q1667" s="99"/>
      <c r="T1667" s="97"/>
      <c r="V1667" s="22"/>
      <c r="W1667" s="97"/>
    </row>
    <row r="1668" spans="17:23">
      <c r="Q1668" s="99"/>
      <c r="T1668" s="97"/>
      <c r="V1668" s="22"/>
      <c r="W1668" s="97"/>
    </row>
    <row r="1669" spans="17:23">
      <c r="Q1669" s="99"/>
      <c r="T1669" s="97"/>
      <c r="V1669" s="22"/>
      <c r="W1669" s="97"/>
    </row>
    <row r="1670" spans="17:23">
      <c r="Q1670" s="99"/>
      <c r="T1670" s="97"/>
      <c r="V1670" s="22"/>
      <c r="W1670" s="97"/>
    </row>
    <row r="1671" spans="17:23">
      <c r="Q1671" s="99"/>
      <c r="T1671" s="97"/>
      <c r="V1671" s="22"/>
      <c r="W1671" s="97"/>
    </row>
    <row r="1672" spans="17:23">
      <c r="Q1672" s="99"/>
      <c r="T1672" s="97"/>
      <c r="V1672" s="22"/>
      <c r="W1672" s="97"/>
    </row>
    <row r="1673" spans="17:23">
      <c r="Q1673" s="99"/>
      <c r="T1673" s="97"/>
      <c r="V1673" s="22"/>
      <c r="W1673" s="97"/>
    </row>
    <row r="1674" spans="17:23">
      <c r="Q1674" s="99"/>
      <c r="T1674" s="97"/>
      <c r="V1674" s="22"/>
      <c r="W1674" s="97"/>
    </row>
    <row r="1675" spans="17:23">
      <c r="Q1675" s="99"/>
      <c r="T1675" s="97"/>
      <c r="V1675" s="22"/>
      <c r="W1675" s="97"/>
    </row>
    <row r="1676" spans="17:23">
      <c r="Q1676" s="99"/>
      <c r="T1676" s="97"/>
      <c r="V1676" s="22"/>
      <c r="W1676" s="97"/>
    </row>
    <row r="1677" spans="17:23">
      <c r="Q1677" s="99"/>
      <c r="T1677" s="97"/>
      <c r="V1677" s="22"/>
      <c r="W1677" s="97"/>
    </row>
    <row r="1678" spans="17:23">
      <c r="Q1678" s="99"/>
      <c r="T1678" s="97"/>
      <c r="V1678" s="22"/>
      <c r="W1678" s="97"/>
    </row>
    <row r="1679" spans="17:23">
      <c r="Q1679" s="99"/>
      <c r="T1679" s="97"/>
      <c r="V1679" s="22"/>
      <c r="W1679" s="97"/>
    </row>
    <row r="1680" spans="17:23">
      <c r="Q1680" s="99"/>
      <c r="T1680" s="97"/>
      <c r="V1680" s="22"/>
      <c r="W1680" s="97"/>
    </row>
    <row r="1681" spans="17:23">
      <c r="Q1681" s="99"/>
      <c r="T1681" s="97"/>
      <c r="V1681" s="22"/>
      <c r="W1681" s="97"/>
    </row>
    <row r="1682" spans="17:23">
      <c r="Q1682" s="99"/>
      <c r="T1682" s="97"/>
      <c r="V1682" s="22"/>
      <c r="W1682" s="97"/>
    </row>
    <row r="1683" spans="17:23">
      <c r="Q1683" s="99"/>
      <c r="T1683" s="97"/>
      <c r="V1683" s="22"/>
      <c r="W1683" s="97"/>
    </row>
    <row r="1684" spans="17:23">
      <c r="Q1684" s="99"/>
      <c r="T1684" s="97"/>
      <c r="V1684" s="22"/>
      <c r="W1684" s="97"/>
    </row>
    <row r="1685" spans="17:23">
      <c r="Q1685" s="99"/>
      <c r="T1685" s="97"/>
      <c r="V1685" s="22"/>
      <c r="W1685" s="97"/>
    </row>
    <row r="1686" spans="17:23">
      <c r="Q1686" s="99"/>
      <c r="T1686" s="97"/>
      <c r="V1686" s="22"/>
      <c r="W1686" s="97"/>
    </row>
    <row r="1687" spans="17:23">
      <c r="Q1687" s="99"/>
      <c r="T1687" s="97"/>
      <c r="V1687" s="22"/>
      <c r="W1687" s="97"/>
    </row>
    <row r="1688" spans="17:23">
      <c r="Q1688" s="99"/>
      <c r="T1688" s="97"/>
      <c r="V1688" s="22"/>
      <c r="W1688" s="97"/>
    </row>
    <row r="1689" spans="17:23">
      <c r="Q1689" s="99"/>
      <c r="T1689" s="97"/>
      <c r="V1689" s="22"/>
      <c r="W1689" s="97"/>
    </row>
    <row r="1690" spans="17:23">
      <c r="Q1690" s="99"/>
      <c r="T1690" s="97"/>
      <c r="V1690" s="22"/>
      <c r="W1690" s="97"/>
    </row>
    <row r="1691" spans="17:23">
      <c r="Q1691" s="99"/>
      <c r="T1691" s="97"/>
      <c r="V1691" s="22"/>
      <c r="W1691" s="97"/>
    </row>
    <row r="1692" spans="17:23">
      <c r="Q1692" s="99"/>
      <c r="T1692" s="97"/>
      <c r="V1692" s="22"/>
      <c r="W1692" s="97"/>
    </row>
    <row r="1693" spans="17:23">
      <c r="Q1693" s="99"/>
      <c r="T1693" s="97"/>
      <c r="V1693" s="22"/>
      <c r="W1693" s="97"/>
    </row>
    <row r="1694" spans="17:23">
      <c r="Q1694" s="99"/>
      <c r="T1694" s="97"/>
      <c r="V1694" s="22"/>
      <c r="W1694" s="97"/>
    </row>
    <row r="1695" spans="17:23">
      <c r="Q1695" s="99"/>
      <c r="T1695" s="97"/>
      <c r="V1695" s="22"/>
      <c r="W1695" s="97"/>
    </row>
    <row r="1696" spans="17:23">
      <c r="Q1696" s="99"/>
      <c r="T1696" s="97"/>
      <c r="V1696" s="22"/>
      <c r="W1696" s="97"/>
    </row>
    <row r="1697" spans="17:23">
      <c r="Q1697" s="99"/>
      <c r="T1697" s="97"/>
      <c r="V1697" s="22"/>
      <c r="W1697" s="97"/>
    </row>
    <row r="1698" spans="17:23">
      <c r="Q1698" s="99"/>
      <c r="T1698" s="97"/>
      <c r="V1698" s="22"/>
      <c r="W1698" s="97"/>
    </row>
    <row r="1699" spans="17:23">
      <c r="Q1699" s="99"/>
      <c r="T1699" s="97"/>
      <c r="V1699" s="22"/>
      <c r="W1699" s="97"/>
    </row>
    <row r="1700" spans="17:23">
      <c r="Q1700" s="99"/>
      <c r="T1700" s="97"/>
      <c r="V1700" s="22"/>
      <c r="W1700" s="97"/>
    </row>
    <row r="1701" spans="17:23">
      <c r="Q1701" s="99"/>
      <c r="T1701" s="97"/>
      <c r="V1701" s="22"/>
      <c r="W1701" s="97"/>
    </row>
    <row r="1702" spans="17:23">
      <c r="Q1702" s="99"/>
      <c r="T1702" s="97"/>
      <c r="V1702" s="22"/>
      <c r="W1702" s="97"/>
    </row>
    <row r="1703" spans="17:23">
      <c r="Q1703" s="99"/>
      <c r="T1703" s="97"/>
      <c r="V1703" s="22"/>
      <c r="W1703" s="97"/>
    </row>
    <row r="1704" spans="17:23">
      <c r="Q1704" s="99"/>
      <c r="T1704" s="97"/>
      <c r="V1704" s="22"/>
      <c r="W1704" s="97"/>
    </row>
    <row r="1705" spans="17:23">
      <c r="Q1705" s="99"/>
      <c r="T1705" s="97"/>
      <c r="V1705" s="22"/>
      <c r="W1705" s="97"/>
    </row>
    <row r="1706" spans="17:23">
      <c r="Q1706" s="99"/>
      <c r="T1706" s="97"/>
      <c r="V1706" s="22"/>
      <c r="W1706" s="97"/>
    </row>
    <row r="1707" spans="17:23">
      <c r="Q1707" s="99"/>
      <c r="T1707" s="97"/>
      <c r="V1707" s="22"/>
      <c r="W1707" s="97"/>
    </row>
    <row r="1708" spans="17:23">
      <c r="Q1708" s="99"/>
      <c r="T1708" s="97"/>
      <c r="V1708" s="22"/>
      <c r="W1708" s="97"/>
    </row>
    <row r="1709" spans="17:23">
      <c r="Q1709" s="99"/>
      <c r="T1709" s="97"/>
      <c r="V1709" s="22"/>
      <c r="W1709" s="97"/>
    </row>
    <row r="1710" spans="17:23">
      <c r="Q1710" s="99"/>
      <c r="T1710" s="97"/>
      <c r="V1710" s="22"/>
      <c r="W1710" s="97"/>
    </row>
    <row r="1711" spans="17:23">
      <c r="Q1711" s="99"/>
      <c r="T1711" s="97"/>
      <c r="V1711" s="22"/>
      <c r="W1711" s="97"/>
    </row>
    <row r="1712" spans="17:23">
      <c r="Q1712" s="99"/>
      <c r="T1712" s="97"/>
      <c r="V1712" s="22"/>
      <c r="W1712" s="97"/>
    </row>
    <row r="1713" spans="17:23">
      <c r="Q1713" s="99"/>
      <c r="T1713" s="97"/>
      <c r="V1713" s="22"/>
      <c r="W1713" s="97"/>
    </row>
    <row r="1714" spans="17:23">
      <c r="Q1714" s="99"/>
      <c r="T1714" s="97"/>
      <c r="V1714" s="22"/>
      <c r="W1714" s="97"/>
    </row>
    <row r="1715" spans="17:23">
      <c r="Q1715" s="99"/>
      <c r="T1715" s="97"/>
      <c r="V1715" s="22"/>
      <c r="W1715" s="97"/>
    </row>
    <row r="1716" spans="17:23">
      <c r="Q1716" s="99"/>
      <c r="T1716" s="97"/>
      <c r="V1716" s="22"/>
      <c r="W1716" s="97"/>
    </row>
    <row r="1717" spans="17:23">
      <c r="Q1717" s="99"/>
      <c r="T1717" s="97"/>
      <c r="V1717" s="22"/>
      <c r="W1717" s="97"/>
    </row>
    <row r="1718" spans="17:23">
      <c r="Q1718" s="99"/>
      <c r="T1718" s="97"/>
      <c r="V1718" s="22"/>
      <c r="W1718" s="97"/>
    </row>
    <row r="1719" spans="17:23">
      <c r="Q1719" s="99"/>
      <c r="T1719" s="97"/>
      <c r="V1719" s="22"/>
      <c r="W1719" s="97"/>
    </row>
    <row r="1720" spans="17:23">
      <c r="Q1720" s="99"/>
      <c r="T1720" s="97"/>
      <c r="V1720" s="22"/>
      <c r="W1720" s="97"/>
    </row>
    <row r="1721" spans="17:23">
      <c r="Q1721" s="99"/>
      <c r="T1721" s="97"/>
      <c r="V1721" s="22"/>
      <c r="W1721" s="97"/>
    </row>
    <row r="1722" spans="17:23">
      <c r="Q1722" s="99"/>
      <c r="T1722" s="97"/>
      <c r="V1722" s="22"/>
      <c r="W1722" s="97"/>
    </row>
    <row r="1723" spans="17:23">
      <c r="Q1723" s="99"/>
      <c r="T1723" s="97"/>
      <c r="V1723" s="22"/>
      <c r="W1723" s="97"/>
    </row>
    <row r="1724" spans="17:23">
      <c r="Q1724" s="99"/>
      <c r="T1724" s="97"/>
      <c r="V1724" s="22"/>
      <c r="W1724" s="97"/>
    </row>
    <row r="1725" spans="17:23">
      <c r="Q1725" s="99"/>
      <c r="T1725" s="97"/>
      <c r="V1725" s="22"/>
      <c r="W1725" s="97"/>
    </row>
    <row r="1726" spans="17:23">
      <c r="Q1726" s="99"/>
      <c r="T1726" s="97"/>
      <c r="V1726" s="22"/>
      <c r="W1726" s="97"/>
    </row>
    <row r="1727" spans="17:23">
      <c r="Q1727" s="99"/>
      <c r="T1727" s="97"/>
      <c r="V1727" s="22"/>
      <c r="W1727" s="97"/>
    </row>
    <row r="1728" spans="17:23">
      <c r="Q1728" s="99"/>
      <c r="T1728" s="97"/>
      <c r="V1728" s="22"/>
      <c r="W1728" s="97"/>
    </row>
    <row r="1729" spans="17:23">
      <c r="Q1729" s="99"/>
      <c r="T1729" s="97"/>
      <c r="V1729" s="22"/>
      <c r="W1729" s="97"/>
    </row>
    <row r="1730" spans="17:23">
      <c r="Q1730" s="99"/>
      <c r="T1730" s="97"/>
      <c r="V1730" s="22"/>
      <c r="W1730" s="97"/>
    </row>
    <row r="1731" spans="17:23">
      <c r="Q1731" s="99"/>
      <c r="T1731" s="97"/>
      <c r="V1731" s="22"/>
      <c r="W1731" s="97"/>
    </row>
    <row r="1732" spans="17:23">
      <c r="Q1732" s="99"/>
      <c r="T1732" s="97"/>
      <c r="V1732" s="22"/>
      <c r="W1732" s="97"/>
    </row>
    <row r="1733" spans="17:23">
      <c r="Q1733" s="99"/>
      <c r="T1733" s="97"/>
      <c r="V1733" s="22"/>
      <c r="W1733" s="97"/>
    </row>
    <row r="1734" spans="17:23">
      <c r="Q1734" s="99"/>
      <c r="T1734" s="97"/>
      <c r="V1734" s="22"/>
      <c r="W1734" s="97"/>
    </row>
    <row r="1735" spans="17:23">
      <c r="Q1735" s="99"/>
      <c r="T1735" s="97"/>
      <c r="V1735" s="22"/>
      <c r="W1735" s="97"/>
    </row>
    <row r="1736" spans="17:23">
      <c r="Q1736" s="99"/>
      <c r="T1736" s="97"/>
      <c r="V1736" s="22"/>
      <c r="W1736" s="97"/>
    </row>
    <row r="1737" spans="17:23">
      <c r="Q1737" s="99"/>
      <c r="T1737" s="97"/>
      <c r="V1737" s="22"/>
      <c r="W1737" s="97"/>
    </row>
    <row r="1738" spans="17:23">
      <c r="Q1738" s="99"/>
      <c r="T1738" s="97"/>
      <c r="V1738" s="22"/>
      <c r="W1738" s="97"/>
    </row>
    <row r="1739" spans="17:23">
      <c r="Q1739" s="99"/>
      <c r="T1739" s="97"/>
      <c r="V1739" s="22"/>
      <c r="W1739" s="97"/>
    </row>
    <row r="1740" spans="17:23">
      <c r="Q1740" s="99"/>
      <c r="T1740" s="97"/>
      <c r="V1740" s="22"/>
      <c r="W1740" s="97"/>
    </row>
    <row r="1741" spans="17:23">
      <c r="Q1741" s="99"/>
      <c r="T1741" s="97"/>
      <c r="V1741" s="22"/>
      <c r="W1741" s="97"/>
    </row>
    <row r="1742" spans="17:23">
      <c r="Q1742" s="99"/>
      <c r="T1742" s="97"/>
      <c r="V1742" s="22"/>
      <c r="W1742" s="97"/>
    </row>
    <row r="1743" spans="17:23">
      <c r="Q1743" s="99"/>
      <c r="T1743" s="97"/>
      <c r="V1743" s="22"/>
      <c r="W1743" s="97"/>
    </row>
    <row r="1744" spans="17:23">
      <c r="Q1744" s="99"/>
      <c r="T1744" s="97"/>
      <c r="V1744" s="22"/>
      <c r="W1744" s="97"/>
    </row>
    <row r="1745" spans="17:23">
      <c r="Q1745" s="99"/>
      <c r="T1745" s="97"/>
      <c r="V1745" s="22"/>
      <c r="W1745" s="97"/>
    </row>
    <row r="1746" spans="17:23">
      <c r="Q1746" s="99"/>
      <c r="T1746" s="97"/>
      <c r="V1746" s="22"/>
      <c r="W1746" s="97"/>
    </row>
    <row r="1747" spans="17:23">
      <c r="Q1747" s="99"/>
      <c r="T1747" s="97"/>
      <c r="V1747" s="22"/>
      <c r="W1747" s="97"/>
    </row>
    <row r="1748" spans="17:23">
      <c r="Q1748" s="99"/>
      <c r="T1748" s="97"/>
      <c r="V1748" s="22"/>
      <c r="W1748" s="97"/>
    </row>
    <row r="1749" spans="17:23">
      <c r="Q1749" s="99"/>
      <c r="T1749" s="97"/>
      <c r="V1749" s="22"/>
      <c r="W1749" s="97"/>
    </row>
    <row r="1750" spans="17:23">
      <c r="Q1750" s="99"/>
      <c r="T1750" s="97"/>
      <c r="V1750" s="22"/>
      <c r="W1750" s="97"/>
    </row>
    <row r="1751" spans="17:23">
      <c r="Q1751" s="99"/>
      <c r="T1751" s="97"/>
      <c r="V1751" s="22"/>
      <c r="W1751" s="97"/>
    </row>
    <row r="1752" spans="17:23">
      <c r="Q1752" s="99"/>
      <c r="T1752" s="97"/>
      <c r="V1752" s="22"/>
      <c r="W1752" s="97"/>
    </row>
    <row r="1753" spans="17:23">
      <c r="Q1753" s="99"/>
      <c r="T1753" s="97"/>
      <c r="V1753" s="22"/>
      <c r="W1753" s="97"/>
    </row>
    <row r="1754" spans="17:23">
      <c r="Q1754" s="99"/>
      <c r="T1754" s="97"/>
      <c r="V1754" s="22"/>
      <c r="W1754" s="97"/>
    </row>
    <row r="1755" spans="17:23">
      <c r="Q1755" s="99"/>
      <c r="T1755" s="97"/>
      <c r="V1755" s="22"/>
      <c r="W1755" s="97"/>
    </row>
    <row r="1756" spans="17:23">
      <c r="Q1756" s="99"/>
      <c r="T1756" s="97"/>
      <c r="V1756" s="22"/>
      <c r="W1756" s="97"/>
    </row>
    <row r="1757" spans="17:23">
      <c r="Q1757" s="99"/>
      <c r="T1757" s="97"/>
      <c r="V1757" s="22"/>
      <c r="W1757" s="97"/>
    </row>
    <row r="1758" spans="17:23">
      <c r="Q1758" s="99"/>
      <c r="T1758" s="97"/>
      <c r="V1758" s="22"/>
      <c r="W1758" s="97"/>
    </row>
    <row r="1759" spans="17:23">
      <c r="Q1759" s="99"/>
      <c r="T1759" s="97"/>
      <c r="V1759" s="22"/>
      <c r="W1759" s="97"/>
    </row>
    <row r="1760" spans="17:23">
      <c r="Q1760" s="99"/>
      <c r="T1760" s="97"/>
      <c r="V1760" s="22"/>
      <c r="W1760" s="97"/>
    </row>
    <row r="1761" spans="17:23">
      <c r="Q1761" s="99"/>
      <c r="T1761" s="97"/>
      <c r="V1761" s="22"/>
      <c r="W1761" s="97"/>
    </row>
    <row r="1762" spans="17:23">
      <c r="Q1762" s="99"/>
      <c r="T1762" s="97"/>
      <c r="V1762" s="22"/>
      <c r="W1762" s="97"/>
    </row>
    <row r="1763" spans="17:23">
      <c r="Q1763" s="99"/>
      <c r="T1763" s="97"/>
      <c r="V1763" s="22"/>
      <c r="W1763" s="97"/>
    </row>
    <row r="1764" spans="17:23">
      <c r="Q1764" s="99"/>
      <c r="T1764" s="97"/>
      <c r="V1764" s="22"/>
      <c r="W1764" s="97"/>
    </row>
    <row r="1765" spans="17:23">
      <c r="Q1765" s="99"/>
      <c r="T1765" s="97"/>
      <c r="V1765" s="22"/>
      <c r="W1765" s="97"/>
    </row>
    <row r="1766" spans="17:23">
      <c r="Q1766" s="99"/>
      <c r="T1766" s="97"/>
      <c r="V1766" s="22"/>
      <c r="W1766" s="97"/>
    </row>
    <row r="1767" spans="17:23">
      <c r="Q1767" s="99"/>
      <c r="T1767" s="97"/>
      <c r="V1767" s="22"/>
      <c r="W1767" s="97"/>
    </row>
    <row r="1768" spans="17:23">
      <c r="Q1768" s="99"/>
      <c r="T1768" s="97"/>
      <c r="V1768" s="22"/>
      <c r="W1768" s="97"/>
    </row>
    <row r="1769" spans="17:23">
      <c r="Q1769" s="99"/>
      <c r="T1769" s="97"/>
      <c r="V1769" s="22"/>
      <c r="W1769" s="97"/>
    </row>
    <row r="1770" spans="17:23">
      <c r="Q1770" s="99"/>
      <c r="T1770" s="97"/>
      <c r="V1770" s="22"/>
      <c r="W1770" s="97"/>
    </row>
    <row r="1771" spans="17:23">
      <c r="Q1771" s="99"/>
      <c r="T1771" s="97"/>
      <c r="V1771" s="22"/>
      <c r="W1771" s="97"/>
    </row>
    <row r="1772" spans="17:23">
      <c r="Q1772" s="99"/>
      <c r="T1772" s="97"/>
      <c r="V1772" s="22"/>
      <c r="W1772" s="97"/>
    </row>
    <row r="1773" spans="17:23">
      <c r="Q1773" s="99"/>
      <c r="T1773" s="97"/>
      <c r="V1773" s="22"/>
      <c r="W1773" s="97"/>
    </row>
    <row r="1774" spans="17:23">
      <c r="Q1774" s="99"/>
      <c r="T1774" s="97"/>
      <c r="V1774" s="22"/>
      <c r="W1774" s="97"/>
    </row>
    <row r="1775" spans="17:23">
      <c r="Q1775" s="99"/>
      <c r="T1775" s="97"/>
      <c r="V1775" s="22"/>
      <c r="W1775" s="97"/>
    </row>
    <row r="1776" spans="17:23">
      <c r="Q1776" s="99"/>
      <c r="T1776" s="97"/>
      <c r="V1776" s="22"/>
      <c r="W1776" s="97"/>
    </row>
    <row r="1777" spans="17:23">
      <c r="Q1777" s="99"/>
      <c r="T1777" s="97"/>
      <c r="V1777" s="22"/>
      <c r="W1777" s="97"/>
    </row>
    <row r="1778" spans="17:23">
      <c r="Q1778" s="99"/>
      <c r="T1778" s="97"/>
      <c r="V1778" s="22"/>
      <c r="W1778" s="97"/>
    </row>
    <row r="1779" spans="17:23">
      <c r="Q1779" s="99"/>
      <c r="T1779" s="97"/>
      <c r="V1779" s="22"/>
      <c r="W1779" s="97"/>
    </row>
    <row r="1780" spans="17:23">
      <c r="Q1780" s="99"/>
      <c r="T1780" s="97"/>
      <c r="V1780" s="22"/>
      <c r="W1780" s="97"/>
    </row>
    <row r="1781" spans="17:23">
      <c r="Q1781" s="99"/>
      <c r="T1781" s="97"/>
      <c r="V1781" s="22"/>
      <c r="W1781" s="97"/>
    </row>
    <row r="1782" spans="17:23">
      <c r="Q1782" s="99"/>
      <c r="T1782" s="97"/>
      <c r="V1782" s="22"/>
      <c r="W1782" s="97"/>
    </row>
    <row r="1783" spans="17:23">
      <c r="Q1783" s="99"/>
      <c r="T1783" s="97"/>
      <c r="V1783" s="22"/>
      <c r="W1783" s="97"/>
    </row>
    <row r="1784" spans="17:23">
      <c r="Q1784" s="99"/>
      <c r="T1784" s="97"/>
      <c r="V1784" s="22"/>
      <c r="W1784" s="97"/>
    </row>
    <row r="1785" spans="17:23">
      <c r="Q1785" s="99"/>
      <c r="T1785" s="97"/>
      <c r="V1785" s="22"/>
      <c r="W1785" s="97"/>
    </row>
    <row r="1786" spans="17:23">
      <c r="Q1786" s="99"/>
      <c r="T1786" s="97"/>
      <c r="V1786" s="22"/>
      <c r="W1786" s="97"/>
    </row>
    <row r="1787" spans="17:23">
      <c r="Q1787" s="99"/>
      <c r="T1787" s="97"/>
      <c r="V1787" s="22"/>
      <c r="W1787" s="97"/>
    </row>
    <row r="1788" spans="17:23">
      <c r="Q1788" s="99"/>
      <c r="T1788" s="97"/>
      <c r="V1788" s="22"/>
      <c r="W1788" s="97"/>
    </row>
    <row r="1789" spans="17:23">
      <c r="Q1789" s="99"/>
      <c r="T1789" s="97"/>
      <c r="V1789" s="22"/>
      <c r="W1789" s="97"/>
    </row>
    <row r="1790" spans="17:23">
      <c r="Q1790" s="99"/>
      <c r="T1790" s="97"/>
      <c r="V1790" s="22"/>
      <c r="W1790" s="97"/>
    </row>
    <row r="1791" spans="17:23">
      <c r="Q1791" s="99"/>
      <c r="T1791" s="97"/>
      <c r="V1791" s="22"/>
      <c r="W1791" s="97"/>
    </row>
    <row r="1792" spans="17:23">
      <c r="Q1792" s="99"/>
      <c r="T1792" s="97"/>
      <c r="V1792" s="22"/>
      <c r="W1792" s="97"/>
    </row>
    <row r="1793" spans="17:23">
      <c r="Q1793" s="99"/>
      <c r="T1793" s="97"/>
      <c r="V1793" s="22"/>
      <c r="W1793" s="97"/>
    </row>
    <row r="1794" spans="17:23">
      <c r="Q1794" s="99"/>
      <c r="T1794" s="97"/>
      <c r="V1794" s="22"/>
      <c r="W1794" s="97"/>
    </row>
    <row r="1795" spans="17:23">
      <c r="Q1795" s="99"/>
      <c r="T1795" s="97"/>
      <c r="V1795" s="22"/>
      <c r="W1795" s="97"/>
    </row>
    <row r="1796" spans="17:23">
      <c r="Q1796" s="99"/>
      <c r="T1796" s="97"/>
      <c r="V1796" s="22"/>
      <c r="W1796" s="97"/>
    </row>
    <row r="1797" spans="17:23">
      <c r="Q1797" s="99"/>
      <c r="T1797" s="97"/>
      <c r="V1797" s="22"/>
      <c r="W1797" s="97"/>
    </row>
    <row r="1798" spans="17:23">
      <c r="Q1798" s="99"/>
      <c r="T1798" s="97"/>
      <c r="V1798" s="22"/>
      <c r="W1798" s="97"/>
    </row>
    <row r="1799" spans="17:23">
      <c r="Q1799" s="99"/>
      <c r="T1799" s="97"/>
      <c r="V1799" s="22"/>
      <c r="W1799" s="97"/>
    </row>
    <row r="1800" spans="17:23">
      <c r="Q1800" s="99"/>
      <c r="T1800" s="97"/>
      <c r="V1800" s="22"/>
      <c r="W1800" s="97"/>
    </row>
    <row r="1801" spans="17:23">
      <c r="Q1801" s="99"/>
      <c r="T1801" s="97"/>
      <c r="V1801" s="22"/>
      <c r="W1801" s="97"/>
    </row>
    <row r="1802" spans="17:23">
      <c r="Q1802" s="99"/>
      <c r="T1802" s="97"/>
      <c r="V1802" s="22"/>
      <c r="W1802" s="97"/>
    </row>
    <row r="1803" spans="17:23">
      <c r="Q1803" s="99"/>
      <c r="T1803" s="97"/>
      <c r="V1803" s="22"/>
      <c r="W1803" s="97"/>
    </row>
    <row r="1804" spans="17:23">
      <c r="Q1804" s="99"/>
      <c r="T1804" s="97"/>
      <c r="V1804" s="22"/>
      <c r="W1804" s="97"/>
    </row>
    <row r="1805" spans="17:23">
      <c r="Q1805" s="99"/>
      <c r="T1805" s="97"/>
      <c r="V1805" s="22"/>
      <c r="W1805" s="97"/>
    </row>
    <row r="1806" spans="17:23">
      <c r="Q1806" s="99"/>
      <c r="T1806" s="97"/>
      <c r="V1806" s="22"/>
      <c r="W1806" s="97"/>
    </row>
    <row r="1807" spans="17:23">
      <c r="Q1807" s="99"/>
      <c r="T1807" s="97"/>
      <c r="V1807" s="22"/>
      <c r="W1807" s="97"/>
    </row>
    <row r="1808" spans="17:23">
      <c r="Q1808" s="99"/>
      <c r="T1808" s="97"/>
      <c r="V1808" s="22"/>
      <c r="W1808" s="97"/>
    </row>
    <row r="1809" spans="17:23">
      <c r="Q1809" s="99"/>
      <c r="T1809" s="97"/>
      <c r="V1809" s="22"/>
      <c r="W1809" s="97"/>
    </row>
    <row r="1810" spans="17:23">
      <c r="Q1810" s="99"/>
      <c r="T1810" s="97"/>
      <c r="V1810" s="22"/>
      <c r="W1810" s="97"/>
    </row>
    <row r="1811" spans="17:23">
      <c r="Q1811" s="99"/>
      <c r="T1811" s="97"/>
      <c r="V1811" s="22"/>
      <c r="W1811" s="97"/>
    </row>
    <row r="1812" spans="17:23">
      <c r="Q1812" s="99"/>
      <c r="T1812" s="97"/>
      <c r="V1812" s="22"/>
      <c r="W1812" s="97"/>
    </row>
    <row r="1813" spans="17:23">
      <c r="Q1813" s="99"/>
      <c r="T1813" s="97"/>
      <c r="V1813" s="22"/>
      <c r="W1813" s="97"/>
    </row>
    <row r="1814" spans="17:23">
      <c r="Q1814" s="99"/>
      <c r="T1814" s="97"/>
      <c r="V1814" s="22"/>
      <c r="W1814" s="97"/>
    </row>
    <row r="1815" spans="17:23">
      <c r="Q1815" s="99"/>
      <c r="T1815" s="97"/>
      <c r="V1815" s="22"/>
      <c r="W1815" s="97"/>
    </row>
    <row r="1816" spans="17:23">
      <c r="Q1816" s="99"/>
      <c r="T1816" s="97"/>
      <c r="V1816" s="22"/>
      <c r="W1816" s="97"/>
    </row>
    <row r="1817" spans="17:23">
      <c r="Q1817" s="99"/>
      <c r="T1817" s="97"/>
      <c r="V1817" s="22"/>
      <c r="W1817" s="97"/>
    </row>
    <row r="1818" spans="17:23">
      <c r="Q1818" s="99"/>
      <c r="T1818" s="97"/>
      <c r="V1818" s="22"/>
      <c r="W1818" s="97"/>
    </row>
    <row r="1819" spans="17:23">
      <c r="Q1819" s="99"/>
      <c r="T1819" s="97"/>
      <c r="V1819" s="22"/>
      <c r="W1819" s="97"/>
    </row>
    <row r="1820" spans="17:23">
      <c r="Q1820" s="99"/>
      <c r="T1820" s="97"/>
      <c r="V1820" s="22"/>
      <c r="W1820" s="97"/>
    </row>
    <row r="1821" spans="17:23">
      <c r="Q1821" s="99"/>
      <c r="T1821" s="97"/>
      <c r="V1821" s="22"/>
      <c r="W1821" s="97"/>
    </row>
    <row r="1822" spans="17:23">
      <c r="Q1822" s="99"/>
      <c r="T1822" s="97"/>
      <c r="V1822" s="22"/>
      <c r="W1822" s="97"/>
    </row>
    <row r="1823" spans="17:23">
      <c r="Q1823" s="99"/>
      <c r="T1823" s="97"/>
      <c r="V1823" s="22"/>
      <c r="W1823" s="97"/>
    </row>
    <row r="1824" spans="17:23">
      <c r="Q1824" s="99"/>
      <c r="T1824" s="97"/>
      <c r="V1824" s="22"/>
      <c r="W1824" s="97"/>
    </row>
    <row r="1825" spans="17:23">
      <c r="Q1825" s="99"/>
      <c r="T1825" s="97"/>
      <c r="V1825" s="22"/>
      <c r="W1825" s="97"/>
    </row>
    <row r="1826" spans="17:23">
      <c r="Q1826" s="99"/>
      <c r="T1826" s="97"/>
      <c r="V1826" s="22"/>
      <c r="W1826" s="97"/>
    </row>
    <row r="1827" spans="17:23">
      <c r="Q1827" s="99"/>
      <c r="T1827" s="97"/>
      <c r="V1827" s="22"/>
      <c r="W1827" s="97"/>
    </row>
    <row r="1828" spans="17:23">
      <c r="Q1828" s="99"/>
      <c r="T1828" s="97"/>
      <c r="V1828" s="22"/>
      <c r="W1828" s="97"/>
    </row>
    <row r="1829" spans="17:23">
      <c r="Q1829" s="99"/>
      <c r="T1829" s="97"/>
      <c r="V1829" s="22"/>
      <c r="W1829" s="97"/>
    </row>
    <row r="1830" spans="17:23">
      <c r="Q1830" s="99"/>
      <c r="T1830" s="97"/>
      <c r="V1830" s="22"/>
      <c r="W1830" s="97"/>
    </row>
    <row r="1831" spans="17:23">
      <c r="Q1831" s="99"/>
      <c r="T1831" s="97"/>
      <c r="V1831" s="22"/>
      <c r="W1831" s="97"/>
    </row>
    <row r="1832" spans="17:23">
      <c r="Q1832" s="99"/>
      <c r="T1832" s="97"/>
      <c r="V1832" s="22"/>
      <c r="W1832" s="97"/>
    </row>
    <row r="1833" spans="17:23">
      <c r="Q1833" s="99"/>
      <c r="T1833" s="97"/>
      <c r="V1833" s="22"/>
      <c r="W1833" s="97"/>
    </row>
    <row r="1834" spans="17:23">
      <c r="Q1834" s="99"/>
      <c r="T1834" s="97"/>
      <c r="V1834" s="22"/>
      <c r="W1834" s="97"/>
    </row>
    <row r="1835" spans="17:23">
      <c r="Q1835" s="99"/>
      <c r="T1835" s="97"/>
      <c r="V1835" s="22"/>
      <c r="W1835" s="97"/>
    </row>
    <row r="1836" spans="17:23">
      <c r="Q1836" s="99"/>
      <c r="T1836" s="97"/>
      <c r="V1836" s="22"/>
      <c r="W1836" s="97"/>
    </row>
    <row r="1837" spans="17:23">
      <c r="Q1837" s="99"/>
      <c r="T1837" s="97"/>
      <c r="V1837" s="22"/>
      <c r="W1837" s="97"/>
    </row>
    <row r="1838" spans="17:23">
      <c r="Q1838" s="99"/>
      <c r="T1838" s="97"/>
      <c r="V1838" s="22"/>
      <c r="W1838" s="97"/>
    </row>
    <row r="1839" spans="17:23">
      <c r="Q1839" s="99"/>
      <c r="T1839" s="97"/>
      <c r="V1839" s="22"/>
      <c r="W1839" s="97"/>
    </row>
    <row r="1840" spans="17:23">
      <c r="Q1840" s="99"/>
      <c r="T1840" s="97"/>
      <c r="V1840" s="22"/>
      <c r="W1840" s="97"/>
    </row>
    <row r="1841" spans="17:23">
      <c r="Q1841" s="99"/>
      <c r="T1841" s="97"/>
      <c r="V1841" s="22"/>
      <c r="W1841" s="97"/>
    </row>
    <row r="1842" spans="17:23">
      <c r="Q1842" s="99"/>
      <c r="T1842" s="97"/>
      <c r="V1842" s="22"/>
      <c r="W1842" s="97"/>
    </row>
    <row r="1843" spans="17:23">
      <c r="Q1843" s="99"/>
      <c r="T1843" s="97"/>
      <c r="V1843" s="22"/>
      <c r="W1843" s="97"/>
    </row>
    <row r="1844" spans="17:23">
      <c r="Q1844" s="99"/>
      <c r="T1844" s="97"/>
      <c r="V1844" s="22"/>
      <c r="W1844" s="97"/>
    </row>
    <row r="1845" spans="17:23">
      <c r="Q1845" s="99"/>
      <c r="T1845" s="97"/>
      <c r="V1845" s="22"/>
      <c r="W1845" s="97"/>
    </row>
    <row r="1846" spans="17:23">
      <c r="Q1846" s="99"/>
      <c r="T1846" s="97"/>
      <c r="V1846" s="22"/>
      <c r="W1846" s="97"/>
    </row>
    <row r="1847" spans="17:23">
      <c r="Q1847" s="99"/>
      <c r="T1847" s="97"/>
      <c r="V1847" s="22"/>
      <c r="W1847" s="97"/>
    </row>
    <row r="1848" spans="17:23">
      <c r="Q1848" s="99"/>
      <c r="T1848" s="97"/>
      <c r="V1848" s="22"/>
      <c r="W1848" s="97"/>
    </row>
    <row r="1849" spans="17:23">
      <c r="Q1849" s="99"/>
      <c r="T1849" s="97"/>
      <c r="V1849" s="22"/>
      <c r="W1849" s="97"/>
    </row>
    <row r="1850" spans="17:23">
      <c r="Q1850" s="99"/>
      <c r="T1850" s="97"/>
      <c r="V1850" s="22"/>
      <c r="W1850" s="97"/>
    </row>
    <row r="1851" spans="17:23">
      <c r="Q1851" s="99"/>
      <c r="T1851" s="97"/>
      <c r="V1851" s="22"/>
      <c r="W1851" s="97"/>
    </row>
    <row r="1852" spans="17:23">
      <c r="Q1852" s="99"/>
      <c r="T1852" s="97"/>
      <c r="V1852" s="22"/>
      <c r="W1852" s="97"/>
    </row>
    <row r="1853" spans="17:23">
      <c r="Q1853" s="99"/>
      <c r="T1853" s="97"/>
      <c r="V1853" s="22"/>
      <c r="W1853" s="97"/>
    </row>
    <row r="1854" spans="17:23">
      <c r="Q1854" s="99"/>
      <c r="T1854" s="97"/>
      <c r="V1854" s="22"/>
      <c r="W1854" s="97"/>
    </row>
    <row r="1855" spans="17:23">
      <c r="Q1855" s="99"/>
      <c r="T1855" s="97"/>
      <c r="V1855" s="22"/>
      <c r="W1855" s="97"/>
    </row>
    <row r="1856" spans="17:23">
      <c r="Q1856" s="99"/>
      <c r="T1856" s="97"/>
      <c r="V1856" s="22"/>
      <c r="W1856" s="97"/>
    </row>
    <row r="1857" spans="17:23">
      <c r="Q1857" s="99"/>
      <c r="T1857" s="97"/>
      <c r="V1857" s="22"/>
      <c r="W1857" s="97"/>
    </row>
    <row r="1858" spans="17:23">
      <c r="Q1858" s="99"/>
      <c r="T1858" s="97"/>
      <c r="V1858" s="22"/>
      <c r="W1858" s="97"/>
    </row>
    <row r="1859" spans="17:23">
      <c r="Q1859" s="99"/>
      <c r="T1859" s="97"/>
      <c r="V1859" s="22"/>
      <c r="W1859" s="97"/>
    </row>
    <row r="1860" spans="17:23">
      <c r="Q1860" s="99"/>
      <c r="T1860" s="97"/>
      <c r="V1860" s="22"/>
      <c r="W1860" s="97"/>
    </row>
    <row r="1861" spans="17:23">
      <c r="Q1861" s="99"/>
      <c r="T1861" s="97"/>
      <c r="V1861" s="22"/>
      <c r="W1861" s="97"/>
    </row>
    <row r="1862" spans="17:23">
      <c r="Q1862" s="99"/>
      <c r="T1862" s="97"/>
      <c r="V1862" s="22"/>
      <c r="W1862" s="97"/>
    </row>
    <row r="1863" spans="17:23">
      <c r="Q1863" s="99"/>
      <c r="T1863" s="97"/>
      <c r="V1863" s="22"/>
      <c r="W1863" s="97"/>
    </row>
    <row r="1864" spans="17:23">
      <c r="Q1864" s="99"/>
      <c r="T1864" s="97"/>
      <c r="V1864" s="22"/>
      <c r="W1864" s="97"/>
    </row>
    <row r="1865" spans="17:23">
      <c r="Q1865" s="99"/>
      <c r="T1865" s="97"/>
      <c r="V1865" s="22"/>
      <c r="W1865" s="97"/>
    </row>
    <row r="1866" spans="17:23">
      <c r="Q1866" s="99"/>
      <c r="T1866" s="97"/>
      <c r="V1866" s="22"/>
      <c r="W1866" s="97"/>
    </row>
    <row r="1867" spans="17:23">
      <c r="Q1867" s="99"/>
      <c r="T1867" s="97"/>
      <c r="V1867" s="22"/>
      <c r="W1867" s="97"/>
    </row>
    <row r="1868" spans="17:23">
      <c r="Q1868" s="99"/>
      <c r="T1868" s="97"/>
      <c r="V1868" s="22"/>
      <c r="W1868" s="97"/>
    </row>
    <row r="1869" spans="17:23">
      <c r="Q1869" s="99"/>
      <c r="T1869" s="97"/>
      <c r="V1869" s="22"/>
      <c r="W1869" s="97"/>
    </row>
    <row r="1870" spans="17:23">
      <c r="Q1870" s="99"/>
      <c r="T1870" s="97"/>
      <c r="V1870" s="22"/>
      <c r="W1870" s="97"/>
    </row>
    <row r="1871" spans="17:23">
      <c r="Q1871" s="99"/>
      <c r="T1871" s="97"/>
      <c r="V1871" s="22"/>
      <c r="W1871" s="97"/>
    </row>
    <row r="1872" spans="17:23">
      <c r="Q1872" s="99"/>
      <c r="T1872" s="97"/>
      <c r="V1872" s="22"/>
      <c r="W1872" s="97"/>
    </row>
    <row r="1873" spans="17:23">
      <c r="Q1873" s="99"/>
      <c r="T1873" s="97"/>
      <c r="V1873" s="22"/>
      <c r="W1873" s="97"/>
    </row>
    <row r="1874" spans="17:23">
      <c r="Q1874" s="99"/>
      <c r="T1874" s="97"/>
      <c r="V1874" s="22"/>
      <c r="W1874" s="97"/>
    </row>
    <row r="1875" spans="17:23">
      <c r="Q1875" s="99"/>
      <c r="T1875" s="97"/>
      <c r="V1875" s="22"/>
      <c r="W1875" s="97"/>
    </row>
    <row r="1876" spans="17:23">
      <c r="Q1876" s="99"/>
      <c r="T1876" s="97"/>
      <c r="V1876" s="22"/>
      <c r="W1876" s="97"/>
    </row>
    <row r="1877" spans="17:23">
      <c r="Q1877" s="99"/>
      <c r="T1877" s="97"/>
      <c r="V1877" s="22"/>
      <c r="W1877" s="97"/>
    </row>
    <row r="1878" spans="17:23">
      <c r="Q1878" s="99"/>
      <c r="T1878" s="97"/>
      <c r="V1878" s="22"/>
      <c r="W1878" s="97"/>
    </row>
    <row r="1879" spans="17:23">
      <c r="Q1879" s="99"/>
      <c r="T1879" s="97"/>
      <c r="V1879" s="22"/>
      <c r="W1879" s="97"/>
    </row>
    <row r="1880" spans="17:23">
      <c r="Q1880" s="99"/>
      <c r="T1880" s="97"/>
      <c r="V1880" s="22"/>
      <c r="W1880" s="97"/>
    </row>
    <row r="1881" spans="17:23">
      <c r="Q1881" s="99"/>
      <c r="T1881" s="97"/>
      <c r="V1881" s="22"/>
      <c r="W1881" s="97"/>
    </row>
    <row r="1882" spans="17:23">
      <c r="Q1882" s="99"/>
      <c r="T1882" s="97"/>
      <c r="V1882" s="22"/>
      <c r="W1882" s="97"/>
    </row>
    <row r="1883" spans="17:23">
      <c r="Q1883" s="99"/>
      <c r="T1883" s="97"/>
      <c r="V1883" s="22"/>
      <c r="W1883" s="97"/>
    </row>
    <row r="1884" spans="17:23">
      <c r="Q1884" s="99"/>
      <c r="T1884" s="97"/>
      <c r="V1884" s="22"/>
      <c r="W1884" s="97"/>
    </row>
    <row r="1885" spans="17:23">
      <c r="Q1885" s="99"/>
      <c r="T1885" s="97"/>
      <c r="V1885" s="22"/>
      <c r="W1885" s="97"/>
    </row>
    <row r="1886" spans="17:23">
      <c r="Q1886" s="99"/>
      <c r="T1886" s="97"/>
      <c r="V1886" s="22"/>
      <c r="W1886" s="97"/>
    </row>
    <row r="1887" spans="17:23">
      <c r="Q1887" s="99"/>
      <c r="T1887" s="97"/>
      <c r="V1887" s="22"/>
      <c r="W1887" s="97"/>
    </row>
    <row r="1888" spans="17:23">
      <c r="Q1888" s="99"/>
      <c r="T1888" s="97"/>
      <c r="V1888" s="22"/>
      <c r="W1888" s="97"/>
    </row>
    <row r="1889" spans="17:23">
      <c r="Q1889" s="99"/>
      <c r="T1889" s="97"/>
      <c r="V1889" s="22"/>
      <c r="W1889" s="97"/>
    </row>
    <row r="1890" spans="17:23">
      <c r="Q1890" s="99"/>
      <c r="T1890" s="97"/>
      <c r="V1890" s="22"/>
      <c r="W1890" s="97"/>
    </row>
    <row r="1891" spans="17:23">
      <c r="Q1891" s="99"/>
      <c r="T1891" s="97"/>
      <c r="V1891" s="22"/>
      <c r="W1891" s="97"/>
    </row>
    <row r="1892" spans="17:23">
      <c r="Q1892" s="99"/>
      <c r="T1892" s="97"/>
      <c r="V1892" s="22"/>
      <c r="W1892" s="97"/>
    </row>
    <row r="1893" spans="17:23">
      <c r="Q1893" s="99"/>
      <c r="T1893" s="97"/>
      <c r="V1893" s="22"/>
      <c r="W1893" s="97"/>
    </row>
    <row r="1894" spans="17:23">
      <c r="Q1894" s="99"/>
      <c r="T1894" s="97"/>
      <c r="V1894" s="22"/>
      <c r="W1894" s="97"/>
    </row>
    <row r="1895" spans="17:23">
      <c r="Q1895" s="99"/>
      <c r="T1895" s="97"/>
      <c r="V1895" s="22"/>
      <c r="W1895" s="97"/>
    </row>
    <row r="1896" spans="17:23">
      <c r="Q1896" s="99"/>
      <c r="T1896" s="97"/>
      <c r="V1896" s="22"/>
      <c r="W1896" s="97"/>
    </row>
    <row r="1897" spans="17:23">
      <c r="Q1897" s="99"/>
      <c r="T1897" s="97"/>
      <c r="V1897" s="22"/>
      <c r="W1897" s="97"/>
    </row>
    <row r="1898" spans="17:23">
      <c r="Q1898" s="99"/>
      <c r="T1898" s="97"/>
      <c r="V1898" s="22"/>
      <c r="W1898" s="97"/>
    </row>
    <row r="1899" spans="17:23">
      <c r="Q1899" s="99"/>
      <c r="T1899" s="97"/>
      <c r="V1899" s="22"/>
      <c r="W1899" s="97"/>
    </row>
    <row r="1900" spans="17:23">
      <c r="Q1900" s="99"/>
      <c r="T1900" s="97"/>
      <c r="V1900" s="22"/>
      <c r="W1900" s="97"/>
    </row>
    <row r="1901" spans="17:23">
      <c r="Q1901" s="99"/>
      <c r="T1901" s="97"/>
      <c r="V1901" s="22"/>
      <c r="W1901" s="97"/>
    </row>
    <row r="1902" spans="17:23">
      <c r="Q1902" s="99"/>
      <c r="T1902" s="97"/>
      <c r="V1902" s="22"/>
      <c r="W1902" s="97"/>
    </row>
    <row r="1903" spans="17:23">
      <c r="Q1903" s="99"/>
      <c r="T1903" s="97"/>
      <c r="V1903" s="22"/>
      <c r="W1903" s="97"/>
    </row>
    <row r="1904" spans="17:23">
      <c r="Q1904" s="99"/>
      <c r="T1904" s="97"/>
      <c r="V1904" s="22"/>
      <c r="W1904" s="97"/>
    </row>
    <row r="1905" spans="17:23">
      <c r="Q1905" s="99"/>
      <c r="T1905" s="97"/>
      <c r="V1905" s="22"/>
      <c r="W1905" s="97"/>
    </row>
    <row r="1906" spans="17:23">
      <c r="Q1906" s="99"/>
      <c r="T1906" s="97"/>
      <c r="V1906" s="22"/>
      <c r="W1906" s="97"/>
    </row>
    <row r="1907" spans="17:23">
      <c r="Q1907" s="99"/>
      <c r="T1907" s="97"/>
      <c r="V1907" s="22"/>
      <c r="W1907" s="97"/>
    </row>
    <row r="1908" spans="17:23">
      <c r="Q1908" s="99"/>
      <c r="T1908" s="97"/>
      <c r="V1908" s="22"/>
      <c r="W1908" s="97"/>
    </row>
    <row r="1909" spans="17:23">
      <c r="Q1909" s="99"/>
      <c r="T1909" s="97"/>
      <c r="V1909" s="22"/>
      <c r="W1909" s="97"/>
    </row>
    <row r="1910" spans="17:23">
      <c r="Q1910" s="99"/>
      <c r="T1910" s="97"/>
      <c r="V1910" s="22"/>
      <c r="W1910" s="97"/>
    </row>
    <row r="1911" spans="17:23">
      <c r="Q1911" s="99"/>
      <c r="T1911" s="97"/>
      <c r="V1911" s="22"/>
      <c r="W1911" s="97"/>
    </row>
    <row r="1912" spans="17:23">
      <c r="Q1912" s="99"/>
      <c r="T1912" s="97"/>
      <c r="V1912" s="22"/>
      <c r="W1912" s="97"/>
    </row>
    <row r="1913" spans="17:23">
      <c r="Q1913" s="99"/>
      <c r="T1913" s="97"/>
      <c r="V1913" s="22"/>
      <c r="W1913" s="97"/>
    </row>
    <row r="1914" spans="17:23">
      <c r="Q1914" s="99"/>
      <c r="T1914" s="97"/>
      <c r="V1914" s="22"/>
      <c r="W1914" s="97"/>
    </row>
    <row r="1915" spans="17:23">
      <c r="Q1915" s="99"/>
      <c r="T1915" s="97"/>
      <c r="V1915" s="22"/>
      <c r="W1915" s="97"/>
    </row>
    <row r="1916" spans="17:23">
      <c r="Q1916" s="99"/>
      <c r="T1916" s="97"/>
      <c r="V1916" s="22"/>
      <c r="W1916" s="97"/>
    </row>
    <row r="1917" spans="17:23">
      <c r="Q1917" s="99"/>
      <c r="T1917" s="97"/>
      <c r="V1917" s="22"/>
      <c r="W1917" s="97"/>
    </row>
    <row r="1918" spans="17:23">
      <c r="Q1918" s="99"/>
      <c r="T1918" s="97"/>
      <c r="V1918" s="22"/>
      <c r="W1918" s="97"/>
    </row>
    <row r="1919" spans="17:23">
      <c r="Q1919" s="99"/>
      <c r="T1919" s="97"/>
      <c r="V1919" s="22"/>
      <c r="W1919" s="97"/>
    </row>
    <row r="1920" spans="17:23">
      <c r="Q1920" s="99"/>
      <c r="T1920" s="97"/>
      <c r="V1920" s="22"/>
      <c r="W1920" s="97"/>
    </row>
    <row r="1921" spans="17:23">
      <c r="Q1921" s="99"/>
      <c r="T1921" s="97"/>
      <c r="V1921" s="22"/>
      <c r="W1921" s="97"/>
    </row>
    <row r="1922" spans="17:23">
      <c r="Q1922" s="99"/>
      <c r="T1922" s="97"/>
      <c r="V1922" s="22"/>
      <c r="W1922" s="97"/>
    </row>
    <row r="1923" spans="17:23">
      <c r="Q1923" s="99"/>
      <c r="T1923" s="97"/>
      <c r="V1923" s="22"/>
      <c r="W1923" s="97"/>
    </row>
    <row r="1924" spans="17:23">
      <c r="Q1924" s="99"/>
      <c r="T1924" s="97"/>
      <c r="V1924" s="22"/>
      <c r="W1924" s="97"/>
    </row>
    <row r="1925" spans="17:23">
      <c r="Q1925" s="99"/>
      <c r="T1925" s="97"/>
      <c r="V1925" s="22"/>
      <c r="W1925" s="97"/>
    </row>
    <row r="1926" spans="17:23">
      <c r="Q1926" s="99"/>
      <c r="T1926" s="97"/>
      <c r="V1926" s="22"/>
      <c r="W1926" s="97"/>
    </row>
    <row r="1927" spans="17:23">
      <c r="Q1927" s="99"/>
      <c r="T1927" s="97"/>
      <c r="V1927" s="22"/>
      <c r="W1927" s="97"/>
    </row>
    <row r="1928" spans="17:23">
      <c r="Q1928" s="99"/>
      <c r="T1928" s="97"/>
      <c r="V1928" s="22"/>
      <c r="W1928" s="97"/>
    </row>
    <row r="1929" spans="17:23">
      <c r="Q1929" s="99"/>
      <c r="T1929" s="97"/>
      <c r="V1929" s="22"/>
      <c r="W1929" s="97"/>
    </row>
    <row r="1930" spans="17:23">
      <c r="Q1930" s="99"/>
      <c r="T1930" s="97"/>
      <c r="V1930" s="22"/>
      <c r="W1930" s="97"/>
    </row>
    <row r="1931" spans="17:23">
      <c r="Q1931" s="99"/>
      <c r="T1931" s="97"/>
      <c r="V1931" s="22"/>
      <c r="W1931" s="97"/>
    </row>
    <row r="1932" spans="17:23">
      <c r="Q1932" s="99"/>
      <c r="T1932" s="97"/>
      <c r="V1932" s="22"/>
      <c r="W1932" s="97"/>
    </row>
    <row r="1933" spans="17:23">
      <c r="Q1933" s="99"/>
      <c r="T1933" s="97"/>
      <c r="V1933" s="22"/>
      <c r="W1933" s="97"/>
    </row>
    <row r="1934" spans="17:23">
      <c r="Q1934" s="99"/>
      <c r="T1934" s="97"/>
      <c r="V1934" s="22"/>
      <c r="W1934" s="97"/>
    </row>
    <row r="1935" spans="17:23">
      <c r="Q1935" s="99"/>
      <c r="T1935" s="97"/>
      <c r="V1935" s="22"/>
      <c r="W1935" s="97"/>
    </row>
    <row r="1936" spans="17:23">
      <c r="Q1936" s="99"/>
      <c r="T1936" s="97"/>
      <c r="V1936" s="22"/>
      <c r="W1936" s="97"/>
    </row>
    <row r="1937" spans="17:23">
      <c r="Q1937" s="99"/>
      <c r="T1937" s="97"/>
      <c r="V1937" s="22"/>
      <c r="W1937" s="97"/>
    </row>
    <row r="1938" spans="17:23">
      <c r="Q1938" s="99"/>
      <c r="T1938" s="97"/>
      <c r="V1938" s="22"/>
      <c r="W1938" s="97"/>
    </row>
    <row r="1939" spans="17:23">
      <c r="Q1939" s="99"/>
      <c r="T1939" s="97"/>
      <c r="V1939" s="22"/>
      <c r="W1939" s="97"/>
    </row>
    <row r="1940" spans="17:23">
      <c r="Q1940" s="99"/>
      <c r="T1940" s="97"/>
      <c r="V1940" s="22"/>
      <c r="W1940" s="97"/>
    </row>
    <row r="1941" spans="17:23">
      <c r="Q1941" s="99"/>
      <c r="T1941" s="97"/>
      <c r="V1941" s="22"/>
      <c r="W1941" s="97"/>
    </row>
    <row r="1942" spans="17:23">
      <c r="Q1942" s="99"/>
      <c r="T1942" s="97"/>
      <c r="V1942" s="22"/>
      <c r="W1942" s="97"/>
    </row>
    <row r="1943" spans="17:23">
      <c r="Q1943" s="99"/>
      <c r="T1943" s="97"/>
      <c r="V1943" s="22"/>
      <c r="W1943" s="97"/>
    </row>
    <row r="1944" spans="17:23">
      <c r="Q1944" s="99"/>
      <c r="T1944" s="97"/>
      <c r="V1944" s="22"/>
      <c r="W1944" s="97"/>
    </row>
    <row r="1945" spans="17:23">
      <c r="Q1945" s="99"/>
      <c r="T1945" s="97"/>
      <c r="V1945" s="22"/>
      <c r="W1945" s="97"/>
    </row>
    <row r="1946" spans="17:23">
      <c r="Q1946" s="99"/>
      <c r="T1946" s="97"/>
      <c r="V1946" s="22"/>
      <c r="W1946" s="97"/>
    </row>
    <row r="1947" spans="17:23">
      <c r="Q1947" s="99"/>
      <c r="T1947" s="97"/>
      <c r="V1947" s="22"/>
      <c r="W1947" s="97"/>
    </row>
    <row r="1948" spans="17:23">
      <c r="Q1948" s="99"/>
      <c r="T1948" s="97"/>
      <c r="V1948" s="22"/>
      <c r="W1948" s="97"/>
    </row>
    <row r="1949" spans="17:23">
      <c r="Q1949" s="99"/>
      <c r="T1949" s="97"/>
      <c r="V1949" s="22"/>
      <c r="W1949" s="97"/>
    </row>
    <row r="1950" spans="17:23">
      <c r="Q1950" s="99"/>
      <c r="T1950" s="97"/>
      <c r="V1950" s="22"/>
      <c r="W1950" s="97"/>
    </row>
    <row r="1951" spans="17:23">
      <c r="Q1951" s="99"/>
      <c r="T1951" s="97"/>
      <c r="V1951" s="22"/>
      <c r="W1951" s="97"/>
    </row>
    <row r="1952" spans="17:23">
      <c r="Q1952" s="99"/>
      <c r="T1952" s="97"/>
      <c r="V1952" s="22"/>
      <c r="W1952" s="97"/>
    </row>
    <row r="1953" spans="17:23">
      <c r="Q1953" s="99"/>
      <c r="T1953" s="97"/>
      <c r="V1953" s="22"/>
      <c r="W1953" s="97"/>
    </row>
    <row r="1954" spans="17:23">
      <c r="Q1954" s="99"/>
      <c r="T1954" s="97"/>
      <c r="V1954" s="22"/>
      <c r="W1954" s="97"/>
    </row>
    <row r="1955" spans="17:23">
      <c r="Q1955" s="99"/>
      <c r="T1955" s="97"/>
      <c r="V1955" s="22"/>
      <c r="W1955" s="97"/>
    </row>
    <row r="1956" spans="17:23">
      <c r="Q1956" s="99"/>
      <c r="T1956" s="97"/>
      <c r="V1956" s="22"/>
      <c r="W1956" s="97"/>
    </row>
    <row r="1957" spans="17:23">
      <c r="Q1957" s="99"/>
      <c r="T1957" s="97"/>
      <c r="V1957" s="22"/>
      <c r="W1957" s="97"/>
    </row>
    <row r="1958" spans="17:23">
      <c r="Q1958" s="99"/>
      <c r="T1958" s="97"/>
      <c r="V1958" s="22"/>
      <c r="W1958" s="97"/>
    </row>
    <row r="1959" spans="17:23">
      <c r="Q1959" s="99"/>
      <c r="T1959" s="97"/>
      <c r="V1959" s="22"/>
      <c r="W1959" s="97"/>
    </row>
    <row r="1960" spans="17:23">
      <c r="Q1960" s="99"/>
      <c r="T1960" s="97"/>
      <c r="V1960" s="22"/>
      <c r="W1960" s="97"/>
    </row>
    <row r="1961" spans="17:23">
      <c r="Q1961" s="99"/>
      <c r="T1961" s="97"/>
      <c r="V1961" s="22"/>
      <c r="W1961" s="97"/>
    </row>
    <row r="1962" spans="17:23">
      <c r="Q1962" s="99"/>
      <c r="T1962" s="97"/>
      <c r="V1962" s="22"/>
      <c r="W1962" s="97"/>
    </row>
    <row r="1963" spans="17:23">
      <c r="Q1963" s="99"/>
      <c r="T1963" s="97"/>
      <c r="V1963" s="22"/>
      <c r="W1963" s="97"/>
    </row>
    <row r="1964" spans="17:23">
      <c r="Q1964" s="99"/>
      <c r="T1964" s="97"/>
      <c r="V1964" s="22"/>
      <c r="W1964" s="97"/>
    </row>
    <row r="1965" spans="17:23">
      <c r="Q1965" s="99"/>
      <c r="T1965" s="97"/>
      <c r="V1965" s="22"/>
      <c r="W1965" s="97"/>
    </row>
    <row r="1966" spans="17:23">
      <c r="Q1966" s="99"/>
      <c r="T1966" s="97"/>
      <c r="V1966" s="22"/>
      <c r="W1966" s="97"/>
    </row>
    <row r="1967" spans="17:23">
      <c r="Q1967" s="99"/>
      <c r="T1967" s="97"/>
      <c r="V1967" s="22"/>
      <c r="W1967" s="97"/>
    </row>
    <row r="1968" spans="17:23">
      <c r="Q1968" s="99"/>
      <c r="T1968" s="97"/>
      <c r="V1968" s="22"/>
      <c r="W1968" s="97"/>
    </row>
    <row r="1969" spans="17:23">
      <c r="Q1969" s="99"/>
      <c r="T1969" s="97"/>
      <c r="V1969" s="22"/>
      <c r="W1969" s="97"/>
    </row>
    <row r="1970" spans="17:23">
      <c r="Q1970" s="99"/>
      <c r="T1970" s="97"/>
      <c r="V1970" s="22"/>
      <c r="W1970" s="97"/>
    </row>
    <row r="1971" spans="17:23">
      <c r="Q1971" s="99"/>
      <c r="T1971" s="97"/>
      <c r="V1971" s="22"/>
      <c r="W1971" s="97"/>
    </row>
    <row r="1972" spans="17:23">
      <c r="Q1972" s="99"/>
      <c r="T1972" s="97"/>
      <c r="V1972" s="22"/>
      <c r="W1972" s="97"/>
    </row>
    <row r="1973" spans="17:23">
      <c r="Q1973" s="99"/>
      <c r="T1973" s="97"/>
      <c r="V1973" s="22"/>
      <c r="W1973" s="97"/>
    </row>
    <row r="1974" spans="17:23">
      <c r="Q1974" s="99"/>
      <c r="T1974" s="97"/>
      <c r="V1974" s="22"/>
      <c r="W1974" s="97"/>
    </row>
    <row r="1975" spans="17:23">
      <c r="Q1975" s="99"/>
      <c r="T1975" s="97"/>
      <c r="V1975" s="22"/>
      <c r="W1975" s="97"/>
    </row>
    <row r="1976" spans="17:23">
      <c r="Q1976" s="99"/>
      <c r="T1976" s="97"/>
      <c r="V1976" s="22"/>
      <c r="W1976" s="97"/>
    </row>
    <row r="1977" spans="17:23">
      <c r="Q1977" s="99"/>
      <c r="T1977" s="97"/>
      <c r="V1977" s="22"/>
      <c r="W1977" s="97"/>
    </row>
    <row r="1978" spans="17:23">
      <c r="Q1978" s="99"/>
      <c r="T1978" s="97"/>
      <c r="V1978" s="22"/>
      <c r="W1978" s="97"/>
    </row>
    <row r="1979" spans="17:23">
      <c r="Q1979" s="99"/>
      <c r="T1979" s="97"/>
      <c r="V1979" s="22"/>
      <c r="W1979" s="97"/>
    </row>
    <row r="1980" spans="17:23">
      <c r="Q1980" s="99"/>
      <c r="T1980" s="97"/>
      <c r="V1980" s="22"/>
      <c r="W1980" s="97"/>
    </row>
    <row r="1981" spans="17:23">
      <c r="Q1981" s="99"/>
      <c r="T1981" s="97"/>
      <c r="V1981" s="22"/>
      <c r="W1981" s="97"/>
    </row>
    <row r="1982" spans="17:23">
      <c r="Q1982" s="99"/>
      <c r="T1982" s="97"/>
      <c r="V1982" s="22"/>
      <c r="W1982" s="97"/>
    </row>
    <row r="1983" spans="17:23">
      <c r="Q1983" s="99"/>
      <c r="T1983" s="97"/>
      <c r="V1983" s="22"/>
      <c r="W1983" s="97"/>
    </row>
    <row r="1984" spans="17:23">
      <c r="Q1984" s="99"/>
      <c r="T1984" s="97"/>
      <c r="V1984" s="22"/>
      <c r="W1984" s="97"/>
    </row>
    <row r="1985" spans="17:23">
      <c r="Q1985" s="99"/>
      <c r="T1985" s="97"/>
      <c r="V1985" s="22"/>
      <c r="W1985" s="97"/>
    </row>
    <row r="1986" spans="17:23">
      <c r="Q1986" s="99"/>
      <c r="T1986" s="97"/>
      <c r="V1986" s="22"/>
      <c r="W1986" s="97"/>
    </row>
    <row r="1987" spans="17:23">
      <c r="Q1987" s="99"/>
      <c r="T1987" s="97"/>
      <c r="V1987" s="22"/>
      <c r="W1987" s="97"/>
    </row>
    <row r="1988" spans="17:23">
      <c r="Q1988" s="99"/>
      <c r="T1988" s="97"/>
      <c r="V1988" s="22"/>
      <c r="W1988" s="97"/>
    </row>
    <row r="1989" spans="17:23">
      <c r="Q1989" s="99"/>
      <c r="T1989" s="97"/>
      <c r="V1989" s="22"/>
      <c r="W1989" s="97"/>
    </row>
    <row r="1990" spans="17:23">
      <c r="Q1990" s="99"/>
      <c r="T1990" s="97"/>
      <c r="V1990" s="22"/>
      <c r="W1990" s="97"/>
    </row>
    <row r="1991" spans="17:23">
      <c r="Q1991" s="99"/>
      <c r="T1991" s="97"/>
      <c r="V1991" s="22"/>
      <c r="W1991" s="97"/>
    </row>
    <row r="1992" spans="17:23">
      <c r="Q1992" s="99"/>
      <c r="T1992" s="97"/>
      <c r="V1992" s="22"/>
      <c r="W1992" s="97"/>
    </row>
    <row r="1993" spans="17:23">
      <c r="Q1993" s="99"/>
      <c r="T1993" s="97"/>
      <c r="V1993" s="22"/>
      <c r="W1993" s="97"/>
    </row>
    <row r="1994" spans="17:23">
      <c r="Q1994" s="99"/>
      <c r="T1994" s="97"/>
      <c r="V1994" s="22"/>
      <c r="W1994" s="97"/>
    </row>
    <row r="1995" spans="17:23">
      <c r="Q1995" s="99"/>
      <c r="T1995" s="97"/>
      <c r="V1995" s="22"/>
      <c r="W1995" s="97"/>
    </row>
    <row r="1996" spans="17:23">
      <c r="Q1996" s="99"/>
      <c r="T1996" s="97"/>
      <c r="V1996" s="22"/>
      <c r="W1996" s="97"/>
    </row>
    <row r="1997" spans="17:23">
      <c r="Q1997" s="99"/>
      <c r="T1997" s="97"/>
      <c r="V1997" s="22"/>
      <c r="W1997" s="97"/>
    </row>
    <row r="1998" spans="17:23">
      <c r="Q1998" s="99"/>
      <c r="T1998" s="97"/>
      <c r="V1998" s="22"/>
      <c r="W1998" s="97"/>
    </row>
    <row r="1999" spans="17:23">
      <c r="Q1999" s="99"/>
      <c r="T1999" s="97"/>
      <c r="V1999" s="22"/>
      <c r="W1999" s="97"/>
    </row>
    <row r="2000" spans="17:23">
      <c r="Q2000" s="99"/>
      <c r="T2000" s="97"/>
      <c r="V2000" s="22"/>
      <c r="W2000" s="97"/>
    </row>
    <row r="2001" spans="17:23">
      <c r="Q2001" s="99"/>
      <c r="T2001" s="97"/>
      <c r="V2001" s="22"/>
      <c r="W2001" s="97"/>
    </row>
    <row r="2002" spans="17:23">
      <c r="Q2002" s="99"/>
      <c r="T2002" s="97"/>
      <c r="V2002" s="22"/>
      <c r="W2002" s="97"/>
    </row>
    <row r="2003" spans="17:23">
      <c r="Q2003" s="99"/>
      <c r="T2003" s="97"/>
      <c r="V2003" s="22"/>
      <c r="W2003" s="97"/>
    </row>
    <row r="2004" spans="17:23">
      <c r="Q2004" s="99"/>
      <c r="T2004" s="97"/>
      <c r="V2004" s="22"/>
      <c r="W2004" s="97"/>
    </row>
    <row r="2005" spans="17:23">
      <c r="Q2005" s="99"/>
      <c r="T2005" s="97"/>
      <c r="V2005" s="22"/>
      <c r="W2005" s="97"/>
    </row>
    <row r="2006" spans="17:23">
      <c r="Q2006" s="99"/>
      <c r="T2006" s="97"/>
      <c r="V2006" s="22"/>
      <c r="W2006" s="97"/>
    </row>
    <row r="2007" spans="17:23">
      <c r="Q2007" s="99"/>
      <c r="T2007" s="97"/>
      <c r="V2007" s="22"/>
      <c r="W2007" s="97"/>
    </row>
    <row r="2008" spans="17:23">
      <c r="Q2008" s="99"/>
      <c r="T2008" s="97"/>
      <c r="V2008" s="22"/>
      <c r="W2008" s="97"/>
    </row>
    <row r="2009" spans="17:23">
      <c r="Q2009" s="99"/>
      <c r="T2009" s="97"/>
      <c r="V2009" s="22"/>
      <c r="W2009" s="97"/>
    </row>
    <row r="2010" spans="17:23">
      <c r="Q2010" s="99"/>
      <c r="T2010" s="97"/>
      <c r="V2010" s="22"/>
      <c r="W2010" s="97"/>
    </row>
    <row r="2011" spans="17:23">
      <c r="Q2011" s="99"/>
      <c r="T2011" s="97"/>
      <c r="V2011" s="22"/>
      <c r="W2011" s="97"/>
    </row>
    <row r="2012" spans="17:23">
      <c r="Q2012" s="99"/>
      <c r="T2012" s="97"/>
      <c r="V2012" s="22"/>
      <c r="W2012" s="97"/>
    </row>
    <row r="2013" spans="17:23">
      <c r="Q2013" s="99"/>
      <c r="T2013" s="97"/>
      <c r="V2013" s="22"/>
      <c r="W2013" s="97"/>
    </row>
    <row r="2014" spans="17:23">
      <c r="Q2014" s="99"/>
      <c r="T2014" s="97"/>
      <c r="V2014" s="22"/>
      <c r="W2014" s="97"/>
    </row>
    <row r="2015" spans="17:23">
      <c r="Q2015" s="99"/>
      <c r="T2015" s="97"/>
      <c r="V2015" s="22"/>
      <c r="W2015" s="97"/>
    </row>
    <row r="2016" spans="17:23">
      <c r="Q2016" s="99"/>
      <c r="T2016" s="97"/>
      <c r="V2016" s="22"/>
      <c r="W2016" s="97"/>
    </row>
    <row r="2017" spans="17:23">
      <c r="Q2017" s="99"/>
      <c r="T2017" s="97"/>
      <c r="V2017" s="22"/>
      <c r="W2017" s="97"/>
    </row>
    <row r="2018" spans="17:23">
      <c r="Q2018" s="99"/>
      <c r="T2018" s="97"/>
      <c r="V2018" s="22"/>
      <c r="W2018" s="97"/>
    </row>
    <row r="2019" spans="17:23">
      <c r="Q2019" s="99"/>
      <c r="T2019" s="97"/>
      <c r="V2019" s="22"/>
      <c r="W2019" s="97"/>
    </row>
    <row r="2020" spans="17:23">
      <c r="Q2020" s="99"/>
      <c r="T2020" s="97"/>
      <c r="V2020" s="22"/>
      <c r="W2020" s="97"/>
    </row>
    <row r="2021" spans="17:23">
      <c r="Q2021" s="99"/>
      <c r="T2021" s="97"/>
      <c r="V2021" s="22"/>
      <c r="W2021" s="97"/>
    </row>
    <row r="2022" spans="17:23">
      <c r="Q2022" s="99"/>
      <c r="T2022" s="97"/>
      <c r="V2022" s="22"/>
      <c r="W2022" s="97"/>
    </row>
    <row r="2023" spans="17:23">
      <c r="Q2023" s="99"/>
      <c r="T2023" s="97"/>
      <c r="V2023" s="22"/>
      <c r="W2023" s="97"/>
    </row>
    <row r="2024" spans="17:23">
      <c r="Q2024" s="99"/>
      <c r="T2024" s="97"/>
      <c r="V2024" s="22"/>
      <c r="W2024" s="97"/>
    </row>
    <row r="2025" spans="17:23">
      <c r="Q2025" s="99"/>
      <c r="T2025" s="97"/>
      <c r="V2025" s="22"/>
      <c r="W2025" s="97"/>
    </row>
    <row r="2026" spans="17:23">
      <c r="Q2026" s="99"/>
      <c r="T2026" s="97"/>
      <c r="V2026" s="22"/>
      <c r="W2026" s="97"/>
    </row>
    <row r="2027" spans="17:23">
      <c r="Q2027" s="99"/>
      <c r="T2027" s="97"/>
      <c r="V2027" s="22"/>
      <c r="W2027" s="97"/>
    </row>
    <row r="2028" spans="17:23">
      <c r="Q2028" s="99"/>
      <c r="T2028" s="97"/>
      <c r="V2028" s="22"/>
      <c r="W2028" s="97"/>
    </row>
    <row r="2029" spans="17:23">
      <c r="Q2029" s="99"/>
      <c r="T2029" s="97"/>
      <c r="V2029" s="22"/>
      <c r="W2029" s="97"/>
    </row>
    <row r="2030" spans="17:23">
      <c r="Q2030" s="99"/>
      <c r="T2030" s="97"/>
      <c r="V2030" s="22"/>
      <c r="W2030" s="97"/>
    </row>
    <row r="2031" spans="17:23">
      <c r="Q2031" s="99"/>
      <c r="T2031" s="97"/>
      <c r="V2031" s="22"/>
      <c r="W2031" s="97"/>
    </row>
    <row r="2032" spans="17:23">
      <c r="Q2032" s="99"/>
      <c r="T2032" s="97"/>
      <c r="V2032" s="22"/>
      <c r="W2032" s="97"/>
    </row>
    <row r="2033" spans="17:23">
      <c r="Q2033" s="99"/>
      <c r="T2033" s="97"/>
      <c r="V2033" s="22"/>
      <c r="W2033" s="97"/>
    </row>
    <row r="2034" spans="17:23">
      <c r="Q2034" s="99"/>
      <c r="T2034" s="97"/>
      <c r="V2034" s="22"/>
      <c r="W2034" s="97"/>
    </row>
    <row r="2035" spans="17:23">
      <c r="Q2035" s="99"/>
      <c r="T2035" s="97"/>
      <c r="V2035" s="22"/>
      <c r="W2035" s="97"/>
    </row>
    <row r="2036" spans="17:23">
      <c r="Q2036" s="99"/>
      <c r="T2036" s="97"/>
      <c r="V2036" s="22"/>
      <c r="W2036" s="97"/>
    </row>
    <row r="2037" spans="17:23">
      <c r="Q2037" s="99"/>
      <c r="T2037" s="97"/>
      <c r="V2037" s="22"/>
      <c r="W2037" s="97"/>
    </row>
    <row r="2038" spans="17:23">
      <c r="Q2038" s="99"/>
      <c r="T2038" s="97"/>
      <c r="V2038" s="22"/>
      <c r="W2038" s="97"/>
    </row>
    <row r="2039" spans="17:23">
      <c r="Q2039" s="99"/>
      <c r="T2039" s="97"/>
      <c r="V2039" s="22"/>
      <c r="W2039" s="97"/>
    </row>
    <row r="2040" spans="17:23">
      <c r="Q2040" s="99"/>
      <c r="T2040" s="97"/>
      <c r="V2040" s="22"/>
      <c r="W2040" s="97"/>
    </row>
    <row r="2041" spans="17:23">
      <c r="Q2041" s="99"/>
      <c r="T2041" s="97"/>
      <c r="V2041" s="22"/>
      <c r="W2041" s="97"/>
    </row>
    <row r="2042" spans="17:23">
      <c r="Q2042" s="99"/>
      <c r="T2042" s="97"/>
      <c r="V2042" s="22"/>
      <c r="W2042" s="97"/>
    </row>
    <row r="2043" spans="17:23">
      <c r="Q2043" s="99"/>
      <c r="T2043" s="97"/>
      <c r="V2043" s="22"/>
      <c r="W2043" s="97"/>
    </row>
    <row r="2044" spans="17:23">
      <c r="Q2044" s="99"/>
      <c r="T2044" s="97"/>
      <c r="V2044" s="22"/>
      <c r="W2044" s="97"/>
    </row>
    <row r="2045" spans="17:23">
      <c r="Q2045" s="99"/>
      <c r="T2045" s="97"/>
      <c r="V2045" s="22"/>
      <c r="W2045" s="97"/>
    </row>
    <row r="2046" spans="17:23">
      <c r="Q2046" s="99"/>
      <c r="T2046" s="97"/>
      <c r="V2046" s="22"/>
      <c r="W2046" s="97"/>
    </row>
    <row r="2047" spans="17:23">
      <c r="Q2047" s="99"/>
      <c r="T2047" s="97"/>
      <c r="V2047" s="22"/>
      <c r="W2047" s="97"/>
    </row>
    <row r="2048" spans="17:23">
      <c r="Q2048" s="99"/>
      <c r="T2048" s="97"/>
      <c r="V2048" s="22"/>
      <c r="W2048" s="97"/>
    </row>
    <row r="2049" spans="17:23">
      <c r="Q2049" s="99"/>
      <c r="T2049" s="97"/>
      <c r="V2049" s="22"/>
      <c r="W2049" s="97"/>
    </row>
    <row r="2050" spans="17:23">
      <c r="Q2050" s="99"/>
      <c r="T2050" s="97"/>
      <c r="V2050" s="22"/>
      <c r="W2050" s="97"/>
    </row>
    <row r="2051" spans="17:23">
      <c r="Q2051" s="99"/>
      <c r="T2051" s="97"/>
      <c r="V2051" s="22"/>
      <c r="W2051" s="97"/>
    </row>
    <row r="2052" spans="17:23">
      <c r="Q2052" s="99"/>
      <c r="T2052" s="97"/>
      <c r="V2052" s="22"/>
      <c r="W2052" s="97"/>
    </row>
    <row r="2053" spans="17:23">
      <c r="Q2053" s="99"/>
      <c r="T2053" s="97"/>
      <c r="V2053" s="22"/>
      <c r="W2053" s="97"/>
    </row>
    <row r="2054" spans="17:23">
      <c r="Q2054" s="99"/>
      <c r="T2054" s="97"/>
      <c r="V2054" s="22"/>
      <c r="W2054" s="97"/>
    </row>
    <row r="2055" spans="17:23">
      <c r="Q2055" s="99"/>
      <c r="T2055" s="97"/>
      <c r="V2055" s="22"/>
      <c r="W2055" s="97"/>
    </row>
    <row r="2056" spans="17:23">
      <c r="Q2056" s="99"/>
      <c r="T2056" s="97"/>
      <c r="V2056" s="22"/>
      <c r="W2056" s="97"/>
    </row>
    <row r="2057" spans="17:23">
      <c r="Q2057" s="99"/>
      <c r="T2057" s="97"/>
      <c r="V2057" s="22"/>
      <c r="W2057" s="97"/>
    </row>
    <row r="2058" spans="17:23">
      <c r="Q2058" s="99"/>
      <c r="T2058" s="97"/>
      <c r="V2058" s="22"/>
      <c r="W2058" s="97"/>
    </row>
    <row r="2059" spans="17:23">
      <c r="Q2059" s="99"/>
      <c r="T2059" s="97"/>
      <c r="V2059" s="22"/>
      <c r="W2059" s="97"/>
    </row>
    <row r="2060" spans="17:23">
      <c r="Q2060" s="99"/>
      <c r="T2060" s="97"/>
      <c r="V2060" s="22"/>
      <c r="W2060" s="97"/>
    </row>
    <row r="2061" spans="17:23">
      <c r="Q2061" s="99"/>
      <c r="T2061" s="97"/>
      <c r="V2061" s="22"/>
      <c r="W2061" s="97"/>
    </row>
    <row r="2062" spans="17:23">
      <c r="Q2062" s="99"/>
      <c r="T2062" s="97"/>
      <c r="V2062" s="22"/>
      <c r="W2062" s="97"/>
    </row>
    <row r="2063" spans="17:23">
      <c r="Q2063" s="99"/>
      <c r="T2063" s="97"/>
      <c r="V2063" s="22"/>
      <c r="W2063" s="97"/>
    </row>
    <row r="2064" spans="17:23">
      <c r="Q2064" s="99"/>
      <c r="T2064" s="97"/>
      <c r="V2064" s="22"/>
      <c r="W2064" s="97"/>
    </row>
    <row r="2065" spans="17:23">
      <c r="Q2065" s="99"/>
      <c r="T2065" s="97"/>
      <c r="V2065" s="22"/>
      <c r="W2065" s="97"/>
    </row>
    <row r="2066" spans="17:23">
      <c r="Q2066" s="99"/>
      <c r="T2066" s="97"/>
      <c r="V2066" s="22"/>
      <c r="W2066" s="97"/>
    </row>
    <row r="2067" spans="17:23">
      <c r="Q2067" s="99"/>
      <c r="T2067" s="97"/>
      <c r="V2067" s="22"/>
      <c r="W2067" s="97"/>
    </row>
    <row r="2068" spans="17:23">
      <c r="Q2068" s="99"/>
      <c r="T2068" s="97"/>
      <c r="V2068" s="22"/>
      <c r="W2068" s="97"/>
    </row>
    <row r="2069" spans="17:23">
      <c r="Q2069" s="99"/>
      <c r="T2069" s="97"/>
      <c r="V2069" s="22"/>
      <c r="W2069" s="97"/>
    </row>
    <row r="2070" spans="17:23">
      <c r="Q2070" s="99"/>
      <c r="T2070" s="97"/>
      <c r="V2070" s="22"/>
      <c r="W2070" s="97"/>
    </row>
    <row r="2071" spans="17:23">
      <c r="Q2071" s="99"/>
      <c r="T2071" s="97"/>
      <c r="V2071" s="22"/>
      <c r="W2071" s="97"/>
    </row>
    <row r="2072" spans="17:23">
      <c r="Q2072" s="99"/>
      <c r="T2072" s="97"/>
      <c r="V2072" s="22"/>
      <c r="W2072" s="97"/>
    </row>
    <row r="2073" spans="17:23">
      <c r="Q2073" s="99"/>
      <c r="T2073" s="97"/>
      <c r="V2073" s="22"/>
      <c r="W2073" s="97"/>
    </row>
    <row r="2074" spans="17:23">
      <c r="Q2074" s="99"/>
      <c r="T2074" s="97"/>
      <c r="V2074" s="22"/>
      <c r="W2074" s="97"/>
    </row>
    <row r="2075" spans="17:23">
      <c r="Q2075" s="99"/>
      <c r="T2075" s="97"/>
      <c r="V2075" s="22"/>
      <c r="W2075" s="97"/>
    </row>
    <row r="2076" spans="17:23">
      <c r="Q2076" s="99"/>
      <c r="T2076" s="97"/>
      <c r="V2076" s="22"/>
      <c r="W2076" s="97"/>
    </row>
    <row r="2077" spans="17:23">
      <c r="Q2077" s="99"/>
      <c r="T2077" s="97"/>
      <c r="V2077" s="22"/>
      <c r="W2077" s="97"/>
    </row>
    <row r="2078" spans="17:23">
      <c r="Q2078" s="99"/>
      <c r="T2078" s="97"/>
      <c r="V2078" s="22"/>
      <c r="W2078" s="97"/>
    </row>
    <row r="2079" spans="17:23">
      <c r="Q2079" s="99"/>
      <c r="T2079" s="97"/>
      <c r="V2079" s="22"/>
      <c r="W2079" s="97"/>
    </row>
    <row r="2080" spans="17:23">
      <c r="Q2080" s="99"/>
      <c r="T2080" s="97"/>
      <c r="V2080" s="22"/>
      <c r="W2080" s="97"/>
    </row>
    <row r="2081" spans="17:23">
      <c r="Q2081" s="99"/>
      <c r="T2081" s="97"/>
      <c r="V2081" s="22"/>
      <c r="W2081" s="97"/>
    </row>
    <row r="2082" spans="17:23">
      <c r="Q2082" s="99"/>
      <c r="T2082" s="97"/>
      <c r="V2082" s="22"/>
      <c r="W2082" s="97"/>
    </row>
    <row r="2083" spans="17:23">
      <c r="Q2083" s="99"/>
      <c r="T2083" s="97"/>
      <c r="V2083" s="22"/>
      <c r="W2083" s="97"/>
    </row>
    <row r="2084" spans="17:23">
      <c r="Q2084" s="99"/>
      <c r="T2084" s="97"/>
      <c r="V2084" s="22"/>
      <c r="W2084" s="97"/>
    </row>
    <row r="2085" spans="17:23">
      <c r="Q2085" s="99"/>
      <c r="T2085" s="97"/>
      <c r="V2085" s="22"/>
      <c r="W2085" s="97"/>
    </row>
    <row r="2086" spans="17:23">
      <c r="Q2086" s="99"/>
      <c r="T2086" s="97"/>
      <c r="V2086" s="22"/>
      <c r="W2086" s="97"/>
    </row>
    <row r="2087" spans="17:23">
      <c r="Q2087" s="99"/>
      <c r="T2087" s="97"/>
      <c r="V2087" s="22"/>
      <c r="W2087" s="97"/>
    </row>
    <row r="2088" spans="17:23">
      <c r="Q2088" s="99"/>
      <c r="T2088" s="97"/>
      <c r="V2088" s="22"/>
      <c r="W2088" s="97"/>
    </row>
    <row r="2089" spans="17:23">
      <c r="Q2089" s="99"/>
      <c r="T2089" s="97"/>
      <c r="V2089" s="22"/>
      <c r="W2089" s="97"/>
    </row>
    <row r="2090" spans="17:23">
      <c r="Q2090" s="99"/>
      <c r="T2090" s="97"/>
      <c r="V2090" s="22"/>
      <c r="W2090" s="97"/>
    </row>
    <row r="2091" spans="17:23">
      <c r="Q2091" s="99"/>
      <c r="T2091" s="97"/>
      <c r="V2091" s="22"/>
      <c r="W2091" s="97"/>
    </row>
    <row r="2092" spans="17:23">
      <c r="Q2092" s="99"/>
      <c r="T2092" s="97"/>
      <c r="V2092" s="22"/>
      <c r="W2092" s="97"/>
    </row>
    <row r="2093" spans="17:23">
      <c r="Q2093" s="99"/>
      <c r="T2093" s="97"/>
      <c r="V2093" s="22"/>
      <c r="W2093" s="97"/>
    </row>
    <row r="2094" spans="17:23">
      <c r="Q2094" s="99"/>
      <c r="T2094" s="97"/>
      <c r="V2094" s="22"/>
      <c r="W2094" s="97"/>
    </row>
    <row r="2095" spans="17:23">
      <c r="Q2095" s="99"/>
      <c r="T2095" s="97"/>
      <c r="V2095" s="22"/>
      <c r="W2095" s="97"/>
    </row>
    <row r="2096" spans="17:23">
      <c r="Q2096" s="99"/>
      <c r="T2096" s="97"/>
      <c r="V2096" s="22"/>
      <c r="W2096" s="97"/>
    </row>
    <row r="2097" spans="17:23">
      <c r="Q2097" s="99"/>
      <c r="T2097" s="97"/>
      <c r="V2097" s="22"/>
      <c r="W2097" s="97"/>
    </row>
    <row r="2098" spans="17:23">
      <c r="Q2098" s="99"/>
      <c r="T2098" s="97"/>
      <c r="V2098" s="22"/>
      <c r="W2098" s="97"/>
    </row>
    <row r="2099" spans="17:23">
      <c r="Q2099" s="99"/>
      <c r="T2099" s="97"/>
      <c r="V2099" s="22"/>
      <c r="W2099" s="97"/>
    </row>
    <row r="2100" spans="17:23">
      <c r="Q2100" s="99"/>
      <c r="T2100" s="97"/>
      <c r="V2100" s="22"/>
      <c r="W2100" s="97"/>
    </row>
    <row r="2101" spans="17:23">
      <c r="Q2101" s="99"/>
      <c r="T2101" s="97"/>
      <c r="V2101" s="22"/>
      <c r="W2101" s="97"/>
    </row>
    <row r="2102" spans="17:23">
      <c r="Q2102" s="99"/>
      <c r="T2102" s="97"/>
      <c r="V2102" s="22"/>
      <c r="W2102" s="97"/>
    </row>
    <row r="2103" spans="17:23">
      <c r="Q2103" s="99"/>
      <c r="T2103" s="97"/>
      <c r="V2103" s="22"/>
      <c r="W2103" s="97"/>
    </row>
    <row r="2104" spans="17:23">
      <c r="Q2104" s="99"/>
      <c r="T2104" s="97"/>
      <c r="V2104" s="22"/>
      <c r="W2104" s="97"/>
    </row>
    <row r="2105" spans="17:23">
      <c r="Q2105" s="99"/>
      <c r="T2105" s="97"/>
      <c r="V2105" s="22"/>
      <c r="W2105" s="97"/>
    </row>
    <row r="2106" spans="17:23">
      <c r="Q2106" s="99"/>
      <c r="T2106" s="97"/>
      <c r="V2106" s="22"/>
      <c r="W2106" s="97"/>
    </row>
    <row r="2107" spans="17:23">
      <c r="Q2107" s="99"/>
      <c r="T2107" s="97"/>
      <c r="V2107" s="22"/>
      <c r="W2107" s="97"/>
    </row>
    <row r="2108" spans="17:23">
      <c r="Q2108" s="99"/>
      <c r="T2108" s="97"/>
      <c r="V2108" s="22"/>
      <c r="W2108" s="97"/>
    </row>
    <row r="2109" spans="17:23">
      <c r="Q2109" s="99"/>
      <c r="T2109" s="97"/>
      <c r="V2109" s="22"/>
      <c r="W2109" s="97"/>
    </row>
    <row r="2110" spans="17:23">
      <c r="Q2110" s="99"/>
      <c r="T2110" s="97"/>
      <c r="V2110" s="22"/>
      <c r="W2110" s="97"/>
    </row>
    <row r="2111" spans="17:23">
      <c r="Q2111" s="99"/>
      <c r="T2111" s="97"/>
      <c r="V2111" s="22"/>
      <c r="W2111" s="97"/>
    </row>
    <row r="2112" spans="17:23">
      <c r="Q2112" s="99"/>
      <c r="T2112" s="97"/>
      <c r="V2112" s="22"/>
      <c r="W2112" s="97"/>
    </row>
    <row r="2113" spans="17:23">
      <c r="Q2113" s="99"/>
      <c r="T2113" s="97"/>
      <c r="V2113" s="22"/>
      <c r="W2113" s="97"/>
    </row>
    <row r="2114" spans="17:23">
      <c r="Q2114" s="99"/>
      <c r="T2114" s="97"/>
      <c r="V2114" s="22"/>
      <c r="W2114" s="97"/>
    </row>
    <row r="2115" spans="17:23">
      <c r="Q2115" s="99"/>
      <c r="T2115" s="97"/>
      <c r="V2115" s="22"/>
      <c r="W2115" s="97"/>
    </row>
    <row r="2116" spans="17:23">
      <c r="Q2116" s="99"/>
      <c r="T2116" s="97"/>
      <c r="V2116" s="22"/>
      <c r="W2116" s="97"/>
    </row>
    <row r="2117" spans="17:23">
      <c r="Q2117" s="99"/>
      <c r="T2117" s="97"/>
      <c r="V2117" s="22"/>
      <c r="W2117" s="97"/>
    </row>
    <row r="2118" spans="17:23">
      <c r="Q2118" s="99"/>
      <c r="T2118" s="97"/>
      <c r="V2118" s="22"/>
      <c r="W2118" s="97"/>
    </row>
    <row r="2119" spans="17:23">
      <c r="Q2119" s="99"/>
      <c r="T2119" s="97"/>
      <c r="V2119" s="22"/>
      <c r="W2119" s="97"/>
    </row>
    <row r="2120" spans="17:23">
      <c r="Q2120" s="99"/>
      <c r="T2120" s="97"/>
      <c r="V2120" s="22"/>
      <c r="W2120" s="97"/>
    </row>
    <row r="2121" spans="17:23">
      <c r="Q2121" s="99"/>
      <c r="T2121" s="97"/>
      <c r="V2121" s="22"/>
      <c r="W2121" s="97"/>
    </row>
    <row r="2122" spans="17:23">
      <c r="Q2122" s="99"/>
      <c r="T2122" s="97"/>
      <c r="V2122" s="22"/>
      <c r="W2122" s="97"/>
    </row>
    <row r="2123" spans="17:23">
      <c r="Q2123" s="99"/>
      <c r="T2123" s="97"/>
      <c r="V2123" s="22"/>
      <c r="W2123" s="97"/>
    </row>
    <row r="2124" spans="17:23">
      <c r="Q2124" s="99"/>
      <c r="T2124" s="97"/>
      <c r="V2124" s="22"/>
      <c r="W2124" s="97"/>
    </row>
    <row r="2125" spans="17:23">
      <c r="Q2125" s="99"/>
      <c r="T2125" s="97"/>
      <c r="V2125" s="22"/>
      <c r="W2125" s="97"/>
    </row>
    <row r="2126" spans="17:23">
      <c r="Q2126" s="99"/>
      <c r="T2126" s="97"/>
      <c r="V2126" s="22"/>
      <c r="W2126" s="97"/>
    </row>
    <row r="2127" spans="17:23">
      <c r="Q2127" s="99"/>
      <c r="T2127" s="97"/>
      <c r="V2127" s="22"/>
      <c r="W2127" s="97"/>
    </row>
    <row r="2128" spans="17:23">
      <c r="Q2128" s="99"/>
      <c r="T2128" s="97"/>
      <c r="V2128" s="22"/>
      <c r="W2128" s="97"/>
    </row>
    <row r="2129" spans="17:23">
      <c r="Q2129" s="99"/>
      <c r="T2129" s="97"/>
      <c r="V2129" s="22"/>
      <c r="W2129" s="97"/>
    </row>
    <row r="2130" spans="17:23">
      <c r="Q2130" s="99"/>
      <c r="T2130" s="97"/>
      <c r="V2130" s="22"/>
      <c r="W2130" s="97"/>
    </row>
    <row r="2131" spans="17:23">
      <c r="Q2131" s="99"/>
      <c r="T2131" s="97"/>
      <c r="V2131" s="22"/>
      <c r="W2131" s="97"/>
    </row>
    <row r="2132" spans="17:23">
      <c r="Q2132" s="99"/>
      <c r="T2132" s="97"/>
      <c r="V2132" s="22"/>
      <c r="W2132" s="97"/>
    </row>
    <row r="2133" spans="17:23">
      <c r="Q2133" s="99"/>
      <c r="T2133" s="97"/>
      <c r="V2133" s="22"/>
      <c r="W2133" s="97"/>
    </row>
    <row r="2134" spans="17:23">
      <c r="Q2134" s="99"/>
      <c r="T2134" s="97"/>
      <c r="V2134" s="22"/>
      <c r="W2134" s="97"/>
    </row>
    <row r="2135" spans="17:23">
      <c r="Q2135" s="99"/>
      <c r="T2135" s="97"/>
      <c r="V2135" s="22"/>
      <c r="W2135" s="97"/>
    </row>
    <row r="2136" spans="17:23">
      <c r="Q2136" s="99"/>
      <c r="T2136" s="97"/>
      <c r="V2136" s="22"/>
      <c r="W2136" s="97"/>
    </row>
    <row r="2137" spans="17:23">
      <c r="Q2137" s="99"/>
      <c r="T2137" s="97"/>
      <c r="V2137" s="22"/>
      <c r="W2137" s="97"/>
    </row>
    <row r="2138" spans="17:23">
      <c r="Q2138" s="99"/>
      <c r="T2138" s="97"/>
      <c r="V2138" s="22"/>
      <c r="W2138" s="97"/>
    </row>
    <row r="2139" spans="17:23">
      <c r="Q2139" s="99"/>
      <c r="T2139" s="97"/>
      <c r="V2139" s="22"/>
      <c r="W2139" s="97"/>
    </row>
    <row r="2140" spans="17:23">
      <c r="Q2140" s="99"/>
      <c r="T2140" s="97"/>
      <c r="V2140" s="22"/>
      <c r="W2140" s="97"/>
    </row>
    <row r="2141" spans="17:23">
      <c r="Q2141" s="99"/>
      <c r="T2141" s="97"/>
      <c r="V2141" s="22"/>
      <c r="W2141" s="97"/>
    </row>
    <row r="2142" spans="17:23">
      <c r="Q2142" s="99"/>
      <c r="T2142" s="97"/>
      <c r="V2142" s="22"/>
      <c r="W2142" s="97"/>
    </row>
    <row r="2143" spans="17:23">
      <c r="Q2143" s="99"/>
      <c r="T2143" s="97"/>
      <c r="V2143" s="22"/>
      <c r="W2143" s="97"/>
    </row>
    <row r="2144" spans="17:23">
      <c r="Q2144" s="99"/>
      <c r="T2144" s="97"/>
      <c r="V2144" s="22"/>
      <c r="W2144" s="97"/>
    </row>
    <row r="2145" spans="17:23">
      <c r="Q2145" s="99"/>
      <c r="T2145" s="97"/>
      <c r="V2145" s="22"/>
      <c r="W2145" s="97"/>
    </row>
    <row r="2146" spans="17:23">
      <c r="Q2146" s="99"/>
      <c r="T2146" s="97"/>
      <c r="V2146" s="22"/>
      <c r="W2146" s="97"/>
    </row>
    <row r="2147" spans="17:23">
      <c r="Q2147" s="99"/>
      <c r="T2147" s="97"/>
      <c r="V2147" s="22"/>
      <c r="W2147" s="97"/>
    </row>
    <row r="2148" spans="17:23">
      <c r="Q2148" s="99"/>
      <c r="T2148" s="97"/>
      <c r="V2148" s="22"/>
      <c r="W2148" s="97"/>
    </row>
    <row r="2149" spans="17:23">
      <c r="Q2149" s="99"/>
      <c r="T2149" s="97"/>
      <c r="V2149" s="22"/>
      <c r="W2149" s="97"/>
    </row>
    <row r="2150" spans="17:23">
      <c r="Q2150" s="99"/>
      <c r="T2150" s="97"/>
      <c r="V2150" s="22"/>
      <c r="W2150" s="97"/>
    </row>
    <row r="2151" spans="17:23">
      <c r="Q2151" s="99"/>
      <c r="T2151" s="97"/>
      <c r="V2151" s="22"/>
      <c r="W2151" s="97"/>
    </row>
    <row r="2152" spans="17:23">
      <c r="Q2152" s="99"/>
      <c r="T2152" s="97"/>
      <c r="V2152" s="22"/>
      <c r="W2152" s="97"/>
    </row>
    <row r="2153" spans="17:23">
      <c r="Q2153" s="99"/>
      <c r="T2153" s="97"/>
      <c r="V2153" s="22"/>
      <c r="W2153" s="97"/>
    </row>
    <row r="2154" spans="17:23">
      <c r="Q2154" s="99"/>
      <c r="T2154" s="97"/>
      <c r="V2154" s="22"/>
      <c r="W2154" s="97"/>
    </row>
    <row r="2155" spans="17:23">
      <c r="Q2155" s="99"/>
      <c r="T2155" s="97"/>
      <c r="V2155" s="22"/>
      <c r="W2155" s="97"/>
    </row>
    <row r="2156" spans="17:23">
      <c r="Q2156" s="99"/>
      <c r="T2156" s="97"/>
      <c r="V2156" s="22"/>
      <c r="W2156" s="97"/>
    </row>
    <row r="2157" spans="17:23">
      <c r="Q2157" s="99"/>
      <c r="T2157" s="97"/>
      <c r="V2157" s="22"/>
      <c r="W2157" s="97"/>
    </row>
    <row r="2158" spans="17:23">
      <c r="Q2158" s="99"/>
      <c r="T2158" s="97"/>
      <c r="V2158" s="22"/>
      <c r="W2158" s="97"/>
    </row>
    <row r="2159" spans="17:23">
      <c r="Q2159" s="99"/>
      <c r="T2159" s="97"/>
      <c r="V2159" s="22"/>
      <c r="W2159" s="97"/>
    </row>
    <row r="2160" spans="17:23">
      <c r="Q2160" s="99"/>
      <c r="T2160" s="97"/>
      <c r="V2160" s="22"/>
      <c r="W2160" s="97"/>
    </row>
    <row r="2161" spans="17:23">
      <c r="Q2161" s="99"/>
      <c r="T2161" s="97"/>
      <c r="V2161" s="22"/>
      <c r="W2161" s="97"/>
    </row>
    <row r="2162" spans="17:23">
      <c r="Q2162" s="99"/>
      <c r="T2162" s="97"/>
      <c r="V2162" s="22"/>
      <c r="W2162" s="97"/>
    </row>
    <row r="2163" spans="17:23">
      <c r="Q2163" s="99"/>
      <c r="T2163" s="97"/>
      <c r="V2163" s="22"/>
      <c r="W2163" s="97"/>
    </row>
    <row r="2164" spans="17:23">
      <c r="Q2164" s="99"/>
      <c r="T2164" s="97"/>
      <c r="V2164" s="22"/>
      <c r="W2164" s="97"/>
    </row>
    <row r="2165" spans="17:23">
      <c r="Q2165" s="99"/>
      <c r="T2165" s="97"/>
      <c r="V2165" s="22"/>
      <c r="W2165" s="97"/>
    </row>
    <row r="2166" spans="17:23">
      <c r="Q2166" s="99"/>
      <c r="T2166" s="97"/>
      <c r="V2166" s="22"/>
      <c r="W2166" s="97"/>
    </row>
    <row r="2167" spans="17:23">
      <c r="Q2167" s="99"/>
      <c r="T2167" s="97"/>
      <c r="V2167" s="22"/>
      <c r="W2167" s="97"/>
    </row>
    <row r="2168" spans="17:23">
      <c r="Q2168" s="99"/>
      <c r="T2168" s="97"/>
      <c r="V2168" s="22"/>
      <c r="W2168" s="97"/>
    </row>
    <row r="2169" spans="17:23">
      <c r="Q2169" s="99"/>
      <c r="T2169" s="97"/>
      <c r="V2169" s="22"/>
      <c r="W2169" s="97"/>
    </row>
    <row r="2170" spans="17:23">
      <c r="Q2170" s="99"/>
      <c r="T2170" s="97"/>
      <c r="V2170" s="22"/>
      <c r="W2170" s="97"/>
    </row>
    <row r="2171" spans="17:23">
      <c r="Q2171" s="99"/>
      <c r="T2171" s="97"/>
      <c r="V2171" s="22"/>
      <c r="W2171" s="97"/>
    </row>
    <row r="2172" spans="17:23">
      <c r="Q2172" s="99"/>
      <c r="T2172" s="97"/>
      <c r="V2172" s="22"/>
      <c r="W2172" s="97"/>
    </row>
    <row r="2173" spans="17:23">
      <c r="Q2173" s="99"/>
      <c r="T2173" s="97"/>
      <c r="V2173" s="22"/>
      <c r="W2173" s="97"/>
    </row>
    <row r="2174" spans="17:23">
      <c r="Q2174" s="99"/>
      <c r="T2174" s="97"/>
      <c r="V2174" s="22"/>
      <c r="W2174" s="97"/>
    </row>
    <row r="2175" spans="17:23">
      <c r="Q2175" s="99"/>
      <c r="T2175" s="97"/>
      <c r="V2175" s="22"/>
      <c r="W2175" s="97"/>
    </row>
    <row r="2176" spans="17:23">
      <c r="Q2176" s="99"/>
      <c r="T2176" s="97"/>
      <c r="V2176" s="22"/>
      <c r="W2176" s="97"/>
    </row>
    <row r="2177" spans="17:23">
      <c r="Q2177" s="99"/>
      <c r="T2177" s="97"/>
      <c r="V2177" s="22"/>
      <c r="W2177" s="97"/>
    </row>
    <row r="2178" spans="17:23">
      <c r="Q2178" s="99"/>
      <c r="T2178" s="97"/>
      <c r="V2178" s="22"/>
      <c r="W2178" s="97"/>
    </row>
    <row r="2179" spans="17:23">
      <c r="Q2179" s="99"/>
      <c r="T2179" s="97"/>
      <c r="V2179" s="22"/>
      <c r="W2179" s="97"/>
    </row>
    <row r="2180" spans="17:23">
      <c r="Q2180" s="99"/>
      <c r="T2180" s="97"/>
      <c r="V2180" s="22"/>
      <c r="W2180" s="97"/>
    </row>
    <row r="2181" spans="17:23">
      <c r="Q2181" s="99"/>
      <c r="T2181" s="97"/>
      <c r="V2181" s="22"/>
      <c r="W2181" s="97"/>
    </row>
    <row r="2182" spans="17:23">
      <c r="Q2182" s="99"/>
      <c r="T2182" s="97"/>
      <c r="V2182" s="22"/>
      <c r="W2182" s="97"/>
    </row>
    <row r="2183" spans="17:23">
      <c r="Q2183" s="99"/>
      <c r="T2183" s="97"/>
      <c r="V2183" s="22"/>
      <c r="W2183" s="97"/>
    </row>
    <row r="2184" spans="17:23">
      <c r="Q2184" s="99"/>
      <c r="T2184" s="97"/>
      <c r="V2184" s="22"/>
      <c r="W2184" s="97"/>
    </row>
    <row r="2185" spans="17:23">
      <c r="Q2185" s="99"/>
      <c r="T2185" s="97"/>
      <c r="V2185" s="22"/>
      <c r="W2185" s="97"/>
    </row>
    <row r="2186" spans="17:23">
      <c r="Q2186" s="99"/>
      <c r="T2186" s="97"/>
      <c r="V2186" s="22"/>
      <c r="W2186" s="97"/>
    </row>
    <row r="2187" spans="17:23">
      <c r="Q2187" s="99"/>
      <c r="T2187" s="97"/>
      <c r="V2187" s="22"/>
      <c r="W2187" s="97"/>
    </row>
    <row r="2188" spans="17:23">
      <c r="Q2188" s="99"/>
      <c r="T2188" s="97"/>
      <c r="V2188" s="22"/>
      <c r="W2188" s="97"/>
    </row>
    <row r="2189" spans="17:23">
      <c r="Q2189" s="99"/>
      <c r="T2189" s="97"/>
      <c r="V2189" s="22"/>
      <c r="W2189" s="97"/>
    </row>
    <row r="2190" spans="17:23">
      <c r="Q2190" s="99"/>
      <c r="T2190" s="97"/>
      <c r="V2190" s="22"/>
      <c r="W2190" s="97"/>
    </row>
    <row r="2191" spans="17:23">
      <c r="Q2191" s="99"/>
      <c r="T2191" s="97"/>
      <c r="V2191" s="22"/>
      <c r="W2191" s="97"/>
    </row>
    <row r="2192" spans="17:23">
      <c r="Q2192" s="99"/>
      <c r="T2192" s="97"/>
      <c r="V2192" s="22"/>
      <c r="W2192" s="97"/>
    </row>
    <row r="2193" spans="17:23">
      <c r="Q2193" s="99"/>
      <c r="T2193" s="97"/>
      <c r="V2193" s="22"/>
      <c r="W2193" s="97"/>
    </row>
    <row r="2194" spans="17:23">
      <c r="Q2194" s="99"/>
      <c r="T2194" s="97"/>
      <c r="V2194" s="22"/>
      <c r="W2194" s="97"/>
    </row>
    <row r="2195" spans="17:23">
      <c r="Q2195" s="99"/>
      <c r="T2195" s="97"/>
      <c r="V2195" s="22"/>
      <c r="W2195" s="97"/>
    </row>
    <row r="2196" spans="17:23">
      <c r="Q2196" s="99"/>
      <c r="T2196" s="97"/>
      <c r="V2196" s="22"/>
      <c r="W2196" s="97"/>
    </row>
    <row r="2197" spans="17:23">
      <c r="Q2197" s="99"/>
      <c r="T2197" s="97"/>
      <c r="V2197" s="22"/>
      <c r="W2197" s="97"/>
    </row>
    <row r="2198" spans="17:23">
      <c r="Q2198" s="99"/>
      <c r="T2198" s="97"/>
      <c r="V2198" s="22"/>
      <c r="W2198" s="97"/>
    </row>
    <row r="2199" spans="17:23">
      <c r="Q2199" s="99"/>
      <c r="T2199" s="97"/>
      <c r="V2199" s="22"/>
      <c r="W2199" s="97"/>
    </row>
    <row r="2200" spans="17:23">
      <c r="Q2200" s="99"/>
      <c r="T2200" s="97"/>
      <c r="V2200" s="22"/>
      <c r="W2200" s="97"/>
    </row>
    <row r="2201" spans="17:23">
      <c r="Q2201" s="99"/>
      <c r="T2201" s="97"/>
      <c r="V2201" s="22"/>
      <c r="W2201" s="97"/>
    </row>
    <row r="2202" spans="17:23">
      <c r="Q2202" s="99"/>
      <c r="T2202" s="97"/>
      <c r="V2202" s="22"/>
      <c r="W2202" s="97"/>
    </row>
    <row r="2203" spans="17:23">
      <c r="Q2203" s="99"/>
      <c r="T2203" s="97"/>
      <c r="V2203" s="22"/>
      <c r="W2203" s="97"/>
    </row>
    <row r="2204" spans="17:23">
      <c r="Q2204" s="99"/>
      <c r="T2204" s="97"/>
      <c r="V2204" s="22"/>
      <c r="W2204" s="97"/>
    </row>
    <row r="2205" spans="17:23">
      <c r="Q2205" s="99"/>
      <c r="T2205" s="97"/>
      <c r="V2205" s="22"/>
      <c r="W2205" s="97"/>
    </row>
    <row r="2206" spans="17:23">
      <c r="Q2206" s="99"/>
      <c r="T2206" s="97"/>
      <c r="V2206" s="22"/>
      <c r="W2206" s="97"/>
    </row>
    <row r="2207" spans="17:23">
      <c r="Q2207" s="99"/>
      <c r="T2207" s="97"/>
      <c r="V2207" s="22"/>
      <c r="W2207" s="97"/>
    </row>
    <row r="2208" spans="17:23">
      <c r="Q2208" s="99"/>
      <c r="T2208" s="97"/>
      <c r="V2208" s="22"/>
      <c r="W2208" s="97"/>
    </row>
    <row r="2209" spans="17:23">
      <c r="Q2209" s="99"/>
      <c r="T2209" s="97"/>
      <c r="V2209" s="22"/>
      <c r="W2209" s="97"/>
    </row>
    <row r="2210" spans="17:23">
      <c r="Q2210" s="99"/>
      <c r="T2210" s="97"/>
      <c r="V2210" s="22"/>
      <c r="W2210" s="97"/>
    </row>
    <row r="2211" spans="17:23">
      <c r="Q2211" s="99"/>
      <c r="T2211" s="97"/>
      <c r="V2211" s="22"/>
      <c r="W2211" s="97"/>
    </row>
    <row r="2212" spans="17:23">
      <c r="Q2212" s="99"/>
      <c r="T2212" s="97"/>
      <c r="V2212" s="22"/>
      <c r="W2212" s="97"/>
    </row>
    <row r="2213" spans="17:23">
      <c r="Q2213" s="99"/>
      <c r="T2213" s="97"/>
      <c r="V2213" s="22"/>
      <c r="W2213" s="97"/>
    </row>
    <row r="2214" spans="17:23">
      <c r="Q2214" s="99"/>
      <c r="T2214" s="97"/>
      <c r="V2214" s="22"/>
      <c r="W2214" s="97"/>
    </row>
    <row r="2215" spans="17:23">
      <c r="Q2215" s="99"/>
      <c r="T2215" s="97"/>
      <c r="V2215" s="22"/>
      <c r="W2215" s="97"/>
    </row>
    <row r="2216" spans="17:23">
      <c r="Q2216" s="99"/>
      <c r="T2216" s="97"/>
      <c r="V2216" s="22"/>
      <c r="W2216" s="97"/>
    </row>
    <row r="2217" spans="17:23">
      <c r="Q2217" s="99"/>
      <c r="T2217" s="97"/>
      <c r="V2217" s="22"/>
      <c r="W2217" s="97"/>
    </row>
    <row r="2218" spans="17:23">
      <c r="Q2218" s="99"/>
      <c r="T2218" s="97"/>
      <c r="V2218" s="22"/>
      <c r="W2218" s="97"/>
    </row>
    <row r="2219" spans="17:23">
      <c r="Q2219" s="99"/>
      <c r="T2219" s="97"/>
      <c r="V2219" s="22"/>
      <c r="W2219" s="97"/>
    </row>
    <row r="2220" spans="17:23">
      <c r="Q2220" s="99"/>
      <c r="T2220" s="97"/>
      <c r="V2220" s="22"/>
      <c r="W2220" s="97"/>
    </row>
    <row r="2221" spans="17:23">
      <c r="Q2221" s="99"/>
      <c r="T2221" s="97"/>
      <c r="V2221" s="22"/>
      <c r="W2221" s="97"/>
    </row>
    <row r="2222" spans="17:23">
      <c r="Q2222" s="99"/>
      <c r="T2222" s="97"/>
      <c r="V2222" s="22"/>
      <c r="W2222" s="97"/>
    </row>
    <row r="2223" spans="17:23">
      <c r="Q2223" s="99"/>
      <c r="T2223" s="97"/>
      <c r="V2223" s="22"/>
      <c r="W2223" s="97"/>
    </row>
    <row r="2224" spans="17:23">
      <c r="Q2224" s="99"/>
      <c r="T2224" s="97"/>
      <c r="V2224" s="22"/>
      <c r="W2224" s="97"/>
    </row>
    <row r="2225" spans="17:23">
      <c r="Q2225" s="99"/>
      <c r="T2225" s="97"/>
      <c r="V2225" s="22"/>
      <c r="W2225" s="97"/>
    </row>
    <row r="2226" spans="17:23">
      <c r="Q2226" s="99"/>
      <c r="T2226" s="97"/>
      <c r="V2226" s="22"/>
      <c r="W2226" s="97"/>
    </row>
    <row r="2227" spans="17:23">
      <c r="Q2227" s="99"/>
      <c r="T2227" s="97"/>
      <c r="V2227" s="22"/>
      <c r="W2227" s="97"/>
    </row>
    <row r="2228" spans="17:23">
      <c r="Q2228" s="99"/>
      <c r="T2228" s="97"/>
      <c r="V2228" s="22"/>
      <c r="W2228" s="97"/>
    </row>
    <row r="2229" spans="17:23">
      <c r="Q2229" s="99"/>
      <c r="T2229" s="97"/>
      <c r="V2229" s="22"/>
      <c r="W2229" s="97"/>
    </row>
    <row r="2230" spans="17:23">
      <c r="Q2230" s="99"/>
      <c r="T2230" s="97"/>
      <c r="V2230" s="22"/>
      <c r="W2230" s="97"/>
    </row>
    <row r="2231" spans="17:23">
      <c r="Q2231" s="99"/>
      <c r="T2231" s="97"/>
      <c r="V2231" s="22"/>
      <c r="W2231" s="97"/>
    </row>
    <row r="2232" spans="17:23">
      <c r="Q2232" s="99"/>
      <c r="T2232" s="97"/>
      <c r="V2232" s="22"/>
      <c r="W2232" s="97"/>
    </row>
    <row r="2233" spans="17:23">
      <c r="Q2233" s="99"/>
      <c r="T2233" s="97"/>
      <c r="V2233" s="22"/>
      <c r="W2233" s="97"/>
    </row>
    <row r="2234" spans="17:23">
      <c r="Q2234" s="99"/>
      <c r="T2234" s="97"/>
      <c r="V2234" s="22"/>
      <c r="W2234" s="97"/>
    </row>
    <row r="2235" spans="17:23">
      <c r="Q2235" s="99"/>
      <c r="T2235" s="97"/>
      <c r="V2235" s="22"/>
      <c r="W2235" s="97"/>
    </row>
    <row r="2236" spans="17:23">
      <c r="Q2236" s="99"/>
      <c r="T2236" s="97"/>
      <c r="V2236" s="22"/>
      <c r="W2236" s="97"/>
    </row>
    <row r="2237" spans="17:23">
      <c r="Q2237" s="99"/>
      <c r="T2237" s="97"/>
      <c r="V2237" s="22"/>
      <c r="W2237" s="97"/>
    </row>
    <row r="2238" spans="17:23">
      <c r="Q2238" s="99"/>
      <c r="T2238" s="97"/>
      <c r="V2238" s="22"/>
      <c r="W2238" s="97"/>
    </row>
    <row r="2239" spans="17:23">
      <c r="Q2239" s="99"/>
      <c r="T2239" s="97"/>
      <c r="V2239" s="22"/>
      <c r="W2239" s="97"/>
    </row>
    <row r="2240" spans="17:23">
      <c r="Q2240" s="99"/>
      <c r="T2240" s="97"/>
      <c r="V2240" s="22"/>
      <c r="W2240" s="97"/>
    </row>
    <row r="2241" spans="17:23">
      <c r="Q2241" s="99"/>
      <c r="T2241" s="97"/>
      <c r="V2241" s="22"/>
      <c r="W2241" s="97"/>
    </row>
    <row r="2242" spans="17:23">
      <c r="Q2242" s="99"/>
      <c r="T2242" s="97"/>
      <c r="V2242" s="22"/>
      <c r="W2242" s="97"/>
    </row>
    <row r="2243" spans="17:23">
      <c r="Q2243" s="99"/>
      <c r="T2243" s="97"/>
      <c r="V2243" s="22"/>
      <c r="W2243" s="97"/>
    </row>
    <row r="2244" spans="17:23">
      <c r="Q2244" s="99"/>
      <c r="T2244" s="97"/>
      <c r="V2244" s="22"/>
      <c r="W2244" s="97"/>
    </row>
    <row r="2245" spans="17:23">
      <c r="Q2245" s="99"/>
      <c r="T2245" s="97"/>
      <c r="V2245" s="22"/>
      <c r="W2245" s="97"/>
    </row>
    <row r="2246" spans="17:23">
      <c r="Q2246" s="99"/>
      <c r="T2246" s="97"/>
      <c r="V2246" s="22"/>
      <c r="W2246" s="97"/>
    </row>
    <row r="2247" spans="17:23">
      <c r="Q2247" s="99"/>
      <c r="T2247" s="97"/>
      <c r="V2247" s="22"/>
      <c r="W2247" s="97"/>
    </row>
    <row r="2248" spans="17:23">
      <c r="Q2248" s="99"/>
      <c r="T2248" s="97"/>
      <c r="V2248" s="22"/>
      <c r="W2248" s="97"/>
    </row>
    <row r="2249" spans="17:23">
      <c r="Q2249" s="99"/>
      <c r="T2249" s="97"/>
      <c r="V2249" s="22"/>
      <c r="W2249" s="97"/>
    </row>
    <row r="2250" spans="17:23">
      <c r="Q2250" s="99"/>
      <c r="T2250" s="97"/>
      <c r="V2250" s="22"/>
      <c r="W2250" s="97"/>
    </row>
    <row r="2251" spans="17:23">
      <c r="Q2251" s="99"/>
      <c r="T2251" s="97"/>
      <c r="V2251" s="22"/>
      <c r="W2251" s="97"/>
    </row>
    <row r="2252" spans="17:23">
      <c r="Q2252" s="99"/>
      <c r="T2252" s="97"/>
      <c r="V2252" s="22"/>
      <c r="W2252" s="97"/>
    </row>
    <row r="2253" spans="17:23">
      <c r="Q2253" s="99"/>
      <c r="T2253" s="97"/>
      <c r="V2253" s="22"/>
      <c r="W2253" s="97"/>
    </row>
    <row r="2254" spans="17:23">
      <c r="Q2254" s="99"/>
      <c r="T2254" s="97"/>
      <c r="V2254" s="22"/>
      <c r="W2254" s="97"/>
    </row>
    <row r="2255" spans="17:23">
      <c r="Q2255" s="99"/>
      <c r="T2255" s="97"/>
      <c r="V2255" s="22"/>
      <c r="W2255" s="97"/>
    </row>
    <row r="2256" spans="17:23">
      <c r="Q2256" s="99"/>
      <c r="T2256" s="97"/>
      <c r="V2256" s="22"/>
      <c r="W2256" s="97"/>
    </row>
    <row r="2257" spans="17:23">
      <c r="Q2257" s="99"/>
      <c r="T2257" s="97"/>
      <c r="V2257" s="22"/>
      <c r="W2257" s="97"/>
    </row>
    <row r="2258" spans="17:23">
      <c r="Q2258" s="99"/>
      <c r="T2258" s="97"/>
      <c r="V2258" s="22"/>
      <c r="W2258" s="97"/>
    </row>
    <row r="2259" spans="17:23">
      <c r="Q2259" s="99"/>
      <c r="T2259" s="97"/>
      <c r="V2259" s="22"/>
      <c r="W2259" s="97"/>
    </row>
    <row r="2260" spans="17:23">
      <c r="Q2260" s="99"/>
      <c r="T2260" s="97"/>
      <c r="V2260" s="22"/>
      <c r="W2260" s="97"/>
    </row>
    <row r="2261" spans="17:23">
      <c r="Q2261" s="99"/>
      <c r="T2261" s="97"/>
      <c r="V2261" s="22"/>
      <c r="W2261" s="97"/>
    </row>
    <row r="2262" spans="17:23">
      <c r="Q2262" s="99"/>
      <c r="T2262" s="97"/>
      <c r="V2262" s="22"/>
      <c r="W2262" s="97"/>
    </row>
    <row r="2263" spans="17:23">
      <c r="Q2263" s="99"/>
      <c r="T2263" s="97"/>
      <c r="V2263" s="22"/>
      <c r="W2263" s="97"/>
    </row>
    <row r="2264" spans="17:23">
      <c r="Q2264" s="99"/>
      <c r="T2264" s="97"/>
      <c r="V2264" s="22"/>
      <c r="W2264" s="97"/>
    </row>
    <row r="2265" spans="17:23">
      <c r="Q2265" s="99"/>
      <c r="T2265" s="97"/>
      <c r="V2265" s="22"/>
      <c r="W2265" s="97"/>
    </row>
    <row r="2266" spans="17:23">
      <c r="Q2266" s="99"/>
      <c r="T2266" s="97"/>
      <c r="V2266" s="22"/>
      <c r="W2266" s="97"/>
    </row>
    <row r="2267" spans="17:23">
      <c r="Q2267" s="99"/>
      <c r="T2267" s="97"/>
      <c r="V2267" s="22"/>
      <c r="W2267" s="97"/>
    </row>
    <row r="2268" spans="17:23">
      <c r="Q2268" s="99"/>
      <c r="T2268" s="97"/>
      <c r="V2268" s="22"/>
      <c r="W2268" s="97"/>
    </row>
    <row r="2269" spans="17:23">
      <c r="Q2269" s="99"/>
      <c r="T2269" s="97"/>
      <c r="V2269" s="22"/>
      <c r="W2269" s="97"/>
    </row>
    <row r="2270" spans="17:23">
      <c r="Q2270" s="99"/>
      <c r="T2270" s="97"/>
      <c r="V2270" s="22"/>
      <c r="W2270" s="97"/>
    </row>
    <row r="2271" spans="17:23">
      <c r="Q2271" s="99"/>
      <c r="T2271" s="97"/>
      <c r="V2271" s="22"/>
      <c r="W2271" s="97"/>
    </row>
    <row r="2272" spans="17:23">
      <c r="Q2272" s="99"/>
      <c r="T2272" s="97"/>
      <c r="V2272" s="22"/>
      <c r="W2272" s="97"/>
    </row>
    <row r="2273" spans="17:23">
      <c r="Q2273" s="99"/>
      <c r="T2273" s="97"/>
      <c r="V2273" s="22"/>
      <c r="W2273" s="97"/>
    </row>
    <row r="2274" spans="17:23">
      <c r="Q2274" s="99"/>
      <c r="T2274" s="97"/>
      <c r="V2274" s="22"/>
      <c r="W2274" s="97"/>
    </row>
    <row r="2275" spans="17:23">
      <c r="Q2275" s="99"/>
      <c r="T2275" s="97"/>
      <c r="V2275" s="22"/>
      <c r="W2275" s="97"/>
    </row>
    <row r="2276" spans="17:23">
      <c r="Q2276" s="99"/>
      <c r="T2276" s="97"/>
      <c r="V2276" s="22"/>
      <c r="W2276" s="97"/>
    </row>
    <row r="2277" spans="17:23">
      <c r="Q2277" s="99"/>
      <c r="T2277" s="97"/>
      <c r="V2277" s="22"/>
      <c r="W2277" s="97"/>
    </row>
    <row r="2278" spans="17:23">
      <c r="Q2278" s="99"/>
      <c r="T2278" s="97"/>
      <c r="V2278" s="22"/>
      <c r="W2278" s="97"/>
    </row>
    <row r="2279" spans="17:23">
      <c r="Q2279" s="99"/>
      <c r="T2279" s="97"/>
      <c r="V2279" s="22"/>
      <c r="W2279" s="97"/>
    </row>
    <row r="2280" spans="17:23">
      <c r="Q2280" s="99"/>
      <c r="T2280" s="97"/>
      <c r="V2280" s="22"/>
      <c r="W2280" s="97"/>
    </row>
    <row r="2281" spans="17:23">
      <c r="Q2281" s="99"/>
      <c r="T2281" s="97"/>
      <c r="V2281" s="22"/>
      <c r="W2281" s="97"/>
    </row>
    <row r="2282" spans="17:23">
      <c r="Q2282" s="99"/>
      <c r="T2282" s="97"/>
      <c r="V2282" s="22"/>
      <c r="W2282" s="97"/>
    </row>
    <row r="2283" spans="17:23">
      <c r="Q2283" s="99"/>
      <c r="T2283" s="97"/>
      <c r="V2283" s="22"/>
      <c r="W2283" s="97"/>
    </row>
    <row r="2284" spans="17:23">
      <c r="Q2284" s="99"/>
      <c r="T2284" s="97"/>
      <c r="V2284" s="22"/>
      <c r="W2284" s="97"/>
    </row>
    <row r="2285" spans="17:23">
      <c r="Q2285" s="99"/>
      <c r="T2285" s="97"/>
      <c r="V2285" s="22"/>
      <c r="W2285" s="97"/>
    </row>
    <row r="2286" spans="17:23">
      <c r="Q2286" s="99"/>
      <c r="T2286" s="97"/>
      <c r="V2286" s="22"/>
      <c r="W2286" s="97"/>
    </row>
    <row r="2287" spans="17:23">
      <c r="Q2287" s="99"/>
      <c r="T2287" s="97"/>
      <c r="V2287" s="22"/>
      <c r="W2287" s="97"/>
    </row>
    <row r="2288" spans="17:23">
      <c r="Q2288" s="99"/>
      <c r="T2288" s="97"/>
      <c r="V2288" s="22"/>
      <c r="W2288" s="97"/>
    </row>
    <row r="2289" spans="17:23">
      <c r="Q2289" s="99"/>
      <c r="T2289" s="97"/>
      <c r="V2289" s="22"/>
      <c r="W2289" s="97"/>
    </row>
    <row r="2290" spans="17:23">
      <c r="Q2290" s="99"/>
      <c r="T2290" s="97"/>
      <c r="V2290" s="22"/>
      <c r="W2290" s="97"/>
    </row>
    <row r="2291" spans="17:23">
      <c r="Q2291" s="99"/>
      <c r="T2291" s="97"/>
      <c r="V2291" s="22"/>
      <c r="W2291" s="97"/>
    </row>
    <row r="2292" spans="17:23">
      <c r="Q2292" s="99"/>
      <c r="T2292" s="97"/>
      <c r="V2292" s="22"/>
      <c r="W2292" s="97"/>
    </row>
    <row r="2293" spans="17:23">
      <c r="Q2293" s="99"/>
      <c r="T2293" s="97"/>
      <c r="V2293" s="22"/>
      <c r="W2293" s="97"/>
    </row>
    <row r="2294" spans="17:23">
      <c r="Q2294" s="99"/>
      <c r="T2294" s="97"/>
      <c r="V2294" s="22"/>
      <c r="W2294" s="97"/>
    </row>
    <row r="2295" spans="17:23">
      <c r="Q2295" s="99"/>
      <c r="T2295" s="97"/>
      <c r="V2295" s="22"/>
      <c r="W2295" s="97"/>
    </row>
    <row r="2296" spans="17:23">
      <c r="Q2296" s="99"/>
      <c r="T2296" s="97"/>
      <c r="V2296" s="22"/>
      <c r="W2296" s="97"/>
    </row>
    <row r="2297" spans="17:23">
      <c r="Q2297" s="99"/>
      <c r="T2297" s="97"/>
      <c r="V2297" s="22"/>
      <c r="W2297" s="97"/>
    </row>
    <row r="2298" spans="17:23">
      <c r="Q2298" s="99"/>
      <c r="T2298" s="97"/>
      <c r="V2298" s="22"/>
      <c r="W2298" s="97"/>
    </row>
    <row r="2299" spans="17:23">
      <c r="Q2299" s="99"/>
      <c r="T2299" s="97"/>
      <c r="V2299" s="22"/>
      <c r="W2299" s="97"/>
    </row>
    <row r="2300" spans="17:23">
      <c r="Q2300" s="99"/>
      <c r="T2300" s="97"/>
      <c r="V2300" s="22"/>
      <c r="W2300" s="97"/>
    </row>
    <row r="2301" spans="17:23">
      <c r="Q2301" s="99"/>
      <c r="T2301" s="97"/>
      <c r="V2301" s="22"/>
      <c r="W2301" s="97"/>
    </row>
    <row r="2302" spans="17:23">
      <c r="Q2302" s="99"/>
      <c r="T2302" s="97"/>
      <c r="V2302" s="22"/>
      <c r="W2302" s="97"/>
    </row>
    <row r="2303" spans="17:23">
      <c r="Q2303" s="99"/>
      <c r="T2303" s="97"/>
      <c r="V2303" s="22"/>
      <c r="W2303" s="97"/>
    </row>
    <row r="2304" spans="17:23">
      <c r="Q2304" s="99"/>
      <c r="T2304" s="97"/>
      <c r="V2304" s="22"/>
      <c r="W2304" s="97"/>
    </row>
    <row r="2305" spans="17:23">
      <c r="Q2305" s="99"/>
      <c r="T2305" s="97"/>
      <c r="V2305" s="22"/>
      <c r="W2305" s="97"/>
    </row>
    <row r="2306" spans="17:23">
      <c r="Q2306" s="99"/>
      <c r="T2306" s="97"/>
      <c r="V2306" s="22"/>
      <c r="W2306" s="97"/>
    </row>
    <row r="2307" spans="17:23">
      <c r="Q2307" s="99"/>
      <c r="T2307" s="97"/>
      <c r="V2307" s="22"/>
      <c r="W2307" s="97"/>
    </row>
    <row r="2308" spans="17:23">
      <c r="Q2308" s="99"/>
      <c r="T2308" s="97"/>
      <c r="V2308" s="22"/>
      <c r="W2308" s="97"/>
    </row>
    <row r="2309" spans="17:23">
      <c r="Q2309" s="99"/>
      <c r="T2309" s="97"/>
      <c r="V2309" s="22"/>
      <c r="W2309" s="97"/>
    </row>
    <row r="2310" spans="17:23">
      <c r="Q2310" s="99"/>
      <c r="T2310" s="97"/>
      <c r="V2310" s="22"/>
      <c r="W2310" s="97"/>
    </row>
    <row r="2311" spans="17:23">
      <c r="Q2311" s="99"/>
      <c r="T2311" s="97"/>
      <c r="V2311" s="22"/>
      <c r="W2311" s="97"/>
    </row>
    <row r="2312" spans="17:23">
      <c r="Q2312" s="99"/>
      <c r="T2312" s="97"/>
      <c r="V2312" s="22"/>
      <c r="W2312" s="97"/>
    </row>
    <row r="2313" spans="17:23">
      <c r="Q2313" s="99"/>
      <c r="T2313" s="97"/>
      <c r="V2313" s="22"/>
      <c r="W2313" s="97"/>
    </row>
    <row r="2314" spans="17:23">
      <c r="Q2314" s="99"/>
      <c r="T2314" s="97"/>
      <c r="V2314" s="22"/>
      <c r="W2314" s="97"/>
    </row>
    <row r="2315" spans="17:23">
      <c r="Q2315" s="99"/>
      <c r="T2315" s="97"/>
      <c r="V2315" s="22"/>
      <c r="W2315" s="97"/>
    </row>
    <row r="2316" spans="17:23">
      <c r="Q2316" s="99"/>
      <c r="T2316" s="97"/>
      <c r="V2316" s="22"/>
      <c r="W2316" s="97"/>
    </row>
    <row r="2317" spans="17:23">
      <c r="Q2317" s="99"/>
      <c r="T2317" s="97"/>
      <c r="V2317" s="22"/>
      <c r="W2317" s="97"/>
    </row>
    <row r="2318" spans="17:23">
      <c r="Q2318" s="99"/>
      <c r="T2318" s="97"/>
      <c r="V2318" s="22"/>
      <c r="W2318" s="97"/>
    </row>
    <row r="2319" spans="17:23">
      <c r="Q2319" s="99"/>
      <c r="T2319" s="97"/>
      <c r="V2319" s="22"/>
      <c r="W2319" s="97"/>
    </row>
    <row r="2320" spans="17:23">
      <c r="Q2320" s="99"/>
      <c r="T2320" s="97"/>
      <c r="V2320" s="22"/>
      <c r="W2320" s="97"/>
    </row>
    <row r="2321" spans="17:23">
      <c r="Q2321" s="99"/>
      <c r="T2321" s="97"/>
      <c r="V2321" s="22"/>
      <c r="W2321" s="97"/>
    </row>
    <row r="2322" spans="17:23">
      <c r="Q2322" s="99"/>
      <c r="T2322" s="97"/>
      <c r="V2322" s="22"/>
      <c r="W2322" s="97"/>
    </row>
    <row r="2323" spans="17:23">
      <c r="Q2323" s="99"/>
      <c r="T2323" s="97"/>
      <c r="V2323" s="22"/>
      <c r="W2323" s="97"/>
    </row>
    <row r="2324" spans="17:23">
      <c r="Q2324" s="99"/>
      <c r="T2324" s="97"/>
      <c r="V2324" s="22"/>
      <c r="W2324" s="97"/>
    </row>
    <row r="2325" spans="17:23">
      <c r="Q2325" s="99"/>
      <c r="T2325" s="97"/>
      <c r="V2325" s="22"/>
      <c r="W2325" s="97"/>
    </row>
    <row r="2326" spans="17:23">
      <c r="Q2326" s="99"/>
      <c r="T2326" s="97"/>
      <c r="V2326" s="22"/>
      <c r="W2326" s="97"/>
    </row>
    <row r="2327" spans="17:23">
      <c r="Q2327" s="99"/>
      <c r="T2327" s="97"/>
      <c r="V2327" s="22"/>
      <c r="W2327" s="97"/>
    </row>
    <row r="2328" spans="17:23">
      <c r="Q2328" s="99"/>
      <c r="T2328" s="97"/>
      <c r="V2328" s="22"/>
      <c r="W2328" s="97"/>
    </row>
    <row r="2329" spans="17:23">
      <c r="Q2329" s="99"/>
      <c r="T2329" s="97"/>
      <c r="V2329" s="22"/>
      <c r="W2329" s="97"/>
    </row>
    <row r="2330" spans="17:23">
      <c r="Q2330" s="99"/>
      <c r="T2330" s="97"/>
      <c r="V2330" s="22"/>
      <c r="W2330" s="97"/>
    </row>
    <row r="2331" spans="17:23">
      <c r="Q2331" s="99"/>
      <c r="T2331" s="97"/>
      <c r="V2331" s="22"/>
      <c r="W2331" s="97"/>
    </row>
    <row r="2332" spans="17:23">
      <c r="Q2332" s="99"/>
      <c r="T2332" s="97"/>
      <c r="V2332" s="22"/>
      <c r="W2332" s="97"/>
    </row>
    <row r="2333" spans="17:23">
      <c r="Q2333" s="99"/>
      <c r="T2333" s="97"/>
      <c r="V2333" s="22"/>
      <c r="W2333" s="97"/>
    </row>
    <row r="2334" spans="17:23">
      <c r="Q2334" s="99"/>
      <c r="T2334" s="97"/>
      <c r="V2334" s="22"/>
      <c r="W2334" s="97"/>
    </row>
    <row r="2335" spans="17:23">
      <c r="Q2335" s="99"/>
      <c r="T2335" s="97"/>
      <c r="V2335" s="22"/>
      <c r="W2335" s="97"/>
    </row>
    <row r="2336" spans="17:23">
      <c r="Q2336" s="99"/>
      <c r="T2336" s="97"/>
      <c r="V2336" s="22"/>
      <c r="W2336" s="97"/>
    </row>
    <row r="2337" spans="17:23">
      <c r="Q2337" s="99"/>
      <c r="T2337" s="97"/>
      <c r="V2337" s="22"/>
      <c r="W2337" s="97"/>
    </row>
    <row r="2338" spans="17:23">
      <c r="Q2338" s="99"/>
      <c r="T2338" s="97"/>
      <c r="V2338" s="22"/>
      <c r="W2338" s="97"/>
    </row>
    <row r="2339" spans="17:23">
      <c r="Q2339" s="99"/>
      <c r="T2339" s="97"/>
      <c r="V2339" s="22"/>
      <c r="W2339" s="97"/>
    </row>
    <row r="2340" spans="17:23">
      <c r="Q2340" s="99"/>
      <c r="T2340" s="97"/>
      <c r="V2340" s="22"/>
      <c r="W2340" s="97"/>
    </row>
    <row r="2341" spans="17:23">
      <c r="Q2341" s="99"/>
      <c r="T2341" s="97"/>
      <c r="V2341" s="22"/>
      <c r="W2341" s="97"/>
    </row>
    <row r="2342" spans="17:23">
      <c r="Q2342" s="99"/>
      <c r="T2342" s="97"/>
      <c r="V2342" s="22"/>
      <c r="W2342" s="97"/>
    </row>
    <row r="2343" spans="17:23">
      <c r="Q2343" s="99"/>
      <c r="T2343" s="97"/>
      <c r="V2343" s="22"/>
      <c r="W2343" s="97"/>
    </row>
    <row r="2344" spans="17:23">
      <c r="Q2344" s="99"/>
      <c r="T2344" s="97"/>
      <c r="V2344" s="22"/>
      <c r="W2344" s="97"/>
    </row>
    <row r="2345" spans="17:23">
      <c r="Q2345" s="99"/>
      <c r="T2345" s="97"/>
      <c r="V2345" s="22"/>
      <c r="W2345" s="97"/>
    </row>
    <row r="2346" spans="17:23">
      <c r="Q2346" s="99"/>
      <c r="T2346" s="97"/>
      <c r="V2346" s="22"/>
      <c r="W2346" s="97"/>
    </row>
    <row r="2347" spans="17:23">
      <c r="Q2347" s="99"/>
      <c r="T2347" s="97"/>
      <c r="V2347" s="22"/>
      <c r="W2347" s="97"/>
    </row>
    <row r="2348" spans="17:23">
      <c r="Q2348" s="99"/>
      <c r="T2348" s="97"/>
      <c r="V2348" s="22"/>
      <c r="W2348" s="97"/>
    </row>
    <row r="2349" spans="17:23">
      <c r="Q2349" s="99"/>
      <c r="T2349" s="97"/>
      <c r="V2349" s="22"/>
      <c r="W2349" s="97"/>
    </row>
    <row r="2350" spans="17:23">
      <c r="Q2350" s="99"/>
      <c r="T2350" s="97"/>
      <c r="V2350" s="22"/>
      <c r="W2350" s="97"/>
    </row>
    <row r="2351" spans="17:23">
      <c r="Q2351" s="99"/>
      <c r="T2351" s="97"/>
      <c r="V2351" s="22"/>
      <c r="W2351" s="97"/>
    </row>
    <row r="2352" spans="17:23">
      <c r="Q2352" s="99"/>
      <c r="T2352" s="97"/>
      <c r="V2352" s="22"/>
      <c r="W2352" s="97"/>
    </row>
    <row r="2353" spans="17:23">
      <c r="Q2353" s="99"/>
      <c r="T2353" s="97"/>
      <c r="V2353" s="22"/>
      <c r="W2353" s="97"/>
    </row>
    <row r="2354" spans="17:23">
      <c r="Q2354" s="99"/>
      <c r="T2354" s="97"/>
      <c r="V2354" s="22"/>
      <c r="W2354" s="97"/>
    </row>
    <row r="2355" spans="17:23">
      <c r="Q2355" s="99"/>
      <c r="T2355" s="97"/>
      <c r="V2355" s="22"/>
      <c r="W2355" s="97"/>
    </row>
    <row r="2356" spans="17:23">
      <c r="Q2356" s="99"/>
      <c r="T2356" s="97"/>
      <c r="V2356" s="22"/>
      <c r="W2356" s="97"/>
    </row>
    <row r="2357" spans="17:23">
      <c r="Q2357" s="99"/>
      <c r="T2357" s="97"/>
      <c r="V2357" s="22"/>
      <c r="W2357" s="97"/>
    </row>
    <row r="2358" spans="17:23">
      <c r="Q2358" s="99"/>
      <c r="T2358" s="97"/>
      <c r="V2358" s="22"/>
      <c r="W2358" s="97"/>
    </row>
    <row r="2359" spans="17:23">
      <c r="Q2359" s="99"/>
      <c r="T2359" s="97"/>
      <c r="V2359" s="22"/>
      <c r="W2359" s="97"/>
    </row>
    <row r="2360" spans="17:23">
      <c r="Q2360" s="99"/>
      <c r="T2360" s="97"/>
      <c r="V2360" s="22"/>
      <c r="W2360" s="97"/>
    </row>
    <row r="2361" spans="17:23">
      <c r="Q2361" s="99"/>
      <c r="T2361" s="97"/>
      <c r="V2361" s="22"/>
      <c r="W2361" s="97"/>
    </row>
    <row r="2362" spans="17:23">
      <c r="Q2362" s="99"/>
      <c r="T2362" s="97"/>
      <c r="V2362" s="22"/>
      <c r="W2362" s="97"/>
    </row>
    <row r="2363" spans="17:23">
      <c r="Q2363" s="99"/>
      <c r="T2363" s="97"/>
      <c r="V2363" s="22"/>
      <c r="W2363" s="97"/>
    </row>
    <row r="2364" spans="17:23">
      <c r="Q2364" s="99"/>
      <c r="T2364" s="97"/>
      <c r="V2364" s="22"/>
      <c r="W2364" s="97"/>
    </row>
    <row r="2365" spans="17:23">
      <c r="Q2365" s="99"/>
      <c r="T2365" s="97"/>
      <c r="V2365" s="22"/>
      <c r="W2365" s="97"/>
    </row>
    <row r="2366" spans="17:23">
      <c r="Q2366" s="99"/>
      <c r="T2366" s="97"/>
      <c r="V2366" s="22"/>
      <c r="W2366" s="97"/>
    </row>
    <row r="2367" spans="17:23">
      <c r="Q2367" s="99"/>
      <c r="T2367" s="97"/>
      <c r="V2367" s="22"/>
      <c r="W2367" s="97"/>
    </row>
    <row r="2368" spans="17:23">
      <c r="Q2368" s="99"/>
      <c r="T2368" s="97"/>
      <c r="V2368" s="22"/>
      <c r="W2368" s="97"/>
    </row>
    <row r="2369" spans="17:23">
      <c r="Q2369" s="99"/>
      <c r="T2369" s="97"/>
      <c r="V2369" s="22"/>
      <c r="W2369" s="97"/>
    </row>
    <row r="2370" spans="17:23">
      <c r="Q2370" s="99"/>
      <c r="T2370" s="97"/>
      <c r="V2370" s="22"/>
      <c r="W2370" s="97"/>
    </row>
    <row r="2371" spans="17:23">
      <c r="Q2371" s="99"/>
      <c r="T2371" s="97"/>
      <c r="V2371" s="22"/>
      <c r="W2371" s="97"/>
    </row>
    <row r="2372" spans="17:23">
      <c r="Q2372" s="99"/>
      <c r="T2372" s="97"/>
      <c r="V2372" s="22"/>
      <c r="W2372" s="97"/>
    </row>
    <row r="2373" spans="17:23">
      <c r="Q2373" s="99"/>
      <c r="T2373" s="97"/>
      <c r="V2373" s="22"/>
      <c r="W2373" s="97"/>
    </row>
    <row r="2374" spans="17:23">
      <c r="Q2374" s="99"/>
      <c r="T2374" s="97"/>
      <c r="V2374" s="22"/>
      <c r="W2374" s="97"/>
    </row>
    <row r="2375" spans="17:23">
      <c r="Q2375" s="99"/>
      <c r="T2375" s="97"/>
      <c r="V2375" s="22"/>
      <c r="W2375" s="97"/>
    </row>
    <row r="2376" spans="17:23">
      <c r="Q2376" s="99"/>
      <c r="T2376" s="97"/>
      <c r="V2376" s="22"/>
      <c r="W2376" s="97"/>
    </row>
    <row r="2377" spans="17:23">
      <c r="Q2377" s="99"/>
      <c r="T2377" s="97"/>
      <c r="V2377" s="22"/>
      <c r="W2377" s="97"/>
    </row>
    <row r="2378" spans="17:23">
      <c r="Q2378" s="99"/>
      <c r="T2378" s="97"/>
      <c r="V2378" s="22"/>
      <c r="W2378" s="97"/>
    </row>
    <row r="2379" spans="17:23">
      <c r="Q2379" s="99"/>
      <c r="T2379" s="97"/>
      <c r="V2379" s="22"/>
      <c r="W2379" s="97"/>
    </row>
    <row r="2380" spans="17:23">
      <c r="Q2380" s="99"/>
      <c r="T2380" s="97"/>
      <c r="V2380" s="22"/>
      <c r="W2380" s="97"/>
    </row>
    <row r="2381" spans="17:23">
      <c r="Q2381" s="99"/>
      <c r="T2381" s="97"/>
      <c r="V2381" s="22"/>
      <c r="W2381" s="97"/>
    </row>
    <row r="2382" spans="17:23">
      <c r="Q2382" s="99"/>
      <c r="T2382" s="97"/>
      <c r="V2382" s="22"/>
      <c r="W2382" s="97"/>
    </row>
    <row r="2383" spans="17:23">
      <c r="Q2383" s="99"/>
      <c r="T2383" s="97"/>
      <c r="V2383" s="22"/>
      <c r="W2383" s="97"/>
    </row>
    <row r="2384" spans="17:23">
      <c r="Q2384" s="99"/>
      <c r="T2384" s="97"/>
      <c r="V2384" s="22"/>
      <c r="W2384" s="97"/>
    </row>
    <row r="2385" spans="17:23">
      <c r="Q2385" s="99"/>
      <c r="T2385" s="97"/>
      <c r="V2385" s="22"/>
      <c r="W2385" s="97"/>
    </row>
    <row r="2386" spans="17:23">
      <c r="Q2386" s="99"/>
      <c r="T2386" s="97"/>
      <c r="V2386" s="22"/>
      <c r="W2386" s="97"/>
    </row>
    <row r="2387" spans="17:23">
      <c r="Q2387" s="99"/>
      <c r="T2387" s="97"/>
      <c r="V2387" s="22"/>
      <c r="W2387" s="97"/>
    </row>
    <row r="2388" spans="17:23">
      <c r="Q2388" s="99"/>
      <c r="T2388" s="97"/>
      <c r="V2388" s="22"/>
      <c r="W2388" s="97"/>
    </row>
    <row r="2389" spans="17:23">
      <c r="Q2389" s="99"/>
      <c r="T2389" s="97"/>
      <c r="V2389" s="22"/>
      <c r="W2389" s="97"/>
    </row>
    <row r="2390" spans="17:23">
      <c r="Q2390" s="99"/>
      <c r="T2390" s="97"/>
      <c r="V2390" s="22"/>
      <c r="W2390" s="97"/>
    </row>
    <row r="2391" spans="17:23">
      <c r="Q2391" s="99"/>
      <c r="T2391" s="97"/>
      <c r="V2391" s="22"/>
      <c r="W2391" s="97"/>
    </row>
    <row r="2392" spans="17:23">
      <c r="Q2392" s="99"/>
      <c r="T2392" s="97"/>
      <c r="V2392" s="22"/>
      <c r="W2392" s="97"/>
    </row>
    <row r="2393" spans="17:23">
      <c r="Q2393" s="99"/>
      <c r="T2393" s="97"/>
      <c r="V2393" s="22"/>
      <c r="W2393" s="97"/>
    </row>
    <row r="2394" spans="17:23">
      <c r="Q2394" s="99"/>
      <c r="T2394" s="97"/>
      <c r="V2394" s="22"/>
      <c r="W2394" s="97"/>
    </row>
    <row r="2395" spans="17:23">
      <c r="Q2395" s="99"/>
      <c r="T2395" s="97"/>
      <c r="V2395" s="22"/>
      <c r="W2395" s="97"/>
    </row>
    <row r="2396" spans="17:23">
      <c r="Q2396" s="99"/>
      <c r="T2396" s="97"/>
      <c r="V2396" s="22"/>
      <c r="W2396" s="97"/>
    </row>
    <row r="2397" spans="17:23">
      <c r="Q2397" s="99"/>
      <c r="T2397" s="97"/>
      <c r="V2397" s="22"/>
      <c r="W2397" s="97"/>
    </row>
    <row r="2398" spans="17:23">
      <c r="Q2398" s="99"/>
      <c r="T2398" s="97"/>
      <c r="V2398" s="22"/>
      <c r="W2398" s="97"/>
    </row>
    <row r="2399" spans="17:23">
      <c r="Q2399" s="99"/>
      <c r="T2399" s="97"/>
      <c r="V2399" s="22"/>
      <c r="W2399" s="97"/>
    </row>
    <row r="2400" spans="17:23">
      <c r="Q2400" s="99"/>
      <c r="T2400" s="97"/>
      <c r="V2400" s="22"/>
      <c r="W2400" s="97"/>
    </row>
    <row r="2401" spans="17:23">
      <c r="Q2401" s="99"/>
      <c r="T2401" s="97"/>
      <c r="V2401" s="22"/>
      <c r="W2401" s="97"/>
    </row>
    <row r="2402" spans="17:23">
      <c r="Q2402" s="99"/>
      <c r="T2402" s="97"/>
      <c r="V2402" s="22"/>
      <c r="W2402" s="97"/>
    </row>
    <row r="2403" spans="17:23">
      <c r="Q2403" s="99"/>
      <c r="T2403" s="97"/>
      <c r="V2403" s="22"/>
      <c r="W2403" s="97"/>
    </row>
    <row r="2404" spans="17:23">
      <c r="Q2404" s="99"/>
      <c r="T2404" s="97"/>
      <c r="V2404" s="22"/>
      <c r="W2404" s="97"/>
    </row>
    <row r="2405" spans="17:23">
      <c r="Q2405" s="99"/>
      <c r="T2405" s="97"/>
      <c r="V2405" s="22"/>
      <c r="W2405" s="97"/>
    </row>
    <row r="2406" spans="17:23">
      <c r="Q2406" s="99"/>
      <c r="T2406" s="97"/>
      <c r="V2406" s="22"/>
      <c r="W2406" s="97"/>
    </row>
    <row r="2407" spans="17:23">
      <c r="Q2407" s="99"/>
      <c r="T2407" s="97"/>
      <c r="V2407" s="22"/>
      <c r="W2407" s="97"/>
    </row>
    <row r="2408" spans="17:23">
      <c r="Q2408" s="99"/>
      <c r="T2408" s="97"/>
      <c r="V2408" s="22"/>
      <c r="W2408" s="97"/>
    </row>
    <row r="2409" spans="17:23">
      <c r="Q2409" s="99"/>
      <c r="T2409" s="97"/>
      <c r="V2409" s="22"/>
      <c r="W2409" s="97"/>
    </row>
    <row r="2410" spans="17:23">
      <c r="T2410" s="97"/>
      <c r="V2410" s="22"/>
      <c r="W2410" s="97"/>
    </row>
    <row r="2411" spans="17:23">
      <c r="T2411" s="97"/>
      <c r="V2411" s="22"/>
      <c r="W2411" s="97"/>
    </row>
    <row r="2412" spans="17:23">
      <c r="T2412" s="97"/>
      <c r="V2412" s="22"/>
      <c r="W2412" s="97"/>
    </row>
    <row r="2413" spans="17:23">
      <c r="T2413" s="97"/>
      <c r="V2413" s="22"/>
      <c r="W2413" s="97"/>
    </row>
    <row r="2414" spans="17:23">
      <c r="T2414" s="97"/>
      <c r="V2414" s="22"/>
      <c r="W2414" s="97"/>
    </row>
    <row r="2415" spans="17:23">
      <c r="T2415" s="97"/>
      <c r="V2415" s="22"/>
      <c r="W2415" s="97"/>
    </row>
    <row r="2416" spans="17:23">
      <c r="T2416" s="97"/>
      <c r="V2416" s="22"/>
      <c r="W2416" s="97"/>
    </row>
    <row r="2417" spans="20:23">
      <c r="T2417" s="97"/>
      <c r="V2417" s="22"/>
      <c r="W2417" s="97"/>
    </row>
    <row r="2418" spans="20:23">
      <c r="T2418" s="97"/>
      <c r="V2418" s="22"/>
      <c r="W2418" s="97"/>
    </row>
    <row r="2419" spans="20:23">
      <c r="T2419" s="97"/>
      <c r="V2419" s="22"/>
      <c r="W2419" s="97"/>
    </row>
    <row r="2420" spans="20:23">
      <c r="T2420" s="97"/>
      <c r="V2420" s="22"/>
      <c r="W2420" s="97"/>
    </row>
    <row r="2421" spans="20:23">
      <c r="T2421" s="97"/>
      <c r="V2421" s="22"/>
      <c r="W2421" s="97"/>
    </row>
    <row r="2422" spans="20:23">
      <c r="T2422" s="97"/>
      <c r="V2422" s="22"/>
      <c r="W2422" s="97"/>
    </row>
    <row r="2423" spans="20:23">
      <c r="T2423" s="97"/>
      <c r="V2423" s="22"/>
      <c r="W2423" s="97"/>
    </row>
    <row r="2424" spans="20:23">
      <c r="T2424" s="97"/>
      <c r="V2424" s="22"/>
      <c r="W2424" s="97"/>
    </row>
    <row r="2425" spans="20:23">
      <c r="T2425" s="97"/>
      <c r="V2425" s="22"/>
      <c r="W2425" s="97"/>
    </row>
    <row r="2426" spans="20:23">
      <c r="T2426" s="97"/>
      <c r="V2426" s="22"/>
      <c r="W2426" s="97"/>
    </row>
    <row r="2427" spans="20:23">
      <c r="T2427" s="97"/>
      <c r="V2427" s="22"/>
      <c r="W2427" s="97"/>
    </row>
    <row r="2428" spans="20:23">
      <c r="T2428" s="97"/>
      <c r="V2428" s="22"/>
      <c r="W2428" s="97"/>
    </row>
    <row r="2429" spans="20:23">
      <c r="T2429" s="97"/>
      <c r="V2429" s="22"/>
      <c r="W2429" s="97"/>
    </row>
    <row r="2430" spans="20:23">
      <c r="T2430" s="97"/>
      <c r="V2430" s="22"/>
      <c r="W2430" s="97"/>
    </row>
    <row r="2431" spans="20:23">
      <c r="T2431" s="97"/>
      <c r="V2431" s="22"/>
      <c r="W2431" s="97"/>
    </row>
    <row r="2432" spans="20:23">
      <c r="T2432" s="97"/>
      <c r="V2432" s="22"/>
      <c r="W2432" s="97"/>
    </row>
    <row r="2433" spans="20:23">
      <c r="T2433" s="97"/>
      <c r="V2433" s="22"/>
      <c r="W2433" s="97"/>
    </row>
    <row r="2434" spans="20:23">
      <c r="T2434" s="97"/>
      <c r="V2434" s="22"/>
      <c r="W2434" s="97"/>
    </row>
    <row r="2435" spans="20:23">
      <c r="T2435" s="97"/>
      <c r="V2435" s="22"/>
      <c r="W2435" s="97"/>
    </row>
    <row r="2436" spans="20:23">
      <c r="T2436" s="97"/>
      <c r="V2436" s="22"/>
      <c r="W2436" s="97"/>
    </row>
    <row r="2437" spans="20:23">
      <c r="T2437" s="97"/>
      <c r="V2437" s="22"/>
      <c r="W2437" s="97"/>
    </row>
    <row r="2438" spans="20:23">
      <c r="T2438" s="97"/>
      <c r="V2438" s="22"/>
      <c r="W2438" s="97"/>
    </row>
    <row r="2439" spans="20:23">
      <c r="T2439" s="97"/>
      <c r="V2439" s="22"/>
      <c r="W2439" s="97"/>
    </row>
    <row r="2440" spans="20:23">
      <c r="T2440" s="97"/>
      <c r="V2440" s="22"/>
      <c r="W2440" s="97"/>
    </row>
    <row r="2441" spans="20:23">
      <c r="T2441" s="97"/>
      <c r="V2441" s="22"/>
      <c r="W2441" s="97"/>
    </row>
    <row r="2442" spans="20:23">
      <c r="T2442" s="97"/>
      <c r="V2442" s="22"/>
      <c r="W2442" s="97"/>
    </row>
    <row r="2443" spans="20:23">
      <c r="T2443" s="97"/>
      <c r="V2443" s="22"/>
      <c r="W2443" s="97"/>
    </row>
    <row r="2444" spans="20:23">
      <c r="T2444" s="97"/>
      <c r="V2444" s="22"/>
      <c r="W2444" s="97"/>
    </row>
    <row r="2445" spans="20:23">
      <c r="T2445" s="97"/>
      <c r="V2445" s="22"/>
      <c r="W2445" s="97"/>
    </row>
    <row r="2446" spans="20:23">
      <c r="T2446" s="97"/>
      <c r="V2446" s="22"/>
      <c r="W2446" s="97"/>
    </row>
    <row r="2447" spans="20:23">
      <c r="T2447" s="97"/>
      <c r="V2447" s="22"/>
      <c r="W2447" s="97"/>
    </row>
    <row r="2448" spans="20:23">
      <c r="T2448" s="97"/>
      <c r="V2448" s="22"/>
      <c r="W2448" s="97"/>
    </row>
    <row r="2449" spans="20:23">
      <c r="T2449" s="97"/>
      <c r="V2449" s="22"/>
      <c r="W2449" s="97"/>
    </row>
    <row r="2450" spans="20:23">
      <c r="T2450" s="97"/>
      <c r="V2450" s="22"/>
      <c r="W2450" s="97"/>
    </row>
    <row r="2451" spans="20:23">
      <c r="T2451" s="97"/>
      <c r="V2451" s="22"/>
      <c r="W2451" s="97"/>
    </row>
    <row r="2452" spans="20:23">
      <c r="T2452" s="97"/>
      <c r="V2452" s="22"/>
      <c r="W2452" s="97"/>
    </row>
    <row r="2453" spans="20:23">
      <c r="T2453" s="97"/>
      <c r="V2453" s="22"/>
      <c r="W2453" s="97"/>
    </row>
    <row r="2454" spans="20:23">
      <c r="T2454" s="97"/>
      <c r="V2454" s="22"/>
      <c r="W2454" s="97"/>
    </row>
    <row r="2455" spans="20:23">
      <c r="T2455" s="97"/>
      <c r="V2455" s="22"/>
      <c r="W2455" s="97"/>
    </row>
    <row r="2456" spans="20:23">
      <c r="T2456" s="97"/>
      <c r="V2456" s="22"/>
      <c r="W2456" s="97"/>
    </row>
    <row r="2457" spans="20:23">
      <c r="T2457" s="97"/>
      <c r="V2457" s="22"/>
      <c r="W2457" s="97"/>
    </row>
    <row r="2458" spans="20:23">
      <c r="T2458" s="97"/>
      <c r="V2458" s="22"/>
      <c r="W2458" s="97"/>
    </row>
    <row r="2459" spans="20:23">
      <c r="T2459" s="97"/>
      <c r="V2459" s="22"/>
      <c r="W2459" s="97"/>
    </row>
    <row r="2460" spans="20:23">
      <c r="T2460" s="97"/>
      <c r="V2460" s="22"/>
      <c r="W2460" s="97"/>
    </row>
    <row r="2461" spans="20:23">
      <c r="T2461" s="97"/>
      <c r="V2461" s="22"/>
      <c r="W2461" s="97"/>
    </row>
    <row r="2462" spans="20:23">
      <c r="T2462" s="97"/>
      <c r="V2462" s="22"/>
      <c r="W2462" s="97"/>
    </row>
    <row r="2463" spans="20:23">
      <c r="T2463" s="97"/>
      <c r="V2463" s="22"/>
      <c r="W2463" s="97"/>
    </row>
    <row r="2464" spans="20:23">
      <c r="T2464" s="97"/>
      <c r="V2464" s="22"/>
      <c r="W2464" s="97"/>
    </row>
    <row r="2465" spans="20:23">
      <c r="T2465" s="97"/>
      <c r="V2465" s="22"/>
      <c r="W2465" s="97"/>
    </row>
    <row r="2466" spans="20:23">
      <c r="T2466" s="97"/>
      <c r="V2466" s="22"/>
      <c r="W2466" s="97"/>
    </row>
    <row r="2467" spans="20:23">
      <c r="T2467" s="97"/>
      <c r="V2467" s="22"/>
      <c r="W2467" s="97"/>
    </row>
    <row r="2468" spans="20:23">
      <c r="T2468" s="97"/>
      <c r="V2468" s="22"/>
      <c r="W2468" s="97"/>
    </row>
    <row r="2469" spans="20:23">
      <c r="T2469" s="97"/>
      <c r="V2469" s="22"/>
      <c r="W2469" s="97"/>
    </row>
    <row r="2470" spans="20:23">
      <c r="T2470" s="97"/>
      <c r="V2470" s="22"/>
      <c r="W2470" s="97"/>
    </row>
    <row r="2471" spans="20:23">
      <c r="T2471" s="97"/>
      <c r="V2471" s="22"/>
      <c r="W2471" s="97"/>
    </row>
    <row r="2472" spans="20:23">
      <c r="T2472" s="97"/>
      <c r="V2472" s="22"/>
      <c r="W2472" s="97"/>
    </row>
    <row r="2473" spans="20:23">
      <c r="T2473" s="97"/>
      <c r="V2473" s="22"/>
      <c r="W2473" s="97"/>
    </row>
    <row r="2474" spans="20:23">
      <c r="T2474" s="97"/>
      <c r="V2474" s="22"/>
      <c r="W2474" s="97"/>
    </row>
    <row r="2475" spans="20:23">
      <c r="T2475" s="97"/>
      <c r="V2475" s="22"/>
      <c r="W2475" s="97"/>
    </row>
    <row r="2476" spans="20:23">
      <c r="T2476" s="97"/>
      <c r="V2476" s="22"/>
      <c r="W2476" s="97"/>
    </row>
    <row r="2477" spans="20:23">
      <c r="T2477" s="97"/>
      <c r="V2477" s="22"/>
      <c r="W2477" s="97"/>
    </row>
    <row r="2478" spans="20:23">
      <c r="T2478" s="97"/>
      <c r="V2478" s="22"/>
      <c r="W2478" s="97"/>
    </row>
    <row r="2479" spans="20:23">
      <c r="T2479" s="97"/>
      <c r="V2479" s="22"/>
      <c r="W2479" s="97"/>
    </row>
    <row r="2480" spans="20:23">
      <c r="T2480" s="97"/>
      <c r="V2480" s="22"/>
      <c r="W2480" s="97"/>
    </row>
    <row r="2481" spans="20:23">
      <c r="T2481" s="97"/>
      <c r="V2481" s="22"/>
      <c r="W2481" s="97"/>
    </row>
    <row r="2482" spans="20:23">
      <c r="T2482" s="97"/>
      <c r="V2482" s="22"/>
      <c r="W2482" s="97"/>
    </row>
    <row r="2483" spans="20:23">
      <c r="T2483" s="97"/>
      <c r="V2483" s="22"/>
      <c r="W2483" s="97"/>
    </row>
    <row r="2484" spans="20:23">
      <c r="T2484" s="97"/>
      <c r="V2484" s="22"/>
      <c r="W2484" s="97"/>
    </row>
    <row r="2485" spans="20:23">
      <c r="T2485" s="97"/>
      <c r="V2485" s="22"/>
      <c r="W2485" s="97"/>
    </row>
    <row r="2486" spans="20:23">
      <c r="T2486" s="97"/>
      <c r="V2486" s="22"/>
      <c r="W2486" s="97"/>
    </row>
    <row r="2487" spans="20:23">
      <c r="T2487" s="97"/>
      <c r="V2487" s="22"/>
      <c r="W2487" s="97"/>
    </row>
    <row r="2488" spans="20:23">
      <c r="T2488" s="97"/>
      <c r="V2488" s="22"/>
      <c r="W2488" s="97"/>
    </row>
    <row r="2489" spans="20:23">
      <c r="T2489" s="97"/>
      <c r="V2489" s="22"/>
      <c r="W2489" s="97"/>
    </row>
    <row r="2490" spans="20:23">
      <c r="T2490" s="97"/>
      <c r="V2490" s="22"/>
      <c r="W2490" s="97"/>
    </row>
    <row r="2491" spans="20:23">
      <c r="T2491" s="97"/>
      <c r="V2491" s="22"/>
      <c r="W2491" s="97"/>
    </row>
    <row r="2492" spans="20:23">
      <c r="T2492" s="97"/>
      <c r="V2492" s="22"/>
      <c r="W2492" s="97"/>
    </row>
    <row r="2493" spans="20:23">
      <c r="T2493" s="97"/>
      <c r="V2493" s="22"/>
      <c r="W2493" s="97"/>
    </row>
    <row r="2494" spans="20:23">
      <c r="T2494" s="97"/>
      <c r="V2494" s="22"/>
      <c r="W2494" s="97"/>
    </row>
    <row r="2495" spans="20:23">
      <c r="T2495" s="97"/>
      <c r="V2495" s="22"/>
      <c r="W2495" s="97"/>
    </row>
    <row r="2496" spans="20:23">
      <c r="T2496" s="97"/>
      <c r="V2496" s="22"/>
      <c r="W2496" s="97"/>
    </row>
    <row r="2497" spans="20:23">
      <c r="T2497" s="97"/>
      <c r="V2497" s="22"/>
      <c r="W2497" s="97"/>
    </row>
    <row r="2498" spans="20:23">
      <c r="T2498" s="97"/>
      <c r="V2498" s="22"/>
      <c r="W2498" s="97"/>
    </row>
    <row r="2499" spans="20:23">
      <c r="T2499" s="97"/>
      <c r="V2499" s="22"/>
      <c r="W2499" s="97"/>
    </row>
    <row r="2500" spans="20:23">
      <c r="T2500" s="97"/>
      <c r="V2500" s="22"/>
      <c r="W2500" s="97"/>
    </row>
    <row r="2501" spans="20:23">
      <c r="T2501" s="97"/>
      <c r="V2501" s="22"/>
      <c r="W2501" s="97"/>
    </row>
    <row r="2502" spans="20:23">
      <c r="T2502" s="97"/>
      <c r="V2502" s="22"/>
      <c r="W2502" s="97"/>
    </row>
    <row r="2503" spans="20:23">
      <c r="T2503" s="97"/>
      <c r="V2503" s="22"/>
      <c r="W2503" s="97"/>
    </row>
    <row r="2504" spans="20:23">
      <c r="T2504" s="97"/>
      <c r="V2504" s="22"/>
      <c r="W2504" s="97"/>
    </row>
    <row r="2505" spans="20:23">
      <c r="T2505" s="97"/>
      <c r="V2505" s="22"/>
      <c r="W2505" s="97"/>
    </row>
    <row r="2506" spans="20:23">
      <c r="T2506" s="97"/>
      <c r="V2506" s="22"/>
      <c r="W2506" s="97"/>
    </row>
    <row r="2507" spans="20:23">
      <c r="T2507" s="97"/>
      <c r="V2507" s="22"/>
      <c r="W2507" s="97"/>
    </row>
    <row r="2508" spans="20:23">
      <c r="T2508" s="97"/>
      <c r="V2508" s="22"/>
      <c r="W2508" s="97"/>
    </row>
    <row r="2509" spans="20:23">
      <c r="T2509" s="97"/>
      <c r="V2509" s="22"/>
      <c r="W2509" s="97"/>
    </row>
    <row r="2510" spans="20:23">
      <c r="T2510" s="97"/>
      <c r="V2510" s="22"/>
      <c r="W2510" s="97"/>
    </row>
    <row r="2511" spans="20:23">
      <c r="T2511" s="97"/>
      <c r="V2511" s="22"/>
      <c r="W2511" s="97"/>
    </row>
    <row r="2512" spans="20:23">
      <c r="T2512" s="97"/>
      <c r="V2512" s="22"/>
      <c r="W2512" s="97"/>
    </row>
    <row r="2513" spans="20:23">
      <c r="T2513" s="97"/>
      <c r="V2513" s="22"/>
      <c r="W2513" s="97"/>
    </row>
    <row r="2514" spans="20:23">
      <c r="T2514" s="97"/>
      <c r="V2514" s="22"/>
      <c r="W2514" s="97"/>
    </row>
    <row r="2515" spans="20:23">
      <c r="T2515" s="97"/>
      <c r="V2515" s="22"/>
      <c r="W2515" s="97"/>
    </row>
    <row r="2516" spans="20:23">
      <c r="T2516" s="97"/>
      <c r="V2516" s="22"/>
      <c r="W2516" s="97"/>
    </row>
    <row r="2517" spans="20:23">
      <c r="T2517" s="97"/>
      <c r="V2517" s="22"/>
      <c r="W2517" s="97"/>
    </row>
    <row r="2518" spans="20:23">
      <c r="T2518" s="97"/>
      <c r="V2518" s="22"/>
      <c r="W2518" s="97"/>
    </row>
    <row r="2519" spans="20:23">
      <c r="T2519" s="97"/>
      <c r="V2519" s="22"/>
      <c r="W2519" s="97"/>
    </row>
    <row r="2520" spans="20:23">
      <c r="T2520" s="97"/>
      <c r="V2520" s="22"/>
      <c r="W2520" s="97"/>
    </row>
    <row r="2521" spans="20:23">
      <c r="T2521" s="97"/>
      <c r="V2521" s="22"/>
      <c r="W2521" s="97"/>
    </row>
    <row r="2522" spans="20:23">
      <c r="T2522" s="97"/>
      <c r="V2522" s="22"/>
      <c r="W2522" s="97"/>
    </row>
    <row r="2523" spans="20:23">
      <c r="T2523" s="97"/>
      <c r="V2523" s="22"/>
      <c r="W2523" s="97"/>
    </row>
    <row r="2524" spans="20:23">
      <c r="T2524" s="97"/>
      <c r="V2524" s="22"/>
      <c r="W2524" s="97"/>
    </row>
    <row r="2525" spans="20:23">
      <c r="T2525" s="97"/>
      <c r="V2525" s="22"/>
      <c r="W2525" s="97"/>
    </row>
    <row r="2526" spans="20:23">
      <c r="T2526" s="97"/>
      <c r="V2526" s="22"/>
      <c r="W2526" s="97"/>
    </row>
    <row r="2527" spans="20:23">
      <c r="T2527" s="97"/>
      <c r="V2527" s="22"/>
      <c r="W2527" s="97"/>
    </row>
    <row r="2528" spans="20:23">
      <c r="T2528" s="97"/>
      <c r="V2528" s="22"/>
      <c r="W2528" s="97"/>
    </row>
    <row r="2529" spans="20:23">
      <c r="T2529" s="97"/>
      <c r="V2529" s="22"/>
      <c r="W2529" s="97"/>
    </row>
    <row r="2530" spans="20:23">
      <c r="T2530" s="97"/>
      <c r="V2530" s="22"/>
      <c r="W2530" s="97"/>
    </row>
    <row r="2531" spans="20:23">
      <c r="T2531" s="97"/>
      <c r="V2531" s="22"/>
      <c r="W2531" s="97"/>
    </row>
    <row r="2532" spans="20:23">
      <c r="T2532" s="97"/>
      <c r="V2532" s="22"/>
      <c r="W2532" s="97"/>
    </row>
    <row r="2533" spans="20:23">
      <c r="T2533" s="97"/>
      <c r="V2533" s="22"/>
      <c r="W2533" s="97"/>
    </row>
    <row r="2534" spans="20:23">
      <c r="T2534" s="97"/>
      <c r="V2534" s="22"/>
      <c r="W2534" s="97"/>
    </row>
    <row r="2535" spans="20:23">
      <c r="T2535" s="97"/>
      <c r="V2535" s="22"/>
      <c r="W2535" s="97"/>
    </row>
    <row r="2536" spans="20:23">
      <c r="T2536" s="97"/>
      <c r="V2536" s="22"/>
      <c r="W2536" s="97"/>
    </row>
    <row r="2537" spans="20:23">
      <c r="T2537" s="97"/>
      <c r="V2537" s="22"/>
      <c r="W2537" s="97"/>
    </row>
    <row r="2538" spans="20:23">
      <c r="T2538" s="97"/>
      <c r="V2538" s="22"/>
      <c r="W2538" s="97"/>
    </row>
    <row r="2539" spans="20:23">
      <c r="T2539" s="97"/>
      <c r="V2539" s="22"/>
      <c r="W2539" s="97"/>
    </row>
    <row r="2540" spans="20:23">
      <c r="T2540" s="97"/>
      <c r="V2540" s="22"/>
      <c r="W2540" s="97"/>
    </row>
    <row r="2541" spans="20:23">
      <c r="T2541" s="97"/>
      <c r="V2541" s="22"/>
      <c r="W2541" s="97"/>
    </row>
    <row r="2542" spans="20:23">
      <c r="T2542" s="97"/>
      <c r="V2542" s="22"/>
      <c r="W2542" s="97"/>
    </row>
    <row r="2543" spans="20:23">
      <c r="T2543" s="97"/>
      <c r="V2543" s="22"/>
      <c r="W2543" s="97"/>
    </row>
    <row r="2544" spans="20:23">
      <c r="T2544" s="97"/>
      <c r="V2544" s="22"/>
      <c r="W2544" s="97"/>
    </row>
    <row r="2545" spans="20:23">
      <c r="T2545" s="97"/>
      <c r="V2545" s="22"/>
      <c r="W2545" s="97"/>
    </row>
    <row r="2546" spans="20:23">
      <c r="T2546" s="97"/>
      <c r="V2546" s="22"/>
      <c r="W2546" s="97"/>
    </row>
    <row r="2547" spans="20:23">
      <c r="T2547" s="97"/>
      <c r="V2547" s="22"/>
      <c r="W2547" s="97"/>
    </row>
    <row r="2548" spans="20:23">
      <c r="T2548" s="97"/>
      <c r="V2548" s="22"/>
      <c r="W2548" s="97"/>
    </row>
    <row r="2549" spans="20:23">
      <c r="T2549" s="97"/>
      <c r="V2549" s="22"/>
      <c r="W2549" s="97"/>
    </row>
    <row r="2550" spans="20:23">
      <c r="T2550" s="97"/>
      <c r="V2550" s="22"/>
      <c r="W2550" s="97"/>
    </row>
    <row r="2551" spans="20:23">
      <c r="T2551" s="97"/>
      <c r="V2551" s="22"/>
      <c r="W2551" s="97"/>
    </row>
    <row r="2552" spans="20:23">
      <c r="T2552" s="97"/>
      <c r="V2552" s="22"/>
      <c r="W2552" s="97"/>
    </row>
    <row r="2553" spans="20:23">
      <c r="T2553" s="97"/>
      <c r="V2553" s="22"/>
      <c r="W2553" s="97"/>
    </row>
    <row r="2554" spans="20:23">
      <c r="T2554" s="97"/>
      <c r="V2554" s="22"/>
      <c r="W2554" s="97"/>
    </row>
    <row r="2555" spans="20:23">
      <c r="T2555" s="97"/>
      <c r="V2555" s="22"/>
      <c r="W2555" s="97"/>
    </row>
    <row r="2556" spans="20:23">
      <c r="T2556" s="97"/>
      <c r="V2556" s="22"/>
      <c r="W2556" s="97"/>
    </row>
    <row r="2557" spans="20:23">
      <c r="T2557" s="97"/>
      <c r="V2557" s="22"/>
      <c r="W2557" s="97"/>
    </row>
    <row r="2558" spans="20:23">
      <c r="T2558" s="97"/>
      <c r="V2558" s="22"/>
      <c r="W2558" s="97"/>
    </row>
    <row r="2559" spans="20:23">
      <c r="T2559" s="97"/>
      <c r="V2559" s="22"/>
      <c r="W2559" s="97"/>
    </row>
    <row r="2560" spans="20:23">
      <c r="T2560" s="97"/>
      <c r="V2560" s="22"/>
      <c r="W2560" s="97"/>
    </row>
    <row r="2561" spans="20:23">
      <c r="T2561" s="97"/>
      <c r="V2561" s="22"/>
      <c r="W2561" s="97"/>
    </row>
    <row r="2562" spans="20:23">
      <c r="T2562" s="97"/>
      <c r="V2562" s="22"/>
      <c r="W2562" s="97"/>
    </row>
    <row r="2563" spans="20:23">
      <c r="T2563" s="97"/>
      <c r="V2563" s="22"/>
      <c r="W2563" s="97"/>
    </row>
    <row r="2564" spans="20:23">
      <c r="T2564" s="97"/>
      <c r="V2564" s="22"/>
      <c r="W2564" s="97"/>
    </row>
    <row r="2565" spans="20:23">
      <c r="T2565" s="97"/>
      <c r="V2565" s="22"/>
      <c r="W2565" s="97"/>
    </row>
    <row r="2566" spans="20:23">
      <c r="T2566" s="97"/>
      <c r="V2566" s="22"/>
      <c r="W2566" s="97"/>
    </row>
    <row r="2567" spans="20:23">
      <c r="T2567" s="97"/>
      <c r="V2567" s="22"/>
      <c r="W2567" s="97"/>
    </row>
    <row r="2568" spans="20:23">
      <c r="T2568" s="97"/>
      <c r="V2568" s="22"/>
      <c r="W2568" s="97"/>
    </row>
    <row r="2569" spans="20:23">
      <c r="T2569" s="97"/>
      <c r="V2569" s="22"/>
      <c r="W2569" s="97"/>
    </row>
    <row r="2570" spans="20:23">
      <c r="T2570" s="97"/>
      <c r="V2570" s="22"/>
      <c r="W2570" s="97"/>
    </row>
    <row r="2571" spans="20:23">
      <c r="T2571" s="97"/>
      <c r="V2571" s="22"/>
      <c r="W2571" s="97"/>
    </row>
    <row r="2572" spans="20:23">
      <c r="T2572" s="97"/>
      <c r="V2572" s="22"/>
      <c r="W2572" s="97"/>
    </row>
    <row r="2573" spans="20:23">
      <c r="T2573" s="97"/>
      <c r="V2573" s="22"/>
      <c r="W2573" s="97"/>
    </row>
    <row r="2574" spans="20:23">
      <c r="T2574" s="97"/>
      <c r="V2574" s="22"/>
      <c r="W2574" s="97"/>
    </row>
    <row r="2575" spans="20:23">
      <c r="T2575" s="97"/>
      <c r="V2575" s="22"/>
      <c r="W2575" s="97"/>
    </row>
    <row r="2576" spans="20:23">
      <c r="T2576" s="97"/>
      <c r="V2576" s="22"/>
      <c r="W2576" s="97"/>
    </row>
    <row r="2577" spans="20:23">
      <c r="T2577" s="97"/>
      <c r="V2577" s="22"/>
      <c r="W2577" s="97"/>
    </row>
    <row r="2578" spans="20:23">
      <c r="T2578" s="97"/>
      <c r="V2578" s="22"/>
      <c r="W2578" s="97"/>
    </row>
    <row r="2579" spans="20:23">
      <c r="T2579" s="97"/>
      <c r="V2579" s="22"/>
      <c r="W2579" s="97"/>
    </row>
    <row r="2580" spans="20:23">
      <c r="T2580" s="97"/>
      <c r="V2580" s="22"/>
      <c r="W2580" s="97"/>
    </row>
    <row r="2581" spans="20:23">
      <c r="T2581" s="97"/>
      <c r="V2581" s="22"/>
      <c r="W2581" s="97"/>
    </row>
    <row r="2582" spans="20:23">
      <c r="T2582" s="97"/>
      <c r="V2582" s="22"/>
      <c r="W2582" s="97"/>
    </row>
    <row r="2583" spans="20:23">
      <c r="T2583" s="97"/>
      <c r="V2583" s="22"/>
      <c r="W2583" s="97"/>
    </row>
    <row r="2584" spans="20:23">
      <c r="T2584" s="97"/>
      <c r="V2584" s="22"/>
      <c r="W2584" s="97"/>
    </row>
    <row r="2585" spans="20:23">
      <c r="T2585" s="97"/>
      <c r="V2585" s="22"/>
      <c r="W2585" s="97"/>
    </row>
    <row r="2586" spans="20:23">
      <c r="T2586" s="97"/>
      <c r="V2586" s="22"/>
      <c r="W2586" s="97"/>
    </row>
    <row r="2587" spans="20:23">
      <c r="T2587" s="97"/>
      <c r="V2587" s="22"/>
      <c r="W2587" s="97"/>
    </row>
    <row r="2588" spans="20:23">
      <c r="T2588" s="97"/>
      <c r="V2588" s="22"/>
      <c r="W2588" s="97"/>
    </row>
    <row r="2589" spans="20:23">
      <c r="T2589" s="97"/>
      <c r="V2589" s="22"/>
      <c r="W2589" s="97"/>
    </row>
    <row r="2590" spans="20:23">
      <c r="T2590" s="97"/>
      <c r="V2590" s="22"/>
      <c r="W2590" s="97"/>
    </row>
    <row r="2591" spans="20:23">
      <c r="T2591" s="97"/>
      <c r="V2591" s="22"/>
      <c r="W2591" s="97"/>
    </row>
    <row r="2592" spans="20:23">
      <c r="T2592" s="97"/>
      <c r="V2592" s="22"/>
      <c r="W2592" s="97"/>
    </row>
    <row r="2593" spans="20:23">
      <c r="T2593" s="97"/>
      <c r="V2593" s="22"/>
      <c r="W2593" s="97"/>
    </row>
    <row r="2594" spans="20:23">
      <c r="T2594" s="97"/>
      <c r="V2594" s="22"/>
      <c r="W2594" s="97"/>
    </row>
    <row r="2595" spans="20:23">
      <c r="T2595" s="97"/>
      <c r="V2595" s="22"/>
      <c r="W2595" s="97"/>
    </row>
    <row r="2596" spans="20:23">
      <c r="T2596" s="97"/>
      <c r="V2596" s="22"/>
      <c r="W2596" s="97"/>
    </row>
    <row r="2597" spans="20:23">
      <c r="T2597" s="97"/>
      <c r="V2597" s="22"/>
      <c r="W2597" s="97"/>
    </row>
    <row r="2598" spans="20:23">
      <c r="T2598" s="97"/>
      <c r="V2598" s="22"/>
      <c r="W2598" s="97"/>
    </row>
    <row r="2599" spans="20:23">
      <c r="T2599" s="97"/>
      <c r="V2599" s="22"/>
      <c r="W2599" s="97"/>
    </row>
    <row r="2600" spans="20:23">
      <c r="T2600" s="97"/>
      <c r="V2600" s="22"/>
      <c r="W2600" s="97"/>
    </row>
    <row r="2601" spans="20:23">
      <c r="T2601" s="97"/>
      <c r="V2601" s="22"/>
      <c r="W2601" s="97"/>
    </row>
    <row r="2602" spans="20:23">
      <c r="T2602" s="97"/>
      <c r="V2602" s="22"/>
      <c r="W2602" s="97"/>
    </row>
    <row r="2603" spans="20:23">
      <c r="T2603" s="97"/>
      <c r="V2603" s="22"/>
      <c r="W2603" s="97"/>
    </row>
    <row r="2604" spans="20:23">
      <c r="T2604" s="97"/>
      <c r="V2604" s="22"/>
      <c r="W2604" s="97"/>
    </row>
    <row r="2605" spans="20:23">
      <c r="T2605" s="97"/>
      <c r="V2605" s="22"/>
      <c r="W2605" s="97"/>
    </row>
    <row r="2606" spans="20:23">
      <c r="T2606" s="97"/>
      <c r="V2606" s="22"/>
      <c r="W2606" s="97"/>
    </row>
    <row r="2607" spans="20:23">
      <c r="T2607" s="97"/>
      <c r="V2607" s="22"/>
      <c r="W2607" s="97"/>
    </row>
    <row r="2608" spans="20:23">
      <c r="T2608" s="97"/>
      <c r="V2608" s="22"/>
      <c r="W2608" s="97"/>
    </row>
    <row r="2609" spans="20:23">
      <c r="T2609" s="97"/>
      <c r="V2609" s="22"/>
      <c r="W2609" s="97"/>
    </row>
    <row r="2610" spans="20:23">
      <c r="T2610" s="97"/>
      <c r="V2610" s="22"/>
      <c r="W2610" s="97"/>
    </row>
    <row r="2611" spans="20:23">
      <c r="T2611" s="97"/>
      <c r="V2611" s="22"/>
      <c r="W2611" s="97"/>
    </row>
    <row r="2612" spans="20:23">
      <c r="T2612" s="97"/>
      <c r="V2612" s="22"/>
      <c r="W2612" s="97"/>
    </row>
    <row r="2613" spans="20:23">
      <c r="T2613" s="97"/>
      <c r="V2613" s="22"/>
      <c r="W2613" s="97"/>
    </row>
    <row r="2614" spans="20:23">
      <c r="T2614" s="97"/>
      <c r="V2614" s="22"/>
      <c r="W2614" s="97"/>
    </row>
    <row r="2615" spans="20:23">
      <c r="T2615" s="97"/>
      <c r="V2615" s="22"/>
      <c r="W2615" s="97"/>
    </row>
    <row r="2616" spans="20:23">
      <c r="T2616" s="97"/>
      <c r="V2616" s="22"/>
      <c r="W2616" s="97"/>
    </row>
    <row r="2617" spans="20:23">
      <c r="T2617" s="97"/>
      <c r="V2617" s="22"/>
      <c r="W2617" s="97"/>
    </row>
    <row r="2618" spans="20:23">
      <c r="T2618" s="97"/>
      <c r="V2618" s="22"/>
      <c r="W2618" s="97"/>
    </row>
    <row r="2619" spans="20:23">
      <c r="T2619" s="97"/>
      <c r="V2619" s="22"/>
      <c r="W2619" s="97"/>
    </row>
    <row r="2620" spans="20:23">
      <c r="T2620" s="97"/>
      <c r="V2620" s="22"/>
      <c r="W2620" s="97"/>
    </row>
    <row r="2621" spans="20:23">
      <c r="T2621" s="97"/>
      <c r="V2621" s="22"/>
      <c r="W2621" s="97"/>
    </row>
    <row r="2622" spans="20:23">
      <c r="T2622" s="97"/>
      <c r="V2622" s="22"/>
      <c r="W2622" s="97"/>
    </row>
    <row r="2623" spans="20:23">
      <c r="T2623" s="97"/>
      <c r="V2623" s="22"/>
      <c r="W2623" s="97"/>
    </row>
    <row r="2624" spans="20:23">
      <c r="T2624" s="97"/>
      <c r="V2624" s="22"/>
      <c r="W2624" s="97"/>
    </row>
    <row r="2625" spans="20:23">
      <c r="T2625" s="97"/>
      <c r="V2625" s="22"/>
      <c r="W2625" s="97"/>
    </row>
    <row r="2626" spans="20:23">
      <c r="T2626" s="97"/>
      <c r="V2626" s="22"/>
      <c r="W2626" s="97"/>
    </row>
    <row r="2627" spans="20:23">
      <c r="T2627" s="97"/>
      <c r="V2627" s="22"/>
      <c r="W2627" s="97"/>
    </row>
    <row r="2628" spans="20:23">
      <c r="T2628" s="97"/>
      <c r="V2628" s="22"/>
      <c r="W2628" s="97"/>
    </row>
    <row r="2629" spans="20:23">
      <c r="T2629" s="97"/>
      <c r="V2629" s="22"/>
      <c r="W2629" s="97"/>
    </row>
    <row r="2630" spans="20:23">
      <c r="T2630" s="97"/>
      <c r="V2630" s="22"/>
      <c r="W2630" s="97"/>
    </row>
    <row r="2631" spans="20:23">
      <c r="T2631" s="97"/>
      <c r="V2631" s="22"/>
      <c r="W2631" s="97"/>
    </row>
    <row r="2632" spans="20:23">
      <c r="T2632" s="97"/>
      <c r="V2632" s="22"/>
      <c r="W2632" s="97"/>
    </row>
    <row r="2633" spans="20:23">
      <c r="T2633" s="97"/>
      <c r="V2633" s="22"/>
      <c r="W2633" s="97"/>
    </row>
    <row r="2634" spans="20:23">
      <c r="T2634" s="97"/>
      <c r="V2634" s="22"/>
      <c r="W2634" s="97"/>
    </row>
    <row r="2635" spans="20:23">
      <c r="T2635" s="97"/>
      <c r="V2635" s="22"/>
      <c r="W2635" s="97"/>
    </row>
    <row r="2636" spans="20:23">
      <c r="T2636" s="97"/>
      <c r="V2636" s="22"/>
      <c r="W2636" s="97"/>
    </row>
    <row r="2637" spans="20:23">
      <c r="T2637" s="97"/>
      <c r="V2637" s="22"/>
      <c r="W2637" s="97"/>
    </row>
    <row r="2638" spans="20:23">
      <c r="T2638" s="97"/>
      <c r="V2638" s="22"/>
      <c r="W2638" s="97"/>
    </row>
    <row r="2639" spans="20:23">
      <c r="T2639" s="97"/>
      <c r="V2639" s="22"/>
      <c r="W2639" s="97"/>
    </row>
    <row r="2640" spans="20:23">
      <c r="T2640" s="97"/>
      <c r="V2640" s="22"/>
      <c r="W2640" s="97"/>
    </row>
    <row r="2641" spans="20:23">
      <c r="T2641" s="97"/>
      <c r="V2641" s="22"/>
      <c r="W2641" s="97"/>
    </row>
    <row r="2642" spans="20:23">
      <c r="T2642" s="97"/>
      <c r="V2642" s="22"/>
      <c r="W2642" s="97"/>
    </row>
    <row r="2643" spans="20:23">
      <c r="T2643" s="97"/>
      <c r="V2643" s="22"/>
      <c r="W2643" s="97"/>
    </row>
    <row r="2644" spans="20:23">
      <c r="T2644" s="97"/>
      <c r="V2644" s="22"/>
      <c r="W2644" s="97"/>
    </row>
    <row r="2645" spans="20:23">
      <c r="T2645" s="97"/>
      <c r="V2645" s="22"/>
      <c r="W2645" s="97"/>
    </row>
    <row r="2646" spans="20:23">
      <c r="T2646" s="97"/>
      <c r="V2646" s="22"/>
      <c r="W2646" s="97"/>
    </row>
    <row r="2647" spans="20:23">
      <c r="T2647" s="97"/>
      <c r="V2647" s="22"/>
      <c r="W2647" s="97"/>
    </row>
    <row r="2648" spans="20:23">
      <c r="T2648" s="97"/>
      <c r="V2648" s="22"/>
      <c r="W2648" s="97"/>
    </row>
    <row r="2649" spans="20:23">
      <c r="T2649" s="97"/>
      <c r="V2649" s="22"/>
      <c r="W2649" s="97"/>
    </row>
    <row r="2650" spans="20:23">
      <c r="T2650" s="97"/>
      <c r="V2650" s="22"/>
      <c r="W2650" s="97"/>
    </row>
    <row r="2651" spans="20:23">
      <c r="T2651" s="97"/>
      <c r="V2651" s="22"/>
      <c r="W2651" s="97"/>
    </row>
    <row r="2652" spans="20:23">
      <c r="T2652" s="97"/>
      <c r="V2652" s="22"/>
      <c r="W2652" s="97"/>
    </row>
    <row r="2653" spans="20:23">
      <c r="T2653" s="97"/>
      <c r="V2653" s="22"/>
      <c r="W2653" s="97"/>
    </row>
    <row r="2654" spans="20:23">
      <c r="T2654" s="97"/>
      <c r="V2654" s="22"/>
      <c r="W2654" s="97"/>
    </row>
    <row r="2655" spans="20:23">
      <c r="T2655" s="97"/>
      <c r="V2655" s="22"/>
      <c r="W2655" s="97"/>
    </row>
    <row r="2656" spans="20:23">
      <c r="T2656" s="97"/>
      <c r="V2656" s="22"/>
      <c r="W2656" s="97"/>
    </row>
    <row r="2657" spans="20:23">
      <c r="T2657" s="97"/>
      <c r="V2657" s="22"/>
      <c r="W2657" s="97"/>
    </row>
    <row r="2658" spans="20:23">
      <c r="T2658" s="97"/>
      <c r="V2658" s="22"/>
      <c r="W2658" s="97"/>
    </row>
    <row r="2659" spans="20:23">
      <c r="T2659" s="97"/>
      <c r="V2659" s="22"/>
      <c r="W2659" s="97"/>
    </row>
    <row r="2660" spans="20:23">
      <c r="T2660" s="97"/>
      <c r="V2660" s="22"/>
      <c r="W2660" s="97"/>
    </row>
    <row r="2661" spans="20:23">
      <c r="T2661" s="97"/>
      <c r="V2661" s="22"/>
      <c r="W2661" s="97"/>
    </row>
    <row r="2662" spans="20:23">
      <c r="T2662" s="97"/>
      <c r="V2662" s="22"/>
      <c r="W2662" s="97"/>
    </row>
    <row r="2663" spans="20:23">
      <c r="T2663" s="97"/>
      <c r="V2663" s="22"/>
      <c r="W2663" s="97"/>
    </row>
    <row r="2664" spans="20:23">
      <c r="T2664" s="97"/>
      <c r="V2664" s="22"/>
      <c r="W2664" s="97"/>
    </row>
    <row r="2665" spans="20:23">
      <c r="T2665" s="97"/>
      <c r="V2665" s="22"/>
      <c r="W2665" s="97"/>
    </row>
    <row r="2666" spans="20:23">
      <c r="T2666" s="97"/>
      <c r="V2666" s="22"/>
      <c r="W2666" s="97"/>
    </row>
    <row r="2667" spans="20:23">
      <c r="T2667" s="97"/>
      <c r="V2667" s="22"/>
      <c r="W2667" s="97"/>
    </row>
    <row r="2668" spans="20:23">
      <c r="T2668" s="97"/>
      <c r="V2668" s="22"/>
      <c r="W2668" s="97"/>
    </row>
    <row r="2669" spans="20:23">
      <c r="T2669" s="97"/>
      <c r="V2669" s="22"/>
      <c r="W2669" s="97"/>
    </row>
    <row r="2670" spans="20:23">
      <c r="T2670" s="97"/>
      <c r="V2670" s="22"/>
      <c r="W2670" s="97"/>
    </row>
    <row r="2671" spans="20:23">
      <c r="T2671" s="97"/>
      <c r="V2671" s="22"/>
      <c r="W2671" s="97"/>
    </row>
    <row r="2672" spans="20:23">
      <c r="T2672" s="97"/>
      <c r="V2672" s="22"/>
      <c r="W2672" s="97"/>
    </row>
    <row r="2673" spans="20:23">
      <c r="T2673" s="97"/>
      <c r="V2673" s="22"/>
      <c r="W2673" s="97"/>
    </row>
    <row r="2674" spans="20:23">
      <c r="V2674" s="22"/>
      <c r="W2674" s="97"/>
    </row>
    <row r="2675" spans="20:23">
      <c r="V2675" s="22"/>
      <c r="W2675" s="97"/>
    </row>
    <row r="2676" spans="20:23">
      <c r="V2676" s="22"/>
      <c r="W2676" s="97"/>
    </row>
    <row r="2677" spans="20:23">
      <c r="V2677" s="22"/>
      <c r="W2677" s="97"/>
    </row>
    <row r="2678" spans="20:23">
      <c r="V2678" s="22"/>
      <c r="W2678" s="97"/>
    </row>
    <row r="2679" spans="20:23">
      <c r="V2679" s="22"/>
      <c r="W2679" s="97"/>
    </row>
    <row r="2680" spans="20:23">
      <c r="V2680" s="22"/>
      <c r="W2680" s="97"/>
    </row>
    <row r="2681" spans="20:23">
      <c r="V2681" s="22"/>
      <c r="W2681" s="97"/>
    </row>
    <row r="2682" spans="20:23">
      <c r="V2682" s="22"/>
      <c r="W2682" s="97"/>
    </row>
    <row r="2683" spans="20:23">
      <c r="V2683" s="22"/>
      <c r="W2683" s="97"/>
    </row>
    <row r="2684" spans="20:23">
      <c r="V2684" s="22"/>
      <c r="W2684" s="97"/>
    </row>
    <row r="2685" spans="20:23">
      <c r="V2685" s="22"/>
      <c r="W2685" s="97"/>
    </row>
    <row r="2686" spans="20:23">
      <c r="V2686" s="22"/>
      <c r="W2686" s="97"/>
    </row>
    <row r="2687" spans="20:23">
      <c r="V2687" s="22"/>
      <c r="W2687" s="97"/>
    </row>
    <row r="2688" spans="20:23">
      <c r="V2688" s="22"/>
      <c r="W2688" s="97"/>
    </row>
    <row r="2689" spans="22:23">
      <c r="V2689" s="22"/>
      <c r="W2689" s="97"/>
    </row>
    <row r="2690" spans="22:23">
      <c r="V2690" s="22"/>
      <c r="W2690" s="97"/>
    </row>
    <row r="2691" spans="22:23">
      <c r="V2691" s="22"/>
      <c r="W2691" s="97"/>
    </row>
    <row r="2692" spans="22:23">
      <c r="V2692" s="22"/>
      <c r="W2692" s="97"/>
    </row>
    <row r="2693" spans="22:23">
      <c r="V2693" s="22"/>
      <c r="W2693" s="97"/>
    </row>
    <row r="2694" spans="22:23">
      <c r="V2694" s="22"/>
      <c r="W2694" s="97"/>
    </row>
    <row r="2695" spans="22:23">
      <c r="V2695" s="22"/>
      <c r="W2695" s="97"/>
    </row>
    <row r="2696" spans="22:23">
      <c r="V2696" s="22"/>
      <c r="W2696" s="97"/>
    </row>
    <row r="2697" spans="22:23">
      <c r="V2697" s="22"/>
      <c r="W2697" s="97"/>
    </row>
    <row r="2698" spans="22:23">
      <c r="V2698" s="22"/>
      <c r="W2698" s="97"/>
    </row>
    <row r="2699" spans="22:23">
      <c r="V2699" s="22"/>
      <c r="W2699" s="97"/>
    </row>
    <row r="2700" spans="22:23">
      <c r="V2700" s="22"/>
      <c r="W2700" s="97"/>
    </row>
    <row r="2701" spans="22:23">
      <c r="V2701" s="22"/>
      <c r="W2701" s="97"/>
    </row>
    <row r="2702" spans="22:23">
      <c r="V2702" s="22"/>
      <c r="W2702" s="97"/>
    </row>
    <row r="2703" spans="22:23">
      <c r="V2703" s="22"/>
      <c r="W2703" s="97"/>
    </row>
    <row r="2704" spans="22:23">
      <c r="V2704" s="22"/>
      <c r="W2704" s="97"/>
    </row>
    <row r="2705" spans="22:23">
      <c r="V2705" s="22"/>
      <c r="W2705" s="97"/>
    </row>
    <row r="2706" spans="22:23">
      <c r="V2706" s="22"/>
      <c r="W2706" s="97"/>
    </row>
    <row r="2707" spans="22:23">
      <c r="V2707" s="22"/>
      <c r="W2707" s="97"/>
    </row>
    <row r="2708" spans="22:23">
      <c r="V2708" s="22"/>
      <c r="W2708" s="97"/>
    </row>
    <row r="2709" spans="22:23">
      <c r="V2709" s="22"/>
      <c r="W2709" s="97"/>
    </row>
    <row r="2710" spans="22:23">
      <c r="V2710" s="22"/>
      <c r="W2710" s="97"/>
    </row>
    <row r="2711" spans="22:23">
      <c r="V2711" s="22"/>
      <c r="W2711" s="97"/>
    </row>
    <row r="2712" spans="22:23">
      <c r="V2712" s="22"/>
      <c r="W2712" s="97"/>
    </row>
    <row r="2713" spans="22:23">
      <c r="V2713" s="22"/>
      <c r="W2713" s="97"/>
    </row>
    <row r="2714" spans="22:23">
      <c r="V2714" s="22"/>
      <c r="W2714" s="97"/>
    </row>
    <row r="2715" spans="22:23">
      <c r="V2715" s="22"/>
      <c r="W2715" s="97"/>
    </row>
    <row r="2716" spans="22:23">
      <c r="V2716" s="22"/>
      <c r="W2716" s="97"/>
    </row>
    <row r="2717" spans="22:23">
      <c r="V2717" s="22"/>
      <c r="W2717" s="97"/>
    </row>
    <row r="2718" spans="22:23">
      <c r="V2718" s="22"/>
      <c r="W2718" s="97"/>
    </row>
    <row r="2719" spans="22:23">
      <c r="V2719" s="22"/>
      <c r="W2719" s="97"/>
    </row>
    <row r="2720" spans="22:23">
      <c r="V2720" s="22"/>
      <c r="W2720" s="97"/>
    </row>
    <row r="2721" spans="22:23">
      <c r="V2721" s="22"/>
      <c r="W2721" s="97"/>
    </row>
    <row r="2722" spans="22:23">
      <c r="V2722" s="22"/>
      <c r="W2722" s="97"/>
    </row>
    <row r="2723" spans="22:23">
      <c r="V2723" s="22"/>
      <c r="W2723" s="97"/>
    </row>
    <row r="2724" spans="22:23">
      <c r="V2724" s="22"/>
      <c r="W2724" s="97"/>
    </row>
    <row r="2725" spans="22:23">
      <c r="V2725" s="22"/>
      <c r="W2725" s="97"/>
    </row>
    <row r="2726" spans="22:23">
      <c r="V2726" s="22"/>
      <c r="W2726" s="97"/>
    </row>
    <row r="2727" spans="22:23">
      <c r="V2727" s="22"/>
      <c r="W2727" s="97"/>
    </row>
    <row r="2728" spans="22:23">
      <c r="V2728" s="22"/>
      <c r="W2728" s="97"/>
    </row>
    <row r="2729" spans="22:23">
      <c r="V2729" s="22"/>
      <c r="W2729" s="97"/>
    </row>
    <row r="2730" spans="22:23">
      <c r="V2730" s="22"/>
      <c r="W2730" s="97"/>
    </row>
    <row r="2731" spans="22:23">
      <c r="V2731" s="22"/>
      <c r="W2731" s="97"/>
    </row>
    <row r="2732" spans="22:23">
      <c r="V2732" s="22"/>
      <c r="W2732" s="97"/>
    </row>
    <row r="2733" spans="22:23">
      <c r="V2733" s="22"/>
      <c r="W2733" s="97"/>
    </row>
    <row r="2734" spans="22:23">
      <c r="V2734" s="22"/>
      <c r="W2734" s="97"/>
    </row>
    <row r="2735" spans="22:23">
      <c r="V2735" s="22"/>
      <c r="W2735" s="97"/>
    </row>
    <row r="2736" spans="22:23">
      <c r="V2736" s="22"/>
      <c r="W2736" s="97"/>
    </row>
    <row r="2737" spans="22:23">
      <c r="V2737" s="22"/>
      <c r="W2737" s="97"/>
    </row>
    <row r="2738" spans="22:23">
      <c r="V2738" s="22"/>
      <c r="W2738" s="97"/>
    </row>
    <row r="2739" spans="22:23">
      <c r="V2739" s="22"/>
      <c r="W2739" s="97"/>
    </row>
    <row r="2740" spans="22:23">
      <c r="V2740" s="22"/>
      <c r="W2740" s="97"/>
    </row>
    <row r="2741" spans="22:23">
      <c r="V2741" s="22"/>
      <c r="W2741" s="97"/>
    </row>
    <row r="2742" spans="22:23">
      <c r="V2742" s="22"/>
      <c r="W2742" s="97"/>
    </row>
    <row r="2743" spans="22:23">
      <c r="V2743" s="22"/>
      <c r="W2743" s="97"/>
    </row>
    <row r="2744" spans="22:23">
      <c r="V2744" s="22"/>
      <c r="W2744" s="97"/>
    </row>
    <row r="2745" spans="22:23">
      <c r="V2745" s="22"/>
      <c r="W2745" s="97"/>
    </row>
    <row r="2746" spans="22:23">
      <c r="V2746" s="22"/>
      <c r="W2746" s="97"/>
    </row>
    <row r="2747" spans="22:23">
      <c r="V2747" s="22"/>
      <c r="W2747" s="97"/>
    </row>
    <row r="2748" spans="22:23">
      <c r="V2748" s="22"/>
      <c r="W2748" s="97"/>
    </row>
    <row r="2749" spans="22:23">
      <c r="V2749" s="22"/>
      <c r="W2749" s="97"/>
    </row>
    <row r="2750" spans="22:23">
      <c r="V2750" s="22"/>
      <c r="W2750" s="97"/>
    </row>
    <row r="2751" spans="22:23">
      <c r="V2751" s="22"/>
      <c r="W2751" s="97"/>
    </row>
    <row r="2752" spans="22:23">
      <c r="V2752" s="22"/>
      <c r="W2752" s="97"/>
    </row>
    <row r="2753" spans="22:23">
      <c r="V2753" s="22"/>
      <c r="W2753" s="97"/>
    </row>
    <row r="2754" spans="22:23">
      <c r="V2754" s="22"/>
      <c r="W2754" s="97"/>
    </row>
    <row r="2755" spans="22:23">
      <c r="V2755" s="22"/>
      <c r="W2755" s="97"/>
    </row>
    <row r="2756" spans="22:23">
      <c r="V2756" s="22"/>
      <c r="W2756" s="97"/>
    </row>
    <row r="2757" spans="22:23">
      <c r="V2757" s="22"/>
      <c r="W2757" s="97"/>
    </row>
    <row r="2758" spans="22:23">
      <c r="V2758" s="22"/>
      <c r="W2758" s="97"/>
    </row>
    <row r="2759" spans="22:23">
      <c r="V2759" s="22"/>
      <c r="W2759" s="97"/>
    </row>
    <row r="2760" spans="22:23">
      <c r="V2760" s="22"/>
      <c r="W2760" s="97"/>
    </row>
    <row r="2761" spans="22:23">
      <c r="V2761" s="22"/>
      <c r="W2761" s="97"/>
    </row>
    <row r="2762" spans="22:23">
      <c r="V2762" s="22"/>
      <c r="W2762" s="97"/>
    </row>
    <row r="2763" spans="22:23">
      <c r="V2763" s="22"/>
      <c r="W2763" s="97"/>
    </row>
    <row r="2764" spans="22:23">
      <c r="V2764" s="22"/>
      <c r="W2764" s="97"/>
    </row>
    <row r="2765" spans="22:23">
      <c r="V2765" s="22"/>
      <c r="W2765" s="97"/>
    </row>
    <row r="2766" spans="22:23">
      <c r="V2766" s="22"/>
      <c r="W2766" s="97"/>
    </row>
    <row r="2767" spans="22:23">
      <c r="V2767" s="22"/>
      <c r="W2767" s="97"/>
    </row>
    <row r="2768" spans="22:23">
      <c r="V2768" s="22"/>
      <c r="W2768" s="97"/>
    </row>
    <row r="2769" spans="22:23">
      <c r="V2769" s="22"/>
      <c r="W2769" s="97"/>
    </row>
    <row r="2770" spans="22:23">
      <c r="V2770" s="22"/>
      <c r="W2770" s="97"/>
    </row>
    <row r="2771" spans="22:23">
      <c r="V2771" s="22"/>
      <c r="W2771" s="97"/>
    </row>
    <row r="2772" spans="22:23">
      <c r="V2772" s="22"/>
      <c r="W2772" s="97"/>
    </row>
    <row r="2773" spans="22:23">
      <c r="V2773" s="22"/>
      <c r="W2773" s="97"/>
    </row>
    <row r="2774" spans="22:23">
      <c r="V2774" s="22"/>
      <c r="W2774" s="97"/>
    </row>
    <row r="2775" spans="22:23">
      <c r="V2775" s="22"/>
      <c r="W2775" s="97"/>
    </row>
    <row r="2776" spans="22:23">
      <c r="V2776" s="22"/>
      <c r="W2776" s="97"/>
    </row>
    <row r="2777" spans="22:23">
      <c r="V2777" s="22"/>
      <c r="W2777" s="97"/>
    </row>
    <row r="2778" spans="22:23">
      <c r="V2778" s="22"/>
      <c r="W2778" s="97"/>
    </row>
    <row r="2779" spans="22:23">
      <c r="V2779" s="22"/>
      <c r="W2779" s="97"/>
    </row>
    <row r="2780" spans="22:23">
      <c r="V2780" s="22"/>
      <c r="W2780" s="97"/>
    </row>
    <row r="2781" spans="22:23">
      <c r="V2781" s="22"/>
      <c r="W2781" s="97"/>
    </row>
    <row r="2782" spans="22:23">
      <c r="V2782" s="22"/>
      <c r="W2782" s="97"/>
    </row>
    <row r="2783" spans="22:23">
      <c r="V2783" s="22"/>
      <c r="W2783" s="97"/>
    </row>
    <row r="2784" spans="22:23">
      <c r="V2784" s="22"/>
      <c r="W2784" s="97"/>
    </row>
    <row r="2785" spans="22:23">
      <c r="V2785" s="22"/>
      <c r="W2785" s="97"/>
    </row>
    <row r="2786" spans="22:23">
      <c r="V2786" s="22"/>
      <c r="W2786" s="97"/>
    </row>
    <row r="2787" spans="22:23">
      <c r="V2787" s="22"/>
      <c r="W2787" s="97"/>
    </row>
    <row r="2788" spans="22:23">
      <c r="V2788" s="22"/>
      <c r="W2788" s="97"/>
    </row>
    <row r="2789" spans="22:23">
      <c r="V2789" s="22"/>
      <c r="W2789" s="97"/>
    </row>
    <row r="2790" spans="22:23">
      <c r="V2790" s="22"/>
      <c r="W2790" s="97"/>
    </row>
    <row r="2791" spans="22:23">
      <c r="V2791" s="22"/>
      <c r="W2791" s="97"/>
    </row>
    <row r="2792" spans="22:23">
      <c r="V2792" s="22"/>
      <c r="W2792" s="97"/>
    </row>
    <row r="2793" spans="22:23">
      <c r="V2793" s="22"/>
      <c r="W2793" s="97"/>
    </row>
    <row r="2794" spans="22:23">
      <c r="V2794" s="22"/>
      <c r="W2794" s="97"/>
    </row>
    <row r="2795" spans="22:23">
      <c r="V2795" s="22"/>
      <c r="W2795" s="97"/>
    </row>
    <row r="2796" spans="22:23">
      <c r="V2796" s="22"/>
      <c r="W2796" s="97"/>
    </row>
    <row r="2797" spans="22:23">
      <c r="V2797" s="22"/>
      <c r="W2797" s="97"/>
    </row>
    <row r="2798" spans="22:23">
      <c r="V2798" s="22"/>
      <c r="W2798" s="97"/>
    </row>
    <row r="2799" spans="22:23">
      <c r="V2799" s="22"/>
      <c r="W2799" s="97"/>
    </row>
    <row r="2800" spans="22:23">
      <c r="V2800" s="22"/>
      <c r="W2800" s="97"/>
    </row>
    <row r="2801" spans="22:23">
      <c r="V2801" s="22"/>
      <c r="W2801" s="97"/>
    </row>
    <row r="2802" spans="22:23">
      <c r="V2802" s="22"/>
      <c r="W2802" s="97"/>
    </row>
    <row r="2803" spans="22:23">
      <c r="V2803" s="22"/>
      <c r="W2803" s="97"/>
    </row>
    <row r="2804" spans="22:23">
      <c r="V2804" s="22"/>
      <c r="W2804" s="97"/>
    </row>
    <row r="2805" spans="22:23">
      <c r="V2805" s="22"/>
      <c r="W2805" s="97"/>
    </row>
    <row r="2806" spans="22:23">
      <c r="V2806" s="22"/>
      <c r="W2806" s="97"/>
    </row>
    <row r="2807" spans="22:23">
      <c r="V2807" s="22"/>
      <c r="W2807" s="97"/>
    </row>
    <row r="2808" spans="22:23">
      <c r="V2808" s="22"/>
      <c r="W2808" s="97"/>
    </row>
    <row r="2809" spans="22:23">
      <c r="V2809" s="22"/>
      <c r="W2809" s="97"/>
    </row>
    <row r="2810" spans="22:23">
      <c r="V2810" s="22"/>
      <c r="W2810" s="97"/>
    </row>
    <row r="2811" spans="22:23">
      <c r="V2811" s="22"/>
      <c r="W2811" s="97"/>
    </row>
    <row r="2812" spans="22:23">
      <c r="V2812" s="22"/>
      <c r="W2812" s="97"/>
    </row>
    <row r="2813" spans="22:23">
      <c r="V2813" s="22"/>
      <c r="W2813" s="97"/>
    </row>
    <row r="2814" spans="22:23">
      <c r="V2814" s="22"/>
      <c r="W2814" s="97"/>
    </row>
    <row r="2815" spans="22:23">
      <c r="V2815" s="22"/>
      <c r="W2815" s="97"/>
    </row>
    <row r="2816" spans="22:23">
      <c r="V2816" s="22"/>
      <c r="W2816" s="97"/>
    </row>
    <row r="2817" spans="22:23">
      <c r="V2817" s="22"/>
      <c r="W2817" s="97"/>
    </row>
    <row r="2818" spans="22:23">
      <c r="V2818" s="22"/>
      <c r="W2818" s="97"/>
    </row>
    <row r="2819" spans="22:23">
      <c r="V2819" s="22"/>
      <c r="W2819" s="97"/>
    </row>
    <row r="2820" spans="22:23">
      <c r="V2820" s="22"/>
      <c r="W2820" s="97"/>
    </row>
    <row r="2821" spans="22:23">
      <c r="V2821" s="22"/>
      <c r="W2821" s="97"/>
    </row>
    <row r="2822" spans="22:23">
      <c r="V2822" s="22"/>
      <c r="W2822" s="97"/>
    </row>
    <row r="2823" spans="22:23">
      <c r="V2823" s="22"/>
      <c r="W2823" s="97"/>
    </row>
    <row r="2824" spans="22:23">
      <c r="V2824" s="22"/>
      <c r="W2824" s="97"/>
    </row>
    <row r="2825" spans="22:23">
      <c r="V2825" s="22"/>
      <c r="W2825" s="97"/>
    </row>
    <row r="2826" spans="22:23">
      <c r="V2826" s="22"/>
      <c r="W2826" s="97"/>
    </row>
    <row r="2827" spans="22:23">
      <c r="V2827" s="22"/>
      <c r="W2827" s="97"/>
    </row>
    <row r="2828" spans="22:23">
      <c r="V2828" s="22"/>
      <c r="W2828" s="97"/>
    </row>
    <row r="2829" spans="22:23">
      <c r="V2829" s="22"/>
      <c r="W2829" s="97"/>
    </row>
    <row r="2830" spans="22:23">
      <c r="V2830" s="22"/>
      <c r="W2830" s="97"/>
    </row>
    <row r="2831" spans="22:23">
      <c r="V2831" s="22"/>
      <c r="W2831" s="97"/>
    </row>
    <row r="2832" spans="22:23">
      <c r="V2832" s="22"/>
      <c r="W2832" s="97"/>
    </row>
    <row r="2833" spans="22:23">
      <c r="V2833" s="22"/>
      <c r="W2833" s="97"/>
    </row>
    <row r="2834" spans="22:23">
      <c r="V2834" s="22"/>
      <c r="W2834" s="97"/>
    </row>
    <row r="2835" spans="22:23">
      <c r="V2835" s="22"/>
      <c r="W2835" s="97"/>
    </row>
    <row r="2836" spans="22:23">
      <c r="V2836" s="22"/>
      <c r="W2836" s="97"/>
    </row>
    <row r="2837" spans="22:23">
      <c r="V2837" s="22"/>
      <c r="W2837" s="97"/>
    </row>
    <row r="2838" spans="22:23">
      <c r="V2838" s="22"/>
      <c r="W2838" s="97"/>
    </row>
    <row r="2839" spans="22:23">
      <c r="V2839" s="22"/>
      <c r="W2839" s="97"/>
    </row>
    <row r="2840" spans="22:23">
      <c r="V2840" s="22"/>
      <c r="W2840" s="97"/>
    </row>
    <row r="2841" spans="22:23">
      <c r="V2841" s="22"/>
      <c r="W2841" s="97"/>
    </row>
    <row r="2842" spans="22:23">
      <c r="V2842" s="22"/>
      <c r="W2842" s="97"/>
    </row>
    <row r="2843" spans="22:23">
      <c r="V2843" s="22"/>
      <c r="W2843" s="97"/>
    </row>
    <row r="2844" spans="22:23">
      <c r="V2844" s="22"/>
      <c r="W2844" s="97"/>
    </row>
    <row r="2845" spans="22:23">
      <c r="V2845" s="22"/>
      <c r="W2845" s="97"/>
    </row>
    <row r="2846" spans="22:23">
      <c r="V2846" s="22"/>
      <c r="W2846" s="97"/>
    </row>
    <row r="2847" spans="22:23">
      <c r="V2847" s="22"/>
      <c r="W2847" s="97"/>
    </row>
    <row r="2848" spans="22:23">
      <c r="V2848" s="22"/>
      <c r="W2848" s="97"/>
    </row>
    <row r="2849" spans="22:23">
      <c r="V2849" s="22"/>
      <c r="W2849" s="97"/>
    </row>
    <row r="2850" spans="22:23">
      <c r="V2850" s="22"/>
      <c r="W2850" s="97"/>
    </row>
    <row r="2851" spans="22:23">
      <c r="V2851" s="22"/>
      <c r="W2851" s="97"/>
    </row>
    <row r="2852" spans="22:23">
      <c r="V2852" s="22"/>
      <c r="W2852" s="97"/>
    </row>
    <row r="2853" spans="22:23">
      <c r="V2853" s="22"/>
      <c r="W2853" s="97"/>
    </row>
    <row r="2854" spans="22:23">
      <c r="V2854" s="22"/>
      <c r="W2854" s="97"/>
    </row>
    <row r="2855" spans="22:23">
      <c r="V2855" s="22"/>
      <c r="W2855" s="97"/>
    </row>
    <row r="2856" spans="22:23">
      <c r="V2856" s="22"/>
      <c r="W2856" s="97"/>
    </row>
    <row r="2857" spans="22:23">
      <c r="V2857" s="22"/>
      <c r="W2857" s="97"/>
    </row>
    <row r="2858" spans="22:23">
      <c r="V2858" s="22"/>
      <c r="W2858" s="97"/>
    </row>
    <row r="2859" spans="22:23">
      <c r="V2859" s="22"/>
      <c r="W2859" s="97"/>
    </row>
    <row r="2860" spans="22:23">
      <c r="V2860" s="22"/>
      <c r="W2860" s="97"/>
    </row>
    <row r="2861" spans="22:23">
      <c r="V2861" s="22"/>
      <c r="W2861" s="97"/>
    </row>
    <row r="2862" spans="22:23">
      <c r="V2862" s="22"/>
      <c r="W2862" s="97"/>
    </row>
    <row r="2863" spans="22:23">
      <c r="V2863" s="22"/>
      <c r="W2863" s="97"/>
    </row>
    <row r="2864" spans="22:23">
      <c r="V2864" s="22"/>
      <c r="W2864" s="97"/>
    </row>
    <row r="2865" spans="22:23">
      <c r="V2865" s="22"/>
      <c r="W2865" s="97"/>
    </row>
    <row r="2866" spans="22:23">
      <c r="V2866" s="22"/>
      <c r="W2866" s="97"/>
    </row>
    <row r="2867" spans="22:23">
      <c r="V2867" s="22"/>
      <c r="W2867" s="97"/>
    </row>
    <row r="2868" spans="22:23">
      <c r="V2868" s="22"/>
      <c r="W2868" s="97"/>
    </row>
    <row r="2869" spans="22:23">
      <c r="V2869" s="22"/>
      <c r="W2869" s="97"/>
    </row>
    <row r="2870" spans="22:23">
      <c r="V2870" s="22"/>
      <c r="W2870" s="97"/>
    </row>
    <row r="2871" spans="22:23">
      <c r="V2871" s="22"/>
      <c r="W2871" s="97"/>
    </row>
    <row r="2872" spans="22:23">
      <c r="V2872" s="22"/>
      <c r="W2872" s="97"/>
    </row>
    <row r="2873" spans="22:23">
      <c r="V2873" s="22"/>
      <c r="W2873" s="97"/>
    </row>
    <row r="2874" spans="22:23">
      <c r="V2874" s="22"/>
      <c r="W2874" s="97"/>
    </row>
    <row r="2875" spans="22:23">
      <c r="V2875" s="22"/>
      <c r="W2875" s="97"/>
    </row>
    <row r="2876" spans="22:23">
      <c r="V2876" s="22"/>
      <c r="W2876" s="97"/>
    </row>
    <row r="2877" spans="22:23">
      <c r="V2877" s="22"/>
      <c r="W2877" s="97"/>
    </row>
    <row r="2878" spans="22:23">
      <c r="V2878" s="22"/>
      <c r="W2878" s="97"/>
    </row>
    <row r="2879" spans="22:23">
      <c r="V2879" s="22"/>
      <c r="W2879" s="97"/>
    </row>
    <row r="2880" spans="22:23">
      <c r="V2880" s="22"/>
      <c r="W2880" s="97"/>
    </row>
    <row r="2881" spans="22:23">
      <c r="V2881" s="22"/>
      <c r="W2881" s="97"/>
    </row>
    <row r="2882" spans="22:23">
      <c r="V2882" s="22"/>
      <c r="W2882" s="97"/>
    </row>
    <row r="2883" spans="22:23">
      <c r="V2883" s="22"/>
      <c r="W2883" s="97"/>
    </row>
    <row r="2884" spans="22:23">
      <c r="V2884" s="22"/>
      <c r="W2884" s="97"/>
    </row>
    <row r="2885" spans="22:23">
      <c r="V2885" s="22"/>
      <c r="W2885" s="97"/>
    </row>
    <row r="2886" spans="22:23">
      <c r="V2886" s="22"/>
      <c r="W2886" s="97"/>
    </row>
    <row r="2887" spans="22:23">
      <c r="V2887" s="22"/>
      <c r="W2887" s="97"/>
    </row>
    <row r="2888" spans="22:23">
      <c r="V2888" s="22"/>
      <c r="W2888" s="97"/>
    </row>
    <row r="2889" spans="22:23">
      <c r="V2889" s="22"/>
      <c r="W2889" s="97"/>
    </row>
    <row r="2890" spans="22:23">
      <c r="V2890" s="22"/>
      <c r="W2890" s="97"/>
    </row>
    <row r="2891" spans="22:23">
      <c r="V2891" s="22"/>
      <c r="W2891" s="97"/>
    </row>
    <row r="2892" spans="22:23">
      <c r="V2892" s="22"/>
      <c r="W2892" s="97"/>
    </row>
    <row r="2893" spans="22:23">
      <c r="V2893" s="22"/>
      <c r="W2893" s="97"/>
    </row>
    <row r="2894" spans="22:23">
      <c r="V2894" s="22"/>
      <c r="W2894" s="97"/>
    </row>
    <row r="2895" spans="22:23">
      <c r="V2895" s="22"/>
      <c r="W2895" s="97"/>
    </row>
    <row r="2896" spans="22:23">
      <c r="V2896" s="22"/>
      <c r="W2896" s="97"/>
    </row>
    <row r="2897" spans="22:23">
      <c r="V2897" s="22"/>
      <c r="W2897" s="97"/>
    </row>
    <row r="2898" spans="22:23">
      <c r="V2898" s="22"/>
      <c r="W2898" s="97"/>
    </row>
    <row r="2899" spans="22:23">
      <c r="V2899" s="22"/>
      <c r="W2899" s="97"/>
    </row>
    <row r="2900" spans="22:23">
      <c r="V2900" s="22"/>
      <c r="W2900" s="97"/>
    </row>
    <row r="2901" spans="22:23">
      <c r="V2901" s="22"/>
      <c r="W2901" s="97"/>
    </row>
    <row r="2902" spans="22:23">
      <c r="V2902" s="22"/>
      <c r="W2902" s="97"/>
    </row>
    <row r="2903" spans="22:23">
      <c r="V2903" s="22"/>
      <c r="W2903" s="97"/>
    </row>
    <row r="2904" spans="22:23">
      <c r="V2904" s="22"/>
      <c r="W2904" s="97"/>
    </row>
    <row r="2905" spans="22:23">
      <c r="V2905" s="22"/>
      <c r="W2905" s="97"/>
    </row>
    <row r="2906" spans="22:23">
      <c r="V2906" s="22"/>
      <c r="W2906" s="97"/>
    </row>
    <row r="2907" spans="22:23">
      <c r="V2907" s="22"/>
      <c r="W2907" s="97"/>
    </row>
    <row r="2908" spans="22:23">
      <c r="V2908" s="22"/>
      <c r="W2908" s="97"/>
    </row>
    <row r="2909" spans="22:23">
      <c r="V2909" s="22"/>
      <c r="W2909" s="97"/>
    </row>
    <row r="2910" spans="22:23">
      <c r="V2910" s="22"/>
      <c r="W2910" s="97"/>
    </row>
    <row r="2911" spans="22:23">
      <c r="V2911" s="22"/>
      <c r="W2911" s="97"/>
    </row>
    <row r="2912" spans="22:23">
      <c r="V2912" s="22"/>
      <c r="W2912" s="97"/>
    </row>
    <row r="2913" spans="22:23">
      <c r="V2913" s="22"/>
      <c r="W2913" s="97"/>
    </row>
    <row r="2914" spans="22:23">
      <c r="V2914" s="22"/>
      <c r="W2914" s="97"/>
    </row>
    <row r="2915" spans="22:23">
      <c r="V2915" s="22"/>
      <c r="W2915" s="97"/>
    </row>
    <row r="2916" spans="22:23">
      <c r="V2916" s="22"/>
      <c r="W2916" s="97"/>
    </row>
    <row r="2917" spans="22:23">
      <c r="V2917" s="22"/>
      <c r="W2917" s="97"/>
    </row>
    <row r="2918" spans="22:23">
      <c r="V2918" s="22"/>
      <c r="W2918" s="97"/>
    </row>
    <row r="2919" spans="22:23">
      <c r="V2919" s="22"/>
      <c r="W2919" s="97"/>
    </row>
    <row r="2920" spans="22:23">
      <c r="V2920" s="22"/>
      <c r="W2920" s="97"/>
    </row>
    <row r="2921" spans="22:23">
      <c r="V2921" s="22"/>
      <c r="W2921" s="97"/>
    </row>
    <row r="2922" spans="22:23">
      <c r="V2922" s="22"/>
      <c r="W2922" s="97"/>
    </row>
    <row r="2923" spans="22:23">
      <c r="V2923" s="22"/>
      <c r="W2923" s="97"/>
    </row>
    <row r="2924" spans="22:23">
      <c r="V2924" s="22"/>
      <c r="W2924" s="97"/>
    </row>
    <row r="2925" spans="22:23">
      <c r="V2925" s="22"/>
      <c r="W2925" s="97"/>
    </row>
    <row r="2926" spans="22:23">
      <c r="V2926" s="22"/>
      <c r="W2926" s="97"/>
    </row>
    <row r="2927" spans="22:23">
      <c r="V2927" s="22"/>
      <c r="W2927" s="97"/>
    </row>
    <row r="2928" spans="22:23">
      <c r="V2928" s="22"/>
      <c r="W2928" s="97"/>
    </row>
    <row r="2929" spans="22:23">
      <c r="V2929" s="22"/>
      <c r="W2929" s="97"/>
    </row>
    <row r="2930" spans="22:23">
      <c r="V2930" s="22"/>
      <c r="W2930" s="97"/>
    </row>
    <row r="2931" spans="22:23">
      <c r="V2931" s="22"/>
      <c r="W2931" s="97"/>
    </row>
    <row r="2932" spans="22:23">
      <c r="V2932" s="22"/>
      <c r="W2932" s="97"/>
    </row>
    <row r="2933" spans="22:23">
      <c r="V2933" s="22"/>
      <c r="W2933" s="97"/>
    </row>
    <row r="2934" spans="22:23">
      <c r="V2934" s="22"/>
      <c r="W2934" s="97"/>
    </row>
    <row r="2935" spans="22:23">
      <c r="V2935" s="22"/>
      <c r="W2935" s="97"/>
    </row>
    <row r="2936" spans="22:23">
      <c r="V2936" s="22"/>
      <c r="W2936" s="97"/>
    </row>
    <row r="2937" spans="22:23">
      <c r="V2937" s="22"/>
      <c r="W2937" s="97"/>
    </row>
    <row r="2938" spans="22:23">
      <c r="V2938" s="22"/>
      <c r="W2938" s="97"/>
    </row>
    <row r="2939" spans="22:23">
      <c r="V2939" s="22"/>
      <c r="W2939" s="97"/>
    </row>
    <row r="2940" spans="22:23">
      <c r="V2940" s="22"/>
      <c r="W2940" s="97"/>
    </row>
    <row r="2941" spans="22:23">
      <c r="V2941" s="22"/>
      <c r="W2941" s="97"/>
    </row>
    <row r="2942" spans="22:23">
      <c r="V2942" s="22"/>
      <c r="W2942" s="97"/>
    </row>
    <row r="2943" spans="22:23">
      <c r="V2943" s="22"/>
      <c r="W2943" s="97"/>
    </row>
    <row r="2944" spans="22:23">
      <c r="V2944" s="22"/>
      <c r="W2944" s="97"/>
    </row>
    <row r="2945" spans="22:23">
      <c r="V2945" s="22"/>
      <c r="W2945" s="97"/>
    </row>
    <row r="2946" spans="22:23">
      <c r="V2946" s="22"/>
      <c r="W2946" s="97"/>
    </row>
    <row r="2947" spans="22:23">
      <c r="V2947" s="22"/>
      <c r="W2947" s="97"/>
    </row>
    <row r="2948" spans="22:23">
      <c r="V2948" s="22"/>
      <c r="W2948" s="97"/>
    </row>
    <row r="2949" spans="22:23">
      <c r="V2949" s="22"/>
      <c r="W2949" s="97"/>
    </row>
    <row r="2950" spans="22:23">
      <c r="V2950" s="22"/>
      <c r="W2950" s="97"/>
    </row>
    <row r="2951" spans="22:23">
      <c r="V2951" s="22"/>
      <c r="W2951" s="97"/>
    </row>
    <row r="2952" spans="22:23">
      <c r="V2952" s="22"/>
      <c r="W2952" s="97"/>
    </row>
    <row r="2953" spans="22:23">
      <c r="V2953" s="22"/>
      <c r="W2953" s="97"/>
    </row>
    <row r="2954" spans="22:23">
      <c r="V2954" s="22"/>
      <c r="W2954" s="97"/>
    </row>
    <row r="2955" spans="22:23">
      <c r="V2955" s="22"/>
      <c r="W2955" s="97"/>
    </row>
    <row r="2956" spans="22:23">
      <c r="V2956" s="22"/>
      <c r="W2956" s="97"/>
    </row>
    <row r="2957" spans="22:23">
      <c r="V2957" s="22"/>
      <c r="W2957" s="97"/>
    </row>
    <row r="2958" spans="22:23">
      <c r="V2958" s="22"/>
      <c r="W2958" s="97"/>
    </row>
    <row r="2959" spans="22:23">
      <c r="V2959" s="22"/>
      <c r="W2959" s="97"/>
    </row>
    <row r="2960" spans="22:23">
      <c r="V2960" s="22"/>
      <c r="W2960" s="97"/>
    </row>
    <row r="2961" spans="22:23">
      <c r="V2961" s="22"/>
      <c r="W2961" s="97"/>
    </row>
    <row r="2962" spans="22:23">
      <c r="V2962" s="22"/>
      <c r="W2962" s="97"/>
    </row>
    <row r="2963" spans="22:23">
      <c r="V2963" s="22"/>
      <c r="W2963" s="97"/>
    </row>
    <row r="2964" spans="22:23">
      <c r="V2964" s="22"/>
      <c r="W2964" s="97"/>
    </row>
    <row r="2965" spans="22:23">
      <c r="V2965" s="22"/>
      <c r="W2965" s="97"/>
    </row>
    <row r="2966" spans="22:23">
      <c r="V2966" s="22"/>
      <c r="W2966" s="97"/>
    </row>
    <row r="2967" spans="22:23">
      <c r="V2967" s="22"/>
      <c r="W2967" s="97"/>
    </row>
    <row r="2968" spans="22:23">
      <c r="V2968" s="22"/>
      <c r="W2968" s="97"/>
    </row>
    <row r="2969" spans="22:23">
      <c r="V2969" s="22"/>
      <c r="W2969" s="97"/>
    </row>
    <row r="2970" spans="22:23">
      <c r="V2970" s="22"/>
      <c r="W2970" s="97"/>
    </row>
    <row r="2971" spans="22:23">
      <c r="V2971" s="22"/>
      <c r="W2971" s="97"/>
    </row>
    <row r="2972" spans="22:23">
      <c r="V2972" s="22"/>
      <c r="W2972" s="97"/>
    </row>
    <row r="2973" spans="22:23">
      <c r="V2973" s="22"/>
      <c r="W2973" s="97"/>
    </row>
    <row r="2974" spans="22:23">
      <c r="V2974" s="22"/>
      <c r="W2974" s="97"/>
    </row>
    <row r="2975" spans="22:23">
      <c r="V2975" s="22"/>
      <c r="W2975" s="97"/>
    </row>
    <row r="2976" spans="22:23">
      <c r="V2976" s="22"/>
      <c r="W2976" s="97"/>
    </row>
    <row r="2977" spans="22:23">
      <c r="V2977" s="22"/>
      <c r="W2977" s="97"/>
    </row>
    <row r="2978" spans="22:23">
      <c r="V2978" s="22"/>
      <c r="W2978" s="97"/>
    </row>
    <row r="2979" spans="22:23">
      <c r="V2979" s="22"/>
      <c r="W2979" s="97"/>
    </row>
    <row r="2980" spans="22:23">
      <c r="V2980" s="22"/>
      <c r="W2980" s="97"/>
    </row>
    <row r="2981" spans="22:23">
      <c r="V2981" s="22"/>
      <c r="W2981" s="97"/>
    </row>
    <row r="2982" spans="22:23">
      <c r="V2982" s="22"/>
      <c r="W2982" s="97"/>
    </row>
    <row r="2983" spans="22:23">
      <c r="V2983" s="22"/>
      <c r="W2983" s="97"/>
    </row>
    <row r="2984" spans="22:23">
      <c r="V2984" s="22"/>
      <c r="W2984" s="97"/>
    </row>
    <row r="2985" spans="22:23">
      <c r="V2985" s="22"/>
      <c r="W2985" s="97"/>
    </row>
    <row r="2986" spans="22:23">
      <c r="V2986" s="22"/>
      <c r="W2986" s="97"/>
    </row>
    <row r="2987" spans="22:23">
      <c r="V2987" s="22"/>
      <c r="W2987" s="97"/>
    </row>
    <row r="2988" spans="22:23">
      <c r="V2988" s="22"/>
      <c r="W2988" s="97"/>
    </row>
    <row r="2989" spans="22:23">
      <c r="V2989" s="22"/>
      <c r="W2989" s="97"/>
    </row>
    <row r="2990" spans="22:23">
      <c r="V2990" s="22"/>
      <c r="W2990" s="97"/>
    </row>
    <row r="2991" spans="22:23">
      <c r="V2991" s="22"/>
      <c r="W2991" s="97"/>
    </row>
    <row r="2992" spans="22:23">
      <c r="V2992" s="22"/>
      <c r="W2992" s="97"/>
    </row>
    <row r="2993" spans="22:23">
      <c r="V2993" s="22"/>
      <c r="W2993" s="97"/>
    </row>
    <row r="2994" spans="22:23">
      <c r="V2994" s="22"/>
      <c r="W2994" s="97"/>
    </row>
    <row r="2995" spans="22:23">
      <c r="V2995" s="22"/>
      <c r="W2995" s="97"/>
    </row>
    <row r="2996" spans="22:23">
      <c r="V2996" s="22"/>
      <c r="W2996" s="97"/>
    </row>
    <row r="2997" spans="22:23">
      <c r="V2997" s="22"/>
      <c r="W2997" s="97"/>
    </row>
    <row r="2998" spans="22:23">
      <c r="V2998" s="22"/>
      <c r="W2998" s="97"/>
    </row>
    <row r="2999" spans="22:23">
      <c r="V2999" s="22"/>
      <c r="W2999" s="97"/>
    </row>
    <row r="3000" spans="22:23">
      <c r="V3000" s="22"/>
      <c r="W3000" s="97"/>
    </row>
    <row r="3001" spans="22:23">
      <c r="V3001" s="22"/>
      <c r="W3001" s="97"/>
    </row>
    <row r="3002" spans="22:23">
      <c r="V3002" s="22"/>
      <c r="W3002" s="97"/>
    </row>
    <row r="3003" spans="22:23">
      <c r="V3003" s="22"/>
      <c r="W3003" s="97"/>
    </row>
    <row r="3004" spans="22:23">
      <c r="V3004" s="22"/>
      <c r="W3004" s="97"/>
    </row>
    <row r="3005" spans="22:23">
      <c r="V3005" s="22"/>
      <c r="W3005" s="97"/>
    </row>
    <row r="3006" spans="22:23">
      <c r="V3006" s="22"/>
      <c r="W3006" s="97"/>
    </row>
    <row r="3007" spans="22:23">
      <c r="V3007" s="22"/>
      <c r="W3007" s="97"/>
    </row>
    <row r="3008" spans="22:23">
      <c r="V3008" s="22"/>
      <c r="W3008" s="97"/>
    </row>
    <row r="3009" spans="22:23">
      <c r="V3009" s="22"/>
      <c r="W3009" s="97"/>
    </row>
    <row r="3010" spans="22:23">
      <c r="V3010" s="22"/>
      <c r="W3010" s="97"/>
    </row>
    <row r="3011" spans="22:23">
      <c r="V3011" s="22"/>
      <c r="W3011" s="97"/>
    </row>
    <row r="3012" spans="22:23">
      <c r="V3012" s="22"/>
      <c r="W3012" s="97"/>
    </row>
    <row r="3013" spans="22:23">
      <c r="V3013" s="22"/>
      <c r="W3013" s="97"/>
    </row>
    <row r="3014" spans="22:23">
      <c r="V3014" s="22"/>
      <c r="W3014" s="97"/>
    </row>
    <row r="3015" spans="22:23">
      <c r="V3015" s="22"/>
      <c r="W3015" s="97"/>
    </row>
    <row r="3016" spans="22:23">
      <c r="V3016" s="22"/>
      <c r="W3016" s="97"/>
    </row>
    <row r="3017" spans="22:23">
      <c r="V3017" s="22"/>
      <c r="W3017" s="97"/>
    </row>
    <row r="3018" spans="22:23">
      <c r="V3018" s="22"/>
      <c r="W3018" s="97"/>
    </row>
    <row r="3019" spans="22:23">
      <c r="V3019" s="22"/>
      <c r="W3019" s="97"/>
    </row>
    <row r="3020" spans="22:23">
      <c r="V3020" s="22"/>
      <c r="W3020" s="97"/>
    </row>
    <row r="3021" spans="22:23">
      <c r="V3021" s="22"/>
      <c r="W3021" s="97"/>
    </row>
    <row r="3022" spans="22:23">
      <c r="V3022" s="22"/>
      <c r="W3022" s="97"/>
    </row>
    <row r="3023" spans="22:23">
      <c r="V3023" s="22"/>
      <c r="W3023" s="97"/>
    </row>
    <row r="3024" spans="22:23">
      <c r="V3024" s="22"/>
      <c r="W3024" s="97"/>
    </row>
    <row r="3025" spans="22:23">
      <c r="V3025" s="22"/>
      <c r="W3025" s="97"/>
    </row>
    <row r="3026" spans="22:23">
      <c r="V3026" s="22"/>
      <c r="W3026" s="97"/>
    </row>
    <row r="3027" spans="22:23">
      <c r="V3027" s="22"/>
      <c r="W3027" s="97"/>
    </row>
    <row r="3028" spans="22:23">
      <c r="V3028" s="22"/>
      <c r="W3028" s="97"/>
    </row>
    <row r="3029" spans="22:23">
      <c r="V3029" s="22"/>
      <c r="W3029" s="97"/>
    </row>
    <row r="3030" spans="22:23">
      <c r="V3030" s="22"/>
      <c r="W3030" s="97"/>
    </row>
    <row r="3031" spans="22:23">
      <c r="V3031" s="22"/>
      <c r="W3031" s="97"/>
    </row>
    <row r="3032" spans="22:23">
      <c r="V3032" s="22"/>
      <c r="W3032" s="97"/>
    </row>
    <row r="3033" spans="22:23">
      <c r="V3033" s="22"/>
      <c r="W3033" s="97"/>
    </row>
    <row r="3034" spans="22:23">
      <c r="V3034" s="22"/>
      <c r="W3034" s="97"/>
    </row>
    <row r="3035" spans="22:23">
      <c r="V3035" s="22"/>
      <c r="W3035" s="97"/>
    </row>
    <row r="3036" spans="22:23">
      <c r="V3036" s="22"/>
      <c r="W3036" s="97"/>
    </row>
    <row r="3037" spans="22:23">
      <c r="V3037" s="22"/>
      <c r="W3037" s="97"/>
    </row>
    <row r="3038" spans="22:23">
      <c r="V3038" s="22"/>
      <c r="W3038" s="97"/>
    </row>
    <row r="3039" spans="22:23">
      <c r="V3039" s="22"/>
      <c r="W3039" s="97"/>
    </row>
    <row r="3040" spans="22:23">
      <c r="V3040" s="22"/>
      <c r="W3040" s="97"/>
    </row>
    <row r="3041" spans="22:23">
      <c r="V3041" s="22"/>
      <c r="W3041" s="97"/>
    </row>
    <row r="3042" spans="22:23">
      <c r="V3042" s="22"/>
      <c r="W3042" s="97"/>
    </row>
    <row r="3043" spans="22:23">
      <c r="V3043" s="22"/>
      <c r="W3043" s="97"/>
    </row>
    <row r="3044" spans="22:23">
      <c r="V3044" s="22"/>
      <c r="W3044" s="97"/>
    </row>
    <row r="3045" spans="22:23">
      <c r="V3045" s="22"/>
      <c r="W3045" s="97"/>
    </row>
    <row r="3046" spans="22:23">
      <c r="V3046" s="22"/>
      <c r="W3046" s="97"/>
    </row>
    <row r="3047" spans="22:23">
      <c r="V3047" s="22"/>
      <c r="W3047" s="97"/>
    </row>
    <row r="3048" spans="22:23">
      <c r="V3048" s="22"/>
      <c r="W3048" s="97"/>
    </row>
    <row r="3049" spans="22:23">
      <c r="V3049" s="22"/>
      <c r="W3049" s="97"/>
    </row>
    <row r="3050" spans="22:23">
      <c r="V3050" s="22"/>
      <c r="W3050" s="97"/>
    </row>
    <row r="3051" spans="22:23">
      <c r="V3051" s="22"/>
      <c r="W3051" s="97"/>
    </row>
    <row r="3052" spans="22:23">
      <c r="V3052" s="22"/>
      <c r="W3052" s="97"/>
    </row>
    <row r="3053" spans="22:23">
      <c r="V3053" s="22"/>
      <c r="W3053" s="97"/>
    </row>
    <row r="3054" spans="22:23">
      <c r="V3054" s="22"/>
      <c r="W3054" s="97"/>
    </row>
    <row r="3055" spans="22:23">
      <c r="V3055" s="22"/>
      <c r="W3055" s="97"/>
    </row>
    <row r="3056" spans="22:23">
      <c r="V3056" s="22"/>
      <c r="W3056" s="97"/>
    </row>
    <row r="3057" spans="22:23">
      <c r="V3057" s="22"/>
      <c r="W3057" s="97"/>
    </row>
    <row r="3058" spans="22:23">
      <c r="V3058" s="22"/>
      <c r="W3058" s="97"/>
    </row>
    <row r="3059" spans="22:23">
      <c r="V3059" s="22"/>
      <c r="W3059" s="97"/>
    </row>
    <row r="3060" spans="22:23">
      <c r="V3060" s="22"/>
      <c r="W3060" s="97"/>
    </row>
    <row r="3061" spans="22:23">
      <c r="V3061" s="22"/>
      <c r="W3061" s="97"/>
    </row>
    <row r="3062" spans="22:23">
      <c r="V3062" s="22"/>
      <c r="W3062" s="97"/>
    </row>
    <row r="3063" spans="22:23">
      <c r="V3063" s="22"/>
      <c r="W3063" s="97"/>
    </row>
    <row r="3064" spans="22:23">
      <c r="V3064" s="22"/>
      <c r="W3064" s="97"/>
    </row>
    <row r="3065" spans="22:23">
      <c r="V3065" s="22"/>
      <c r="W3065" s="97"/>
    </row>
    <row r="3066" spans="22:23">
      <c r="V3066" s="22"/>
      <c r="W3066" s="97"/>
    </row>
    <row r="3067" spans="22:23">
      <c r="V3067" s="22"/>
      <c r="W3067" s="97"/>
    </row>
    <row r="3068" spans="22:23">
      <c r="V3068" s="22"/>
      <c r="W3068" s="97"/>
    </row>
    <row r="3069" spans="22:23">
      <c r="V3069" s="22"/>
      <c r="W3069" s="97"/>
    </row>
    <row r="3070" spans="22:23">
      <c r="V3070" s="22"/>
      <c r="W3070" s="97"/>
    </row>
    <row r="3071" spans="22:23">
      <c r="V3071" s="22"/>
      <c r="W3071" s="97"/>
    </row>
    <row r="3072" spans="22:23">
      <c r="V3072" s="22"/>
      <c r="W3072" s="97"/>
    </row>
    <row r="3073" spans="22:23">
      <c r="V3073" s="22"/>
      <c r="W3073" s="97"/>
    </row>
    <row r="3074" spans="22:23">
      <c r="V3074" s="22"/>
      <c r="W3074" s="97"/>
    </row>
    <row r="3075" spans="22:23">
      <c r="V3075" s="22"/>
      <c r="W3075" s="97"/>
    </row>
    <row r="3076" spans="22:23">
      <c r="V3076" s="22"/>
      <c r="W3076" s="97"/>
    </row>
    <row r="3077" spans="22:23">
      <c r="V3077" s="22"/>
      <c r="W3077" s="97"/>
    </row>
    <row r="3078" spans="22:23">
      <c r="V3078" s="22"/>
      <c r="W3078" s="97"/>
    </row>
    <row r="3079" spans="22:23">
      <c r="V3079" s="22"/>
      <c r="W3079" s="97"/>
    </row>
    <row r="3080" spans="22:23">
      <c r="V3080" s="22"/>
      <c r="W3080" s="97"/>
    </row>
    <row r="3081" spans="22:23">
      <c r="V3081" s="22"/>
      <c r="W3081" s="97"/>
    </row>
    <row r="3082" spans="22:23">
      <c r="V3082" s="22"/>
      <c r="W3082" s="97"/>
    </row>
    <row r="3083" spans="22:23">
      <c r="V3083" s="22"/>
      <c r="W3083" s="97"/>
    </row>
    <row r="3084" spans="22:23">
      <c r="V3084" s="22"/>
      <c r="W3084" s="97"/>
    </row>
    <row r="3085" spans="22:23">
      <c r="V3085" s="22"/>
      <c r="W3085" s="97"/>
    </row>
    <row r="3086" spans="22:23">
      <c r="V3086" s="22"/>
      <c r="W3086" s="97"/>
    </row>
    <row r="3087" spans="22:23">
      <c r="V3087" s="22"/>
      <c r="W3087" s="97"/>
    </row>
    <row r="3088" spans="22:23">
      <c r="V3088" s="22"/>
      <c r="W3088" s="97"/>
    </row>
    <row r="3089" spans="22:23">
      <c r="V3089" s="22"/>
      <c r="W3089" s="97"/>
    </row>
    <row r="3090" spans="22:23">
      <c r="V3090" s="22"/>
      <c r="W3090" s="97"/>
    </row>
    <row r="3091" spans="22:23">
      <c r="V3091" s="22"/>
      <c r="W3091" s="97"/>
    </row>
    <row r="3092" spans="22:23">
      <c r="V3092" s="22"/>
      <c r="W3092" s="97"/>
    </row>
    <row r="3093" spans="22:23">
      <c r="V3093" s="22"/>
      <c r="W3093" s="97"/>
    </row>
    <row r="3094" spans="22:23">
      <c r="V3094" s="22"/>
      <c r="W3094" s="97"/>
    </row>
    <row r="3095" spans="22:23">
      <c r="V3095" s="22"/>
      <c r="W3095" s="97"/>
    </row>
    <row r="3096" spans="22:23">
      <c r="V3096" s="22"/>
      <c r="W3096" s="97"/>
    </row>
    <row r="3097" spans="22:23">
      <c r="V3097" s="22"/>
      <c r="W3097" s="97"/>
    </row>
    <row r="3098" spans="22:23">
      <c r="V3098" s="22"/>
      <c r="W3098" s="97"/>
    </row>
    <row r="3099" spans="22:23">
      <c r="V3099" s="22"/>
      <c r="W3099" s="97"/>
    </row>
    <row r="3100" spans="22:23">
      <c r="V3100" s="22"/>
      <c r="W3100" s="97"/>
    </row>
    <row r="3101" spans="22:23">
      <c r="V3101" s="22"/>
      <c r="W3101" s="97"/>
    </row>
    <row r="3102" spans="22:23">
      <c r="V3102" s="22"/>
      <c r="W3102" s="97"/>
    </row>
    <row r="3103" spans="22:23">
      <c r="V3103" s="22"/>
      <c r="W3103" s="97"/>
    </row>
    <row r="3104" spans="22:23">
      <c r="V3104" s="22"/>
      <c r="W3104" s="97"/>
    </row>
    <row r="3105" spans="22:23">
      <c r="V3105" s="22"/>
      <c r="W3105" s="97"/>
    </row>
    <row r="3106" spans="22:23">
      <c r="V3106" s="22"/>
      <c r="W3106" s="97"/>
    </row>
    <row r="3107" spans="22:23">
      <c r="V3107" s="22"/>
      <c r="W3107" s="97"/>
    </row>
    <row r="3108" spans="22:23">
      <c r="V3108" s="22"/>
      <c r="W3108" s="97"/>
    </row>
    <row r="3109" spans="22:23">
      <c r="V3109" s="22"/>
      <c r="W3109" s="97"/>
    </row>
    <row r="3110" spans="22:23">
      <c r="V3110" s="22"/>
      <c r="W3110" s="97"/>
    </row>
    <row r="3111" spans="22:23">
      <c r="V3111" s="22"/>
      <c r="W3111" s="97"/>
    </row>
    <row r="3112" spans="22:23">
      <c r="V3112" s="22"/>
      <c r="W3112" s="97"/>
    </row>
    <row r="3113" spans="22:23">
      <c r="V3113" s="22"/>
      <c r="W3113" s="97"/>
    </row>
    <row r="3114" spans="22:23">
      <c r="V3114" s="22"/>
      <c r="W3114" s="97"/>
    </row>
    <row r="3115" spans="22:23">
      <c r="V3115" s="22"/>
      <c r="W3115" s="97"/>
    </row>
    <row r="3116" spans="22:23">
      <c r="V3116" s="22"/>
      <c r="W3116" s="97"/>
    </row>
    <row r="3117" spans="22:23">
      <c r="V3117" s="22"/>
      <c r="W3117" s="97"/>
    </row>
    <row r="3118" spans="22:23">
      <c r="V3118" s="22"/>
      <c r="W3118" s="97"/>
    </row>
    <row r="3119" spans="22:23">
      <c r="V3119" s="22"/>
      <c r="W3119" s="97"/>
    </row>
    <row r="3120" spans="22:23">
      <c r="V3120" s="22"/>
      <c r="W3120" s="97"/>
    </row>
    <row r="3121" spans="22:23">
      <c r="V3121" s="22"/>
      <c r="W3121" s="97"/>
    </row>
    <row r="3122" spans="22:23">
      <c r="V3122" s="22"/>
      <c r="W3122" s="97"/>
    </row>
    <row r="3123" spans="22:23">
      <c r="V3123" s="22"/>
      <c r="W3123" s="97"/>
    </row>
    <row r="3124" spans="22:23">
      <c r="V3124" s="22"/>
      <c r="W3124" s="97"/>
    </row>
    <row r="3125" spans="22:23">
      <c r="V3125" s="22"/>
      <c r="W3125" s="97"/>
    </row>
    <row r="3126" spans="22:23">
      <c r="V3126" s="22"/>
      <c r="W3126" s="97"/>
    </row>
    <row r="3127" spans="22:23">
      <c r="V3127" s="22"/>
      <c r="W3127" s="97"/>
    </row>
    <row r="3128" spans="22:23">
      <c r="V3128" s="22"/>
      <c r="W3128" s="97"/>
    </row>
    <row r="3129" spans="22:23">
      <c r="V3129" s="22"/>
      <c r="W3129" s="97"/>
    </row>
    <row r="3130" spans="22:23">
      <c r="V3130" s="22"/>
      <c r="W3130" s="97"/>
    </row>
    <row r="3131" spans="22:23">
      <c r="V3131" s="22"/>
      <c r="W3131" s="97"/>
    </row>
    <row r="3132" spans="22:23">
      <c r="V3132" s="22"/>
      <c r="W3132" s="97"/>
    </row>
    <row r="3133" spans="22:23">
      <c r="V3133" s="22"/>
      <c r="W3133" s="97"/>
    </row>
    <row r="3134" spans="22:23">
      <c r="V3134" s="22"/>
      <c r="W3134" s="97"/>
    </row>
    <row r="3135" spans="22:23">
      <c r="V3135" s="22"/>
      <c r="W3135" s="97"/>
    </row>
    <row r="3136" spans="22:23">
      <c r="V3136" s="22"/>
      <c r="W3136" s="97"/>
    </row>
    <row r="3137" spans="22:23">
      <c r="V3137" s="22"/>
      <c r="W3137" s="97"/>
    </row>
    <row r="3138" spans="22:23">
      <c r="V3138" s="22"/>
      <c r="W3138" s="97"/>
    </row>
    <row r="3139" spans="22:23">
      <c r="V3139" s="22"/>
      <c r="W3139" s="97"/>
    </row>
    <row r="3140" spans="22:23">
      <c r="V3140" s="22"/>
      <c r="W3140" s="97"/>
    </row>
    <row r="3141" spans="22:23">
      <c r="V3141" s="22"/>
      <c r="W3141" s="97"/>
    </row>
    <row r="3142" spans="22:23">
      <c r="V3142" s="22"/>
      <c r="W3142" s="97"/>
    </row>
    <row r="3143" spans="22:23">
      <c r="V3143" s="22"/>
      <c r="W3143" s="97"/>
    </row>
    <row r="3144" spans="22:23">
      <c r="V3144" s="22"/>
      <c r="W3144" s="97"/>
    </row>
    <row r="3145" spans="22:23">
      <c r="V3145" s="22"/>
      <c r="W3145" s="97"/>
    </row>
    <row r="3146" spans="22:23">
      <c r="V3146" s="22"/>
      <c r="W3146" s="97"/>
    </row>
    <row r="3147" spans="22:23">
      <c r="V3147" s="22"/>
      <c r="W3147" s="97"/>
    </row>
    <row r="3148" spans="22:23">
      <c r="V3148" s="22"/>
      <c r="W3148" s="97"/>
    </row>
    <row r="3149" spans="22:23">
      <c r="V3149" s="22"/>
      <c r="W3149" s="97"/>
    </row>
    <row r="3150" spans="22:23">
      <c r="V3150" s="22"/>
      <c r="W3150" s="97"/>
    </row>
    <row r="3151" spans="22:23">
      <c r="V3151" s="22"/>
      <c r="W3151" s="97"/>
    </row>
    <row r="3152" spans="22:23">
      <c r="V3152" s="22"/>
      <c r="W3152" s="97"/>
    </row>
    <row r="3153" spans="22:23">
      <c r="V3153" s="22"/>
      <c r="W3153" s="97"/>
    </row>
    <row r="3154" spans="22:23">
      <c r="V3154" s="22"/>
      <c r="W3154" s="97"/>
    </row>
    <row r="3155" spans="22:23">
      <c r="V3155" s="22"/>
      <c r="W3155" s="97"/>
    </row>
    <row r="3156" spans="22:23">
      <c r="V3156" s="22"/>
      <c r="W3156" s="97"/>
    </row>
    <row r="3157" spans="22:23">
      <c r="V3157" s="22"/>
      <c r="W3157" s="97"/>
    </row>
    <row r="3158" spans="22:23">
      <c r="V3158" s="22"/>
      <c r="W3158" s="97"/>
    </row>
    <row r="3159" spans="22:23">
      <c r="V3159" s="22"/>
      <c r="W3159" s="97"/>
    </row>
    <row r="3160" spans="22:23">
      <c r="V3160" s="22"/>
      <c r="W3160" s="97"/>
    </row>
    <row r="3161" spans="22:23">
      <c r="V3161" s="22"/>
      <c r="W3161" s="97"/>
    </row>
    <row r="3162" spans="22:23">
      <c r="V3162" s="22"/>
      <c r="W3162" s="97"/>
    </row>
    <row r="3163" spans="22:23">
      <c r="V3163" s="22"/>
      <c r="W3163" s="97"/>
    </row>
    <row r="3164" spans="22:23">
      <c r="V3164" s="22"/>
      <c r="W3164" s="97"/>
    </row>
    <row r="3165" spans="22:23">
      <c r="V3165" s="22"/>
      <c r="W3165" s="97"/>
    </row>
    <row r="3166" spans="22:23">
      <c r="V3166" s="22"/>
      <c r="W3166" s="97"/>
    </row>
    <row r="3167" spans="22:23">
      <c r="V3167" s="22"/>
      <c r="W3167" s="97"/>
    </row>
    <row r="3168" spans="22:23">
      <c r="V3168" s="22"/>
      <c r="W3168" s="97"/>
    </row>
    <row r="3169" spans="22:23">
      <c r="V3169" s="22"/>
      <c r="W3169" s="97"/>
    </row>
    <row r="3170" spans="22:23">
      <c r="V3170" s="22"/>
      <c r="W3170" s="97"/>
    </row>
    <row r="3171" spans="22:23">
      <c r="V3171" s="22"/>
      <c r="W3171" s="97"/>
    </row>
    <row r="3172" spans="22:23">
      <c r="V3172" s="22"/>
      <c r="W3172" s="97"/>
    </row>
    <row r="3173" spans="22:23">
      <c r="V3173" s="22"/>
      <c r="W3173" s="97"/>
    </row>
    <row r="3174" spans="22:23">
      <c r="V3174" s="22"/>
      <c r="W3174" s="97"/>
    </row>
    <row r="3175" spans="22:23">
      <c r="V3175" s="22"/>
      <c r="W3175" s="97"/>
    </row>
    <row r="3176" spans="22:23">
      <c r="V3176" s="22"/>
      <c r="W3176" s="97"/>
    </row>
    <row r="3177" spans="22:23">
      <c r="V3177" s="22"/>
      <c r="W3177" s="97"/>
    </row>
    <row r="3178" spans="22:23">
      <c r="V3178" s="22"/>
      <c r="W3178" s="97"/>
    </row>
    <row r="3179" spans="22:23">
      <c r="V3179" s="22"/>
      <c r="W3179" s="97"/>
    </row>
    <row r="3180" spans="22:23">
      <c r="V3180" s="22"/>
      <c r="W3180" s="97"/>
    </row>
    <row r="3181" spans="22:23">
      <c r="V3181" s="22"/>
      <c r="W3181" s="97"/>
    </row>
    <row r="3182" spans="22:23">
      <c r="V3182" s="22"/>
      <c r="W3182" s="97"/>
    </row>
    <row r="3183" spans="22:23">
      <c r="V3183" s="22"/>
      <c r="W3183" s="97"/>
    </row>
    <row r="3184" spans="22:23">
      <c r="V3184" s="22"/>
      <c r="W3184" s="97"/>
    </row>
    <row r="3185" spans="22:23">
      <c r="V3185" s="22"/>
      <c r="W3185" s="97"/>
    </row>
    <row r="3186" spans="22:23">
      <c r="V3186" s="22"/>
      <c r="W3186" s="97"/>
    </row>
    <row r="3187" spans="22:23">
      <c r="V3187" s="22"/>
      <c r="W3187" s="97"/>
    </row>
    <row r="3188" spans="22:23">
      <c r="V3188" s="22"/>
      <c r="W3188" s="97"/>
    </row>
    <row r="3189" spans="22:23">
      <c r="V3189" s="22"/>
      <c r="W3189" s="97"/>
    </row>
    <row r="3190" spans="22:23">
      <c r="V3190" s="22"/>
      <c r="W3190" s="97"/>
    </row>
    <row r="3191" spans="22:23">
      <c r="V3191" s="22"/>
      <c r="W3191" s="97"/>
    </row>
    <row r="3192" spans="22:23">
      <c r="V3192" s="22"/>
      <c r="W3192" s="97"/>
    </row>
    <row r="3193" spans="22:23">
      <c r="V3193" s="22"/>
      <c r="W3193" s="97"/>
    </row>
    <row r="3194" spans="22:23">
      <c r="V3194" s="22"/>
      <c r="W3194" s="97"/>
    </row>
    <row r="3195" spans="22:23">
      <c r="V3195" s="22"/>
      <c r="W3195" s="97"/>
    </row>
    <row r="3196" spans="22:23">
      <c r="V3196" s="22"/>
      <c r="W3196" s="97"/>
    </row>
    <row r="3197" spans="22:23">
      <c r="V3197" s="22"/>
      <c r="W3197" s="97"/>
    </row>
    <row r="3198" spans="22:23">
      <c r="V3198" s="22"/>
      <c r="W3198" s="97"/>
    </row>
    <row r="3199" spans="22:23">
      <c r="V3199" s="22"/>
      <c r="W3199" s="97"/>
    </row>
    <row r="3200" spans="22:23">
      <c r="V3200" s="22"/>
      <c r="W3200" s="97"/>
    </row>
    <row r="3201" spans="22:23">
      <c r="V3201" s="22"/>
      <c r="W3201" s="97"/>
    </row>
    <row r="3202" spans="22:23">
      <c r="V3202" s="22"/>
      <c r="W3202" s="97"/>
    </row>
    <row r="3203" spans="22:23">
      <c r="V3203" s="22"/>
      <c r="W3203" s="97"/>
    </row>
    <row r="3204" spans="22:23">
      <c r="V3204" s="22"/>
      <c r="W3204" s="97"/>
    </row>
    <row r="3205" spans="22:23">
      <c r="V3205" s="22"/>
      <c r="W3205" s="97"/>
    </row>
    <row r="3206" spans="22:23">
      <c r="V3206" s="22"/>
      <c r="W3206" s="97"/>
    </row>
    <row r="3207" spans="22:23">
      <c r="V3207" s="22"/>
      <c r="W3207" s="97"/>
    </row>
    <row r="3208" spans="22:23">
      <c r="V3208" s="22"/>
      <c r="W3208" s="97"/>
    </row>
    <row r="3209" spans="22:23">
      <c r="V3209" s="22"/>
      <c r="W3209" s="97"/>
    </row>
    <row r="3210" spans="22:23">
      <c r="V3210" s="22"/>
      <c r="W3210" s="97"/>
    </row>
    <row r="3211" spans="22:23">
      <c r="V3211" s="22"/>
      <c r="W3211" s="97"/>
    </row>
    <row r="3212" spans="22:23">
      <c r="V3212" s="22"/>
      <c r="W3212" s="97"/>
    </row>
    <row r="3213" spans="22:23">
      <c r="V3213" s="22"/>
      <c r="W3213" s="97"/>
    </row>
    <row r="3214" spans="22:23">
      <c r="V3214" s="22"/>
      <c r="W3214" s="97"/>
    </row>
    <row r="3215" spans="22:23">
      <c r="V3215" s="22"/>
      <c r="W3215" s="97"/>
    </row>
    <row r="3216" spans="22:23">
      <c r="V3216" s="22"/>
      <c r="W3216" s="97"/>
    </row>
    <row r="3217" spans="22:23">
      <c r="V3217" s="22"/>
      <c r="W3217" s="97"/>
    </row>
    <row r="3218" spans="22:23">
      <c r="V3218" s="22"/>
      <c r="W3218" s="97"/>
    </row>
    <row r="3219" spans="22:23">
      <c r="V3219" s="22"/>
      <c r="W3219" s="97"/>
    </row>
    <row r="3220" spans="22:23">
      <c r="V3220" s="22"/>
      <c r="W3220" s="97"/>
    </row>
    <row r="3221" spans="22:23">
      <c r="V3221" s="22"/>
      <c r="W3221" s="97"/>
    </row>
    <row r="3222" spans="22:23">
      <c r="V3222" s="22"/>
      <c r="W3222" s="97"/>
    </row>
    <row r="3223" spans="22:23">
      <c r="V3223" s="22"/>
      <c r="W3223" s="97"/>
    </row>
    <row r="3224" spans="22:23">
      <c r="V3224" s="22"/>
      <c r="W3224" s="97"/>
    </row>
    <row r="3225" spans="22:23">
      <c r="V3225" s="22"/>
      <c r="W3225" s="97"/>
    </row>
    <row r="3226" spans="22:23">
      <c r="V3226" s="22"/>
      <c r="W3226" s="97"/>
    </row>
    <row r="3227" spans="22:23">
      <c r="V3227" s="22"/>
      <c r="W3227" s="97"/>
    </row>
    <row r="3228" spans="22:23">
      <c r="V3228" s="22"/>
      <c r="W3228" s="97"/>
    </row>
    <row r="3229" spans="22:23">
      <c r="V3229" s="22"/>
      <c r="W3229" s="97"/>
    </row>
    <row r="3230" spans="22:23">
      <c r="V3230" s="22"/>
      <c r="W3230" s="97"/>
    </row>
    <row r="3231" spans="22:23">
      <c r="V3231" s="22"/>
      <c r="W3231" s="97"/>
    </row>
    <row r="3232" spans="22:23">
      <c r="V3232" s="22"/>
      <c r="W3232" s="97"/>
    </row>
    <row r="3233" spans="22:23">
      <c r="V3233" s="22"/>
      <c r="W3233" s="97"/>
    </row>
    <row r="3234" spans="22:23">
      <c r="V3234" s="22"/>
      <c r="W3234" s="97"/>
    </row>
    <row r="3235" spans="22:23">
      <c r="V3235" s="22"/>
      <c r="W3235" s="97"/>
    </row>
    <row r="3236" spans="22:23">
      <c r="V3236" s="22"/>
      <c r="W3236" s="97"/>
    </row>
    <row r="3237" spans="22:23">
      <c r="V3237" s="22"/>
      <c r="W3237" s="97"/>
    </row>
    <row r="3238" spans="22:23">
      <c r="V3238" s="22"/>
      <c r="W3238" s="97"/>
    </row>
    <row r="3239" spans="22:23">
      <c r="V3239" s="22"/>
      <c r="W3239" s="97"/>
    </row>
    <row r="3240" spans="22:23">
      <c r="V3240" s="22"/>
      <c r="W3240" s="97"/>
    </row>
    <row r="3241" spans="22:23">
      <c r="V3241" s="22"/>
      <c r="W3241" s="97"/>
    </row>
    <row r="3242" spans="22:23">
      <c r="V3242" s="22"/>
      <c r="W3242" s="97"/>
    </row>
    <row r="3243" spans="22:23">
      <c r="V3243" s="22"/>
      <c r="W3243" s="97"/>
    </row>
    <row r="3244" spans="22:23">
      <c r="V3244" s="22"/>
      <c r="W3244" s="97"/>
    </row>
    <row r="3245" spans="22:23">
      <c r="V3245" s="22"/>
      <c r="W3245" s="97"/>
    </row>
    <row r="3246" spans="22:23">
      <c r="V3246" s="22"/>
      <c r="W3246" s="97"/>
    </row>
    <row r="3247" spans="22:23">
      <c r="V3247" s="22"/>
      <c r="W3247" s="97"/>
    </row>
    <row r="3248" spans="22:23">
      <c r="V3248" s="22"/>
      <c r="W3248" s="97"/>
    </row>
    <row r="3249" spans="22:23">
      <c r="V3249" s="22"/>
      <c r="W3249" s="97"/>
    </row>
    <row r="3250" spans="22:23">
      <c r="V3250" s="22"/>
      <c r="W3250" s="97"/>
    </row>
    <row r="3251" spans="22:23">
      <c r="V3251" s="22"/>
      <c r="W3251" s="97"/>
    </row>
    <row r="3252" spans="22:23">
      <c r="V3252" s="22"/>
      <c r="W3252" s="97"/>
    </row>
    <row r="3253" spans="22:23">
      <c r="V3253" s="22"/>
      <c r="W3253" s="97"/>
    </row>
    <row r="3254" spans="22:23">
      <c r="V3254" s="22"/>
      <c r="W3254" s="97"/>
    </row>
    <row r="3255" spans="22:23">
      <c r="V3255" s="22"/>
      <c r="W3255" s="97"/>
    </row>
    <row r="3256" spans="22:23">
      <c r="V3256" s="22"/>
      <c r="W3256" s="97"/>
    </row>
    <row r="3257" spans="22:23">
      <c r="V3257" s="22"/>
      <c r="W3257" s="97"/>
    </row>
    <row r="3258" spans="22:23">
      <c r="V3258" s="22"/>
      <c r="W3258" s="97"/>
    </row>
    <row r="3259" spans="22:23">
      <c r="V3259" s="22"/>
      <c r="W3259" s="97"/>
    </row>
    <row r="3260" spans="22:23">
      <c r="V3260" s="22"/>
      <c r="W3260" s="97"/>
    </row>
    <row r="3261" spans="22:23">
      <c r="V3261" s="22"/>
      <c r="W3261" s="97"/>
    </row>
    <row r="3262" spans="22:23">
      <c r="V3262" s="22"/>
      <c r="W3262" s="97"/>
    </row>
    <row r="3263" spans="22:23">
      <c r="V3263" s="22"/>
      <c r="W3263" s="97"/>
    </row>
    <row r="3264" spans="22:23">
      <c r="V3264" s="22"/>
      <c r="W3264" s="97"/>
    </row>
    <row r="3265" spans="22:23">
      <c r="V3265" s="22"/>
      <c r="W3265" s="97"/>
    </row>
    <row r="3266" spans="22:23">
      <c r="V3266" s="22"/>
      <c r="W3266" s="97"/>
    </row>
    <row r="3267" spans="22:23">
      <c r="V3267" s="22"/>
      <c r="W3267" s="97"/>
    </row>
    <row r="3268" spans="22:23">
      <c r="V3268" s="22"/>
      <c r="W3268" s="97"/>
    </row>
    <row r="3269" spans="22:23">
      <c r="V3269" s="22"/>
      <c r="W3269" s="97"/>
    </row>
    <row r="3270" spans="22:23">
      <c r="V3270" s="22"/>
      <c r="W3270" s="97"/>
    </row>
    <row r="3271" spans="22:23">
      <c r="V3271" s="22"/>
      <c r="W3271" s="97"/>
    </row>
    <row r="3272" spans="22:23">
      <c r="V3272" s="22"/>
      <c r="W3272" s="97"/>
    </row>
    <row r="3273" spans="22:23">
      <c r="V3273" s="22"/>
      <c r="W3273" s="97"/>
    </row>
    <row r="3274" spans="22:23">
      <c r="V3274" s="22"/>
      <c r="W3274" s="97"/>
    </row>
    <row r="3275" spans="22:23">
      <c r="V3275" s="22"/>
      <c r="W3275" s="97"/>
    </row>
    <row r="3276" spans="22:23">
      <c r="V3276" s="22"/>
      <c r="W3276" s="97"/>
    </row>
    <row r="3277" spans="22:23">
      <c r="V3277" s="22"/>
      <c r="W3277" s="97"/>
    </row>
    <row r="3278" spans="22:23">
      <c r="V3278" s="22"/>
      <c r="W3278" s="97"/>
    </row>
    <row r="3279" spans="22:23">
      <c r="V3279" s="22"/>
      <c r="W3279" s="97"/>
    </row>
    <row r="3280" spans="22:23">
      <c r="V3280" s="22"/>
      <c r="W3280" s="97"/>
    </row>
    <row r="3281" spans="22:23">
      <c r="V3281" s="22"/>
      <c r="W3281" s="97"/>
    </row>
    <row r="3282" spans="22:23">
      <c r="V3282" s="22"/>
      <c r="W3282" s="97"/>
    </row>
    <row r="3283" spans="22:23">
      <c r="V3283" s="22"/>
      <c r="W3283" s="97"/>
    </row>
    <row r="3284" spans="22:23">
      <c r="V3284" s="22"/>
      <c r="W3284" s="97"/>
    </row>
    <row r="3285" spans="22:23">
      <c r="V3285" s="22"/>
      <c r="W3285" s="97"/>
    </row>
    <row r="3286" spans="22:23">
      <c r="V3286" s="22"/>
      <c r="W3286" s="97"/>
    </row>
    <row r="3287" spans="22:23">
      <c r="V3287" s="22"/>
      <c r="W3287" s="97"/>
    </row>
    <row r="3288" spans="22:23">
      <c r="V3288" s="22"/>
      <c r="W3288" s="97"/>
    </row>
    <row r="3289" spans="22:23">
      <c r="V3289" s="22"/>
      <c r="W3289" s="97"/>
    </row>
    <row r="3290" spans="22:23">
      <c r="V3290" s="22"/>
      <c r="W3290" s="97"/>
    </row>
    <row r="3291" spans="22:23">
      <c r="V3291" s="22"/>
      <c r="W3291" s="97"/>
    </row>
    <row r="3292" spans="22:23">
      <c r="V3292" s="22"/>
      <c r="W3292" s="97"/>
    </row>
    <row r="3293" spans="22:23">
      <c r="V3293" s="22"/>
      <c r="W3293" s="97"/>
    </row>
    <row r="3294" spans="22:23">
      <c r="V3294" s="22"/>
      <c r="W3294" s="97"/>
    </row>
    <row r="3295" spans="22:23">
      <c r="V3295" s="22"/>
      <c r="W3295" s="97"/>
    </row>
    <row r="3296" spans="22:23">
      <c r="V3296" s="22"/>
      <c r="W3296" s="97"/>
    </row>
    <row r="3297" spans="22:23">
      <c r="V3297" s="22"/>
      <c r="W3297" s="97"/>
    </row>
    <row r="3298" spans="22:23">
      <c r="V3298" s="22"/>
      <c r="W3298" s="97"/>
    </row>
    <row r="3299" spans="22:23">
      <c r="V3299" s="22"/>
      <c r="W3299" s="97"/>
    </row>
    <row r="3300" spans="22:23">
      <c r="V3300" s="22"/>
      <c r="W3300" s="97"/>
    </row>
    <row r="3301" spans="22:23">
      <c r="V3301" s="22"/>
      <c r="W3301" s="97"/>
    </row>
    <row r="3302" spans="22:23">
      <c r="V3302" s="22"/>
      <c r="W3302" s="97"/>
    </row>
    <row r="3303" spans="22:23">
      <c r="V3303" s="22"/>
      <c r="W3303" s="97"/>
    </row>
    <row r="3304" spans="22:23">
      <c r="V3304" s="22"/>
      <c r="W3304" s="97"/>
    </row>
    <row r="3305" spans="22:23">
      <c r="V3305" s="22"/>
      <c r="W3305" s="97"/>
    </row>
    <row r="3306" spans="22:23">
      <c r="V3306" s="22"/>
      <c r="W3306" s="97"/>
    </row>
    <row r="3307" spans="22:23">
      <c r="V3307" s="22"/>
      <c r="W3307" s="97"/>
    </row>
    <row r="3308" spans="22:23">
      <c r="V3308" s="22"/>
      <c r="W3308" s="97"/>
    </row>
    <row r="3309" spans="22:23">
      <c r="V3309" s="22"/>
      <c r="W3309" s="97"/>
    </row>
    <row r="3310" spans="22:23">
      <c r="V3310" s="22"/>
      <c r="W3310" s="97"/>
    </row>
    <row r="3311" spans="22:23">
      <c r="V3311" s="22"/>
      <c r="W3311" s="97"/>
    </row>
    <row r="3312" spans="22:23">
      <c r="V3312" s="22"/>
      <c r="W3312" s="97"/>
    </row>
    <row r="3313" spans="22:23">
      <c r="V3313" s="22"/>
      <c r="W3313" s="97"/>
    </row>
    <row r="3314" spans="22:23">
      <c r="V3314" s="22"/>
      <c r="W3314" s="97"/>
    </row>
    <row r="3315" spans="22:23">
      <c r="V3315" s="22"/>
      <c r="W3315" s="97"/>
    </row>
    <row r="3316" spans="22:23">
      <c r="V3316" s="22"/>
      <c r="W3316" s="97"/>
    </row>
    <row r="3317" spans="22:23">
      <c r="V3317" s="22"/>
      <c r="W3317" s="97"/>
    </row>
    <row r="3318" spans="22:23">
      <c r="V3318" s="22"/>
      <c r="W3318" s="97"/>
    </row>
    <row r="3319" spans="22:23">
      <c r="V3319" s="22"/>
      <c r="W3319" s="97"/>
    </row>
    <row r="3320" spans="22:23">
      <c r="V3320" s="22"/>
      <c r="W3320" s="97"/>
    </row>
    <row r="3321" spans="22:23">
      <c r="V3321" s="22"/>
      <c r="W3321" s="97"/>
    </row>
    <row r="3322" spans="22:23">
      <c r="V3322" s="22"/>
      <c r="W3322" s="97"/>
    </row>
    <row r="3323" spans="22:23">
      <c r="V3323" s="22"/>
      <c r="W3323" s="97"/>
    </row>
    <row r="3324" spans="22:23">
      <c r="V3324" s="22"/>
      <c r="W3324" s="97"/>
    </row>
    <row r="3325" spans="22:23">
      <c r="V3325" s="22"/>
      <c r="W3325" s="97"/>
    </row>
    <row r="3326" spans="22:23">
      <c r="V3326" s="22"/>
      <c r="W3326" s="97"/>
    </row>
    <row r="3327" spans="22:23">
      <c r="V3327" s="22"/>
      <c r="W3327" s="97"/>
    </row>
    <row r="3328" spans="22:23">
      <c r="V3328" s="22"/>
      <c r="W3328" s="97"/>
    </row>
    <row r="3329" spans="22:23">
      <c r="V3329" s="22"/>
      <c r="W3329" s="97"/>
    </row>
    <row r="3330" spans="22:23">
      <c r="V3330" s="22"/>
      <c r="W3330" s="97"/>
    </row>
    <row r="3331" spans="22:23">
      <c r="V3331" s="22"/>
      <c r="W3331" s="97"/>
    </row>
    <row r="3332" spans="22:23">
      <c r="V3332" s="22"/>
      <c r="W3332" s="97"/>
    </row>
    <row r="3333" spans="22:23">
      <c r="V3333" s="22"/>
      <c r="W3333" s="97"/>
    </row>
    <row r="3334" spans="22:23">
      <c r="V3334" s="22"/>
      <c r="W3334" s="97"/>
    </row>
    <row r="3335" spans="22:23">
      <c r="V3335" s="22"/>
      <c r="W3335" s="97"/>
    </row>
    <row r="3336" spans="22:23">
      <c r="V3336" s="22"/>
      <c r="W3336" s="97"/>
    </row>
    <row r="3337" spans="22:23">
      <c r="V3337" s="22"/>
      <c r="W3337" s="97"/>
    </row>
    <row r="3338" spans="22:23">
      <c r="V3338" s="22"/>
      <c r="W3338" s="97"/>
    </row>
    <row r="3339" spans="22:23">
      <c r="V3339" s="22"/>
      <c r="W3339" s="97"/>
    </row>
    <row r="3340" spans="22:23">
      <c r="V3340" s="22"/>
      <c r="W3340" s="97"/>
    </row>
    <row r="3341" spans="22:23">
      <c r="V3341" s="22"/>
      <c r="W3341" s="97"/>
    </row>
    <row r="3342" spans="22:23">
      <c r="V3342" s="22"/>
      <c r="W3342" s="97"/>
    </row>
    <row r="3343" spans="22:23">
      <c r="V3343" s="22"/>
      <c r="W3343" s="97"/>
    </row>
    <row r="3344" spans="22:23">
      <c r="V3344" s="22"/>
      <c r="W3344" s="97"/>
    </row>
    <row r="3345" spans="22:23">
      <c r="V3345" s="22"/>
      <c r="W3345" s="97"/>
    </row>
    <row r="3346" spans="22:23">
      <c r="V3346" s="22"/>
      <c r="W3346" s="97"/>
    </row>
    <row r="3347" spans="22:23">
      <c r="V3347" s="22"/>
      <c r="W3347" s="97"/>
    </row>
    <row r="3348" spans="22:23">
      <c r="V3348" s="22"/>
      <c r="W3348" s="97"/>
    </row>
    <row r="3349" spans="22:23">
      <c r="V3349" s="22"/>
      <c r="W3349" s="97"/>
    </row>
    <row r="3350" spans="22:23">
      <c r="V3350" s="22"/>
      <c r="W3350" s="97"/>
    </row>
    <row r="3351" spans="22:23">
      <c r="V3351" s="22"/>
      <c r="W3351" s="97"/>
    </row>
    <row r="3352" spans="22:23">
      <c r="V3352" s="22"/>
      <c r="W3352" s="97"/>
    </row>
    <row r="3353" spans="22:23">
      <c r="V3353" s="22"/>
      <c r="W3353" s="97"/>
    </row>
    <row r="3354" spans="22:23">
      <c r="V3354" s="22"/>
      <c r="W3354" s="97"/>
    </row>
    <row r="3355" spans="22:23">
      <c r="V3355" s="22"/>
      <c r="W3355" s="97"/>
    </row>
    <row r="3356" spans="22:23">
      <c r="V3356" s="22"/>
      <c r="W3356" s="97"/>
    </row>
    <row r="3357" spans="22:23">
      <c r="V3357" s="22"/>
      <c r="W3357" s="97"/>
    </row>
    <row r="3358" spans="22:23">
      <c r="V3358" s="22"/>
      <c r="W3358" s="97"/>
    </row>
    <row r="3359" spans="22:23">
      <c r="V3359" s="22"/>
      <c r="W3359" s="97"/>
    </row>
    <row r="3360" spans="22:23">
      <c r="V3360" s="22"/>
      <c r="W3360" s="97"/>
    </row>
    <row r="3361" spans="22:23">
      <c r="V3361" s="22"/>
      <c r="W3361" s="97"/>
    </row>
    <row r="3362" spans="22:23">
      <c r="V3362" s="22"/>
      <c r="W3362" s="97"/>
    </row>
    <row r="3363" spans="22:23">
      <c r="V3363" s="22"/>
      <c r="W3363" s="97"/>
    </row>
    <row r="3364" spans="22:23">
      <c r="V3364" s="22"/>
      <c r="W3364" s="97"/>
    </row>
    <row r="3365" spans="22:23">
      <c r="V3365" s="22"/>
      <c r="W3365" s="97"/>
    </row>
    <row r="3366" spans="22:23">
      <c r="V3366" s="22"/>
      <c r="W3366" s="97"/>
    </row>
    <row r="3367" spans="22:23">
      <c r="V3367" s="22"/>
      <c r="W3367" s="97"/>
    </row>
    <row r="3368" spans="22:23">
      <c r="V3368" s="22"/>
      <c r="W3368" s="97"/>
    </row>
    <row r="3369" spans="22:23">
      <c r="V3369" s="22"/>
      <c r="W3369" s="97"/>
    </row>
    <row r="3370" spans="22:23">
      <c r="V3370" s="22"/>
      <c r="W3370" s="97"/>
    </row>
    <row r="3371" spans="22:23">
      <c r="V3371" s="22"/>
      <c r="W3371" s="97"/>
    </row>
    <row r="3372" spans="22:23">
      <c r="V3372" s="22"/>
      <c r="W3372" s="97"/>
    </row>
    <row r="3373" spans="22:23">
      <c r="V3373" s="22"/>
      <c r="W3373" s="97"/>
    </row>
    <row r="3374" spans="22:23">
      <c r="V3374" s="22"/>
      <c r="W3374" s="97"/>
    </row>
    <row r="3375" spans="22:23">
      <c r="V3375" s="22"/>
      <c r="W3375" s="97"/>
    </row>
    <row r="3376" spans="22:23">
      <c r="V3376" s="22"/>
      <c r="W3376" s="97"/>
    </row>
    <row r="3377" spans="22:23">
      <c r="V3377" s="22"/>
      <c r="W3377" s="97"/>
    </row>
    <row r="3378" spans="22:23">
      <c r="V3378" s="22"/>
      <c r="W3378" s="97"/>
    </row>
    <row r="3379" spans="22:23">
      <c r="V3379" s="22"/>
      <c r="W3379" s="97"/>
    </row>
    <row r="3380" spans="22:23">
      <c r="V3380" s="22"/>
      <c r="W3380" s="97"/>
    </row>
    <row r="3381" spans="22:23">
      <c r="V3381" s="22"/>
      <c r="W3381" s="97"/>
    </row>
    <row r="3382" spans="22:23">
      <c r="V3382" s="22"/>
      <c r="W3382" s="97"/>
    </row>
    <row r="3383" spans="22:23">
      <c r="V3383" s="22"/>
      <c r="W3383" s="97"/>
    </row>
    <row r="3384" spans="22:23">
      <c r="V3384" s="22"/>
      <c r="W3384" s="97"/>
    </row>
    <row r="3385" spans="22:23">
      <c r="V3385" s="22"/>
      <c r="W3385" s="97"/>
    </row>
    <row r="3386" spans="22:23">
      <c r="V3386" s="22"/>
      <c r="W3386" s="97"/>
    </row>
    <row r="3387" spans="22:23">
      <c r="V3387" s="22"/>
      <c r="W3387" s="97"/>
    </row>
    <row r="3388" spans="22:23">
      <c r="V3388" s="22"/>
      <c r="W3388" s="97"/>
    </row>
    <row r="3389" spans="22:23">
      <c r="V3389" s="22"/>
      <c r="W3389" s="97"/>
    </row>
    <row r="3390" spans="22:23">
      <c r="V3390" s="22"/>
      <c r="W3390" s="97"/>
    </row>
    <row r="3391" spans="22:23">
      <c r="V3391" s="22"/>
      <c r="W3391" s="97"/>
    </row>
    <row r="3392" spans="22:23">
      <c r="V3392" s="22"/>
      <c r="W3392" s="97"/>
    </row>
    <row r="3393" spans="22:23">
      <c r="V3393" s="22"/>
      <c r="W3393" s="97"/>
    </row>
    <row r="3394" spans="22:23">
      <c r="V3394" s="22"/>
      <c r="W3394" s="97"/>
    </row>
    <row r="3395" spans="22:23">
      <c r="V3395" s="22"/>
      <c r="W3395" s="97"/>
    </row>
    <row r="3396" spans="22:23">
      <c r="V3396" s="22"/>
      <c r="W3396" s="97"/>
    </row>
    <row r="3397" spans="22:23">
      <c r="V3397" s="22"/>
      <c r="W3397" s="97"/>
    </row>
    <row r="3398" spans="22:23">
      <c r="V3398" s="22"/>
      <c r="W3398" s="97"/>
    </row>
    <row r="3399" spans="22:23">
      <c r="V3399" s="22"/>
      <c r="W3399" s="97"/>
    </row>
    <row r="3400" spans="22:23">
      <c r="V3400" s="22"/>
      <c r="W3400" s="97"/>
    </row>
    <row r="3401" spans="22:23">
      <c r="V3401" s="22"/>
      <c r="W3401" s="97"/>
    </row>
    <row r="3402" spans="22:23">
      <c r="V3402" s="22"/>
      <c r="W3402" s="97"/>
    </row>
    <row r="3403" spans="22:23">
      <c r="V3403" s="22"/>
      <c r="W3403" s="97"/>
    </row>
    <row r="3404" spans="22:23">
      <c r="V3404" s="22"/>
      <c r="W3404" s="97"/>
    </row>
    <row r="3405" spans="22:23">
      <c r="V3405" s="22"/>
      <c r="W3405" s="97"/>
    </row>
    <row r="3406" spans="22:23">
      <c r="V3406" s="22"/>
      <c r="W3406" s="97"/>
    </row>
    <row r="3407" spans="22:23">
      <c r="V3407" s="22"/>
      <c r="W3407" s="97"/>
    </row>
    <row r="3408" spans="22:23">
      <c r="V3408" s="22"/>
      <c r="W3408" s="97"/>
    </row>
    <row r="3409" spans="22:23">
      <c r="V3409" s="22"/>
      <c r="W3409" s="97"/>
    </row>
    <row r="3410" spans="22:23">
      <c r="V3410" s="22"/>
      <c r="W3410" s="97"/>
    </row>
    <row r="3411" spans="22:23">
      <c r="V3411" s="22"/>
      <c r="W3411" s="97"/>
    </row>
    <row r="3412" spans="22:23">
      <c r="V3412" s="22"/>
      <c r="W3412" s="97"/>
    </row>
    <row r="3413" spans="22:23">
      <c r="V3413" s="22"/>
      <c r="W3413" s="97"/>
    </row>
    <row r="3414" spans="22:23">
      <c r="V3414" s="22"/>
      <c r="W3414" s="97"/>
    </row>
    <row r="3415" spans="22:23">
      <c r="V3415" s="22"/>
      <c r="W3415" s="97"/>
    </row>
    <row r="3416" spans="22:23">
      <c r="V3416" s="22"/>
      <c r="W3416" s="97"/>
    </row>
    <row r="3417" spans="22:23">
      <c r="V3417" s="22"/>
      <c r="W3417" s="97"/>
    </row>
    <row r="3418" spans="22:23">
      <c r="V3418" s="22"/>
      <c r="W3418" s="97"/>
    </row>
    <row r="3419" spans="22:23">
      <c r="V3419" s="22"/>
      <c r="W3419" s="97"/>
    </row>
    <row r="3420" spans="22:23">
      <c r="V3420" s="22"/>
      <c r="W3420" s="97"/>
    </row>
    <row r="3421" spans="22:23">
      <c r="V3421" s="22"/>
      <c r="W3421" s="97"/>
    </row>
    <row r="3422" spans="22:23">
      <c r="V3422" s="22"/>
      <c r="W3422" s="97"/>
    </row>
    <row r="3423" spans="22:23">
      <c r="V3423" s="22"/>
      <c r="W3423" s="97"/>
    </row>
    <row r="3424" spans="22:23">
      <c r="V3424" s="22"/>
      <c r="W3424" s="97"/>
    </row>
    <row r="3425" spans="22:23">
      <c r="V3425" s="22"/>
      <c r="W3425" s="97"/>
    </row>
    <row r="3426" spans="22:23">
      <c r="V3426" s="22"/>
      <c r="W3426" s="97"/>
    </row>
    <row r="3427" spans="22:23">
      <c r="V3427" s="22"/>
      <c r="W3427" s="97"/>
    </row>
    <row r="3428" spans="22:23">
      <c r="V3428" s="22"/>
      <c r="W3428" s="97"/>
    </row>
    <row r="3429" spans="22:23">
      <c r="V3429" s="22"/>
      <c r="W3429" s="97"/>
    </row>
    <row r="3430" spans="22:23">
      <c r="V3430" s="22"/>
      <c r="W3430" s="97"/>
    </row>
    <row r="3431" spans="22:23">
      <c r="V3431" s="22"/>
      <c r="W3431" s="97"/>
    </row>
    <row r="3432" spans="22:23">
      <c r="V3432" s="22"/>
      <c r="W3432" s="97"/>
    </row>
    <row r="3433" spans="22:23">
      <c r="V3433" s="22"/>
      <c r="W3433" s="97"/>
    </row>
    <row r="3434" spans="22:23">
      <c r="V3434" s="22"/>
      <c r="W3434" s="97"/>
    </row>
    <row r="3435" spans="22:23">
      <c r="V3435" s="22"/>
      <c r="W3435" s="97"/>
    </row>
    <row r="3436" spans="22:23">
      <c r="V3436" s="22"/>
      <c r="W3436" s="97"/>
    </row>
    <row r="3437" spans="22:23">
      <c r="V3437" s="22"/>
      <c r="W3437" s="97"/>
    </row>
    <row r="3438" spans="22:23">
      <c r="V3438" s="22"/>
      <c r="W3438" s="97"/>
    </row>
    <row r="3439" spans="22:23">
      <c r="V3439" s="22"/>
      <c r="W3439" s="97"/>
    </row>
    <row r="3440" spans="22:23">
      <c r="V3440" s="22"/>
      <c r="W3440" s="97"/>
    </row>
    <row r="3441" spans="22:23">
      <c r="V3441" s="22"/>
      <c r="W3441" s="97"/>
    </row>
    <row r="3442" spans="22:23">
      <c r="V3442" s="22"/>
      <c r="W3442" s="97"/>
    </row>
    <row r="3443" spans="22:23">
      <c r="V3443" s="22"/>
      <c r="W3443" s="97"/>
    </row>
    <row r="3444" spans="22:23">
      <c r="V3444" s="22"/>
      <c r="W3444" s="97"/>
    </row>
    <row r="3445" spans="22:23">
      <c r="V3445" s="22"/>
      <c r="W3445" s="97"/>
    </row>
    <row r="3446" spans="22:23">
      <c r="V3446" s="22"/>
      <c r="W3446" s="97"/>
    </row>
    <row r="3447" spans="22:23">
      <c r="V3447" s="22"/>
      <c r="W3447" s="97"/>
    </row>
    <row r="3448" spans="22:23">
      <c r="V3448" s="22"/>
      <c r="W3448" s="97"/>
    </row>
    <row r="3449" spans="22:23">
      <c r="V3449" s="22"/>
      <c r="W3449" s="97"/>
    </row>
    <row r="3450" spans="22:23">
      <c r="V3450" s="22"/>
      <c r="W3450" s="97"/>
    </row>
    <row r="3451" spans="22:23">
      <c r="V3451" s="22"/>
      <c r="W3451" s="97"/>
    </row>
    <row r="3452" spans="22:23">
      <c r="V3452" s="22"/>
      <c r="W3452" s="97"/>
    </row>
    <row r="3453" spans="22:23">
      <c r="V3453" s="22"/>
      <c r="W3453" s="97"/>
    </row>
    <row r="3454" spans="22:23">
      <c r="V3454" s="22"/>
      <c r="W3454" s="97"/>
    </row>
    <row r="3455" spans="22:23">
      <c r="V3455" s="22"/>
      <c r="W3455" s="97"/>
    </row>
    <row r="3456" spans="22:23">
      <c r="V3456" s="22"/>
      <c r="W3456" s="97"/>
    </row>
    <row r="3457" spans="22:23">
      <c r="V3457" s="22"/>
      <c r="W3457" s="97"/>
    </row>
    <row r="3458" spans="22:23">
      <c r="V3458" s="22"/>
      <c r="W3458" s="97"/>
    </row>
    <row r="3459" spans="22:23">
      <c r="V3459" s="22"/>
      <c r="W3459" s="97"/>
    </row>
    <row r="3460" spans="22:23">
      <c r="V3460" s="22"/>
      <c r="W3460" s="97"/>
    </row>
    <row r="3461" spans="22:23">
      <c r="V3461" s="22"/>
      <c r="W3461" s="97"/>
    </row>
    <row r="3462" spans="22:23">
      <c r="V3462" s="22"/>
      <c r="W3462" s="97"/>
    </row>
    <row r="3463" spans="22:23">
      <c r="V3463" s="22"/>
      <c r="W3463" s="97"/>
    </row>
    <row r="3464" spans="22:23">
      <c r="V3464" s="22"/>
      <c r="W3464" s="97"/>
    </row>
    <row r="3465" spans="22:23">
      <c r="V3465" s="22"/>
      <c r="W3465" s="97"/>
    </row>
    <row r="3466" spans="22:23">
      <c r="V3466" s="22"/>
      <c r="W3466" s="97"/>
    </row>
    <row r="3467" spans="22:23">
      <c r="V3467" s="22"/>
      <c r="W3467" s="97"/>
    </row>
    <row r="3468" spans="22:23">
      <c r="V3468" s="22"/>
      <c r="W3468" s="97"/>
    </row>
    <row r="3469" spans="22:23">
      <c r="V3469" s="22"/>
      <c r="W3469" s="97"/>
    </row>
    <row r="3470" spans="22:23">
      <c r="V3470" s="22"/>
      <c r="W3470" s="97"/>
    </row>
    <row r="3471" spans="22:23">
      <c r="V3471" s="22"/>
      <c r="W3471" s="97"/>
    </row>
    <row r="3472" spans="22:23">
      <c r="V3472" s="22"/>
      <c r="W3472" s="97"/>
    </row>
    <row r="3473" spans="22:23">
      <c r="V3473" s="22"/>
      <c r="W3473" s="97"/>
    </row>
    <row r="3474" spans="22:23">
      <c r="V3474" s="22"/>
      <c r="W3474" s="97"/>
    </row>
    <row r="3475" spans="22:23">
      <c r="V3475" s="22"/>
      <c r="W3475" s="97"/>
    </row>
    <row r="3476" spans="22:23">
      <c r="V3476" s="22"/>
      <c r="W3476" s="97"/>
    </row>
    <row r="3477" spans="22:23">
      <c r="V3477" s="22"/>
      <c r="W3477" s="97"/>
    </row>
    <row r="3478" spans="22:23">
      <c r="V3478" s="22"/>
      <c r="W3478" s="97"/>
    </row>
    <row r="3479" spans="22:23">
      <c r="V3479" s="22"/>
      <c r="W3479" s="97"/>
    </row>
    <row r="3480" spans="22:23">
      <c r="V3480" s="22"/>
      <c r="W3480" s="97"/>
    </row>
    <row r="3481" spans="22:23">
      <c r="V3481" s="22"/>
      <c r="W3481" s="97"/>
    </row>
    <row r="3482" spans="22:23">
      <c r="V3482" s="22"/>
      <c r="W3482" s="97"/>
    </row>
    <row r="3483" spans="22:23">
      <c r="V3483" s="22"/>
      <c r="W3483" s="97"/>
    </row>
    <row r="3484" spans="22:23">
      <c r="V3484" s="22"/>
      <c r="W3484" s="97"/>
    </row>
    <row r="3485" spans="22:23">
      <c r="V3485" s="22"/>
      <c r="W3485" s="97"/>
    </row>
    <row r="3486" spans="22:23">
      <c r="V3486" s="22"/>
      <c r="W3486" s="97"/>
    </row>
    <row r="3487" spans="22:23">
      <c r="V3487" s="22"/>
      <c r="W3487" s="97"/>
    </row>
    <row r="3488" spans="22:23">
      <c r="V3488" s="22"/>
      <c r="W3488" s="97"/>
    </row>
    <row r="3489" spans="22:23">
      <c r="V3489" s="22"/>
      <c r="W3489" s="97"/>
    </row>
    <row r="3490" spans="22:23">
      <c r="V3490" s="22"/>
      <c r="W3490" s="97"/>
    </row>
    <row r="3491" spans="22:23">
      <c r="V3491" s="22"/>
      <c r="W3491" s="97"/>
    </row>
    <row r="3492" spans="22:23">
      <c r="V3492" s="22"/>
      <c r="W3492" s="97"/>
    </row>
    <row r="3493" spans="22:23">
      <c r="V3493" s="22"/>
      <c r="W3493" s="97"/>
    </row>
    <row r="3494" spans="22:23">
      <c r="V3494" s="22"/>
      <c r="W3494" s="97"/>
    </row>
    <row r="3495" spans="22:23">
      <c r="V3495" s="22"/>
      <c r="W3495" s="97"/>
    </row>
    <row r="3496" spans="22:23">
      <c r="V3496" s="22"/>
      <c r="W3496" s="97"/>
    </row>
    <row r="3497" spans="22:23">
      <c r="V3497" s="22"/>
      <c r="W3497" s="97"/>
    </row>
    <row r="3498" spans="22:23">
      <c r="V3498" s="22"/>
      <c r="W3498" s="97"/>
    </row>
    <row r="3499" spans="22:23">
      <c r="V3499" s="22"/>
      <c r="W3499" s="97"/>
    </row>
    <row r="3500" spans="22:23">
      <c r="V3500" s="22"/>
      <c r="W3500" s="97"/>
    </row>
    <row r="3501" spans="22:23">
      <c r="V3501" s="22"/>
      <c r="W3501" s="97"/>
    </row>
    <row r="3502" spans="22:23">
      <c r="V3502" s="22"/>
      <c r="W3502" s="97"/>
    </row>
    <row r="3503" spans="22:23">
      <c r="V3503" s="22"/>
      <c r="W3503" s="97"/>
    </row>
    <row r="3504" spans="22:23">
      <c r="V3504" s="22"/>
      <c r="W3504" s="97"/>
    </row>
    <row r="3505" spans="22:23">
      <c r="V3505" s="22"/>
      <c r="W3505" s="97"/>
    </row>
    <row r="3506" spans="22:23">
      <c r="V3506" s="22"/>
      <c r="W3506" s="97"/>
    </row>
    <row r="3507" spans="22:23">
      <c r="V3507" s="22"/>
      <c r="W3507" s="97"/>
    </row>
    <row r="3508" spans="22:23">
      <c r="V3508" s="22"/>
      <c r="W3508" s="97"/>
    </row>
    <row r="3509" spans="22:23">
      <c r="V3509" s="22"/>
      <c r="W3509" s="97"/>
    </row>
    <row r="3510" spans="22:23">
      <c r="V3510" s="22"/>
      <c r="W3510" s="97"/>
    </row>
    <row r="3511" spans="22:23">
      <c r="V3511" s="22"/>
      <c r="W3511" s="97"/>
    </row>
    <row r="3512" spans="22:23">
      <c r="V3512" s="22"/>
      <c r="W3512" s="97"/>
    </row>
    <row r="3513" spans="22:23">
      <c r="V3513" s="22"/>
      <c r="W3513" s="97"/>
    </row>
    <row r="3514" spans="22:23">
      <c r="V3514" s="22"/>
      <c r="W3514" s="97"/>
    </row>
    <row r="3515" spans="22:23">
      <c r="V3515" s="22"/>
      <c r="W3515" s="97"/>
    </row>
    <row r="3516" spans="22:23">
      <c r="V3516" s="22"/>
      <c r="W3516" s="97"/>
    </row>
    <row r="3517" spans="22:23">
      <c r="V3517" s="22"/>
      <c r="W3517" s="97"/>
    </row>
    <row r="3518" spans="22:23">
      <c r="V3518" s="22"/>
      <c r="W3518" s="97"/>
    </row>
    <row r="3519" spans="22:23">
      <c r="V3519" s="22"/>
      <c r="W3519" s="97"/>
    </row>
    <row r="3520" spans="22:23">
      <c r="V3520" s="22"/>
      <c r="W3520" s="97"/>
    </row>
    <row r="3521" spans="22:23">
      <c r="V3521" s="22"/>
      <c r="W3521" s="97"/>
    </row>
    <row r="3522" spans="22:23">
      <c r="V3522" s="22"/>
      <c r="W3522" s="97"/>
    </row>
    <row r="3523" spans="22:23">
      <c r="V3523" s="22"/>
      <c r="W3523" s="97"/>
    </row>
    <row r="3524" spans="22:23">
      <c r="V3524" s="22"/>
      <c r="W3524" s="97"/>
    </row>
    <row r="3525" spans="22:23">
      <c r="V3525" s="22"/>
      <c r="W3525" s="97"/>
    </row>
    <row r="3526" spans="22:23">
      <c r="V3526" s="22"/>
      <c r="W3526" s="97"/>
    </row>
    <row r="3527" spans="22:23">
      <c r="V3527" s="22"/>
      <c r="W3527" s="97"/>
    </row>
    <row r="3528" spans="22:23">
      <c r="V3528" s="22"/>
      <c r="W3528" s="97"/>
    </row>
    <row r="3529" spans="22:23">
      <c r="V3529" s="22"/>
      <c r="W3529" s="97"/>
    </row>
    <row r="3530" spans="22:23">
      <c r="V3530" s="22"/>
      <c r="W3530" s="97"/>
    </row>
    <row r="3531" spans="22:23">
      <c r="V3531" s="22"/>
      <c r="W3531" s="97"/>
    </row>
    <row r="3532" spans="22:23">
      <c r="V3532" s="22"/>
      <c r="W3532" s="97"/>
    </row>
    <row r="3533" spans="22:23">
      <c r="V3533" s="22"/>
      <c r="W3533" s="97"/>
    </row>
    <row r="3534" spans="22:23">
      <c r="V3534" s="22"/>
      <c r="W3534" s="97"/>
    </row>
    <row r="3535" spans="22:23">
      <c r="V3535" s="22"/>
      <c r="W3535" s="97"/>
    </row>
    <row r="3536" spans="22:23">
      <c r="V3536" s="22"/>
      <c r="W3536" s="97"/>
    </row>
    <row r="3537" spans="22:23">
      <c r="V3537" s="22"/>
      <c r="W3537" s="97"/>
    </row>
    <row r="3538" spans="22:23">
      <c r="V3538" s="22"/>
      <c r="W3538" s="97"/>
    </row>
    <row r="3539" spans="22:23">
      <c r="V3539" s="22"/>
      <c r="W3539" s="97"/>
    </row>
    <row r="3540" spans="22:23">
      <c r="V3540" s="22"/>
      <c r="W3540" s="97"/>
    </row>
    <row r="3541" spans="22:23">
      <c r="V3541" s="22"/>
      <c r="W3541" s="97"/>
    </row>
    <row r="3542" spans="22:23">
      <c r="V3542" s="22"/>
      <c r="W3542" s="97"/>
    </row>
    <row r="3543" spans="22:23">
      <c r="V3543" s="22"/>
      <c r="W3543" s="97"/>
    </row>
    <row r="3544" spans="22:23">
      <c r="V3544" s="22"/>
      <c r="W3544" s="97"/>
    </row>
    <row r="3545" spans="22:23">
      <c r="V3545" s="22"/>
      <c r="W3545" s="97"/>
    </row>
    <row r="3546" spans="22:23">
      <c r="V3546" s="22"/>
      <c r="W3546" s="97"/>
    </row>
    <row r="3547" spans="22:23">
      <c r="V3547" s="22"/>
      <c r="W3547" s="97"/>
    </row>
    <row r="3548" spans="22:23">
      <c r="V3548" s="22"/>
      <c r="W3548" s="97"/>
    </row>
    <row r="3549" spans="22:23">
      <c r="V3549" s="22"/>
      <c r="W3549" s="97"/>
    </row>
    <row r="3550" spans="22:23">
      <c r="V3550" s="22"/>
      <c r="W3550" s="97"/>
    </row>
    <row r="3551" spans="22:23">
      <c r="V3551" s="22"/>
      <c r="W3551" s="97"/>
    </row>
    <row r="3552" spans="22:23">
      <c r="V3552" s="22"/>
      <c r="W3552" s="97"/>
    </row>
    <row r="3553" spans="22:23">
      <c r="V3553" s="22"/>
      <c r="W3553" s="97"/>
    </row>
    <row r="3554" spans="22:23">
      <c r="V3554" s="22"/>
      <c r="W3554" s="97"/>
    </row>
    <row r="3555" spans="22:23">
      <c r="V3555" s="22"/>
      <c r="W3555" s="97"/>
    </row>
    <row r="3556" spans="22:23">
      <c r="V3556" s="22"/>
      <c r="W3556" s="97"/>
    </row>
    <row r="3557" spans="22:23">
      <c r="V3557" s="22"/>
      <c r="W3557" s="97"/>
    </row>
    <row r="3558" spans="22:23">
      <c r="V3558" s="22"/>
      <c r="W3558" s="97"/>
    </row>
    <row r="3559" spans="22:23">
      <c r="V3559" s="22"/>
      <c r="W3559" s="97"/>
    </row>
    <row r="3560" spans="22:23">
      <c r="V3560" s="22"/>
      <c r="W3560" s="97"/>
    </row>
    <row r="3561" spans="22:23">
      <c r="V3561" s="22"/>
      <c r="W3561" s="97"/>
    </row>
    <row r="3562" spans="22:23">
      <c r="V3562" s="22"/>
      <c r="W3562" s="97"/>
    </row>
    <row r="3563" spans="22:23">
      <c r="V3563" s="22"/>
      <c r="W3563" s="97"/>
    </row>
    <row r="3564" spans="22:23">
      <c r="V3564" s="22"/>
      <c r="W3564" s="97"/>
    </row>
    <row r="3565" spans="22:23">
      <c r="V3565" s="22"/>
      <c r="W3565" s="97"/>
    </row>
    <row r="3566" spans="22:23">
      <c r="V3566" s="22"/>
      <c r="W3566" s="97"/>
    </row>
    <row r="3567" spans="22:23">
      <c r="V3567" s="22"/>
      <c r="W3567" s="97"/>
    </row>
    <row r="3568" spans="22:23">
      <c r="V3568" s="22"/>
      <c r="W3568" s="97"/>
    </row>
    <row r="3569" spans="22:23">
      <c r="V3569" s="22"/>
      <c r="W3569" s="97"/>
    </row>
    <row r="3570" spans="22:23">
      <c r="V3570" s="22"/>
      <c r="W3570" s="97"/>
    </row>
    <row r="3571" spans="22:23">
      <c r="V3571" s="22"/>
      <c r="W3571" s="97"/>
    </row>
    <row r="3572" spans="22:23">
      <c r="V3572" s="22"/>
      <c r="W3572" s="97"/>
    </row>
    <row r="3573" spans="22:23">
      <c r="V3573" s="22"/>
      <c r="W3573" s="97"/>
    </row>
    <row r="3574" spans="22:23">
      <c r="V3574" s="22"/>
      <c r="W3574" s="97"/>
    </row>
    <row r="3575" spans="22:23">
      <c r="V3575" s="22"/>
      <c r="W3575" s="97"/>
    </row>
    <row r="3576" spans="22:23">
      <c r="V3576" s="22"/>
      <c r="W3576" s="97"/>
    </row>
    <row r="3577" spans="22:23">
      <c r="V3577" s="22"/>
      <c r="W3577" s="97"/>
    </row>
    <row r="3578" spans="22:23">
      <c r="V3578" s="22"/>
      <c r="W3578" s="97"/>
    </row>
    <row r="3579" spans="22:23">
      <c r="V3579" s="22"/>
      <c r="W3579" s="97"/>
    </row>
    <row r="3580" spans="22:23">
      <c r="V3580" s="22"/>
      <c r="W3580" s="97"/>
    </row>
    <row r="3581" spans="22:23">
      <c r="V3581" s="22"/>
      <c r="W3581" s="97"/>
    </row>
    <row r="3582" spans="22:23">
      <c r="V3582" s="22"/>
      <c r="W3582" s="97"/>
    </row>
    <row r="3583" spans="22:23">
      <c r="V3583" s="22"/>
      <c r="W3583" s="97"/>
    </row>
    <row r="3584" spans="22:23">
      <c r="V3584" s="22"/>
      <c r="W3584" s="97"/>
    </row>
    <row r="3585" spans="22:23">
      <c r="V3585" s="22"/>
      <c r="W3585" s="97"/>
    </row>
    <row r="3586" spans="22:23">
      <c r="V3586" s="22"/>
      <c r="W3586" s="97"/>
    </row>
    <row r="3587" spans="22:23">
      <c r="V3587" s="22"/>
      <c r="W3587" s="97"/>
    </row>
    <row r="3588" spans="22:23">
      <c r="V3588" s="22"/>
      <c r="W3588" s="97"/>
    </row>
    <row r="3589" spans="22:23">
      <c r="V3589" s="22"/>
      <c r="W3589" s="97"/>
    </row>
    <row r="3590" spans="22:23">
      <c r="V3590" s="22"/>
      <c r="W3590" s="97"/>
    </row>
    <row r="3591" spans="22:23">
      <c r="V3591" s="22"/>
      <c r="W3591" s="97"/>
    </row>
    <row r="3592" spans="22:23">
      <c r="V3592" s="22"/>
      <c r="W3592" s="97"/>
    </row>
    <row r="3593" spans="22:23">
      <c r="V3593" s="22"/>
      <c r="W3593" s="97"/>
    </row>
    <row r="3594" spans="22:23">
      <c r="V3594" s="22"/>
      <c r="W3594" s="97"/>
    </row>
    <row r="3595" spans="22:23">
      <c r="V3595" s="22"/>
      <c r="W3595" s="97"/>
    </row>
    <row r="3596" spans="22:23">
      <c r="V3596" s="22"/>
      <c r="W3596" s="97"/>
    </row>
    <row r="3597" spans="22:23">
      <c r="V3597" s="22"/>
      <c r="W3597" s="97"/>
    </row>
    <row r="3598" spans="22:23">
      <c r="V3598" s="22"/>
      <c r="W3598" s="97"/>
    </row>
    <row r="3599" spans="22:23">
      <c r="V3599" s="22"/>
      <c r="W3599" s="97"/>
    </row>
    <row r="3600" spans="22:23">
      <c r="V3600" s="22"/>
      <c r="W3600" s="97"/>
    </row>
    <row r="3601" spans="22:23">
      <c r="V3601" s="22"/>
      <c r="W3601" s="97"/>
    </row>
    <row r="3602" spans="22:23">
      <c r="V3602" s="22"/>
      <c r="W3602" s="97"/>
    </row>
    <row r="3603" spans="22:23">
      <c r="V3603" s="22"/>
      <c r="W3603" s="97"/>
    </row>
    <row r="3604" spans="22:23">
      <c r="V3604" s="22"/>
      <c r="W3604" s="97"/>
    </row>
    <row r="3605" spans="22:23">
      <c r="V3605" s="22"/>
      <c r="W3605" s="97"/>
    </row>
    <row r="3606" spans="22:23">
      <c r="V3606" s="22"/>
      <c r="W3606" s="97"/>
    </row>
    <row r="3607" spans="22:23">
      <c r="V3607" s="22"/>
      <c r="W3607" s="97"/>
    </row>
    <row r="3608" spans="22:23">
      <c r="V3608" s="22"/>
      <c r="W3608" s="97"/>
    </row>
    <row r="3609" spans="22:23">
      <c r="V3609" s="22"/>
      <c r="W3609" s="97"/>
    </row>
    <row r="3610" spans="22:23">
      <c r="V3610" s="22"/>
      <c r="W3610" s="97"/>
    </row>
    <row r="3611" spans="22:23">
      <c r="V3611" s="22"/>
      <c r="W3611" s="97"/>
    </row>
    <row r="3612" spans="22:23">
      <c r="V3612" s="22"/>
      <c r="W3612" s="97"/>
    </row>
    <row r="3613" spans="22:23">
      <c r="V3613" s="22"/>
      <c r="W3613" s="97"/>
    </row>
    <row r="3614" spans="22:23">
      <c r="V3614" s="22"/>
      <c r="W3614" s="97"/>
    </row>
    <row r="3615" spans="22:23">
      <c r="V3615" s="22"/>
      <c r="W3615" s="97"/>
    </row>
    <row r="3616" spans="22:23">
      <c r="V3616" s="22"/>
      <c r="W3616" s="97"/>
    </row>
    <row r="3617" spans="22:23">
      <c r="V3617" s="22"/>
      <c r="W3617" s="97"/>
    </row>
    <row r="3618" spans="22:23">
      <c r="V3618" s="22"/>
      <c r="W3618" s="97"/>
    </row>
    <row r="3619" spans="22:23">
      <c r="V3619" s="22"/>
      <c r="W3619" s="97"/>
    </row>
    <row r="3620" spans="22:23">
      <c r="V3620" s="22"/>
      <c r="W3620" s="97"/>
    </row>
    <row r="3621" spans="22:23">
      <c r="V3621" s="22"/>
      <c r="W3621" s="97"/>
    </row>
    <row r="3622" spans="22:23">
      <c r="V3622" s="22"/>
      <c r="W3622" s="97"/>
    </row>
    <row r="3623" spans="22:23">
      <c r="V3623" s="22"/>
      <c r="W3623" s="97"/>
    </row>
    <row r="3624" spans="22:23">
      <c r="V3624" s="22"/>
      <c r="W3624" s="97"/>
    </row>
    <row r="3625" spans="22:23">
      <c r="V3625" s="22"/>
      <c r="W3625" s="97"/>
    </row>
    <row r="3626" spans="22:23">
      <c r="V3626" s="22"/>
      <c r="W3626" s="97"/>
    </row>
    <row r="3627" spans="22:23">
      <c r="V3627" s="22"/>
      <c r="W3627" s="97"/>
    </row>
    <row r="3628" spans="22:23">
      <c r="V3628" s="22"/>
      <c r="W3628" s="97"/>
    </row>
    <row r="3629" spans="22:23">
      <c r="V3629" s="22"/>
      <c r="W3629" s="97"/>
    </row>
    <row r="3630" spans="22:23">
      <c r="V3630" s="22"/>
      <c r="W3630" s="97"/>
    </row>
    <row r="3631" spans="22:23">
      <c r="V3631" s="22"/>
      <c r="W3631" s="97"/>
    </row>
    <row r="3632" spans="22:23">
      <c r="V3632" s="22"/>
      <c r="W3632" s="97"/>
    </row>
    <row r="3633" spans="22:23">
      <c r="V3633" s="22"/>
      <c r="W3633" s="97"/>
    </row>
    <row r="3634" spans="22:23">
      <c r="V3634" s="22"/>
      <c r="W3634" s="97"/>
    </row>
    <row r="3635" spans="22:23">
      <c r="V3635" s="22"/>
      <c r="W3635" s="97"/>
    </row>
    <row r="3636" spans="22:23">
      <c r="V3636" s="22"/>
      <c r="W3636" s="97"/>
    </row>
    <row r="3637" spans="22:23">
      <c r="V3637" s="22"/>
      <c r="W3637" s="97"/>
    </row>
    <row r="3638" spans="22:23">
      <c r="V3638" s="22"/>
      <c r="W3638" s="97"/>
    </row>
    <row r="3639" spans="22:23">
      <c r="V3639" s="22"/>
      <c r="W3639" s="97"/>
    </row>
    <row r="3640" spans="22:23">
      <c r="V3640" s="22"/>
      <c r="W3640" s="97"/>
    </row>
    <row r="3641" spans="22:23">
      <c r="V3641" s="22"/>
      <c r="W3641" s="97"/>
    </row>
    <row r="3642" spans="22:23">
      <c r="V3642" s="22"/>
      <c r="W3642" s="97"/>
    </row>
    <row r="3643" spans="22:23">
      <c r="V3643" s="22"/>
      <c r="W3643" s="97"/>
    </row>
    <row r="3644" spans="22:23">
      <c r="V3644" s="22"/>
      <c r="W3644" s="97"/>
    </row>
    <row r="3645" spans="22:23">
      <c r="V3645" s="22"/>
      <c r="W3645" s="97"/>
    </row>
    <row r="3646" spans="22:23">
      <c r="V3646" s="22"/>
      <c r="W3646" s="97"/>
    </row>
    <row r="3647" spans="22:23">
      <c r="V3647" s="22"/>
      <c r="W3647" s="97"/>
    </row>
    <row r="3648" spans="22:23">
      <c r="V3648" s="22"/>
      <c r="W3648" s="97"/>
    </row>
    <row r="3649" spans="22:23">
      <c r="V3649" s="22"/>
      <c r="W3649" s="97"/>
    </row>
    <row r="3650" spans="22:23">
      <c r="V3650" s="22"/>
      <c r="W3650" s="97"/>
    </row>
    <row r="3651" spans="22:23">
      <c r="V3651" s="22"/>
      <c r="W3651" s="97"/>
    </row>
    <row r="3652" spans="22:23">
      <c r="V3652" s="22"/>
      <c r="W3652" s="97"/>
    </row>
    <row r="3653" spans="22:23">
      <c r="V3653" s="22"/>
      <c r="W3653" s="97"/>
    </row>
    <row r="3654" spans="22:23">
      <c r="V3654" s="22"/>
      <c r="W3654" s="97"/>
    </row>
    <row r="3655" spans="22:23">
      <c r="V3655" s="22"/>
      <c r="W3655" s="97"/>
    </row>
    <row r="3656" spans="22:23">
      <c r="V3656" s="22"/>
      <c r="W3656" s="97"/>
    </row>
    <row r="3657" spans="22:23">
      <c r="V3657" s="22"/>
      <c r="W3657" s="97"/>
    </row>
    <row r="3658" spans="22:23">
      <c r="V3658" s="22"/>
      <c r="W3658" s="97"/>
    </row>
    <row r="3659" spans="22:23">
      <c r="V3659" s="22"/>
      <c r="W3659" s="97"/>
    </row>
    <row r="3660" spans="22:23">
      <c r="V3660" s="22"/>
      <c r="W3660" s="97"/>
    </row>
    <row r="3661" spans="22:23">
      <c r="V3661" s="22"/>
      <c r="W3661" s="97"/>
    </row>
    <row r="3662" spans="22:23">
      <c r="V3662" s="22"/>
      <c r="W3662" s="97"/>
    </row>
    <row r="3663" spans="22:23">
      <c r="V3663" s="22"/>
      <c r="W3663" s="97"/>
    </row>
    <row r="3664" spans="22:23">
      <c r="V3664" s="22"/>
      <c r="W3664" s="97"/>
    </row>
    <row r="3665" spans="22:23">
      <c r="V3665" s="22"/>
      <c r="W3665" s="97"/>
    </row>
    <row r="3666" spans="22:23">
      <c r="V3666" s="22"/>
      <c r="W3666" s="97"/>
    </row>
    <row r="3667" spans="22:23">
      <c r="V3667" s="22"/>
      <c r="W3667" s="97"/>
    </row>
    <row r="3668" spans="22:23">
      <c r="V3668" s="22"/>
      <c r="W3668" s="97"/>
    </row>
    <row r="3669" spans="22:23">
      <c r="V3669" s="22"/>
      <c r="W3669" s="97"/>
    </row>
    <row r="3670" spans="22:23">
      <c r="V3670" s="22"/>
      <c r="W3670" s="97"/>
    </row>
    <row r="3671" spans="22:23">
      <c r="V3671" s="22"/>
      <c r="W3671" s="97"/>
    </row>
    <row r="3672" spans="22:23">
      <c r="V3672" s="22"/>
      <c r="W3672" s="97"/>
    </row>
    <row r="3673" spans="22:23">
      <c r="V3673" s="22"/>
      <c r="W3673" s="97"/>
    </row>
    <row r="3674" spans="22:23">
      <c r="V3674" s="22"/>
      <c r="W3674" s="97"/>
    </row>
    <row r="3675" spans="22:23">
      <c r="V3675" s="22"/>
      <c r="W3675" s="97"/>
    </row>
    <row r="3676" spans="22:23">
      <c r="V3676" s="22"/>
      <c r="W3676" s="97"/>
    </row>
    <row r="3677" spans="22:23">
      <c r="V3677" s="22"/>
      <c r="W3677" s="97"/>
    </row>
    <row r="3678" spans="22:23">
      <c r="V3678" s="22"/>
      <c r="W3678" s="97"/>
    </row>
    <row r="3679" spans="22:23">
      <c r="V3679" s="22"/>
      <c r="W3679" s="97"/>
    </row>
    <row r="3680" spans="22:23">
      <c r="V3680" s="22"/>
      <c r="W3680" s="97"/>
    </row>
    <row r="3681" spans="22:23">
      <c r="V3681" s="22"/>
      <c r="W3681" s="97"/>
    </row>
    <row r="3682" spans="22:23">
      <c r="V3682" s="22"/>
      <c r="W3682" s="97"/>
    </row>
    <row r="3683" spans="22:23">
      <c r="V3683" s="22"/>
      <c r="W3683" s="97"/>
    </row>
    <row r="3684" spans="22:23">
      <c r="V3684" s="22"/>
      <c r="W3684" s="97"/>
    </row>
    <row r="3685" spans="22:23">
      <c r="V3685" s="22"/>
      <c r="W3685" s="97"/>
    </row>
    <row r="3686" spans="22:23">
      <c r="V3686" s="22"/>
      <c r="W3686" s="97"/>
    </row>
    <row r="3687" spans="22:23">
      <c r="V3687" s="22"/>
      <c r="W3687" s="97"/>
    </row>
    <row r="3688" spans="22:23">
      <c r="V3688" s="22"/>
      <c r="W3688" s="97"/>
    </row>
    <row r="3689" spans="22:23">
      <c r="V3689" s="22"/>
      <c r="W3689" s="97"/>
    </row>
    <row r="3690" spans="22:23">
      <c r="V3690" s="22"/>
      <c r="W3690" s="97"/>
    </row>
    <row r="3691" spans="22:23">
      <c r="V3691" s="22"/>
      <c r="W3691" s="97"/>
    </row>
    <row r="3692" spans="22:23">
      <c r="V3692" s="22"/>
      <c r="W3692" s="97"/>
    </row>
    <row r="3693" spans="22:23">
      <c r="V3693" s="22"/>
      <c r="W3693" s="97"/>
    </row>
    <row r="3694" spans="22:23">
      <c r="V3694" s="22"/>
      <c r="W3694" s="97"/>
    </row>
    <row r="3695" spans="22:23">
      <c r="V3695" s="22"/>
      <c r="W3695" s="97"/>
    </row>
    <row r="3696" spans="22:23">
      <c r="V3696" s="22"/>
      <c r="W3696" s="97"/>
    </row>
    <row r="3697" spans="22:23">
      <c r="V3697" s="22"/>
      <c r="W3697" s="97"/>
    </row>
    <row r="3698" spans="22:23">
      <c r="V3698" s="22"/>
      <c r="W3698" s="97"/>
    </row>
    <row r="3699" spans="22:23">
      <c r="V3699" s="22"/>
      <c r="W3699" s="97"/>
    </row>
    <row r="3700" spans="22:23">
      <c r="V3700" s="22"/>
      <c r="W3700" s="97"/>
    </row>
    <row r="3701" spans="22:23">
      <c r="V3701" s="22"/>
      <c r="W3701" s="97"/>
    </row>
    <row r="3702" spans="22:23">
      <c r="V3702" s="22"/>
      <c r="W3702" s="97"/>
    </row>
    <row r="3703" spans="22:23">
      <c r="V3703" s="22"/>
      <c r="W3703" s="97"/>
    </row>
    <row r="3704" spans="22:23">
      <c r="V3704" s="22"/>
      <c r="W3704" s="97"/>
    </row>
    <row r="3705" spans="22:23">
      <c r="V3705" s="22"/>
      <c r="W3705" s="97"/>
    </row>
    <row r="3706" spans="22:23">
      <c r="V3706" s="22"/>
      <c r="W3706" s="97"/>
    </row>
    <row r="3707" spans="22:23">
      <c r="V3707" s="22"/>
      <c r="W3707" s="97"/>
    </row>
    <row r="3708" spans="22:23">
      <c r="V3708" s="22"/>
      <c r="W3708" s="97"/>
    </row>
    <row r="3709" spans="22:23">
      <c r="V3709" s="22"/>
      <c r="W3709" s="97"/>
    </row>
    <row r="3710" spans="22:23">
      <c r="V3710" s="22"/>
      <c r="W3710" s="97"/>
    </row>
    <row r="3711" spans="22:23">
      <c r="V3711" s="22"/>
      <c r="W3711" s="97"/>
    </row>
    <row r="3712" spans="22:23">
      <c r="V3712" s="22"/>
      <c r="W3712" s="97"/>
    </row>
    <row r="3713" spans="22:23">
      <c r="V3713" s="22"/>
      <c r="W3713" s="97"/>
    </row>
    <row r="3714" spans="22:23">
      <c r="V3714" s="22"/>
      <c r="W3714" s="97"/>
    </row>
    <row r="3715" spans="22:23">
      <c r="V3715" s="22"/>
      <c r="W3715" s="97"/>
    </row>
    <row r="3716" spans="22:23">
      <c r="V3716" s="22"/>
      <c r="W3716" s="97"/>
    </row>
    <row r="3717" spans="22:23">
      <c r="V3717" s="22"/>
      <c r="W3717" s="97"/>
    </row>
    <row r="3718" spans="22:23">
      <c r="V3718" s="22"/>
      <c r="W3718" s="97"/>
    </row>
    <row r="3719" spans="22:23">
      <c r="V3719" s="22"/>
      <c r="W3719" s="97"/>
    </row>
    <row r="3720" spans="22:23">
      <c r="V3720" s="22"/>
      <c r="W3720" s="97"/>
    </row>
    <row r="3721" spans="22:23">
      <c r="V3721" s="22"/>
      <c r="W3721" s="97"/>
    </row>
    <row r="3722" spans="22:23">
      <c r="V3722" s="22"/>
      <c r="W3722" s="97"/>
    </row>
    <row r="3723" spans="22:23">
      <c r="V3723" s="22"/>
      <c r="W3723" s="97"/>
    </row>
    <row r="3724" spans="22:23">
      <c r="V3724" s="22"/>
      <c r="W3724" s="97"/>
    </row>
    <row r="3725" spans="22:23">
      <c r="V3725" s="22"/>
      <c r="W3725" s="97"/>
    </row>
    <row r="3726" spans="22:23">
      <c r="V3726" s="22"/>
      <c r="W3726" s="97"/>
    </row>
    <row r="3727" spans="22:23">
      <c r="V3727" s="22"/>
      <c r="W3727" s="97"/>
    </row>
    <row r="3728" spans="22:23">
      <c r="V3728" s="22"/>
      <c r="W3728" s="97"/>
    </row>
    <row r="3729" spans="22:23">
      <c r="V3729" s="22"/>
      <c r="W3729" s="97"/>
    </row>
    <row r="3730" spans="22:23">
      <c r="V3730" s="22"/>
      <c r="W3730" s="97"/>
    </row>
    <row r="3731" spans="22:23">
      <c r="V3731" s="22"/>
      <c r="W3731" s="97"/>
    </row>
    <row r="3732" spans="22:23">
      <c r="V3732" s="22"/>
      <c r="W3732" s="97"/>
    </row>
    <row r="3733" spans="22:23">
      <c r="V3733" s="22"/>
      <c r="W3733" s="97"/>
    </row>
    <row r="3734" spans="22:23">
      <c r="V3734" s="22"/>
      <c r="W3734" s="97"/>
    </row>
    <row r="3735" spans="22:23">
      <c r="V3735" s="22"/>
      <c r="W3735" s="97"/>
    </row>
    <row r="3736" spans="22:23">
      <c r="V3736" s="22"/>
      <c r="W3736" s="97"/>
    </row>
    <row r="3737" spans="22:23">
      <c r="V3737" s="22"/>
      <c r="W3737" s="97"/>
    </row>
    <row r="3738" spans="22:23">
      <c r="V3738" s="22"/>
      <c r="W3738" s="97"/>
    </row>
    <row r="3739" spans="22:23">
      <c r="V3739" s="22"/>
      <c r="W3739" s="97"/>
    </row>
    <row r="3740" spans="22:23">
      <c r="V3740" s="22"/>
      <c r="W3740" s="97"/>
    </row>
    <row r="3741" spans="22:23">
      <c r="V3741" s="22"/>
      <c r="W3741" s="97"/>
    </row>
    <row r="3742" spans="22:23">
      <c r="V3742" s="22"/>
      <c r="W3742" s="97"/>
    </row>
    <row r="3743" spans="22:23">
      <c r="V3743" s="22"/>
      <c r="W3743" s="97"/>
    </row>
    <row r="3744" spans="22:23">
      <c r="V3744" s="22"/>
      <c r="W3744" s="97"/>
    </row>
    <row r="3745" spans="22:23">
      <c r="V3745" s="22"/>
      <c r="W3745" s="97"/>
    </row>
    <row r="3746" spans="22:23">
      <c r="V3746" s="22"/>
      <c r="W3746" s="97"/>
    </row>
    <row r="3747" spans="22:23">
      <c r="V3747" s="22"/>
      <c r="W3747" s="97"/>
    </row>
    <row r="3748" spans="22:23">
      <c r="V3748" s="22"/>
      <c r="W3748" s="97"/>
    </row>
    <row r="3749" spans="22:23">
      <c r="V3749" s="22"/>
      <c r="W3749" s="97"/>
    </row>
    <row r="3750" spans="22:23">
      <c r="V3750" s="22"/>
      <c r="W3750" s="97"/>
    </row>
    <row r="3751" spans="22:23">
      <c r="V3751" s="22"/>
      <c r="W3751" s="97"/>
    </row>
    <row r="3752" spans="22:23">
      <c r="V3752" s="22"/>
      <c r="W3752" s="97"/>
    </row>
    <row r="3753" spans="22:23">
      <c r="V3753" s="22"/>
      <c r="W3753" s="97"/>
    </row>
    <row r="3754" spans="22:23">
      <c r="V3754" s="22"/>
      <c r="W3754" s="97"/>
    </row>
    <row r="3755" spans="22:23">
      <c r="V3755" s="22"/>
      <c r="W3755" s="97"/>
    </row>
    <row r="3756" spans="22:23">
      <c r="V3756" s="22"/>
      <c r="W3756" s="97"/>
    </row>
    <row r="3757" spans="22:23">
      <c r="V3757" s="22"/>
      <c r="W3757" s="97"/>
    </row>
    <row r="3758" spans="22:23">
      <c r="V3758" s="22"/>
      <c r="W3758" s="97"/>
    </row>
    <row r="3759" spans="22:23">
      <c r="V3759" s="22"/>
      <c r="W3759" s="97"/>
    </row>
    <row r="3760" spans="22:23">
      <c r="V3760" s="22"/>
      <c r="W3760" s="97"/>
    </row>
    <row r="3761" spans="22:23">
      <c r="V3761" s="22"/>
      <c r="W3761" s="97"/>
    </row>
    <row r="3762" spans="22:23">
      <c r="V3762" s="22"/>
      <c r="W3762" s="97"/>
    </row>
    <row r="3763" spans="22:23">
      <c r="V3763" s="22"/>
      <c r="W3763" s="97"/>
    </row>
    <row r="3764" spans="22:23">
      <c r="V3764" s="22"/>
      <c r="W3764" s="97"/>
    </row>
    <row r="3765" spans="22:23">
      <c r="V3765" s="22"/>
      <c r="W3765" s="97"/>
    </row>
    <row r="3766" spans="22:23">
      <c r="V3766" s="22"/>
      <c r="W3766" s="97"/>
    </row>
    <row r="3767" spans="22:23">
      <c r="V3767" s="22"/>
      <c r="W3767" s="97"/>
    </row>
    <row r="3768" spans="22:23">
      <c r="V3768" s="22"/>
      <c r="W3768" s="97"/>
    </row>
    <row r="3769" spans="22:23">
      <c r="V3769" s="22"/>
      <c r="W3769" s="97"/>
    </row>
    <row r="3770" spans="22:23">
      <c r="V3770" s="22"/>
      <c r="W3770" s="97"/>
    </row>
    <row r="3771" spans="22:23">
      <c r="V3771" s="22"/>
      <c r="W3771" s="97"/>
    </row>
    <row r="3772" spans="22:23">
      <c r="V3772" s="22"/>
      <c r="W3772" s="97"/>
    </row>
    <row r="3773" spans="22:23">
      <c r="V3773" s="22"/>
      <c r="W3773" s="97"/>
    </row>
    <row r="3774" spans="22:23">
      <c r="V3774" s="22"/>
      <c r="W3774" s="97"/>
    </row>
    <row r="3775" spans="22:23">
      <c r="V3775" s="22"/>
      <c r="W3775" s="97"/>
    </row>
    <row r="3776" spans="22:23">
      <c r="V3776" s="22"/>
      <c r="W3776" s="97"/>
    </row>
    <row r="3777" spans="22:23">
      <c r="V3777" s="22"/>
      <c r="W3777" s="97"/>
    </row>
    <row r="3778" spans="22:23">
      <c r="V3778" s="22"/>
      <c r="W3778" s="97"/>
    </row>
    <row r="3779" spans="22:23">
      <c r="V3779" s="22"/>
      <c r="W3779" s="97"/>
    </row>
    <row r="3780" spans="22:23">
      <c r="V3780" s="22"/>
      <c r="W3780" s="97"/>
    </row>
    <row r="3781" spans="22:23">
      <c r="V3781" s="22"/>
      <c r="W3781" s="97"/>
    </row>
    <row r="3782" spans="22:23">
      <c r="V3782" s="22"/>
      <c r="W3782" s="97"/>
    </row>
    <row r="3783" spans="22:23">
      <c r="V3783" s="22"/>
      <c r="W3783" s="97"/>
    </row>
    <row r="3784" spans="22:23">
      <c r="V3784" s="22"/>
      <c r="W3784" s="97"/>
    </row>
    <row r="3785" spans="22:23">
      <c r="V3785" s="22"/>
      <c r="W3785" s="97"/>
    </row>
    <row r="3786" spans="22:23">
      <c r="V3786" s="22"/>
      <c r="W3786" s="97"/>
    </row>
    <row r="3787" spans="22:23">
      <c r="V3787" s="22"/>
      <c r="W3787" s="97"/>
    </row>
    <row r="3788" spans="22:23">
      <c r="V3788" s="22"/>
      <c r="W3788" s="97"/>
    </row>
    <row r="3789" spans="22:23">
      <c r="V3789" s="22"/>
      <c r="W3789" s="97"/>
    </row>
    <row r="3790" spans="22:23">
      <c r="V3790" s="22"/>
      <c r="W3790" s="97"/>
    </row>
    <row r="3791" spans="22:23">
      <c r="V3791" s="22"/>
      <c r="W3791" s="97"/>
    </row>
    <row r="3792" spans="22:23">
      <c r="V3792" s="22"/>
      <c r="W3792" s="97"/>
    </row>
    <row r="3793" spans="22:23">
      <c r="V3793" s="22"/>
      <c r="W3793" s="97"/>
    </row>
    <row r="3794" spans="22:23">
      <c r="V3794" s="22"/>
      <c r="W3794" s="97"/>
    </row>
    <row r="3795" spans="22:23">
      <c r="V3795" s="22"/>
      <c r="W3795" s="97"/>
    </row>
    <row r="3796" spans="22:23">
      <c r="V3796" s="22"/>
      <c r="W3796" s="97"/>
    </row>
    <row r="3797" spans="22:23">
      <c r="V3797" s="22"/>
      <c r="W3797" s="97"/>
    </row>
    <row r="3798" spans="22:23">
      <c r="V3798" s="22"/>
      <c r="W3798" s="97"/>
    </row>
    <row r="3799" spans="22:23">
      <c r="V3799" s="22"/>
      <c r="W3799" s="97"/>
    </row>
    <row r="3800" spans="22:23">
      <c r="V3800" s="22"/>
      <c r="W3800" s="97"/>
    </row>
    <row r="3801" spans="22:23">
      <c r="V3801" s="22"/>
      <c r="W3801" s="97"/>
    </row>
    <row r="3802" spans="22:23">
      <c r="V3802" s="22"/>
      <c r="W3802" s="97"/>
    </row>
    <row r="3803" spans="22:23">
      <c r="V3803" s="22"/>
      <c r="W3803" s="97"/>
    </row>
    <row r="3804" spans="22:23">
      <c r="V3804" s="22"/>
      <c r="W3804" s="97"/>
    </row>
    <row r="3805" spans="22:23">
      <c r="V3805" s="22"/>
      <c r="W3805" s="97"/>
    </row>
    <row r="3806" spans="22:23">
      <c r="V3806" s="22"/>
      <c r="W3806" s="97"/>
    </row>
    <row r="3807" spans="22:23">
      <c r="V3807" s="22"/>
      <c r="W3807" s="97"/>
    </row>
    <row r="3808" spans="22:23">
      <c r="V3808" s="22"/>
      <c r="W3808" s="97"/>
    </row>
    <row r="3809" spans="22:23">
      <c r="V3809" s="22"/>
      <c r="W3809" s="97"/>
    </row>
    <row r="3810" spans="22:23">
      <c r="V3810" s="22"/>
      <c r="W3810" s="97"/>
    </row>
    <row r="3811" spans="22:23">
      <c r="V3811" s="22"/>
      <c r="W3811" s="97"/>
    </row>
    <row r="3812" spans="22:23">
      <c r="V3812" s="22"/>
      <c r="W3812" s="97"/>
    </row>
    <row r="3813" spans="22:23">
      <c r="V3813" s="22"/>
      <c r="W3813" s="97"/>
    </row>
    <row r="3814" spans="22:23">
      <c r="V3814" s="22"/>
      <c r="W3814" s="97"/>
    </row>
    <row r="3815" spans="22:23">
      <c r="V3815" s="22"/>
      <c r="W3815" s="97"/>
    </row>
    <row r="3816" spans="22:23">
      <c r="V3816" s="22"/>
      <c r="W3816" s="97"/>
    </row>
    <row r="3817" spans="22:23">
      <c r="V3817" s="22"/>
      <c r="W3817" s="97"/>
    </row>
    <row r="3818" spans="22:23">
      <c r="V3818" s="22"/>
      <c r="W3818" s="97"/>
    </row>
    <row r="3819" spans="22:23">
      <c r="V3819" s="22"/>
      <c r="W3819" s="97"/>
    </row>
    <row r="3820" spans="22:23">
      <c r="V3820" s="22"/>
      <c r="W3820" s="97"/>
    </row>
    <row r="3821" spans="22:23">
      <c r="V3821" s="22"/>
      <c r="W3821" s="97"/>
    </row>
    <row r="3822" spans="22:23">
      <c r="V3822" s="22"/>
      <c r="W3822" s="97"/>
    </row>
    <row r="3823" spans="22:23">
      <c r="V3823" s="22"/>
      <c r="W3823" s="97"/>
    </row>
    <row r="3824" spans="22:23">
      <c r="V3824" s="22"/>
      <c r="W3824" s="97"/>
    </row>
    <row r="3825" spans="22:23">
      <c r="V3825" s="22"/>
      <c r="W3825" s="97"/>
    </row>
    <row r="3826" spans="22:23">
      <c r="V3826" s="22"/>
      <c r="W3826" s="97"/>
    </row>
    <row r="3827" spans="22:23">
      <c r="V3827" s="22"/>
      <c r="W3827" s="97"/>
    </row>
    <row r="3828" spans="22:23">
      <c r="V3828" s="22"/>
      <c r="W3828" s="97"/>
    </row>
    <row r="3829" spans="22:23">
      <c r="V3829" s="22"/>
      <c r="W3829" s="97"/>
    </row>
    <row r="3830" spans="22:23">
      <c r="V3830" s="22"/>
      <c r="W3830" s="97"/>
    </row>
    <row r="3831" spans="22:23">
      <c r="V3831" s="22"/>
      <c r="W3831" s="97"/>
    </row>
    <row r="3832" spans="22:23">
      <c r="V3832" s="22"/>
      <c r="W3832" s="97"/>
    </row>
    <row r="3833" spans="22:23">
      <c r="V3833" s="22"/>
      <c r="W3833" s="97"/>
    </row>
    <row r="3834" spans="22:23">
      <c r="V3834" s="22"/>
      <c r="W3834" s="97"/>
    </row>
    <row r="3835" spans="22:23">
      <c r="V3835" s="22"/>
      <c r="W3835" s="97"/>
    </row>
    <row r="3836" spans="22:23">
      <c r="V3836" s="22"/>
      <c r="W3836" s="97"/>
    </row>
    <row r="3837" spans="22:23">
      <c r="V3837" s="22"/>
      <c r="W3837" s="97"/>
    </row>
    <row r="3838" spans="22:23">
      <c r="V3838" s="22"/>
      <c r="W3838" s="97"/>
    </row>
    <row r="3839" spans="22:23">
      <c r="V3839" s="22"/>
      <c r="W3839" s="97"/>
    </row>
    <row r="3840" spans="22:23">
      <c r="V3840" s="22"/>
      <c r="W3840" s="97"/>
    </row>
    <row r="3841" spans="22:23">
      <c r="V3841" s="22"/>
      <c r="W3841" s="97"/>
    </row>
    <row r="3842" spans="22:23">
      <c r="V3842" s="22"/>
      <c r="W3842" s="97"/>
    </row>
    <row r="3843" spans="22:23">
      <c r="V3843" s="22"/>
      <c r="W3843" s="97"/>
    </row>
    <row r="3844" spans="22:23">
      <c r="V3844" s="22"/>
      <c r="W3844" s="97"/>
    </row>
    <row r="3845" spans="22:23">
      <c r="V3845" s="22"/>
      <c r="W3845" s="97"/>
    </row>
    <row r="3846" spans="22:23">
      <c r="V3846" s="22"/>
      <c r="W3846" s="97"/>
    </row>
    <row r="3847" spans="22:23">
      <c r="V3847" s="22"/>
      <c r="W3847" s="97"/>
    </row>
    <row r="3848" spans="22:23">
      <c r="V3848" s="22"/>
      <c r="W3848" s="97"/>
    </row>
    <row r="3849" spans="22:23">
      <c r="V3849" s="22"/>
      <c r="W3849" s="97"/>
    </row>
    <row r="3850" spans="22:23">
      <c r="V3850" s="22"/>
      <c r="W3850" s="97"/>
    </row>
    <row r="3851" spans="22:23">
      <c r="V3851" s="22"/>
      <c r="W3851" s="97"/>
    </row>
    <row r="3852" spans="22:23">
      <c r="V3852" s="22"/>
      <c r="W3852" s="97"/>
    </row>
    <row r="3853" spans="22:23">
      <c r="V3853" s="22"/>
      <c r="W3853" s="97"/>
    </row>
    <row r="3854" spans="22:23">
      <c r="V3854" s="22"/>
      <c r="W3854" s="97"/>
    </row>
    <row r="3855" spans="22:23">
      <c r="V3855" s="22"/>
      <c r="W3855" s="97"/>
    </row>
    <row r="3856" spans="22:23">
      <c r="V3856" s="22"/>
      <c r="W3856" s="97"/>
    </row>
    <row r="3857" spans="22:23">
      <c r="V3857" s="22"/>
      <c r="W3857" s="97"/>
    </row>
    <row r="3858" spans="22:23">
      <c r="V3858" s="22"/>
      <c r="W3858" s="97"/>
    </row>
    <row r="3859" spans="22:23">
      <c r="V3859" s="22"/>
      <c r="W3859" s="97"/>
    </row>
    <row r="3860" spans="22:23">
      <c r="V3860" s="22"/>
      <c r="W3860" s="97"/>
    </row>
    <row r="3861" spans="22:23">
      <c r="V3861" s="22"/>
      <c r="W3861" s="97"/>
    </row>
    <row r="3862" spans="22:23">
      <c r="V3862" s="22"/>
      <c r="W3862" s="97"/>
    </row>
    <row r="3863" spans="22:23">
      <c r="V3863" s="22"/>
      <c r="W3863" s="97"/>
    </row>
    <row r="3864" spans="22:23">
      <c r="V3864" s="22"/>
      <c r="W3864" s="97"/>
    </row>
    <row r="3865" spans="22:23">
      <c r="V3865" s="22"/>
      <c r="W3865" s="97"/>
    </row>
    <row r="3866" spans="22:23">
      <c r="V3866" s="22"/>
      <c r="W3866" s="97"/>
    </row>
    <row r="3867" spans="22:23">
      <c r="V3867" s="22"/>
      <c r="W3867" s="97"/>
    </row>
    <row r="3868" spans="22:23">
      <c r="V3868" s="22"/>
      <c r="W3868" s="97"/>
    </row>
    <row r="3869" spans="22:23">
      <c r="V3869" s="22"/>
      <c r="W3869" s="97"/>
    </row>
    <row r="3870" spans="22:23">
      <c r="V3870" s="22"/>
      <c r="W3870" s="97"/>
    </row>
    <row r="3871" spans="22:23">
      <c r="V3871" s="22"/>
      <c r="W3871" s="97"/>
    </row>
    <row r="3872" spans="22:23">
      <c r="V3872" s="22"/>
      <c r="W3872" s="97"/>
    </row>
    <row r="3873" spans="22:23">
      <c r="V3873" s="22"/>
      <c r="W3873" s="97"/>
    </row>
    <row r="3874" spans="22:23">
      <c r="V3874" s="22"/>
      <c r="W3874" s="97"/>
    </row>
    <row r="3875" spans="22:23">
      <c r="V3875" s="22"/>
      <c r="W3875" s="97"/>
    </row>
    <row r="3876" spans="22:23">
      <c r="V3876" s="22"/>
      <c r="W3876" s="97"/>
    </row>
    <row r="3877" spans="22:23">
      <c r="V3877" s="22"/>
      <c r="W3877" s="97"/>
    </row>
    <row r="3878" spans="22:23">
      <c r="V3878" s="22"/>
      <c r="W3878" s="97"/>
    </row>
    <row r="3879" spans="22:23">
      <c r="V3879" s="22"/>
      <c r="W3879" s="97"/>
    </row>
    <row r="3880" spans="22:23">
      <c r="V3880" s="22"/>
      <c r="W3880" s="97"/>
    </row>
    <row r="3881" spans="22:23">
      <c r="V3881" s="22"/>
      <c r="W3881" s="97"/>
    </row>
    <row r="3882" spans="22:23">
      <c r="V3882" s="22"/>
      <c r="W3882" s="97"/>
    </row>
    <row r="3883" spans="22:23">
      <c r="V3883" s="22"/>
      <c r="W3883" s="97"/>
    </row>
    <row r="3884" spans="22:23">
      <c r="V3884" s="22"/>
      <c r="W3884" s="97"/>
    </row>
    <row r="3885" spans="22:23">
      <c r="V3885" s="22"/>
      <c r="W3885" s="97"/>
    </row>
    <row r="3886" spans="22:23">
      <c r="V3886" s="22"/>
      <c r="W3886" s="97"/>
    </row>
    <row r="3887" spans="22:23">
      <c r="V3887" s="22"/>
      <c r="W3887" s="97"/>
    </row>
    <row r="3888" spans="22:23">
      <c r="V3888" s="22"/>
      <c r="W3888" s="97"/>
    </row>
    <row r="3889" spans="22:23">
      <c r="V3889" s="22"/>
      <c r="W3889" s="97"/>
    </row>
    <row r="3890" spans="22:23">
      <c r="V3890" s="22"/>
      <c r="W3890" s="97"/>
    </row>
    <row r="3891" spans="22:23">
      <c r="V3891" s="22"/>
      <c r="W3891" s="97"/>
    </row>
    <row r="3892" spans="22:23">
      <c r="V3892" s="22"/>
      <c r="W3892" s="97"/>
    </row>
    <row r="3893" spans="22:23">
      <c r="V3893" s="22"/>
      <c r="W3893" s="97"/>
    </row>
    <row r="3894" spans="22:23">
      <c r="V3894" s="22"/>
      <c r="W3894" s="97"/>
    </row>
    <row r="3895" spans="22:23">
      <c r="V3895" s="22"/>
      <c r="W3895" s="97"/>
    </row>
    <row r="3896" spans="22:23">
      <c r="V3896" s="22"/>
      <c r="W3896" s="97"/>
    </row>
    <row r="3897" spans="22:23">
      <c r="V3897" s="22"/>
      <c r="W3897" s="97"/>
    </row>
    <row r="3898" spans="22:23">
      <c r="V3898" s="22"/>
      <c r="W3898" s="97"/>
    </row>
    <row r="3899" spans="22:23">
      <c r="V3899" s="22"/>
      <c r="W3899" s="97"/>
    </row>
    <row r="3900" spans="22:23">
      <c r="V3900" s="22"/>
      <c r="W3900" s="97"/>
    </row>
    <row r="3901" spans="22:23">
      <c r="V3901" s="22"/>
      <c r="W3901" s="97"/>
    </row>
    <row r="3902" spans="22:23">
      <c r="V3902" s="22"/>
      <c r="W3902" s="97"/>
    </row>
    <row r="3903" spans="22:23">
      <c r="V3903" s="22"/>
      <c r="W3903" s="97"/>
    </row>
    <row r="3904" spans="22:23">
      <c r="V3904" s="22"/>
      <c r="W3904" s="97"/>
    </row>
    <row r="3905" spans="22:23">
      <c r="V3905" s="22"/>
      <c r="W3905" s="97"/>
    </row>
    <row r="3906" spans="22:23">
      <c r="V3906" s="22"/>
      <c r="W3906" s="97"/>
    </row>
    <row r="3907" spans="22:23">
      <c r="V3907" s="22"/>
      <c r="W3907" s="97"/>
    </row>
    <row r="3908" spans="22:23">
      <c r="V3908" s="22"/>
      <c r="W3908" s="97"/>
    </row>
    <row r="3909" spans="22:23">
      <c r="V3909" s="22"/>
      <c r="W3909" s="97"/>
    </row>
    <row r="3910" spans="22:23">
      <c r="V3910" s="22"/>
      <c r="W3910" s="97"/>
    </row>
    <row r="3911" spans="22:23">
      <c r="V3911" s="22"/>
      <c r="W3911" s="97"/>
    </row>
    <row r="3912" spans="22:23">
      <c r="V3912" s="22"/>
      <c r="W3912" s="97"/>
    </row>
    <row r="3913" spans="22:23">
      <c r="V3913" s="22"/>
      <c r="W3913" s="97"/>
    </row>
    <row r="3914" spans="22:23">
      <c r="V3914" s="22"/>
      <c r="W3914" s="97"/>
    </row>
    <row r="3915" spans="22:23">
      <c r="V3915" s="22"/>
      <c r="W3915" s="97"/>
    </row>
    <row r="3916" spans="22:23">
      <c r="V3916" s="22"/>
      <c r="W3916" s="97"/>
    </row>
    <row r="3917" spans="22:23">
      <c r="V3917" s="22"/>
      <c r="W3917" s="97"/>
    </row>
    <row r="3918" spans="22:23">
      <c r="V3918" s="22"/>
      <c r="W3918" s="97"/>
    </row>
    <row r="3919" spans="22:23">
      <c r="V3919" s="22"/>
      <c r="W3919" s="97"/>
    </row>
    <row r="3920" spans="22:23">
      <c r="V3920" s="22"/>
      <c r="W3920" s="97"/>
    </row>
    <row r="3921" spans="22:23">
      <c r="V3921" s="22"/>
      <c r="W3921" s="97"/>
    </row>
    <row r="3922" spans="22:23">
      <c r="V3922" s="22"/>
      <c r="W3922" s="97"/>
    </row>
    <row r="3923" spans="22:23">
      <c r="V3923" s="22"/>
      <c r="W3923" s="97"/>
    </row>
    <row r="3924" spans="22:23">
      <c r="V3924" s="22"/>
      <c r="W3924" s="97"/>
    </row>
    <row r="3925" spans="22:23">
      <c r="V3925" s="22"/>
      <c r="W3925" s="97"/>
    </row>
    <row r="3926" spans="22:23">
      <c r="V3926" s="22"/>
      <c r="W3926" s="97"/>
    </row>
    <row r="3927" spans="22:23">
      <c r="V3927" s="22"/>
      <c r="W3927" s="97"/>
    </row>
    <row r="3928" spans="22:23">
      <c r="V3928" s="22"/>
      <c r="W3928" s="97"/>
    </row>
    <row r="3929" spans="22:23">
      <c r="V3929" s="22"/>
      <c r="W3929" s="97"/>
    </row>
    <row r="3930" spans="22:23">
      <c r="V3930" s="22"/>
      <c r="W3930" s="97"/>
    </row>
    <row r="3931" spans="22:23">
      <c r="V3931" s="22"/>
      <c r="W3931" s="97"/>
    </row>
    <row r="3932" spans="22:23">
      <c r="V3932" s="22"/>
      <c r="W3932" s="97"/>
    </row>
    <row r="3933" spans="22:23">
      <c r="V3933" s="22"/>
      <c r="W3933" s="97"/>
    </row>
    <row r="3934" spans="22:23">
      <c r="V3934" s="22"/>
      <c r="W3934" s="97"/>
    </row>
    <row r="3935" spans="22:23">
      <c r="V3935" s="22"/>
      <c r="W3935" s="97"/>
    </row>
    <row r="3936" spans="22:23">
      <c r="V3936" s="22"/>
      <c r="W3936" s="97"/>
    </row>
    <row r="3937" spans="22:23">
      <c r="V3937" s="22"/>
      <c r="W3937" s="97"/>
    </row>
    <row r="3938" spans="22:23">
      <c r="V3938" s="22"/>
      <c r="W3938" s="97"/>
    </row>
    <row r="3939" spans="22:23">
      <c r="V3939" s="22"/>
      <c r="W3939" s="97"/>
    </row>
    <row r="3940" spans="22:23">
      <c r="V3940" s="22"/>
      <c r="W3940" s="97"/>
    </row>
    <row r="3941" spans="22:23">
      <c r="V3941" s="22"/>
      <c r="W3941" s="97"/>
    </row>
    <row r="3942" spans="22:23">
      <c r="V3942" s="22"/>
      <c r="W3942" s="97"/>
    </row>
    <row r="3943" spans="22:23">
      <c r="V3943" s="22"/>
      <c r="W3943" s="97"/>
    </row>
    <row r="3944" spans="22:23">
      <c r="V3944" s="22"/>
      <c r="W3944" s="97"/>
    </row>
    <row r="3945" spans="22:23">
      <c r="V3945" s="22"/>
      <c r="W3945" s="97"/>
    </row>
    <row r="3946" spans="22:23">
      <c r="V3946" s="22"/>
      <c r="W3946" s="97"/>
    </row>
    <row r="3947" spans="22:23">
      <c r="V3947" s="22"/>
      <c r="W3947" s="97"/>
    </row>
    <row r="3948" spans="22:23">
      <c r="V3948" s="22"/>
      <c r="W3948" s="97"/>
    </row>
    <row r="3949" spans="22:23">
      <c r="V3949" s="22"/>
      <c r="W3949" s="97"/>
    </row>
    <row r="3950" spans="22:23">
      <c r="V3950" s="22"/>
      <c r="W3950" s="97"/>
    </row>
    <row r="3951" spans="22:23">
      <c r="V3951" s="22"/>
      <c r="W3951" s="97"/>
    </row>
    <row r="3952" spans="22:23">
      <c r="V3952" s="22"/>
      <c r="W3952" s="97"/>
    </row>
    <row r="3953" spans="22:23">
      <c r="V3953" s="22"/>
      <c r="W3953" s="97"/>
    </row>
    <row r="3954" spans="22:23">
      <c r="V3954" s="22"/>
      <c r="W3954" s="97"/>
    </row>
    <row r="3955" spans="22:23">
      <c r="V3955" s="22"/>
      <c r="W3955" s="97"/>
    </row>
    <row r="3956" spans="22:23">
      <c r="V3956" s="22"/>
      <c r="W3956" s="97"/>
    </row>
    <row r="3957" spans="22:23">
      <c r="V3957" s="22"/>
      <c r="W3957" s="97"/>
    </row>
    <row r="3958" spans="22:23">
      <c r="V3958" s="22"/>
      <c r="W3958" s="97"/>
    </row>
    <row r="3959" spans="22:23">
      <c r="V3959" s="22"/>
      <c r="W3959" s="97"/>
    </row>
    <row r="3960" spans="22:23">
      <c r="V3960" s="22"/>
      <c r="W3960" s="97"/>
    </row>
    <row r="3961" spans="22:23">
      <c r="V3961" s="22"/>
      <c r="W3961" s="97"/>
    </row>
    <row r="3962" spans="22:23">
      <c r="V3962" s="22"/>
      <c r="W3962" s="97"/>
    </row>
    <row r="3963" spans="22:23">
      <c r="V3963" s="22"/>
      <c r="W3963" s="97"/>
    </row>
    <row r="3964" spans="22:23">
      <c r="V3964" s="22"/>
      <c r="W3964" s="97"/>
    </row>
    <row r="3965" spans="22:23">
      <c r="V3965" s="22"/>
      <c r="W3965" s="97"/>
    </row>
    <row r="3966" spans="22:23">
      <c r="V3966" s="22"/>
      <c r="W3966" s="97"/>
    </row>
    <row r="3967" spans="22:23">
      <c r="V3967" s="22"/>
      <c r="W3967" s="97"/>
    </row>
    <row r="3968" spans="22:23">
      <c r="V3968" s="22"/>
      <c r="W3968" s="97"/>
    </row>
    <row r="3969" spans="22:23">
      <c r="V3969" s="22"/>
      <c r="W3969" s="97"/>
    </row>
    <row r="3970" spans="22:23">
      <c r="V3970" s="22"/>
      <c r="W3970" s="97"/>
    </row>
    <row r="3971" spans="22:23">
      <c r="V3971" s="22"/>
      <c r="W3971" s="97"/>
    </row>
    <row r="3972" spans="22:23">
      <c r="V3972" s="22"/>
      <c r="W3972" s="97"/>
    </row>
    <row r="3973" spans="22:23">
      <c r="V3973" s="22"/>
      <c r="W3973" s="97"/>
    </row>
    <row r="3974" spans="22:23">
      <c r="V3974" s="22"/>
      <c r="W3974" s="97"/>
    </row>
    <row r="3975" spans="22:23">
      <c r="V3975" s="22"/>
      <c r="W3975" s="97"/>
    </row>
    <row r="3976" spans="22:23">
      <c r="V3976" s="22"/>
      <c r="W3976" s="97"/>
    </row>
    <row r="3977" spans="22:23">
      <c r="V3977" s="22"/>
      <c r="W3977" s="97"/>
    </row>
    <row r="3978" spans="22:23">
      <c r="V3978" s="22"/>
      <c r="W3978" s="97"/>
    </row>
    <row r="3979" spans="22:23">
      <c r="V3979" s="22"/>
      <c r="W3979" s="97"/>
    </row>
    <row r="3980" spans="22:23">
      <c r="V3980" s="22"/>
      <c r="W3980" s="97"/>
    </row>
    <row r="3981" spans="22:23">
      <c r="V3981" s="22"/>
      <c r="W3981" s="97"/>
    </row>
    <row r="3982" spans="22:23">
      <c r="V3982" s="22"/>
      <c r="W3982" s="97"/>
    </row>
    <row r="3983" spans="22:23">
      <c r="V3983" s="22"/>
      <c r="W3983" s="97"/>
    </row>
    <row r="3984" spans="22:23">
      <c r="V3984" s="22"/>
      <c r="W3984" s="97"/>
    </row>
    <row r="3985" spans="22:23">
      <c r="V3985" s="22"/>
      <c r="W3985" s="97"/>
    </row>
    <row r="3986" spans="22:23">
      <c r="V3986" s="22"/>
      <c r="W3986" s="97"/>
    </row>
    <row r="3987" spans="22:23">
      <c r="V3987" s="22"/>
      <c r="W3987" s="97"/>
    </row>
    <row r="3988" spans="22:23">
      <c r="V3988" s="22"/>
      <c r="W3988" s="97"/>
    </row>
    <row r="3989" spans="22:23">
      <c r="V3989" s="22"/>
      <c r="W3989" s="97"/>
    </row>
    <row r="3990" spans="22:23">
      <c r="V3990" s="22"/>
      <c r="W3990" s="97"/>
    </row>
    <row r="3991" spans="22:23">
      <c r="V3991" s="22"/>
      <c r="W3991" s="97"/>
    </row>
    <row r="3992" spans="22:23">
      <c r="V3992" s="22"/>
      <c r="W3992" s="97"/>
    </row>
    <row r="3993" spans="22:23">
      <c r="V3993" s="22"/>
      <c r="W3993" s="97"/>
    </row>
    <row r="3994" spans="22:23">
      <c r="V3994" s="22"/>
      <c r="W3994" s="97"/>
    </row>
    <row r="3995" spans="22:23">
      <c r="V3995" s="22"/>
      <c r="W3995" s="97"/>
    </row>
    <row r="3996" spans="22:23">
      <c r="V3996" s="22"/>
      <c r="W3996" s="97"/>
    </row>
    <row r="3997" spans="22:23">
      <c r="V3997" s="22"/>
      <c r="W3997" s="97"/>
    </row>
    <row r="3998" spans="22:23">
      <c r="V3998" s="22"/>
      <c r="W3998" s="97"/>
    </row>
    <row r="3999" spans="22:23">
      <c r="V3999" s="22"/>
      <c r="W3999" s="97"/>
    </row>
    <row r="4000" spans="22:23">
      <c r="V4000" s="22"/>
      <c r="W4000" s="97"/>
    </row>
    <row r="4001" spans="22:23">
      <c r="V4001" s="22"/>
      <c r="W4001" s="97"/>
    </row>
    <row r="4002" spans="22:23">
      <c r="V4002" s="22"/>
      <c r="W4002" s="97"/>
    </row>
    <row r="4003" spans="22:23">
      <c r="V4003" s="22"/>
      <c r="W4003" s="97"/>
    </row>
    <row r="4004" spans="22:23">
      <c r="V4004" s="22"/>
      <c r="W4004" s="97"/>
    </row>
    <row r="4005" spans="22:23">
      <c r="V4005" s="22"/>
      <c r="W4005" s="97"/>
    </row>
    <row r="4006" spans="22:23">
      <c r="V4006" s="22"/>
      <c r="W4006" s="97"/>
    </row>
    <row r="4007" spans="22:23">
      <c r="V4007" s="22"/>
      <c r="W4007" s="97"/>
    </row>
    <row r="4008" spans="22:23">
      <c r="V4008" s="22"/>
      <c r="W4008" s="97"/>
    </row>
    <row r="4009" spans="22:23">
      <c r="V4009" s="22"/>
      <c r="W4009" s="97"/>
    </row>
    <row r="4010" spans="22:23">
      <c r="V4010" s="22"/>
      <c r="W4010" s="97"/>
    </row>
    <row r="4011" spans="22:23">
      <c r="V4011" s="22"/>
      <c r="W4011" s="97"/>
    </row>
    <row r="4012" spans="22:23">
      <c r="V4012" s="22"/>
      <c r="W4012" s="97"/>
    </row>
    <row r="4013" spans="22:23">
      <c r="V4013" s="22"/>
      <c r="W4013" s="97"/>
    </row>
    <row r="4014" spans="22:23">
      <c r="V4014" s="22"/>
      <c r="W4014" s="97"/>
    </row>
    <row r="4015" spans="22:23">
      <c r="V4015" s="22"/>
      <c r="W4015" s="97"/>
    </row>
    <row r="4016" spans="22:23">
      <c r="V4016" s="22"/>
      <c r="W4016" s="97"/>
    </row>
    <row r="4017" spans="22:23">
      <c r="V4017" s="22"/>
      <c r="W4017" s="97"/>
    </row>
    <row r="4018" spans="22:23">
      <c r="V4018" s="22"/>
      <c r="W4018" s="97"/>
    </row>
    <row r="4019" spans="22:23">
      <c r="V4019" s="22"/>
      <c r="W4019" s="97"/>
    </row>
    <row r="4020" spans="22:23">
      <c r="V4020" s="22"/>
      <c r="W4020" s="97"/>
    </row>
    <row r="4021" spans="22:23">
      <c r="V4021" s="22"/>
      <c r="W4021" s="97"/>
    </row>
    <row r="4022" spans="22:23">
      <c r="V4022" s="22"/>
      <c r="W4022" s="97"/>
    </row>
    <row r="4023" spans="22:23">
      <c r="V4023" s="22"/>
      <c r="W4023" s="97"/>
    </row>
    <row r="4024" spans="22:23">
      <c r="V4024" s="22"/>
      <c r="W4024" s="97"/>
    </row>
    <row r="4025" spans="22:23">
      <c r="V4025" s="22"/>
      <c r="W4025" s="97"/>
    </row>
    <row r="4026" spans="22:23">
      <c r="V4026" s="22"/>
      <c r="W4026" s="97"/>
    </row>
    <row r="4027" spans="22:23">
      <c r="V4027" s="22"/>
      <c r="W4027" s="97"/>
    </row>
    <row r="4028" spans="22:23">
      <c r="V4028" s="22"/>
      <c r="W4028" s="97"/>
    </row>
    <row r="4029" spans="22:23">
      <c r="V4029" s="22"/>
      <c r="W4029" s="97"/>
    </row>
    <row r="4030" spans="22:23">
      <c r="V4030" s="22"/>
      <c r="W4030" s="97"/>
    </row>
    <row r="4031" spans="22:23">
      <c r="V4031" s="22"/>
      <c r="W4031" s="97"/>
    </row>
    <row r="4032" spans="22:23">
      <c r="V4032" s="22"/>
      <c r="W4032" s="97"/>
    </row>
    <row r="4033" spans="22:23">
      <c r="V4033" s="22"/>
      <c r="W4033" s="97"/>
    </row>
    <row r="4034" spans="22:23">
      <c r="V4034" s="22"/>
      <c r="W4034" s="97"/>
    </row>
    <row r="4035" spans="22:23">
      <c r="V4035" s="22"/>
      <c r="W4035" s="97"/>
    </row>
    <row r="4036" spans="22:23">
      <c r="V4036" s="22"/>
      <c r="W4036" s="97"/>
    </row>
    <row r="4037" spans="22:23">
      <c r="V4037" s="22"/>
      <c r="W4037" s="97"/>
    </row>
    <row r="4038" spans="22:23">
      <c r="V4038" s="22"/>
      <c r="W4038" s="97"/>
    </row>
    <row r="4039" spans="22:23">
      <c r="V4039" s="22"/>
      <c r="W4039" s="97"/>
    </row>
    <row r="4040" spans="22:23">
      <c r="V4040" s="22"/>
      <c r="W4040" s="97"/>
    </row>
    <row r="4041" spans="22:23">
      <c r="V4041" s="22"/>
      <c r="W4041" s="97"/>
    </row>
    <row r="4042" spans="22:23">
      <c r="V4042" s="22"/>
      <c r="W4042" s="97"/>
    </row>
    <row r="4043" spans="22:23">
      <c r="V4043" s="22"/>
      <c r="W4043" s="97"/>
    </row>
    <row r="4044" spans="22:23">
      <c r="V4044" s="22"/>
      <c r="W4044" s="97"/>
    </row>
    <row r="4045" spans="22:23">
      <c r="V4045" s="22"/>
      <c r="W4045" s="97"/>
    </row>
    <row r="4046" spans="22:23">
      <c r="V4046" s="22"/>
      <c r="W4046" s="97"/>
    </row>
    <row r="4047" spans="22:23">
      <c r="V4047" s="22"/>
      <c r="W4047" s="97"/>
    </row>
    <row r="4048" spans="22:23">
      <c r="V4048" s="22"/>
      <c r="W4048" s="97"/>
    </row>
    <row r="4049" spans="22:23">
      <c r="V4049" s="22"/>
      <c r="W4049" s="97"/>
    </row>
    <row r="4050" spans="22:23">
      <c r="V4050" s="22"/>
      <c r="W4050" s="97"/>
    </row>
    <row r="4051" spans="22:23">
      <c r="V4051" s="22"/>
      <c r="W4051" s="97"/>
    </row>
    <row r="4052" spans="22:23">
      <c r="V4052" s="22"/>
      <c r="W4052" s="97"/>
    </row>
    <row r="4053" spans="22:23">
      <c r="V4053" s="22"/>
      <c r="W4053" s="97"/>
    </row>
    <row r="4054" spans="22:23">
      <c r="V4054" s="22"/>
      <c r="W4054" s="97"/>
    </row>
    <row r="4055" spans="22:23">
      <c r="V4055" s="22"/>
      <c r="W4055" s="97"/>
    </row>
    <row r="4056" spans="22:23">
      <c r="V4056" s="22"/>
      <c r="W4056" s="97"/>
    </row>
    <row r="4057" spans="22:23">
      <c r="V4057" s="22"/>
      <c r="W4057" s="97"/>
    </row>
    <row r="4058" spans="22:23">
      <c r="V4058" s="22"/>
      <c r="W4058" s="97"/>
    </row>
    <row r="4059" spans="22:23">
      <c r="V4059" s="22"/>
      <c r="W4059" s="97"/>
    </row>
    <row r="4060" spans="22:23">
      <c r="V4060" s="22"/>
      <c r="W4060" s="97"/>
    </row>
    <row r="4061" spans="22:23">
      <c r="V4061" s="22"/>
      <c r="W4061" s="97"/>
    </row>
    <row r="4062" spans="22:23">
      <c r="V4062" s="22"/>
      <c r="W4062" s="97"/>
    </row>
    <row r="4063" spans="22:23">
      <c r="V4063" s="22"/>
      <c r="W4063" s="97"/>
    </row>
    <row r="4064" spans="22:23">
      <c r="V4064" s="22"/>
      <c r="W4064" s="97"/>
    </row>
    <row r="4065" spans="22:23">
      <c r="V4065" s="22"/>
      <c r="W4065" s="97"/>
    </row>
    <row r="4066" spans="22:23">
      <c r="V4066" s="22"/>
      <c r="W4066" s="97"/>
    </row>
    <row r="4067" spans="22:23">
      <c r="V4067" s="22"/>
      <c r="W4067" s="97"/>
    </row>
    <row r="4068" spans="22:23">
      <c r="V4068" s="22"/>
      <c r="W4068" s="97"/>
    </row>
    <row r="4069" spans="22:23">
      <c r="V4069" s="22"/>
      <c r="W4069" s="97"/>
    </row>
    <row r="4070" spans="22:23">
      <c r="V4070" s="22"/>
      <c r="W4070" s="97"/>
    </row>
    <row r="4071" spans="22:23">
      <c r="V4071" s="22"/>
      <c r="W4071" s="97"/>
    </row>
    <row r="4072" spans="22:23">
      <c r="V4072" s="22"/>
      <c r="W4072" s="97"/>
    </row>
    <row r="4073" spans="22:23">
      <c r="V4073" s="22"/>
      <c r="W4073" s="97"/>
    </row>
    <row r="4074" spans="22:23">
      <c r="V4074" s="22"/>
      <c r="W4074" s="97"/>
    </row>
    <row r="4075" spans="22:23">
      <c r="V4075" s="22"/>
      <c r="W4075" s="97"/>
    </row>
    <row r="4076" spans="22:23">
      <c r="V4076" s="22"/>
      <c r="W4076" s="97"/>
    </row>
    <row r="4077" spans="22:23">
      <c r="V4077" s="22"/>
      <c r="W4077" s="97"/>
    </row>
    <row r="4078" spans="22:23">
      <c r="V4078" s="22"/>
      <c r="W4078" s="97"/>
    </row>
    <row r="4079" spans="22:23">
      <c r="V4079" s="22"/>
      <c r="W4079" s="97"/>
    </row>
    <row r="4080" spans="22:23">
      <c r="V4080" s="22"/>
      <c r="W4080" s="97"/>
    </row>
    <row r="4081" spans="22:23">
      <c r="V4081" s="22"/>
      <c r="W4081" s="97"/>
    </row>
    <row r="4082" spans="22:23">
      <c r="V4082" s="22"/>
      <c r="W4082" s="97"/>
    </row>
    <row r="4083" spans="22:23">
      <c r="V4083" s="22"/>
      <c r="W4083" s="97"/>
    </row>
    <row r="4084" spans="22:23">
      <c r="V4084" s="22"/>
      <c r="W4084" s="97"/>
    </row>
    <row r="4085" spans="22:23">
      <c r="V4085" s="22"/>
      <c r="W4085" s="97"/>
    </row>
    <row r="4086" spans="22:23">
      <c r="V4086" s="22"/>
      <c r="W4086" s="97"/>
    </row>
    <row r="4087" spans="22:23">
      <c r="V4087" s="22"/>
      <c r="W4087" s="97"/>
    </row>
    <row r="4088" spans="22:23">
      <c r="V4088" s="22"/>
      <c r="W4088" s="97"/>
    </row>
    <row r="4089" spans="22:23">
      <c r="V4089" s="22"/>
      <c r="W4089" s="97"/>
    </row>
    <row r="4090" spans="22:23">
      <c r="V4090" s="22"/>
      <c r="W4090" s="97"/>
    </row>
    <row r="4091" spans="22:23">
      <c r="V4091" s="22"/>
      <c r="W4091" s="97"/>
    </row>
    <row r="4092" spans="22:23">
      <c r="V4092" s="22"/>
      <c r="W4092" s="97"/>
    </row>
    <row r="4093" spans="22:23">
      <c r="V4093" s="22"/>
      <c r="W4093" s="97"/>
    </row>
    <row r="4094" spans="22:23">
      <c r="V4094" s="22"/>
      <c r="W4094" s="97"/>
    </row>
    <row r="4095" spans="22:23">
      <c r="V4095" s="22"/>
      <c r="W4095" s="97"/>
    </row>
    <row r="4096" spans="22:23">
      <c r="V4096" s="22"/>
      <c r="W4096" s="97"/>
    </row>
    <row r="4097" spans="22:23">
      <c r="V4097" s="22"/>
      <c r="W4097" s="97"/>
    </row>
    <row r="4098" spans="22:23">
      <c r="V4098" s="22"/>
      <c r="W4098" s="97"/>
    </row>
    <row r="4099" spans="22:23">
      <c r="V4099" s="22"/>
      <c r="W4099" s="97"/>
    </row>
    <row r="4100" spans="22:23">
      <c r="V4100" s="22"/>
      <c r="W4100" s="97"/>
    </row>
    <row r="4101" spans="22:23">
      <c r="V4101" s="22"/>
      <c r="W4101" s="97"/>
    </row>
    <row r="4102" spans="22:23">
      <c r="V4102" s="22"/>
      <c r="W4102" s="97"/>
    </row>
    <row r="4103" spans="22:23">
      <c r="V4103" s="22"/>
      <c r="W4103" s="97"/>
    </row>
    <row r="4104" spans="22:23">
      <c r="V4104" s="22"/>
      <c r="W4104" s="97"/>
    </row>
    <row r="4105" spans="22:23">
      <c r="V4105" s="22"/>
      <c r="W4105" s="97"/>
    </row>
    <row r="4106" spans="22:23">
      <c r="V4106" s="22"/>
      <c r="W4106" s="97"/>
    </row>
    <row r="4107" spans="22:23">
      <c r="V4107" s="22"/>
      <c r="W4107" s="97"/>
    </row>
    <row r="4108" spans="22:23">
      <c r="V4108" s="22"/>
      <c r="W4108" s="97"/>
    </row>
    <row r="4109" spans="22:23">
      <c r="V4109" s="22"/>
      <c r="W4109" s="97"/>
    </row>
    <row r="4110" spans="22:23">
      <c r="V4110" s="22"/>
      <c r="W4110" s="97"/>
    </row>
    <row r="4111" spans="22:23">
      <c r="V4111" s="22"/>
      <c r="W4111" s="97"/>
    </row>
    <row r="4112" spans="22:23">
      <c r="V4112" s="22"/>
      <c r="W4112" s="97"/>
    </row>
    <row r="4113" spans="22:23">
      <c r="V4113" s="22"/>
      <c r="W4113" s="97"/>
    </row>
    <row r="4114" spans="22:23">
      <c r="V4114" s="22"/>
      <c r="W4114" s="97"/>
    </row>
    <row r="4115" spans="22:23">
      <c r="V4115" s="22"/>
      <c r="W4115" s="97"/>
    </row>
    <row r="4116" spans="22:23">
      <c r="V4116" s="22"/>
      <c r="W4116" s="97"/>
    </row>
    <row r="4117" spans="22:23">
      <c r="V4117" s="22"/>
      <c r="W4117" s="97"/>
    </row>
    <row r="4118" spans="22:23">
      <c r="V4118" s="22"/>
      <c r="W4118" s="97"/>
    </row>
    <row r="4119" spans="22:23">
      <c r="V4119" s="22"/>
      <c r="W4119" s="97"/>
    </row>
    <row r="4120" spans="22:23">
      <c r="V4120" s="22"/>
      <c r="W4120" s="97"/>
    </row>
    <row r="4121" spans="22:23">
      <c r="V4121" s="22"/>
      <c r="W4121" s="97"/>
    </row>
    <row r="4122" spans="22:23">
      <c r="V4122" s="22"/>
      <c r="W4122" s="97"/>
    </row>
    <row r="4123" spans="22:23">
      <c r="V4123" s="22"/>
      <c r="W4123" s="97"/>
    </row>
    <row r="4124" spans="22:23">
      <c r="V4124" s="22"/>
      <c r="W4124" s="97"/>
    </row>
    <row r="4125" spans="22:23">
      <c r="V4125" s="22"/>
      <c r="W4125" s="97"/>
    </row>
    <row r="4126" spans="22:23">
      <c r="V4126" s="22"/>
      <c r="W4126" s="97"/>
    </row>
    <row r="4127" spans="22:23">
      <c r="V4127" s="22"/>
      <c r="W4127" s="97"/>
    </row>
    <row r="4128" spans="22:23">
      <c r="V4128" s="22"/>
      <c r="W4128" s="97"/>
    </row>
    <row r="4129" spans="22:23">
      <c r="V4129" s="22"/>
      <c r="W4129" s="97"/>
    </row>
    <row r="4130" spans="22:23">
      <c r="V4130" s="22"/>
      <c r="W4130" s="97"/>
    </row>
    <row r="4131" spans="22:23">
      <c r="V4131" s="22"/>
      <c r="W4131" s="97"/>
    </row>
    <row r="4132" spans="22:23">
      <c r="V4132" s="22"/>
      <c r="W4132" s="97"/>
    </row>
    <row r="4133" spans="22:23">
      <c r="V4133" s="22"/>
      <c r="W4133" s="97"/>
    </row>
    <row r="4134" spans="22:23">
      <c r="V4134" s="22"/>
      <c r="W4134" s="97"/>
    </row>
    <row r="4135" spans="22:23">
      <c r="V4135" s="22"/>
      <c r="W4135" s="97"/>
    </row>
    <row r="4136" spans="22:23">
      <c r="V4136" s="22"/>
      <c r="W4136" s="97"/>
    </row>
    <row r="4137" spans="22:23">
      <c r="V4137" s="22"/>
      <c r="W4137" s="97"/>
    </row>
    <row r="4138" spans="22:23">
      <c r="V4138" s="22"/>
      <c r="W4138" s="97"/>
    </row>
    <row r="4139" spans="22:23">
      <c r="V4139" s="22"/>
      <c r="W4139" s="97"/>
    </row>
    <row r="4140" spans="22:23">
      <c r="V4140" s="22"/>
      <c r="W4140" s="97"/>
    </row>
    <row r="4141" spans="22:23">
      <c r="V4141" s="22"/>
      <c r="W4141" s="97"/>
    </row>
    <row r="4142" spans="22:23">
      <c r="V4142" s="22"/>
      <c r="W4142" s="97"/>
    </row>
    <row r="4143" spans="22:23">
      <c r="V4143" s="22"/>
      <c r="W4143" s="97"/>
    </row>
    <row r="4144" spans="22:23">
      <c r="V4144" s="22"/>
      <c r="W4144" s="97"/>
    </row>
    <row r="4145" spans="22:23">
      <c r="V4145" s="22"/>
      <c r="W4145" s="97"/>
    </row>
    <row r="4146" spans="22:23">
      <c r="V4146" s="22"/>
      <c r="W4146" s="97"/>
    </row>
    <row r="4147" spans="22:23">
      <c r="V4147" s="22"/>
      <c r="W4147" s="97"/>
    </row>
    <row r="4148" spans="22:23">
      <c r="V4148" s="22"/>
      <c r="W4148" s="97"/>
    </row>
    <row r="4149" spans="22:23">
      <c r="V4149" s="22"/>
      <c r="W4149" s="97"/>
    </row>
    <row r="4150" spans="22:23">
      <c r="V4150" s="22"/>
      <c r="W4150" s="97"/>
    </row>
    <row r="4151" spans="22:23">
      <c r="V4151" s="22"/>
      <c r="W4151" s="97"/>
    </row>
    <row r="4152" spans="22:23">
      <c r="V4152" s="22"/>
      <c r="W4152" s="97"/>
    </row>
    <row r="4153" spans="22:23">
      <c r="V4153" s="22"/>
      <c r="W4153" s="97"/>
    </row>
    <row r="4154" spans="22:23">
      <c r="V4154" s="22"/>
      <c r="W4154" s="97"/>
    </row>
    <row r="4155" spans="22:23">
      <c r="V4155" s="22"/>
      <c r="W4155" s="97"/>
    </row>
    <row r="4156" spans="22:23">
      <c r="V4156" s="22"/>
      <c r="W4156" s="97"/>
    </row>
    <row r="4157" spans="22:23">
      <c r="V4157" s="22"/>
      <c r="W4157" s="97"/>
    </row>
    <row r="4158" spans="22:23">
      <c r="V4158" s="22"/>
      <c r="W4158" s="97"/>
    </row>
    <row r="4159" spans="22:23">
      <c r="V4159" s="22"/>
      <c r="W4159" s="97"/>
    </row>
    <row r="4160" spans="22:23">
      <c r="V4160" s="22"/>
      <c r="W4160" s="97"/>
    </row>
    <row r="4161" spans="22:23">
      <c r="V4161" s="22"/>
      <c r="W4161" s="97"/>
    </row>
    <row r="4162" spans="22:23">
      <c r="V4162" s="22"/>
      <c r="W4162" s="97"/>
    </row>
    <row r="4163" spans="22:23">
      <c r="V4163" s="22"/>
      <c r="W4163" s="97"/>
    </row>
    <row r="4164" spans="22:23">
      <c r="V4164" s="22"/>
      <c r="W4164" s="97"/>
    </row>
    <row r="4165" spans="22:23">
      <c r="V4165" s="22"/>
      <c r="W4165" s="97"/>
    </row>
    <row r="4166" spans="22:23">
      <c r="V4166" s="22"/>
      <c r="W4166" s="97"/>
    </row>
    <row r="4167" spans="22:23">
      <c r="V4167" s="22"/>
      <c r="W4167" s="97"/>
    </row>
    <row r="4168" spans="22:23">
      <c r="V4168" s="22"/>
      <c r="W4168" s="97"/>
    </row>
    <row r="4169" spans="22:23">
      <c r="V4169" s="22"/>
      <c r="W4169" s="97"/>
    </row>
    <row r="4170" spans="22:23">
      <c r="V4170" s="22"/>
      <c r="W4170" s="97"/>
    </row>
    <row r="4171" spans="22:23">
      <c r="V4171" s="22"/>
      <c r="W4171" s="97"/>
    </row>
    <row r="4172" spans="22:23">
      <c r="V4172" s="22"/>
      <c r="W4172" s="97"/>
    </row>
    <row r="4173" spans="22:23">
      <c r="V4173" s="22"/>
      <c r="W4173" s="97"/>
    </row>
    <row r="4174" spans="22:23">
      <c r="V4174" s="22"/>
      <c r="W4174" s="97"/>
    </row>
    <row r="4175" spans="22:23">
      <c r="V4175" s="22"/>
      <c r="W4175" s="97"/>
    </row>
    <row r="4176" spans="22:23">
      <c r="V4176" s="22"/>
      <c r="W4176" s="97"/>
    </row>
    <row r="4177" spans="22:23">
      <c r="V4177" s="22"/>
      <c r="W4177" s="97"/>
    </row>
    <row r="4178" spans="22:23">
      <c r="V4178" s="22"/>
      <c r="W4178" s="97"/>
    </row>
    <row r="4179" spans="22:23">
      <c r="V4179" s="22"/>
      <c r="W4179" s="97"/>
    </row>
    <row r="4180" spans="22:23">
      <c r="V4180" s="22"/>
      <c r="W4180" s="97"/>
    </row>
    <row r="4181" spans="22:23">
      <c r="V4181" s="22"/>
      <c r="W4181" s="97"/>
    </row>
    <row r="4182" spans="22:23">
      <c r="V4182" s="22"/>
      <c r="W4182" s="97"/>
    </row>
    <row r="4183" spans="22:23">
      <c r="V4183" s="22"/>
      <c r="W4183" s="97"/>
    </row>
    <row r="4184" spans="22:23">
      <c r="V4184" s="22"/>
      <c r="W4184" s="97"/>
    </row>
    <row r="4185" spans="22:23">
      <c r="V4185" s="22"/>
      <c r="W4185" s="97"/>
    </row>
    <row r="4186" spans="22:23">
      <c r="V4186" s="22"/>
      <c r="W4186" s="97"/>
    </row>
    <row r="4187" spans="22:23">
      <c r="V4187" s="22"/>
      <c r="W4187" s="97"/>
    </row>
    <row r="4188" spans="22:23">
      <c r="V4188" s="22"/>
      <c r="W4188" s="97"/>
    </row>
    <row r="4189" spans="22:23">
      <c r="V4189" s="22"/>
      <c r="W4189" s="97"/>
    </row>
    <row r="4190" spans="22:23">
      <c r="V4190" s="22"/>
      <c r="W4190" s="97"/>
    </row>
    <row r="4191" spans="22:23">
      <c r="V4191" s="22"/>
      <c r="W4191" s="97"/>
    </row>
    <row r="4192" spans="22:23">
      <c r="V4192" s="22"/>
      <c r="W4192" s="97"/>
    </row>
    <row r="4193" spans="22:23">
      <c r="V4193" s="22"/>
      <c r="W4193" s="97"/>
    </row>
    <row r="4194" spans="22:23">
      <c r="V4194" s="22"/>
      <c r="W4194" s="97"/>
    </row>
    <row r="4195" spans="22:23">
      <c r="V4195" s="22"/>
      <c r="W4195" s="97"/>
    </row>
    <row r="4196" spans="22:23">
      <c r="V4196" s="22"/>
      <c r="W4196" s="97"/>
    </row>
    <row r="4197" spans="22:23">
      <c r="V4197" s="22"/>
      <c r="W4197" s="97"/>
    </row>
    <row r="4198" spans="22:23">
      <c r="V4198" s="22"/>
      <c r="W4198" s="97"/>
    </row>
    <row r="4199" spans="22:23">
      <c r="V4199" s="22"/>
      <c r="W4199" s="97"/>
    </row>
    <row r="4200" spans="22:23">
      <c r="V4200" s="22"/>
      <c r="W4200" s="97"/>
    </row>
    <row r="4201" spans="22:23">
      <c r="V4201" s="22"/>
      <c r="W4201" s="97"/>
    </row>
    <row r="4202" spans="22:23">
      <c r="V4202" s="22"/>
      <c r="W4202" s="97"/>
    </row>
    <row r="4203" spans="22:23">
      <c r="V4203" s="22"/>
      <c r="W4203" s="97"/>
    </row>
    <row r="4204" spans="22:23">
      <c r="V4204" s="22"/>
      <c r="W4204" s="97"/>
    </row>
    <row r="4205" spans="22:23">
      <c r="V4205" s="22"/>
      <c r="W4205" s="97"/>
    </row>
    <row r="4206" spans="22:23">
      <c r="V4206" s="22"/>
      <c r="W4206" s="97"/>
    </row>
    <row r="4207" spans="22:23">
      <c r="V4207" s="22"/>
      <c r="W4207" s="97"/>
    </row>
    <row r="4208" spans="22:23">
      <c r="V4208" s="22"/>
      <c r="W4208" s="97"/>
    </row>
    <row r="4209" spans="22:23">
      <c r="V4209" s="22"/>
      <c r="W4209" s="97"/>
    </row>
    <row r="4210" spans="22:23">
      <c r="V4210" s="22"/>
      <c r="W4210" s="97"/>
    </row>
    <row r="4211" spans="22:23">
      <c r="V4211" s="22"/>
      <c r="W4211" s="97"/>
    </row>
  </sheetData>
  <mergeCells count="68">
    <mergeCell ref="A1:C1"/>
    <mergeCell ref="A2:A3"/>
    <mergeCell ref="B2:B3"/>
    <mergeCell ref="C2:D2"/>
    <mergeCell ref="E2:F2"/>
    <mergeCell ref="AJ2:AK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V2:BY2"/>
    <mergeCell ref="BZ2:CC2"/>
    <mergeCell ref="CD2:CG2"/>
    <mergeCell ref="CH2:CK2"/>
    <mergeCell ref="CL2:CO2"/>
    <mergeCell ref="CP2:CS2"/>
    <mergeCell ref="CT2:CW2"/>
    <mergeCell ref="CX2:DA2"/>
    <mergeCell ref="DB2:DE2"/>
    <mergeCell ref="DF2:DI2"/>
    <mergeCell ref="DJ2:DM2"/>
    <mergeCell ref="DN2:DQ2"/>
    <mergeCell ref="DR2:DU2"/>
    <mergeCell ref="DV2:DY2"/>
    <mergeCell ref="DZ2:EC2"/>
    <mergeCell ref="ED2:EG2"/>
    <mergeCell ref="EH2:EK2"/>
    <mergeCell ref="EL2:EO2"/>
    <mergeCell ref="EP2:ES2"/>
    <mergeCell ref="ET2:EW2"/>
    <mergeCell ref="EX2:FA2"/>
    <mergeCell ref="FB2:FE2"/>
    <mergeCell ref="FF2:FI2"/>
    <mergeCell ref="FJ2:FM2"/>
    <mergeCell ref="FN2:FQ2"/>
    <mergeCell ref="FR2:FU2"/>
    <mergeCell ref="FV2:FY2"/>
    <mergeCell ref="FZ2:GC2"/>
    <mergeCell ref="GD2:GG2"/>
    <mergeCell ref="GH2:GK2"/>
    <mergeCell ref="GL2:GO2"/>
    <mergeCell ref="GP2:GS2"/>
    <mergeCell ref="GT2:GW2"/>
    <mergeCell ref="GX2:HA2"/>
    <mergeCell ref="HB2:HE2"/>
    <mergeCell ref="V3:AB3"/>
    <mergeCell ref="U14:U15"/>
    <mergeCell ref="V14:W14"/>
    <mergeCell ref="Z15:AB15"/>
    <mergeCell ref="Z16:AB16"/>
    <mergeCell ref="Z17:AB17"/>
    <mergeCell ref="Z18:AB18"/>
    <mergeCell ref="Z19:AB19"/>
    <mergeCell ref="Y26:AA26"/>
    <mergeCell ref="AQ61:AS61"/>
    <mergeCell ref="C145:F145"/>
    <mergeCell ref="AQ62:AS62"/>
    <mergeCell ref="AQ63:AS63"/>
    <mergeCell ref="O125:P125"/>
    <mergeCell ref="R125:S126"/>
    <mergeCell ref="R127:R129"/>
    <mergeCell ref="S127:S129"/>
    <mergeCell ref="O128:P128"/>
  </mergeCells>
  <phoneticPr fontId="167" type="noConversion"/>
  <pageMargins left="0.69986110925674438" right="0.69986110925674438" top="0.75" bottom="0.75" header="0.30000001192092896" footer="0.30000001192092896"/>
  <pageSetup paperSize="9"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>
    <tabColor rgb="FFFF0000"/>
  </sheetPr>
  <dimension ref="A1:AC60"/>
  <sheetViews>
    <sheetView showGridLines="0" tabSelected="1" zoomScale="190" zoomScaleNormal="190" zoomScaleSheetLayoutView="202" workbookViewId="0">
      <pane xSplit="2" ySplit="6" topLeftCell="N7" activePane="bottomRight" state="frozen"/>
      <selection pane="topRight" activeCell="C1" sqref="C1"/>
      <selection pane="bottomLeft" activeCell="A7" sqref="A7"/>
      <selection pane="bottomRight" activeCell="J7" sqref="J7"/>
    </sheetView>
  </sheetViews>
  <sheetFormatPr baseColWidth="10" defaultColWidth="9" defaultRowHeight="11.25" customHeight="1"/>
  <cols>
    <col min="1" max="1" width="10" style="123" customWidth="1"/>
    <col min="2" max="5" width="8.5" style="123" customWidth="1"/>
    <col min="6" max="6" width="8.6640625" style="123" customWidth="1"/>
    <col min="7" max="7" width="8.83203125" style="123" customWidth="1"/>
    <col min="8" max="8" width="9" style="123" customWidth="1"/>
    <col min="9" max="10" width="8.5" style="123" customWidth="1"/>
    <col min="11" max="11" width="8" style="123" customWidth="1"/>
    <col min="12" max="12" width="8.1640625" style="123" customWidth="1"/>
    <col min="13" max="14" width="8.5" style="123" customWidth="1"/>
    <col min="15" max="15" width="8.83203125" style="123" customWidth="1"/>
    <col min="16" max="16" width="1" style="123" customWidth="1"/>
    <col min="17" max="17" width="16.5" style="123" customWidth="1"/>
    <col min="18" max="18" width="7" style="123" customWidth="1"/>
    <col min="19" max="19" width="8.6640625" style="123" customWidth="1"/>
    <col min="20" max="20" width="7.5" style="123" customWidth="1"/>
    <col min="21" max="24" width="9" style="123"/>
    <col min="25" max="25" width="12.6640625" style="123" customWidth="1"/>
    <col min="26" max="26" width="9" style="123" bestFit="1" customWidth="1"/>
    <col min="27" max="27" width="27.6640625" style="123" bestFit="1" customWidth="1"/>
    <col min="28" max="28" width="9" style="123"/>
    <col min="29" max="29" width="27.6640625" style="123" bestFit="1" customWidth="1"/>
    <col min="30" max="16384" width="9" style="123"/>
  </cols>
  <sheetData>
    <row r="1" spans="1:29" ht="18" customHeight="1">
      <c r="A1" s="352" t="s">
        <v>131</v>
      </c>
      <c r="B1" s="353">
        <f>집계표!AQ63</f>
        <v>58134</v>
      </c>
      <c r="C1" s="1055"/>
      <c r="D1" s="1056" t="str">
        <f ca="1">RIGHT(CELL("filename",A5),LEN(CELL("filename",A5))-FIND("]",CELL("filename",A5)))</f>
        <v>2025</v>
      </c>
      <c r="E1" s="1057" t="s">
        <v>428</v>
      </c>
      <c r="F1" s="1057"/>
      <c r="G1" s="1057"/>
      <c r="H1" s="386" t="s">
        <v>41</v>
      </c>
      <c r="I1" s="387">
        <f>gg!$B$5</f>
        <v>58500</v>
      </c>
      <c r="K1" s="607" t="s">
        <v>280</v>
      </c>
      <c r="L1" s="624">
        <f>집계표!C119</f>
        <v>2</v>
      </c>
      <c r="M1" s="625">
        <f>집계표!C122</f>
        <v>1</v>
      </c>
      <c r="N1" s="623" t="s">
        <v>407</v>
      </c>
      <c r="S1" s="163"/>
      <c r="T1" s="163"/>
      <c r="U1" s="163"/>
      <c r="V1" s="170" t="s">
        <v>16</v>
      </c>
      <c r="W1" s="163"/>
      <c r="X1" s="163"/>
      <c r="Y1" s="163"/>
      <c r="Z1" s="163"/>
      <c r="AA1" s="163"/>
      <c r="AB1" s="163"/>
      <c r="AC1" s="163"/>
    </row>
    <row r="2" spans="1:29" ht="14.25" customHeight="1">
      <c r="A2" s="604" t="s">
        <v>186</v>
      </c>
      <c r="B2" s="1058">
        <v>35431</v>
      </c>
      <c r="C2" s="1047"/>
      <c r="D2" s="599" t="s">
        <v>398</v>
      </c>
      <c r="E2" s="709">
        <f>집계표!M38-1</f>
        <v>0</v>
      </c>
      <c r="F2" s="712"/>
      <c r="G2" s="707" t="s">
        <v>45</v>
      </c>
      <c r="H2" s="628">
        <f>집계표!Z146+7</f>
        <v>12</v>
      </c>
      <c r="I2" s="605"/>
      <c r="J2" s="693" t="s">
        <v>38</v>
      </c>
      <c r="K2" s="599">
        <f>집계표!V146-1</f>
        <v>2</v>
      </c>
      <c r="L2" s="714"/>
      <c r="M2" s="716" t="s">
        <v>316</v>
      </c>
      <c r="N2" s="717" t="str">
        <f>집계표!AL53</f>
        <v>A</v>
      </c>
      <c r="O2" s="134"/>
      <c r="P2" s="134"/>
      <c r="S2" s="163"/>
      <c r="T2" s="163"/>
      <c r="U2" s="163"/>
      <c r="V2" s="163"/>
      <c r="W2" s="163"/>
      <c r="X2" s="163"/>
      <c r="Y2" s="163"/>
      <c r="Z2" s="163"/>
      <c r="AA2" s="163"/>
      <c r="AB2" s="163"/>
      <c r="AC2" s="163"/>
    </row>
    <row r="3" spans="1:29" ht="9.75" customHeight="1">
      <c r="A3" s="173" t="s">
        <v>512</v>
      </c>
      <c r="B3" s="174">
        <v>1</v>
      </c>
      <c r="C3" s="174">
        <v>2</v>
      </c>
      <c r="D3" s="708">
        <v>3</v>
      </c>
      <c r="E3" s="708">
        <v>4</v>
      </c>
      <c r="F3" s="708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708">
        <v>12</v>
      </c>
      <c r="N3" s="715" t="s">
        <v>510</v>
      </c>
      <c r="X3" s="163"/>
      <c r="Y3" s="163"/>
      <c r="Z3" s="163"/>
      <c r="AA3" s="163"/>
      <c r="AB3" s="163"/>
      <c r="AC3" s="163"/>
    </row>
    <row r="4" spans="1:29" ht="10.5" customHeight="1">
      <c r="A4" s="176" t="s">
        <v>439</v>
      </c>
      <c r="B4" s="711">
        <f>H2</f>
        <v>12</v>
      </c>
      <c r="C4" s="176">
        <f>IF(B4="","",IF(B4&gt;=50,50,IF(AND(B4=50,C$3=$N$5),"",IF(C$3=$N$5,B4+1,B4))))</f>
        <v>12</v>
      </c>
      <c r="D4" s="176">
        <f>IF(E2="y",H2,IF(AND(C4&gt;=8,C5&gt;=0,$D$3=$N$5),C4+1,IF(C4&gt;=50,50,IF(AND(C4=50,D$3=$N$5),"",C4))))</f>
        <v>12</v>
      </c>
      <c r="E4" s="176">
        <f t="shared" ref="E4:M4" si="0">IF(D4&gt;=50,50,IF(AND(D4=50,E$3=$N$5),"",IF(E$3=$N$5,D4+1,D4)))</f>
        <v>12</v>
      </c>
      <c r="F4" s="176">
        <f t="shared" si="0"/>
        <v>12</v>
      </c>
      <c r="G4" s="176">
        <f t="shared" si="0"/>
        <v>12</v>
      </c>
      <c r="H4" s="176">
        <f t="shared" si="0"/>
        <v>12</v>
      </c>
      <c r="I4" s="176">
        <f t="shared" si="0"/>
        <v>12</v>
      </c>
      <c r="J4" s="176">
        <f t="shared" si="0"/>
        <v>13</v>
      </c>
      <c r="K4" s="176">
        <f t="shared" si="0"/>
        <v>13</v>
      </c>
      <c r="L4" s="176">
        <f t="shared" si="0"/>
        <v>13</v>
      </c>
      <c r="M4" s="176">
        <f t="shared" si="0"/>
        <v>13</v>
      </c>
      <c r="N4" s="172" t="s">
        <v>296</v>
      </c>
      <c r="Q4" s="677"/>
      <c r="S4" s="677"/>
      <c r="X4" s="163"/>
      <c r="Y4" s="163"/>
      <c r="Z4" s="163"/>
      <c r="AA4" s="163"/>
      <c r="AB4" s="163"/>
      <c r="AC4" s="163"/>
    </row>
    <row r="5" spans="1:29" ht="10.5" customHeight="1">
      <c r="A5" s="176" t="s">
        <v>73</v>
      </c>
      <c r="B5" s="176">
        <f>K2</f>
        <v>2</v>
      </c>
      <c r="C5" s="176">
        <f>IF(C$3=$N$5,B5+1,B5)</f>
        <v>2</v>
      </c>
      <c r="D5" s="176">
        <f>IF(AND(B4&gt;=1,D$3=$N$5),C5+1,IF(AND(B5="",C5="",D$3=$N$5),0,C5))</f>
        <v>2</v>
      </c>
      <c r="E5" s="176">
        <f t="shared" ref="E5:M5" si="1">IF(AND(C4&gt;=1,E$3=$N$5),D5+1,IF(AND(C5="",D5="",E$3=$N$5),0,D5))</f>
        <v>2</v>
      </c>
      <c r="F5" s="176">
        <f t="shared" si="1"/>
        <v>2</v>
      </c>
      <c r="G5" s="176">
        <f t="shared" si="1"/>
        <v>2</v>
      </c>
      <c r="H5" s="176">
        <f t="shared" si="1"/>
        <v>2</v>
      </c>
      <c r="I5" s="176">
        <f t="shared" si="1"/>
        <v>2</v>
      </c>
      <c r="J5" s="176">
        <f t="shared" si="1"/>
        <v>3</v>
      </c>
      <c r="K5" s="176">
        <f t="shared" si="1"/>
        <v>3</v>
      </c>
      <c r="L5" s="176">
        <f t="shared" si="1"/>
        <v>3</v>
      </c>
      <c r="M5" s="176">
        <f t="shared" si="1"/>
        <v>3</v>
      </c>
      <c r="N5" s="177">
        <f>IF(집계표!I18=13,"해당無",집계표!I18)</f>
        <v>9</v>
      </c>
      <c r="Q5" s="1259" t="s">
        <v>665</v>
      </c>
      <c r="R5" s="1259"/>
      <c r="S5" s="1259"/>
      <c r="T5" s="1260" t="s">
        <v>403</v>
      </c>
      <c r="U5" s="1260"/>
      <c r="X5" s="163"/>
      <c r="Y5" s="163"/>
      <c r="Z5" s="163"/>
      <c r="AA5" s="163"/>
      <c r="AB5" s="163"/>
      <c r="AC5" s="163"/>
    </row>
    <row r="6" spans="1:29" ht="9.75" customHeight="1">
      <c r="A6" s="210" t="s">
        <v>454</v>
      </c>
      <c r="B6" s="179">
        <f>IF(B3&lt;E$2,"",IF(OR(B4="",B4&lt;7),"",VLOOKUP(B4,gibon40!$A$5:$B$47,2,1)))</f>
        <v>2455700</v>
      </c>
      <c r="C6" s="179">
        <f>IF(C3&lt;E$2,"",IF(OR(C4="",C4&lt;7),"",VLOOKUP(C4,gibon40!$A$5:$B$47,2,1)))</f>
        <v>2455700</v>
      </c>
      <c r="D6" s="179">
        <f>IF(D3&lt;E$2,"",IF(OR(D4="",D4&lt;7),"",VLOOKUP(D4,gibon40!$A$5:$B$47,2,1)))</f>
        <v>2455700</v>
      </c>
      <c r="E6" s="179">
        <f>IF(E3&lt;E$2,"",IF(OR(E4="",E4&lt;7),"",VLOOKUP(E4,gibon40!$A$5:$B$47,2,1)))</f>
        <v>2455700</v>
      </c>
      <c r="F6" s="179">
        <f>IF(F3&lt;E$2,"",IF(OR(F4="",F4&lt;7),"",VLOOKUP(F4,gibon40!$A$5:$B$47,2,1)))</f>
        <v>2455700</v>
      </c>
      <c r="G6" s="179">
        <f>IF(G3&lt;E$2,"",IF(OR(G4="",G4&lt;7),"",VLOOKUP(G4,gibon40!$A$5:$B$47,2,1)))</f>
        <v>2455700</v>
      </c>
      <c r="H6" s="179">
        <f>IF(H3&lt;E$2,"",IF(OR(H4="",H4&lt;7),"",VLOOKUP(H4,gibon40!$A$5:$B$47,2,1)))</f>
        <v>2455700</v>
      </c>
      <c r="I6" s="179">
        <f>IF(I3&lt;E$2,"",IF(OR(I4="",I4&lt;7),"",VLOOKUP(I4,gibon40!$A$5:$B$47,2,1)))</f>
        <v>2455700</v>
      </c>
      <c r="J6" s="179">
        <f>IF(J3&lt;E$2,"",IF(OR(J4="",J4&lt;7),"",VLOOKUP(J4,gibon40!$A$5:$B$47,2,1)))</f>
        <v>2567600</v>
      </c>
      <c r="K6" s="179">
        <f>IF(K3&lt;E$2,"",IF(OR(K4="",K4&lt;7),"",VLOOKUP(K4,gibon40!$A$5:$B$47,2,1)))</f>
        <v>2567600</v>
      </c>
      <c r="L6" s="179">
        <f>IF(L3&lt;E$2,"",IF(OR(L4="",L4&lt;7),"",VLOOKUP(L4,gibon40!$A$5:$B$47,2,1)))</f>
        <v>2567600</v>
      </c>
      <c r="M6" s="179">
        <f>IF(M3&lt;E$2,"",IF(OR(M4="",M4&lt;7),"",VLOOKUP(M4,gibon40!$A$5:$B$47,2,1)))</f>
        <v>2567600</v>
      </c>
      <c r="N6" s="179">
        <f t="shared" ref="N6:N52" si="2">SUM(B6:M6)</f>
        <v>29916000</v>
      </c>
      <c r="Q6" s="619"/>
      <c r="R6" s="619"/>
      <c r="X6" s="163"/>
      <c r="Y6" s="163"/>
      <c r="Z6" s="163"/>
      <c r="AA6" s="163"/>
      <c r="AB6" s="163"/>
      <c r="AC6" s="163"/>
    </row>
    <row r="7" spans="1:29" ht="12" customHeight="1">
      <c r="A7" s="1048" t="s">
        <v>336</v>
      </c>
      <c r="B7" s="180">
        <f>ROUNDDOWN(IF(B6="",0,IF(B5&gt;=10,B6*50%,IF(B5=9,B6*45%,IF(B5=8,B6*40%,IF(B5=7,B6*35%,IF(B5=6,B6*30%,IF(B5=5,B6*25%,IF(B5=4,B6*20%,IF(B5=3,B6*20%,IF(B5=2,B6*20%,IF(B5=1,B6*10%,IF(B5=0,B6*10%,0))))))))))))*집계표!I34,-1)</f>
        <v>491140</v>
      </c>
      <c r="C7" s="180"/>
      <c r="D7" s="180"/>
      <c r="E7" s="180"/>
      <c r="F7" s="180"/>
      <c r="G7" s="180"/>
      <c r="H7" s="180">
        <f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491140</v>
      </c>
      <c r="I7" s="180"/>
      <c r="J7" s="180"/>
      <c r="K7" s="180"/>
      <c r="L7" s="180"/>
      <c r="M7" s="180"/>
      <c r="N7" s="179">
        <f t="shared" si="2"/>
        <v>982280</v>
      </c>
      <c r="Q7" s="170" t="s">
        <v>7</v>
      </c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</row>
    <row r="8" spans="1:29" ht="9.75" customHeight="1">
      <c r="A8" s="178" t="s">
        <v>666</v>
      </c>
      <c r="B8" s="179">
        <f>IF(B6="",0,IF(B5&gt;=20,100000,IF(B5&gt;=15,80000,IF(B5&gt;=10,60000,IF(B5&gt;=5,50000,30000)))))</f>
        <v>30000</v>
      </c>
      <c r="C8" s="179">
        <f>IF(C6="",0,IF(C5&gt;=20,100000,IF(C5&gt;=15,80000,IF(C5&gt;=10,60000,IF(C5&gt;=5,50000,30000)))))</f>
        <v>30000</v>
      </c>
      <c r="D8" s="179">
        <f>IF(D6="",0,IF(D5&gt;=20,100000,IF(D5&gt;=15,80000,IF(D5&gt;=10,60000,IF(D5&gt;=5,50000,30000)))))</f>
        <v>30000</v>
      </c>
      <c r="E8" s="179">
        <f t="shared" ref="E8:M8" si="3">IF(E6="",0,IF(E5&gt;=20,100000,IF(E5&gt;=15,80000,IF(E5&gt;=10,60000,IF(E5&gt;=5,50000,30000)))))</f>
        <v>30000</v>
      </c>
      <c r="F8" s="179">
        <f t="shared" si="3"/>
        <v>30000</v>
      </c>
      <c r="G8" s="179">
        <f t="shared" si="3"/>
        <v>30000</v>
      </c>
      <c r="H8" s="179">
        <f t="shared" si="3"/>
        <v>30000</v>
      </c>
      <c r="I8" s="179">
        <f t="shared" si="3"/>
        <v>30000</v>
      </c>
      <c r="J8" s="179">
        <f t="shared" si="3"/>
        <v>30000</v>
      </c>
      <c r="K8" s="179">
        <f t="shared" si="3"/>
        <v>30000</v>
      </c>
      <c r="L8" s="179">
        <f t="shared" si="3"/>
        <v>30000</v>
      </c>
      <c r="M8" s="179">
        <f t="shared" si="3"/>
        <v>30000</v>
      </c>
      <c r="N8" s="179">
        <f t="shared" si="2"/>
        <v>360000</v>
      </c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</row>
    <row r="9" spans="1:29" ht="9.75" customHeight="1">
      <c r="A9" s="178" t="s">
        <v>72</v>
      </c>
      <c r="B9" s="179">
        <f t="shared" ref="B9:M9" si="4">IF(B6="",0,IF(AND(B5&gt;=20,B5&lt;25),10000,IF(B5&gt;=25,30000,0)))</f>
        <v>0</v>
      </c>
      <c r="C9" s="179">
        <f t="shared" si="4"/>
        <v>0</v>
      </c>
      <c r="D9" s="179">
        <f t="shared" si="4"/>
        <v>0</v>
      </c>
      <c r="E9" s="179">
        <f t="shared" si="4"/>
        <v>0</v>
      </c>
      <c r="F9" s="179">
        <f t="shared" si="4"/>
        <v>0</v>
      </c>
      <c r="G9" s="179">
        <f t="shared" si="4"/>
        <v>0</v>
      </c>
      <c r="H9" s="179">
        <f t="shared" si="4"/>
        <v>0</v>
      </c>
      <c r="I9" s="179">
        <f t="shared" si="4"/>
        <v>0</v>
      </c>
      <c r="J9" s="179">
        <f t="shared" si="4"/>
        <v>0</v>
      </c>
      <c r="K9" s="179">
        <f t="shared" si="4"/>
        <v>0</v>
      </c>
      <c r="L9" s="179">
        <f t="shared" si="4"/>
        <v>0</v>
      </c>
      <c r="M9" s="179">
        <f t="shared" si="4"/>
        <v>0</v>
      </c>
      <c r="N9" s="179">
        <f t="shared" si="2"/>
        <v>0</v>
      </c>
      <c r="Q9" s="43" t="str">
        <f ca="1">"◈ "&amp;$D$1&amp;"시트에서"</f>
        <v>◈ 2025시트에서</v>
      </c>
      <c r="R9" s="699"/>
      <c r="Z9" s="163"/>
      <c r="AA9" s="163"/>
      <c r="AB9" s="163"/>
      <c r="AC9" s="163"/>
    </row>
    <row r="10" spans="1:29" ht="9.75" customHeight="1">
      <c r="A10" s="181" t="s">
        <v>442</v>
      </c>
      <c r="B10" s="180" t="str">
        <f>IF(B6="","",IF(B3&lt;&gt;집계표!$AL$60,"",IF(B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C10" s="180" t="str">
        <f>IF(C6="","",IF(C3&lt;&gt;집계표!$AL$60,"",IF(C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D10" s="180">
        <f ca="1">IF(D6="","",IF(D3&lt;&gt;집계표!$AL$60,"",IF(D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>4273220</v>
      </c>
      <c r="E10" s="180" t="str">
        <f>IF(E6="","",IF(E3&lt;&gt;집계표!$AL$60,"",IF(E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F10" s="180" t="str">
        <f>IF(F6="","",IF(F3&lt;&gt;집계표!$AL$60,"",IF(F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G10" s="180" t="str">
        <f>IF(G6="","",IF(G3&lt;&gt;집계표!$AL$60,"",IF(G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H10" s="180" t="str">
        <f>IF(H6="","",IF(H3&lt;&gt;집계표!$AL$60,"",IF(H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I10" s="180" t="str">
        <f>IF(I6="","",IF(I3&lt;&gt;집계표!$AL$60,"",IF(I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J10" s="180" t="str">
        <f>IF(J6="","",IF(J3&lt;&gt;집계표!$AL$60,"",IF(J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K10" s="180" t="str">
        <f>IF(K6="","",IF(K3&lt;&gt;집계표!$AL$60,"",IF(K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L10" s="180" t="str">
        <f>IF(L6="","",IF(L3&lt;&gt;집계표!$AL$60,"",IF(L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M10" s="180" t="str">
        <f>IF(M6="","",IF(M3&lt;&gt;집계표!$AL$60,"",IF(M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N10" s="179">
        <f ca="1">SUM(B10:M10)</f>
        <v>4273220</v>
      </c>
      <c r="Q10" s="190" t="s">
        <v>412</v>
      </c>
      <c r="R10" s="163"/>
      <c r="S10" s="163"/>
      <c r="T10" s="163"/>
      <c r="U10" s="163"/>
      <c r="V10" s="163"/>
      <c r="W10" s="163"/>
      <c r="X10" s="163"/>
      <c r="Y10" s="163"/>
      <c r="AA10" s="163"/>
      <c r="AB10" s="163"/>
      <c r="AC10" s="163"/>
    </row>
    <row r="11" spans="1:29" ht="9.75" customHeight="1">
      <c r="A11" s="724" t="s">
        <v>63</v>
      </c>
      <c r="B11" s="725">
        <f>IF(B6="","",IF(집계표!AB33=1,140000,IF(집계표!AB33=2,150000,IF(집계표!AB33=3,160000,IF(집계표!AB33=4,170000,IF(집계표!AB33=5,180000,IF(집계표!AB33=6,190000,IF(집계표!AB33=7,200000,IF(집계표!AB33=8,210000,IF(집계표!AB33=9,220000,IF(집계표!AB33=10,230000,IF(집계표!AB33=11,240000,IF(집계표!AB33=12,250000,IF(집계표!AB33=13,260000,IF(집계표!AB33=14,260000,IF(집계표!AB33=15,270000,IF(집계표!AB33=16,80000,"")))))))))))))))))</f>
        <v>140000</v>
      </c>
      <c r="C11" s="179">
        <f>IF(C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D11" s="179">
        <f>IF(D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E11" s="179">
        <f>IF(E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F11" s="179">
        <f>IF(F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G11" s="179">
        <f>IF(G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H11" s="179">
        <f>IF(H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I11" s="179">
        <f>IF(I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J11" s="179">
        <f>IF(J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K11" s="179">
        <f>IF(K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L11" s="179">
        <f>IF(L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M11" s="179">
        <f>IF(M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N11" s="179">
        <f t="shared" si="2"/>
        <v>1680000</v>
      </c>
      <c r="Q11" s="191" t="s">
        <v>6</v>
      </c>
      <c r="AA11" s="163"/>
      <c r="AB11" s="163"/>
      <c r="AC11" s="163"/>
    </row>
    <row r="12" spans="1:29" ht="9.75" customHeight="1">
      <c r="A12" s="178" t="s">
        <v>69</v>
      </c>
      <c r="B12" s="180">
        <f ca="1">IF(B6="","",IF(VLOOKUP($D$1+0,집계표!$Y$49:$AA$108,2)=B3,B6*0.6,0))</f>
        <v>1473420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1540560</v>
      </c>
      <c r="L12" s="179"/>
      <c r="M12" s="179"/>
      <c r="N12" s="179">
        <f ca="1">SUM(B12:M12)</f>
        <v>3013980</v>
      </c>
      <c r="Q12" s="190" t="s">
        <v>378</v>
      </c>
      <c r="AA12" s="163"/>
      <c r="AB12" s="163"/>
      <c r="AC12" s="163"/>
    </row>
    <row r="13" spans="1:29" ht="9.75" customHeight="1">
      <c r="A13" s="178" t="s">
        <v>67</v>
      </c>
      <c r="B13" s="179">
        <f>IF(B6="",0,IF($B$4="",0,250000))</f>
        <v>250000</v>
      </c>
      <c r="C13" s="179">
        <f t="shared" ref="C13:M13" si="5">IF(C6="",0,IF($B$4="",0,250000))</f>
        <v>250000</v>
      </c>
      <c r="D13" s="179">
        <f>IF(D6="",0,IF($B$4="",0,250000))</f>
        <v>250000</v>
      </c>
      <c r="E13" s="179">
        <f t="shared" si="5"/>
        <v>250000</v>
      </c>
      <c r="F13" s="179">
        <f t="shared" si="5"/>
        <v>250000</v>
      </c>
      <c r="G13" s="179">
        <f t="shared" si="5"/>
        <v>250000</v>
      </c>
      <c r="H13" s="179">
        <f t="shared" si="5"/>
        <v>250000</v>
      </c>
      <c r="I13" s="179">
        <f t="shared" si="5"/>
        <v>250000</v>
      </c>
      <c r="J13" s="179">
        <f t="shared" si="5"/>
        <v>250000</v>
      </c>
      <c r="K13" s="179">
        <f t="shared" si="5"/>
        <v>250000</v>
      </c>
      <c r="L13" s="179">
        <f t="shared" si="5"/>
        <v>250000</v>
      </c>
      <c r="M13" s="179">
        <f t="shared" si="5"/>
        <v>250000</v>
      </c>
      <c r="N13" s="179">
        <f t="shared" si="2"/>
        <v>3000000</v>
      </c>
      <c r="Q13" s="191" t="s">
        <v>656</v>
      </c>
      <c r="Z13" s="163"/>
      <c r="AA13" s="163"/>
      <c r="AB13" s="163"/>
      <c r="AC13" s="163"/>
    </row>
    <row r="14" spans="1:29" ht="9.75" customHeight="1">
      <c r="A14" s="606" t="str">
        <f>IF(L1=1,"비담임",IF(L1=2,"담임수당",IF(L1=3,"교감직급보조비",IF(L1=4,"교장직급보조비",""))))</f>
        <v>담임수당</v>
      </c>
      <c r="B14" s="179"/>
      <c r="C14" s="179">
        <f t="shared" ref="C14:M14" si="6">IF(C6="",0,IF($L$1=1,0,IF($L$1=2,200000,IF($L$1=3,300000,IF($L$1=4,450000,"오류")))))</f>
        <v>200000</v>
      </c>
      <c r="D14" s="179">
        <f t="shared" si="6"/>
        <v>200000</v>
      </c>
      <c r="E14" s="179">
        <f t="shared" si="6"/>
        <v>200000</v>
      </c>
      <c r="F14" s="179">
        <f t="shared" si="6"/>
        <v>200000</v>
      </c>
      <c r="G14" s="179">
        <f t="shared" si="6"/>
        <v>200000</v>
      </c>
      <c r="H14" s="179">
        <f t="shared" si="6"/>
        <v>200000</v>
      </c>
      <c r="I14" s="179">
        <f t="shared" si="6"/>
        <v>200000</v>
      </c>
      <c r="J14" s="179">
        <f t="shared" si="6"/>
        <v>200000</v>
      </c>
      <c r="K14" s="179">
        <f t="shared" si="6"/>
        <v>200000</v>
      </c>
      <c r="L14" s="179">
        <f t="shared" si="6"/>
        <v>200000</v>
      </c>
      <c r="M14" s="179">
        <f t="shared" si="6"/>
        <v>200000</v>
      </c>
      <c r="N14" s="179">
        <f t="shared" si="2"/>
        <v>2200000</v>
      </c>
      <c r="Q14" s="190" t="s">
        <v>13</v>
      </c>
      <c r="W14" s="146" t="s">
        <v>19</v>
      </c>
      <c r="Z14" s="163"/>
      <c r="AA14" s="163"/>
      <c r="AB14" s="163"/>
      <c r="AC14" s="163"/>
    </row>
    <row r="15" spans="1:29" ht="9.75" customHeight="1">
      <c r="A15" s="606" t="str">
        <f>IF(L1=4,"교장관리수당",IF(OR(M1=1,M1=2,L1=3),"부장수당",""))</f>
        <v>부장수당</v>
      </c>
      <c r="B15" s="179">
        <f>IF(B6="",0,IF($A$15="교장관리수당",ROUNDDOWN(B6*7.8%,-1),IF(L1=3,0,IF($M$1=1,0,IF($M$1=2,150000,0)))))</f>
        <v>0</v>
      </c>
      <c r="C15" s="179">
        <f>IF(C6="",0,IF($A$15="교장관리수당",ROUNDDOWN(C6*7.8%,-1),IF(M1=3,0,IF($M$1=1,0,IF($M$1=2,150000,0)))))</f>
        <v>0</v>
      </c>
      <c r="D15" s="179">
        <f>IF(D6="",0,IF($A$15="교장관리수당",ROUNDDOWN(D6*7.8%,-1),IF(N1=3,0,IF($M$1=1,0,IF($M$1=2,150000,0)))))</f>
        <v>0</v>
      </c>
      <c r="E15" s="179">
        <f t="shared" ref="E15:M15" si="7">IF(E6="",0,IF($A$15="교장관리수당",ROUNDDOWN(E6*7.8%,-1),IF(O1=3,0,IF($M$1=1,0,IF($M$1=2,150000,0)))))</f>
        <v>0</v>
      </c>
      <c r="F15" s="179">
        <f t="shared" si="7"/>
        <v>0</v>
      </c>
      <c r="G15" s="179">
        <f t="shared" si="7"/>
        <v>0</v>
      </c>
      <c r="H15" s="179">
        <f t="shared" si="7"/>
        <v>0</v>
      </c>
      <c r="I15" s="179">
        <f t="shared" si="7"/>
        <v>0</v>
      </c>
      <c r="J15" s="179">
        <f t="shared" si="7"/>
        <v>0</v>
      </c>
      <c r="K15" s="179">
        <f t="shared" si="7"/>
        <v>0</v>
      </c>
      <c r="L15" s="179">
        <f t="shared" si="7"/>
        <v>0</v>
      </c>
      <c r="M15" s="179">
        <f t="shared" si="7"/>
        <v>0</v>
      </c>
      <c r="N15" s="179">
        <f t="shared" si="2"/>
        <v>0</v>
      </c>
      <c r="Z15" s="163"/>
      <c r="AA15" s="163"/>
      <c r="AB15" s="163"/>
      <c r="AC15" s="163"/>
    </row>
    <row r="16" spans="1:29" ht="9.75" customHeight="1">
      <c r="A16" s="606" t="s">
        <v>331</v>
      </c>
      <c r="B16" s="179">
        <f>IF(B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C16" s="179">
        <f>IF(C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D16" s="179">
        <f>IF(D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E16" s="179">
        <f>IF(E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F16" s="179">
        <f>IF(F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G16" s="179">
        <f>IF(G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H16" s="179">
        <f>IF(H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I16" s="179">
        <f>IF(I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J16" s="179">
        <f>IF(J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K16" s="179">
        <f>IF(K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L16" s="179">
        <f>IF(L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M16" s="179">
        <f>IF(M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N16" s="179">
        <f t="shared" si="2"/>
        <v>0</v>
      </c>
      <c r="Q16" s="191" t="s">
        <v>11</v>
      </c>
      <c r="Z16" s="163"/>
      <c r="AA16" s="163"/>
      <c r="AB16" s="163"/>
      <c r="AC16" s="163"/>
    </row>
    <row r="17" spans="1:29" ht="9.75" customHeight="1">
      <c r="A17" s="606" t="s">
        <v>338</v>
      </c>
      <c r="B17" s="179">
        <f>IF(B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C17" s="179">
        <f>IF(C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D17" s="179">
        <f>IF(D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E17" s="179">
        <f>IF(E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F17" s="179">
        <f>IF(F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G17" s="179">
        <f>IF(G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H17" s="179">
        <f>IF(H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I17" s="179">
        <f>IF(I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J17" s="179">
        <f>IF(J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K17" s="179">
        <f>IF(K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L17" s="179">
        <f>IF(L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M17" s="179">
        <f>IF(M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N17" s="179">
        <f t="shared" si="2"/>
        <v>900000</v>
      </c>
      <c r="Q17" s="190" t="s">
        <v>2</v>
      </c>
      <c r="AA17" s="190"/>
      <c r="AB17" s="163"/>
      <c r="AC17" s="163"/>
    </row>
    <row r="18" spans="1:29" ht="9.75" customHeight="1">
      <c r="A18" s="606" t="s">
        <v>286</v>
      </c>
      <c r="B18" s="701">
        <f>IF(B6="",0,IF(L1=4,"별도지급",0))</f>
        <v>0</v>
      </c>
      <c r="C18" s="701">
        <f>IF(C6="",0,B18)</f>
        <v>0</v>
      </c>
      <c r="D18" s="701">
        <f>IF(D6="",0,IF(L1=4,"별도지급",0))</f>
        <v>0</v>
      </c>
      <c r="E18" s="701">
        <f>D18</f>
        <v>0</v>
      </c>
      <c r="F18" s="701">
        <f t="shared" ref="F18:M18" si="8">E18</f>
        <v>0</v>
      </c>
      <c r="G18" s="701">
        <f t="shared" si="8"/>
        <v>0</v>
      </c>
      <c r="H18" s="701">
        <f t="shared" si="8"/>
        <v>0</v>
      </c>
      <c r="I18" s="701">
        <f t="shared" si="8"/>
        <v>0</v>
      </c>
      <c r="J18" s="701">
        <f t="shared" si="8"/>
        <v>0</v>
      </c>
      <c r="K18" s="701">
        <f t="shared" si="8"/>
        <v>0</v>
      </c>
      <c r="L18" s="701">
        <f t="shared" si="8"/>
        <v>0</v>
      </c>
      <c r="M18" s="701">
        <f t="shared" si="8"/>
        <v>0</v>
      </c>
      <c r="N18" s="179">
        <f t="shared" si="2"/>
        <v>0</v>
      </c>
      <c r="Q18" s="191" t="s">
        <v>20</v>
      </c>
      <c r="AB18" s="163"/>
      <c r="AC18" s="163"/>
    </row>
    <row r="19" spans="1:29" ht="9.75" customHeight="1">
      <c r="A19" s="606" t="s">
        <v>283</v>
      </c>
      <c r="B19" s="726">
        <f>IF(B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C19" s="794">
        <f>IF(C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D19" s="794">
        <f>IF(D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E19" s="794">
        <f>IF(E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F19" s="794">
        <f>IF(F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G19" s="794">
        <f>IF(G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H19" s="794">
        <f>IF(H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I19" s="794">
        <f>IF(I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J19" s="794">
        <f>IF(J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K19" s="794">
        <f>IF(K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L19" s="794">
        <f>IF(L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M19" s="794">
        <f>IF(M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N19" s="179">
        <f t="shared" si="2"/>
        <v>240000</v>
      </c>
      <c r="Q19" s="190" t="s">
        <v>10</v>
      </c>
      <c r="X19" s="163"/>
      <c r="Y19" s="163"/>
      <c r="Z19" s="163"/>
      <c r="AA19" s="163"/>
      <c r="AB19" s="163"/>
      <c r="AC19" s="163"/>
    </row>
    <row r="20" spans="1:29" ht="9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179">
        <f ca="1">SUM(B20:M20)</f>
        <v>0</v>
      </c>
      <c r="Q20" s="1049" t="s">
        <v>0</v>
      </c>
      <c r="X20" s="163"/>
      <c r="Y20" s="163"/>
      <c r="Z20" s="171"/>
      <c r="AB20" s="163"/>
      <c r="AC20" s="163"/>
    </row>
    <row r="21" spans="1:29" ht="9.75" customHeight="1">
      <c r="A21" s="606" t="s">
        <v>82</v>
      </c>
      <c r="B21" s="179">
        <f>IF(B6="",0,0)</f>
        <v>0</v>
      </c>
      <c r="C21" s="179">
        <f>IF(C6="",0,0)</f>
        <v>0</v>
      </c>
      <c r="D21" s="179">
        <f>IF(C6="",0,IF(C4="",0,IF(D$6="",0,ROUND(VLOOKUP(D4,gibon40!$A$51:$B$93,2)*10*5/15,-1))))</f>
        <v>41210</v>
      </c>
      <c r="E21" s="179">
        <f>IF(D6="",0,IF(D4="",0,IF(E$6="",0,ROUND(VLOOKUP(E4,gibon40!$A$51:$B$93,2)*10*15/15,-1))))</f>
        <v>123630</v>
      </c>
      <c r="F21" s="179">
        <f>IF(E6="",0,IF(E4="",0,IF(F$6="",0,ROUND(VLOOKUP(F4,gibon40!$A$51:$B$93,2)*10*15/15,-1))))</f>
        <v>123630</v>
      </c>
      <c r="G21" s="179">
        <f>IF(F6="",0,IF(F4="",0,IF(G$6="",0,ROUND(VLOOKUP(G4,gibon40!$A$51:$B$93,2)*10*15/15,-1))))</f>
        <v>123630</v>
      </c>
      <c r="H21" s="179">
        <f>IF(G6="",0,IF(G4="",0,IF(H$6="",0,ROUND(VLOOKUP(H4,gibon40!$A$51:$B$93,2)*10*15/15,-1))))</f>
        <v>123630</v>
      </c>
      <c r="I21" s="179">
        <f>IF(H6="",0,IF(H4="",0,IF(I$6="",0,ROUND(VLOOKUP(I4,gibon40!$A$51:$B$93,2)*10*10/15,-1))))</f>
        <v>82420</v>
      </c>
      <c r="J21" s="179">
        <f>IF(I6="",0,IF(I4="",0,IF(J$6="",0,ROUND(VLOOKUP(J4,gibon40!$A$51:$B$93,2)*10*10/15,-1))))</f>
        <v>82420</v>
      </c>
      <c r="K21" s="179">
        <f>IF(J6="",0,IF(J4="",0,IF(K$6="",0,ROUND(VLOOKUP(K4,gibon40!$A$51:$B$93,2)*10*15/15,-1))))</f>
        <v>123630</v>
      </c>
      <c r="L21" s="179">
        <f>IF(K6="",0,IF(K4="",0,IF(L$6="",0,ROUND(VLOOKUP(L4,gibon40!$A$51:$B$93,2)*10*15/15,-1))))</f>
        <v>123630</v>
      </c>
      <c r="M21" s="179">
        <f>IF(L6="",ROUND(VLOOKUP(M4,gibon40!$A$51:$B$93,2)*10*15/15,-1),IF(L4="",0,IF(M$6="",0,ROUND(VLOOKUP(M4,gibon40!$A$51:$B$93,2)*10*15/15,-1)))*2)</f>
        <v>247260</v>
      </c>
      <c r="N21" s="179">
        <f t="shared" si="2"/>
        <v>1195090</v>
      </c>
      <c r="X21" s="163"/>
      <c r="Y21" s="163"/>
      <c r="Z21" s="163"/>
      <c r="AA21" s="163"/>
      <c r="AB21" s="163"/>
      <c r="AC21" s="163"/>
    </row>
    <row r="22" spans="1:29" ht="9.75" customHeight="1">
      <c r="A22" s="606" t="s">
        <v>101</v>
      </c>
      <c r="B22" s="179">
        <v>0</v>
      </c>
      <c r="C22" s="179">
        <f>B22</f>
        <v>0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I22" s="179">
        <v>0</v>
      </c>
      <c r="J22" s="179">
        <v>0</v>
      </c>
      <c r="K22" s="179">
        <v>0</v>
      </c>
      <c r="L22" s="179">
        <v>0</v>
      </c>
      <c r="M22" s="179">
        <v>0</v>
      </c>
      <c r="N22" s="179">
        <f t="shared" si="2"/>
        <v>0</v>
      </c>
      <c r="Q22" s="190" t="s">
        <v>1</v>
      </c>
      <c r="Z22" s="163"/>
      <c r="AA22" s="163"/>
      <c r="AB22" s="163"/>
      <c r="AC22" s="163"/>
    </row>
    <row r="23" spans="1:29" ht="9.75" customHeight="1">
      <c r="A23" s="606" t="s">
        <v>126</v>
      </c>
      <c r="B23" s="179">
        <v>0</v>
      </c>
      <c r="C23" s="179">
        <f t="shared" ref="C23:M23" si="9">IF(C6="",0,B23)</f>
        <v>0</v>
      </c>
      <c r="D23" s="179">
        <f t="shared" si="9"/>
        <v>0</v>
      </c>
      <c r="E23" s="179">
        <f t="shared" si="9"/>
        <v>0</v>
      </c>
      <c r="F23" s="179">
        <f t="shared" si="9"/>
        <v>0</v>
      </c>
      <c r="G23" s="179">
        <f t="shared" si="9"/>
        <v>0</v>
      </c>
      <c r="H23" s="179">
        <f t="shared" si="9"/>
        <v>0</v>
      </c>
      <c r="I23" s="179">
        <f t="shared" si="9"/>
        <v>0</v>
      </c>
      <c r="J23" s="179">
        <f t="shared" si="9"/>
        <v>0</v>
      </c>
      <c r="K23" s="179">
        <f t="shared" si="9"/>
        <v>0</v>
      </c>
      <c r="L23" s="179">
        <f t="shared" si="9"/>
        <v>0</v>
      </c>
      <c r="M23" s="179">
        <f t="shared" si="9"/>
        <v>0</v>
      </c>
      <c r="N23" s="179">
        <f t="shared" si="2"/>
        <v>0</v>
      </c>
      <c r="Q23" s="1049" t="s">
        <v>21</v>
      </c>
      <c r="X23" s="163"/>
      <c r="Y23" s="163"/>
      <c r="Z23" s="163"/>
      <c r="AA23" s="163"/>
      <c r="AB23" s="163"/>
      <c r="AC23" s="163"/>
    </row>
    <row r="24" spans="1:29" ht="9.75" customHeight="1">
      <c r="A24" s="606" t="s">
        <v>97</v>
      </c>
      <c r="B24" s="179">
        <v>0</v>
      </c>
      <c r="C24" s="179">
        <f t="shared" ref="C24:M24" si="10">IF(C6="",0,B24)</f>
        <v>0</v>
      </c>
      <c r="D24" s="179">
        <f t="shared" si="10"/>
        <v>0</v>
      </c>
      <c r="E24" s="179">
        <f t="shared" si="10"/>
        <v>0</v>
      </c>
      <c r="F24" s="179">
        <f t="shared" si="10"/>
        <v>0</v>
      </c>
      <c r="G24" s="179">
        <f t="shared" si="10"/>
        <v>0</v>
      </c>
      <c r="H24" s="179">
        <f t="shared" si="10"/>
        <v>0</v>
      </c>
      <c r="I24" s="179">
        <f t="shared" si="10"/>
        <v>0</v>
      </c>
      <c r="J24" s="179">
        <f t="shared" si="10"/>
        <v>0</v>
      </c>
      <c r="K24" s="179">
        <f t="shared" si="10"/>
        <v>0</v>
      </c>
      <c r="L24" s="179">
        <f t="shared" si="10"/>
        <v>0</v>
      </c>
      <c r="M24" s="179">
        <f t="shared" si="10"/>
        <v>0</v>
      </c>
      <c r="N24" s="179">
        <f t="shared" si="2"/>
        <v>0</v>
      </c>
      <c r="Q24" s="190" t="s">
        <v>3</v>
      </c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</row>
    <row r="25" spans="1:29" ht="13">
      <c r="A25" s="606">
        <f>집계표!C133</f>
        <v>7</v>
      </c>
      <c r="B25" s="645">
        <f>IF(B6="",0,IF($A$25=1,120000,IF($A$25=2,30000,IF($A$25=3,40000,IF($A$25=4,40000,IF($A$25=5,30000,IF(AND($A$25=6,B4&gt;=31),50000,IF(AND($A$25=6,B4&gt;=22),45000,IF(AND($A$25=6,B4&gt;=14),40000,IF(AND($A$25=6,B4&gt;=9),35000,IF(AND($A$25=6,B4&gt;=5),30000,IF($A$25=7,0,0))))))))))))</f>
        <v>0</v>
      </c>
      <c r="C25" s="645">
        <f t="shared" ref="C25:M25" si="11">IF(C6="",0,IF($A$25=1,120000,IF($A$25=2,30000,IF($A$25=3,40000,IF($A$25=4,40000,IF($A$25=5,30000,IF(AND($A$25=6,C4&gt;=31),50000,IF(AND($A$25=6,C4&gt;=22),45000,IF(AND($A$25=6,C4&gt;=14),40000,IF(AND($A$25=6,C4&gt;=9),35000,IF(AND($A$25=6,C4&gt;=5),30000,IF($A$25=7,0,0))))))))))))</f>
        <v>0</v>
      </c>
      <c r="D25" s="645">
        <f t="shared" si="11"/>
        <v>0</v>
      </c>
      <c r="E25" s="645">
        <f t="shared" si="11"/>
        <v>0</v>
      </c>
      <c r="F25" s="645">
        <f t="shared" si="11"/>
        <v>0</v>
      </c>
      <c r="G25" s="645">
        <f t="shared" si="11"/>
        <v>0</v>
      </c>
      <c r="H25" s="645">
        <f t="shared" si="11"/>
        <v>0</v>
      </c>
      <c r="I25" s="645">
        <f t="shared" si="11"/>
        <v>0</v>
      </c>
      <c r="J25" s="645">
        <f t="shared" si="11"/>
        <v>0</v>
      </c>
      <c r="K25" s="645">
        <f t="shared" si="11"/>
        <v>0</v>
      </c>
      <c r="L25" s="645">
        <f t="shared" si="11"/>
        <v>0</v>
      </c>
      <c r="M25" s="645">
        <f t="shared" si="11"/>
        <v>0</v>
      </c>
      <c r="N25" s="644">
        <f t="shared" si="2"/>
        <v>0</v>
      </c>
      <c r="Q25" s="1261" t="s">
        <v>655</v>
      </c>
      <c r="R25" s="1261"/>
      <c r="S25" s="1261"/>
      <c r="T25" s="651"/>
      <c r="U25" s="572">
        <v>45371</v>
      </c>
      <c r="V25" s="163"/>
      <c r="W25" s="163"/>
      <c r="X25" s="171"/>
      <c r="Y25" s="171"/>
      <c r="Z25" s="163"/>
      <c r="AA25" s="163"/>
      <c r="AB25" s="163"/>
      <c r="AC25" s="163"/>
    </row>
    <row r="26" spans="1:29" ht="9.75" customHeight="1">
      <c r="A26" s="573" t="s">
        <v>640</v>
      </c>
      <c r="B26" s="574">
        <f t="shared" ref="B26:C26" ca="1" si="12">ROUNDDOWN(SUM(B6:B25),-1)</f>
        <v>4935260</v>
      </c>
      <c r="C26" s="574">
        <f t="shared" ca="1" si="12"/>
        <v>3170700</v>
      </c>
      <c r="D26" s="574">
        <f t="shared" ref="D26:M26" ca="1" si="13">ROUNDDOWN(SUM(D6:D25),-1)</f>
        <v>7485130</v>
      </c>
      <c r="E26" s="574">
        <f t="shared" ca="1" si="13"/>
        <v>3294330</v>
      </c>
      <c r="F26" s="574">
        <f t="shared" ca="1" si="13"/>
        <v>3294330</v>
      </c>
      <c r="G26" s="574">
        <f t="shared" ca="1" si="13"/>
        <v>3294330</v>
      </c>
      <c r="H26" s="574">
        <f t="shared" ca="1" si="13"/>
        <v>3785470</v>
      </c>
      <c r="I26" s="574">
        <f t="shared" ca="1" si="13"/>
        <v>3253120</v>
      </c>
      <c r="J26" s="574">
        <f t="shared" ca="1" si="13"/>
        <v>3365020</v>
      </c>
      <c r="K26" s="574">
        <f t="shared" ca="1" si="13"/>
        <v>4946790</v>
      </c>
      <c r="L26" s="574">
        <f t="shared" ca="1" si="13"/>
        <v>3406230</v>
      </c>
      <c r="M26" s="574">
        <f t="shared" ca="1" si="13"/>
        <v>3529860</v>
      </c>
      <c r="N26" s="575">
        <f ca="1">SUM(B26:M26)</f>
        <v>47760570</v>
      </c>
      <c r="O26" s="1050" t="s">
        <v>399</v>
      </c>
      <c r="P26" s="884"/>
      <c r="Q26" s="1262" t="s">
        <v>651</v>
      </c>
      <c r="R26" s="1262"/>
      <c r="S26" s="1262"/>
      <c r="T26" s="175" t="s">
        <v>502</v>
      </c>
      <c r="U26" s="175" t="s">
        <v>523</v>
      </c>
      <c r="V26" s="163"/>
      <c r="W26" s="163"/>
      <c r="X26" s="163"/>
      <c r="Y26" s="163"/>
      <c r="Z26" s="163"/>
      <c r="AA26" s="163"/>
      <c r="AB26" s="163"/>
      <c r="AC26" s="163"/>
    </row>
    <row r="27" spans="1:29" ht="13.5" customHeight="1">
      <c r="A27" s="703">
        <v>2</v>
      </c>
      <c r="B27" s="179">
        <f ca="1">IF(B6="",0,ROUND(VLOOKUP(($N$26-COUNT($B$6:$M$6)*100000-$N$17-$N$16)/(COUNT($B$6:$M$6)),'2015근로소득간이세액표'!$C$4:$Z$700,$A$27+1)*0.77*O27,-1))</f>
        <v>120430</v>
      </c>
      <c r="C27" s="179">
        <f ca="1">IF(C6="",0,ROUND(VLOOKUP(($N$26-COUNT($B$6:$M$6)*100000-$N$17-$N$16)/(COUNT($B$6:$M$6)),'2015근로소득간이세액표'!$C$4:$Z$700,$A$27+1)*0.78*O27,-1))</f>
        <v>121990</v>
      </c>
      <c r="D27" s="179">
        <f ca="1">IF(D6="",0,ROUND(VLOOKUP(($N$26-COUNT($B$6:$M$6)*100000-$N$17-$N$16)/(COUNT($B$6:$M$6)),'2015근로소득간이세액표'!$C$4:$Z$700,$A$27+1)*0.79*O27,-1))</f>
        <v>123560</v>
      </c>
      <c r="E27" s="179">
        <f ca="1">IF(E6="",0,ROUND(VLOOKUP(($N$26-COUNT($B$6:$M$6)*100000-$N$17-$N$16)/(COUNT($B$6:$M$6)),'2015근로소득간이세액표'!$C$4:$Z$700,$A$27+1)*1.1*O27,-1))</f>
        <v>172040</v>
      </c>
      <c r="F27" s="179">
        <f ca="1">IF(F6="",0,ROUND(VLOOKUP(($N$26-COUNT($B$6:$M$6)*100000-$N$17-$N$16)/(COUNT($B$6:$M$6)),'2015근로소득간이세액표'!$C$4:$Z$700,$A$27+1)*1.11*O27,-1))</f>
        <v>173600</v>
      </c>
      <c r="G27" s="179">
        <f ca="1">IF(G6="",0,ROUND(VLOOKUP(($N$26-COUNT($B$6:$M$6)*100000-$N$17-$N$16)/(COUNT($B$6:$M$6)),'2015근로소득간이세액표'!$C$4:$Z$700,$A$27+1)*1.12*O27,-1))</f>
        <v>175170</v>
      </c>
      <c r="H27" s="179">
        <f ca="1">IF(H6="",0,ROUND(VLOOKUP(($N$26-COUNT($B$6:$M$6)*100000-$N$17-$N$16)/(COUNT($B$6:$M$6)),'2015근로소득간이세액표'!$C$4:$Z$700,$A$27+1)*1.13*O27,-1))</f>
        <v>176730</v>
      </c>
      <c r="I27" s="179">
        <f ca="1">IF(I6="",0,ROUND(VLOOKUP(($N$26-COUNT($B$6:$M$6)*100000-$N$17-$N$16)/(COUNT($B$6:$M$6)),'2015근로소득간이세액표'!$C$4:$Z$700,$A$27+1)*1.14*O27,-1))</f>
        <v>178300</v>
      </c>
      <c r="J27" s="179">
        <f ca="1">IF(J6="",0,ROUND(VLOOKUP(($N$26-COUNT($B$6:$M$6)*100000-$N$17-$N$16)/(COUNT($B$6:$M$6)),'2015근로소득간이세액표'!$C$4:$Z$700,$A$27+1)*1.15*O27,-1))</f>
        <v>179860</v>
      </c>
      <c r="K27" s="179">
        <f ca="1">IF(K6="",0,ROUND(VLOOKUP(($N$26-COUNT($B$6:$M$6)*100000-$N$17-$N$16)/(COUNT($B$6:$M$6)),'2015근로소득간이세액표'!$C$4:$Z$700,$A$27+1)*1.16*O27,-1))</f>
        <v>181420</v>
      </c>
      <c r="L27" s="179">
        <f ca="1">IF(L6="",0,ROUND(VLOOKUP(($N$26-COUNT($B$6:$M$6)*100000-$N$17-$N$16)/(COUNT($B$6:$M$6)),'2015근로소득간이세액표'!$C$4:$Z$700,$A$27+1)*1.17*O27,-1))</f>
        <v>182990</v>
      </c>
      <c r="M27" s="179">
        <f ca="1">IF(M6="",0,ROUND(VLOOKUP(($N$26-COUNT($B$6:$M$6)*100000-$N$17-$N$16)/(COUNT($B$6:$M$6)),'2015근로소득간이세액표'!$C$4:$Z$700,$A$27+1)*1.18*O27,-1))</f>
        <v>184550</v>
      </c>
      <c r="N27" s="179">
        <f ca="1">SUM(B27:M27)</f>
        <v>1970640</v>
      </c>
      <c r="O27" s="881">
        <v>1</v>
      </c>
      <c r="P27" s="885"/>
      <c r="Q27" s="1244" t="s">
        <v>661</v>
      </c>
      <c r="R27" s="1244"/>
      <c r="S27" s="1244"/>
      <c r="T27" s="351"/>
      <c r="U27" s="351"/>
      <c r="V27" s="163"/>
      <c r="W27" s="163"/>
      <c r="X27" s="163"/>
      <c r="Y27" s="163"/>
      <c r="Z27" s="163"/>
      <c r="AA27" s="163"/>
      <c r="AB27" s="163"/>
      <c r="AC27" s="163"/>
    </row>
    <row r="28" spans="1:29" ht="9.75" customHeight="1">
      <c r="A28" s="182" t="s">
        <v>308</v>
      </c>
      <c r="B28" s="179">
        <f ca="1">IF(B6="",0,ROUNDDOWN(B27*0.1,-1))</f>
        <v>12040</v>
      </c>
      <c r="C28" s="179">
        <f t="shared" ref="C28:M28" ca="1" si="14">IF(C6="",0,ROUNDDOWN(C27*0.1,-1))</f>
        <v>12190</v>
      </c>
      <c r="D28" s="179">
        <f t="shared" ca="1" si="14"/>
        <v>12350</v>
      </c>
      <c r="E28" s="179">
        <f t="shared" ca="1" si="14"/>
        <v>17200</v>
      </c>
      <c r="F28" s="179">
        <f t="shared" ca="1" si="14"/>
        <v>17360</v>
      </c>
      <c r="G28" s="179">
        <f t="shared" ca="1" si="14"/>
        <v>17510</v>
      </c>
      <c r="H28" s="179">
        <f t="shared" ca="1" si="14"/>
        <v>17670</v>
      </c>
      <c r="I28" s="179">
        <f t="shared" ca="1" si="14"/>
        <v>17830</v>
      </c>
      <c r="J28" s="179">
        <f t="shared" ca="1" si="14"/>
        <v>17980</v>
      </c>
      <c r="K28" s="179">
        <f t="shared" ca="1" si="14"/>
        <v>18140</v>
      </c>
      <c r="L28" s="179">
        <f t="shared" ca="1" si="14"/>
        <v>18290</v>
      </c>
      <c r="M28" s="179">
        <f t="shared" ca="1" si="14"/>
        <v>18450</v>
      </c>
      <c r="N28" s="179">
        <f ca="1">SUM(B28:M28)</f>
        <v>197010</v>
      </c>
      <c r="Q28" s="1244" t="s">
        <v>644</v>
      </c>
      <c r="R28" s="1244"/>
      <c r="S28" s="1244"/>
      <c r="T28" s="351"/>
      <c r="U28" s="351"/>
      <c r="V28" s="163"/>
      <c r="W28" s="163"/>
      <c r="X28" s="163"/>
      <c r="Y28" s="163"/>
      <c r="Z28" s="163"/>
      <c r="AA28" s="163"/>
      <c r="AB28" s="163"/>
      <c r="AC28" s="163"/>
    </row>
    <row r="29" spans="1:29" ht="9.75" customHeight="1">
      <c r="A29" s="182" t="s">
        <v>435</v>
      </c>
      <c r="B29" s="879">
        <f ca="1">IF(B6="",0,IF($D$1-YEAR('2025'!$I$1)&gt;0,"",IF(AND($D$1-YEAR('2025'!$I$1)=0,B3-MONTH('2025'!$I$1)&gt;=1),"",VLOOKUP($B$4,집계표!$AK$5:$HA$47,3))))</f>
        <v>305250</v>
      </c>
      <c r="C29" s="179">
        <f ca="1">IF(C6="",0,IF($D$1-YEAR('2025'!$I$1)&gt;0,"",IF(AND($D$1-YEAR('2025'!$I$1)=0,C3-MONTH('2025'!$I$1)&gt;=1),"",VLOOKUP($B$4,집계표!$AK$5:$HA$47,3))))</f>
        <v>305250</v>
      </c>
      <c r="D29" s="179">
        <f ca="1">IF(D6="",0,IF($D$1-YEAR('2025'!$I$1)&gt;0,"",IF(AND($D$1-YEAR('2025'!$I$1)=0,D3-MONTH('2025'!$I$1)&gt;=1),"",VLOOKUP($B$4,집계표!$AK$5:$HA$47,3))))</f>
        <v>305250</v>
      </c>
      <c r="E29" s="179">
        <f ca="1">IF(E6="",0,IF($D$1-YEAR('2025'!$I$1)&gt;0,"",IF(AND($D$1-YEAR('2025'!$I$1)=0,E3-MONTH('2025'!$I$1)&gt;=1),"",D29)))</f>
        <v>305250</v>
      </c>
      <c r="F29" s="879">
        <f ca="1">IF(F6="",0,IF($D$1-YEAR('2025'!$I$1)&gt;0,"",IF(AND($D$1-YEAR('2025'!$I$1)=0,F3-MONTH('2025'!$I$1)&gt;=1),"",VLOOKUP(F$4,집계표!$AK$5:$HA$47,7))))</f>
        <v>310440</v>
      </c>
      <c r="G29" s="179">
        <f ca="1">IF(G6="",0,IF($D$1-YEAR('2025'!$I$1)&gt;0,"",IF(AND($D$1-YEAR('2025'!$I$1)=0,G3-MONTH('2025'!$I$1)&gt;=1),"",F29)))</f>
        <v>310440</v>
      </c>
      <c r="H29" s="179">
        <f ca="1">IF(H6="",0,IF($D$1-YEAR('2025'!$I$1)&gt;0,"",IF(AND($D$1-YEAR('2025'!$I$1)=0,H3-MONTH('2025'!$I$1)&gt;=1),"",G29)))</f>
        <v>310440</v>
      </c>
      <c r="I29" s="179">
        <f ca="1">IF(I6="",0,IF($D$1-YEAR('2025'!$I$1)&gt;0,"",IF(AND($D$1-YEAR('2025'!$I$1)=0,I3-MONTH('2025'!$I$1)&gt;=1),"",H29)))</f>
        <v>310440</v>
      </c>
      <c r="J29" s="179">
        <f ca="1">IF(J6="",0,IF($D$1-YEAR('2025'!$I$1)&gt;0,"",IF(AND($D$1-YEAR('2025'!$I$1)=0,J3-MONTH('2025'!$I$1)&gt;=1),"",I29)))</f>
        <v>310440</v>
      </c>
      <c r="K29" s="179">
        <f ca="1">IF(K6="",0,IF($D$1-YEAR('2025'!$I$1)&gt;0,"",IF(AND($D$1-YEAR('2025'!$I$1)=0,K3-MONTH('2025'!$I$1)&gt;=1),"",J29)))</f>
        <v>310440</v>
      </c>
      <c r="L29" s="179">
        <f ca="1">IF(L6="",0,IF($D$1-YEAR('2025'!$I$1)&gt;0,"",IF(AND($D$1-YEAR('2025'!$I$1)=0,L3-MONTH('2025'!$I$1)&gt;=1),"",K29)))</f>
        <v>310440</v>
      </c>
      <c r="M29" s="179">
        <f ca="1">IF(M6="",0,IF($D$1-YEAR('2025'!$I$1)&gt;0,"",IF(AND($D$1-YEAR('2025'!$I$1)=0,M3-MONTH('2025'!$I$1)&gt;=1),"",L29)))</f>
        <v>310440</v>
      </c>
      <c r="N29" s="179">
        <f ca="1">SUM(B29:M29)</f>
        <v>3704520</v>
      </c>
      <c r="Q29" s="578" t="s">
        <v>645</v>
      </c>
      <c r="R29" s="652"/>
      <c r="S29" s="652"/>
      <c r="T29" s="351"/>
      <c r="U29" s="351">
        <v>1</v>
      </c>
      <c r="V29" s="163"/>
      <c r="W29" s="163"/>
      <c r="X29" s="163"/>
      <c r="Y29" s="163"/>
      <c r="Z29" s="163"/>
      <c r="AA29" s="163"/>
      <c r="AB29" s="163"/>
      <c r="AC29" s="163"/>
    </row>
    <row r="30" spans="1:29" ht="9.75" customHeight="1">
      <c r="A30" s="182" t="s">
        <v>58</v>
      </c>
      <c r="B30" s="179">
        <f>IF(B6="",0,VLOOKUP(B$4,집계표!$AK$5:$HA$47,4))</f>
        <v>110130</v>
      </c>
      <c r="C30" s="179">
        <f>IF(C6="",0,VLOOKUP(C$4,집계표!$AK$5:$HA$47,4))</f>
        <v>110130</v>
      </c>
      <c r="D30" s="179">
        <f>IF(D6="",0,VLOOKUP(D$4,집계표!$AK$5:$HA$47,4))</f>
        <v>110130</v>
      </c>
      <c r="E30" s="857">
        <f>IF(E6="",0,VLOOKUP(E$4,집계표!$AK$5:$HA$47,8))</f>
        <v>122280</v>
      </c>
      <c r="F30" s="179">
        <f>IF(F6="",0,E30)</f>
        <v>122280</v>
      </c>
      <c r="G30" s="179">
        <f t="shared" ref="G30:M30" si="15">IF(G6="",0,F30)</f>
        <v>122280</v>
      </c>
      <c r="H30" s="179">
        <f t="shared" si="15"/>
        <v>122280</v>
      </c>
      <c r="I30" s="179">
        <f t="shared" si="15"/>
        <v>122280</v>
      </c>
      <c r="J30" s="179">
        <f t="shared" si="15"/>
        <v>122280</v>
      </c>
      <c r="K30" s="179">
        <f t="shared" si="15"/>
        <v>122280</v>
      </c>
      <c r="L30" s="179">
        <f t="shared" si="15"/>
        <v>122280</v>
      </c>
      <c r="M30" s="179">
        <f t="shared" si="15"/>
        <v>122280</v>
      </c>
      <c r="N30" s="179">
        <f t="shared" si="2"/>
        <v>1430910</v>
      </c>
      <c r="Q30" s="1245" t="str">
        <f>IF((T27+T28+T29+(U27+U28+U29)/12)&gt;gg!S5,"* 에러 발생 원인 : 기여금 납입 최대 기간 "&amp;gg!S5&amp;"년을 초과 입력함.","")</f>
        <v/>
      </c>
      <c r="R30" s="1246"/>
      <c r="S30" s="1247"/>
      <c r="T30" s="677"/>
      <c r="U30" s="163"/>
      <c r="V30" s="163"/>
      <c r="W30" s="163"/>
      <c r="X30" s="163"/>
      <c r="Y30" s="163"/>
      <c r="Z30" s="163"/>
      <c r="AA30" s="163"/>
    </row>
    <row r="31" spans="1:29" ht="9.75" customHeight="1">
      <c r="A31" s="182" t="s">
        <v>56</v>
      </c>
      <c r="B31" s="179">
        <f>IF(B6="",0,ROUNDDOWN(B30*10.25%,-1))</f>
        <v>11280</v>
      </c>
      <c r="C31" s="179">
        <f t="shared" ref="C31:M31" si="16">IF(C6="",0,ROUNDDOWN(C30*10.25%,-1))</f>
        <v>11280</v>
      </c>
      <c r="D31" s="179">
        <f t="shared" si="16"/>
        <v>11280</v>
      </c>
      <c r="E31" s="179">
        <f t="shared" si="16"/>
        <v>12530</v>
      </c>
      <c r="F31" s="179">
        <f t="shared" si="16"/>
        <v>12530</v>
      </c>
      <c r="G31" s="179">
        <f t="shared" si="16"/>
        <v>12530</v>
      </c>
      <c r="H31" s="179">
        <f t="shared" si="16"/>
        <v>12530</v>
      </c>
      <c r="I31" s="179">
        <f t="shared" si="16"/>
        <v>12530</v>
      </c>
      <c r="J31" s="179">
        <f t="shared" si="16"/>
        <v>12530</v>
      </c>
      <c r="K31" s="179">
        <f t="shared" si="16"/>
        <v>12530</v>
      </c>
      <c r="L31" s="179">
        <f t="shared" si="16"/>
        <v>12530</v>
      </c>
      <c r="M31" s="179">
        <f t="shared" si="16"/>
        <v>12530</v>
      </c>
      <c r="N31" s="179">
        <f t="shared" si="2"/>
        <v>146610</v>
      </c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</row>
    <row r="32" spans="1:29" ht="9.75" customHeight="1">
      <c r="A32" s="597" t="s">
        <v>71</v>
      </c>
      <c r="B32" s="179"/>
      <c r="C32" s="598">
        <f t="shared" ref="C32:M32" si="17">B32</f>
        <v>0</v>
      </c>
      <c r="D32" s="598">
        <f t="shared" si="17"/>
        <v>0</v>
      </c>
      <c r="E32" s="598">
        <f t="shared" si="17"/>
        <v>0</v>
      </c>
      <c r="F32" s="598">
        <f t="shared" si="17"/>
        <v>0</v>
      </c>
      <c r="G32" s="598">
        <f t="shared" si="17"/>
        <v>0</v>
      </c>
      <c r="H32" s="598">
        <f t="shared" si="17"/>
        <v>0</v>
      </c>
      <c r="I32" s="598">
        <f t="shared" si="17"/>
        <v>0</v>
      </c>
      <c r="J32" s="598">
        <f t="shared" si="17"/>
        <v>0</v>
      </c>
      <c r="K32" s="598">
        <f t="shared" si="17"/>
        <v>0</v>
      </c>
      <c r="L32" s="598">
        <f t="shared" si="17"/>
        <v>0</v>
      </c>
      <c r="M32" s="598">
        <f t="shared" si="17"/>
        <v>0</v>
      </c>
      <c r="N32" s="179">
        <f t="shared" si="2"/>
        <v>0</v>
      </c>
      <c r="Q32" s="191"/>
      <c r="R32" s="171"/>
      <c r="S32" s="171"/>
      <c r="T32" s="171"/>
      <c r="V32" s="171"/>
      <c r="W32" s="171"/>
      <c r="X32" s="163"/>
      <c r="Y32" s="163"/>
      <c r="Z32" s="163"/>
      <c r="AA32" s="163"/>
      <c r="AB32" s="163"/>
      <c r="AC32" s="163"/>
    </row>
    <row r="33" spans="1:29" ht="9.75" customHeight="1">
      <c r="A33" s="597" t="s">
        <v>475</v>
      </c>
      <c r="B33" s="179"/>
      <c r="C33" s="598">
        <f t="shared" ref="C33:C34" si="18">B33</f>
        <v>0</v>
      </c>
      <c r="D33" s="598">
        <f t="shared" ref="D33:D34" si="19">C33</f>
        <v>0</v>
      </c>
      <c r="E33" s="598">
        <f t="shared" ref="E33:E34" si="20">D33</f>
        <v>0</v>
      </c>
      <c r="F33" s="598">
        <f t="shared" ref="F33:F34" si="21">E33</f>
        <v>0</v>
      </c>
      <c r="G33" s="598">
        <f t="shared" ref="G33:G34" si="22">F33</f>
        <v>0</v>
      </c>
      <c r="H33" s="598">
        <f t="shared" ref="H33:H34" si="23">G33</f>
        <v>0</v>
      </c>
      <c r="I33" s="598">
        <f t="shared" ref="I33:I34" si="24">H33</f>
        <v>0</v>
      </c>
      <c r="J33" s="598">
        <f t="shared" ref="J33:J34" si="25">I33</f>
        <v>0</v>
      </c>
      <c r="K33" s="598">
        <f t="shared" ref="K33:K34" si="26">J33</f>
        <v>0</v>
      </c>
      <c r="L33" s="598">
        <f t="shared" ref="L33:L34" si="27">K33</f>
        <v>0</v>
      </c>
      <c r="M33" s="598">
        <f t="shared" ref="M33:M34" si="28">L33</f>
        <v>0</v>
      </c>
      <c r="N33" s="179">
        <f t="shared" si="2"/>
        <v>0</v>
      </c>
      <c r="Q33" s="191" t="s">
        <v>22</v>
      </c>
      <c r="R33" s="163"/>
      <c r="S33" s="163"/>
      <c r="T33" s="163"/>
      <c r="U33" s="648"/>
      <c r="V33" s="648"/>
      <c r="W33" s="163"/>
      <c r="X33" s="163"/>
      <c r="Y33" s="163"/>
      <c r="Z33" s="163"/>
      <c r="AA33" s="163"/>
      <c r="AB33" s="163"/>
      <c r="AC33" s="163"/>
    </row>
    <row r="34" spans="1:29" ht="9.75" customHeight="1">
      <c r="A34" s="597" t="s">
        <v>234</v>
      </c>
      <c r="B34" s="179"/>
      <c r="C34" s="598">
        <f t="shared" si="18"/>
        <v>0</v>
      </c>
      <c r="D34" s="598">
        <f t="shared" si="19"/>
        <v>0</v>
      </c>
      <c r="E34" s="598">
        <f t="shared" si="20"/>
        <v>0</v>
      </c>
      <c r="F34" s="598">
        <f t="shared" si="21"/>
        <v>0</v>
      </c>
      <c r="G34" s="598">
        <f t="shared" si="22"/>
        <v>0</v>
      </c>
      <c r="H34" s="598">
        <f t="shared" si="23"/>
        <v>0</v>
      </c>
      <c r="I34" s="598">
        <f t="shared" si="24"/>
        <v>0</v>
      </c>
      <c r="J34" s="598">
        <f t="shared" si="25"/>
        <v>0</v>
      </c>
      <c r="K34" s="598">
        <f t="shared" si="26"/>
        <v>0</v>
      </c>
      <c r="L34" s="598">
        <f t="shared" si="27"/>
        <v>0</v>
      </c>
      <c r="M34" s="598">
        <f t="shared" si="28"/>
        <v>0</v>
      </c>
      <c r="N34" s="179">
        <f t="shared" si="2"/>
        <v>0</v>
      </c>
      <c r="Q34" s="1248" t="s">
        <v>560</v>
      </c>
      <c r="R34" s="1249"/>
      <c r="S34" s="1252" t="s">
        <v>293</v>
      </c>
      <c r="T34" s="1253"/>
      <c r="U34" s="1254"/>
      <c r="V34" s="1255"/>
    </row>
    <row r="35" spans="1:29" ht="8.25" customHeight="1">
      <c r="A35" s="182" t="s">
        <v>311</v>
      </c>
      <c r="B35" s="179"/>
      <c r="C35" s="179">
        <v>0</v>
      </c>
      <c r="D35" s="179">
        <v>0</v>
      </c>
      <c r="E35" s="179">
        <v>0</v>
      </c>
      <c r="F35" s="179">
        <v>0</v>
      </c>
      <c r="G35" s="179">
        <v>0</v>
      </c>
      <c r="H35" s="179">
        <v>0</v>
      </c>
      <c r="I35" s="179">
        <v>0</v>
      </c>
      <c r="J35" s="179">
        <v>0</v>
      </c>
      <c r="K35" s="179">
        <v>0</v>
      </c>
      <c r="L35" s="179">
        <v>0</v>
      </c>
      <c r="M35" s="179">
        <v>0</v>
      </c>
      <c r="N35" s="179">
        <f t="shared" si="2"/>
        <v>0</v>
      </c>
      <c r="Q35" s="1250"/>
      <c r="R35" s="1251"/>
      <c r="S35" s="604" t="s">
        <v>502</v>
      </c>
      <c r="T35" s="604" t="s">
        <v>523</v>
      </c>
      <c r="U35" s="1256" t="s">
        <v>577</v>
      </c>
      <c r="V35" s="1257" t="s">
        <v>396</v>
      </c>
      <c r="W35" s="1258"/>
      <c r="X35" s="848">
        <f>IF(집계표!D55&gt;=13,집계표!C55+1,집계표!C55)</f>
        <v>2054</v>
      </c>
      <c r="Y35" s="1234">
        <f>IF(집계표!D55&gt;=13,1,집계표!D55)</f>
        <v>4</v>
      </c>
      <c r="Z35" s="1235"/>
      <c r="AA35" s="853"/>
    </row>
    <row r="36" spans="1:29" ht="8.25" customHeight="1">
      <c r="A36" s="182" t="s">
        <v>223</v>
      </c>
      <c r="B36" s="179"/>
      <c r="C36" s="179">
        <v>0</v>
      </c>
      <c r="D36" s="179">
        <v>0</v>
      </c>
      <c r="E36" s="179">
        <v>0</v>
      </c>
      <c r="F36" s="179">
        <v>0</v>
      </c>
      <c r="G36" s="179">
        <v>0</v>
      </c>
      <c r="H36" s="179">
        <v>0</v>
      </c>
      <c r="I36" s="179">
        <v>0</v>
      </c>
      <c r="J36" s="179">
        <v>0</v>
      </c>
      <c r="K36" s="179">
        <v>0</v>
      </c>
      <c r="L36" s="179">
        <v>0</v>
      </c>
      <c r="M36" s="179">
        <v>0</v>
      </c>
      <c r="N36" s="179">
        <f t="shared" si="2"/>
        <v>0</v>
      </c>
      <c r="Q36" s="1236" t="s">
        <v>345</v>
      </c>
      <c r="R36" s="1237"/>
      <c r="S36" s="847">
        <v>2054</v>
      </c>
      <c r="T36" s="847">
        <v>3</v>
      </c>
      <c r="U36" s="1256"/>
      <c r="V36" s="1238" t="s">
        <v>341</v>
      </c>
      <c r="W36" s="1239"/>
      <c r="X36" s="849">
        <f>집계표!C55-1</f>
        <v>2053</v>
      </c>
      <c r="Y36" s="1240">
        <f>집계표!D55</f>
        <v>4</v>
      </c>
      <c r="Z36" s="1241"/>
    </row>
    <row r="37" spans="1:29" ht="8.25" customHeight="1">
      <c r="A37" s="182" t="s">
        <v>238</v>
      </c>
      <c r="B37" s="179">
        <v>0</v>
      </c>
      <c r="C37" s="179">
        <v>0</v>
      </c>
      <c r="D37" s="179">
        <v>0</v>
      </c>
      <c r="E37" s="179">
        <v>0</v>
      </c>
      <c r="F37" s="179">
        <v>0</v>
      </c>
      <c r="G37" s="179">
        <v>0</v>
      </c>
      <c r="H37" s="179">
        <v>0</v>
      </c>
      <c r="I37" s="179">
        <v>0</v>
      </c>
      <c r="J37" s="179">
        <v>0</v>
      </c>
      <c r="K37" s="179">
        <v>0</v>
      </c>
      <c r="L37" s="179">
        <v>0</v>
      </c>
      <c r="M37" s="179">
        <v>0</v>
      </c>
      <c r="N37" s="179">
        <f t="shared" si="2"/>
        <v>0</v>
      </c>
      <c r="Q37" s="1242" t="s">
        <v>344</v>
      </c>
      <c r="R37" s="1243"/>
      <c r="S37" s="851">
        <f>YEAR(EDATE(B2,55*12))</f>
        <v>2052</v>
      </c>
      <c r="T37" s="851">
        <f>MONTH(B2)</f>
        <v>1</v>
      </c>
      <c r="U37" s="1256"/>
      <c r="V37" s="852"/>
      <c r="Z37" s="163"/>
      <c r="AA37" s="163"/>
      <c r="AB37" s="163"/>
      <c r="AC37" s="163"/>
    </row>
    <row r="38" spans="1:29" ht="8.25" customHeight="1">
      <c r="A38" s="182" t="s">
        <v>218</v>
      </c>
      <c r="B38" s="179">
        <v>0</v>
      </c>
      <c r="C38" s="179">
        <f t="shared" ref="C38:M38" si="29">IF(C$6="",0,B38)</f>
        <v>0</v>
      </c>
      <c r="D38" s="179">
        <f t="shared" si="29"/>
        <v>0</v>
      </c>
      <c r="E38" s="179">
        <f t="shared" si="29"/>
        <v>0</v>
      </c>
      <c r="F38" s="179">
        <f t="shared" si="29"/>
        <v>0</v>
      </c>
      <c r="G38" s="179">
        <f t="shared" si="29"/>
        <v>0</v>
      </c>
      <c r="H38" s="179">
        <f t="shared" si="29"/>
        <v>0</v>
      </c>
      <c r="I38" s="179">
        <f t="shared" si="29"/>
        <v>0</v>
      </c>
      <c r="J38" s="179">
        <v>300640</v>
      </c>
      <c r="K38" s="179">
        <f t="shared" si="29"/>
        <v>300640</v>
      </c>
      <c r="L38" s="179">
        <f t="shared" si="29"/>
        <v>300640</v>
      </c>
      <c r="M38" s="179">
        <f t="shared" si="29"/>
        <v>300640</v>
      </c>
      <c r="N38" s="179">
        <f t="shared" si="2"/>
        <v>1202560</v>
      </c>
      <c r="T38" s="163"/>
      <c r="U38" s="163"/>
      <c r="Y38" s="163"/>
      <c r="Z38" s="163"/>
      <c r="AA38" s="163"/>
      <c r="AB38" s="163"/>
      <c r="AC38" s="163"/>
    </row>
    <row r="39" spans="1:29" ht="9.75" customHeight="1">
      <c r="A39" s="182" t="s">
        <v>226</v>
      </c>
      <c r="B39" s="179">
        <v>20000</v>
      </c>
      <c r="C39" s="179">
        <f t="shared" ref="C39:M39" si="30">IF(C$6="",0,B39)</f>
        <v>20000</v>
      </c>
      <c r="D39" s="179">
        <f t="shared" si="30"/>
        <v>20000</v>
      </c>
      <c r="E39" s="179">
        <f t="shared" si="30"/>
        <v>20000</v>
      </c>
      <c r="F39" s="179">
        <f t="shared" si="30"/>
        <v>20000</v>
      </c>
      <c r="G39" s="179">
        <f t="shared" si="30"/>
        <v>20000</v>
      </c>
      <c r="H39" s="179">
        <f t="shared" si="30"/>
        <v>20000</v>
      </c>
      <c r="I39" s="179">
        <f t="shared" si="30"/>
        <v>20000</v>
      </c>
      <c r="J39" s="179">
        <f t="shared" si="30"/>
        <v>20000</v>
      </c>
      <c r="K39" s="179">
        <f t="shared" si="30"/>
        <v>20000</v>
      </c>
      <c r="L39" s="179">
        <f t="shared" si="30"/>
        <v>20000</v>
      </c>
      <c r="M39" s="179">
        <f t="shared" si="30"/>
        <v>20000</v>
      </c>
      <c r="N39" s="179">
        <f t="shared" si="2"/>
        <v>240000</v>
      </c>
      <c r="O39" s="124"/>
      <c r="P39" s="124"/>
      <c r="T39" s="163"/>
      <c r="U39" s="850"/>
      <c r="Z39" s="163"/>
      <c r="AA39" s="163"/>
      <c r="AB39" s="163"/>
      <c r="AC39" s="163"/>
    </row>
    <row r="40" spans="1:29" ht="9.75" customHeight="1">
      <c r="A40" s="576" t="s">
        <v>75</v>
      </c>
      <c r="B40" s="577">
        <f t="shared" ref="B40:C40" ca="1" si="31">IF(B26="","",SUM(B27:B39))</f>
        <v>579130</v>
      </c>
      <c r="C40" s="577">
        <f t="shared" ca="1" si="31"/>
        <v>580840</v>
      </c>
      <c r="D40" s="577">
        <f t="shared" ref="D40:M40" ca="1" si="32">IF(D26="","",SUM(D27:D39))</f>
        <v>582570</v>
      </c>
      <c r="E40" s="577">
        <f t="shared" ca="1" si="32"/>
        <v>649300</v>
      </c>
      <c r="F40" s="577">
        <f t="shared" ca="1" si="32"/>
        <v>656210</v>
      </c>
      <c r="G40" s="577">
        <f t="shared" ca="1" si="32"/>
        <v>657930</v>
      </c>
      <c r="H40" s="577">
        <f t="shared" ca="1" si="32"/>
        <v>659650</v>
      </c>
      <c r="I40" s="577">
        <f t="shared" ca="1" si="32"/>
        <v>661380</v>
      </c>
      <c r="J40" s="577">
        <f t="shared" ca="1" si="32"/>
        <v>963730</v>
      </c>
      <c r="K40" s="577">
        <f t="shared" ca="1" si="32"/>
        <v>965450</v>
      </c>
      <c r="L40" s="577">
        <f t="shared" ca="1" si="32"/>
        <v>967170</v>
      </c>
      <c r="M40" s="577">
        <f t="shared" ca="1" si="32"/>
        <v>968890</v>
      </c>
      <c r="N40" s="577">
        <f ca="1">SUM(B40:M40)</f>
        <v>8892250</v>
      </c>
      <c r="T40" s="163"/>
      <c r="U40" s="163"/>
      <c r="Z40" s="163"/>
      <c r="AA40" s="163"/>
      <c r="AB40" s="163"/>
      <c r="AC40" s="163"/>
    </row>
    <row r="41" spans="1:29" ht="13.5" customHeight="1">
      <c r="A41" s="183" t="s">
        <v>79</v>
      </c>
      <c r="B41" s="184">
        <f t="shared" ref="B41:C41" ca="1" si="33">ROUND((B26-B40),-1)</f>
        <v>4356130</v>
      </c>
      <c r="C41" s="184">
        <f t="shared" ca="1" si="33"/>
        <v>2589860</v>
      </c>
      <c r="D41" s="184">
        <f t="shared" ref="D41:M41" ca="1" si="34">ROUND((D26-D40),-1)</f>
        <v>6902560</v>
      </c>
      <c r="E41" s="184">
        <f t="shared" ca="1" si="34"/>
        <v>2645030</v>
      </c>
      <c r="F41" s="184">
        <f t="shared" ca="1" si="34"/>
        <v>2638120</v>
      </c>
      <c r="G41" s="184">
        <f t="shared" ca="1" si="34"/>
        <v>2636400</v>
      </c>
      <c r="H41" s="184">
        <f t="shared" ca="1" si="34"/>
        <v>3125820</v>
      </c>
      <c r="I41" s="184">
        <f t="shared" ca="1" si="34"/>
        <v>2591740</v>
      </c>
      <c r="J41" s="184">
        <f t="shared" ca="1" si="34"/>
        <v>2401290</v>
      </c>
      <c r="K41" s="184">
        <f t="shared" ca="1" si="34"/>
        <v>3981340</v>
      </c>
      <c r="L41" s="184">
        <f t="shared" ca="1" si="34"/>
        <v>2439060</v>
      </c>
      <c r="M41" s="184">
        <f t="shared" ca="1" si="34"/>
        <v>2560970</v>
      </c>
      <c r="N41" s="184">
        <f ca="1">SUM(B41:M41)</f>
        <v>38868320</v>
      </c>
      <c r="T41" s="163"/>
      <c r="U41" s="163"/>
      <c r="Z41" s="163"/>
      <c r="AA41" s="163"/>
      <c r="AB41" s="163"/>
      <c r="AC41" s="163"/>
    </row>
    <row r="42" spans="1:29" ht="12.5" customHeight="1">
      <c r="A42" s="1051" t="s">
        <v>402</v>
      </c>
      <c r="B42" s="179">
        <v>100</v>
      </c>
      <c r="C42" s="179">
        <f>B42</f>
        <v>100</v>
      </c>
      <c r="D42" s="179">
        <f t="shared" ref="C42:M51" si="35">C42</f>
        <v>100</v>
      </c>
      <c r="E42" s="179">
        <f t="shared" ref="E42:M42" si="36">D42</f>
        <v>100</v>
      </c>
      <c r="F42" s="179">
        <f t="shared" si="36"/>
        <v>100</v>
      </c>
      <c r="G42" s="179">
        <f t="shared" si="36"/>
        <v>100</v>
      </c>
      <c r="H42" s="179">
        <f t="shared" si="36"/>
        <v>100</v>
      </c>
      <c r="I42" s="179">
        <f t="shared" si="36"/>
        <v>100</v>
      </c>
      <c r="J42" s="179">
        <f t="shared" si="36"/>
        <v>100</v>
      </c>
      <c r="K42" s="179">
        <f t="shared" si="36"/>
        <v>100</v>
      </c>
      <c r="L42" s="179">
        <f t="shared" si="36"/>
        <v>100</v>
      </c>
      <c r="M42" s="179">
        <f t="shared" si="36"/>
        <v>100</v>
      </c>
      <c r="N42" s="179">
        <f t="shared" si="2"/>
        <v>1200</v>
      </c>
      <c r="T42" s="163"/>
      <c r="U42" s="163"/>
      <c r="Z42" s="163"/>
      <c r="AA42" s="163"/>
      <c r="AB42" s="163"/>
      <c r="AC42" s="163"/>
    </row>
    <row r="43" spans="1:29" ht="9.75" customHeight="1">
      <c r="A43" s="1051" t="s">
        <v>144</v>
      </c>
      <c r="B43" s="179">
        <v>0</v>
      </c>
      <c r="C43" s="179">
        <f t="shared" si="35"/>
        <v>0</v>
      </c>
      <c r="D43" s="179">
        <f t="shared" si="35"/>
        <v>0</v>
      </c>
      <c r="E43" s="179">
        <f t="shared" si="35"/>
        <v>0</v>
      </c>
      <c r="F43" s="179">
        <f t="shared" si="35"/>
        <v>0</v>
      </c>
      <c r="G43" s="179">
        <f t="shared" si="35"/>
        <v>0</v>
      </c>
      <c r="H43" s="179">
        <f t="shared" si="35"/>
        <v>0</v>
      </c>
      <c r="I43" s="179">
        <f t="shared" si="35"/>
        <v>0</v>
      </c>
      <c r="J43" s="179">
        <f t="shared" si="35"/>
        <v>0</v>
      </c>
      <c r="K43" s="179">
        <f t="shared" si="35"/>
        <v>0</v>
      </c>
      <c r="L43" s="179">
        <f t="shared" si="35"/>
        <v>0</v>
      </c>
      <c r="M43" s="179">
        <f t="shared" si="35"/>
        <v>0</v>
      </c>
      <c r="N43" s="179">
        <f t="shared" si="2"/>
        <v>0</v>
      </c>
      <c r="T43" s="163"/>
      <c r="U43" s="163"/>
      <c r="X43" s="163"/>
      <c r="Y43" s="163"/>
      <c r="Z43" s="163"/>
      <c r="AA43" s="163"/>
      <c r="AB43" s="163"/>
      <c r="AC43" s="163"/>
    </row>
    <row r="44" spans="1:29" ht="9.75" customHeight="1">
      <c r="A44" s="1051" t="s">
        <v>125</v>
      </c>
      <c r="B44" s="179">
        <v>0</v>
      </c>
      <c r="C44" s="179">
        <f t="shared" si="35"/>
        <v>0</v>
      </c>
      <c r="D44" s="179">
        <f t="shared" si="35"/>
        <v>0</v>
      </c>
      <c r="E44" s="179">
        <f t="shared" si="35"/>
        <v>0</v>
      </c>
      <c r="F44" s="179">
        <f t="shared" si="35"/>
        <v>0</v>
      </c>
      <c r="G44" s="179">
        <f t="shared" si="35"/>
        <v>0</v>
      </c>
      <c r="H44" s="179">
        <f t="shared" si="35"/>
        <v>0</v>
      </c>
      <c r="I44" s="179">
        <f t="shared" si="35"/>
        <v>0</v>
      </c>
      <c r="J44" s="179">
        <f t="shared" si="35"/>
        <v>0</v>
      </c>
      <c r="K44" s="179">
        <f t="shared" si="35"/>
        <v>0</v>
      </c>
      <c r="L44" s="179">
        <f t="shared" si="35"/>
        <v>0</v>
      </c>
      <c r="M44" s="179">
        <f t="shared" si="35"/>
        <v>0</v>
      </c>
      <c r="N44" s="179">
        <f t="shared" si="2"/>
        <v>0</v>
      </c>
      <c r="X44" s="163"/>
      <c r="Y44" s="163"/>
      <c r="Z44" s="163"/>
      <c r="AA44" s="163"/>
      <c r="AB44" s="163"/>
      <c r="AC44" s="163"/>
    </row>
    <row r="45" spans="1:29" ht="9.75" customHeight="1">
      <c r="A45" s="1051" t="s">
        <v>114</v>
      </c>
      <c r="B45" s="179">
        <v>0</v>
      </c>
      <c r="C45" s="179">
        <f t="shared" si="35"/>
        <v>0</v>
      </c>
      <c r="D45" s="179">
        <f t="shared" si="35"/>
        <v>0</v>
      </c>
      <c r="E45" s="179">
        <f t="shared" si="35"/>
        <v>0</v>
      </c>
      <c r="F45" s="179">
        <f t="shared" si="35"/>
        <v>0</v>
      </c>
      <c r="G45" s="179">
        <f t="shared" si="35"/>
        <v>0</v>
      </c>
      <c r="H45" s="179">
        <f t="shared" si="35"/>
        <v>0</v>
      </c>
      <c r="I45" s="179">
        <f t="shared" si="35"/>
        <v>0</v>
      </c>
      <c r="J45" s="179">
        <f t="shared" si="35"/>
        <v>0</v>
      </c>
      <c r="K45" s="179">
        <f t="shared" si="35"/>
        <v>0</v>
      </c>
      <c r="L45" s="179">
        <f t="shared" si="35"/>
        <v>0</v>
      </c>
      <c r="M45" s="179">
        <f t="shared" si="35"/>
        <v>0</v>
      </c>
      <c r="N45" s="179">
        <f t="shared" si="2"/>
        <v>0</v>
      </c>
      <c r="Q45" s="727" t="str">
        <f ca="1">"15) 메인시트 "&amp;$D$1&amp;"년도를"</f>
        <v>15) 메인시트 2025년도를</v>
      </c>
      <c r="R45" s="727" t="s">
        <v>377</v>
      </c>
      <c r="S45" s="718"/>
      <c r="T45" s="718"/>
      <c r="U45" s="718"/>
      <c r="V45" s="718"/>
      <c r="W45" s="191"/>
      <c r="AA45" s="163"/>
      <c r="AB45" s="163"/>
      <c r="AC45" s="163"/>
    </row>
    <row r="46" spans="1:29" ht="9.75" customHeight="1">
      <c r="A46" s="1051" t="s">
        <v>123</v>
      </c>
      <c r="B46" s="179">
        <v>0</v>
      </c>
      <c r="C46" s="179">
        <f t="shared" si="35"/>
        <v>0</v>
      </c>
      <c r="D46" s="179">
        <f t="shared" si="35"/>
        <v>0</v>
      </c>
      <c r="E46" s="179">
        <f t="shared" si="35"/>
        <v>0</v>
      </c>
      <c r="F46" s="179">
        <f t="shared" si="35"/>
        <v>0</v>
      </c>
      <c r="G46" s="179">
        <f t="shared" si="35"/>
        <v>0</v>
      </c>
      <c r="H46" s="179">
        <f t="shared" si="35"/>
        <v>0</v>
      </c>
      <c r="I46" s="179">
        <f t="shared" si="35"/>
        <v>0</v>
      </c>
      <c r="J46" s="179">
        <f t="shared" si="35"/>
        <v>0</v>
      </c>
      <c r="K46" s="179">
        <f t="shared" si="35"/>
        <v>0</v>
      </c>
      <c r="L46" s="179">
        <f t="shared" si="35"/>
        <v>0</v>
      </c>
      <c r="M46" s="179">
        <f t="shared" si="35"/>
        <v>0</v>
      </c>
      <c r="N46" s="179">
        <f t="shared" si="2"/>
        <v>0</v>
      </c>
      <c r="Q46" s="191" t="s">
        <v>14</v>
      </c>
      <c r="AA46" s="163"/>
      <c r="AB46" s="163"/>
      <c r="AC46" s="163"/>
    </row>
    <row r="47" spans="1:29" ht="9.75" customHeight="1">
      <c r="A47" s="1051" t="s">
        <v>113</v>
      </c>
      <c r="B47" s="179">
        <v>0</v>
      </c>
      <c r="C47" s="179">
        <f t="shared" si="35"/>
        <v>0</v>
      </c>
      <c r="D47" s="179">
        <f t="shared" si="35"/>
        <v>0</v>
      </c>
      <c r="E47" s="179">
        <f t="shared" si="35"/>
        <v>0</v>
      </c>
      <c r="F47" s="179">
        <f t="shared" si="35"/>
        <v>0</v>
      </c>
      <c r="G47" s="179">
        <f t="shared" si="35"/>
        <v>0</v>
      </c>
      <c r="H47" s="179">
        <f t="shared" si="35"/>
        <v>0</v>
      </c>
      <c r="I47" s="179">
        <f t="shared" si="35"/>
        <v>0</v>
      </c>
      <c r="J47" s="179">
        <f t="shared" si="35"/>
        <v>0</v>
      </c>
      <c r="K47" s="179">
        <f t="shared" si="35"/>
        <v>0</v>
      </c>
      <c r="L47" s="179">
        <f t="shared" si="35"/>
        <v>0</v>
      </c>
      <c r="M47" s="179">
        <f t="shared" si="35"/>
        <v>0</v>
      </c>
      <c r="N47" s="179">
        <f t="shared" si="2"/>
        <v>0</v>
      </c>
      <c r="Q47" s="727"/>
      <c r="W47" s="163"/>
      <c r="X47" s="163"/>
      <c r="Y47" s="163"/>
      <c r="Z47" s="163"/>
      <c r="AA47" s="163"/>
      <c r="AB47" s="163"/>
      <c r="AC47" s="163"/>
    </row>
    <row r="48" spans="1:29" ht="9.75" customHeight="1">
      <c r="A48" s="1051" t="s">
        <v>120</v>
      </c>
      <c r="B48" s="179">
        <v>0</v>
      </c>
      <c r="C48" s="179">
        <f t="shared" si="35"/>
        <v>0</v>
      </c>
      <c r="D48" s="179">
        <f t="shared" si="35"/>
        <v>0</v>
      </c>
      <c r="E48" s="179">
        <f t="shared" si="35"/>
        <v>0</v>
      </c>
      <c r="F48" s="179">
        <f t="shared" si="35"/>
        <v>0</v>
      </c>
      <c r="G48" s="179">
        <f t="shared" si="35"/>
        <v>0</v>
      </c>
      <c r="H48" s="179">
        <f t="shared" si="35"/>
        <v>0</v>
      </c>
      <c r="I48" s="179">
        <f t="shared" si="35"/>
        <v>0</v>
      </c>
      <c r="J48" s="179">
        <f t="shared" si="35"/>
        <v>0</v>
      </c>
      <c r="K48" s="179">
        <f t="shared" si="35"/>
        <v>0</v>
      </c>
      <c r="L48" s="179">
        <f t="shared" si="35"/>
        <v>0</v>
      </c>
      <c r="M48" s="179">
        <f t="shared" si="35"/>
        <v>0</v>
      </c>
      <c r="N48" s="179">
        <f t="shared" si="2"/>
        <v>0</v>
      </c>
      <c r="Y48" s="163"/>
      <c r="Z48" s="163"/>
      <c r="AA48" s="163"/>
      <c r="AB48" s="163"/>
      <c r="AC48" s="163"/>
    </row>
    <row r="49" spans="1:29" ht="9.75" customHeight="1">
      <c r="A49" s="1051" t="s">
        <v>128</v>
      </c>
      <c r="B49" s="179">
        <v>0</v>
      </c>
      <c r="C49" s="179">
        <f t="shared" si="35"/>
        <v>0</v>
      </c>
      <c r="D49" s="179">
        <f t="shared" si="35"/>
        <v>0</v>
      </c>
      <c r="E49" s="179">
        <f t="shared" si="35"/>
        <v>0</v>
      </c>
      <c r="F49" s="179">
        <f t="shared" si="35"/>
        <v>0</v>
      </c>
      <c r="G49" s="179">
        <f t="shared" si="35"/>
        <v>0</v>
      </c>
      <c r="H49" s="179">
        <f t="shared" si="35"/>
        <v>0</v>
      </c>
      <c r="I49" s="179">
        <f t="shared" si="35"/>
        <v>0</v>
      </c>
      <c r="J49" s="179">
        <f t="shared" si="35"/>
        <v>0</v>
      </c>
      <c r="K49" s="179">
        <f t="shared" si="35"/>
        <v>0</v>
      </c>
      <c r="L49" s="179">
        <f t="shared" si="35"/>
        <v>0</v>
      </c>
      <c r="M49" s="179">
        <f t="shared" si="35"/>
        <v>0</v>
      </c>
      <c r="N49" s="179">
        <f t="shared" si="2"/>
        <v>0</v>
      </c>
      <c r="Q49" s="43" t="str">
        <f ca="1">"◈ "&amp;'2026'!$D$1&amp;"시트에서"</f>
        <v>◈ 2026시트에서</v>
      </c>
      <c r="R49" s="163"/>
      <c r="S49" s="163"/>
      <c r="T49" s="163"/>
      <c r="U49" s="163"/>
      <c r="V49" s="163"/>
      <c r="Y49" s="163"/>
      <c r="Z49" s="163"/>
      <c r="AA49" s="146"/>
      <c r="AB49" s="163"/>
      <c r="AC49" s="163"/>
    </row>
    <row r="50" spans="1:29" ht="9.75" customHeight="1">
      <c r="A50" s="1051" t="s">
        <v>138</v>
      </c>
      <c r="B50" s="179">
        <v>0</v>
      </c>
      <c r="C50" s="179">
        <f t="shared" si="35"/>
        <v>0</v>
      </c>
      <c r="D50" s="179">
        <f t="shared" si="35"/>
        <v>0</v>
      </c>
      <c r="E50" s="179">
        <f t="shared" si="35"/>
        <v>0</v>
      </c>
      <c r="F50" s="179">
        <f t="shared" si="35"/>
        <v>0</v>
      </c>
      <c r="G50" s="179">
        <f t="shared" si="35"/>
        <v>0</v>
      </c>
      <c r="H50" s="179">
        <f t="shared" si="35"/>
        <v>0</v>
      </c>
      <c r="I50" s="179">
        <f t="shared" si="35"/>
        <v>0</v>
      </c>
      <c r="J50" s="179">
        <f t="shared" si="35"/>
        <v>0</v>
      </c>
      <c r="K50" s="179">
        <f t="shared" si="35"/>
        <v>0</v>
      </c>
      <c r="L50" s="179">
        <f t="shared" si="35"/>
        <v>0</v>
      </c>
      <c r="M50" s="179">
        <f t="shared" si="35"/>
        <v>0</v>
      </c>
      <c r="N50" s="179">
        <f t="shared" si="2"/>
        <v>0</v>
      </c>
      <c r="Q50" s="191" t="s">
        <v>18</v>
      </c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</row>
    <row r="51" spans="1:29" ht="9.75" customHeight="1">
      <c r="A51" s="1051" t="s">
        <v>641</v>
      </c>
      <c r="B51" s="179">
        <v>0</v>
      </c>
      <c r="C51" s="179">
        <f t="shared" si="35"/>
        <v>0</v>
      </c>
      <c r="D51" s="179">
        <f t="shared" si="35"/>
        <v>0</v>
      </c>
      <c r="E51" s="179">
        <f t="shared" si="35"/>
        <v>0</v>
      </c>
      <c r="F51" s="179">
        <f t="shared" si="35"/>
        <v>0</v>
      </c>
      <c r="G51" s="179">
        <f t="shared" si="35"/>
        <v>0</v>
      </c>
      <c r="H51" s="179">
        <f t="shared" si="35"/>
        <v>0</v>
      </c>
      <c r="I51" s="179">
        <f t="shared" si="35"/>
        <v>0</v>
      </c>
      <c r="J51" s="179">
        <f t="shared" si="35"/>
        <v>0</v>
      </c>
      <c r="K51" s="179">
        <f t="shared" si="35"/>
        <v>0</v>
      </c>
      <c r="L51" s="179">
        <f t="shared" si="35"/>
        <v>0</v>
      </c>
      <c r="M51" s="179">
        <f t="shared" si="35"/>
        <v>0</v>
      </c>
      <c r="N51" s="179">
        <f t="shared" si="2"/>
        <v>0</v>
      </c>
      <c r="Q51" s="190" t="s">
        <v>5</v>
      </c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</row>
    <row r="52" spans="1:29" ht="9.75" customHeight="1">
      <c r="A52" s="185" t="s">
        <v>133</v>
      </c>
      <c r="B52" s="186">
        <f t="shared" ref="B52:M52" si="37">SUM(B42:B51)</f>
        <v>100</v>
      </c>
      <c r="C52" s="186">
        <f t="shared" si="37"/>
        <v>100</v>
      </c>
      <c r="D52" s="186">
        <f t="shared" si="37"/>
        <v>100</v>
      </c>
      <c r="E52" s="186">
        <f t="shared" si="37"/>
        <v>100</v>
      </c>
      <c r="F52" s="186">
        <f t="shared" si="37"/>
        <v>100</v>
      </c>
      <c r="G52" s="186">
        <f t="shared" si="37"/>
        <v>100</v>
      </c>
      <c r="H52" s="186">
        <f t="shared" si="37"/>
        <v>100</v>
      </c>
      <c r="I52" s="186">
        <f t="shared" si="37"/>
        <v>100</v>
      </c>
      <c r="J52" s="186">
        <f t="shared" si="37"/>
        <v>100</v>
      </c>
      <c r="K52" s="186">
        <f t="shared" si="37"/>
        <v>100</v>
      </c>
      <c r="L52" s="186">
        <f t="shared" si="37"/>
        <v>100</v>
      </c>
      <c r="M52" s="186">
        <f t="shared" si="37"/>
        <v>100</v>
      </c>
      <c r="N52" s="186">
        <f t="shared" si="2"/>
        <v>1200</v>
      </c>
      <c r="Q52" s="700" t="str">
        <f ca="1">"3) 주의 :  "&amp;'2026'!$D$1&amp;"시트에서 호봉 승급월을 반드시 한번 더 선택하고 그 이후 년도부터는 선택하지 않는다."</f>
        <v>3) 주의 :  2026시트에서 호봉 승급월을 반드시 한번 더 선택하고 그 이후 년도부터는 선택하지 않는다.</v>
      </c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</row>
    <row r="53" spans="1:29" ht="9.75" customHeight="1">
      <c r="A53" s="187" t="s">
        <v>511</v>
      </c>
      <c r="B53" s="188">
        <f t="shared" ref="B53:C53" ca="1" si="38">B41-B52</f>
        <v>4356030</v>
      </c>
      <c r="C53" s="188">
        <f t="shared" ca="1" si="38"/>
        <v>2589760</v>
      </c>
      <c r="D53" s="188">
        <f t="shared" ref="D53:N53" ca="1" si="39">D41-D52</f>
        <v>6902460</v>
      </c>
      <c r="E53" s="188">
        <f t="shared" ca="1" si="39"/>
        <v>2644930</v>
      </c>
      <c r="F53" s="188">
        <f t="shared" ca="1" si="39"/>
        <v>2638020</v>
      </c>
      <c r="G53" s="188">
        <f t="shared" ca="1" si="39"/>
        <v>2636300</v>
      </c>
      <c r="H53" s="188">
        <f t="shared" ca="1" si="39"/>
        <v>3125720</v>
      </c>
      <c r="I53" s="188">
        <f t="shared" ca="1" si="39"/>
        <v>2591640</v>
      </c>
      <c r="J53" s="188">
        <f t="shared" ca="1" si="39"/>
        <v>2401190</v>
      </c>
      <c r="K53" s="188">
        <f t="shared" ca="1" si="39"/>
        <v>3981240</v>
      </c>
      <c r="L53" s="188">
        <f t="shared" ca="1" si="39"/>
        <v>2438960</v>
      </c>
      <c r="M53" s="188">
        <f t="shared" ca="1" si="39"/>
        <v>2560870</v>
      </c>
      <c r="N53" s="188">
        <f t="shared" ca="1" si="39"/>
        <v>38867120</v>
      </c>
      <c r="R53" s="145"/>
      <c r="S53" s="145"/>
      <c r="T53" s="145"/>
      <c r="W53" s="163"/>
      <c r="X53" s="163"/>
      <c r="Y53" s="163"/>
      <c r="Z53" s="163"/>
      <c r="AA53" s="163"/>
      <c r="AB53" s="163"/>
      <c r="AC53" s="163"/>
    </row>
    <row r="54" spans="1:29" ht="11.25" customHeight="1">
      <c r="Q54" s="639" t="s">
        <v>15</v>
      </c>
      <c r="R54" s="145"/>
      <c r="S54" s="145"/>
      <c r="T54" s="145"/>
      <c r="X54" s="163"/>
      <c r="Y54" s="163"/>
      <c r="Z54" s="163"/>
    </row>
    <row r="55" spans="1:29" ht="18">
      <c r="A55" s="1232" t="str">
        <f ca="1">D1</f>
        <v>2025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L55" s="691" t="s">
        <v>245</v>
      </c>
      <c r="M55" s="702">
        <f>A27</f>
        <v>2</v>
      </c>
      <c r="N55" s="682"/>
      <c r="Q55" s="639" t="s">
        <v>660</v>
      </c>
      <c r="R55" s="145"/>
      <c r="S55" s="145"/>
      <c r="T55" s="639" t="s">
        <v>4</v>
      </c>
      <c r="X55" s="163"/>
      <c r="Y55" s="163"/>
      <c r="Z55" s="163"/>
    </row>
    <row r="56" spans="1:29" ht="11.25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  <c r="Q56" s="639" t="s">
        <v>376</v>
      </c>
      <c r="R56" s="640"/>
      <c r="S56" s="640"/>
      <c r="T56" s="639" t="s">
        <v>408</v>
      </c>
      <c r="U56" s="163"/>
      <c r="V56" s="163"/>
      <c r="X56" s="163"/>
    </row>
    <row r="57" spans="1:29" s="145" customFormat="1" ht="11.25" customHeight="1">
      <c r="A57" s="692" t="s">
        <v>277</v>
      </c>
      <c r="B57" s="902">
        <f ca="1">IF(B6="",0,ROUNDDOWN(VLOOKUP(B26-B17-100000,'2015 근로소득 간이세액표'!$C$4:$N$845,1+$M$55)*1.1,-1))</f>
        <v>320830</v>
      </c>
      <c r="C57" s="902">
        <f ca="1">IF(C6="",0,ROUNDDOWN(VLOOKUP(C26-C17-100000,'2015 근로소득 간이세액표'!$C$4:$N$845,1+$M$55)*1.1,-1))</f>
        <v>72660</v>
      </c>
      <c r="D57" s="902">
        <f ca="1">IF(D6="",0,ROUNDDOWN(VLOOKUP(D26-D17-100000,'2015 근로소득 간이세액표'!$C$4:$N$845,1+$M$55)*1.1,-1))</f>
        <v>882720</v>
      </c>
      <c r="E57" s="902">
        <f ca="1">IF(E6="",0,ROUNDDOWN(VLOOKUP(E26-E17-100000,'2015 근로소득 간이세액표'!$C$4:$N$845,1+$M$55)*1.1,-1))</f>
        <v>83490</v>
      </c>
      <c r="F57" s="902">
        <f ca="1">IF(F6="",0,ROUNDDOWN(VLOOKUP(F26-F17-100000,'2015 근로소득 간이세액표'!$C$4:$N$845,1+$M$55)*1.1,-1))</f>
        <v>83490</v>
      </c>
      <c r="G57" s="902">
        <f ca="1">IF(G6="",0,ROUNDDOWN(VLOOKUP(G26-G17-100000,'2015 근로소득 간이세액표'!$C$4:$N$845,1+$M$55)*1.1,-1))</f>
        <v>83490</v>
      </c>
      <c r="H57" s="902">
        <f ca="1">IF(H6="",0,ROUNDDOWN(VLOOKUP(H26-H17-100000,'2015 근로소득 간이세액표'!$C$4:$N$845,1+$M$55)*1.1,-1))</f>
        <v>142380</v>
      </c>
      <c r="I57" s="902">
        <f ca="1">IF(I6="",0,ROUNDDOWN(VLOOKUP(I26-I17-100000,'2015 근로소득 간이세액표'!$C$4:$N$845,1+$M$55)*1.1,-1))</f>
        <v>79720</v>
      </c>
      <c r="J57" s="902">
        <f ca="1">IF(J6="",0,ROUNDDOWN(VLOOKUP(J26-J17-100000,'2015 근로소득 간이세액표'!$C$4:$N$845,1+$M$55)*1.1,-1))</f>
        <v>91020</v>
      </c>
      <c r="K57" s="902">
        <f ca="1">IF(K6="",0,ROUNDDOWN(VLOOKUP(K26-K17-100000,'2015 근로소득 간이세액표'!$C$4:$N$845,1+$M$55)*1.1,-1))</f>
        <v>320830</v>
      </c>
      <c r="L57" s="902">
        <f ca="1">IF(L6="",0,ROUNDDOWN(VLOOKUP(L26-L17-100000,'2015 근로소득 간이세액표'!$C$4:$N$845,1+$M$55)*1.1,-1))</f>
        <v>94780</v>
      </c>
      <c r="M57" s="902">
        <f ca="1">IF(M6="",0,ROUNDDOWN(VLOOKUP(M26-M17-100000,'2015 근로소득 간이세액표'!$C$4:$N$845,1+$M$55)*1.1,-1))</f>
        <v>107420</v>
      </c>
      <c r="N57" s="689">
        <f ca="1">SUM(B57:M57)</f>
        <v>2362830</v>
      </c>
      <c r="Q57" s="639" t="s">
        <v>649</v>
      </c>
      <c r="R57" s="640"/>
      <c r="S57" s="640"/>
      <c r="T57" s="639" t="s">
        <v>17</v>
      </c>
      <c r="U57" s="163"/>
      <c r="V57" s="163"/>
      <c r="W57" s="163"/>
      <c r="X57" s="163"/>
      <c r="Y57" s="123"/>
      <c r="Z57" s="123"/>
    </row>
    <row r="58" spans="1:29" s="145" customFormat="1" ht="11.25" customHeight="1">
      <c r="A58" s="687" t="s">
        <v>295</v>
      </c>
      <c r="B58" s="903">
        <f t="shared" ref="B58:C58" ca="1" si="40">IF(B6="",0,B27+B28)</f>
        <v>132470</v>
      </c>
      <c r="C58" s="903">
        <f t="shared" ca="1" si="40"/>
        <v>134180</v>
      </c>
      <c r="D58" s="903">
        <f t="shared" ref="D58:M58" ca="1" si="41">IF(D6="",0,D27+D28)</f>
        <v>135910</v>
      </c>
      <c r="E58" s="903">
        <f t="shared" ca="1" si="41"/>
        <v>189240</v>
      </c>
      <c r="F58" s="903">
        <f t="shared" ca="1" si="41"/>
        <v>190960</v>
      </c>
      <c r="G58" s="903">
        <f t="shared" ca="1" si="41"/>
        <v>192680</v>
      </c>
      <c r="H58" s="903">
        <f t="shared" ca="1" si="41"/>
        <v>194400</v>
      </c>
      <c r="I58" s="903">
        <f t="shared" ca="1" si="41"/>
        <v>196130</v>
      </c>
      <c r="J58" s="903">
        <f t="shared" ca="1" si="41"/>
        <v>197840</v>
      </c>
      <c r="K58" s="903">
        <f t="shared" ca="1" si="41"/>
        <v>199560</v>
      </c>
      <c r="L58" s="903">
        <f t="shared" ca="1" si="41"/>
        <v>201280</v>
      </c>
      <c r="M58" s="903">
        <f t="shared" ca="1" si="41"/>
        <v>203000</v>
      </c>
      <c r="N58" s="689">
        <f ca="1">SUM(B58:M58)</f>
        <v>2167650</v>
      </c>
      <c r="R58" s="163"/>
      <c r="S58" s="163"/>
      <c r="T58" s="163"/>
      <c r="U58" s="163"/>
      <c r="V58" s="163"/>
      <c r="W58" s="163"/>
      <c r="X58" s="163"/>
      <c r="Y58" s="123"/>
      <c r="Z58" s="123"/>
    </row>
    <row r="59" spans="1:29" ht="11.25" customHeight="1">
      <c r="A59" s="680" t="s">
        <v>546</v>
      </c>
      <c r="B59" s="684">
        <f t="shared" ref="B59:C59" ca="1" si="42">B57-B58</f>
        <v>188360</v>
      </c>
      <c r="C59" s="684">
        <f t="shared" ca="1" si="42"/>
        <v>-61520</v>
      </c>
      <c r="D59" s="684">
        <f t="shared" ref="D59:N59" ca="1" si="43">D57-D58</f>
        <v>746810</v>
      </c>
      <c r="E59" s="684">
        <f t="shared" ca="1" si="43"/>
        <v>-105750</v>
      </c>
      <c r="F59" s="684">
        <f t="shared" ca="1" si="43"/>
        <v>-107470</v>
      </c>
      <c r="G59" s="684">
        <f t="shared" ca="1" si="43"/>
        <v>-109190</v>
      </c>
      <c r="H59" s="684">
        <f t="shared" ca="1" si="43"/>
        <v>-52020</v>
      </c>
      <c r="I59" s="684">
        <f t="shared" ca="1" si="43"/>
        <v>-116410</v>
      </c>
      <c r="J59" s="684">
        <f t="shared" ca="1" si="43"/>
        <v>-106820</v>
      </c>
      <c r="K59" s="684">
        <f t="shared" ca="1" si="43"/>
        <v>121270</v>
      </c>
      <c r="L59" s="684">
        <f t="shared" ca="1" si="43"/>
        <v>-106500</v>
      </c>
      <c r="M59" s="684">
        <f t="shared" ca="1" si="43"/>
        <v>-95580</v>
      </c>
      <c r="N59" s="684">
        <f t="shared" ca="1" si="43"/>
        <v>195180</v>
      </c>
      <c r="R59" s="163"/>
      <c r="S59" s="163"/>
      <c r="T59" s="163"/>
      <c r="U59" s="163"/>
      <c r="V59" s="163"/>
      <c r="W59" s="163"/>
      <c r="X59" s="163"/>
    </row>
    <row r="60" spans="1:29" ht="11.25" customHeight="1">
      <c r="A60" s="696" t="s">
        <v>273</v>
      </c>
      <c r="B60" s="694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5">
        <f ca="1">IF(N26=0,"",N59)</f>
        <v>195180</v>
      </c>
      <c r="G60" s="696" t="str">
        <f ca="1">IF(N26=0,"",IF(F60&lt;0,"환급이","추가납부가"))</f>
        <v>추가납부가</v>
      </c>
      <c r="H60" s="694" t="str">
        <f ca="1">IF(N26=0,"","예상됩니다.")</f>
        <v>예상됩니다.</v>
      </c>
      <c r="I60" s="1233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33"/>
      <c r="K60" s="1233"/>
      <c r="L60" s="1233"/>
      <c r="M60" s="1233"/>
      <c r="N60" s="694"/>
      <c r="W60" s="163"/>
      <c r="X60" s="163"/>
    </row>
  </sheetData>
  <sheetProtection algorithmName="SHA-512" hashValue="E8d1rEvwZ9rDO4R0+tCOzO5eMp/khLJ69Lm9hD4D/e+gPM08/UgyeGEcljNF8G5zUtI02DoRRdsy3WHtuljmVw==" saltValue="/AzHm/GqotmehZ6MoyY00g==" spinCount="100000" sheet="1" selectLockedCells="1"/>
  <mergeCells count="19">
    <mergeCell ref="Q5:S5"/>
    <mergeCell ref="T5:U5"/>
    <mergeCell ref="Q25:S25"/>
    <mergeCell ref="Q26:S26"/>
    <mergeCell ref="Q27:S27"/>
    <mergeCell ref="Q28:S28"/>
    <mergeCell ref="Q30:S30"/>
    <mergeCell ref="Q34:R35"/>
    <mergeCell ref="S34:T34"/>
    <mergeCell ref="U34:V34"/>
    <mergeCell ref="U35:U37"/>
    <mergeCell ref="V35:W35"/>
    <mergeCell ref="A55:F55"/>
    <mergeCell ref="I60:M60"/>
    <mergeCell ref="Y35:Z35"/>
    <mergeCell ref="Q36:R36"/>
    <mergeCell ref="V36:W36"/>
    <mergeCell ref="Y36:Z36"/>
    <mergeCell ref="Q37:R37"/>
  </mergeCells>
  <phoneticPr fontId="167" type="noConversion"/>
  <conditionalFormatting sqref="B3:C3">
    <cfRule type="expression" dxfId="548" priority="79">
      <formula>$F$2="y"</formula>
    </cfRule>
  </conditionalFormatting>
  <conditionalFormatting sqref="B32:C39 D33:M33 B34:M34 B13:M17 B18:C18 B21:C24 B4:C7 B8:M9 C11:M11 B11:C12 C12:E12 B26:C26 B27:M28 B29:E29 B30:C30 B31:M31">
    <cfRule type="expression" dxfId="547" priority="80">
      <formula>$F$2="y"</formula>
    </cfRule>
  </conditionalFormatting>
  <conditionalFormatting sqref="B13:M17 B18:C18 B21:C24 B4:C7 B8:M9 C11:M11 B11:C12 C12:E12">
    <cfRule type="expression" dxfId="546" priority="27">
      <formula>$E$2="y"</formula>
    </cfRule>
    <cfRule type="expression" dxfId="545" priority="28">
      <formula>$D$2="Y"</formula>
    </cfRule>
  </conditionalFormatting>
  <conditionalFormatting sqref="B32:M34">
    <cfRule type="expression" dxfId="544" priority="81">
      <formula>$F$2="n"</formula>
    </cfRule>
  </conditionalFormatting>
  <conditionalFormatting sqref="C14:M17 B14:B18 B16:M17 B21:B24">
    <cfRule type="expression" dxfId="543" priority="19">
      <formula>$E$2="y"</formula>
    </cfRule>
    <cfRule type="expression" dxfId="542" priority="30">
      <formula>$E$2="N"</formula>
    </cfRule>
    <cfRule type="expression" dxfId="541" priority="82">
      <formula>$F$2="n"</formula>
    </cfRule>
  </conditionalFormatting>
  <conditionalFormatting sqref="D18 D21:D24 B25:M25">
    <cfRule type="expression" dxfId="540" priority="20">
      <formula>$E$2="y"</formula>
    </cfRule>
  </conditionalFormatting>
  <conditionalFormatting sqref="D18 D21:D24">
    <cfRule type="expression" dxfId="539" priority="21">
      <formula>$E$2="y"</formula>
    </cfRule>
    <cfRule type="expression" dxfId="538" priority="75">
      <formula>$F$2="y"</formula>
    </cfRule>
  </conditionalFormatting>
  <conditionalFormatting sqref="D32:M34 C33:M34">
    <cfRule type="expression" dxfId="537" priority="76">
      <formula>$F$2="n"</formula>
    </cfRule>
    <cfRule type="expression" priority="77">
      <formula>$F$2="y"</formula>
    </cfRule>
    <cfRule type="expression" dxfId="536" priority="78">
      <formula>$F$2="y"</formula>
    </cfRule>
  </conditionalFormatting>
  <conditionalFormatting sqref="J12:K12">
    <cfRule type="expression" dxfId="535" priority="7">
      <formula>$E$2="y"</formula>
    </cfRule>
    <cfRule type="expression" dxfId="534" priority="8">
      <formula>$D$2="Y"</formula>
    </cfRule>
    <cfRule type="expression" dxfId="533" priority="9">
      <formula>$F$2="y"</formula>
    </cfRule>
  </conditionalFormatting>
  <hyperlinks>
    <hyperlink ref="T5" r:id="rId1" xr:uid="{00000000-0004-0000-1000-000000000000}"/>
  </hyperlinks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ignoredErrors>
    <ignoredError sqref="B4:N4 B30:N31 B29:E29 G29:N29 A14:A15 H2 B26:N28 N25 A25:M25 I1:N1 D1 B35:N37 N33 N34 C32:N32 C33:M34 B40:N53 C39:N39 B38:I38 K38:N38 B6:N20 B5:M5 B22:N24 B21:I21 K21:N21" unlockedFormula="1"/>
    <ignoredError sqref="F29" formula="1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7" r:id="rId4" name="Drop Down 3">
              <controlPr defaultSize="0" autoLine="0" autoPict="0">
                <anchor moveWithCells="1">
                  <from>
                    <xdr:col>12</xdr:col>
                    <xdr:colOff>457200</xdr:colOff>
                    <xdr:row>1</xdr:row>
                    <xdr:rowOff>25400</xdr:rowOff>
                  </from>
                  <to>
                    <xdr:col>13</xdr:col>
                    <xdr:colOff>165100</xdr:colOff>
                    <xdr:row>1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8" r:id="rId5" name="Drop Down 4">
              <controlPr defaultSize="0" autoLine="0" autoPict="0">
                <anchor moveWithCells="1">
                  <from>
                    <xdr:col>4</xdr:col>
                    <xdr:colOff>12700</xdr:colOff>
                    <xdr:row>1</xdr:row>
                    <xdr:rowOff>25400</xdr:rowOff>
                  </from>
                  <to>
                    <xdr:col>5</xdr:col>
                    <xdr:colOff>647700</xdr:colOff>
                    <xdr:row>1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0" r:id="rId6" name="Drop Down 6">
              <controlPr defaultSize="0" autoLine="0" autoPict="0">
                <anchor moveWithCells="1">
                  <from>
                    <xdr:col>7</xdr:col>
                    <xdr:colOff>76200</xdr:colOff>
                    <xdr:row>1</xdr:row>
                    <xdr:rowOff>25400</xdr:rowOff>
                  </from>
                  <to>
                    <xdr:col>7</xdr:col>
                    <xdr:colOff>609600</xdr:colOff>
                    <xdr:row>1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1" r:id="rId7" name="Drop Down 7">
              <controlPr defaultSize="0" autoLine="0" autoPict="0">
                <anchor moveWithCells="1">
                  <from>
                    <xdr:col>10</xdr:col>
                    <xdr:colOff>114300</xdr:colOff>
                    <xdr:row>1</xdr:row>
                    <xdr:rowOff>25400</xdr:rowOff>
                  </from>
                  <to>
                    <xdr:col>10</xdr:col>
                    <xdr:colOff>584200</xdr:colOff>
                    <xdr:row>1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2" r:id="rId8" name="Drop Down 8">
              <controlPr defaultSize="0" autoLine="0" autoPict="0">
                <anchor moveWithCells="1">
                  <from>
                    <xdr:col>13</xdr:col>
                    <xdr:colOff>76200</xdr:colOff>
                    <xdr:row>4</xdr:row>
                    <xdr:rowOff>25400</xdr:rowOff>
                  </from>
                  <to>
                    <xdr:col>13</xdr:col>
                    <xdr:colOff>584200</xdr:colOff>
                    <xdr:row>4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5" r:id="rId9" name="Drop Down 1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6" r:id="rId10" name="Drop Down 1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622300</xdr:colOff>
                    <xdr:row>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9" r:id="rId11" name="Drop Down 15">
              <controlPr defaultSize="0" autoLine="0" autoPict="0">
                <anchor moveWithCells="1">
                  <from>
                    <xdr:col>0</xdr:col>
                    <xdr:colOff>12700</xdr:colOff>
                    <xdr:row>24</xdr:row>
                    <xdr:rowOff>12700</xdr:rowOff>
                  </from>
                  <to>
                    <xdr:col>0</xdr:col>
                    <xdr:colOff>749300</xdr:colOff>
                    <xdr:row>24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4" r:id="rId12" name="Drop Down 80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6" r:id="rId13" name="Drop Down 82">
              <controlPr defaultSize="0" autoLine="0" autoPict="0">
                <anchor moveWithCells="1">
                  <from>
                    <xdr:col>13</xdr:col>
                    <xdr:colOff>190500</xdr:colOff>
                    <xdr:row>1</xdr:row>
                    <xdr:rowOff>38100</xdr:rowOff>
                  </from>
                  <to>
                    <xdr:col>13</xdr:col>
                    <xdr:colOff>622300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8" r:id="rId14" name="Drop Down 84">
              <controlPr defaultSize="0" autoLine="0" autoPict="0">
                <anchor moveWithCells="1">
                  <from>
                    <xdr:col>1</xdr:col>
                    <xdr:colOff>0</xdr:colOff>
                    <xdr:row>18</xdr:row>
                    <xdr:rowOff>12700</xdr:rowOff>
                  </from>
                  <to>
                    <xdr:col>2</xdr:col>
                    <xdr:colOff>0</xdr:colOff>
                    <xdr:row>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5" r:id="rId15" name="Drop Down 91">
              <controlPr defaultSize="0" autoLine="0" autoPict="0">
                <anchor moveWithCells="1">
                  <from>
                    <xdr:col>1</xdr:col>
                    <xdr:colOff>0</xdr:colOff>
                    <xdr:row>10</xdr:row>
                    <xdr:rowOff>12700</xdr:rowOff>
                  </from>
                  <to>
                    <xdr:col>2</xdr:col>
                    <xdr:colOff>0</xdr:colOff>
                    <xdr:row>10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0" r:id="rId16" name="Drop Down 106">
              <controlPr defaultSize="0" autoLine="0" autoPict="0">
                <anchor moveWithCells="1">
                  <from>
                    <xdr:col>1</xdr:col>
                    <xdr:colOff>0</xdr:colOff>
                    <xdr:row>16</xdr:row>
                    <xdr:rowOff>12700</xdr:rowOff>
                  </from>
                  <to>
                    <xdr:col>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2" r:id="rId17" name="Drop Down 108">
              <controlPr defaultSize="0" autoLine="0" autoPict="0">
                <anchor moveWithCells="1">
                  <from>
                    <xdr:col>1</xdr:col>
                    <xdr:colOff>0</xdr:colOff>
                    <xdr:row>15</xdr:row>
                    <xdr:rowOff>12700</xdr:rowOff>
                  </from>
                  <to>
                    <xdr:col>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4" r:id="rId18" name="Drop Down 110">
              <controlPr defaultSize="0" autoLine="0" autoPict="0">
                <anchor moveWithCells="1">
                  <from>
                    <xdr:col>0</xdr:col>
                    <xdr:colOff>279400</xdr:colOff>
                    <xdr:row>6</xdr:row>
                    <xdr:rowOff>12700</xdr:rowOff>
                  </from>
                  <to>
                    <xdr:col>0</xdr:col>
                    <xdr:colOff>749300</xdr:colOff>
                    <xdr:row>6</xdr:row>
                    <xdr:rowOff>152400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000-000000000000}">
          <x14:formula1>
            <xm:f>집계표!$M$42:$M$44</xm:f>
          </x14:formula1>
          <xm:sqref>O27:P27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AB60"/>
  <sheetViews>
    <sheetView showGridLines="0" zoomScale="191" zoomScaleNormal="191" zoomScaleSheetLayoutView="191" workbookViewId="0">
      <pane xSplit="1" ySplit="5" topLeftCell="D6" activePane="bottomRight" state="frozen"/>
      <selection pane="topRight"/>
      <selection pane="bottomLeft"/>
      <selection pane="bottomRight" activeCell="M2" sqref="M2"/>
    </sheetView>
  </sheetViews>
  <sheetFormatPr baseColWidth="10" defaultColWidth="9" defaultRowHeight="11.25" customHeight="1"/>
  <cols>
    <col min="1" max="1" width="10" style="123" customWidth="1"/>
    <col min="2" max="14" width="9" style="123" customWidth="1"/>
    <col min="15" max="15" width="9.83203125" style="123" customWidth="1"/>
    <col min="16" max="16384" width="9" style="123"/>
  </cols>
  <sheetData>
    <row r="1" spans="1:28" ht="18" customHeight="1">
      <c r="A1" s="352" t="s">
        <v>131</v>
      </c>
      <c r="B1" s="353">
        <f>집계표!AQ63</f>
        <v>58134</v>
      </c>
      <c r="C1" s="163"/>
      <c r="D1" s="189" t="str">
        <f ca="1">RIGHT(CELL("filename",A5),LEN(CELL("filename",A5))-FIND("]",CELL("filename",A5)))</f>
        <v>2026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집계표!D119</f>
        <v>2</v>
      </c>
      <c r="M1" s="627">
        <f>집계표!D122</f>
        <v>1</v>
      </c>
      <c r="N1" s="617">
        <v>2</v>
      </c>
      <c r="P1" s="1259"/>
      <c r="Q1" s="1259"/>
      <c r="R1" s="163"/>
      <c r="S1" s="163"/>
      <c r="T1" s="163"/>
      <c r="U1" s="163"/>
      <c r="V1" s="163"/>
      <c r="W1" s="163"/>
      <c r="X1" s="163"/>
      <c r="Y1" s="163"/>
      <c r="Z1" s="163"/>
      <c r="AA1" s="163"/>
      <c r="AB1" s="163"/>
    </row>
    <row r="2" spans="1:28" ht="14.25" customHeight="1">
      <c r="A2" s="354"/>
      <c r="B2" s="1263" t="s">
        <v>34</v>
      </c>
      <c r="C2" s="1263"/>
      <c r="D2" s="198">
        <f>M2</f>
        <v>3.5000000000000003E-2</v>
      </c>
      <c r="E2" s="199"/>
      <c r="F2" s="207"/>
      <c r="G2" s="594" t="s">
        <v>68</v>
      </c>
      <c r="H2" s="629" t="str">
        <f>집계표!AM53</f>
        <v>A</v>
      </c>
      <c r="J2" s="355"/>
      <c r="K2" s="1255" t="s">
        <v>420</v>
      </c>
      <c r="L2" s="1255"/>
      <c r="M2" s="1033">
        <v>3.5000000000000003E-2</v>
      </c>
      <c r="N2" s="199"/>
      <c r="O2" s="134"/>
      <c r="P2" s="1259"/>
      <c r="Q2" s="1259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</row>
    <row r="3" spans="1:28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  <c r="P3" s="170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</row>
    <row r="4" spans="1:28" ht="9.75" customHeight="1">
      <c r="A4" s="202" t="s">
        <v>206</v>
      </c>
      <c r="B4" s="356">
        <f>IF('2025'!M4&gt;=50,50,IF(AND('2025'!M4=50,M$3=$N$5),"",IF(B3=$N$5,'2025'!M4+1,'2025'!M4)))</f>
        <v>13</v>
      </c>
      <c r="C4" s="176">
        <f>IF(B4&gt;=50,50,IF(AND(B4=50,C$3=$N$5),"",IF(C$3=$N$5,B4+1,B4)))</f>
        <v>13</v>
      </c>
      <c r="D4" s="176">
        <f t="shared" ref="D4:M4" si="0">IF(C4&gt;=50,50,IF(AND(C4=50,D$3=$N$5),"",IF(D$3=$N$5,C4+1,C4)))</f>
        <v>14</v>
      </c>
      <c r="E4" s="176">
        <f t="shared" si="0"/>
        <v>14</v>
      </c>
      <c r="F4" s="176">
        <f t="shared" si="0"/>
        <v>14</v>
      </c>
      <c r="G4" s="176">
        <f t="shared" si="0"/>
        <v>14</v>
      </c>
      <c r="H4" s="176">
        <f t="shared" si="0"/>
        <v>14</v>
      </c>
      <c r="I4" s="176">
        <f t="shared" si="0"/>
        <v>14</v>
      </c>
      <c r="J4" s="176">
        <f t="shared" si="0"/>
        <v>14</v>
      </c>
      <c r="K4" s="176">
        <f t="shared" si="0"/>
        <v>14</v>
      </c>
      <c r="L4" s="176">
        <f t="shared" si="0"/>
        <v>14</v>
      </c>
      <c r="M4" s="176">
        <f t="shared" si="0"/>
        <v>14</v>
      </c>
      <c r="N4" s="175" t="s">
        <v>203</v>
      </c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</row>
    <row r="5" spans="1:28" ht="9.75" customHeight="1">
      <c r="A5" s="202" t="s">
        <v>178</v>
      </c>
      <c r="B5" s="356">
        <f>IF(B$3=$N$5,'2025'!M5+1,'2025'!M5)</f>
        <v>3</v>
      </c>
      <c r="C5" s="176">
        <f>IF(C$3=$N$5,B5+1,B5)</f>
        <v>3</v>
      </c>
      <c r="D5" s="176">
        <f>IF(D$3=$N$5,C5+1,C5)</f>
        <v>4</v>
      </c>
      <c r="E5" s="176">
        <f>IF(E$3=$N$5,D5+1,D5)</f>
        <v>4</v>
      </c>
      <c r="F5" s="176">
        <f t="shared" ref="F5:M5" si="1">IF(F$3=$N$5,E5+1,E5)</f>
        <v>4</v>
      </c>
      <c r="G5" s="176">
        <f t="shared" si="1"/>
        <v>4</v>
      </c>
      <c r="H5" s="176">
        <f t="shared" si="1"/>
        <v>4</v>
      </c>
      <c r="I5" s="176">
        <f t="shared" si="1"/>
        <v>4</v>
      </c>
      <c r="J5" s="176">
        <f t="shared" si="1"/>
        <v>4</v>
      </c>
      <c r="K5" s="176">
        <f t="shared" si="1"/>
        <v>4</v>
      </c>
      <c r="L5" s="176">
        <f t="shared" si="1"/>
        <v>4</v>
      </c>
      <c r="M5" s="176">
        <f t="shared" si="1"/>
        <v>4</v>
      </c>
      <c r="N5" s="177">
        <f>IF(집계표!I3=13,"해당無",집계표!I3)</f>
        <v>3</v>
      </c>
      <c r="P5" s="190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</row>
    <row r="6" spans="1:28" ht="9.75" customHeight="1">
      <c r="A6" s="178" t="s">
        <v>454</v>
      </c>
      <c r="B6" s="179">
        <f ca="1">IF(OR(B4="",B4&lt;7),"",IF($D$1-YEAR($B$1)&gt;0,"",IF(AND($D$1-YEAR($B$1)=0,B3-MONTH($B$1)&gt;=1),"",VLOOKUP(B4,gibon40!$D$4:$AT$47,$N$1,1))))</f>
        <v>2657500</v>
      </c>
      <c r="C6" s="179">
        <f ca="1">IF(OR(C4="",C4&lt;7),"",IF($D$1-YEAR($B$1)&gt;0,"",IF(AND($D$1-YEAR($B$1)=0,C3-MONTH($B$1)&gt;=1),"",VLOOKUP(C4,gibon40!$D$4:$AT$47,$N$1,1))))</f>
        <v>2657500</v>
      </c>
      <c r="D6" s="179">
        <f ca="1">IF(OR(D4="",D4&lt;7),"",IF($D$1-YEAR($B$1)&gt;0,"",IF(AND($D$1-YEAR($B$1)=0,D3-MONTH($B$1)&gt;=1),"",VLOOKUP(D4,gibon40!$D$4:$AT$47,$N$1,1))))</f>
        <v>2773700</v>
      </c>
      <c r="E6" s="179">
        <f ca="1">IF(OR(E4="",E4&lt;7),"",IF($D$1-YEAR($B$1)&gt;0,"",IF(AND($D$1-YEAR($B$1)=0,E3-MONTH($B$1)&gt;=1),"",VLOOKUP(E4,gibon40!$D$4:$AT$47,$N$1,1))))</f>
        <v>2773700</v>
      </c>
      <c r="F6" s="179">
        <f ca="1">IF(OR(F4="",F4&lt;7),"",IF($D$1-YEAR($B$1)&gt;0,"",IF(AND($D$1-YEAR($B$1)=0,F3-MONTH($B$1)&gt;=1),"",VLOOKUP(F4,gibon40!$D$4:$AT$47,$N$1,1))))</f>
        <v>2773700</v>
      </c>
      <c r="G6" s="179">
        <f ca="1">IF(OR(G4="",G4&lt;7),"",IF($D$1-YEAR($B$1)&gt;0,"",IF(AND($D$1-YEAR($B$1)=0,G3-MONTH($B$1)&gt;=1),"",VLOOKUP(G4,gibon40!$D$4:$AT$47,$N$1,1))))</f>
        <v>2773700</v>
      </c>
      <c r="H6" s="179">
        <f ca="1">IF(OR(H4="",H4&lt;7),"",IF($D$1-YEAR($B$1)&gt;0,"",IF(AND($D$1-YEAR($B$1)=0,H3-MONTH($B$1)&gt;=1),"",VLOOKUP(H4,gibon40!$D$4:$AT$47,$N$1,1))))</f>
        <v>2773700</v>
      </c>
      <c r="I6" s="179">
        <f ca="1">IF(OR(I4="",I4&lt;7),"",IF($D$1-YEAR($B$1)&gt;0,"",IF(AND($D$1-YEAR($B$1)=0,I3-MONTH($B$1)&gt;=1),"",VLOOKUP(I4,gibon40!$D$4:$AT$47,$N$1,1))))</f>
        <v>2773700</v>
      </c>
      <c r="J6" s="179">
        <f ca="1">IF(OR(J4="",J4&lt;7),"",IF($D$1-YEAR($B$1)&gt;0,"",IF(AND($D$1-YEAR($B$1)=0,J3-MONTH($B$1)&gt;=1),"",VLOOKUP(J4,gibon40!$D$4:$AT$47,$N$1,1))))</f>
        <v>2773700</v>
      </c>
      <c r="K6" s="179">
        <f ca="1">IF(OR(K4="",K4&lt;7),"",IF($D$1-YEAR($B$1)&gt;0,"",IF(AND($D$1-YEAR($B$1)=0,K3-MONTH($B$1)&gt;=1),"",VLOOKUP(K4,gibon40!$D$4:$AT$47,$N$1,1))))</f>
        <v>2773700</v>
      </c>
      <c r="L6" s="179">
        <f ca="1">IF(OR(L4="",L4&lt;7),"",IF($D$1-YEAR($B$1)&gt;0,"",IF(AND($D$1-YEAR($B$1)=0,L3-MONTH($B$1)&gt;=1),"",VLOOKUP(L4,gibon40!$D$4:$AT$47,$N$1,1))))</f>
        <v>2773700</v>
      </c>
      <c r="M6" s="179">
        <f ca="1">IF(OR(M4="",M4&lt;7),"",IF($D$1-YEAR($B$1)&gt;0,"",IF(AND($D$1-YEAR($B$1)=0,M3-MONTH($B$1)&gt;=1),"",VLOOKUP(M4,gibon40!$D$4:$AT$47,$N$1,1))))</f>
        <v>2773700</v>
      </c>
      <c r="N6" s="179">
        <f t="shared" ref="N6:N52" ca="1" si="2">SUM(B6:M6)</f>
        <v>33052000</v>
      </c>
      <c r="P6" s="191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</row>
    <row r="7" spans="1:28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531500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554740</v>
      </c>
      <c r="I7" s="180"/>
      <c r="J7" s="180"/>
      <c r="K7" s="180"/>
      <c r="L7" s="180"/>
      <c r="M7" s="180"/>
      <c r="N7" s="179">
        <f t="shared" ca="1" si="2"/>
        <v>1086240</v>
      </c>
      <c r="P7" s="190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</row>
    <row r="8" spans="1:28" ht="9.75" customHeight="1">
      <c r="A8" s="178" t="s">
        <v>80</v>
      </c>
      <c r="B8" s="179">
        <f ca="1">IF(B4="","",IF(B6="","",IF(B5&gt;=20,100000,IF(B5&gt;=15,80000,IF(B5&gt;=10,60000,IF(B5&gt;=5,50000,30000))))))</f>
        <v>30000</v>
      </c>
      <c r="C8" s="179">
        <f t="shared" ref="C8:M8" ca="1" si="3">IF(C4="","",IF(C6="","",IF(C5&gt;=20,100000,IF(C5&gt;=15,80000,IF(C5&gt;=10,60000,IF(C5&gt;=5,50000,30000))))))</f>
        <v>30000</v>
      </c>
      <c r="D8" s="179">
        <f t="shared" ca="1" si="3"/>
        <v>30000</v>
      </c>
      <c r="E8" s="179">
        <f t="shared" ca="1" si="3"/>
        <v>30000</v>
      </c>
      <c r="F8" s="179">
        <f t="shared" ca="1" si="3"/>
        <v>30000</v>
      </c>
      <c r="G8" s="179">
        <f t="shared" ca="1" si="3"/>
        <v>30000</v>
      </c>
      <c r="H8" s="179">
        <f t="shared" ca="1" si="3"/>
        <v>30000</v>
      </c>
      <c r="I8" s="179">
        <f t="shared" ca="1" si="3"/>
        <v>30000</v>
      </c>
      <c r="J8" s="179">
        <f t="shared" ca="1" si="3"/>
        <v>30000</v>
      </c>
      <c r="K8" s="179">
        <f t="shared" ca="1" si="3"/>
        <v>30000</v>
      </c>
      <c r="L8" s="179">
        <f t="shared" ca="1" si="3"/>
        <v>30000</v>
      </c>
      <c r="M8" s="179">
        <f t="shared" ca="1" si="3"/>
        <v>30000</v>
      </c>
      <c r="N8" s="179">
        <f t="shared" ca="1" si="2"/>
        <v>360000</v>
      </c>
      <c r="P8" s="191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</row>
    <row r="9" spans="1:28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179">
        <f t="shared" ca="1" si="2"/>
        <v>0</v>
      </c>
      <c r="P9" s="192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</row>
    <row r="10" spans="1:28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4401380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179">
        <f t="shared" ca="1" si="2"/>
        <v>4401380</v>
      </c>
      <c r="P10" s="190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</row>
    <row r="11" spans="1:28" ht="9.75" customHeight="1">
      <c r="A11" s="178" t="s">
        <v>63</v>
      </c>
      <c r="B11" s="179">
        <f ca="1">IF(B$6="","",'2025'!M11)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179">
        <f t="shared" ca="1" si="2"/>
        <v>1680000</v>
      </c>
      <c r="P11" s="190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</row>
    <row r="12" spans="1:28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1594500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1664220</v>
      </c>
      <c r="K12" s="180">
        <f ca="1">IF(K6="","",IF(VLOOKUP($D$1+0,집계표!$Y$49:$AA$108,3)=K3,K6*0.6,0))</f>
        <v>0</v>
      </c>
      <c r="L12" s="179"/>
      <c r="M12" s="179"/>
      <c r="N12" s="179">
        <f t="shared" ca="1" si="2"/>
        <v>3258720</v>
      </c>
      <c r="P12" s="191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</row>
    <row r="13" spans="1:28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179">
        <f t="shared" ca="1" si="2"/>
        <v>3000000</v>
      </c>
      <c r="P13" s="190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</row>
    <row r="14" spans="1:28" ht="9.75" customHeight="1">
      <c r="A14" s="606" t="str">
        <f>IF(L1=1,"8)비담임",IF(L1=2,"8)담임수당",IF(L1=3,"8)교감직급보조비",IF(L1=4,"8)교장직급보조비",""))))</f>
        <v>8)담임수당</v>
      </c>
      <c r="B14" s="1035">
        <f ca="1">IF(B6="",0,IF($L$1=1,0,IF($L$1=2,130000+70000,IF($L$1=3,250000,IF($L$1=4,450000,"오류")))))</f>
        <v>200000</v>
      </c>
      <c r="C14" s="179">
        <f ca="1">IF(C6="",0,IF($L$1=1,0,IF($L$1=2,130000+70000,IF($L$1=3,250000,IF($L$1=4,450000,"오류")))))</f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7">IF(E6="",0,IF($L$1=1,0,IF($L$1=2,130000+70000,IF($L$1=3,250000,IF($L$1=4,450000,"오류")))))</f>
        <v>200000</v>
      </c>
      <c r="F14" s="179">
        <f t="shared" ca="1" si="7"/>
        <v>200000</v>
      </c>
      <c r="G14" s="179">
        <f t="shared" ca="1" si="7"/>
        <v>200000</v>
      </c>
      <c r="H14" s="179">
        <f t="shared" ca="1" si="7"/>
        <v>200000</v>
      </c>
      <c r="I14" s="179">
        <f t="shared" ca="1" si="7"/>
        <v>200000</v>
      </c>
      <c r="J14" s="179">
        <f t="shared" ca="1" si="7"/>
        <v>200000</v>
      </c>
      <c r="K14" s="179">
        <f t="shared" ca="1" si="7"/>
        <v>200000</v>
      </c>
      <c r="L14" s="179">
        <f t="shared" ca="1" si="7"/>
        <v>200000</v>
      </c>
      <c r="M14" s="179">
        <f t="shared" ca="1" si="7"/>
        <v>200000</v>
      </c>
      <c r="N14" s="179">
        <f t="shared" ca="1" si="2"/>
        <v>2400000</v>
      </c>
      <c r="P14" s="190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</row>
    <row r="15" spans="1:28" ht="9.75" customHeight="1">
      <c r="A15" s="606" t="str">
        <f>IF(L1=4,"교장관리수당",IF(OR(M1=1,M1=2,L1=3),"부장수당",""))</f>
        <v>부장수당</v>
      </c>
      <c r="B15" s="610">
        <f ca="1">IF(B$6="","",'2025'!M15)</f>
        <v>0</v>
      </c>
      <c r="C15" s="179">
        <f t="shared" ref="C15:M16" ca="1" si="8">IF(C$6="","",B15)</f>
        <v>0</v>
      </c>
      <c r="D15" s="179">
        <f ca="1">IF(D6="",0,IF(A15="교장관리수당",B6*7.8%,IF(L1=3,0,IF(M1=1,0,IF(M1=2,150000,0)))))</f>
        <v>0</v>
      </c>
      <c r="E15" s="179">
        <f t="shared" ca="1" si="8"/>
        <v>0</v>
      </c>
      <c r="F15" s="179">
        <f t="shared" ca="1" si="8"/>
        <v>0</v>
      </c>
      <c r="G15" s="179">
        <f t="shared" ca="1" si="8"/>
        <v>0</v>
      </c>
      <c r="H15" s="179">
        <f t="shared" ca="1" si="8"/>
        <v>0</v>
      </c>
      <c r="I15" s="179">
        <f t="shared" ca="1" si="8"/>
        <v>0</v>
      </c>
      <c r="J15" s="179">
        <f t="shared" ca="1" si="8"/>
        <v>0</v>
      </c>
      <c r="K15" s="179">
        <f t="shared" ca="1" si="8"/>
        <v>0</v>
      </c>
      <c r="L15" s="179">
        <f t="shared" ca="1" si="8"/>
        <v>0</v>
      </c>
      <c r="M15" s="179">
        <f t="shared" ca="1" si="8"/>
        <v>0</v>
      </c>
      <c r="N15" s="179">
        <f t="shared" ca="1" si="2"/>
        <v>0</v>
      </c>
      <c r="P15" s="192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</row>
    <row r="16" spans="1:28" ht="9.75" customHeight="1">
      <c r="A16" s="606" t="s">
        <v>331</v>
      </c>
      <c r="B16" s="610">
        <f ca="1">IF(B$6="","",'2025'!M16)</f>
        <v>0</v>
      </c>
      <c r="C16" s="179">
        <f t="shared" ca="1" si="8"/>
        <v>0</v>
      </c>
      <c r="D16" s="179">
        <f ca="1">IF(D6="",0,IF(E2="y","",IF(L1=4,35000,IF(L1=3,25000,IF(AND(L1=2,M1=2),15000,IF(L1=2,5000,IF(M1=2,10000,0)))))))</f>
        <v>5000</v>
      </c>
      <c r="E16" s="179">
        <f t="shared" ca="1" si="8"/>
        <v>5000</v>
      </c>
      <c r="F16" s="179">
        <f t="shared" ca="1" si="8"/>
        <v>5000</v>
      </c>
      <c r="G16" s="179">
        <f t="shared" ca="1" si="8"/>
        <v>5000</v>
      </c>
      <c r="H16" s="179">
        <f t="shared" ca="1" si="8"/>
        <v>5000</v>
      </c>
      <c r="I16" s="179">
        <f t="shared" ca="1" si="8"/>
        <v>5000</v>
      </c>
      <c r="J16" s="179">
        <f t="shared" ca="1" si="8"/>
        <v>5000</v>
      </c>
      <c r="K16" s="179">
        <f t="shared" ca="1" si="8"/>
        <v>5000</v>
      </c>
      <c r="L16" s="179">
        <f t="shared" ca="1" si="8"/>
        <v>5000</v>
      </c>
      <c r="M16" s="179">
        <f t="shared" ca="1" si="8"/>
        <v>5000</v>
      </c>
      <c r="N16" s="179">
        <f t="shared" ca="1" si="2"/>
        <v>50000</v>
      </c>
      <c r="P16" s="193"/>
      <c r="Q16" s="171"/>
      <c r="R16" s="171"/>
      <c r="S16" s="171"/>
      <c r="T16" s="171"/>
      <c r="U16" s="171"/>
      <c r="V16" s="171"/>
      <c r="W16" s="171"/>
      <c r="X16" s="171"/>
      <c r="Y16" s="171"/>
      <c r="Z16" s="163"/>
      <c r="AA16" s="163"/>
      <c r="AB16" s="163"/>
    </row>
    <row r="17" spans="1:28" ht="9.75" customHeight="1">
      <c r="A17" s="606" t="s">
        <v>54</v>
      </c>
      <c r="B17" s="611">
        <f ca="1">IF(B6="","",IF(B5&lt;5,75000,60000))</f>
        <v>75000</v>
      </c>
      <c r="C17" s="179">
        <f t="shared" ref="C17:M17" ca="1" si="9">IF(C6="","",IF(C5&lt;5,75000,60000))</f>
        <v>75000</v>
      </c>
      <c r="D17" s="179">
        <f t="shared" ca="1" si="9"/>
        <v>75000</v>
      </c>
      <c r="E17" s="179">
        <f t="shared" ca="1" si="9"/>
        <v>75000</v>
      </c>
      <c r="F17" s="179">
        <f t="shared" ca="1" si="9"/>
        <v>75000</v>
      </c>
      <c r="G17" s="179">
        <f t="shared" ca="1" si="9"/>
        <v>75000</v>
      </c>
      <c r="H17" s="179">
        <f t="shared" ca="1" si="9"/>
        <v>75000</v>
      </c>
      <c r="I17" s="179">
        <f t="shared" ca="1" si="9"/>
        <v>75000</v>
      </c>
      <c r="J17" s="179">
        <f t="shared" ca="1" si="9"/>
        <v>75000</v>
      </c>
      <c r="K17" s="179">
        <f t="shared" ca="1" si="9"/>
        <v>75000</v>
      </c>
      <c r="L17" s="179">
        <f t="shared" ca="1" si="9"/>
        <v>75000</v>
      </c>
      <c r="M17" s="179">
        <f t="shared" ca="1" si="9"/>
        <v>75000</v>
      </c>
      <c r="N17" s="179">
        <f t="shared" ca="1" si="2"/>
        <v>900000</v>
      </c>
      <c r="P17" s="190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</row>
    <row r="18" spans="1:28" ht="9.75" customHeight="1">
      <c r="A18" s="606" t="s">
        <v>286</v>
      </c>
      <c r="B18" s="610">
        <f ca="1">IF(B$6="","",'2025'!M18)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E18:M18" ca="1" si="10">IF(E$6="","",D18)</f>
        <v>0</v>
      </c>
      <c r="F18" s="179">
        <f t="shared" ca="1" si="10"/>
        <v>0</v>
      </c>
      <c r="G18" s="179">
        <f t="shared" ca="1" si="10"/>
        <v>0</v>
      </c>
      <c r="H18" s="179">
        <f t="shared" ca="1" si="10"/>
        <v>0</v>
      </c>
      <c r="I18" s="179">
        <f t="shared" ca="1" si="10"/>
        <v>0</v>
      </c>
      <c r="J18" s="179">
        <f t="shared" ca="1" si="10"/>
        <v>0</v>
      </c>
      <c r="K18" s="179">
        <f t="shared" ca="1" si="10"/>
        <v>0</v>
      </c>
      <c r="L18" s="179">
        <f t="shared" ca="1" si="10"/>
        <v>0</v>
      </c>
      <c r="M18" s="179">
        <f t="shared" ca="1" si="10"/>
        <v>0</v>
      </c>
      <c r="N18" s="179">
        <f t="shared" ca="1" si="2"/>
        <v>0</v>
      </c>
      <c r="P18" s="191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</row>
    <row r="19" spans="1:28" ht="9.75" customHeight="1">
      <c r="A19" s="606" t="s">
        <v>283</v>
      </c>
      <c r="B19" s="610">
        <f ca="1">IF(B$6="","",'2025'!M19)</f>
        <v>20000</v>
      </c>
      <c r="C19" s="179">
        <f ca="1">IF(C$6="","",B19)</f>
        <v>20000</v>
      </c>
      <c r="D19" s="179">
        <f t="shared" ref="D19:M19" ca="1" si="11">IF(D$6="","",C19)</f>
        <v>20000</v>
      </c>
      <c r="E19" s="179">
        <f t="shared" ca="1" si="11"/>
        <v>20000</v>
      </c>
      <c r="F19" s="179">
        <f t="shared" ca="1" si="11"/>
        <v>20000</v>
      </c>
      <c r="G19" s="179">
        <f t="shared" ca="1" si="11"/>
        <v>20000</v>
      </c>
      <c r="H19" s="179">
        <f t="shared" ca="1" si="11"/>
        <v>20000</v>
      </c>
      <c r="I19" s="179">
        <f t="shared" ca="1" si="11"/>
        <v>20000</v>
      </c>
      <c r="J19" s="179">
        <f t="shared" ca="1" si="11"/>
        <v>20000</v>
      </c>
      <c r="K19" s="179">
        <f t="shared" ca="1" si="11"/>
        <v>20000</v>
      </c>
      <c r="L19" s="179">
        <f t="shared" ca="1" si="11"/>
        <v>20000</v>
      </c>
      <c r="M19" s="179">
        <f t="shared" ca="1" si="11"/>
        <v>20000</v>
      </c>
      <c r="N19" s="179">
        <f t="shared" ca="1" si="2"/>
        <v>240000</v>
      </c>
      <c r="P19" s="190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</row>
    <row r="20" spans="1:28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179">
        <f t="shared" ca="1" si="2"/>
        <v>0</v>
      </c>
      <c r="P20" s="194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</row>
    <row r="21" spans="1:28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43720</v>
      </c>
      <c r="E21" s="179">
        <f ca="1">IF(D4="","",IF(E$6="","",ROUND(VLOOKUP(E4,gibon40!$D$51:$AV$100,$N$1+1)*10*15/15,-1)))</f>
        <v>131150</v>
      </c>
      <c r="F21" s="179">
        <f ca="1">IF(E4="","",IF(F$6="","",ROUND(VLOOKUP(F4,gibon40!$D$51:$AV$100,$N$1+1)*10*15/15,-1)))</f>
        <v>131150</v>
      </c>
      <c r="G21" s="179">
        <f ca="1">IF(F4="","",IF(G$6="","",ROUND(VLOOKUP(G4,gibon40!$D$51:$AV$100,$N$1+1)*10*15/15,-1)))</f>
        <v>131150</v>
      </c>
      <c r="H21" s="179">
        <f ca="1">IF(G4="","",IF(H$6="","",ROUND(VLOOKUP(H4,gibon40!$D$51:$AV$100,$N$1+1)*10*15/15,-1)))</f>
        <v>131150</v>
      </c>
      <c r="I21" s="179">
        <f ca="1">IF(H4="","",IF(I$6="","",ROUND(VLOOKUP(I4,gibon40!$D$51:$AV$100,$N$1+1)*10*15/15,-1)))</f>
        <v>131150</v>
      </c>
      <c r="J21" s="179">
        <f ca="1">IF(I4="","",IF(J$6="","",ROUND(VLOOKUP(J4,gibon40!$D$51:$AV$100,$N$1+1)*10*7/15,-1)))</f>
        <v>61200</v>
      </c>
      <c r="K21" s="179">
        <f ca="1">IF(J4="","",IF(K$6="","",ROUND(VLOOKUP(K4,gibon40!$D$51:$AV$100,$N$1+1)*10*15/15,-1)))</f>
        <v>131150</v>
      </c>
      <c r="L21" s="179">
        <f ca="1">IF(K4="","",IF(L$6="","",ROUND(VLOOKUP(L4,gibon40!$D$51:$AV$100,$N$1+1)*10*15/15,-1)))</f>
        <v>131150</v>
      </c>
      <c r="M21" s="179">
        <f ca="1">IF(L4="","",IF(M$6="","",ROUND(VLOOKUP(M4,gibon40!$D$51:$AV$100,$N$1+1)*10*15/15*2,-1)))</f>
        <v>262300</v>
      </c>
      <c r="N21" s="179">
        <f t="shared" ca="1" si="2"/>
        <v>1285270</v>
      </c>
      <c r="P21" s="191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</row>
    <row r="22" spans="1:28" ht="9.75" customHeight="1">
      <c r="A22" s="606" t="s">
        <v>101</v>
      </c>
      <c r="B22" s="610">
        <v>0</v>
      </c>
      <c r="C22" s="179">
        <f ca="1">IF(C6="","",0)</f>
        <v>0</v>
      </c>
      <c r="D22" s="179">
        <f t="shared" ref="D22:M22" ca="1" si="12">IF(D6="","",0)</f>
        <v>0</v>
      </c>
      <c r="E22" s="179">
        <f t="shared" ca="1" si="12"/>
        <v>0</v>
      </c>
      <c r="F22" s="179">
        <f t="shared" ca="1" si="12"/>
        <v>0</v>
      </c>
      <c r="G22" s="179">
        <f t="shared" ca="1" si="12"/>
        <v>0</v>
      </c>
      <c r="H22" s="179">
        <f t="shared" ca="1" si="12"/>
        <v>0</v>
      </c>
      <c r="I22" s="179">
        <f t="shared" ca="1" si="12"/>
        <v>0</v>
      </c>
      <c r="J22" s="179">
        <f t="shared" ca="1" si="12"/>
        <v>0</v>
      </c>
      <c r="K22" s="179">
        <f t="shared" ca="1" si="12"/>
        <v>0</v>
      </c>
      <c r="L22" s="179">
        <f t="shared" ca="1" si="12"/>
        <v>0</v>
      </c>
      <c r="M22" s="179">
        <f t="shared" ca="1" si="12"/>
        <v>0</v>
      </c>
      <c r="N22" s="179">
        <f t="shared" ca="1" si="2"/>
        <v>0</v>
      </c>
      <c r="P22" s="190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</row>
    <row r="23" spans="1:28" ht="9.75" customHeight="1">
      <c r="A23" s="606" t="s">
        <v>126</v>
      </c>
      <c r="B23" s="610">
        <f ca="1">IF(B$6="","",'2025'!M23)</f>
        <v>0</v>
      </c>
      <c r="C23" s="179">
        <f ca="1">IF(C$6="",0,B23)</f>
        <v>0</v>
      </c>
      <c r="D23" s="179">
        <f t="shared" ref="D23:M23" ca="1" si="13">IF(D$6="",0,C23)</f>
        <v>0</v>
      </c>
      <c r="E23" s="179">
        <f t="shared" ca="1" si="13"/>
        <v>0</v>
      </c>
      <c r="F23" s="179">
        <f t="shared" ca="1" si="13"/>
        <v>0</v>
      </c>
      <c r="G23" s="179">
        <f t="shared" ca="1" si="13"/>
        <v>0</v>
      </c>
      <c r="H23" s="179">
        <f t="shared" ca="1" si="13"/>
        <v>0</v>
      </c>
      <c r="I23" s="179">
        <f t="shared" ca="1" si="13"/>
        <v>0</v>
      </c>
      <c r="J23" s="179">
        <f t="shared" ca="1" si="13"/>
        <v>0</v>
      </c>
      <c r="K23" s="179">
        <f t="shared" ca="1" si="13"/>
        <v>0</v>
      </c>
      <c r="L23" s="179">
        <f t="shared" ca="1" si="13"/>
        <v>0</v>
      </c>
      <c r="M23" s="179">
        <f t="shared" ca="1" si="13"/>
        <v>0</v>
      </c>
      <c r="N23" s="179">
        <f t="shared" ca="1" si="2"/>
        <v>0</v>
      </c>
      <c r="P23" s="195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</row>
    <row r="24" spans="1:28" ht="9.75" customHeight="1">
      <c r="A24" s="606" t="s">
        <v>97</v>
      </c>
      <c r="B24" s="610">
        <f ca="1">IF(B$6="","",'2025'!M24)</f>
        <v>0</v>
      </c>
      <c r="C24" s="179">
        <f t="shared" ref="C24:M24" ca="1" si="14">IF(C$6="",0,B24)</f>
        <v>0</v>
      </c>
      <c r="D24" s="179">
        <f t="shared" ca="1" si="14"/>
        <v>0</v>
      </c>
      <c r="E24" s="180">
        <f t="shared" ca="1" si="14"/>
        <v>0</v>
      </c>
      <c r="F24" s="179">
        <f t="shared" ca="1" si="14"/>
        <v>0</v>
      </c>
      <c r="G24" s="179">
        <f t="shared" ca="1" si="14"/>
        <v>0</v>
      </c>
      <c r="H24" s="179">
        <f t="shared" ca="1" si="14"/>
        <v>0</v>
      </c>
      <c r="I24" s="179">
        <f t="shared" ca="1" si="14"/>
        <v>0</v>
      </c>
      <c r="J24" s="179">
        <f t="shared" ca="1" si="14"/>
        <v>0</v>
      </c>
      <c r="K24" s="179">
        <f t="shared" ca="1" si="14"/>
        <v>0</v>
      </c>
      <c r="L24" s="179">
        <f t="shared" ca="1" si="14"/>
        <v>0</v>
      </c>
      <c r="M24" s="179">
        <f t="shared" ca="1" si="14"/>
        <v>0</v>
      </c>
      <c r="N24" s="179">
        <f t="shared" ca="1" si="2"/>
        <v>0</v>
      </c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</row>
    <row r="25" spans="1:28" ht="9.75" customHeight="1">
      <c r="A25" s="606" t="str">
        <f>IF('2025'!A25=1,"특수교사",IF('2025'!A25=2,"상담교사",IF('2025'!A25=3,"보건교사",IF('2025'!A25=4,"영양교사",IF('2025'!A25=5,"사서교사",IF('2025'!A25=6,"실과수당",IF('2025'!A25=7,"해당없음","해당없음")))))))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179">
        <f t="shared" ca="1" si="2"/>
        <v>0</v>
      </c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</row>
    <row r="26" spans="1:28" ht="9.75" customHeight="1">
      <c r="A26" s="212" t="s">
        <v>640</v>
      </c>
      <c r="B26" s="213">
        <f ca="1">ROUNDDOWN(SUM(B6:B25),-1)</f>
        <v>3904000</v>
      </c>
      <c r="C26" s="213">
        <f t="shared" ref="C26:M26" ca="1" si="15">ROUNDDOWN(SUM(C6:C25),-1)</f>
        <v>4967000</v>
      </c>
      <c r="D26" s="213">
        <f t="shared" ca="1" si="15"/>
        <v>7938800</v>
      </c>
      <c r="E26" s="213">
        <f t="shared" ca="1" si="15"/>
        <v>3624850</v>
      </c>
      <c r="F26" s="213">
        <f t="shared" ca="1" si="15"/>
        <v>3624850</v>
      </c>
      <c r="G26" s="213">
        <f t="shared" ca="1" si="15"/>
        <v>3624850</v>
      </c>
      <c r="H26" s="213">
        <f t="shared" ca="1" si="15"/>
        <v>4179590</v>
      </c>
      <c r="I26" s="213">
        <f t="shared" ca="1" si="15"/>
        <v>3624850</v>
      </c>
      <c r="J26" s="213">
        <f t="shared" ca="1" si="15"/>
        <v>5219120</v>
      </c>
      <c r="K26" s="213">
        <f t="shared" ca="1" si="15"/>
        <v>3624850</v>
      </c>
      <c r="L26" s="213">
        <f t="shared" ca="1" si="15"/>
        <v>3624850</v>
      </c>
      <c r="M26" s="213">
        <f t="shared" ca="1" si="15"/>
        <v>3756000</v>
      </c>
      <c r="N26" s="214">
        <f ca="1">SUM(B26:M26)</f>
        <v>51713610</v>
      </c>
      <c r="O26" s="880" t="s">
        <v>322</v>
      </c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</row>
    <row r="27" spans="1:28" ht="13.5" customHeight="1">
      <c r="A27" s="703">
        <v>1</v>
      </c>
      <c r="B27" s="179">
        <f ca="1">IF(B6="",0,ROUND(VLOOKUP(($N$26-1200000-$N$17-$N$16)/12,'2015근로소득간이세액표'!$C$4:$Z$700,$A$27+1)*0.77*O27,-1))</f>
        <v>175550</v>
      </c>
      <c r="C27" s="179">
        <f ca="1">IF(C6="",0,ROUND(VLOOKUP(($N$26-1200000-$N$17-$N$16)/12,'2015근로소득간이세액표'!$C$4:$Z$700,$A$27+1)*0.78*O27,-1))</f>
        <v>177830</v>
      </c>
      <c r="D27" s="179">
        <f ca="1">IF(D6="",0,ROUND(VLOOKUP(($N$26-1200000-$N$17-$N$16)/12,'2015근로소득간이세액표'!$C$4:$Z$700,$A$27+1)*0.79*O27,-1))</f>
        <v>180110</v>
      </c>
      <c r="E27" s="179">
        <f ca="1">IF(E6="",0,ROUND(VLOOKUP(($N$26-1200000-$N$17-$N$16)/12,'2015근로소득간이세액표'!$C$4:$Z$700,$A$27+1)*1.1*O27,-1))</f>
        <v>250790</v>
      </c>
      <c r="F27" s="179">
        <f ca="1">IF(F6="",0,ROUND(VLOOKUP(($N$26-1200000-$N$17-$N$16)/12,'2015근로소득간이세액표'!$C$4:$Z$700,$A$27+1)*1.11*O27,-1))</f>
        <v>253070</v>
      </c>
      <c r="G27" s="179">
        <f ca="1">IF(G6="",0,ROUND(VLOOKUP(($N$26-1200000-$N$17-$N$16)/12,'2015근로소득간이세액표'!$C$4:$Z$700,$A$27+1)*1.12*O27,-1))</f>
        <v>255350</v>
      </c>
      <c r="H27" s="179">
        <f ca="1">IF(H6="",0,ROUND(VLOOKUP(($N$26-1200000-$N$17-$N$16)/12,'2015근로소득간이세액표'!$C$4:$Z$700,$A$27+1)*1.13*O27,-1))</f>
        <v>257630</v>
      </c>
      <c r="I27" s="179">
        <f ca="1">IF(I6="",0,ROUND(VLOOKUP(($N$26-1200000-$N$17-$N$16)/12,'2015근로소득간이세액표'!$C$4:$Z$700,$A$27+1)*1.14*O27,-1))</f>
        <v>259910</v>
      </c>
      <c r="J27" s="179">
        <f ca="1">IF(J6="",0,ROUND(VLOOKUP(($N$26-1200000-$N$17-$N$16)/12,'2015근로소득간이세액표'!$C$4:$Z$700,$A$27+1)*1.15*O27,-1))</f>
        <v>262190</v>
      </c>
      <c r="K27" s="179">
        <f ca="1">IF(K6="",0,ROUND(VLOOKUP(($N$26-1200000-$N$17-$N$16)/12,'2015근로소득간이세액표'!$C$4:$Z$700,$A$27+1)*1.16*O27,-1))</f>
        <v>264470</v>
      </c>
      <c r="L27" s="179">
        <f ca="1">IF(L6="",0,ROUND(VLOOKUP(($N$26-1200000-$N$17-$N$16)/12,'2015근로소득간이세액표'!$C$4:$Z$700,$A$27+1)*1.17*O27,-1))</f>
        <v>266750</v>
      </c>
      <c r="M27" s="179">
        <f ca="1">IF(M6="",0,ROUND(VLOOKUP(($N$26-1200000-$N$17-$N$16)/12,'2015근로소득간이세액표'!$C$4:$Z$700,$A$27+1)*1.18*O27,-1))</f>
        <v>269030</v>
      </c>
      <c r="N27" s="179">
        <f t="shared" ca="1" si="2"/>
        <v>2872680</v>
      </c>
      <c r="O27" s="881">
        <v>1</v>
      </c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</row>
    <row r="28" spans="1:28" ht="9.75" customHeight="1">
      <c r="A28" s="182" t="s">
        <v>308</v>
      </c>
      <c r="B28" s="179">
        <f t="shared" ref="B28:I28" ca="1" si="16">IF(B$6="","",ROUND(B27*0.1,-1))</f>
        <v>17560</v>
      </c>
      <c r="C28" s="179">
        <f t="shared" ca="1" si="16"/>
        <v>17780</v>
      </c>
      <c r="D28" s="179">
        <f t="shared" ca="1" si="16"/>
        <v>18010</v>
      </c>
      <c r="E28" s="179">
        <f t="shared" ca="1" si="16"/>
        <v>25080</v>
      </c>
      <c r="F28" s="179">
        <f t="shared" ca="1" si="16"/>
        <v>25310</v>
      </c>
      <c r="G28" s="179">
        <f t="shared" ca="1" si="16"/>
        <v>25540</v>
      </c>
      <c r="H28" s="179">
        <f t="shared" ca="1" si="16"/>
        <v>25760</v>
      </c>
      <c r="I28" s="179">
        <f t="shared" ca="1" si="16"/>
        <v>25990</v>
      </c>
      <c r="J28" s="179">
        <f ca="1">IF(J$6="","",ROUND(J27*0.1,-1))</f>
        <v>26220</v>
      </c>
      <c r="K28" s="179">
        <f t="shared" ref="K28:M28" ca="1" si="17">IF(K$6="","",ROUND(K27*0.1,-1))</f>
        <v>26450</v>
      </c>
      <c r="L28" s="179">
        <f t="shared" ca="1" si="17"/>
        <v>26680</v>
      </c>
      <c r="M28" s="179">
        <f t="shared" ca="1" si="17"/>
        <v>26900</v>
      </c>
      <c r="N28" s="179">
        <f t="shared" ca="1" si="2"/>
        <v>287280</v>
      </c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</row>
    <row r="29" spans="1:28" ht="9.75" customHeight="1">
      <c r="A29" s="182" t="s">
        <v>435</v>
      </c>
      <c r="B29" s="879">
        <f ca="1">IF(B4="","",IF(B6="","",IF($D$1-YEAR('2025'!$I$1)&gt;0,"",IF(AND($D$1-YEAR('2025'!$I$1)=0,B3-MONTH('2025'!$I$1)&gt;=1),"",'2025'!M29))))</f>
        <v>310440</v>
      </c>
      <c r="C29" s="179">
        <f ca="1">IF(C4="","",IF(C6="","",IF($D$1-YEAR('2025'!$I$1)&gt;0,"",IF(AND($D$1-YEAR('2025'!$I$1)=0,C3-MONTH('2025'!$I$1)&gt;=1),"",B29))))</f>
        <v>310440</v>
      </c>
      <c r="D29" s="179">
        <f ca="1">IF(D4="","",IF(D6="","",IF($D$1-YEAR('2025'!$I$1)&gt;0,"",IF(AND($D$1-YEAR('2025'!$I$1)=0,D3-MONTH('2025'!$I$1)&gt;=1),"",C29))))</f>
        <v>310440</v>
      </c>
      <c r="E29" s="179">
        <f ca="1">IF(E4="","",IF(E6="","",IF($D$1-YEAR('2025'!$I$1)&gt;0,"",IF(AND($D$1-YEAR('2025'!$I$1)=0,E3-MONTH('2025'!$I$1)&gt;=1),"",D29))))</f>
        <v>310440</v>
      </c>
      <c r="F29" s="879">
        <f ca="1">IF(F4="","",IF(F$6="","",IF($D$1-YEAR('2025'!$I$1)&gt;0,"",IF(AND($D$1-YEAR('2025'!$I$1)=0,F3-MONTH('2025'!$I$1)&gt;=1),"",VLOOKUP(F$4,집계표!$AK$5:$HA$47,$N$1*3+$N$1-1+4)))))</f>
        <v>344850</v>
      </c>
      <c r="G29" s="179">
        <f ca="1">IF(G6="",0,IF($D$1-YEAR('2025'!$I$1)&gt;0,"",IF(AND($D$1-YEAR('2025'!$I$1)=0,G3-MONTH('2025'!$I$1)&gt;=1),"",F29)))</f>
        <v>344850</v>
      </c>
      <c r="H29" s="179">
        <f ca="1">IF(H6="",0,IF($D$1-YEAR('2025'!$I$1)&gt;0,"",IF(AND($D$1-YEAR('2025'!$I$1)=0,H3-MONTH('2025'!$I$1)&gt;=1),"",G29)))</f>
        <v>344850</v>
      </c>
      <c r="I29" s="179">
        <f ca="1">IF(I6="",0,IF($D$1-YEAR('2025'!$I$1)&gt;0,"",IF(AND($D$1-YEAR('2025'!$I$1)=0,I3-MONTH('2025'!$I$1)&gt;=1),"",H29)))</f>
        <v>344850</v>
      </c>
      <c r="J29" s="179">
        <f ca="1">IF(J6="",0,IF($D$1-YEAR('2025'!$I$1)&gt;0,"",IF(AND($D$1-YEAR('2025'!$I$1)=0,J3-MONTH('2025'!$I$1)&gt;=1),"",I29)))</f>
        <v>344850</v>
      </c>
      <c r="K29" s="179">
        <f ca="1">IF(K6="",0,IF($D$1-YEAR('2025'!$I$1)&gt;0,"",IF(AND($D$1-YEAR('2025'!$I$1)=0,K3-MONTH('2025'!$I$1)&gt;=1),"",J29)))</f>
        <v>344850</v>
      </c>
      <c r="L29" s="179">
        <f ca="1">IF(L6="",0,IF($D$1-YEAR('2025'!$I$1)&gt;0,"",IF(AND($D$1-YEAR('2025'!$I$1)=0,L3-MONTH('2025'!$I$1)&gt;=1),"",K29)))</f>
        <v>344850</v>
      </c>
      <c r="M29" s="179">
        <f ca="1">IF(M6="",0,IF($D$1-YEAR('2025'!$I$1)&gt;0,"",IF(AND($D$1-YEAR('2025'!$I$1)=0,M3-MONTH('2025'!$I$1)&gt;=1),"",L29)))</f>
        <v>344850</v>
      </c>
      <c r="N29" s="179">
        <f t="shared" ca="1" si="2"/>
        <v>4000560</v>
      </c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</row>
    <row r="30" spans="1:28" ht="9.75" customHeight="1">
      <c r="A30" s="182" t="s">
        <v>58</v>
      </c>
      <c r="B30" s="179">
        <f ca="1">IF(B6="","",'2025'!M30)</f>
        <v>122280</v>
      </c>
      <c r="C30" s="179">
        <f ca="1">IF(C6="","",B30)</f>
        <v>122280</v>
      </c>
      <c r="D30" s="179">
        <f ca="1">IF(D6="","",C30)</f>
        <v>122280</v>
      </c>
      <c r="E30" s="857">
        <f ca="1">IF(E6="","",VLOOKUP(E$4,집계표!$AK$5:$HA$47,$N$1*4))</f>
        <v>131240</v>
      </c>
      <c r="F30" s="179">
        <f ca="1">IF(F6="","",E30)</f>
        <v>131240</v>
      </c>
      <c r="G30" s="179">
        <f t="shared" ref="G30:M30" ca="1" si="18">IF(G6="","",F30)</f>
        <v>131240</v>
      </c>
      <c r="H30" s="179">
        <f t="shared" ca="1" si="18"/>
        <v>131240</v>
      </c>
      <c r="I30" s="179">
        <f t="shared" ca="1" si="18"/>
        <v>131240</v>
      </c>
      <c r="J30" s="179">
        <f t="shared" ca="1" si="18"/>
        <v>131240</v>
      </c>
      <c r="K30" s="179">
        <f t="shared" ca="1" si="18"/>
        <v>131240</v>
      </c>
      <c r="L30" s="179">
        <f t="shared" ca="1" si="18"/>
        <v>131240</v>
      </c>
      <c r="M30" s="179">
        <f t="shared" ca="1" si="18"/>
        <v>131240</v>
      </c>
      <c r="N30" s="179">
        <f t="shared" ca="1" si="2"/>
        <v>1548000</v>
      </c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</row>
    <row r="31" spans="1:28" ht="9.75" customHeight="1">
      <c r="A31" s="182" t="s">
        <v>56</v>
      </c>
      <c r="B31" s="179">
        <f t="shared" ref="B31:I31" ca="1" si="19">IF(B$6="","",ROUND(IF(B4="","",B30*10.25%),-1))</f>
        <v>12530</v>
      </c>
      <c r="C31" s="179">
        <f t="shared" ca="1" si="19"/>
        <v>12530</v>
      </c>
      <c r="D31" s="179">
        <f t="shared" ca="1" si="19"/>
        <v>12530</v>
      </c>
      <c r="E31" s="179">
        <f t="shared" ca="1" si="19"/>
        <v>13450</v>
      </c>
      <c r="F31" s="179">
        <f t="shared" ca="1" si="19"/>
        <v>13450</v>
      </c>
      <c r="G31" s="179">
        <f t="shared" ca="1" si="19"/>
        <v>13450</v>
      </c>
      <c r="H31" s="179">
        <f t="shared" ca="1" si="19"/>
        <v>13450</v>
      </c>
      <c r="I31" s="179">
        <f t="shared" ca="1" si="19"/>
        <v>13450</v>
      </c>
      <c r="J31" s="179">
        <f ca="1">IF(J$6="","",ROUND(IF(J4="","",J30*10.25%),-1))</f>
        <v>13450</v>
      </c>
      <c r="K31" s="179">
        <f t="shared" ref="K31:M31" ca="1" si="20">IF(K$6="","",ROUND(IF(K4="","",K30*10.25%),-1))</f>
        <v>13450</v>
      </c>
      <c r="L31" s="179">
        <f t="shared" ca="1" si="20"/>
        <v>13450</v>
      </c>
      <c r="M31" s="179">
        <f t="shared" ca="1" si="20"/>
        <v>13450</v>
      </c>
      <c r="N31" s="179">
        <f t="shared" ca="1" si="2"/>
        <v>158640</v>
      </c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</row>
    <row r="32" spans="1:28" ht="9.75" customHeight="1">
      <c r="A32" s="597" t="s">
        <v>71</v>
      </c>
      <c r="B32" s="620">
        <f ca="1">IF(B$6="","",'2025'!M32)</f>
        <v>0</v>
      </c>
      <c r="C32" s="598">
        <f t="shared" ref="C32:I32" ca="1" si="21">IF(C$6="","",B32)</f>
        <v>0</v>
      </c>
      <c r="D32" s="598">
        <f t="shared" ca="1" si="21"/>
        <v>0</v>
      </c>
      <c r="E32" s="598">
        <f t="shared" ca="1" si="21"/>
        <v>0</v>
      </c>
      <c r="F32" s="598">
        <f t="shared" ca="1" si="21"/>
        <v>0</v>
      </c>
      <c r="G32" s="598">
        <f t="shared" ca="1" si="21"/>
        <v>0</v>
      </c>
      <c r="H32" s="598">
        <f t="shared" ca="1" si="21"/>
        <v>0</v>
      </c>
      <c r="I32" s="598">
        <f t="shared" ca="1" si="21"/>
        <v>0</v>
      </c>
      <c r="J32" s="598">
        <f ca="1">IF(J$6="","",I32)</f>
        <v>0</v>
      </c>
      <c r="K32" s="598">
        <f t="shared" ref="K32:M32" ca="1" si="22">IF(K$6="","",J32)</f>
        <v>0</v>
      </c>
      <c r="L32" s="598">
        <f t="shared" ca="1" si="22"/>
        <v>0</v>
      </c>
      <c r="M32" s="598">
        <f t="shared" ca="1" si="22"/>
        <v>0</v>
      </c>
      <c r="N32" s="179">
        <f t="shared" ca="1" si="2"/>
        <v>0</v>
      </c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63"/>
    </row>
    <row r="33" spans="1:28" ht="9.75" customHeight="1">
      <c r="A33" s="597" t="s">
        <v>475</v>
      </c>
      <c r="B33" s="598"/>
      <c r="C33" s="598"/>
      <c r="D33" s="598"/>
      <c r="E33" s="598"/>
      <c r="F33" s="598"/>
      <c r="G33" s="598"/>
      <c r="H33" s="598"/>
      <c r="I33" s="598"/>
      <c r="J33" s="598"/>
      <c r="K33" s="598"/>
      <c r="L33" s="598"/>
      <c r="M33" s="598"/>
      <c r="N33" s="179">
        <f t="shared" si="2"/>
        <v>0</v>
      </c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</row>
    <row r="34" spans="1:28" ht="9.75" customHeight="1">
      <c r="A34" s="597" t="s">
        <v>234</v>
      </c>
      <c r="B34" s="598">
        <f ca="1">IF(B$6="",0,'2025'!M34)</f>
        <v>0</v>
      </c>
      <c r="C34" s="598">
        <f ca="1">IF(C$6="",0,B34)</f>
        <v>0</v>
      </c>
      <c r="D34" s="598">
        <f t="shared" ref="D34:M34" ca="1" si="23">IF(D$6="",0,C34)</f>
        <v>0</v>
      </c>
      <c r="E34" s="598">
        <f t="shared" ca="1" si="23"/>
        <v>0</v>
      </c>
      <c r="F34" s="598">
        <f t="shared" ca="1" si="23"/>
        <v>0</v>
      </c>
      <c r="G34" s="598">
        <f t="shared" ca="1" si="23"/>
        <v>0</v>
      </c>
      <c r="H34" s="598">
        <f t="shared" ca="1" si="23"/>
        <v>0</v>
      </c>
      <c r="I34" s="598">
        <f t="shared" ca="1" si="23"/>
        <v>0</v>
      </c>
      <c r="J34" s="598">
        <f t="shared" ca="1" si="23"/>
        <v>0</v>
      </c>
      <c r="K34" s="598">
        <f t="shared" ca="1" si="23"/>
        <v>0</v>
      </c>
      <c r="L34" s="598">
        <f t="shared" ca="1" si="23"/>
        <v>0</v>
      </c>
      <c r="M34" s="598">
        <f t="shared" ca="1" si="23"/>
        <v>0</v>
      </c>
      <c r="N34" s="179">
        <f t="shared" ca="1" si="2"/>
        <v>0</v>
      </c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  <c r="AB34" s="163"/>
    </row>
    <row r="35" spans="1:28" ht="8.25" customHeight="1">
      <c r="A35" s="182" t="s">
        <v>311</v>
      </c>
      <c r="B35" s="179">
        <v>0</v>
      </c>
      <c r="C35" s="179">
        <v>0</v>
      </c>
      <c r="D35" s="179">
        <v>0</v>
      </c>
      <c r="E35" s="179">
        <v>0</v>
      </c>
      <c r="F35" s="179">
        <v>0</v>
      </c>
      <c r="G35" s="179">
        <v>0</v>
      </c>
      <c r="H35" s="179">
        <v>0</v>
      </c>
      <c r="I35" s="179">
        <v>0</v>
      </c>
      <c r="J35" s="179">
        <v>0</v>
      </c>
      <c r="K35" s="179">
        <v>0</v>
      </c>
      <c r="L35" s="179">
        <v>0</v>
      </c>
      <c r="M35" s="179">
        <v>0</v>
      </c>
      <c r="N35" s="179">
        <f t="shared" si="2"/>
        <v>0</v>
      </c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</row>
    <row r="36" spans="1:28" ht="8.25" customHeight="1">
      <c r="A36" s="182" t="s">
        <v>223</v>
      </c>
      <c r="B36" s="179">
        <v>0</v>
      </c>
      <c r="C36" s="179">
        <v>0</v>
      </c>
      <c r="D36" s="179">
        <v>0</v>
      </c>
      <c r="E36" s="179">
        <v>0</v>
      </c>
      <c r="F36" s="179">
        <v>0</v>
      </c>
      <c r="G36" s="179">
        <v>0</v>
      </c>
      <c r="H36" s="179">
        <v>0</v>
      </c>
      <c r="I36" s="179">
        <v>0</v>
      </c>
      <c r="J36" s="179">
        <v>0</v>
      </c>
      <c r="K36" s="179">
        <v>0</v>
      </c>
      <c r="L36" s="179">
        <v>0</v>
      </c>
      <c r="M36" s="179">
        <v>0</v>
      </c>
      <c r="N36" s="179">
        <f t="shared" si="2"/>
        <v>0</v>
      </c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  <c r="AB36" s="163"/>
    </row>
    <row r="37" spans="1:28" ht="8.25" customHeight="1">
      <c r="A37" s="182" t="s">
        <v>238</v>
      </c>
      <c r="B37" s="179">
        <v>0</v>
      </c>
      <c r="C37" s="179">
        <v>0</v>
      </c>
      <c r="D37" s="179">
        <v>0</v>
      </c>
      <c r="E37" s="179">
        <v>0</v>
      </c>
      <c r="F37" s="179">
        <v>0</v>
      </c>
      <c r="G37" s="179">
        <v>0</v>
      </c>
      <c r="H37" s="179">
        <v>0</v>
      </c>
      <c r="I37" s="179">
        <v>0</v>
      </c>
      <c r="J37" s="179">
        <v>0</v>
      </c>
      <c r="K37" s="179">
        <v>0</v>
      </c>
      <c r="L37" s="179">
        <v>0</v>
      </c>
      <c r="M37" s="179">
        <v>0</v>
      </c>
      <c r="N37" s="179">
        <f t="shared" si="2"/>
        <v>0</v>
      </c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</row>
    <row r="38" spans="1:28" ht="8.25" customHeight="1">
      <c r="A38" s="182" t="s">
        <v>218</v>
      </c>
      <c r="B38" s="179">
        <f ca="1">IF(B$6="",0,'2025'!M38)</f>
        <v>300640</v>
      </c>
      <c r="C38" s="179">
        <f t="shared" ref="C38:M39" ca="1" si="24">IF(C$6="",0,B38)</f>
        <v>300640</v>
      </c>
      <c r="D38" s="179">
        <f t="shared" ca="1" si="24"/>
        <v>300640</v>
      </c>
      <c r="E38" s="179">
        <f t="shared" ca="1" si="24"/>
        <v>300640</v>
      </c>
      <c r="F38" s="179">
        <f t="shared" ca="1" si="24"/>
        <v>300640</v>
      </c>
      <c r="G38" s="179">
        <f t="shared" ca="1" si="24"/>
        <v>300640</v>
      </c>
      <c r="H38" s="179">
        <f t="shared" ca="1" si="24"/>
        <v>300640</v>
      </c>
      <c r="I38" s="179">
        <f t="shared" ca="1" si="24"/>
        <v>300640</v>
      </c>
      <c r="J38" s="179">
        <f t="shared" ca="1" si="24"/>
        <v>300640</v>
      </c>
      <c r="K38" s="179">
        <f t="shared" ca="1" si="24"/>
        <v>300640</v>
      </c>
      <c r="L38" s="179">
        <f t="shared" ca="1" si="24"/>
        <v>300640</v>
      </c>
      <c r="M38" s="179">
        <f t="shared" ca="1" si="24"/>
        <v>300640</v>
      </c>
      <c r="N38" s="179">
        <f t="shared" ca="1" si="2"/>
        <v>3607680</v>
      </c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</row>
    <row r="39" spans="1:28" ht="9.75" customHeight="1">
      <c r="A39" s="182" t="s">
        <v>226</v>
      </c>
      <c r="B39" s="179">
        <f ca="1">IF(B$6="",0,'2025'!M39)</f>
        <v>20000</v>
      </c>
      <c r="C39" s="179">
        <f t="shared" ca="1" si="24"/>
        <v>20000</v>
      </c>
      <c r="D39" s="179">
        <f t="shared" ca="1" si="24"/>
        <v>20000</v>
      </c>
      <c r="E39" s="179">
        <f t="shared" ca="1" si="24"/>
        <v>20000</v>
      </c>
      <c r="F39" s="179">
        <f t="shared" ca="1" si="24"/>
        <v>20000</v>
      </c>
      <c r="G39" s="179">
        <f t="shared" ca="1" si="24"/>
        <v>20000</v>
      </c>
      <c r="H39" s="179">
        <f t="shared" ca="1" si="24"/>
        <v>20000</v>
      </c>
      <c r="I39" s="179">
        <f t="shared" ca="1" si="24"/>
        <v>20000</v>
      </c>
      <c r="J39" s="179">
        <f t="shared" ca="1" si="24"/>
        <v>20000</v>
      </c>
      <c r="K39" s="179">
        <f t="shared" ca="1" si="24"/>
        <v>20000</v>
      </c>
      <c r="L39" s="179">
        <f t="shared" ca="1" si="24"/>
        <v>20000</v>
      </c>
      <c r="M39" s="179">
        <f t="shared" ca="1" si="24"/>
        <v>20000</v>
      </c>
      <c r="N39" s="179">
        <f t="shared" ca="1" si="2"/>
        <v>240000</v>
      </c>
      <c r="O39" s="124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</row>
    <row r="40" spans="1:28" ht="9.75" customHeight="1">
      <c r="A40" s="215" t="s">
        <v>75</v>
      </c>
      <c r="B40" s="216">
        <f t="shared" ref="B40:I40" ca="1" si="25">IF(B26="","",SUM(B27:B39))</f>
        <v>959000</v>
      </c>
      <c r="C40" s="216">
        <f t="shared" ca="1" si="25"/>
        <v>961500</v>
      </c>
      <c r="D40" s="216">
        <f t="shared" ca="1" si="25"/>
        <v>964010</v>
      </c>
      <c r="E40" s="216">
        <f t="shared" ca="1" si="25"/>
        <v>1051640</v>
      </c>
      <c r="F40" s="216">
        <f t="shared" ca="1" si="25"/>
        <v>1088560</v>
      </c>
      <c r="G40" s="216">
        <f t="shared" ca="1" si="25"/>
        <v>1091070</v>
      </c>
      <c r="H40" s="216">
        <f t="shared" ca="1" si="25"/>
        <v>1093570</v>
      </c>
      <c r="I40" s="216">
        <f t="shared" ca="1" si="25"/>
        <v>1096080</v>
      </c>
      <c r="J40" s="216">
        <f ca="1">IF(J26="","",SUM(J27:J39))</f>
        <v>1098590</v>
      </c>
      <c r="K40" s="216">
        <f t="shared" ref="K40:M40" ca="1" si="26">IF(K26="","",SUM(K27:K39))</f>
        <v>1101100</v>
      </c>
      <c r="L40" s="216">
        <f t="shared" ca="1" si="26"/>
        <v>1103610</v>
      </c>
      <c r="M40" s="216">
        <f t="shared" ca="1" si="26"/>
        <v>1106110</v>
      </c>
      <c r="N40" s="216">
        <f ca="1">SUM(B40:M40)</f>
        <v>12714840</v>
      </c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</row>
    <row r="41" spans="1:28" ht="9.75" customHeight="1">
      <c r="A41" s="183" t="s">
        <v>79</v>
      </c>
      <c r="B41" s="184">
        <f ca="1">ROUND((B26-B40),-1)</f>
        <v>2945000</v>
      </c>
      <c r="C41" s="184">
        <f t="shared" ref="C41:M41" ca="1" si="27">ROUND((C26-C40),-1)</f>
        <v>4005500</v>
      </c>
      <c r="D41" s="184">
        <f t="shared" ca="1" si="27"/>
        <v>6974790</v>
      </c>
      <c r="E41" s="184">
        <f t="shared" ca="1" si="27"/>
        <v>2573210</v>
      </c>
      <c r="F41" s="184">
        <f t="shared" ca="1" si="27"/>
        <v>2536290</v>
      </c>
      <c r="G41" s="184">
        <f t="shared" ca="1" si="27"/>
        <v>2533780</v>
      </c>
      <c r="H41" s="184">
        <f t="shared" ca="1" si="27"/>
        <v>3086020</v>
      </c>
      <c r="I41" s="184">
        <f t="shared" ca="1" si="27"/>
        <v>2528770</v>
      </c>
      <c r="J41" s="184">
        <f t="shared" ca="1" si="27"/>
        <v>4120530</v>
      </c>
      <c r="K41" s="184">
        <f t="shared" ca="1" si="27"/>
        <v>2523750</v>
      </c>
      <c r="L41" s="184">
        <f t="shared" ca="1" si="27"/>
        <v>2521240</v>
      </c>
      <c r="M41" s="184">
        <f t="shared" ca="1" si="27"/>
        <v>2649890</v>
      </c>
      <c r="N41" s="184">
        <f ca="1">SUM(B41:M41)</f>
        <v>38998770</v>
      </c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</row>
    <row r="42" spans="1:28" ht="9.75" customHeight="1">
      <c r="A42" s="176" t="str">
        <f>'2025'!A42</f>
        <v>12)지출내용입력1</v>
      </c>
      <c r="B42" s="179">
        <f>'2025'!M42</f>
        <v>100</v>
      </c>
      <c r="C42" s="179">
        <f>B42</f>
        <v>100</v>
      </c>
      <c r="D42" s="179">
        <f t="shared" ref="D42:M42" si="28">C42</f>
        <v>100</v>
      </c>
      <c r="E42" s="179">
        <f t="shared" si="28"/>
        <v>100</v>
      </c>
      <c r="F42" s="179">
        <f t="shared" si="28"/>
        <v>100</v>
      </c>
      <c r="G42" s="179">
        <f t="shared" si="28"/>
        <v>100</v>
      </c>
      <c r="H42" s="179">
        <f t="shared" si="28"/>
        <v>100</v>
      </c>
      <c r="I42" s="179">
        <f t="shared" si="28"/>
        <v>100</v>
      </c>
      <c r="J42" s="179">
        <f t="shared" si="28"/>
        <v>100</v>
      </c>
      <c r="K42" s="179">
        <f t="shared" si="28"/>
        <v>100</v>
      </c>
      <c r="L42" s="179">
        <f t="shared" si="28"/>
        <v>100</v>
      </c>
      <c r="M42" s="179">
        <f t="shared" si="28"/>
        <v>100</v>
      </c>
      <c r="N42" s="179">
        <f t="shared" si="2"/>
        <v>1200</v>
      </c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</row>
    <row r="43" spans="1:28" ht="9.75" customHeight="1">
      <c r="A43" s="176" t="str">
        <f>'2025'!A43</f>
        <v>지출내용입력2</v>
      </c>
      <c r="B43" s="179">
        <f>'2025'!M43</f>
        <v>0</v>
      </c>
      <c r="C43" s="179">
        <f t="shared" ref="C43:M51" si="29">B43</f>
        <v>0</v>
      </c>
      <c r="D43" s="179">
        <f t="shared" si="29"/>
        <v>0</v>
      </c>
      <c r="E43" s="179">
        <f t="shared" si="29"/>
        <v>0</v>
      </c>
      <c r="F43" s="179">
        <f t="shared" si="29"/>
        <v>0</v>
      </c>
      <c r="G43" s="179">
        <f t="shared" si="29"/>
        <v>0</v>
      </c>
      <c r="H43" s="179">
        <f t="shared" si="29"/>
        <v>0</v>
      </c>
      <c r="I43" s="179">
        <f t="shared" si="29"/>
        <v>0</v>
      </c>
      <c r="J43" s="179">
        <f t="shared" si="29"/>
        <v>0</v>
      </c>
      <c r="K43" s="179">
        <f t="shared" si="29"/>
        <v>0</v>
      </c>
      <c r="L43" s="179">
        <f t="shared" si="29"/>
        <v>0</v>
      </c>
      <c r="M43" s="179">
        <f t="shared" si="29"/>
        <v>0</v>
      </c>
      <c r="N43" s="179">
        <f t="shared" si="2"/>
        <v>0</v>
      </c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</row>
    <row r="44" spans="1:28" ht="9.75" customHeight="1">
      <c r="A44" s="176" t="str">
        <f>'2025'!A44</f>
        <v>지출내용입력3</v>
      </c>
      <c r="B44" s="179">
        <f>'2025'!M44</f>
        <v>0</v>
      </c>
      <c r="C44" s="179">
        <f t="shared" si="29"/>
        <v>0</v>
      </c>
      <c r="D44" s="179">
        <f t="shared" si="29"/>
        <v>0</v>
      </c>
      <c r="E44" s="179">
        <f t="shared" si="29"/>
        <v>0</v>
      </c>
      <c r="F44" s="179">
        <f t="shared" si="29"/>
        <v>0</v>
      </c>
      <c r="G44" s="179">
        <f t="shared" si="29"/>
        <v>0</v>
      </c>
      <c r="H44" s="179">
        <f t="shared" si="29"/>
        <v>0</v>
      </c>
      <c r="I44" s="179">
        <f t="shared" si="29"/>
        <v>0</v>
      </c>
      <c r="J44" s="179">
        <f t="shared" si="29"/>
        <v>0</v>
      </c>
      <c r="K44" s="179">
        <f t="shared" si="29"/>
        <v>0</v>
      </c>
      <c r="L44" s="179">
        <f t="shared" si="29"/>
        <v>0</v>
      </c>
      <c r="M44" s="179">
        <f t="shared" si="29"/>
        <v>0</v>
      </c>
      <c r="N44" s="179">
        <f t="shared" si="2"/>
        <v>0</v>
      </c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</row>
    <row r="45" spans="1:28" ht="9.75" customHeight="1">
      <c r="A45" s="176" t="str">
        <f>'2025'!A45</f>
        <v>지출내용입력4</v>
      </c>
      <c r="B45" s="179">
        <f>'2025'!M45</f>
        <v>0</v>
      </c>
      <c r="C45" s="179">
        <f t="shared" si="29"/>
        <v>0</v>
      </c>
      <c r="D45" s="179">
        <f t="shared" si="29"/>
        <v>0</v>
      </c>
      <c r="E45" s="179">
        <f t="shared" si="29"/>
        <v>0</v>
      </c>
      <c r="F45" s="179">
        <f t="shared" si="29"/>
        <v>0</v>
      </c>
      <c r="G45" s="179">
        <f t="shared" si="29"/>
        <v>0</v>
      </c>
      <c r="H45" s="179">
        <f t="shared" si="29"/>
        <v>0</v>
      </c>
      <c r="I45" s="179">
        <f t="shared" si="29"/>
        <v>0</v>
      </c>
      <c r="J45" s="179">
        <f t="shared" si="29"/>
        <v>0</v>
      </c>
      <c r="K45" s="179">
        <f t="shared" si="29"/>
        <v>0</v>
      </c>
      <c r="L45" s="179">
        <f t="shared" si="29"/>
        <v>0</v>
      </c>
      <c r="M45" s="179">
        <f t="shared" si="29"/>
        <v>0</v>
      </c>
      <c r="N45" s="179">
        <f t="shared" ref="N45:N49" si="30">SUM(B45:M45)</f>
        <v>0</v>
      </c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</row>
    <row r="46" spans="1:28" ht="9.75" customHeight="1">
      <c r="A46" s="176" t="str">
        <f>'2025'!A46</f>
        <v>지출내용입력5</v>
      </c>
      <c r="B46" s="179">
        <f>'2025'!M46</f>
        <v>0</v>
      </c>
      <c r="C46" s="179">
        <f t="shared" si="29"/>
        <v>0</v>
      </c>
      <c r="D46" s="179">
        <f t="shared" si="29"/>
        <v>0</v>
      </c>
      <c r="E46" s="179">
        <f t="shared" si="29"/>
        <v>0</v>
      </c>
      <c r="F46" s="179">
        <f t="shared" si="29"/>
        <v>0</v>
      </c>
      <c r="G46" s="179">
        <f t="shared" si="29"/>
        <v>0</v>
      </c>
      <c r="H46" s="179">
        <f t="shared" si="29"/>
        <v>0</v>
      </c>
      <c r="I46" s="179">
        <f t="shared" si="29"/>
        <v>0</v>
      </c>
      <c r="J46" s="179">
        <f t="shared" si="29"/>
        <v>0</v>
      </c>
      <c r="K46" s="179">
        <f t="shared" si="29"/>
        <v>0</v>
      </c>
      <c r="L46" s="179">
        <f t="shared" si="29"/>
        <v>0</v>
      </c>
      <c r="M46" s="179">
        <f t="shared" si="29"/>
        <v>0</v>
      </c>
      <c r="N46" s="179">
        <f t="shared" si="30"/>
        <v>0</v>
      </c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</row>
    <row r="47" spans="1:28" ht="9.75" customHeight="1">
      <c r="A47" s="176" t="str">
        <f>'2025'!A47</f>
        <v>지출내용입력6</v>
      </c>
      <c r="B47" s="179">
        <f>'2025'!M47</f>
        <v>0</v>
      </c>
      <c r="C47" s="179">
        <f t="shared" si="29"/>
        <v>0</v>
      </c>
      <c r="D47" s="179">
        <f t="shared" si="29"/>
        <v>0</v>
      </c>
      <c r="E47" s="179">
        <f t="shared" si="29"/>
        <v>0</v>
      </c>
      <c r="F47" s="179">
        <f t="shared" si="29"/>
        <v>0</v>
      </c>
      <c r="G47" s="179">
        <f t="shared" si="29"/>
        <v>0</v>
      </c>
      <c r="H47" s="179">
        <f t="shared" si="29"/>
        <v>0</v>
      </c>
      <c r="I47" s="179">
        <f t="shared" si="29"/>
        <v>0</v>
      </c>
      <c r="J47" s="179">
        <f t="shared" si="29"/>
        <v>0</v>
      </c>
      <c r="K47" s="179">
        <f t="shared" si="29"/>
        <v>0</v>
      </c>
      <c r="L47" s="179">
        <f t="shared" si="29"/>
        <v>0</v>
      </c>
      <c r="M47" s="179">
        <f t="shared" si="29"/>
        <v>0</v>
      </c>
      <c r="N47" s="179">
        <f t="shared" si="30"/>
        <v>0</v>
      </c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</row>
    <row r="48" spans="1:28" ht="9.75" customHeight="1">
      <c r="A48" s="176" t="str">
        <f>'2025'!A48</f>
        <v>지출내용입력7</v>
      </c>
      <c r="B48" s="179">
        <f>'2025'!M48</f>
        <v>0</v>
      </c>
      <c r="C48" s="179">
        <f t="shared" si="29"/>
        <v>0</v>
      </c>
      <c r="D48" s="179">
        <f t="shared" si="29"/>
        <v>0</v>
      </c>
      <c r="E48" s="179">
        <f t="shared" si="29"/>
        <v>0</v>
      </c>
      <c r="F48" s="179">
        <f t="shared" si="29"/>
        <v>0</v>
      </c>
      <c r="G48" s="179">
        <f t="shared" si="29"/>
        <v>0</v>
      </c>
      <c r="H48" s="179">
        <f t="shared" si="29"/>
        <v>0</v>
      </c>
      <c r="I48" s="179">
        <f t="shared" si="29"/>
        <v>0</v>
      </c>
      <c r="J48" s="179">
        <f t="shared" si="29"/>
        <v>0</v>
      </c>
      <c r="K48" s="179">
        <f t="shared" si="29"/>
        <v>0</v>
      </c>
      <c r="L48" s="179">
        <f t="shared" si="29"/>
        <v>0</v>
      </c>
      <c r="M48" s="179">
        <f t="shared" si="29"/>
        <v>0</v>
      </c>
      <c r="N48" s="179">
        <f t="shared" si="30"/>
        <v>0</v>
      </c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</row>
    <row r="49" spans="1:28" ht="9.75" customHeight="1">
      <c r="A49" s="176" t="str">
        <f>'2025'!A49</f>
        <v>지출내용입력8</v>
      </c>
      <c r="B49" s="179">
        <f>'2025'!M49</f>
        <v>0</v>
      </c>
      <c r="C49" s="179">
        <f t="shared" si="29"/>
        <v>0</v>
      </c>
      <c r="D49" s="179">
        <f t="shared" si="29"/>
        <v>0</v>
      </c>
      <c r="E49" s="179">
        <f t="shared" si="29"/>
        <v>0</v>
      </c>
      <c r="F49" s="179">
        <f t="shared" si="29"/>
        <v>0</v>
      </c>
      <c r="G49" s="179">
        <f t="shared" si="29"/>
        <v>0</v>
      </c>
      <c r="H49" s="179">
        <f t="shared" si="29"/>
        <v>0</v>
      </c>
      <c r="I49" s="179">
        <f t="shared" si="29"/>
        <v>0</v>
      </c>
      <c r="J49" s="179">
        <f t="shared" si="29"/>
        <v>0</v>
      </c>
      <c r="K49" s="179">
        <f t="shared" si="29"/>
        <v>0</v>
      </c>
      <c r="L49" s="179">
        <f t="shared" si="29"/>
        <v>0</v>
      </c>
      <c r="M49" s="179">
        <f t="shared" si="29"/>
        <v>0</v>
      </c>
      <c r="N49" s="179">
        <f t="shared" si="30"/>
        <v>0</v>
      </c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</row>
    <row r="50" spans="1:28" ht="9.75" customHeight="1">
      <c r="A50" s="176" t="str">
        <f>'2025'!A50</f>
        <v>지출내용입력9</v>
      </c>
      <c r="B50" s="179">
        <f>'2025'!M50</f>
        <v>0</v>
      </c>
      <c r="C50" s="179">
        <f t="shared" si="29"/>
        <v>0</v>
      </c>
      <c r="D50" s="179">
        <f t="shared" si="29"/>
        <v>0</v>
      </c>
      <c r="E50" s="179">
        <f t="shared" si="29"/>
        <v>0</v>
      </c>
      <c r="F50" s="179">
        <f t="shared" si="29"/>
        <v>0</v>
      </c>
      <c r="G50" s="179">
        <f t="shared" si="29"/>
        <v>0</v>
      </c>
      <c r="H50" s="179">
        <f t="shared" si="29"/>
        <v>0</v>
      </c>
      <c r="I50" s="179">
        <f t="shared" si="29"/>
        <v>0</v>
      </c>
      <c r="J50" s="179">
        <f t="shared" si="29"/>
        <v>0</v>
      </c>
      <c r="K50" s="179">
        <f t="shared" si="29"/>
        <v>0</v>
      </c>
      <c r="L50" s="179">
        <f t="shared" si="29"/>
        <v>0</v>
      </c>
      <c r="M50" s="179">
        <f t="shared" si="29"/>
        <v>0</v>
      </c>
      <c r="N50" s="179">
        <f t="shared" si="2"/>
        <v>0</v>
      </c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</row>
    <row r="51" spans="1:28" ht="9.75" customHeight="1">
      <c r="A51" s="176" t="str">
        <f>'2025'!A51</f>
        <v>지출내용입력10</v>
      </c>
      <c r="B51" s="179">
        <f>'2025'!M51</f>
        <v>0</v>
      </c>
      <c r="C51" s="179">
        <f t="shared" si="29"/>
        <v>0</v>
      </c>
      <c r="D51" s="179">
        <f t="shared" si="29"/>
        <v>0</v>
      </c>
      <c r="E51" s="179">
        <f t="shared" si="29"/>
        <v>0</v>
      </c>
      <c r="F51" s="179">
        <f t="shared" si="29"/>
        <v>0</v>
      </c>
      <c r="G51" s="179">
        <f t="shared" si="29"/>
        <v>0</v>
      </c>
      <c r="H51" s="179">
        <f t="shared" si="29"/>
        <v>0</v>
      </c>
      <c r="I51" s="179">
        <f t="shared" si="29"/>
        <v>0</v>
      </c>
      <c r="J51" s="179">
        <f t="shared" si="29"/>
        <v>0</v>
      </c>
      <c r="K51" s="179">
        <f t="shared" si="29"/>
        <v>0</v>
      </c>
      <c r="L51" s="179">
        <f t="shared" si="29"/>
        <v>0</v>
      </c>
      <c r="M51" s="179">
        <f t="shared" si="29"/>
        <v>0</v>
      </c>
      <c r="N51" s="179">
        <f t="shared" si="2"/>
        <v>0</v>
      </c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</row>
    <row r="52" spans="1:28" ht="9.75" customHeight="1">
      <c r="A52" s="185" t="s">
        <v>133</v>
      </c>
      <c r="B52" s="186">
        <f t="shared" ref="B52:M52" si="31">SUM(B42:B51)</f>
        <v>100</v>
      </c>
      <c r="C52" s="186">
        <f t="shared" si="31"/>
        <v>100</v>
      </c>
      <c r="D52" s="186">
        <f t="shared" si="31"/>
        <v>100</v>
      </c>
      <c r="E52" s="186">
        <f t="shared" si="31"/>
        <v>100</v>
      </c>
      <c r="F52" s="186">
        <f t="shared" si="31"/>
        <v>100</v>
      </c>
      <c r="G52" s="186">
        <f t="shared" si="31"/>
        <v>100</v>
      </c>
      <c r="H52" s="186">
        <f t="shared" si="31"/>
        <v>100</v>
      </c>
      <c r="I52" s="186">
        <f t="shared" si="31"/>
        <v>100</v>
      </c>
      <c r="J52" s="186">
        <f t="shared" si="31"/>
        <v>100</v>
      </c>
      <c r="K52" s="186">
        <f t="shared" si="31"/>
        <v>100</v>
      </c>
      <c r="L52" s="186">
        <f t="shared" si="31"/>
        <v>100</v>
      </c>
      <c r="M52" s="186">
        <f t="shared" si="31"/>
        <v>100</v>
      </c>
      <c r="N52" s="186">
        <f t="shared" si="2"/>
        <v>1200</v>
      </c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</row>
    <row r="53" spans="1:28" ht="9.75" customHeight="1">
      <c r="A53" s="187" t="s">
        <v>511</v>
      </c>
      <c r="B53" s="188">
        <f t="shared" ref="B53:N53" ca="1" si="32">B41-B52</f>
        <v>2944900</v>
      </c>
      <c r="C53" s="188">
        <f t="shared" ca="1" si="32"/>
        <v>4005400</v>
      </c>
      <c r="D53" s="188">
        <f t="shared" ca="1" si="32"/>
        <v>6974690</v>
      </c>
      <c r="E53" s="188">
        <f t="shared" ca="1" si="32"/>
        <v>2573110</v>
      </c>
      <c r="F53" s="188">
        <f t="shared" ca="1" si="32"/>
        <v>2536190</v>
      </c>
      <c r="G53" s="188">
        <f t="shared" ca="1" si="32"/>
        <v>2533680</v>
      </c>
      <c r="H53" s="188">
        <f t="shared" ca="1" si="32"/>
        <v>3085920</v>
      </c>
      <c r="I53" s="188">
        <f t="shared" ca="1" si="32"/>
        <v>2528670</v>
      </c>
      <c r="J53" s="188">
        <f t="shared" ca="1" si="32"/>
        <v>4120430</v>
      </c>
      <c r="K53" s="188">
        <f t="shared" ca="1" si="32"/>
        <v>2523650</v>
      </c>
      <c r="L53" s="188">
        <f t="shared" ca="1" si="32"/>
        <v>2521140</v>
      </c>
      <c r="M53" s="188">
        <f t="shared" ca="1" si="32"/>
        <v>2649790</v>
      </c>
      <c r="N53" s="188">
        <f t="shared" ca="1" si="32"/>
        <v>38997570</v>
      </c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</row>
    <row r="55" spans="1:28" ht="18">
      <c r="A55" s="1232" t="str">
        <f ca="1">D1</f>
        <v>2026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L55" s="691" t="s">
        <v>245</v>
      </c>
      <c r="M55" s="702">
        <f>A27</f>
        <v>1</v>
      </c>
      <c r="N55" s="682"/>
    </row>
    <row r="56" spans="1:28" s="145" customFormat="1" ht="11.25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28" ht="11.25" customHeight="1">
      <c r="A57" s="692" t="s">
        <v>277</v>
      </c>
      <c r="B57" s="688">
        <f ca="1">IF(B6="",0,VLOOKUP(B26-B17-100000,'2015 근로소득 간이세액표'!$C$4:$N$845,1+$M$55)*1.1)</f>
        <v>186021.00000000003</v>
      </c>
      <c r="C57" s="688">
        <f ca="1">IF(C6="",0,VLOOKUP(C26-C17-100000,'2015 근로소득 간이세액표'!$C$4:$N$845,1+$M$55)*1.1)</f>
        <v>355355</v>
      </c>
      <c r="D57" s="688">
        <f ca="1">IF(D6="",0,VLOOKUP(D26-D17-100000,'2015 근로소득 간이세액표'!$C$4:$N$845,1+$M$55)*1.1)</f>
        <v>1051138</v>
      </c>
      <c r="E57" s="688">
        <f ca="1">IF(E6="",0,VLOOKUP(E26-E17-100000,'2015 근로소득 간이세액표'!$C$4:$N$845,1+$M$55)*1.1)</f>
        <v>148368</v>
      </c>
      <c r="F57" s="688">
        <f ca="1">IF(F6="",0,VLOOKUP(F26-F17-100000,'2015 근로소득 간이세액표'!$C$4:$N$845,1+$M$55)*1.1)</f>
        <v>148368</v>
      </c>
      <c r="G57" s="688">
        <f ca="1">IF(G6="",0,VLOOKUP(G26-G17-100000,'2015 근로소득 간이세액표'!$C$4:$N$845,1+$M$55)*1.1)</f>
        <v>148368</v>
      </c>
      <c r="H57" s="688">
        <f ca="1">IF(H6="",0,VLOOKUP(H26-H17-100000,'2015 근로소득 간이세액표'!$C$4:$N$845,1+$M$55)*1.1)</f>
        <v>232276.00000000003</v>
      </c>
      <c r="I57" s="688">
        <f ca="1">IF(I6="",0,VLOOKUP(I26-I17-100000,'2015 근로소득 간이세액표'!$C$4:$N$845,1+$M$55)*1.1)</f>
        <v>148368</v>
      </c>
      <c r="J57" s="688">
        <f ca="1">IF(J6="",0,VLOOKUP(J26-J17-100000,'2015 근로소득 간이세액표'!$C$4:$N$845,1+$M$55)*1.1)</f>
        <v>395472.00000000006</v>
      </c>
      <c r="K57" s="688">
        <f ca="1">IF(K6="",0,VLOOKUP(K26-K17-100000,'2015 근로소득 간이세액표'!$C$4:$N$845,1+$M$55)*1.1)</f>
        <v>148368</v>
      </c>
      <c r="L57" s="688">
        <f ca="1">IF(L6="",0,VLOOKUP(L26-L17-100000,'2015 근로소득 간이세액표'!$C$4:$N$845,1+$M$55)*1.1)</f>
        <v>148368</v>
      </c>
      <c r="M57" s="688">
        <f ca="1">IF(M6="",0,VLOOKUP(M26-M17-100000,'2015 근로소득 간이세액표'!$C$4:$N$845,1+$M$55)*1.1)</f>
        <v>167200</v>
      </c>
      <c r="N57" s="689">
        <f ca="1">SUM(B57:M57)</f>
        <v>3277670</v>
      </c>
    </row>
    <row r="58" spans="1:28" ht="11.25" customHeight="1">
      <c r="A58" s="687" t="s">
        <v>295</v>
      </c>
      <c r="B58" s="689">
        <f t="shared" ref="B58:M58" ca="1" si="33">IF(B6="",0,B27+B28)</f>
        <v>193110</v>
      </c>
      <c r="C58" s="689">
        <f t="shared" ca="1" si="33"/>
        <v>195610</v>
      </c>
      <c r="D58" s="689">
        <f t="shared" ca="1" si="33"/>
        <v>198120</v>
      </c>
      <c r="E58" s="689">
        <f t="shared" ca="1" si="33"/>
        <v>275870</v>
      </c>
      <c r="F58" s="689">
        <f t="shared" ca="1" si="33"/>
        <v>278380</v>
      </c>
      <c r="G58" s="689">
        <f t="shared" ca="1" si="33"/>
        <v>280890</v>
      </c>
      <c r="H58" s="689">
        <f t="shared" ca="1" si="33"/>
        <v>283390</v>
      </c>
      <c r="I58" s="689">
        <f t="shared" ca="1" si="33"/>
        <v>285900</v>
      </c>
      <c r="J58" s="689">
        <f t="shared" ca="1" si="33"/>
        <v>288410</v>
      </c>
      <c r="K58" s="689">
        <f t="shared" ca="1" si="33"/>
        <v>290920</v>
      </c>
      <c r="L58" s="689">
        <f t="shared" ca="1" si="33"/>
        <v>293430</v>
      </c>
      <c r="M58" s="689">
        <f t="shared" ca="1" si="33"/>
        <v>295930</v>
      </c>
      <c r="N58" s="689">
        <f ca="1">SUM(B58:M58)</f>
        <v>3159960</v>
      </c>
    </row>
    <row r="59" spans="1:28" ht="11.25" customHeight="1">
      <c r="A59" s="680" t="s">
        <v>546</v>
      </c>
      <c r="B59" s="684">
        <f ca="1">B57-B58</f>
        <v>-7088.9999999999709</v>
      </c>
      <c r="C59" s="684">
        <f t="shared" ref="C59:N59" ca="1" si="34">C57-C58</f>
        <v>159745</v>
      </c>
      <c r="D59" s="684">
        <f t="shared" ca="1" si="34"/>
        <v>853018</v>
      </c>
      <c r="E59" s="684">
        <f t="shared" ca="1" si="34"/>
        <v>-127502</v>
      </c>
      <c r="F59" s="684">
        <f t="shared" ca="1" si="34"/>
        <v>-130012</v>
      </c>
      <c r="G59" s="684">
        <f t="shared" ca="1" si="34"/>
        <v>-132522</v>
      </c>
      <c r="H59" s="684">
        <f t="shared" ca="1" si="34"/>
        <v>-51113.999999999971</v>
      </c>
      <c r="I59" s="684">
        <f t="shared" ca="1" si="34"/>
        <v>-137532</v>
      </c>
      <c r="J59" s="684">
        <f t="shared" ca="1" si="34"/>
        <v>107062.00000000006</v>
      </c>
      <c r="K59" s="684">
        <f t="shared" ca="1" si="34"/>
        <v>-142552</v>
      </c>
      <c r="L59" s="684">
        <f t="shared" ca="1" si="34"/>
        <v>-145062</v>
      </c>
      <c r="M59" s="684">
        <f t="shared" ca="1" si="34"/>
        <v>-128730</v>
      </c>
      <c r="N59" s="684">
        <f t="shared" ca="1" si="34"/>
        <v>117710</v>
      </c>
    </row>
    <row r="60" spans="1:28" ht="11.25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117710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64"/>
      <c r="K60" s="1264"/>
      <c r="L60" s="1264"/>
      <c r="M60" s="1264"/>
      <c r="N60" s="685"/>
    </row>
  </sheetData>
  <sheetProtection algorithmName="SHA-512" hashValue="kspwnO4Lat62CSPMo7d7AY9a0qNwoS7Zsr4SWLteDIUYrKvv+rPJRZYmkzDyXzIPklJYq/B0Z2bL5VrgJlzAHQ==" saltValue="4S5n+6EJcD7xAk+vsjfZjw==" spinCount="100000" sheet="1" selectLockedCells="1"/>
  <mergeCells count="5">
    <mergeCell ref="P1:Q2"/>
    <mergeCell ref="B2:C2"/>
    <mergeCell ref="K2:L2"/>
    <mergeCell ref="A55:F55"/>
    <mergeCell ref="I60:M60"/>
  </mergeCells>
  <phoneticPr fontId="167" type="noConversion"/>
  <conditionalFormatting sqref="B12:E12">
    <cfRule type="expression" dxfId="532" priority="8">
      <formula>$E$2="y"</formula>
    </cfRule>
    <cfRule type="expression" dxfId="531" priority="9">
      <formula>$D$2="Y"</formula>
    </cfRule>
    <cfRule type="expression" dxfId="530" priority="10">
      <formula>$F$2="y"</formula>
    </cfRule>
  </conditionalFormatting>
  <conditionalFormatting sqref="B27:M27">
    <cfRule type="expression" dxfId="529" priority="1">
      <formula>$F$2="y"</formula>
    </cfRule>
  </conditionalFormatting>
  <conditionalFormatting sqref="D16">
    <cfRule type="expression" dxfId="528" priority="32">
      <formula>$E$2="y"</formula>
    </cfRule>
    <cfRule type="expression" dxfId="527" priority="33">
      <formula>$E$2="y"</formula>
    </cfRule>
    <cfRule type="expression" dxfId="526" priority="34">
      <formula>$F$2="y"</formula>
    </cfRule>
  </conditionalFormatting>
  <conditionalFormatting sqref="D18">
    <cfRule type="expression" dxfId="525" priority="29">
      <formula>$E$2="y"</formula>
    </cfRule>
    <cfRule type="expression" dxfId="524" priority="30">
      <formula>$E$2="y"</formula>
    </cfRule>
    <cfRule type="expression" dxfId="523" priority="31">
      <formula>$F$2="y"</formula>
    </cfRule>
  </conditionalFormatting>
  <conditionalFormatting sqref="J12:K12">
    <cfRule type="expression" dxfId="522" priority="5">
      <formula>$E$2="y"</formula>
    </cfRule>
    <cfRule type="expression" dxfId="521" priority="6">
      <formula>$D$2="Y"</formula>
    </cfRule>
    <cfRule type="expression" dxfId="520" priority="7">
      <formula>$F$2="y"</formula>
    </cfRule>
  </conditionalFormatting>
  <printOptions horizontalCentered="1"/>
  <pageMargins left="0.15722222626209259" right="0.15722222626209259" top="0.74777776002883911" bottom="0.35430556535720825" header="0.31486111879348755" footer="0.31486111879348755"/>
  <pageSetup paperSize="9" orientation="landscape"/>
  <ignoredErrors>
    <ignoredError sqref="B4:C6 B19:N29 B17:B18 E4:N6 D4:D6 D2:D3 A14:A15 A25 B31:N53 B30:D30 F30:N30 L1 H2 A42:A51 B8:C16 E8:N16 N7 D8:D14" unlockedFormula="1"/>
    <ignoredError sqref="C17:N18 D15:D16 E30" formula="1" unlocked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6" r:id="rId3" name="Drop Down 4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7" r:id="rId4" name="Drop Down 5">
              <controlPr defaultSize="0" autoLine="0" autoPict="0">
                <anchor moveWithCells="1">
                  <from>
                    <xdr:col>13</xdr:col>
                    <xdr:colOff>76200</xdr:colOff>
                    <xdr:row>4</xdr:row>
                    <xdr:rowOff>12700</xdr:rowOff>
                  </from>
                  <to>
                    <xdr:col>13</xdr:col>
                    <xdr:colOff>584200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8" r:id="rId5" name="Drop Down 6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9" r:id="rId6" name="Drop Down 7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25" r:id="rId7" name="Drop Down 13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1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M2" sqref="M2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8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2027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집계표!E119</f>
        <v>2</v>
      </c>
      <c r="M1" s="627">
        <f>집계표!E122</f>
        <v>1</v>
      </c>
      <c r="N1" s="618">
        <v>3</v>
      </c>
    </row>
    <row r="2" spans="1:18" ht="14.25" customHeight="1">
      <c r="A2" s="197"/>
      <c r="B2" s="1255" t="s">
        <v>642</v>
      </c>
      <c r="C2" s="1255"/>
      <c r="D2" s="198">
        <f>M2</f>
        <v>2.5000000000000001E-2</v>
      </c>
      <c r="E2" s="199"/>
      <c r="F2" s="199"/>
      <c r="G2" s="594" t="s">
        <v>68</v>
      </c>
      <c r="H2" s="629" t="str">
        <f>집계표!AN53</f>
        <v>A</v>
      </c>
      <c r="J2" s="199"/>
      <c r="K2" s="1255" t="s">
        <v>419</v>
      </c>
      <c r="L2" s="1255"/>
      <c r="M2" s="1033">
        <f>'퇴직때까지의 총연봉액'!P1</f>
        <v>2.5000000000000001E-2</v>
      </c>
      <c r="N2" s="199"/>
      <c r="P2" s="200"/>
      <c r="Q2" s="201"/>
    </row>
    <row r="3" spans="1:18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  <c r="P3" s="200"/>
    </row>
    <row r="4" spans="1:18" ht="9.75" customHeight="1">
      <c r="A4" s="202" t="s">
        <v>139</v>
      </c>
      <c r="B4" s="356">
        <f>IF('2026'!M4&gt;=50,50,IF(AND('2026'!M4=50,M$3=$N$5),"",IF(B3=$N$5,'2026'!M4+1,'2026'!M4)))</f>
        <v>14</v>
      </c>
      <c r="C4" s="176">
        <f>IF(B4&gt;=50,50,IF(AND(B4=50,C$3=$N$5),50,IF(C$3=$N$5,B4+1,B4)))</f>
        <v>14</v>
      </c>
      <c r="D4" s="176">
        <f t="shared" ref="D4:M4" si="0">IF(C4&gt;=50,50,IF(AND(C4=50,D$3=$N$5),50,IF(D$3=$N$5,C4+1,C4)))</f>
        <v>15</v>
      </c>
      <c r="E4" s="176">
        <f t="shared" si="0"/>
        <v>15</v>
      </c>
      <c r="F4" s="176">
        <f t="shared" si="0"/>
        <v>15</v>
      </c>
      <c r="G4" s="176">
        <f t="shared" si="0"/>
        <v>15</v>
      </c>
      <c r="H4" s="176">
        <f t="shared" si="0"/>
        <v>15</v>
      </c>
      <c r="I4" s="176">
        <f t="shared" si="0"/>
        <v>15</v>
      </c>
      <c r="J4" s="176">
        <f t="shared" si="0"/>
        <v>15</v>
      </c>
      <c r="K4" s="176">
        <f t="shared" si="0"/>
        <v>15</v>
      </c>
      <c r="L4" s="176">
        <f t="shared" si="0"/>
        <v>15</v>
      </c>
      <c r="M4" s="176">
        <f t="shared" si="0"/>
        <v>15</v>
      </c>
      <c r="N4" s="202" t="s">
        <v>124</v>
      </c>
    </row>
    <row r="5" spans="1:18" ht="9.75" customHeight="1">
      <c r="A5" s="202" t="s">
        <v>134</v>
      </c>
      <c r="B5" s="356">
        <f>IF(B$3=$N$5,'2026'!M5+1,'2026'!M5)</f>
        <v>4</v>
      </c>
      <c r="C5" s="176">
        <f>IF(C$3=$N$5,B5+1,B5)</f>
        <v>4</v>
      </c>
      <c r="D5" s="176">
        <f t="shared" ref="D5:M5" si="1">IF(D$3=$N$5,C5+1,C5)</f>
        <v>5</v>
      </c>
      <c r="E5" s="176">
        <f t="shared" si="1"/>
        <v>5</v>
      </c>
      <c r="F5" s="176">
        <f t="shared" si="1"/>
        <v>5</v>
      </c>
      <c r="G5" s="176">
        <f t="shared" si="1"/>
        <v>5</v>
      </c>
      <c r="H5" s="176">
        <f t="shared" si="1"/>
        <v>5</v>
      </c>
      <c r="I5" s="176">
        <f t="shared" si="1"/>
        <v>5</v>
      </c>
      <c r="J5" s="176">
        <f t="shared" si="1"/>
        <v>5</v>
      </c>
      <c r="K5" s="176">
        <f t="shared" si="1"/>
        <v>5</v>
      </c>
      <c r="L5" s="176">
        <f t="shared" si="1"/>
        <v>5</v>
      </c>
      <c r="M5" s="176">
        <f t="shared" si="1"/>
        <v>5</v>
      </c>
      <c r="N5" s="177">
        <f>'2026'!N5</f>
        <v>3</v>
      </c>
    </row>
    <row r="6" spans="1:18" ht="9.75" customHeight="1">
      <c r="A6" s="178" t="s">
        <v>454</v>
      </c>
      <c r="B6" s="211">
        <f ca="1">IF(OR(B4="",B4&lt;7),"",IF($D$1-YEAR($B$1)&gt;0,"",IF(AND($D$1-YEAR($B$1)=0,B3-MONTH($B$1)&gt;=1),"",VLOOKUP(B4,gibon40!$D$4:$AT$47,$N$1,1))))</f>
        <v>2843000</v>
      </c>
      <c r="C6" s="211">
        <f ca="1">IF(OR(C4="",C4&lt;7),"",IF($D$1-YEAR($B$1)&gt;0,"",IF(AND($D$1-YEAR($B$1)=0,C3-MONTH($B$1)&gt;=1),"",VLOOKUP(C4,gibon40!$D$4:$AT$47,$N$1,1))))</f>
        <v>2843000</v>
      </c>
      <c r="D6" s="211">
        <f ca="1">IF(OR(D4="",D4&lt;7),"",IF($D$1-YEAR($B$1)&gt;0,"",IF(AND($D$1-YEAR($B$1)=0,D3-MONTH($B$1)&gt;=1),"",VLOOKUP(D4,gibon40!$D$4:$AT$47,$N$1,1))))</f>
        <v>2961900</v>
      </c>
      <c r="E6" s="211">
        <f ca="1">IF(OR(E4="",E4&lt;7),"",IF($D$1-YEAR($B$1)&gt;0,"",IF(AND($D$1-YEAR($B$1)=0,E3-MONTH($B$1)&gt;=1),"",VLOOKUP(E4,gibon40!$D$4:$AT$47,$N$1,1))))</f>
        <v>2961900</v>
      </c>
      <c r="F6" s="211">
        <f ca="1">IF(OR(F4="",F4&lt;7),"",IF($D$1-YEAR($B$1)&gt;0,"",IF(AND($D$1-YEAR($B$1)=0,F3-MONTH($B$1)&gt;=1),"",VLOOKUP(F4,gibon40!$D$4:$AT$47,$N$1,1))))</f>
        <v>2961900</v>
      </c>
      <c r="G6" s="211">
        <f ca="1">IF(OR(G4="",G4&lt;7),"",IF($D$1-YEAR($B$1)&gt;0,"",IF(AND($D$1-YEAR($B$1)=0,G3-MONTH($B$1)&gt;=1),"",VLOOKUP(G4,gibon40!$D$4:$AT$47,$N$1,1))))</f>
        <v>2961900</v>
      </c>
      <c r="H6" s="211">
        <f ca="1">IF(OR(H4="",H4&lt;7),"",IF($D$1-YEAR($B$1)&gt;0,"",IF(AND($D$1-YEAR($B$1)=0,H3-MONTH($B$1)&gt;=1),"",VLOOKUP(H4,gibon40!$D$4:$AT$47,$N$1,1))))</f>
        <v>2961900</v>
      </c>
      <c r="I6" s="211">
        <f ca="1">IF(OR(I4="",I4&lt;7),"",IF($D$1-YEAR($B$1)&gt;0,"",IF(AND($D$1-YEAR($B$1)=0,I3-MONTH($B$1)&gt;=1),"",VLOOKUP(I4,gibon40!$D$4:$AT$47,$N$1,1))))</f>
        <v>2961900</v>
      </c>
      <c r="J6" s="211">
        <f ca="1">IF(OR(J4="",J4&lt;7),"",IF($D$1-YEAR($B$1)&gt;0,"",IF(AND($D$1-YEAR($B$1)=0,J3-MONTH($B$1)&gt;=1),"",VLOOKUP(J4,gibon40!$D$4:$AT$47,$N$1,1))))</f>
        <v>2961900</v>
      </c>
      <c r="K6" s="211">
        <f ca="1">IF(OR(K4="",K4&lt;7),"",IF($D$1-YEAR($B$1)&gt;0,"",IF(AND($D$1-YEAR($B$1)=0,K3-MONTH($B$1)&gt;=1),"",VLOOKUP(K4,gibon40!$D$4:$AT$47,$N$1,1))))</f>
        <v>2961900</v>
      </c>
      <c r="L6" s="211">
        <f ca="1">IF(OR(L4="",L4&lt;7),"",IF($D$1-YEAR($B$1)&gt;0,"",IF(AND($D$1-YEAR($B$1)=0,L3-MONTH($B$1)&gt;=1),"",VLOOKUP(L4,gibon40!$D$4:$AT$47,$N$1,1))))</f>
        <v>2961900</v>
      </c>
      <c r="M6" s="211">
        <f ca="1">IF(OR(M4="",M4&lt;7),"",IF($D$1-YEAR($B$1)&gt;0,"",IF(AND($D$1-YEAR($B$1)=0,M3-MONTH($B$1)&gt;=1),"",VLOOKUP(M4,gibon40!$D$4:$AT$47,$N$1,1))))</f>
        <v>2961900</v>
      </c>
      <c r="N6" s="179">
        <f t="shared" ref="N6:N52" ca="1" si="2">SUM(B6:M6)</f>
        <v>35305000</v>
      </c>
    </row>
    <row r="7" spans="1:18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568600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740475</v>
      </c>
      <c r="I7" s="180"/>
      <c r="J7" s="180"/>
      <c r="K7" s="180"/>
      <c r="L7" s="180"/>
      <c r="M7" s="180"/>
      <c r="N7" s="179">
        <f t="shared" ca="1" si="2"/>
        <v>1309075</v>
      </c>
    </row>
    <row r="8" spans="1:18" ht="9.75" customHeight="1">
      <c r="A8" s="178" t="s">
        <v>80</v>
      </c>
      <c r="B8" s="179">
        <f ca="1">IF(B4="","",IF(B6="","",IF(B5&gt;=20,100000,IF(B5&gt;=15,80000,IF(B5&gt;=10,60000,IF(B5&gt;=5,50000,30000))))))</f>
        <v>30000</v>
      </c>
      <c r="C8" s="179">
        <f t="shared" ref="C8:M8" ca="1" si="3">IF(C4="","",IF(C6="","",IF(C5&gt;=20,100000,IF(C5&gt;=15,80000,IF(C5&gt;=10,60000,IF(C5&gt;=5,50000,30000))))))</f>
        <v>30000</v>
      </c>
      <c r="D8" s="179">
        <f t="shared" ca="1" si="3"/>
        <v>50000</v>
      </c>
      <c r="E8" s="179">
        <f t="shared" ca="1" si="3"/>
        <v>50000</v>
      </c>
      <c r="F8" s="179">
        <f t="shared" ca="1" si="3"/>
        <v>50000</v>
      </c>
      <c r="G8" s="179">
        <f t="shared" ca="1" si="3"/>
        <v>50000</v>
      </c>
      <c r="H8" s="179">
        <f t="shared" ca="1" si="3"/>
        <v>50000</v>
      </c>
      <c r="I8" s="179">
        <f t="shared" ca="1" si="3"/>
        <v>50000</v>
      </c>
      <c r="J8" s="179">
        <f t="shared" ca="1" si="3"/>
        <v>50000</v>
      </c>
      <c r="K8" s="179">
        <f t="shared" ca="1" si="3"/>
        <v>50000</v>
      </c>
      <c r="L8" s="179">
        <f t="shared" ca="1" si="3"/>
        <v>50000</v>
      </c>
      <c r="M8" s="179">
        <f t="shared" ca="1" si="3"/>
        <v>50000</v>
      </c>
      <c r="N8" s="179">
        <f t="shared" ca="1" si="2"/>
        <v>560000</v>
      </c>
    </row>
    <row r="9" spans="1:18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179">
        <f t="shared" ca="1" si="2"/>
        <v>0</v>
      </c>
    </row>
    <row r="10" spans="1:18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4555400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179">
        <f t="shared" ca="1" si="2"/>
        <v>4555400</v>
      </c>
    </row>
    <row r="11" spans="1:18" ht="9.75" customHeight="1">
      <c r="A11" s="178" t="s">
        <v>63</v>
      </c>
      <c r="B11" s="179">
        <f ca="1">IF(B$6="","",'2026'!M11)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179">
        <f t="shared" ca="1" si="2"/>
        <v>1680000</v>
      </c>
    </row>
    <row r="12" spans="1:18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1705800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1777140</v>
      </c>
      <c r="K12" s="180">
        <f ca="1">IF(K6="","",IF(VLOOKUP($D$1+0,집계표!$Y$49:$AA$108,3)=K3,K6*0.6,0))</f>
        <v>0</v>
      </c>
      <c r="L12" s="179"/>
      <c r="M12" s="179"/>
      <c r="N12" s="179">
        <f t="shared" ca="1" si="2"/>
        <v>3482940</v>
      </c>
      <c r="Q12" s="855"/>
      <c r="R12" s="200"/>
    </row>
    <row r="13" spans="1:18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179">
        <f t="shared" ca="1" si="2"/>
        <v>3000000</v>
      </c>
    </row>
    <row r="14" spans="1:18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179">
        <f t="shared" ca="1" si="2"/>
        <v>2400000</v>
      </c>
    </row>
    <row r="15" spans="1:18" ht="9.75" customHeight="1">
      <c r="A15" s="606" t="str">
        <f>IF(L1=4,"교장관리수당",IF(OR(M1=1,M1=2,L1=3),"부장수당",""))</f>
        <v>부장수당</v>
      </c>
      <c r="B15" s="610">
        <f ca="1">IF(B$6="","",'2026'!M15)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179">
        <f t="shared" ca="1" si="2"/>
        <v>0</v>
      </c>
    </row>
    <row r="16" spans="1:18" ht="9.75" customHeight="1">
      <c r="A16" s="606" t="s">
        <v>331</v>
      </c>
      <c r="B16" s="610">
        <f ca="1">IF(B$6="","",'2026'!M16)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179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75000</v>
      </c>
      <c r="C17" s="179">
        <f ca="1">IF(C6="","",IF(C5&lt;5,75000,60000))</f>
        <v>75000</v>
      </c>
      <c r="D17" s="179">
        <f t="shared" ref="D17:M17" ca="1" si="11">IF(D6="","",IF(D5&lt;5,75000,60000))</f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179">
        <f t="shared" ca="1" si="2"/>
        <v>750000</v>
      </c>
    </row>
    <row r="18" spans="1:20" ht="9.75" customHeight="1">
      <c r="A18" s="606" t="s">
        <v>286</v>
      </c>
      <c r="B18" s="610">
        <f ca="1">IF(B$6="","",'2026'!M18)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179">
        <f t="shared" ca="1" si="2"/>
        <v>0</v>
      </c>
      <c r="R18" s="200"/>
    </row>
    <row r="19" spans="1:20" ht="9.75" customHeight="1">
      <c r="A19" s="606" t="s">
        <v>283</v>
      </c>
      <c r="B19" s="610">
        <f ca="1">IF(B$6="","",'2026'!M19)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179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701">
        <f t="shared" ca="1" si="2"/>
        <v>0</v>
      </c>
      <c r="Q20" s="677"/>
      <c r="R20" s="854"/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44810</v>
      </c>
      <c r="E21" s="179">
        <f ca="1">IF(D4="","",IF(E$6="","",ROUND(VLOOKUP(E4,gibon40!$D$51:$AV$100,$N$1+1)*10*15/15,-1)))</f>
        <v>134430</v>
      </c>
      <c r="F21" s="179">
        <f ca="1">IF(E4="","",IF(F$6="","",ROUND(VLOOKUP(F4,gibon40!$D$51:$AV$100,$N$1+1)*10*15/15,-1)))</f>
        <v>134430</v>
      </c>
      <c r="G21" s="179">
        <f ca="1">IF(F4="","",IF(G$6="","",ROUND(VLOOKUP(G4,gibon40!$D$51:$AV$100,$N$1+1)*10*15/15,-1)))</f>
        <v>134430</v>
      </c>
      <c r="H21" s="179">
        <f ca="1">IF(G4="","",IF(H$6="","",ROUND(VLOOKUP(H4,gibon40!$D$51:$AV$100,$N$1+1)*10*15/15,-1)))</f>
        <v>134430</v>
      </c>
      <c r="I21" s="179">
        <f ca="1">IF(H4="","",IF(I$6="","",ROUND(VLOOKUP(I4,gibon40!$D$51:$AV$100,$N$1+1)*10*15/15,-1)))</f>
        <v>134430</v>
      </c>
      <c r="J21" s="179">
        <f ca="1">IF(I4="","",IF(J$6="","",ROUND(VLOOKUP(J4,gibon40!$D$51:$AV$100,$N$1+1)*7*15/15,-1)))</f>
        <v>94100</v>
      </c>
      <c r="K21" s="179">
        <f ca="1">IF(J4="","",IF(K$6="","",ROUND(VLOOKUP(K4,gibon40!$D$51:$AV$100,$N$1+1)*10*15/15,-1)))</f>
        <v>134430</v>
      </c>
      <c r="L21" s="179">
        <f ca="1">IF(K4="","",IF(L$6="","",ROUND(VLOOKUP(L4,gibon40!$D$51:$AV$100,$N$1+1)*10*15/15,-1)))</f>
        <v>134430</v>
      </c>
      <c r="M21" s="179">
        <f ca="1">IF(L4="","",IF(M$6="","",ROUND(VLOOKUP(M4,gibon40!$D$51:$AV$100,$N$1+1)*10*15/15*2,-1)))</f>
        <v>268860</v>
      </c>
      <c r="N21" s="179">
        <f t="shared" ca="1" si="2"/>
        <v>1348780</v>
      </c>
    </row>
    <row r="22" spans="1:20" ht="9.75" customHeight="1">
      <c r="A22" s="606" t="s">
        <v>101</v>
      </c>
      <c r="B22" s="610">
        <v>0</v>
      </c>
      <c r="C22" s="179">
        <f ca="1">IF(C6="","",0)</f>
        <v>0</v>
      </c>
      <c r="D22" s="179">
        <f t="shared" ref="D22:M22" ca="1" si="13">IF(D6="","",0)</f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IF(B$6="","",'2026'!M23)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179">
        <f t="shared" ca="1" si="2"/>
        <v>0</v>
      </c>
    </row>
    <row r="24" spans="1:20" ht="9.75" customHeight="1">
      <c r="A24" s="606" t="s">
        <v>97</v>
      </c>
      <c r="B24" s="610">
        <f ca="1">IF(B$6="","",'2026'!M24)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179">
        <f t="shared" ca="1" si="2"/>
        <v>0</v>
      </c>
      <c r="T24" s="203"/>
    </row>
    <row r="25" spans="1:20" ht="9.75" customHeight="1">
      <c r="A25" s="606" t="str">
        <f>'2026'!A25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179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4131600</v>
      </c>
      <c r="C26" s="213">
        <f t="shared" ref="C26:M26" ca="1" si="16">ROUNDDOWN(SUM(C6:C25),-1)</f>
        <v>5268800</v>
      </c>
      <c r="D26" s="213">
        <f t="shared" ca="1" si="16"/>
        <v>8287110</v>
      </c>
      <c r="E26" s="213">
        <f t="shared" ca="1" si="16"/>
        <v>3821330</v>
      </c>
      <c r="F26" s="213">
        <f t="shared" ca="1" si="16"/>
        <v>3821330</v>
      </c>
      <c r="G26" s="213">
        <f t="shared" ca="1" si="16"/>
        <v>3821330</v>
      </c>
      <c r="H26" s="213">
        <f t="shared" ca="1" si="16"/>
        <v>4561800</v>
      </c>
      <c r="I26" s="213">
        <f t="shared" ca="1" si="16"/>
        <v>3821330</v>
      </c>
      <c r="J26" s="213">
        <f t="shared" ca="1" si="16"/>
        <v>5558140</v>
      </c>
      <c r="K26" s="213">
        <f t="shared" ca="1" si="16"/>
        <v>3821330</v>
      </c>
      <c r="L26" s="213">
        <f t="shared" ca="1" si="16"/>
        <v>3821330</v>
      </c>
      <c r="M26" s="213">
        <f t="shared" ca="1" si="16"/>
        <v>3955760</v>
      </c>
      <c r="N26" s="214">
        <f ca="1">SUM(B26:M26)</f>
        <v>54691190</v>
      </c>
      <c r="O26" s="880" t="s">
        <v>322</v>
      </c>
      <c r="Q26" s="855"/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203630</v>
      </c>
      <c r="C27" s="179">
        <f ca="1">IF(C6="",0,ROUND(VLOOKUP(($N$26-1200000-$N$17-$N$16)/12,'2015근로소득간이세액표'!$C$4:$Z$700,$A$27+1)*0.78*O27,-1))</f>
        <v>206270</v>
      </c>
      <c r="D27" s="179">
        <f ca="1">IF(D6="",0,ROUND(VLOOKUP(($N$26-1200000-$N$17-$N$16)/12,'2015근로소득간이세액표'!$C$4:$Z$700,$A$27+1)*0.79*O27,-1))</f>
        <v>208920</v>
      </c>
      <c r="E27" s="179">
        <f ca="1">IF(E6="",0,ROUND(VLOOKUP(($N$26-1200000-$N$17-$N$16)/12,'2015근로소득간이세액표'!$C$4:$Z$700,$A$27+1)*1.1*O27,-1))</f>
        <v>290900</v>
      </c>
      <c r="F27" s="179">
        <f ca="1">IF(F6="",0,ROUND(VLOOKUP(($N$26-1200000-$N$17-$N$16)/12,'2015근로소득간이세액표'!$C$4:$Z$700,$A$27+1)*1.11*O27,-1))</f>
        <v>293540</v>
      </c>
      <c r="G27" s="179">
        <f ca="1">IF(G6="",0,ROUND(VLOOKUP(($N$26-1200000-$N$17-$N$16)/12,'2015근로소득간이세액표'!$C$4:$Z$700,$A$27+1)*1.12*O27,-1))</f>
        <v>296180</v>
      </c>
      <c r="H27" s="179">
        <f ca="1">IF(H6="",0,ROUND(VLOOKUP(($N$26-1200000-$N$17-$N$16)/12,'2015근로소득간이세액표'!$C$4:$Z$700,$A$27+1)*1.13*O27,-1))</f>
        <v>298830</v>
      </c>
      <c r="I27" s="179">
        <f ca="1">IF(I6="",0,ROUND(VLOOKUP(($N$26-1200000-$N$17-$N$16)/12,'2015근로소득간이세액표'!$C$4:$Z$700,$A$27+1)*1.14*O27,-1))</f>
        <v>301470</v>
      </c>
      <c r="J27" s="179">
        <f ca="1">IF(J6="",0,ROUND(VLOOKUP(($N$26-1200000-$N$17-$N$16)/12,'2015근로소득간이세액표'!$C$4:$Z$700,$A$27+1)*1.15*O27,-1))</f>
        <v>304120</v>
      </c>
      <c r="K27" s="179">
        <f ca="1">IF(K6="",0,ROUND(VLOOKUP(($N$26-1200000-$N$17-$N$16)/12,'2015근로소득간이세액표'!$C$4:$Z$700,$A$27+1)*1.16*O27,-1))</f>
        <v>306760</v>
      </c>
      <c r="L27" s="179">
        <f ca="1">IF(L6="",0,ROUND(VLOOKUP(($N$26-1200000-$N$17-$N$16)/12,'2015근로소득간이세액표'!$C$4:$Z$700,$A$27+1)*1.17*O27,-1))</f>
        <v>309410</v>
      </c>
      <c r="M27" s="179">
        <f ca="1">IF(M6="",0,ROUND(VLOOKUP(($N$26-1200000-$N$17-$N$16)/12,'2015근로소득간이세액표'!$C$4:$Z$700,$A$27+1)*1.18*O27,-1))</f>
        <v>312050</v>
      </c>
      <c r="N27" s="179">
        <f t="shared" ref="N27:N28" ca="1" si="17">SUM(B27:M27)</f>
        <v>3332080</v>
      </c>
      <c r="O27" s="881">
        <v>1</v>
      </c>
      <c r="Q27" s="855"/>
    </row>
    <row r="28" spans="1:20" ht="9.75" customHeight="1">
      <c r="A28" s="182" t="s">
        <v>308</v>
      </c>
      <c r="B28" s="179">
        <f t="shared" ref="B28:I28" ca="1" si="18">IF(B$6="","",ROUND(B27*0.1,-1))</f>
        <v>20360</v>
      </c>
      <c r="C28" s="179">
        <f t="shared" ca="1" si="18"/>
        <v>20630</v>
      </c>
      <c r="D28" s="179">
        <f t="shared" ca="1" si="18"/>
        <v>20890</v>
      </c>
      <c r="E28" s="179">
        <f t="shared" ca="1" si="18"/>
        <v>29090</v>
      </c>
      <c r="F28" s="179">
        <f t="shared" ca="1" si="18"/>
        <v>29350</v>
      </c>
      <c r="G28" s="179">
        <f t="shared" ca="1" si="18"/>
        <v>29620</v>
      </c>
      <c r="H28" s="179">
        <f t="shared" ca="1" si="18"/>
        <v>29880</v>
      </c>
      <c r="I28" s="179">
        <f t="shared" ca="1" si="18"/>
        <v>30150</v>
      </c>
      <c r="J28" s="179">
        <f ca="1">IF(J$6="","",ROUND(J27*0.1,-1))</f>
        <v>30410</v>
      </c>
      <c r="K28" s="179">
        <f t="shared" ref="K28:M28" ca="1" si="19">IF(K$6="","",ROUND(K27*0.1,-1))</f>
        <v>30680</v>
      </c>
      <c r="L28" s="179">
        <f t="shared" ca="1" si="19"/>
        <v>30940</v>
      </c>
      <c r="M28" s="179">
        <f t="shared" ca="1" si="19"/>
        <v>31210</v>
      </c>
      <c r="N28" s="179">
        <f t="shared" ca="1" si="17"/>
        <v>333210</v>
      </c>
      <c r="Q28" s="855"/>
    </row>
    <row r="29" spans="1:20" ht="9.75" customHeight="1">
      <c r="A29" s="182" t="s">
        <v>435</v>
      </c>
      <c r="B29" s="879">
        <f ca="1">IF(B4="","",IF(B6="","",IF($D$1-YEAR('2025'!$I$1)&gt;0,"",IF(AND($D$1-YEAR('2025'!$I$1)=0,B3-MONTH('2025'!$I$1)&gt;=1),"",'2026'!M29))))</f>
        <v>344850</v>
      </c>
      <c r="C29" s="179">
        <f ca="1">IF(C4="","",IF(C6="","",IF($D$1-YEAR('2025'!$I$1)&gt;0,"",IF(AND($D$1-YEAR('2025'!$I$1)=0,C3-MONTH('2025'!$I$1)&gt;=1),"",B29))))</f>
        <v>344850</v>
      </c>
      <c r="D29" s="179">
        <f ca="1">IF(D4="","",IF(D6="","",IF($D$1-YEAR('2025'!$I$1)&gt;0,"",IF(AND($D$1-YEAR('2025'!$I$1)=0,D3-MONTH('2025'!$I$1)&gt;=1),"",C29))))</f>
        <v>344850</v>
      </c>
      <c r="E29" s="179">
        <f ca="1">IF(E4="","",IF(E6="","",IF($D$1-YEAR('2025'!$I$1)&gt;0,"",IF(AND($D$1-YEAR('2025'!$I$1)=0,E3-MONTH('2025'!$I$1)&gt;=1),"",D29))))</f>
        <v>344850</v>
      </c>
      <c r="F29" s="879">
        <f ca="1">IF(F4="","",IF(F$6="","",IF($D$1-YEAR('2025'!$I$1)&gt;0,"",IF(AND($D$1-YEAR('2025'!$I$1)=0,F3-MONTH('2025'!$I$1)&gt;=1),"",VLOOKUP(F$4,집계표!$AK$5:$HA$47,$N$1*3+$N$1-1+4)))))</f>
        <v>369030</v>
      </c>
      <c r="G29" s="179">
        <f ca="1">IF(G6="",0,IF($D$1-YEAR('2025'!$I$1)&gt;0,"",IF(AND($D$1-YEAR('2025'!$I$1)=0,G3-MONTH('2025'!$I$1)&gt;=1),"",F29)))</f>
        <v>369030</v>
      </c>
      <c r="H29" s="179">
        <f ca="1">IF(H6="",0,IF($D$1-YEAR('2025'!$I$1)&gt;0,"",IF(AND($D$1-YEAR('2025'!$I$1)=0,H3-MONTH('2025'!$I$1)&gt;=1),"",G29)))</f>
        <v>369030</v>
      </c>
      <c r="I29" s="179">
        <f ca="1">IF(I6="",0,IF($D$1-YEAR('2025'!$I$1)&gt;0,"",IF(AND($D$1-YEAR('2025'!$I$1)=0,I3-MONTH('2025'!$I$1)&gt;=1),"",H29)))</f>
        <v>369030</v>
      </c>
      <c r="J29" s="179">
        <f ca="1">IF(J6="",0,IF($D$1-YEAR('2025'!$I$1)&gt;0,"",IF(AND($D$1-YEAR('2025'!$I$1)=0,J3-MONTH('2025'!$I$1)&gt;=1),"",I29)))</f>
        <v>369030</v>
      </c>
      <c r="K29" s="179">
        <f ca="1">IF(K6="",0,IF($D$1-YEAR('2025'!$I$1)&gt;0,"",IF(AND($D$1-YEAR('2025'!$I$1)=0,K3-MONTH('2025'!$I$1)&gt;=1),"",J29)))</f>
        <v>369030</v>
      </c>
      <c r="L29" s="179">
        <f ca="1">IF(L6="",0,IF($D$1-YEAR('2025'!$I$1)&gt;0,"",IF(AND($D$1-YEAR('2025'!$I$1)=0,L3-MONTH('2025'!$I$1)&gt;=1),"",K29)))</f>
        <v>369030</v>
      </c>
      <c r="M29" s="179">
        <f ca="1">IF(M6="",0,IF($D$1-YEAR('2025'!$I$1)&gt;0,"",IF(AND($D$1-YEAR('2025'!$I$1)=0,M3-MONTH('2025'!$I$1)&gt;=1),"",L29)))</f>
        <v>369030</v>
      </c>
      <c r="N29" s="179">
        <f t="shared" ca="1" si="2"/>
        <v>4331640</v>
      </c>
    </row>
    <row r="30" spans="1:20" ht="9.75" customHeight="1">
      <c r="A30" s="182" t="s">
        <v>58</v>
      </c>
      <c r="B30" s="179">
        <f ca="1">IF(B6="","",'2026'!M30)</f>
        <v>131240</v>
      </c>
      <c r="C30" s="179">
        <f ca="1">IF(C6="","",B30)</f>
        <v>131240</v>
      </c>
      <c r="D30" s="179">
        <f ca="1">IF(D6="","",C30)</f>
        <v>131240</v>
      </c>
      <c r="E30" s="857">
        <f ca="1">IF(E6="","",VLOOKUP(E$4,집계표!$AK$5:$HA$47,$N$1*4))</f>
        <v>144220</v>
      </c>
      <c r="F30" s="179">
        <f ca="1">IF(F6="","",E30)</f>
        <v>144220</v>
      </c>
      <c r="G30" s="179">
        <f t="shared" ref="G30:M30" ca="1" si="20">IF(G6="","",F30)</f>
        <v>144220</v>
      </c>
      <c r="H30" s="179">
        <f t="shared" ca="1" si="20"/>
        <v>144220</v>
      </c>
      <c r="I30" s="179">
        <f t="shared" ca="1" si="20"/>
        <v>144220</v>
      </c>
      <c r="J30" s="179">
        <f t="shared" ca="1" si="20"/>
        <v>144220</v>
      </c>
      <c r="K30" s="179">
        <f t="shared" ca="1" si="20"/>
        <v>144220</v>
      </c>
      <c r="L30" s="179">
        <f t="shared" ca="1" si="20"/>
        <v>144220</v>
      </c>
      <c r="M30" s="179">
        <f t="shared" ca="1" si="20"/>
        <v>144220</v>
      </c>
      <c r="N30" s="179">
        <f t="shared" ca="1" si="2"/>
        <v>1691700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13450</v>
      </c>
      <c r="C31" s="179">
        <f t="shared" ca="1" si="21"/>
        <v>13450</v>
      </c>
      <c r="D31" s="179">
        <f t="shared" ca="1" si="21"/>
        <v>13450</v>
      </c>
      <c r="E31" s="179">
        <f t="shared" ca="1" si="21"/>
        <v>14780</v>
      </c>
      <c r="F31" s="179">
        <f t="shared" ca="1" si="21"/>
        <v>14780</v>
      </c>
      <c r="G31" s="179">
        <f t="shared" ca="1" si="21"/>
        <v>14780</v>
      </c>
      <c r="H31" s="179">
        <f t="shared" ca="1" si="21"/>
        <v>14780</v>
      </c>
      <c r="I31" s="179">
        <f t="shared" ca="1" si="21"/>
        <v>14780</v>
      </c>
      <c r="J31" s="179">
        <f ca="1">IF(J$6="","",ROUND(IF(J4="","",J30*10.25%),-1))</f>
        <v>14780</v>
      </c>
      <c r="K31" s="179">
        <f t="shared" ref="K31:M31" ca="1" si="22">IF(K$6="","",ROUND(IF(K4="","",K30*10.25%),-1))</f>
        <v>14780</v>
      </c>
      <c r="L31" s="179">
        <f t="shared" ca="1" si="22"/>
        <v>14780</v>
      </c>
      <c r="M31" s="179">
        <f t="shared" ca="1" si="22"/>
        <v>14780</v>
      </c>
      <c r="N31" s="179">
        <f t="shared" ca="1" si="2"/>
        <v>173370</v>
      </c>
    </row>
    <row r="32" spans="1:20" ht="9.75" customHeight="1">
      <c r="A32" s="597" t="str">
        <f>'2026'!A32</f>
        <v>교직원공제비</v>
      </c>
      <c r="B32" s="621">
        <f ca="1">IF(B$6="","",'2026'!B32)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179">
        <f t="shared" ca="1" si="2"/>
        <v>0</v>
      </c>
    </row>
    <row r="33" spans="1:14" ht="9.75" customHeight="1">
      <c r="A33" s="597" t="str">
        <f>'2026'!A33</f>
        <v>급식비</v>
      </c>
      <c r="B33" s="621">
        <f ca="1">IF(B$6="","",'2026'!B33)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179">
        <f t="shared" ca="1" si="2"/>
        <v>0</v>
      </c>
    </row>
    <row r="34" spans="1:14" ht="9.75" customHeight="1">
      <c r="A34" s="597" t="s">
        <v>234</v>
      </c>
      <c r="B34" s="598">
        <f ca="1">IF(B$6="",0,'2026'!M34)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179">
        <f t="shared" ca="1" si="2"/>
        <v>0</v>
      </c>
    </row>
    <row r="35" spans="1:14" ht="8.25" customHeight="1">
      <c r="A35" s="182" t="s">
        <v>311</v>
      </c>
      <c r="B35" s="179">
        <v>0</v>
      </c>
      <c r="C35" s="179">
        <v>0</v>
      </c>
      <c r="D35" s="179">
        <v>0</v>
      </c>
      <c r="E35" s="179">
        <v>0</v>
      </c>
      <c r="F35" s="179">
        <v>0</v>
      </c>
      <c r="G35" s="179">
        <v>0</v>
      </c>
      <c r="H35" s="179">
        <v>0</v>
      </c>
      <c r="I35" s="179">
        <v>0</v>
      </c>
      <c r="J35" s="179">
        <v>0</v>
      </c>
      <c r="K35" s="179">
        <v>0</v>
      </c>
      <c r="L35" s="179">
        <v>0</v>
      </c>
      <c r="M35" s="179">
        <v>0</v>
      </c>
      <c r="N35" s="179">
        <f t="shared" si="2"/>
        <v>0</v>
      </c>
    </row>
    <row r="36" spans="1:14" ht="8.25" customHeight="1">
      <c r="A36" s="182" t="s">
        <v>223</v>
      </c>
      <c r="B36" s="179">
        <v>0</v>
      </c>
      <c r="C36" s="179">
        <v>0</v>
      </c>
      <c r="D36" s="179">
        <v>0</v>
      </c>
      <c r="E36" s="179">
        <v>0</v>
      </c>
      <c r="F36" s="179">
        <v>0</v>
      </c>
      <c r="G36" s="179">
        <v>0</v>
      </c>
      <c r="H36" s="179">
        <v>0</v>
      </c>
      <c r="I36" s="179">
        <v>0</v>
      </c>
      <c r="J36" s="179">
        <v>0</v>
      </c>
      <c r="K36" s="179">
        <v>0</v>
      </c>
      <c r="L36" s="179">
        <v>0</v>
      </c>
      <c r="M36" s="179">
        <v>0</v>
      </c>
      <c r="N36" s="179">
        <f t="shared" si="2"/>
        <v>0</v>
      </c>
    </row>
    <row r="37" spans="1:14" ht="8.25" customHeight="1">
      <c r="A37" s="182" t="s">
        <v>238</v>
      </c>
      <c r="B37" s="179">
        <v>0</v>
      </c>
      <c r="C37" s="179">
        <v>0</v>
      </c>
      <c r="D37" s="179">
        <v>0</v>
      </c>
      <c r="E37" s="179">
        <v>0</v>
      </c>
      <c r="F37" s="179">
        <v>0</v>
      </c>
      <c r="G37" s="179">
        <v>0</v>
      </c>
      <c r="H37" s="179">
        <v>0</v>
      </c>
      <c r="I37" s="179">
        <v>0</v>
      </c>
      <c r="J37" s="179">
        <v>0</v>
      </c>
      <c r="K37" s="179">
        <v>0</v>
      </c>
      <c r="L37" s="179">
        <v>0</v>
      </c>
      <c r="M37" s="179">
        <v>0</v>
      </c>
      <c r="N37" s="179">
        <f t="shared" si="2"/>
        <v>0</v>
      </c>
    </row>
    <row r="38" spans="1:14" ht="8.25" customHeight="1">
      <c r="A38" s="182" t="s">
        <v>218</v>
      </c>
      <c r="B38" s="179">
        <f ca="1">IF(B$6="",0,'2026'!M38)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179">
        <f t="shared" ca="1" si="2"/>
        <v>3607680</v>
      </c>
    </row>
    <row r="39" spans="1:14" ht="9.75" customHeight="1">
      <c r="A39" s="182" t="s">
        <v>226</v>
      </c>
      <c r="B39" s="179">
        <f ca="1">IF(B$6="",0,'2026'!M39)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179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1034170</v>
      </c>
      <c r="C40" s="216">
        <f t="shared" ca="1" si="28"/>
        <v>1037080</v>
      </c>
      <c r="D40" s="216">
        <f t="shared" ca="1" si="28"/>
        <v>1039990</v>
      </c>
      <c r="E40" s="216">
        <f t="shared" ca="1" si="28"/>
        <v>1144480</v>
      </c>
      <c r="F40" s="216">
        <f t="shared" ca="1" si="28"/>
        <v>1171560</v>
      </c>
      <c r="G40" s="216">
        <f t="shared" ca="1" si="28"/>
        <v>1174470</v>
      </c>
      <c r="H40" s="216">
        <f t="shared" ca="1" si="28"/>
        <v>1177380</v>
      </c>
      <c r="I40" s="216">
        <f t="shared" ca="1" si="28"/>
        <v>1180290</v>
      </c>
      <c r="J40" s="216">
        <f ca="1">IF(J26="","",SUM(J27:J39))</f>
        <v>1183200</v>
      </c>
      <c r="K40" s="216">
        <f t="shared" ref="K40:M40" ca="1" si="29">IF(K26="","",SUM(K27:K39))</f>
        <v>1186110</v>
      </c>
      <c r="L40" s="216">
        <f t="shared" ca="1" si="29"/>
        <v>1189020</v>
      </c>
      <c r="M40" s="216">
        <f t="shared" ca="1" si="29"/>
        <v>1191930</v>
      </c>
      <c r="N40" s="216">
        <f ca="1">SUM(B40:M40)</f>
        <v>13709680</v>
      </c>
    </row>
    <row r="41" spans="1:14" ht="9.75" customHeight="1">
      <c r="A41" s="183" t="s">
        <v>79</v>
      </c>
      <c r="B41" s="184">
        <f ca="1">ROUND((B26-B40),-1)</f>
        <v>3097430</v>
      </c>
      <c r="C41" s="184">
        <f t="shared" ref="C41:M41" ca="1" si="30">ROUND((C26-C40),-1)</f>
        <v>4231720</v>
      </c>
      <c r="D41" s="184">
        <f t="shared" ca="1" si="30"/>
        <v>7247120</v>
      </c>
      <c r="E41" s="184">
        <f t="shared" ca="1" si="30"/>
        <v>2676850</v>
      </c>
      <c r="F41" s="184">
        <f t="shared" ca="1" si="30"/>
        <v>2649770</v>
      </c>
      <c r="G41" s="184">
        <f t="shared" ca="1" si="30"/>
        <v>2646860</v>
      </c>
      <c r="H41" s="184">
        <f t="shared" ca="1" si="30"/>
        <v>3384420</v>
      </c>
      <c r="I41" s="184">
        <f t="shared" ca="1" si="30"/>
        <v>2641040</v>
      </c>
      <c r="J41" s="184">
        <f t="shared" ca="1" si="30"/>
        <v>4374940</v>
      </c>
      <c r="K41" s="184">
        <f t="shared" ca="1" si="30"/>
        <v>2635220</v>
      </c>
      <c r="L41" s="184">
        <f t="shared" ca="1" si="30"/>
        <v>2632310</v>
      </c>
      <c r="M41" s="184">
        <f t="shared" ca="1" si="30"/>
        <v>2763830</v>
      </c>
      <c r="N41" s="184">
        <f ca="1">SUM(B41:M41)</f>
        <v>40981510</v>
      </c>
    </row>
    <row r="42" spans="1:14" ht="9.75" customHeight="1">
      <c r="A42" s="204" t="str">
        <f>'2026'!A42</f>
        <v>12)지출내용입력1</v>
      </c>
      <c r="B42" s="179">
        <f>'2026'!M42</f>
        <v>100</v>
      </c>
      <c r="C42" s="179">
        <f>B42</f>
        <v>100</v>
      </c>
      <c r="D42" s="179">
        <f t="shared" ref="D42:M42" si="31">C42</f>
        <v>100</v>
      </c>
      <c r="E42" s="179">
        <f t="shared" si="31"/>
        <v>100</v>
      </c>
      <c r="F42" s="179">
        <f t="shared" si="31"/>
        <v>100</v>
      </c>
      <c r="G42" s="179">
        <f t="shared" si="31"/>
        <v>100</v>
      </c>
      <c r="H42" s="179">
        <f t="shared" si="31"/>
        <v>100</v>
      </c>
      <c r="I42" s="179">
        <f t="shared" si="31"/>
        <v>100</v>
      </c>
      <c r="J42" s="179">
        <f t="shared" si="31"/>
        <v>100</v>
      </c>
      <c r="K42" s="179">
        <f t="shared" si="31"/>
        <v>100</v>
      </c>
      <c r="L42" s="179">
        <f t="shared" si="31"/>
        <v>100</v>
      </c>
      <c r="M42" s="179">
        <f t="shared" si="31"/>
        <v>100</v>
      </c>
      <c r="N42" s="179">
        <f t="shared" si="2"/>
        <v>1200</v>
      </c>
    </row>
    <row r="43" spans="1:14" ht="9.75" customHeight="1">
      <c r="A43" s="204" t="str">
        <f>'2026'!A43</f>
        <v>지출내용입력2</v>
      </c>
      <c r="B43" s="179">
        <f>'2026'!M43</f>
        <v>0</v>
      </c>
      <c r="C43" s="179">
        <f t="shared" ref="C43:M52" si="32">B43</f>
        <v>0</v>
      </c>
      <c r="D43" s="179">
        <f t="shared" si="32"/>
        <v>0</v>
      </c>
      <c r="E43" s="179">
        <f t="shared" si="32"/>
        <v>0</v>
      </c>
      <c r="F43" s="179">
        <f t="shared" si="32"/>
        <v>0</v>
      </c>
      <c r="G43" s="179">
        <f t="shared" si="32"/>
        <v>0</v>
      </c>
      <c r="H43" s="179">
        <f t="shared" si="32"/>
        <v>0</v>
      </c>
      <c r="I43" s="179">
        <f t="shared" si="32"/>
        <v>0</v>
      </c>
      <c r="J43" s="179">
        <f t="shared" si="32"/>
        <v>0</v>
      </c>
      <c r="K43" s="179">
        <f t="shared" si="32"/>
        <v>0</v>
      </c>
      <c r="L43" s="179">
        <f t="shared" si="32"/>
        <v>0</v>
      </c>
      <c r="M43" s="179">
        <f t="shared" si="32"/>
        <v>0</v>
      </c>
      <c r="N43" s="179">
        <f t="shared" si="2"/>
        <v>0</v>
      </c>
    </row>
    <row r="44" spans="1:14" ht="9.75" customHeight="1">
      <c r="A44" s="204" t="str">
        <f>'2026'!A44</f>
        <v>지출내용입력3</v>
      </c>
      <c r="B44" s="179">
        <f>'2026'!M44</f>
        <v>0</v>
      </c>
      <c r="C44" s="179">
        <f t="shared" si="32"/>
        <v>0</v>
      </c>
      <c r="D44" s="179">
        <f t="shared" si="32"/>
        <v>0</v>
      </c>
      <c r="E44" s="179">
        <f t="shared" si="32"/>
        <v>0</v>
      </c>
      <c r="F44" s="179">
        <f t="shared" si="32"/>
        <v>0</v>
      </c>
      <c r="G44" s="179">
        <f t="shared" si="32"/>
        <v>0</v>
      </c>
      <c r="H44" s="179">
        <f t="shared" si="32"/>
        <v>0</v>
      </c>
      <c r="I44" s="179">
        <f t="shared" si="32"/>
        <v>0</v>
      </c>
      <c r="J44" s="179">
        <f t="shared" si="32"/>
        <v>0</v>
      </c>
      <c r="K44" s="179">
        <f t="shared" si="32"/>
        <v>0</v>
      </c>
      <c r="L44" s="179">
        <f t="shared" si="32"/>
        <v>0</v>
      </c>
      <c r="M44" s="179">
        <f t="shared" si="32"/>
        <v>0</v>
      </c>
      <c r="N44" s="179">
        <f t="shared" si="2"/>
        <v>0</v>
      </c>
    </row>
    <row r="45" spans="1:14" ht="9.75" customHeight="1">
      <c r="A45" s="204" t="str">
        <f>'2026'!A45</f>
        <v>지출내용입력4</v>
      </c>
      <c r="B45" s="179">
        <f>'2026'!M45</f>
        <v>0</v>
      </c>
      <c r="C45" s="179">
        <f t="shared" si="32"/>
        <v>0</v>
      </c>
      <c r="D45" s="179">
        <f t="shared" si="32"/>
        <v>0</v>
      </c>
      <c r="E45" s="179">
        <f t="shared" si="32"/>
        <v>0</v>
      </c>
      <c r="F45" s="179">
        <f t="shared" si="32"/>
        <v>0</v>
      </c>
      <c r="G45" s="179">
        <f t="shared" si="32"/>
        <v>0</v>
      </c>
      <c r="H45" s="179">
        <f t="shared" si="32"/>
        <v>0</v>
      </c>
      <c r="I45" s="179">
        <f t="shared" si="32"/>
        <v>0</v>
      </c>
      <c r="J45" s="179">
        <f t="shared" si="32"/>
        <v>0</v>
      </c>
      <c r="K45" s="179">
        <f t="shared" si="32"/>
        <v>0</v>
      </c>
      <c r="L45" s="179">
        <f t="shared" si="32"/>
        <v>0</v>
      </c>
      <c r="M45" s="179">
        <f t="shared" si="32"/>
        <v>0</v>
      </c>
      <c r="N45" s="179">
        <f t="shared" si="2"/>
        <v>0</v>
      </c>
    </row>
    <row r="46" spans="1:14" ht="9.75" customHeight="1">
      <c r="A46" s="204" t="str">
        <f>'2026'!A46</f>
        <v>지출내용입력5</v>
      </c>
      <c r="B46" s="179">
        <f>'2026'!M46</f>
        <v>0</v>
      </c>
      <c r="C46" s="179">
        <f t="shared" ref="C46:C50" si="33">B46</f>
        <v>0</v>
      </c>
      <c r="D46" s="179">
        <f t="shared" ref="D46:D50" si="34">C46</f>
        <v>0</v>
      </c>
      <c r="E46" s="179">
        <f t="shared" ref="E46:E50" si="35">D46</f>
        <v>0</v>
      </c>
      <c r="F46" s="179">
        <f t="shared" ref="F46:F50" si="36">E46</f>
        <v>0</v>
      </c>
      <c r="G46" s="179">
        <f t="shared" ref="G46:G50" si="37">F46</f>
        <v>0</v>
      </c>
      <c r="H46" s="179">
        <f t="shared" ref="H46:H50" si="38">G46</f>
        <v>0</v>
      </c>
      <c r="I46" s="179">
        <f t="shared" ref="I46:I50" si="39">H46</f>
        <v>0</v>
      </c>
      <c r="J46" s="179">
        <f t="shared" ref="J46:J50" si="40">I46</f>
        <v>0</v>
      </c>
      <c r="K46" s="179">
        <f t="shared" ref="K46:K50" si="41">J46</f>
        <v>0</v>
      </c>
      <c r="L46" s="179">
        <f t="shared" ref="L46:L50" si="42">K46</f>
        <v>0</v>
      </c>
      <c r="M46" s="179">
        <f t="shared" ref="M46:M50" si="43">L46</f>
        <v>0</v>
      </c>
      <c r="N46" s="179">
        <f t="shared" ref="N46:N50" si="44">SUM(B46:M46)</f>
        <v>0</v>
      </c>
    </row>
    <row r="47" spans="1:14" ht="9.75" customHeight="1">
      <c r="A47" s="204" t="str">
        <f>'2026'!A47</f>
        <v>지출내용입력6</v>
      </c>
      <c r="B47" s="179">
        <f>'2026'!M47</f>
        <v>0</v>
      </c>
      <c r="C47" s="179">
        <f t="shared" si="33"/>
        <v>0</v>
      </c>
      <c r="D47" s="179">
        <f t="shared" si="34"/>
        <v>0</v>
      </c>
      <c r="E47" s="179">
        <f t="shared" si="35"/>
        <v>0</v>
      </c>
      <c r="F47" s="179">
        <f t="shared" si="36"/>
        <v>0</v>
      </c>
      <c r="G47" s="179">
        <f t="shared" si="37"/>
        <v>0</v>
      </c>
      <c r="H47" s="179">
        <f t="shared" si="38"/>
        <v>0</v>
      </c>
      <c r="I47" s="179">
        <f t="shared" si="39"/>
        <v>0</v>
      </c>
      <c r="J47" s="179">
        <f t="shared" si="40"/>
        <v>0</v>
      </c>
      <c r="K47" s="179">
        <f t="shared" si="41"/>
        <v>0</v>
      </c>
      <c r="L47" s="179">
        <f t="shared" si="42"/>
        <v>0</v>
      </c>
      <c r="M47" s="179">
        <f t="shared" si="43"/>
        <v>0</v>
      </c>
      <c r="N47" s="179">
        <f t="shared" si="44"/>
        <v>0</v>
      </c>
    </row>
    <row r="48" spans="1:14" ht="9.75" customHeight="1">
      <c r="A48" s="204" t="str">
        <f>'2026'!A48</f>
        <v>지출내용입력7</v>
      </c>
      <c r="B48" s="179">
        <f>'2026'!M48</f>
        <v>0</v>
      </c>
      <c r="C48" s="179">
        <f t="shared" si="33"/>
        <v>0</v>
      </c>
      <c r="D48" s="179">
        <f t="shared" si="34"/>
        <v>0</v>
      </c>
      <c r="E48" s="179">
        <f t="shared" si="35"/>
        <v>0</v>
      </c>
      <c r="F48" s="179">
        <f t="shared" si="36"/>
        <v>0</v>
      </c>
      <c r="G48" s="179">
        <f t="shared" si="37"/>
        <v>0</v>
      </c>
      <c r="H48" s="179">
        <f t="shared" si="38"/>
        <v>0</v>
      </c>
      <c r="I48" s="179">
        <f t="shared" si="39"/>
        <v>0</v>
      </c>
      <c r="J48" s="179">
        <f t="shared" si="40"/>
        <v>0</v>
      </c>
      <c r="K48" s="179">
        <f t="shared" si="41"/>
        <v>0</v>
      </c>
      <c r="L48" s="179">
        <f t="shared" si="42"/>
        <v>0</v>
      </c>
      <c r="M48" s="179">
        <f t="shared" si="43"/>
        <v>0</v>
      </c>
      <c r="N48" s="179">
        <f t="shared" si="44"/>
        <v>0</v>
      </c>
    </row>
    <row r="49" spans="1:14" ht="9.75" customHeight="1">
      <c r="A49" s="204" t="str">
        <f>'2026'!A49</f>
        <v>지출내용입력8</v>
      </c>
      <c r="B49" s="179">
        <f>'2026'!M49</f>
        <v>0</v>
      </c>
      <c r="C49" s="179">
        <f t="shared" si="33"/>
        <v>0</v>
      </c>
      <c r="D49" s="179">
        <f t="shared" si="34"/>
        <v>0</v>
      </c>
      <c r="E49" s="179">
        <f t="shared" si="35"/>
        <v>0</v>
      </c>
      <c r="F49" s="179">
        <f t="shared" si="36"/>
        <v>0</v>
      </c>
      <c r="G49" s="179">
        <f t="shared" si="37"/>
        <v>0</v>
      </c>
      <c r="H49" s="179">
        <f t="shared" si="38"/>
        <v>0</v>
      </c>
      <c r="I49" s="179">
        <f t="shared" si="39"/>
        <v>0</v>
      </c>
      <c r="J49" s="179">
        <f t="shared" si="40"/>
        <v>0</v>
      </c>
      <c r="K49" s="179">
        <f t="shared" si="41"/>
        <v>0</v>
      </c>
      <c r="L49" s="179">
        <f t="shared" si="42"/>
        <v>0</v>
      </c>
      <c r="M49" s="179">
        <f t="shared" si="43"/>
        <v>0</v>
      </c>
      <c r="N49" s="179">
        <f t="shared" si="44"/>
        <v>0</v>
      </c>
    </row>
    <row r="50" spans="1:14" ht="9.75" customHeight="1">
      <c r="A50" s="204" t="str">
        <f>'2026'!A50</f>
        <v>지출내용입력9</v>
      </c>
      <c r="B50" s="179">
        <f>'2026'!M50</f>
        <v>0</v>
      </c>
      <c r="C50" s="179">
        <f t="shared" si="33"/>
        <v>0</v>
      </c>
      <c r="D50" s="179">
        <f t="shared" si="34"/>
        <v>0</v>
      </c>
      <c r="E50" s="179">
        <f t="shared" si="35"/>
        <v>0</v>
      </c>
      <c r="F50" s="179">
        <f t="shared" si="36"/>
        <v>0</v>
      </c>
      <c r="G50" s="179">
        <f t="shared" si="37"/>
        <v>0</v>
      </c>
      <c r="H50" s="179">
        <f t="shared" si="38"/>
        <v>0</v>
      </c>
      <c r="I50" s="179">
        <f t="shared" si="39"/>
        <v>0</v>
      </c>
      <c r="J50" s="179">
        <f t="shared" si="40"/>
        <v>0</v>
      </c>
      <c r="K50" s="179">
        <f t="shared" si="41"/>
        <v>0</v>
      </c>
      <c r="L50" s="179">
        <f t="shared" si="42"/>
        <v>0</v>
      </c>
      <c r="M50" s="179">
        <f t="shared" si="43"/>
        <v>0</v>
      </c>
      <c r="N50" s="179">
        <f t="shared" si="44"/>
        <v>0</v>
      </c>
    </row>
    <row r="51" spans="1:14" ht="9.75" customHeight="1">
      <c r="A51" s="204" t="str">
        <f>'2026'!A51</f>
        <v>지출내용입력10</v>
      </c>
      <c r="B51" s="179">
        <f>'2026'!M51</f>
        <v>0</v>
      </c>
      <c r="C51" s="179">
        <f t="shared" si="32"/>
        <v>0</v>
      </c>
      <c r="D51" s="179">
        <f t="shared" si="32"/>
        <v>0</v>
      </c>
      <c r="E51" s="179">
        <f t="shared" si="32"/>
        <v>0</v>
      </c>
      <c r="F51" s="179">
        <f t="shared" si="32"/>
        <v>0</v>
      </c>
      <c r="G51" s="179">
        <f t="shared" si="32"/>
        <v>0</v>
      </c>
      <c r="H51" s="179">
        <f t="shared" si="32"/>
        <v>0</v>
      </c>
      <c r="I51" s="179">
        <f t="shared" si="32"/>
        <v>0</v>
      </c>
      <c r="J51" s="179">
        <f t="shared" si="32"/>
        <v>0</v>
      </c>
      <c r="K51" s="179">
        <f t="shared" si="32"/>
        <v>0</v>
      </c>
      <c r="L51" s="179">
        <f t="shared" si="32"/>
        <v>0</v>
      </c>
      <c r="M51" s="179">
        <f t="shared" si="32"/>
        <v>0</v>
      </c>
      <c r="N51" s="179">
        <f t="shared" si="2"/>
        <v>0</v>
      </c>
    </row>
    <row r="52" spans="1:14" ht="9.75" customHeight="1">
      <c r="A52" s="176" t="s">
        <v>133</v>
      </c>
      <c r="B52" s="179">
        <f>SUM(B42:B51)</f>
        <v>100</v>
      </c>
      <c r="C52" s="179">
        <f t="shared" si="32"/>
        <v>100</v>
      </c>
      <c r="D52" s="179">
        <f t="shared" si="32"/>
        <v>100</v>
      </c>
      <c r="E52" s="179">
        <f t="shared" si="32"/>
        <v>100</v>
      </c>
      <c r="F52" s="179">
        <f t="shared" si="32"/>
        <v>100</v>
      </c>
      <c r="G52" s="179">
        <f t="shared" si="32"/>
        <v>100</v>
      </c>
      <c r="H52" s="179">
        <f t="shared" si="32"/>
        <v>100</v>
      </c>
      <c r="I52" s="179">
        <f t="shared" si="32"/>
        <v>100</v>
      </c>
      <c r="J52" s="179">
        <f t="shared" si="32"/>
        <v>100</v>
      </c>
      <c r="K52" s="179">
        <f t="shared" si="32"/>
        <v>100</v>
      </c>
      <c r="L52" s="179">
        <f t="shared" si="32"/>
        <v>100</v>
      </c>
      <c r="M52" s="179">
        <f t="shared" si="32"/>
        <v>100</v>
      </c>
      <c r="N52" s="179">
        <f t="shared" si="2"/>
        <v>1200</v>
      </c>
    </row>
    <row r="53" spans="1:14" ht="9.75" customHeight="1">
      <c r="A53" s="187" t="s">
        <v>511</v>
      </c>
      <c r="B53" s="188">
        <f t="shared" ref="B53:N53" ca="1" si="45">B41-B52</f>
        <v>3097330</v>
      </c>
      <c r="C53" s="188">
        <f t="shared" ca="1" si="45"/>
        <v>4231620</v>
      </c>
      <c r="D53" s="188">
        <f t="shared" ca="1" si="45"/>
        <v>7247020</v>
      </c>
      <c r="E53" s="188">
        <f t="shared" ca="1" si="45"/>
        <v>2676750</v>
      </c>
      <c r="F53" s="188">
        <f t="shared" ca="1" si="45"/>
        <v>2649670</v>
      </c>
      <c r="G53" s="188">
        <f t="shared" ca="1" si="45"/>
        <v>2646760</v>
      </c>
      <c r="H53" s="188">
        <f t="shared" ca="1" si="45"/>
        <v>3384320</v>
      </c>
      <c r="I53" s="188">
        <f t="shared" ca="1" si="45"/>
        <v>2640940</v>
      </c>
      <c r="J53" s="188">
        <f t="shared" ca="1" si="45"/>
        <v>4374840</v>
      </c>
      <c r="K53" s="188">
        <f t="shared" ca="1" si="45"/>
        <v>2635120</v>
      </c>
      <c r="L53" s="188">
        <f t="shared" ca="1" si="45"/>
        <v>2632210</v>
      </c>
      <c r="M53" s="188">
        <f t="shared" ca="1" si="45"/>
        <v>2763730</v>
      </c>
      <c r="N53" s="188">
        <f t="shared" ca="1" si="45"/>
        <v>40980310</v>
      </c>
    </row>
    <row r="55" spans="1:14" ht="18">
      <c r="A55" s="1232" t="str">
        <f ca="1">D1</f>
        <v>2027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223245.00000000003</v>
      </c>
      <c r="C57" s="688">
        <f ca="1">IF(C6="",0,VLOOKUP(C26-C17-100000,'2015 근로소득 간이세액표'!$C$4:$N$845,1+$M$55)*1.1)</f>
        <v>401643.00000000006</v>
      </c>
      <c r="D57" s="688">
        <f ca="1">IF(D6="",0,VLOOKUP(D26-D17-100000,'2015 근로소득 간이세액표'!$C$4:$N$845,1+$M$55)*1.1)</f>
        <v>1140953</v>
      </c>
      <c r="E57" s="688">
        <f ca="1">IF(E6="",0,VLOOKUP(E26-E17-100000,'2015 근로소득 간이세액표'!$C$4:$N$845,1+$M$55)*1.1)</f>
        <v>177958</v>
      </c>
      <c r="F57" s="688">
        <f ca="1">IF(F6="",0,VLOOKUP(F26-F17-100000,'2015 근로소득 간이세액표'!$C$4:$N$845,1+$M$55)*1.1)</f>
        <v>177958</v>
      </c>
      <c r="G57" s="688">
        <f ca="1">IF(G6="",0,VLOOKUP(G26-G17-100000,'2015 근로소득 간이세액표'!$C$4:$N$845,1+$M$55)*1.1)</f>
        <v>177958</v>
      </c>
      <c r="H57" s="688">
        <f ca="1">IF(H6="",0,VLOOKUP(H26-H17-100000,'2015 근로소득 간이세액표'!$C$4:$N$845,1+$M$55)*1.1)</f>
        <v>293986</v>
      </c>
      <c r="I57" s="688">
        <f ca="1">IF(I6="",0,VLOOKUP(I26-I17-100000,'2015 근로소득 간이세액표'!$C$4:$N$845,1+$M$55)*1.1)</f>
        <v>177958</v>
      </c>
      <c r="J57" s="688">
        <f ca="1">IF(J6="",0,VLOOKUP(J26-J17-100000,'2015 근로소득 간이세액표'!$C$4:$N$845,1+$M$55)*1.1)</f>
        <v>447920.00000000006</v>
      </c>
      <c r="K57" s="688">
        <f ca="1">IF(K6="",0,VLOOKUP(K26-K17-100000,'2015 근로소득 간이세액표'!$C$4:$N$845,1+$M$55)*1.1)</f>
        <v>177958</v>
      </c>
      <c r="L57" s="688">
        <f ca="1">IF(L6="",0,VLOOKUP(L26-L17-100000,'2015 근로소득 간이세액표'!$C$4:$N$845,1+$M$55)*1.1)</f>
        <v>177958</v>
      </c>
      <c r="M57" s="688">
        <f ca="1">IF(M6="",0,VLOOKUP(M26-M17-100000,'2015 근로소득 간이세액표'!$C$4:$N$845,1+$M$55)*1.1)</f>
        <v>199749.00000000003</v>
      </c>
      <c r="N57" s="689">
        <f ca="1">SUM(B57:M57)</f>
        <v>3775244</v>
      </c>
    </row>
    <row r="58" spans="1:14" ht="10" customHeight="1">
      <c r="A58" s="687" t="s">
        <v>295</v>
      </c>
      <c r="B58" s="689">
        <f t="shared" ref="B58:M58" ca="1" si="46">IF(B6="",0,B27+B28)</f>
        <v>223990</v>
      </c>
      <c r="C58" s="689">
        <f t="shared" ca="1" si="46"/>
        <v>226900</v>
      </c>
      <c r="D58" s="689">
        <f t="shared" ca="1" si="46"/>
        <v>229810</v>
      </c>
      <c r="E58" s="689">
        <f t="shared" ca="1" si="46"/>
        <v>319990</v>
      </c>
      <c r="F58" s="689">
        <f t="shared" ca="1" si="46"/>
        <v>322890</v>
      </c>
      <c r="G58" s="689">
        <f t="shared" ca="1" si="46"/>
        <v>325800</v>
      </c>
      <c r="H58" s="689">
        <f t="shared" ca="1" si="46"/>
        <v>328710</v>
      </c>
      <c r="I58" s="689">
        <f t="shared" ca="1" si="46"/>
        <v>331620</v>
      </c>
      <c r="J58" s="689">
        <f t="shared" ca="1" si="46"/>
        <v>334530</v>
      </c>
      <c r="K58" s="689">
        <f t="shared" ca="1" si="46"/>
        <v>337440</v>
      </c>
      <c r="L58" s="689">
        <f t="shared" ca="1" si="46"/>
        <v>340350</v>
      </c>
      <c r="M58" s="689">
        <f t="shared" ca="1" si="46"/>
        <v>343260</v>
      </c>
      <c r="N58" s="689">
        <f ca="1">SUM(B58:M58)</f>
        <v>3665290</v>
      </c>
    </row>
    <row r="59" spans="1:14" ht="10" customHeight="1">
      <c r="A59" s="680" t="s">
        <v>546</v>
      </c>
      <c r="B59" s="684">
        <f ca="1">B57-B58</f>
        <v>-744.9999999999709</v>
      </c>
      <c r="C59" s="684">
        <f t="shared" ref="C59:N59" ca="1" si="47">C57-C58</f>
        <v>174743.00000000006</v>
      </c>
      <c r="D59" s="684">
        <f t="shared" ca="1" si="47"/>
        <v>911143</v>
      </c>
      <c r="E59" s="684">
        <f t="shared" ca="1" si="47"/>
        <v>-142032</v>
      </c>
      <c r="F59" s="684">
        <f t="shared" ca="1" si="47"/>
        <v>-144932</v>
      </c>
      <c r="G59" s="684">
        <f t="shared" ca="1" si="47"/>
        <v>-147842</v>
      </c>
      <c r="H59" s="684">
        <f t="shared" ca="1" si="47"/>
        <v>-34724</v>
      </c>
      <c r="I59" s="684">
        <f t="shared" ca="1" si="47"/>
        <v>-153662</v>
      </c>
      <c r="J59" s="684">
        <f t="shared" ca="1" si="47"/>
        <v>113390.00000000006</v>
      </c>
      <c r="K59" s="684">
        <f t="shared" ca="1" si="47"/>
        <v>-159482</v>
      </c>
      <c r="L59" s="684">
        <f t="shared" ca="1" si="47"/>
        <v>-162392</v>
      </c>
      <c r="M59" s="684">
        <f t="shared" ca="1" si="47"/>
        <v>-143510.99999999997</v>
      </c>
      <c r="N59" s="684">
        <f t="shared" ca="1" si="47"/>
        <v>109954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109954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64"/>
      <c r="K60" s="1264"/>
      <c r="L60" s="1264"/>
      <c r="M60" s="1264"/>
      <c r="N60" s="685"/>
    </row>
  </sheetData>
  <sheetProtection algorithmName="SHA-512" hashValue="E1mNqumrU/Q2q/hz8OVWbEicRf0Crc/CEthmoyBazNVK5C4XwbwIptj/4B+Tvxkz8sKuVIxS/jWQ+dq+Vo2KxQ==" saltValue="EXh8fT2l066MY1Pe/Ok4+w==" spinCount="100000" sheet="1" selectLockedCell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519" priority="8">
      <formula>$E$2="y"</formula>
    </cfRule>
    <cfRule type="expression" dxfId="518" priority="9">
      <formula>$D$2="Y"</formula>
    </cfRule>
    <cfRule type="expression" dxfId="517" priority="10">
      <formula>$F$2="y"</formula>
    </cfRule>
  </conditionalFormatting>
  <conditionalFormatting sqref="B27:M27">
    <cfRule type="expression" dxfId="516" priority="1">
      <formula>$F$2="y"</formula>
    </cfRule>
  </conditionalFormatting>
  <conditionalFormatting sqref="D16">
    <cfRule type="expression" dxfId="515" priority="32">
      <formula>$E$2="y"</formula>
    </cfRule>
    <cfRule type="expression" dxfId="514" priority="33">
      <formula>$E$2="y"</formula>
    </cfRule>
    <cfRule type="expression" dxfId="513" priority="34">
      <formula>$F$2="y"</formula>
    </cfRule>
  </conditionalFormatting>
  <conditionalFormatting sqref="D18">
    <cfRule type="expression" dxfId="512" priority="29">
      <formula>$E$2="y"</formula>
    </cfRule>
    <cfRule type="expression" dxfId="511" priority="30">
      <formula>$E$2="y"</formula>
    </cfRule>
    <cfRule type="expression" dxfId="510" priority="31">
      <formula>$F$2="y"</formula>
    </cfRule>
  </conditionalFormatting>
  <conditionalFormatting sqref="J12:K12">
    <cfRule type="expression" dxfId="509" priority="5">
      <formula>$E$2="y"</formula>
    </cfRule>
    <cfRule type="expression" dxfId="508" priority="6">
      <formula>$D$2="Y"</formula>
    </cfRule>
    <cfRule type="expression" dxfId="507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0835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6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7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41" r:id="rId6" name="Drop Down 9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2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T60"/>
  <sheetViews>
    <sheetView showGridLines="0"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M2" sqref="M2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7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2028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집계표!F119</f>
        <v>2</v>
      </c>
      <c r="M1" s="627">
        <f>집계표!F122</f>
        <v>1</v>
      </c>
      <c r="N1" s="618">
        <v>4</v>
      </c>
    </row>
    <row r="2" spans="1:17" ht="14.25" customHeight="1">
      <c r="A2" s="197"/>
      <c r="B2" s="1255" t="s">
        <v>642</v>
      </c>
      <c r="C2" s="1255"/>
      <c r="D2" s="198">
        <f>M2</f>
        <v>2.5000000000000001E-2</v>
      </c>
      <c r="E2" s="199"/>
      <c r="F2" s="199"/>
      <c r="G2" s="594" t="s">
        <v>68</v>
      </c>
      <c r="H2" s="629" t="str">
        <f>집계표!AO53</f>
        <v>A</v>
      </c>
      <c r="J2" s="199"/>
      <c r="K2" s="1255" t="s">
        <v>419</v>
      </c>
      <c r="L2" s="1255"/>
      <c r="M2" s="1033">
        <f>'퇴직때까지의 총연봉액'!P1</f>
        <v>2.5000000000000001E-2</v>
      </c>
      <c r="N2" s="199"/>
    </row>
    <row r="3" spans="1:17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7" ht="9.75" customHeight="1">
      <c r="A4" s="202" t="s">
        <v>139</v>
      </c>
      <c r="B4" s="356">
        <f>IF('2027'!M4&gt;=50,50,IF(AND('2027'!M4=50,M$3=$N$5),"",IF(B3=$N$5,'2027'!M4+1,'2027'!M4)))</f>
        <v>15</v>
      </c>
      <c r="C4" s="176">
        <f>IF(B4&gt;=50,50,IF(AND(B4=50,C$3=$N$5),50,IF(C$3=$N$5,B4+1,B4)))</f>
        <v>15</v>
      </c>
      <c r="D4" s="176">
        <f t="shared" ref="D4:M4" si="0">IF(C4&gt;=50,50,IF(AND(C4=50,D$3=$N$5),50,IF(D$3=$N$5,C4+1,C4)))</f>
        <v>16</v>
      </c>
      <c r="E4" s="176">
        <f t="shared" si="0"/>
        <v>16</v>
      </c>
      <c r="F4" s="176">
        <f t="shared" si="0"/>
        <v>16</v>
      </c>
      <c r="G4" s="176">
        <f t="shared" si="0"/>
        <v>16</v>
      </c>
      <c r="H4" s="176">
        <f t="shared" si="0"/>
        <v>16</v>
      </c>
      <c r="I4" s="176">
        <f t="shared" si="0"/>
        <v>16</v>
      </c>
      <c r="J4" s="176">
        <f t="shared" si="0"/>
        <v>16</v>
      </c>
      <c r="K4" s="176">
        <f t="shared" si="0"/>
        <v>16</v>
      </c>
      <c r="L4" s="176">
        <f t="shared" si="0"/>
        <v>16</v>
      </c>
      <c r="M4" s="176">
        <f t="shared" si="0"/>
        <v>16</v>
      </c>
      <c r="N4" s="202" t="s">
        <v>124</v>
      </c>
    </row>
    <row r="5" spans="1:17" ht="9.75" customHeight="1">
      <c r="A5" s="202" t="s">
        <v>134</v>
      </c>
      <c r="B5" s="356">
        <f>IF(B$3=$N$5,'2027'!M5+1,'2027'!M5)</f>
        <v>5</v>
      </c>
      <c r="C5" s="176">
        <f>IF(C$3=$N$5,B5+1,B5)</f>
        <v>5</v>
      </c>
      <c r="D5" s="176">
        <f t="shared" ref="D5:M5" si="1">IF(D$3=$N$5,C5+1,C5)</f>
        <v>6</v>
      </c>
      <c r="E5" s="176">
        <f t="shared" si="1"/>
        <v>6</v>
      </c>
      <c r="F5" s="176">
        <f t="shared" si="1"/>
        <v>6</v>
      </c>
      <c r="G5" s="176">
        <f t="shared" si="1"/>
        <v>6</v>
      </c>
      <c r="H5" s="176">
        <f t="shared" si="1"/>
        <v>6</v>
      </c>
      <c r="I5" s="176">
        <f t="shared" si="1"/>
        <v>6</v>
      </c>
      <c r="J5" s="176">
        <f t="shared" si="1"/>
        <v>6</v>
      </c>
      <c r="K5" s="176">
        <f t="shared" si="1"/>
        <v>6</v>
      </c>
      <c r="L5" s="176">
        <f t="shared" si="1"/>
        <v>6</v>
      </c>
      <c r="M5" s="176">
        <f t="shared" si="1"/>
        <v>6</v>
      </c>
      <c r="N5" s="177">
        <f>'2026'!N5</f>
        <v>3</v>
      </c>
    </row>
    <row r="6" spans="1:17" ht="9.75" customHeight="1">
      <c r="A6" s="178" t="s">
        <v>454</v>
      </c>
      <c r="B6" s="211">
        <f ca="1">IF(OR(B4="",B4&lt;7),"",IF($D$1-YEAR($B$1)&gt;0,"",IF(AND($D$1-YEAR($B$1)=0,B3-MONTH($B$1)&gt;=1),"",VLOOKUP(B4,gibon40!$D$4:$AT$47,$N$1,1))))</f>
        <v>3035900</v>
      </c>
      <c r="C6" s="211">
        <f ca="1">IF(OR(C4="",C4&lt;7),"",IF($D$1-YEAR($B$1)&gt;0,"",IF(AND($D$1-YEAR($B$1)=0,C3-MONTH($B$1)&gt;=1),"",VLOOKUP(C4,gibon40!$D$4:$AT$47,$N$1,1))))</f>
        <v>3035900</v>
      </c>
      <c r="D6" s="211">
        <f ca="1">IF(OR(D4="",D4&lt;7),"",IF($D$1-YEAR($B$1)&gt;0,"",IF(AND($D$1-YEAR($B$1)=0,D3-MONTH($B$1)&gt;=1),"",VLOOKUP(D4,gibon40!$D$4:$AT$47,$N$1,1))))</f>
        <v>3158400</v>
      </c>
      <c r="E6" s="211">
        <f ca="1">IF(OR(E4="",E4&lt;7),"",IF($D$1-YEAR($B$1)&gt;0,"",IF(AND($D$1-YEAR($B$1)=0,E3-MONTH($B$1)&gt;=1),"",VLOOKUP(E4,gibon40!$D$4:$AT$47,$N$1,1))))</f>
        <v>3158400</v>
      </c>
      <c r="F6" s="211">
        <f ca="1">IF(OR(F4="",F4&lt;7),"",IF($D$1-YEAR($B$1)&gt;0,"",IF(AND($D$1-YEAR($B$1)=0,F3-MONTH($B$1)&gt;=1),"",VLOOKUP(F4,gibon40!$D$4:$AT$47,$N$1,1))))</f>
        <v>3158400</v>
      </c>
      <c r="G6" s="211">
        <f ca="1">IF(OR(G4="",G4&lt;7),"",IF($D$1-YEAR($B$1)&gt;0,"",IF(AND($D$1-YEAR($B$1)=0,G3-MONTH($B$1)&gt;=1),"",VLOOKUP(G4,gibon40!$D$4:$AT$47,$N$1,1))))</f>
        <v>3158400</v>
      </c>
      <c r="H6" s="211">
        <f ca="1">IF(OR(H4="",H4&lt;7),"",IF($D$1-YEAR($B$1)&gt;0,"",IF(AND($D$1-YEAR($B$1)=0,H3-MONTH($B$1)&gt;=1),"",VLOOKUP(H4,gibon40!$D$4:$AT$47,$N$1,1))))</f>
        <v>3158400</v>
      </c>
      <c r="I6" s="211">
        <f ca="1">IF(OR(I4="",I4&lt;7),"",IF($D$1-YEAR($B$1)&gt;0,"",IF(AND($D$1-YEAR($B$1)=0,I3-MONTH($B$1)&gt;=1),"",VLOOKUP(I4,gibon40!$D$4:$AT$47,$N$1,1))))</f>
        <v>3158400</v>
      </c>
      <c r="J6" s="211">
        <f ca="1">IF(OR(J4="",J4&lt;7),"",IF($D$1-YEAR($B$1)&gt;0,"",IF(AND($D$1-YEAR($B$1)=0,J3-MONTH($B$1)&gt;=1),"",VLOOKUP(J4,gibon40!$D$4:$AT$47,$N$1,1))))</f>
        <v>3158400</v>
      </c>
      <c r="K6" s="211">
        <f ca="1">IF(OR(K4="",K4&lt;7),"",IF($D$1-YEAR($B$1)&gt;0,"",IF(AND($D$1-YEAR($B$1)=0,K3-MONTH($B$1)&gt;=1),"",VLOOKUP(K4,gibon40!$D$4:$AT$47,$N$1,1))))</f>
        <v>3158400</v>
      </c>
      <c r="L6" s="211">
        <f ca="1">IF(OR(L4="",L4&lt;7),"",IF($D$1-YEAR($B$1)&gt;0,"",IF(AND($D$1-YEAR($B$1)=0,L3-MONTH($B$1)&gt;=1),"",VLOOKUP(L4,gibon40!$D$4:$AT$47,$N$1,1))))</f>
        <v>3158400</v>
      </c>
      <c r="M6" s="211">
        <f ca="1">IF(OR(M4="",M4&lt;7),"",IF($D$1-YEAR($B$1)&gt;0,"",IF(AND($D$1-YEAR($B$1)=0,M3-MONTH($B$1)&gt;=1),"",VLOOKUP(M4,gibon40!$D$4:$AT$47,$N$1,1))))</f>
        <v>3158400</v>
      </c>
      <c r="N6" s="179">
        <f t="shared" ref="N6:N52" ca="1" si="2">SUM(B6:M6)</f>
        <v>37655800</v>
      </c>
    </row>
    <row r="7" spans="1:17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758970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947520</v>
      </c>
      <c r="I7" s="180"/>
      <c r="J7" s="180"/>
      <c r="K7" s="180"/>
      <c r="L7" s="180"/>
      <c r="M7" s="180"/>
      <c r="N7" s="179">
        <f t="shared" ca="1" si="2"/>
        <v>1706490</v>
      </c>
    </row>
    <row r="8" spans="1:17" ht="9.75" customHeight="1">
      <c r="A8" s="178" t="s">
        <v>80</v>
      </c>
      <c r="B8" s="179">
        <f ca="1">IF(B4="","",IF(B6="","",IF(B5&gt;=20,100000,IF(B5&gt;=15,80000,IF(B5&gt;=10,60000,IF(B5&gt;=5,50000,30000))))))</f>
        <v>50000</v>
      </c>
      <c r="C8" s="179">
        <f t="shared" ref="C8:M8" ca="1" si="3">IF(C4="","",IF(C6="","",IF(C5&gt;=20,100000,IF(C5&gt;=15,80000,IF(C5&gt;=10,60000,IF(C5&gt;=5,50000,30000))))))</f>
        <v>50000</v>
      </c>
      <c r="D8" s="179">
        <f t="shared" ca="1" si="3"/>
        <v>50000</v>
      </c>
      <c r="E8" s="179">
        <f t="shared" ca="1" si="3"/>
        <v>50000</v>
      </c>
      <c r="F8" s="179">
        <f t="shared" ca="1" si="3"/>
        <v>50000</v>
      </c>
      <c r="G8" s="179">
        <f t="shared" ca="1" si="3"/>
        <v>50000</v>
      </c>
      <c r="H8" s="179">
        <f t="shared" ca="1" si="3"/>
        <v>50000</v>
      </c>
      <c r="I8" s="179">
        <f t="shared" ca="1" si="3"/>
        <v>50000</v>
      </c>
      <c r="J8" s="179">
        <f t="shared" ca="1" si="3"/>
        <v>50000</v>
      </c>
      <c r="K8" s="179">
        <f t="shared" ca="1" si="3"/>
        <v>50000</v>
      </c>
      <c r="L8" s="179">
        <f t="shared" ca="1" si="3"/>
        <v>50000</v>
      </c>
      <c r="M8" s="179">
        <f t="shared" ca="1" si="3"/>
        <v>50000</v>
      </c>
      <c r="N8" s="179">
        <f t="shared" ca="1" si="2"/>
        <v>600000</v>
      </c>
      <c r="P8" s="676"/>
      <c r="Q8" s="676"/>
    </row>
    <row r="9" spans="1:17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179">
        <f t="shared" ca="1" si="2"/>
        <v>0</v>
      </c>
    </row>
    <row r="10" spans="1:17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4669230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179">
        <f t="shared" ca="1" si="2"/>
        <v>4669230</v>
      </c>
    </row>
    <row r="11" spans="1:17" ht="9.75" customHeight="1">
      <c r="A11" s="178" t="s">
        <v>63</v>
      </c>
      <c r="B11" s="179">
        <f ca="1">IF(B$6="",0,'2027'!M11)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179">
        <f t="shared" ca="1" si="2"/>
        <v>1680000</v>
      </c>
    </row>
    <row r="12" spans="1:17" ht="9.75" customHeight="1">
      <c r="A12" s="178" t="s">
        <v>69</v>
      </c>
      <c r="B12" s="180">
        <f ca="1">IF(B6="","",IF(VLOOKUP($D$1+0,집계표!$Y$49:$AA$108,2)=B3,B6*0.6,0))</f>
        <v>1821540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1895040</v>
      </c>
      <c r="L12" s="179"/>
      <c r="M12" s="179"/>
      <c r="N12" s="179">
        <f t="shared" ca="1" si="2"/>
        <v>3716580</v>
      </c>
      <c r="P12" s="200"/>
      <c r="Q12" s="200"/>
    </row>
    <row r="13" spans="1:17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179">
        <f t="shared" ca="1" si="2"/>
        <v>3000000</v>
      </c>
    </row>
    <row r="14" spans="1:17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179">
        <f t="shared" ca="1" si="2"/>
        <v>2400000</v>
      </c>
    </row>
    <row r="15" spans="1:17" ht="9.75" customHeight="1">
      <c r="A15" s="606" t="str">
        <f>IF(L1=4,"교장관리수당",IF(OR(M1=1,M1=2,L1=3),"부장수당",""))</f>
        <v>부장수당</v>
      </c>
      <c r="B15" s="610">
        <f ca="1">IF(B$6="",0,'2027'!M15)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179">
        <f t="shared" ca="1" si="2"/>
        <v>0</v>
      </c>
    </row>
    <row r="16" spans="1:17" ht="9.75" customHeight="1">
      <c r="A16" s="606" t="s">
        <v>331</v>
      </c>
      <c r="B16" s="610">
        <f ca="1">IF(B$6="",0,'2027'!M16)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179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179">
        <f t="shared" ca="1" si="2"/>
        <v>720000</v>
      </c>
    </row>
    <row r="18" spans="1:20" ht="9.75" customHeight="1">
      <c r="A18" s="606" t="s">
        <v>286</v>
      </c>
      <c r="B18" s="610">
        <f ca="1">IF(B$6="",0,'2027'!M18)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179">
        <f t="shared" ca="1" si="2"/>
        <v>0</v>
      </c>
    </row>
    <row r="19" spans="1:20" ht="9.75" customHeight="1">
      <c r="A19" s="606" t="s">
        <v>283</v>
      </c>
      <c r="B19" s="610">
        <f ca="1">IF(B$6="",0,'2027'!M19)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179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179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45930</v>
      </c>
      <c r="E21" s="179">
        <f ca="1">IF(D4="","",IF(E$6="","",ROUND(VLOOKUP(E4,gibon40!$D$51:$AV$100,$N$1+1)*10*15/15,-1)))</f>
        <v>137790</v>
      </c>
      <c r="F21" s="179">
        <f ca="1">IF(E4="","",IF(F$6="","",ROUND(VLOOKUP(F4,gibon40!$D$51:$AV$100,$N$1+1)*10*15/15,-1)))</f>
        <v>137790</v>
      </c>
      <c r="G21" s="179">
        <f ca="1">IF(F4="","",IF(G$6="","",ROUND(VLOOKUP(G4,gibon40!$D$51:$AV$100,$N$1+1)*10*15/15,-1)))</f>
        <v>137790</v>
      </c>
      <c r="H21" s="179">
        <f ca="1">IF(G4="","",IF(H$6="","",ROUND(VLOOKUP(H4,gibon40!$D$51:$AV$100,$N$1+1)*10*15/15,-1)))</f>
        <v>137790</v>
      </c>
      <c r="I21" s="179">
        <f ca="1">IF(H4="","",IF(I$6="","",ROUND(VLOOKUP(I4,gibon40!$D$51:$AV$100,$N$1+1)*10*15/15,-1)))</f>
        <v>137790</v>
      </c>
      <c r="J21" s="179">
        <f ca="1">IF(I4="","",IF(J$6="","",ROUND(VLOOKUP(J4,gibon40!$D$51:$AV$100,$N$1+1)*7*15/15,-1)))</f>
        <v>96450</v>
      </c>
      <c r="K21" s="179">
        <f ca="1">IF(J4="","",IF(K$6="","",ROUND(VLOOKUP(K4,gibon40!$D$51:$AV$100,$N$1+1)*10*15/15,-1)))</f>
        <v>137790</v>
      </c>
      <c r="L21" s="179">
        <f ca="1">IF(K4="","",IF(L$6="","",ROUND(VLOOKUP(L4,gibon40!$D$51:$AV$100,$N$1+1)*10*15/15,-1)))</f>
        <v>137790</v>
      </c>
      <c r="M21" s="179">
        <f ca="1">IF(L4="","",IF(M$6="","",ROUND(VLOOKUP(M4,gibon40!$D$51:$AV$100,$N$1+1)*10*15/15*2,-1)))</f>
        <v>275580</v>
      </c>
      <c r="N21" s="179">
        <f t="shared" ca="1" si="2"/>
        <v>1382490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IF(B$6="",0,'2027'!M23)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179">
        <f t="shared" ca="1" si="2"/>
        <v>0</v>
      </c>
    </row>
    <row r="24" spans="1:20" ht="9.75" customHeight="1">
      <c r="A24" s="606" t="s">
        <v>97</v>
      </c>
      <c r="B24" s="610">
        <f ca="1">IF(B$6="",0,'2027'!M24)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179">
        <f t="shared" ca="1" si="2"/>
        <v>0</v>
      </c>
      <c r="T24" s="203"/>
    </row>
    <row r="25" spans="1:20" ht="9.75" customHeight="1">
      <c r="A25" s="606" t="str">
        <f>'2027'!A25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179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6341410</v>
      </c>
      <c r="C26" s="213">
        <f t="shared" ref="C26:M26" ca="1" si="16">ROUNDDOWN(SUM(C6:C25),-1)</f>
        <v>3760900</v>
      </c>
      <c r="D26" s="213">
        <f t="shared" ca="1" si="16"/>
        <v>8598560</v>
      </c>
      <c r="E26" s="213">
        <f t="shared" ca="1" si="16"/>
        <v>4021190</v>
      </c>
      <c r="F26" s="213">
        <f t="shared" ca="1" si="16"/>
        <v>4021190</v>
      </c>
      <c r="G26" s="213">
        <f t="shared" ca="1" si="16"/>
        <v>4021190</v>
      </c>
      <c r="H26" s="213">
        <f t="shared" ca="1" si="16"/>
        <v>4968710</v>
      </c>
      <c r="I26" s="213">
        <f t="shared" ca="1" si="16"/>
        <v>4021190</v>
      </c>
      <c r="J26" s="213">
        <f t="shared" ca="1" si="16"/>
        <v>3979850</v>
      </c>
      <c r="K26" s="213">
        <f t="shared" ca="1" si="16"/>
        <v>5916230</v>
      </c>
      <c r="L26" s="213">
        <f t="shared" ca="1" si="16"/>
        <v>4021190</v>
      </c>
      <c r="M26" s="213">
        <f t="shared" ca="1" si="16"/>
        <v>4158980</v>
      </c>
      <c r="N26" s="214">
        <f ca="1">SUM(B26:M26)</f>
        <v>57830590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233630</v>
      </c>
      <c r="C27" s="179">
        <f ca="1">IF(C6="",0,ROUND(VLOOKUP(($N$26-1200000-$N$17-$N$16)/12,'2015근로소득간이세액표'!$C$4:$Z$700,$A$27+1)*0.78*O27,-1))</f>
        <v>236670</v>
      </c>
      <c r="D27" s="179">
        <f ca="1">IF(D6="",0,ROUND(VLOOKUP(($N$26-1200000-$N$17-$N$16)/12,'2015근로소득간이세액표'!$C$4:$Z$700,$A$27+1)*0.79*O27,-1))</f>
        <v>239700</v>
      </c>
      <c r="E27" s="179">
        <f ca="1">IF(E6="",0,ROUND(VLOOKUP(($N$26-1200000-$N$17-$N$16)/12,'2015근로소득간이세액표'!$C$4:$Z$700,$A$27+1)*1.1*O27,-1))</f>
        <v>333760</v>
      </c>
      <c r="F27" s="179">
        <f ca="1">IF(F6="",0,ROUND(VLOOKUP(($N$26-1200000-$N$17-$N$16)/12,'2015근로소득간이세액표'!$C$4:$Z$700,$A$27+1)*1.11*O27,-1))</f>
        <v>336800</v>
      </c>
      <c r="G27" s="179">
        <f ca="1">IF(G6="",0,ROUND(VLOOKUP(($N$26-1200000-$N$17-$N$16)/12,'2015근로소득간이세액표'!$C$4:$Z$700,$A$27+1)*1.12*O27,-1))</f>
        <v>339830</v>
      </c>
      <c r="H27" s="179">
        <f ca="1">IF(H6="",0,ROUND(VLOOKUP(($N$26-1200000-$N$17-$N$16)/12,'2015근로소득간이세액표'!$C$4:$Z$700,$A$27+1)*1.13*O27,-1))</f>
        <v>342860</v>
      </c>
      <c r="I27" s="179">
        <f ca="1">IF(I6="",0,ROUND(VLOOKUP(($N$26-1200000-$N$17-$N$16)/12,'2015근로소득간이세액표'!$C$4:$Z$700,$A$27+1)*1.14*O27,-1))</f>
        <v>345900</v>
      </c>
      <c r="J27" s="179">
        <f ca="1">IF(J6="",0,ROUND(VLOOKUP(($N$26-1200000-$N$17-$N$16)/12,'2015근로소득간이세액표'!$C$4:$Z$700,$A$27+1)*1.15*O27,-1))</f>
        <v>348930</v>
      </c>
      <c r="K27" s="179">
        <f ca="1">IF(K6="",0,ROUND(VLOOKUP(($N$26-1200000-$N$17-$N$16)/12,'2015근로소득간이세액표'!$C$4:$Z$700,$A$27+1)*1.16*O27,-1))</f>
        <v>351970</v>
      </c>
      <c r="L27" s="179">
        <f ca="1">IF(L6="",0,ROUND(VLOOKUP(($N$26-1200000-$N$17-$N$16)/12,'2015근로소득간이세액표'!$C$4:$Z$700,$A$27+1)*1.17*O27,-1))</f>
        <v>355000</v>
      </c>
      <c r="M27" s="179">
        <f ca="1">IF(M6="",0,ROUND(VLOOKUP(($N$26-1200000-$N$17-$N$16)/12,'2015근로소득간이세액표'!$C$4:$Z$700,$A$27+1)*1.18*O27,-1))</f>
        <v>358040</v>
      </c>
      <c r="N27" s="179">
        <f t="shared" ref="N27:N28" ca="1" si="17">SUM(B27:M27)</f>
        <v>3823090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23360</v>
      </c>
      <c r="C28" s="179">
        <f t="shared" ca="1" si="18"/>
        <v>23670</v>
      </c>
      <c r="D28" s="179">
        <f t="shared" ca="1" si="18"/>
        <v>23970</v>
      </c>
      <c r="E28" s="179">
        <f t="shared" ca="1" si="18"/>
        <v>33380</v>
      </c>
      <c r="F28" s="179">
        <f t="shared" ca="1" si="18"/>
        <v>33680</v>
      </c>
      <c r="G28" s="179">
        <f t="shared" ca="1" si="18"/>
        <v>33980</v>
      </c>
      <c r="H28" s="179">
        <f t="shared" ca="1" si="18"/>
        <v>34290</v>
      </c>
      <c r="I28" s="179">
        <f t="shared" ca="1" si="18"/>
        <v>34590</v>
      </c>
      <c r="J28" s="179">
        <f ca="1">IF(J$6="","",ROUND(J27*0.1,-1))</f>
        <v>34890</v>
      </c>
      <c r="K28" s="179">
        <f t="shared" ref="K28:M28" ca="1" si="19">IF(K$6="","",ROUND(K27*0.1,-1))</f>
        <v>35200</v>
      </c>
      <c r="L28" s="179">
        <f t="shared" ca="1" si="19"/>
        <v>35500</v>
      </c>
      <c r="M28" s="179">
        <f t="shared" ca="1" si="19"/>
        <v>35800</v>
      </c>
      <c r="N28" s="179">
        <f t="shared" ca="1" si="17"/>
        <v>382310</v>
      </c>
    </row>
    <row r="29" spans="1:20" ht="9.75" customHeight="1">
      <c r="A29" s="182" t="s">
        <v>435</v>
      </c>
      <c r="B29" s="879">
        <f ca="1">IF(B4="","",IF(B6="","",IF($D$1-YEAR('2025'!$I$1)&gt;0,"",IF(AND($D$1-YEAR('2025'!$I$1)=0,B3-MONTH('2025'!$I$1)&gt;=1),"",'2027'!M29))))</f>
        <v>369030</v>
      </c>
      <c r="C29" s="179">
        <f ca="1">IF(C4="","",IF(C6="","",IF($D$1-YEAR('2025'!$I$1)&gt;0,"",IF(AND($D$1-YEAR('2025'!$I$1)=0,C3-MONTH('2025'!$I$1)&gt;=1),"",B29))))</f>
        <v>369030</v>
      </c>
      <c r="D29" s="179">
        <f ca="1">IF(D4="","",IF(D6="","",IF($D$1-YEAR('2025'!$I$1)&gt;0,"",IF(AND($D$1-YEAR('2025'!$I$1)=0,D3-MONTH('2025'!$I$1)&gt;=1),"",C29))))</f>
        <v>369030</v>
      </c>
      <c r="E29" s="179">
        <f ca="1">IF(E4="","",IF(E6="","",IF($D$1-YEAR('2025'!$I$1)&gt;0,"",IF(AND($D$1-YEAR('2025'!$I$1)=0,E3-MONTH('2025'!$I$1)&gt;=1),"",D29))))</f>
        <v>369030</v>
      </c>
      <c r="F29" s="879">
        <f ca="1">IF(F4="","",IF(F$6="","",IF($D$1-YEAR('2025'!$I$1)&gt;0,"",IF(AND($D$1-YEAR('2025'!$I$1)=0,F3-MONTH('2025'!$I$1)&gt;=1),"",VLOOKUP(F$4,집계표!$AK$5:$HA$47,$N$1*3+$N$1-1+4)))))</f>
        <v>394310</v>
      </c>
      <c r="G29" s="179">
        <f ca="1">IF(G6="",0,IF($D$1-YEAR('2025'!$I$1)&gt;0,"",IF(AND($D$1-YEAR('2025'!$I$1)=0,G3-MONTH('2025'!$I$1)&gt;=1),"",F29)))</f>
        <v>394310</v>
      </c>
      <c r="H29" s="179">
        <f ca="1">IF(H6="",0,IF($D$1-YEAR('2025'!$I$1)&gt;0,"",IF(AND($D$1-YEAR('2025'!$I$1)=0,H3-MONTH('2025'!$I$1)&gt;=1),"",G29)))</f>
        <v>394310</v>
      </c>
      <c r="I29" s="179">
        <f ca="1">IF(I6="",0,IF($D$1-YEAR('2025'!$I$1)&gt;0,"",IF(AND($D$1-YEAR('2025'!$I$1)=0,I3-MONTH('2025'!$I$1)&gt;=1),"",H29)))</f>
        <v>394310</v>
      </c>
      <c r="J29" s="179">
        <f ca="1">IF(J6="",0,IF($D$1-YEAR('2025'!$I$1)&gt;0,"",IF(AND($D$1-YEAR('2025'!$I$1)=0,J3-MONTH('2025'!$I$1)&gt;=1),"",I29)))</f>
        <v>394310</v>
      </c>
      <c r="K29" s="179">
        <f ca="1">IF(K6="",0,IF($D$1-YEAR('2025'!$I$1)&gt;0,"",IF(AND($D$1-YEAR('2025'!$I$1)=0,K3-MONTH('2025'!$I$1)&gt;=1),"",J29)))</f>
        <v>394310</v>
      </c>
      <c r="L29" s="179">
        <f ca="1">IF(L6="",0,IF($D$1-YEAR('2025'!$I$1)&gt;0,"",IF(AND($D$1-YEAR('2025'!$I$1)=0,L3-MONTH('2025'!$I$1)&gt;=1),"",K29)))</f>
        <v>394310</v>
      </c>
      <c r="M29" s="179">
        <f ca="1">IF(M6="",0,IF($D$1-YEAR('2025'!$I$1)&gt;0,"",IF(AND($D$1-YEAR('2025'!$I$1)=0,M3-MONTH('2025'!$I$1)&gt;=1),"",L29)))</f>
        <v>394310</v>
      </c>
      <c r="N29" s="179">
        <f t="shared" ca="1" si="2"/>
        <v>4630600</v>
      </c>
    </row>
    <row r="30" spans="1:20" ht="9.75" customHeight="1">
      <c r="A30" s="182" t="s">
        <v>58</v>
      </c>
      <c r="B30" s="179">
        <f ca="1">IF(B6="","",'2027'!M30)</f>
        <v>144220</v>
      </c>
      <c r="C30" s="179">
        <f ca="1">IF(C6="","",B30)</f>
        <v>144220</v>
      </c>
      <c r="D30" s="179">
        <f ca="1">IF(D6="","",C30)</f>
        <v>144220</v>
      </c>
      <c r="E30" s="857">
        <f ca="1">IF(E6="","",VLOOKUP(E$4,집계표!$AK$5:$HA$47,$N$1*4))</f>
        <v>154100</v>
      </c>
      <c r="F30" s="179">
        <f ca="1">IF(F6="","",E30)</f>
        <v>154100</v>
      </c>
      <c r="G30" s="179">
        <f t="shared" ref="G30:M30" ca="1" si="20">IF(G6="","",F30)</f>
        <v>154100</v>
      </c>
      <c r="H30" s="179">
        <f t="shared" ca="1" si="20"/>
        <v>154100</v>
      </c>
      <c r="I30" s="179">
        <f t="shared" ca="1" si="20"/>
        <v>154100</v>
      </c>
      <c r="J30" s="179">
        <f t="shared" ca="1" si="20"/>
        <v>154100</v>
      </c>
      <c r="K30" s="179">
        <f t="shared" ca="1" si="20"/>
        <v>154100</v>
      </c>
      <c r="L30" s="179">
        <f t="shared" ca="1" si="20"/>
        <v>154100</v>
      </c>
      <c r="M30" s="179">
        <f t="shared" ca="1" si="20"/>
        <v>154100</v>
      </c>
      <c r="N30" s="179">
        <f t="shared" ca="1" si="2"/>
        <v>1819560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14780</v>
      </c>
      <c r="C31" s="179">
        <f t="shared" ca="1" si="21"/>
        <v>14780</v>
      </c>
      <c r="D31" s="179">
        <f t="shared" ca="1" si="21"/>
        <v>14780</v>
      </c>
      <c r="E31" s="179">
        <f t="shared" ca="1" si="21"/>
        <v>15800</v>
      </c>
      <c r="F31" s="179">
        <f t="shared" ca="1" si="21"/>
        <v>15800</v>
      </c>
      <c r="G31" s="179">
        <f t="shared" ca="1" si="21"/>
        <v>15800</v>
      </c>
      <c r="H31" s="179">
        <f t="shared" ca="1" si="21"/>
        <v>15800</v>
      </c>
      <c r="I31" s="179">
        <f t="shared" ca="1" si="21"/>
        <v>15800</v>
      </c>
      <c r="J31" s="179">
        <f ca="1">IF(J$6="","",ROUND(IF(J4="","",J30*10.25%),-1))</f>
        <v>15800</v>
      </c>
      <c r="K31" s="179">
        <f t="shared" ref="K31:M31" ca="1" si="22">IF(K$6="","",ROUND(IF(K4="","",K30*10.25%),-1))</f>
        <v>15800</v>
      </c>
      <c r="L31" s="179">
        <f t="shared" ca="1" si="22"/>
        <v>15800</v>
      </c>
      <c r="M31" s="179">
        <f t="shared" ca="1" si="22"/>
        <v>15800</v>
      </c>
      <c r="N31" s="179">
        <f t="shared" ca="1" si="2"/>
        <v>186540</v>
      </c>
    </row>
    <row r="32" spans="1:20" ht="9.75" customHeight="1">
      <c r="A32" s="597" t="str">
        <f>'2027'!A32</f>
        <v>교직원공제비</v>
      </c>
      <c r="B32" s="621">
        <f ca="1">IF(B$6="","",'2027'!B32)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179">
        <f t="shared" ca="1" si="2"/>
        <v>0</v>
      </c>
    </row>
    <row r="33" spans="1:14" ht="9.75" customHeight="1">
      <c r="A33" s="597" t="str">
        <f>'2027'!A33</f>
        <v>급식비</v>
      </c>
      <c r="B33" s="621"/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179">
        <f t="shared" ca="1" si="2"/>
        <v>0</v>
      </c>
    </row>
    <row r="34" spans="1:14" ht="9.75" customHeight="1">
      <c r="A34" s="597" t="s">
        <v>234</v>
      </c>
      <c r="B34" s="598">
        <f ca="1">IF(B$6="",0,'2027'!M34)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179">
        <f t="shared" ca="1" si="2"/>
        <v>0</v>
      </c>
    </row>
    <row r="35" spans="1:14" ht="8.25" customHeight="1">
      <c r="A35" s="182" t="s">
        <v>311</v>
      </c>
      <c r="B35" s="179">
        <v>0</v>
      </c>
      <c r="C35" s="179">
        <v>0</v>
      </c>
      <c r="D35" s="179">
        <v>0</v>
      </c>
      <c r="E35" s="179">
        <v>0</v>
      </c>
      <c r="F35" s="179">
        <v>0</v>
      </c>
      <c r="G35" s="179">
        <v>0</v>
      </c>
      <c r="H35" s="179">
        <v>0</v>
      </c>
      <c r="I35" s="179">
        <v>0</v>
      </c>
      <c r="J35" s="179">
        <v>0</v>
      </c>
      <c r="K35" s="179">
        <v>0</v>
      </c>
      <c r="L35" s="179">
        <v>0</v>
      </c>
      <c r="M35" s="179">
        <v>0</v>
      </c>
      <c r="N35" s="179">
        <f t="shared" si="2"/>
        <v>0</v>
      </c>
    </row>
    <row r="36" spans="1:14" ht="8.25" customHeight="1">
      <c r="A36" s="182" t="s">
        <v>223</v>
      </c>
      <c r="B36" s="179">
        <v>0</v>
      </c>
      <c r="C36" s="179">
        <v>0</v>
      </c>
      <c r="D36" s="179">
        <v>0</v>
      </c>
      <c r="E36" s="179">
        <v>0</v>
      </c>
      <c r="F36" s="179">
        <v>0</v>
      </c>
      <c r="G36" s="179">
        <v>0</v>
      </c>
      <c r="H36" s="179">
        <v>0</v>
      </c>
      <c r="I36" s="179">
        <v>0</v>
      </c>
      <c r="J36" s="179">
        <v>0</v>
      </c>
      <c r="K36" s="179">
        <v>0</v>
      </c>
      <c r="L36" s="179">
        <v>0</v>
      </c>
      <c r="M36" s="179">
        <v>0</v>
      </c>
      <c r="N36" s="179">
        <f t="shared" si="2"/>
        <v>0</v>
      </c>
    </row>
    <row r="37" spans="1:14" ht="8.25" customHeight="1">
      <c r="A37" s="182" t="s">
        <v>238</v>
      </c>
      <c r="B37" s="179">
        <v>0</v>
      </c>
      <c r="C37" s="179">
        <v>0</v>
      </c>
      <c r="D37" s="179">
        <v>0</v>
      </c>
      <c r="E37" s="179">
        <v>0</v>
      </c>
      <c r="F37" s="179">
        <v>0</v>
      </c>
      <c r="G37" s="179">
        <v>0</v>
      </c>
      <c r="H37" s="179">
        <v>0</v>
      </c>
      <c r="I37" s="179">
        <v>0</v>
      </c>
      <c r="J37" s="179">
        <v>0</v>
      </c>
      <c r="K37" s="179">
        <v>0</v>
      </c>
      <c r="L37" s="179">
        <v>0</v>
      </c>
      <c r="M37" s="179">
        <v>0</v>
      </c>
      <c r="N37" s="179">
        <f t="shared" si="2"/>
        <v>0</v>
      </c>
    </row>
    <row r="38" spans="1:14" ht="8.25" customHeight="1">
      <c r="A38" s="182" t="s">
        <v>218</v>
      </c>
      <c r="B38" s="179">
        <f ca="1">IF(B$6="",0,'2027'!M38)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179">
        <f t="shared" ca="1" si="2"/>
        <v>3607680</v>
      </c>
    </row>
    <row r="39" spans="1:14" ht="9.75" customHeight="1">
      <c r="A39" s="182" t="s">
        <v>226</v>
      </c>
      <c r="B39" s="179">
        <f ca="1">IF(B$6="",0,'2027'!M39)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179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1105660</v>
      </c>
      <c r="C40" s="216">
        <f t="shared" ca="1" si="28"/>
        <v>1109010</v>
      </c>
      <c r="D40" s="216">
        <f t="shared" ca="1" si="28"/>
        <v>1112340</v>
      </c>
      <c r="E40" s="216">
        <f t="shared" ca="1" si="28"/>
        <v>1226710</v>
      </c>
      <c r="F40" s="216">
        <f t="shared" ca="1" si="28"/>
        <v>1255330</v>
      </c>
      <c r="G40" s="216">
        <f t="shared" ca="1" si="28"/>
        <v>1258660</v>
      </c>
      <c r="H40" s="216">
        <f t="shared" ca="1" si="28"/>
        <v>1262000</v>
      </c>
      <c r="I40" s="216">
        <f t="shared" ca="1" si="28"/>
        <v>1265340</v>
      </c>
      <c r="J40" s="216">
        <f ca="1">IF(J26="","",SUM(J27:J39))</f>
        <v>1268670</v>
      </c>
      <c r="K40" s="216">
        <f t="shared" ref="K40:M40" ca="1" si="29">IF(K26="","",SUM(K27:K39))</f>
        <v>1272020</v>
      </c>
      <c r="L40" s="216">
        <f t="shared" ca="1" si="29"/>
        <v>1275350</v>
      </c>
      <c r="M40" s="216">
        <f t="shared" ca="1" si="29"/>
        <v>1278690</v>
      </c>
      <c r="N40" s="216">
        <f ca="1">SUM(B40:M40)</f>
        <v>14689780</v>
      </c>
    </row>
    <row r="41" spans="1:14" ht="9.75" customHeight="1">
      <c r="A41" s="183" t="s">
        <v>79</v>
      </c>
      <c r="B41" s="184">
        <f ca="1">ROUND((B26-B40),-1)</f>
        <v>5235750</v>
      </c>
      <c r="C41" s="184">
        <f t="shared" ref="C41:M41" ca="1" si="30">ROUND((C26-C40),-1)</f>
        <v>2651890</v>
      </c>
      <c r="D41" s="184">
        <f t="shared" ca="1" si="30"/>
        <v>7486220</v>
      </c>
      <c r="E41" s="184">
        <f t="shared" ca="1" si="30"/>
        <v>2794480</v>
      </c>
      <c r="F41" s="184">
        <f t="shared" ca="1" si="30"/>
        <v>2765860</v>
      </c>
      <c r="G41" s="184">
        <f t="shared" ca="1" si="30"/>
        <v>2762530</v>
      </c>
      <c r="H41" s="184">
        <f t="shared" ca="1" si="30"/>
        <v>3706710</v>
      </c>
      <c r="I41" s="184">
        <f t="shared" ca="1" si="30"/>
        <v>2755850</v>
      </c>
      <c r="J41" s="184">
        <f t="shared" ca="1" si="30"/>
        <v>2711180</v>
      </c>
      <c r="K41" s="184">
        <f t="shared" ca="1" si="30"/>
        <v>4644210</v>
      </c>
      <c r="L41" s="184">
        <f t="shared" ca="1" si="30"/>
        <v>2745840</v>
      </c>
      <c r="M41" s="184">
        <f t="shared" ca="1" si="30"/>
        <v>2880290</v>
      </c>
      <c r="N41" s="184">
        <f ca="1">SUM(B41:M41)</f>
        <v>43140810</v>
      </c>
    </row>
    <row r="42" spans="1:14" ht="9.75" customHeight="1">
      <c r="A42" s="204" t="str">
        <f>'2027'!A42</f>
        <v>12)지출내용입력1</v>
      </c>
      <c r="B42" s="179">
        <f>'2027'!M42</f>
        <v>100</v>
      </c>
      <c r="C42" s="179">
        <f>B42</f>
        <v>100</v>
      </c>
      <c r="D42" s="179">
        <f t="shared" ref="D42:M42" si="31">C42</f>
        <v>100</v>
      </c>
      <c r="E42" s="179">
        <f t="shared" si="31"/>
        <v>100</v>
      </c>
      <c r="F42" s="179">
        <f t="shared" si="31"/>
        <v>100</v>
      </c>
      <c r="G42" s="179">
        <f t="shared" si="31"/>
        <v>100</v>
      </c>
      <c r="H42" s="179">
        <f t="shared" si="31"/>
        <v>100</v>
      </c>
      <c r="I42" s="179">
        <f t="shared" si="31"/>
        <v>100</v>
      </c>
      <c r="J42" s="179">
        <f t="shared" si="31"/>
        <v>100</v>
      </c>
      <c r="K42" s="179">
        <f t="shared" si="31"/>
        <v>100</v>
      </c>
      <c r="L42" s="179">
        <f t="shared" si="31"/>
        <v>100</v>
      </c>
      <c r="M42" s="179">
        <f t="shared" si="31"/>
        <v>100</v>
      </c>
      <c r="N42" s="179">
        <f t="shared" si="2"/>
        <v>1200</v>
      </c>
    </row>
    <row r="43" spans="1:14" ht="9.75" customHeight="1">
      <c r="A43" s="204" t="str">
        <f>'2027'!A43</f>
        <v>지출내용입력2</v>
      </c>
      <c r="B43" s="179">
        <f>'2027'!M43</f>
        <v>0</v>
      </c>
      <c r="C43" s="179">
        <f t="shared" ref="C43:M52" si="32">B43</f>
        <v>0</v>
      </c>
      <c r="D43" s="179">
        <f t="shared" si="32"/>
        <v>0</v>
      </c>
      <c r="E43" s="179">
        <f t="shared" si="32"/>
        <v>0</v>
      </c>
      <c r="F43" s="179">
        <f t="shared" si="32"/>
        <v>0</v>
      </c>
      <c r="G43" s="179">
        <f t="shared" si="32"/>
        <v>0</v>
      </c>
      <c r="H43" s="179">
        <f t="shared" si="32"/>
        <v>0</v>
      </c>
      <c r="I43" s="179">
        <f t="shared" si="32"/>
        <v>0</v>
      </c>
      <c r="J43" s="179">
        <f t="shared" si="32"/>
        <v>0</v>
      </c>
      <c r="K43" s="179">
        <f t="shared" si="32"/>
        <v>0</v>
      </c>
      <c r="L43" s="179">
        <f t="shared" si="32"/>
        <v>0</v>
      </c>
      <c r="M43" s="179">
        <f t="shared" si="32"/>
        <v>0</v>
      </c>
      <c r="N43" s="179">
        <f t="shared" si="2"/>
        <v>0</v>
      </c>
    </row>
    <row r="44" spans="1:14" ht="9.75" customHeight="1">
      <c r="A44" s="204" t="str">
        <f>'2027'!A44</f>
        <v>지출내용입력3</v>
      </c>
      <c r="B44" s="179">
        <f>'2027'!M44</f>
        <v>0</v>
      </c>
      <c r="C44" s="179">
        <f t="shared" si="32"/>
        <v>0</v>
      </c>
      <c r="D44" s="179">
        <f t="shared" si="32"/>
        <v>0</v>
      </c>
      <c r="E44" s="179">
        <f t="shared" si="32"/>
        <v>0</v>
      </c>
      <c r="F44" s="179">
        <f t="shared" si="32"/>
        <v>0</v>
      </c>
      <c r="G44" s="179">
        <f t="shared" si="32"/>
        <v>0</v>
      </c>
      <c r="H44" s="179">
        <f t="shared" si="32"/>
        <v>0</v>
      </c>
      <c r="I44" s="179">
        <f t="shared" si="32"/>
        <v>0</v>
      </c>
      <c r="J44" s="179">
        <f t="shared" si="32"/>
        <v>0</v>
      </c>
      <c r="K44" s="179">
        <f t="shared" si="32"/>
        <v>0</v>
      </c>
      <c r="L44" s="179">
        <f t="shared" si="32"/>
        <v>0</v>
      </c>
      <c r="M44" s="179">
        <f t="shared" si="32"/>
        <v>0</v>
      </c>
      <c r="N44" s="179">
        <f t="shared" si="2"/>
        <v>0</v>
      </c>
    </row>
    <row r="45" spans="1:14" ht="9.75" customHeight="1">
      <c r="A45" s="204" t="str">
        <f>'2027'!A45</f>
        <v>지출내용입력4</v>
      </c>
      <c r="B45" s="179">
        <f>'2027'!M45</f>
        <v>0</v>
      </c>
      <c r="C45" s="179">
        <f t="shared" ref="C45:C49" si="33">B45</f>
        <v>0</v>
      </c>
      <c r="D45" s="179">
        <f t="shared" ref="D45:D49" si="34">C45</f>
        <v>0</v>
      </c>
      <c r="E45" s="179">
        <f t="shared" ref="E45:E49" si="35">D45</f>
        <v>0</v>
      </c>
      <c r="F45" s="179">
        <f t="shared" ref="F45:F49" si="36">E45</f>
        <v>0</v>
      </c>
      <c r="G45" s="179">
        <f t="shared" ref="G45:G49" si="37">F45</f>
        <v>0</v>
      </c>
      <c r="H45" s="179">
        <f t="shared" ref="H45:H49" si="38">G45</f>
        <v>0</v>
      </c>
      <c r="I45" s="179">
        <f t="shared" ref="I45:I49" si="39">H45</f>
        <v>0</v>
      </c>
      <c r="J45" s="179">
        <f t="shared" ref="J45:J49" si="40">I45</f>
        <v>0</v>
      </c>
      <c r="K45" s="179">
        <f t="shared" ref="K45:K49" si="41">J45</f>
        <v>0</v>
      </c>
      <c r="L45" s="179">
        <f t="shared" ref="L45:L49" si="42">K45</f>
        <v>0</v>
      </c>
      <c r="M45" s="179">
        <f t="shared" ref="M45:M49" si="43">L45</f>
        <v>0</v>
      </c>
      <c r="N45" s="179">
        <f t="shared" si="2"/>
        <v>0</v>
      </c>
    </row>
    <row r="46" spans="1:14" ht="9.75" customHeight="1">
      <c r="A46" s="204" t="str">
        <f>'2027'!A46</f>
        <v>지출내용입력5</v>
      </c>
      <c r="B46" s="179">
        <f>'2027'!M46</f>
        <v>0</v>
      </c>
      <c r="C46" s="179">
        <f t="shared" si="33"/>
        <v>0</v>
      </c>
      <c r="D46" s="179">
        <f t="shared" si="34"/>
        <v>0</v>
      </c>
      <c r="E46" s="179">
        <f t="shared" si="35"/>
        <v>0</v>
      </c>
      <c r="F46" s="179">
        <f t="shared" si="36"/>
        <v>0</v>
      </c>
      <c r="G46" s="179">
        <f t="shared" si="37"/>
        <v>0</v>
      </c>
      <c r="H46" s="179">
        <f t="shared" si="38"/>
        <v>0</v>
      </c>
      <c r="I46" s="179">
        <f t="shared" si="39"/>
        <v>0</v>
      </c>
      <c r="J46" s="179">
        <f t="shared" si="40"/>
        <v>0</v>
      </c>
      <c r="K46" s="179">
        <f t="shared" si="41"/>
        <v>0</v>
      </c>
      <c r="L46" s="179">
        <f t="shared" si="42"/>
        <v>0</v>
      </c>
      <c r="M46" s="179">
        <f t="shared" si="43"/>
        <v>0</v>
      </c>
      <c r="N46" s="179">
        <f t="shared" si="2"/>
        <v>0</v>
      </c>
    </row>
    <row r="47" spans="1:14" ht="9.75" customHeight="1">
      <c r="A47" s="204" t="str">
        <f>'2027'!A47</f>
        <v>지출내용입력6</v>
      </c>
      <c r="B47" s="179">
        <f>'2027'!M47</f>
        <v>0</v>
      </c>
      <c r="C47" s="179">
        <f t="shared" si="33"/>
        <v>0</v>
      </c>
      <c r="D47" s="179">
        <f t="shared" si="34"/>
        <v>0</v>
      </c>
      <c r="E47" s="179">
        <f t="shared" si="35"/>
        <v>0</v>
      </c>
      <c r="F47" s="179">
        <f t="shared" si="36"/>
        <v>0</v>
      </c>
      <c r="G47" s="179">
        <f t="shared" si="37"/>
        <v>0</v>
      </c>
      <c r="H47" s="179">
        <f t="shared" si="38"/>
        <v>0</v>
      </c>
      <c r="I47" s="179">
        <f t="shared" si="39"/>
        <v>0</v>
      </c>
      <c r="J47" s="179">
        <f t="shared" si="40"/>
        <v>0</v>
      </c>
      <c r="K47" s="179">
        <f t="shared" si="41"/>
        <v>0</v>
      </c>
      <c r="L47" s="179">
        <f t="shared" si="42"/>
        <v>0</v>
      </c>
      <c r="M47" s="179">
        <f t="shared" si="43"/>
        <v>0</v>
      </c>
      <c r="N47" s="179">
        <f t="shared" si="2"/>
        <v>0</v>
      </c>
    </row>
    <row r="48" spans="1:14" ht="9.75" customHeight="1">
      <c r="A48" s="204" t="str">
        <f>'2027'!A48</f>
        <v>지출내용입력7</v>
      </c>
      <c r="B48" s="179">
        <f>'2027'!M48</f>
        <v>0</v>
      </c>
      <c r="C48" s="179">
        <f t="shared" si="33"/>
        <v>0</v>
      </c>
      <c r="D48" s="179">
        <f t="shared" si="34"/>
        <v>0</v>
      </c>
      <c r="E48" s="179">
        <f t="shared" si="35"/>
        <v>0</v>
      </c>
      <c r="F48" s="179">
        <f t="shared" si="36"/>
        <v>0</v>
      </c>
      <c r="G48" s="179">
        <f t="shared" si="37"/>
        <v>0</v>
      </c>
      <c r="H48" s="179">
        <f t="shared" si="38"/>
        <v>0</v>
      </c>
      <c r="I48" s="179">
        <f t="shared" si="39"/>
        <v>0</v>
      </c>
      <c r="J48" s="179">
        <f t="shared" si="40"/>
        <v>0</v>
      </c>
      <c r="K48" s="179">
        <f t="shared" si="41"/>
        <v>0</v>
      </c>
      <c r="L48" s="179">
        <f t="shared" si="42"/>
        <v>0</v>
      </c>
      <c r="M48" s="179">
        <f t="shared" si="43"/>
        <v>0</v>
      </c>
      <c r="N48" s="179">
        <f t="shared" si="2"/>
        <v>0</v>
      </c>
    </row>
    <row r="49" spans="1:14" ht="9.75" customHeight="1">
      <c r="A49" s="204" t="str">
        <f>'2027'!A49</f>
        <v>지출내용입력8</v>
      </c>
      <c r="B49" s="179">
        <f>'2027'!M49</f>
        <v>0</v>
      </c>
      <c r="C49" s="179">
        <f t="shared" si="33"/>
        <v>0</v>
      </c>
      <c r="D49" s="179">
        <f t="shared" si="34"/>
        <v>0</v>
      </c>
      <c r="E49" s="179">
        <f t="shared" si="35"/>
        <v>0</v>
      </c>
      <c r="F49" s="179">
        <f t="shared" si="36"/>
        <v>0</v>
      </c>
      <c r="G49" s="179">
        <f t="shared" si="37"/>
        <v>0</v>
      </c>
      <c r="H49" s="179">
        <f t="shared" si="38"/>
        <v>0</v>
      </c>
      <c r="I49" s="179">
        <f t="shared" si="39"/>
        <v>0</v>
      </c>
      <c r="J49" s="179">
        <f t="shared" si="40"/>
        <v>0</v>
      </c>
      <c r="K49" s="179">
        <f t="shared" si="41"/>
        <v>0</v>
      </c>
      <c r="L49" s="179">
        <f t="shared" si="42"/>
        <v>0</v>
      </c>
      <c r="M49" s="179">
        <f t="shared" si="43"/>
        <v>0</v>
      </c>
      <c r="N49" s="179">
        <f t="shared" si="2"/>
        <v>0</v>
      </c>
    </row>
    <row r="50" spans="1:14" ht="9.75" customHeight="1">
      <c r="A50" s="204" t="str">
        <f>'2027'!A50</f>
        <v>지출내용입력9</v>
      </c>
      <c r="B50" s="179">
        <f>'2027'!M50</f>
        <v>0</v>
      </c>
      <c r="C50" s="179">
        <f t="shared" si="32"/>
        <v>0</v>
      </c>
      <c r="D50" s="179">
        <f t="shared" si="32"/>
        <v>0</v>
      </c>
      <c r="E50" s="179">
        <f t="shared" si="32"/>
        <v>0</v>
      </c>
      <c r="F50" s="179">
        <f t="shared" si="32"/>
        <v>0</v>
      </c>
      <c r="G50" s="179">
        <f t="shared" si="32"/>
        <v>0</v>
      </c>
      <c r="H50" s="179">
        <f t="shared" si="32"/>
        <v>0</v>
      </c>
      <c r="I50" s="179">
        <f t="shared" si="32"/>
        <v>0</v>
      </c>
      <c r="J50" s="179">
        <f t="shared" si="32"/>
        <v>0</v>
      </c>
      <c r="K50" s="179">
        <f t="shared" si="32"/>
        <v>0</v>
      </c>
      <c r="L50" s="179">
        <f t="shared" si="32"/>
        <v>0</v>
      </c>
      <c r="M50" s="179">
        <f t="shared" si="32"/>
        <v>0</v>
      </c>
      <c r="N50" s="179">
        <f t="shared" si="2"/>
        <v>0</v>
      </c>
    </row>
    <row r="51" spans="1:14" ht="9.75" customHeight="1">
      <c r="A51" s="204" t="str">
        <f>'2027'!A51</f>
        <v>지출내용입력10</v>
      </c>
      <c r="B51" s="179">
        <f>'2027'!M51</f>
        <v>0</v>
      </c>
      <c r="C51" s="179">
        <f t="shared" si="32"/>
        <v>0</v>
      </c>
      <c r="D51" s="179">
        <f t="shared" si="32"/>
        <v>0</v>
      </c>
      <c r="E51" s="179">
        <f t="shared" si="32"/>
        <v>0</v>
      </c>
      <c r="F51" s="179">
        <f t="shared" si="32"/>
        <v>0</v>
      </c>
      <c r="G51" s="179">
        <f t="shared" si="32"/>
        <v>0</v>
      </c>
      <c r="H51" s="179">
        <f t="shared" si="32"/>
        <v>0</v>
      </c>
      <c r="I51" s="179">
        <f t="shared" si="32"/>
        <v>0</v>
      </c>
      <c r="J51" s="179">
        <f t="shared" si="32"/>
        <v>0</v>
      </c>
      <c r="K51" s="179">
        <f t="shared" si="32"/>
        <v>0</v>
      </c>
      <c r="L51" s="179">
        <f t="shared" si="32"/>
        <v>0</v>
      </c>
      <c r="M51" s="179">
        <f t="shared" si="32"/>
        <v>0</v>
      </c>
      <c r="N51" s="179">
        <f t="shared" si="2"/>
        <v>0</v>
      </c>
    </row>
    <row r="52" spans="1:14" ht="9.75" customHeight="1">
      <c r="A52" s="176" t="s">
        <v>133</v>
      </c>
      <c r="B52" s="179">
        <f>SUM(B42:B51)</f>
        <v>100</v>
      </c>
      <c r="C52" s="179">
        <f t="shared" si="32"/>
        <v>100</v>
      </c>
      <c r="D52" s="179">
        <f t="shared" si="32"/>
        <v>100</v>
      </c>
      <c r="E52" s="179">
        <f t="shared" si="32"/>
        <v>100</v>
      </c>
      <c r="F52" s="179">
        <f t="shared" si="32"/>
        <v>100</v>
      </c>
      <c r="G52" s="179">
        <f t="shared" si="32"/>
        <v>100</v>
      </c>
      <c r="H52" s="179">
        <f t="shared" si="32"/>
        <v>100</v>
      </c>
      <c r="I52" s="179">
        <f t="shared" si="32"/>
        <v>100</v>
      </c>
      <c r="J52" s="179">
        <f t="shared" si="32"/>
        <v>100</v>
      </c>
      <c r="K52" s="179">
        <f t="shared" si="32"/>
        <v>100</v>
      </c>
      <c r="L52" s="179">
        <f t="shared" si="32"/>
        <v>100</v>
      </c>
      <c r="M52" s="179">
        <f t="shared" si="32"/>
        <v>100</v>
      </c>
      <c r="N52" s="179">
        <f t="shared" si="2"/>
        <v>1200</v>
      </c>
    </row>
    <row r="53" spans="1:14" ht="9.75" customHeight="1">
      <c r="A53" s="187" t="s">
        <v>511</v>
      </c>
      <c r="B53" s="188">
        <f t="shared" ref="B53:N53" ca="1" si="44">B41-B52</f>
        <v>5235650</v>
      </c>
      <c r="C53" s="188">
        <f t="shared" ca="1" si="44"/>
        <v>2651790</v>
      </c>
      <c r="D53" s="188">
        <f t="shared" ca="1" si="44"/>
        <v>7486120</v>
      </c>
      <c r="E53" s="188">
        <f t="shared" ca="1" si="44"/>
        <v>2794380</v>
      </c>
      <c r="F53" s="188">
        <f t="shared" ca="1" si="44"/>
        <v>2765760</v>
      </c>
      <c r="G53" s="188">
        <f t="shared" ca="1" si="44"/>
        <v>2762430</v>
      </c>
      <c r="H53" s="188">
        <f t="shared" ca="1" si="44"/>
        <v>3706610</v>
      </c>
      <c r="I53" s="188">
        <f t="shared" ca="1" si="44"/>
        <v>2755750</v>
      </c>
      <c r="J53" s="188">
        <f t="shared" ca="1" si="44"/>
        <v>2711080</v>
      </c>
      <c r="K53" s="188">
        <f t="shared" ca="1" si="44"/>
        <v>4644110</v>
      </c>
      <c r="L53" s="188">
        <f t="shared" ca="1" si="44"/>
        <v>2745740</v>
      </c>
      <c r="M53" s="188">
        <f t="shared" ca="1" si="44"/>
        <v>2880190</v>
      </c>
      <c r="N53" s="188">
        <f t="shared" ca="1" si="44"/>
        <v>43139610</v>
      </c>
    </row>
    <row r="55" spans="1:14" ht="18">
      <c r="A55" s="1232" t="str">
        <f ca="1">D1</f>
        <v>2028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656964</v>
      </c>
      <c r="C57" s="688">
        <f ca="1">IF(C6="",0,VLOOKUP(C26-C17-100000,'2015 근로소득 간이세액표'!$C$4:$N$845,1+$M$55)*1.1)</f>
        <v>169884</v>
      </c>
      <c r="D57" s="688">
        <f ca="1">IF(D6="",0,VLOOKUP(D26-D17-100000,'2015 근로소득 간이세액표'!$C$4:$N$845,1+$M$55)*1.1)</f>
        <v>1216556</v>
      </c>
      <c r="E57" s="688">
        <f ca="1">IF(E6="",0,VLOOKUP(E26-E17-100000,'2015 근로소득 간이세액표'!$C$4:$N$845,1+$M$55)*1.1)</f>
        <v>211497.00000000003</v>
      </c>
      <c r="F57" s="688">
        <f ca="1">IF(F6="",0,VLOOKUP(F26-F17-100000,'2015 근로소득 간이세액표'!$C$4:$N$845,1+$M$55)*1.1)</f>
        <v>211497.00000000003</v>
      </c>
      <c r="G57" s="688">
        <f ca="1">IF(G6="",0,VLOOKUP(G26-G17-100000,'2015 근로소득 간이세액표'!$C$4:$N$845,1+$M$55)*1.1)</f>
        <v>211497.00000000003</v>
      </c>
      <c r="H57" s="688">
        <f ca="1">IF(H6="",0,VLOOKUP(H26-H17-100000,'2015 근로소득 간이세액표'!$C$4:$N$845,1+$M$55)*1.1)</f>
        <v>358446</v>
      </c>
      <c r="I57" s="688">
        <f ca="1">IF(I6="",0,VLOOKUP(I26-I17-100000,'2015 근로소득 간이세액표'!$C$4:$N$845,1+$M$55)*1.1)</f>
        <v>211497.00000000003</v>
      </c>
      <c r="J57" s="688">
        <f ca="1">IF(J6="",0,VLOOKUP(J26-J17-100000,'2015 근로소득 간이세액표'!$C$4:$N$845,1+$M$55)*1.1)</f>
        <v>202686.00000000003</v>
      </c>
      <c r="K57" s="688">
        <f ca="1">IF(K6="",0,VLOOKUP(K26-K17-100000,'2015 근로소득 간이세액표'!$C$4:$N$845,1+$M$55)*1.1)</f>
        <v>520091.00000000006</v>
      </c>
      <c r="L57" s="688">
        <f ca="1">IF(L6="",0,VLOOKUP(L26-L17-100000,'2015 근로소득 간이세액표'!$C$4:$N$845,1+$M$55)*1.1)</f>
        <v>211497.00000000003</v>
      </c>
      <c r="M57" s="688">
        <f ca="1">IF(M6="",0,VLOOKUP(M26-M17-100000,'2015 근로소득 간이세액표'!$C$4:$N$845,1+$M$55)*1.1)</f>
        <v>229185.00000000003</v>
      </c>
      <c r="N57" s="689">
        <f ca="1">SUM(B57:M57)</f>
        <v>4411297</v>
      </c>
    </row>
    <row r="58" spans="1:14" ht="10" customHeight="1">
      <c r="A58" s="687" t="s">
        <v>295</v>
      </c>
      <c r="B58" s="689">
        <f t="shared" ref="B58:M58" ca="1" si="45">IF(B6="",0,B27+B28)</f>
        <v>256990</v>
      </c>
      <c r="C58" s="689">
        <f t="shared" ca="1" si="45"/>
        <v>260340</v>
      </c>
      <c r="D58" s="689">
        <f t="shared" ca="1" si="45"/>
        <v>263670</v>
      </c>
      <c r="E58" s="689">
        <f t="shared" ca="1" si="45"/>
        <v>367140</v>
      </c>
      <c r="F58" s="689">
        <f t="shared" ca="1" si="45"/>
        <v>370480</v>
      </c>
      <c r="G58" s="689">
        <f t="shared" ca="1" si="45"/>
        <v>373810</v>
      </c>
      <c r="H58" s="689">
        <f t="shared" ca="1" si="45"/>
        <v>377150</v>
      </c>
      <c r="I58" s="689">
        <f t="shared" ca="1" si="45"/>
        <v>380490</v>
      </c>
      <c r="J58" s="689">
        <f t="shared" ca="1" si="45"/>
        <v>383820</v>
      </c>
      <c r="K58" s="689">
        <f t="shared" ca="1" si="45"/>
        <v>387170</v>
      </c>
      <c r="L58" s="689">
        <f t="shared" ca="1" si="45"/>
        <v>390500</v>
      </c>
      <c r="M58" s="689">
        <f t="shared" ca="1" si="45"/>
        <v>393840</v>
      </c>
      <c r="N58" s="689">
        <f ca="1">SUM(B58:M58)</f>
        <v>4205400</v>
      </c>
    </row>
    <row r="59" spans="1:14" ht="10" customHeight="1">
      <c r="A59" s="680" t="s">
        <v>546</v>
      </c>
      <c r="B59" s="684">
        <f ca="1">B57-B58</f>
        <v>399974</v>
      </c>
      <c r="C59" s="684">
        <f t="shared" ref="C59:N59" ca="1" si="46">C57-C58</f>
        <v>-90456</v>
      </c>
      <c r="D59" s="684">
        <f t="shared" ca="1" si="46"/>
        <v>952886</v>
      </c>
      <c r="E59" s="684">
        <f t="shared" ca="1" si="46"/>
        <v>-155642.99999999997</v>
      </c>
      <c r="F59" s="684">
        <f t="shared" ca="1" si="46"/>
        <v>-158982.99999999997</v>
      </c>
      <c r="G59" s="684">
        <f t="shared" ca="1" si="46"/>
        <v>-162312.99999999997</v>
      </c>
      <c r="H59" s="684">
        <f t="shared" ca="1" si="46"/>
        <v>-18704</v>
      </c>
      <c r="I59" s="684">
        <f t="shared" ca="1" si="46"/>
        <v>-168992.99999999997</v>
      </c>
      <c r="J59" s="684">
        <f t="shared" ca="1" si="46"/>
        <v>-181133.99999999997</v>
      </c>
      <c r="K59" s="684">
        <f t="shared" ca="1" si="46"/>
        <v>132921.00000000006</v>
      </c>
      <c r="L59" s="684">
        <f t="shared" ca="1" si="46"/>
        <v>-179002.99999999997</v>
      </c>
      <c r="M59" s="684">
        <f t="shared" ca="1" si="46"/>
        <v>-164654.99999999997</v>
      </c>
      <c r="N59" s="684">
        <f t="shared" ca="1" si="46"/>
        <v>205897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205897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64"/>
      <c r="K60" s="1264"/>
      <c r="L60" s="1264"/>
      <c r="M60" s="1264"/>
      <c r="N60" s="685"/>
    </row>
  </sheetData>
  <sheetProtection algorithmName="SHA-512" hashValue="02NeO5xzDc5EZJWNMbOls24ZB7CNrthzNYjKeFTCmTYMGu8wXgcPHvgXJhbAM9Ga8wR1RllnW6bngVm1NPUbuQ==" saltValue="tOHhfQkbRSsg56T9np+Q4g==" spinCount="100000" sheet="1" selectLockedCell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506" priority="8">
      <formula>$E$2="y"</formula>
    </cfRule>
    <cfRule type="expression" dxfId="505" priority="9">
      <formula>$D$2="Y"</formula>
    </cfRule>
    <cfRule type="expression" dxfId="504" priority="10">
      <formula>$F$2="y"</formula>
    </cfRule>
  </conditionalFormatting>
  <conditionalFormatting sqref="B27:M27">
    <cfRule type="expression" dxfId="503" priority="1">
      <formula>$F$2="y"</formula>
    </cfRule>
  </conditionalFormatting>
  <conditionalFormatting sqref="D16">
    <cfRule type="expression" dxfId="502" priority="26">
      <formula>$E$2="y"</formula>
    </cfRule>
    <cfRule type="expression" dxfId="501" priority="27">
      <formula>$E$2="y"</formula>
    </cfRule>
    <cfRule type="expression" dxfId="500" priority="28">
      <formula>$F$2="y"</formula>
    </cfRule>
  </conditionalFormatting>
  <conditionalFormatting sqref="D18">
    <cfRule type="expression" dxfId="499" priority="23">
      <formula>$E$2="y"</formula>
    </cfRule>
    <cfRule type="expression" dxfId="498" priority="24">
      <formula>$E$2="y"</formula>
    </cfRule>
    <cfRule type="expression" dxfId="497" priority="25">
      <formula>$F$2="y"</formula>
    </cfRule>
  </conditionalFormatting>
  <conditionalFormatting sqref="J12:K12">
    <cfRule type="expression" dxfId="496" priority="5">
      <formula>$E$2="y"</formula>
    </cfRule>
    <cfRule type="expression" dxfId="495" priority="6">
      <formula>$D$2="Y"</formula>
    </cfRule>
    <cfRule type="expression" dxfId="494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1859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60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61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64" r:id="rId6" name="Drop Down 8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3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M2" sqref="M2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2029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집계표!G119</f>
        <v>2</v>
      </c>
      <c r="M1" s="627">
        <f>집계표!G122</f>
        <v>1</v>
      </c>
      <c r="N1" s="618">
        <v>5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집계표!AP53</f>
        <v>A</v>
      </c>
      <c r="J2" s="207"/>
      <c r="K2" s="1255" t="s">
        <v>419</v>
      </c>
      <c r="L2" s="1255"/>
      <c r="M2" s="1033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IF('2028'!M4&gt;=50,50,IF(AND('2028'!M4=50,M$3=$N$5),"",IF(B3=$N$5,'2028'!M4+1,'2028'!M4)))</f>
        <v>16</v>
      </c>
      <c r="C4" s="176">
        <f>IF(B4&gt;=50,50,IF(AND(B4=50,C$3=$N$5),50,IF(C$3=$N$5,B4+1,B4)))</f>
        <v>16</v>
      </c>
      <c r="D4" s="176">
        <f t="shared" ref="D4:M4" si="0">IF(C4&gt;=50,50,IF(AND(C4=50,D$3=$N$5),50,IF(D$3=$N$5,C4+1,C4)))</f>
        <v>17</v>
      </c>
      <c r="E4" s="176">
        <f t="shared" si="0"/>
        <v>17</v>
      </c>
      <c r="F4" s="176">
        <f t="shared" si="0"/>
        <v>17</v>
      </c>
      <c r="G4" s="176">
        <f t="shared" si="0"/>
        <v>17</v>
      </c>
      <c r="H4" s="176">
        <f t="shared" si="0"/>
        <v>17</v>
      </c>
      <c r="I4" s="176">
        <f t="shared" si="0"/>
        <v>17</v>
      </c>
      <c r="J4" s="176">
        <f t="shared" si="0"/>
        <v>17</v>
      </c>
      <c r="K4" s="176">
        <f t="shared" si="0"/>
        <v>17</v>
      </c>
      <c r="L4" s="176">
        <f t="shared" si="0"/>
        <v>17</v>
      </c>
      <c r="M4" s="176">
        <f t="shared" si="0"/>
        <v>17</v>
      </c>
      <c r="N4" s="202" t="s">
        <v>124</v>
      </c>
    </row>
    <row r="5" spans="1:14" ht="9.75" customHeight="1">
      <c r="A5" s="208" t="s">
        <v>134</v>
      </c>
      <c r="B5" s="356">
        <f>IF(B$3=$N$5,'2028'!M5+1,'2028'!M5)</f>
        <v>6</v>
      </c>
      <c r="C5" s="209">
        <f>IF(C$3=$N$5,B5+1,B5)</f>
        <v>6</v>
      </c>
      <c r="D5" s="209">
        <f t="shared" ref="D5:M5" si="1">IF(D$3=$N$5,C5+1,C5)</f>
        <v>7</v>
      </c>
      <c r="E5" s="209">
        <f t="shared" si="1"/>
        <v>7</v>
      </c>
      <c r="F5" s="209">
        <f t="shared" si="1"/>
        <v>7</v>
      </c>
      <c r="G5" s="209">
        <f t="shared" si="1"/>
        <v>7</v>
      </c>
      <c r="H5" s="209">
        <f t="shared" si="1"/>
        <v>7</v>
      </c>
      <c r="I5" s="209">
        <f t="shared" si="1"/>
        <v>7</v>
      </c>
      <c r="J5" s="209">
        <f t="shared" si="1"/>
        <v>7</v>
      </c>
      <c r="K5" s="209">
        <f t="shared" si="1"/>
        <v>7</v>
      </c>
      <c r="L5" s="209">
        <f t="shared" si="1"/>
        <v>7</v>
      </c>
      <c r="M5" s="209">
        <f t="shared" si="1"/>
        <v>7</v>
      </c>
      <c r="N5" s="177">
        <f>'2026'!N5</f>
        <v>3</v>
      </c>
    </row>
    <row r="6" spans="1:14" ht="9.75" customHeight="1">
      <c r="A6" s="210" t="s">
        <v>454</v>
      </c>
      <c r="B6" s="211">
        <f ca="1">IF(OR(B4="",B4&lt;7),"",IF($D$1-YEAR($B$1)&gt;0,"",IF(AND($D$1-YEAR($B$1)=0,B3-MONTH($B$1)&gt;=1),"",VLOOKUP(B4,gibon40!$D$4:$AT$47,$N$1,1))))</f>
        <v>3237400</v>
      </c>
      <c r="C6" s="211">
        <f ca="1">IF(OR(C4="",C4&lt;7),"",IF($D$1-YEAR($B$1)&gt;0,"",IF(AND($D$1-YEAR($B$1)=0,C3-MONTH($B$1)&gt;=1),"",VLOOKUP(C4,gibon40!$D$4:$AT$47,$N$1,1))))</f>
        <v>3237400</v>
      </c>
      <c r="D6" s="211">
        <f ca="1">IF(OR(D4="",D4&lt;7),"",IF($D$1-YEAR($B$1)&gt;0,"",IF(AND($D$1-YEAR($B$1)=0,D3-MONTH($B$1)&gt;=1),"",VLOOKUP(D4,gibon40!$D$4:$AT$47,$N$1,1))))</f>
        <v>3361000</v>
      </c>
      <c r="E6" s="211">
        <f ca="1">IF(OR(E4="",E4&lt;7),"",IF($D$1-YEAR($B$1)&gt;0,"",IF(AND($D$1-YEAR($B$1)=0,E3-MONTH($B$1)&gt;=1),"",VLOOKUP(E4,gibon40!$D$4:$AT$47,$N$1,1))))</f>
        <v>3361000</v>
      </c>
      <c r="F6" s="211">
        <f ca="1">IF(OR(F4="",F4&lt;7),"",IF($D$1-YEAR($B$1)&gt;0,"",IF(AND($D$1-YEAR($B$1)=0,F3-MONTH($B$1)&gt;=1),"",VLOOKUP(F4,gibon40!$D$4:$AT$47,$N$1,1))))</f>
        <v>3361000</v>
      </c>
      <c r="G6" s="211">
        <f ca="1">IF(OR(G4="",G4&lt;7),"",IF($D$1-YEAR($B$1)&gt;0,"",IF(AND($D$1-YEAR($B$1)=0,G3-MONTH($B$1)&gt;=1),"",VLOOKUP(G4,gibon40!$D$4:$AT$47,$N$1,1))))</f>
        <v>3361000</v>
      </c>
      <c r="H6" s="211">
        <f ca="1">IF(OR(H4="",H4&lt;7),"",IF($D$1-YEAR($B$1)&gt;0,"",IF(AND($D$1-YEAR($B$1)=0,H3-MONTH($B$1)&gt;=1),"",VLOOKUP(H4,gibon40!$D$4:$AT$47,$N$1,1))))</f>
        <v>3361000</v>
      </c>
      <c r="I6" s="211">
        <f ca="1">IF(OR(I4="",I4&lt;7),"",IF($D$1-YEAR($B$1)&gt;0,"",IF(AND($D$1-YEAR($B$1)=0,I3-MONTH($B$1)&gt;=1),"",VLOOKUP(I4,gibon40!$D$4:$AT$47,$N$1,1))))</f>
        <v>3361000</v>
      </c>
      <c r="J6" s="211">
        <f ca="1">IF(OR(J4="",J4&lt;7),"",IF($D$1-YEAR($B$1)&gt;0,"",IF(AND($D$1-YEAR($B$1)=0,J3-MONTH($B$1)&gt;=1),"",VLOOKUP(J4,gibon40!$D$4:$AT$47,$N$1,1))))</f>
        <v>3361000</v>
      </c>
      <c r="K6" s="211">
        <f ca="1">IF(OR(K4="",K4&lt;7),"",IF($D$1-YEAR($B$1)&gt;0,"",IF(AND($D$1-YEAR($B$1)=0,K3-MONTH($B$1)&gt;=1),"",VLOOKUP(K4,gibon40!$D$4:$AT$47,$N$1,1))))</f>
        <v>3361000</v>
      </c>
      <c r="L6" s="211">
        <f ca="1">IF(OR(L4="",L4&lt;7),"",IF($D$1-YEAR($B$1)&gt;0,"",IF(AND($D$1-YEAR($B$1)=0,L3-MONTH($B$1)&gt;=1),"",VLOOKUP(L4,gibon40!$D$4:$AT$47,$N$1,1))))</f>
        <v>3361000</v>
      </c>
      <c r="M6" s="211">
        <f ca="1">IF(OR(M4="",M4&lt;7),"",IF($D$1-YEAR($B$1)&gt;0,"",IF(AND($D$1-YEAR($B$1)=0,M3-MONTH($B$1)&gt;=1),"",VLOOKUP(M4,gibon40!$D$4:$AT$47,$N$1,1))))</f>
        <v>3361000</v>
      </c>
      <c r="N6" s="211">
        <f t="shared" ref="N6:N52" ca="1" si="2">SUM(B6:M6)</f>
        <v>40084800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971220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1176350</v>
      </c>
      <c r="I7" s="180"/>
      <c r="J7" s="180"/>
      <c r="K7" s="180"/>
      <c r="L7" s="180"/>
      <c r="M7" s="180"/>
      <c r="N7" s="211">
        <f t="shared" ca="1" si="2"/>
        <v>2147570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50000</v>
      </c>
      <c r="C8" s="179">
        <f t="shared" ref="C8:M8" ca="1" si="3">IF(C4="","",IF(C6="","",IF(C5&gt;=20,100000,IF(C5&gt;=15,80000,IF(C5&gt;=10,60000,IF(C5&gt;=5,50000,30000))))))</f>
        <v>50000</v>
      </c>
      <c r="D8" s="179">
        <f t="shared" ca="1" si="3"/>
        <v>50000</v>
      </c>
      <c r="E8" s="179">
        <f t="shared" ca="1" si="3"/>
        <v>50000</v>
      </c>
      <c r="F8" s="179">
        <f t="shared" ca="1" si="3"/>
        <v>50000</v>
      </c>
      <c r="G8" s="179">
        <f t="shared" ca="1" si="3"/>
        <v>50000</v>
      </c>
      <c r="H8" s="179">
        <f t="shared" ca="1" si="3"/>
        <v>50000</v>
      </c>
      <c r="I8" s="179">
        <f t="shared" ca="1" si="3"/>
        <v>50000</v>
      </c>
      <c r="J8" s="179">
        <f t="shared" ca="1" si="3"/>
        <v>50000</v>
      </c>
      <c r="K8" s="179">
        <f t="shared" ca="1" si="3"/>
        <v>50000</v>
      </c>
      <c r="L8" s="179">
        <f t="shared" ca="1" si="3"/>
        <v>50000</v>
      </c>
      <c r="M8" s="179">
        <f t="shared" ca="1" si="3"/>
        <v>50000</v>
      </c>
      <c r="N8" s="211">
        <f t="shared" ca="1" si="2"/>
        <v>600000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4785950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4785950</v>
      </c>
    </row>
    <row r="11" spans="1:14" ht="9.75" customHeight="1">
      <c r="A11" s="178" t="s">
        <v>63</v>
      </c>
      <c r="B11" s="179">
        <f ca="1">IF(B$6="",0,'2028'!M11)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1942440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2016600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3959040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IF(B$6="",0,'2028'!M15)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IF(B$6="",0,'2028'!M16)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IF(B$6="",0,'2028'!M18)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IF(B$6="",0,'2028'!M19)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47080</v>
      </c>
      <c r="E21" s="179">
        <f ca="1">IF(D4="","",IF(E$6="","",ROUND(VLOOKUP(E4,gibon40!$D$51:$AV$100,$N$1+1)*10*15/15,-1)))</f>
        <v>141240</v>
      </c>
      <c r="F21" s="179">
        <f ca="1">IF(E4="","",IF(F$6="","",ROUND(VLOOKUP(F4,gibon40!$D$51:$AV$100,$N$1+1)*10*15/15,-1)))</f>
        <v>141240</v>
      </c>
      <c r="G21" s="179">
        <f ca="1">IF(F4="","",IF(G$6="","",ROUND(VLOOKUP(G4,gibon40!$D$51:$AV$100,$N$1+1)*10*15/15,-1)))</f>
        <v>141240</v>
      </c>
      <c r="H21" s="179">
        <f ca="1">IF(G4="","",IF(H$6="","",ROUND(VLOOKUP(H4,gibon40!$D$51:$AV$100,$N$1+1)*10*15/15,-1)))</f>
        <v>141240</v>
      </c>
      <c r="I21" s="179">
        <f ca="1">IF(H4="","",IF(I$6="","",ROUND(VLOOKUP(I4,gibon40!$D$51:$AV$100,$N$1+1)*10*15/15,-1)))</f>
        <v>141240</v>
      </c>
      <c r="J21" s="179">
        <f ca="1">IF(I4="","",IF(J$6="","",ROUND(VLOOKUP(J4,gibon40!$D$51:$AV$100,$N$1+1)*7*15/15,-1)))</f>
        <v>98870</v>
      </c>
      <c r="K21" s="179">
        <f ca="1">IF(J4="","",IF(K$6="","",ROUND(VLOOKUP(K4,gibon40!$D$51:$AV$100,$N$1+1)*10*15/15,-1)))</f>
        <v>141240</v>
      </c>
      <c r="L21" s="179">
        <f ca="1">IF(K4="","",IF(L$6="","",ROUND(VLOOKUP(L4,gibon40!$D$51:$AV$100,$N$1+1)*10*15/15,-1)))</f>
        <v>141240</v>
      </c>
      <c r="M21" s="179">
        <f ca="1">IF(L4="","",IF(M$6="","",ROUND(VLOOKUP(M4,gibon40!$D$51:$AV$100,$N$1+1)*10*15/15*2,-1)))</f>
        <v>282470</v>
      </c>
      <c r="N21" s="211">
        <f t="shared" ca="1" si="2"/>
        <v>1417100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IF(B$6="",0,'2028'!M23)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IF(B$6="",0,'2028'!M24)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'2028'!A25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4933620</v>
      </c>
      <c r="C26" s="213">
        <f t="shared" ref="C26:M26" ca="1" si="16">ROUNDDOWN(SUM(C6:C25),-1)</f>
        <v>5904840</v>
      </c>
      <c r="D26" s="213">
        <f t="shared" ca="1" si="16"/>
        <v>8919030</v>
      </c>
      <c r="E26" s="213">
        <f t="shared" ca="1" si="16"/>
        <v>4227240</v>
      </c>
      <c r="F26" s="213">
        <f t="shared" ca="1" si="16"/>
        <v>4227240</v>
      </c>
      <c r="G26" s="213">
        <f t="shared" ca="1" si="16"/>
        <v>4227240</v>
      </c>
      <c r="H26" s="213">
        <f t="shared" ca="1" si="16"/>
        <v>5403590</v>
      </c>
      <c r="I26" s="213">
        <f t="shared" ca="1" si="16"/>
        <v>4227240</v>
      </c>
      <c r="J26" s="213">
        <f t="shared" ca="1" si="16"/>
        <v>6201470</v>
      </c>
      <c r="K26" s="213">
        <f t="shared" ca="1" si="16"/>
        <v>4227240</v>
      </c>
      <c r="L26" s="213">
        <f t="shared" ca="1" si="16"/>
        <v>4227240</v>
      </c>
      <c r="M26" s="213">
        <f t="shared" ca="1" si="16"/>
        <v>4368470</v>
      </c>
      <c r="N26" s="214">
        <f ca="1">SUM(B26:M26)</f>
        <v>61094460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263870</v>
      </c>
      <c r="C27" s="179">
        <f ca="1">IF(C6="",0,ROUND(VLOOKUP(($N$26-1200000-$N$17-$N$16)/12,'2015근로소득간이세액표'!$C$4:$Z$700,$A$27+1)*0.78*O27,-1))</f>
        <v>267300</v>
      </c>
      <c r="D27" s="179">
        <f ca="1">IF(D6="",0,ROUND(VLOOKUP(($N$26-1200000-$N$17-$N$16)/12,'2015근로소득간이세액표'!$C$4:$Z$700,$A$27+1)*0.79*O27,-1))</f>
        <v>270730</v>
      </c>
      <c r="E27" s="179">
        <f ca="1">IF(E6="",0,ROUND(VLOOKUP(($N$26-1200000-$N$17-$N$16)/12,'2015근로소득간이세액표'!$C$4:$Z$700,$A$27+1)*1.1*O27,-1))</f>
        <v>376960</v>
      </c>
      <c r="F27" s="179">
        <f ca="1">IF(F6="",0,ROUND(VLOOKUP(($N$26-1200000-$N$17-$N$16)/12,'2015근로소득간이세액표'!$C$4:$Z$700,$A$27+1)*1.11*O27,-1))</f>
        <v>380390</v>
      </c>
      <c r="G27" s="179">
        <f ca="1">IF(G6="",0,ROUND(VLOOKUP(($N$26-1200000-$N$17-$N$16)/12,'2015근로소득간이세액표'!$C$4:$Z$700,$A$27+1)*1.12*O27,-1))</f>
        <v>383810</v>
      </c>
      <c r="H27" s="179">
        <f ca="1">IF(H6="",0,ROUND(VLOOKUP(($N$26-1200000-$N$17-$N$16)/12,'2015근로소득간이세액표'!$C$4:$Z$700,$A$27+1)*1.13*O27,-1))</f>
        <v>387240</v>
      </c>
      <c r="I27" s="179">
        <f ca="1">IF(I6="",0,ROUND(VLOOKUP(($N$26-1200000-$N$17-$N$16)/12,'2015근로소득간이세액표'!$C$4:$Z$700,$A$27+1)*1.14*O27,-1))</f>
        <v>390670</v>
      </c>
      <c r="J27" s="179">
        <f ca="1">IF(J6="",0,ROUND(VLOOKUP(($N$26-1200000-$N$17-$N$16)/12,'2015근로소득간이세액표'!$C$4:$Z$700,$A$27+1)*1.15*O27,-1))</f>
        <v>394090</v>
      </c>
      <c r="K27" s="179">
        <f ca="1">IF(K6="",0,ROUND(VLOOKUP(($N$26-1200000-$N$17-$N$16)/12,'2015근로소득간이세액표'!$C$4:$Z$700,$A$27+1)*1.16*O27,-1))</f>
        <v>397520</v>
      </c>
      <c r="L27" s="179">
        <f ca="1">IF(L6="",0,ROUND(VLOOKUP(($N$26-1200000-$N$17-$N$16)/12,'2015근로소득간이세액표'!$C$4:$Z$700,$A$27+1)*1.17*O27,-1))</f>
        <v>400950</v>
      </c>
      <c r="M27" s="179">
        <f ca="1">IF(M6="",0,ROUND(VLOOKUP(($N$26-1200000-$N$17-$N$16)/12,'2015근로소득간이세액표'!$C$4:$Z$700,$A$27+1)*1.18*O27,-1))</f>
        <v>404370</v>
      </c>
      <c r="N27" s="179">
        <f t="shared" ref="N27:N28" ca="1" si="17">SUM(B27:M27)</f>
        <v>4317900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26390</v>
      </c>
      <c r="C28" s="179">
        <f t="shared" ca="1" si="18"/>
        <v>26730</v>
      </c>
      <c r="D28" s="179">
        <f t="shared" ca="1" si="18"/>
        <v>27070</v>
      </c>
      <c r="E28" s="179">
        <f t="shared" ca="1" si="18"/>
        <v>37700</v>
      </c>
      <c r="F28" s="179">
        <f t="shared" ca="1" si="18"/>
        <v>38040</v>
      </c>
      <c r="G28" s="179">
        <f t="shared" ca="1" si="18"/>
        <v>38380</v>
      </c>
      <c r="H28" s="179">
        <f t="shared" ca="1" si="18"/>
        <v>38720</v>
      </c>
      <c r="I28" s="179">
        <f t="shared" ca="1" si="18"/>
        <v>39070</v>
      </c>
      <c r="J28" s="179">
        <f ca="1">IF(J$6="","",ROUND(J27*0.1,-1))</f>
        <v>39410</v>
      </c>
      <c r="K28" s="179">
        <f t="shared" ref="K28:M28" ca="1" si="19">IF(K$6="","",ROUND(K27*0.1,-1))</f>
        <v>39750</v>
      </c>
      <c r="L28" s="179">
        <f t="shared" ca="1" si="19"/>
        <v>40100</v>
      </c>
      <c r="M28" s="179">
        <f t="shared" ca="1" si="19"/>
        <v>40440</v>
      </c>
      <c r="N28" s="179">
        <f t="shared" ca="1" si="17"/>
        <v>431800</v>
      </c>
    </row>
    <row r="29" spans="1:20" ht="9.75" customHeight="1">
      <c r="A29" s="182" t="s">
        <v>435</v>
      </c>
      <c r="B29" s="879">
        <f ca="1">IF(B4="","",IF(B6="","",IF($D$1-YEAR('2025'!$I$1)&gt;0,"",IF(AND($D$1-YEAR('2025'!$I$1)=0,B3-MONTH('2025'!$I$1)&gt;=1),"",'2028'!M29))))</f>
        <v>394310</v>
      </c>
      <c r="C29" s="179">
        <f ca="1">IF(C4="","",IF(C6="","",IF($D$1-YEAR('2025'!$I$1)&gt;0,"",IF(AND($D$1-YEAR('2025'!$I$1)=0,C3-MONTH('2025'!$I$1)&gt;=1),"",B29))))</f>
        <v>394310</v>
      </c>
      <c r="D29" s="179">
        <f ca="1">IF(D4="","",IF(D6="","",IF($D$1-YEAR('2025'!$I$1)&gt;0,"",IF(AND($D$1-YEAR('2025'!$I$1)=0,D3-MONTH('2025'!$I$1)&gt;=1),"",C29))))</f>
        <v>394310</v>
      </c>
      <c r="E29" s="179">
        <f ca="1">IF(E4="","",IF(E6="","",IF($D$1-YEAR('2025'!$I$1)&gt;0,"",IF(AND($D$1-YEAR('2025'!$I$1)=0,E3-MONTH('2025'!$I$1)&gt;=1),"",D29))))</f>
        <v>394310</v>
      </c>
      <c r="F29" s="879">
        <f ca="1">IF(F4="","",IF(F$6="","",IF($D$1-YEAR('2025'!$I$1)&gt;0,"",IF(AND($D$1-YEAR('2025'!$I$1)=0,F3-MONTH('2025'!$I$1)&gt;=1),"",VLOOKUP(F$4,집계표!$AK$5:$HA$47,$N$1*3+$N$1-1+4)))))</f>
        <v>419890</v>
      </c>
      <c r="G29" s="179">
        <f ca="1">IF(G6="",0,IF($D$1-YEAR('2025'!$I$1)&gt;0,"",IF(AND($D$1-YEAR('2025'!$I$1)=0,G3-MONTH('2025'!$I$1)&gt;=1),"",F29)))</f>
        <v>419890</v>
      </c>
      <c r="H29" s="179">
        <f ca="1">IF(H6="",0,IF($D$1-YEAR('2025'!$I$1)&gt;0,"",IF(AND($D$1-YEAR('2025'!$I$1)=0,H3-MONTH('2025'!$I$1)&gt;=1),"",G29)))</f>
        <v>419890</v>
      </c>
      <c r="I29" s="179">
        <f ca="1">IF(I6="",0,IF($D$1-YEAR('2025'!$I$1)&gt;0,"",IF(AND($D$1-YEAR('2025'!$I$1)=0,I3-MONTH('2025'!$I$1)&gt;=1),"",H29)))</f>
        <v>419890</v>
      </c>
      <c r="J29" s="179">
        <f ca="1">IF(J6="",0,IF($D$1-YEAR('2025'!$I$1)&gt;0,"",IF(AND($D$1-YEAR('2025'!$I$1)=0,J3-MONTH('2025'!$I$1)&gt;=1),"",I29)))</f>
        <v>419890</v>
      </c>
      <c r="K29" s="179">
        <f ca="1">IF(K6="",0,IF($D$1-YEAR('2025'!$I$1)&gt;0,"",IF(AND($D$1-YEAR('2025'!$I$1)=0,K3-MONTH('2025'!$I$1)&gt;=1),"",J29)))</f>
        <v>419890</v>
      </c>
      <c r="L29" s="179">
        <f ca="1">IF(L6="",0,IF($D$1-YEAR('2025'!$I$1)&gt;0,"",IF(AND($D$1-YEAR('2025'!$I$1)=0,L3-MONTH('2025'!$I$1)&gt;=1),"",K29)))</f>
        <v>419890</v>
      </c>
      <c r="M29" s="179">
        <f ca="1">IF(M6="",0,IF($D$1-YEAR('2025'!$I$1)&gt;0,"",IF(AND($D$1-YEAR('2025'!$I$1)=0,M3-MONTH('2025'!$I$1)&gt;=1),"",L29)))</f>
        <v>419890</v>
      </c>
      <c r="N29" s="211">
        <f t="shared" ca="1" si="2"/>
        <v>4936360</v>
      </c>
    </row>
    <row r="30" spans="1:20" ht="9.75" customHeight="1">
      <c r="A30" s="182" t="s">
        <v>58</v>
      </c>
      <c r="B30" s="179">
        <f ca="1">IF(B6="","",'2028'!M30)</f>
        <v>154100</v>
      </c>
      <c r="C30" s="179">
        <f ca="1">IF(C6="","",B30)</f>
        <v>154100</v>
      </c>
      <c r="D30" s="179">
        <f ca="1">IF(D6="","",C30)</f>
        <v>154100</v>
      </c>
      <c r="E30" s="857">
        <f ca="1">IF(E6="","",VLOOKUP(E$4,집계표!$AK$5:$HA$47,$N$1*4))</f>
        <v>168200</v>
      </c>
      <c r="F30" s="179">
        <f ca="1">IF(F6="","",E30)</f>
        <v>168200</v>
      </c>
      <c r="G30" s="179">
        <f t="shared" ref="G30:M30" ca="1" si="20">IF(G6="","",F30)</f>
        <v>168200</v>
      </c>
      <c r="H30" s="179">
        <f t="shared" ca="1" si="20"/>
        <v>168200</v>
      </c>
      <c r="I30" s="179">
        <f t="shared" ca="1" si="20"/>
        <v>168200</v>
      </c>
      <c r="J30" s="179">
        <f t="shared" ca="1" si="20"/>
        <v>168200</v>
      </c>
      <c r="K30" s="179">
        <f t="shared" ca="1" si="20"/>
        <v>168200</v>
      </c>
      <c r="L30" s="179">
        <f t="shared" ca="1" si="20"/>
        <v>168200</v>
      </c>
      <c r="M30" s="179">
        <f t="shared" ca="1" si="20"/>
        <v>168200</v>
      </c>
      <c r="N30" s="211">
        <f t="shared" ca="1" si="2"/>
        <v>1976100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15800</v>
      </c>
      <c r="C31" s="179">
        <f t="shared" ca="1" si="21"/>
        <v>15800</v>
      </c>
      <c r="D31" s="179">
        <f t="shared" ca="1" si="21"/>
        <v>15800</v>
      </c>
      <c r="E31" s="179">
        <f t="shared" ca="1" si="21"/>
        <v>17240</v>
      </c>
      <c r="F31" s="179">
        <f t="shared" ca="1" si="21"/>
        <v>17240</v>
      </c>
      <c r="G31" s="179">
        <f t="shared" ca="1" si="21"/>
        <v>17240</v>
      </c>
      <c r="H31" s="179">
        <f t="shared" ca="1" si="21"/>
        <v>17240</v>
      </c>
      <c r="I31" s="179">
        <f t="shared" ca="1" si="21"/>
        <v>17240</v>
      </c>
      <c r="J31" s="179">
        <f ca="1">IF(J$6="","",ROUND(IF(J4="","",J30*10.25%),-1))</f>
        <v>17240</v>
      </c>
      <c r="K31" s="179">
        <f t="shared" ref="K31:M31" ca="1" si="22">IF(K$6="","",ROUND(IF(K4="","",K30*10.25%),-1))</f>
        <v>17240</v>
      </c>
      <c r="L31" s="179">
        <f t="shared" ca="1" si="22"/>
        <v>17240</v>
      </c>
      <c r="M31" s="179">
        <f t="shared" ca="1" si="22"/>
        <v>17240</v>
      </c>
      <c r="N31" s="211">
        <f t="shared" ca="1" si="2"/>
        <v>202560</v>
      </c>
    </row>
    <row r="32" spans="1:20" ht="9.75" customHeight="1">
      <c r="A32" s="597" t="str">
        <f>'2028'!A32</f>
        <v>교직원공제비</v>
      </c>
      <c r="B32" s="621">
        <f ca="1">IF(B$6="","",'2028'!B32)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'2028'!A33</f>
        <v>급식비</v>
      </c>
      <c r="B33" s="621">
        <f ca="1">IF(B$6="","",'2028'!B33)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IF(B$6="",0,'2028'!M34)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IF(B$6="",0,'2028'!M38)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IF(B$6="",0,'2028'!M39)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1175110</v>
      </c>
      <c r="C40" s="216">
        <f t="shared" ca="1" si="28"/>
        <v>1178880</v>
      </c>
      <c r="D40" s="216">
        <f t="shared" ca="1" si="28"/>
        <v>1182650</v>
      </c>
      <c r="E40" s="216">
        <f t="shared" ca="1" si="28"/>
        <v>1315050</v>
      </c>
      <c r="F40" s="216">
        <f t="shared" ca="1" si="28"/>
        <v>1344400</v>
      </c>
      <c r="G40" s="216">
        <f t="shared" ca="1" si="28"/>
        <v>1348160</v>
      </c>
      <c r="H40" s="216">
        <f t="shared" ca="1" si="28"/>
        <v>1351930</v>
      </c>
      <c r="I40" s="216">
        <f t="shared" ca="1" si="28"/>
        <v>1355710</v>
      </c>
      <c r="J40" s="216">
        <f ca="1">IF(J26="","",SUM(J27:J39))</f>
        <v>1359470</v>
      </c>
      <c r="K40" s="216">
        <f t="shared" ref="K40:M40" ca="1" si="29">IF(K26="","",SUM(K27:K39))</f>
        <v>1363240</v>
      </c>
      <c r="L40" s="216">
        <f t="shared" ca="1" si="29"/>
        <v>1367020</v>
      </c>
      <c r="M40" s="216">
        <f t="shared" ca="1" si="29"/>
        <v>1370780</v>
      </c>
      <c r="N40" s="216">
        <f ca="1">SUM(B40:M40)</f>
        <v>15712400</v>
      </c>
    </row>
    <row r="41" spans="1:14" ht="9.75" customHeight="1">
      <c r="A41" s="183" t="s">
        <v>79</v>
      </c>
      <c r="B41" s="184">
        <f ca="1">ROUND((B26-B40),-1)</f>
        <v>3758510</v>
      </c>
      <c r="C41" s="184">
        <f t="shared" ref="C41:M41" ca="1" si="30">ROUND((C26-C40),-1)</f>
        <v>4725960</v>
      </c>
      <c r="D41" s="184">
        <f t="shared" ca="1" si="30"/>
        <v>7736380</v>
      </c>
      <c r="E41" s="184">
        <f t="shared" ca="1" si="30"/>
        <v>2912190</v>
      </c>
      <c r="F41" s="184">
        <f t="shared" ca="1" si="30"/>
        <v>2882840</v>
      </c>
      <c r="G41" s="184">
        <f t="shared" ca="1" si="30"/>
        <v>2879080</v>
      </c>
      <c r="H41" s="184">
        <f t="shared" ca="1" si="30"/>
        <v>4051660</v>
      </c>
      <c r="I41" s="184">
        <f t="shared" ca="1" si="30"/>
        <v>2871530</v>
      </c>
      <c r="J41" s="184">
        <f t="shared" ca="1" si="30"/>
        <v>4842000</v>
      </c>
      <c r="K41" s="184">
        <f t="shared" ca="1" si="30"/>
        <v>2864000</v>
      </c>
      <c r="L41" s="184">
        <f t="shared" ca="1" si="30"/>
        <v>2860220</v>
      </c>
      <c r="M41" s="184">
        <f t="shared" ca="1" si="30"/>
        <v>2997690</v>
      </c>
      <c r="N41" s="184">
        <f ca="1">SUM(B41:M41)</f>
        <v>45382060</v>
      </c>
    </row>
    <row r="42" spans="1:14" ht="9.75" customHeight="1">
      <c r="A42" s="217" t="str">
        <f>'2028'!A42</f>
        <v>12)지출내용입력1</v>
      </c>
      <c r="B42" s="211">
        <f>'2028'!M42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'2028'!A43</f>
        <v>지출내용입력2</v>
      </c>
      <c r="B43" s="211">
        <f>'2028'!M43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'2028'!A44</f>
        <v>지출내용입력3</v>
      </c>
      <c r="B44" s="211">
        <f>'2028'!M44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'2028'!A45</f>
        <v>지출내용입력4</v>
      </c>
      <c r="B45" s="211">
        <f>'2028'!M45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'2028'!A46</f>
        <v>지출내용입력5</v>
      </c>
      <c r="B46" s="211">
        <f>'2028'!M46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'2028'!A47</f>
        <v>지출내용입력6</v>
      </c>
      <c r="B47" s="211">
        <f>'2028'!M47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'2028'!A48</f>
        <v>지출내용입력7</v>
      </c>
      <c r="B48" s="211">
        <f>'2028'!M48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'2028'!A49</f>
        <v>지출내용입력8</v>
      </c>
      <c r="B49" s="211">
        <f>'2028'!M49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'2028'!A50</f>
        <v>지출내용입력9</v>
      </c>
      <c r="B50" s="211">
        <f>'2028'!M50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'2028'!A51</f>
        <v>지출내용입력10</v>
      </c>
      <c r="B51" s="211">
        <f>'2028'!M51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3758410</v>
      </c>
      <c r="C53" s="188">
        <f t="shared" ca="1" si="33"/>
        <v>4725860</v>
      </c>
      <c r="D53" s="188">
        <f t="shared" ca="1" si="33"/>
        <v>7736280</v>
      </c>
      <c r="E53" s="188">
        <f t="shared" ca="1" si="33"/>
        <v>2912090</v>
      </c>
      <c r="F53" s="188">
        <f t="shared" ca="1" si="33"/>
        <v>2882740</v>
      </c>
      <c r="G53" s="188">
        <f t="shared" ca="1" si="33"/>
        <v>2878980</v>
      </c>
      <c r="H53" s="188">
        <f t="shared" ca="1" si="33"/>
        <v>4051560</v>
      </c>
      <c r="I53" s="188">
        <f t="shared" ca="1" si="33"/>
        <v>2871430</v>
      </c>
      <c r="J53" s="188">
        <f t="shared" ca="1" si="33"/>
        <v>4841900</v>
      </c>
      <c r="K53" s="188">
        <f t="shared" ca="1" si="33"/>
        <v>2863900</v>
      </c>
      <c r="L53" s="188">
        <f t="shared" ca="1" si="33"/>
        <v>2860120</v>
      </c>
      <c r="M53" s="188">
        <f t="shared" ca="1" si="33"/>
        <v>2997590</v>
      </c>
      <c r="N53" s="188">
        <f t="shared" ca="1" si="33"/>
        <v>45380860</v>
      </c>
    </row>
    <row r="55" spans="1:14" ht="18">
      <c r="A55" s="1232" t="str">
        <f ca="1">D1</f>
        <v>2029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352275</v>
      </c>
      <c r="C57" s="688">
        <f ca="1">IF(C6="",0,VLOOKUP(C26-C17-100000,'2015 근로소득 간이세액표'!$C$4:$N$845,1+$M$55)*1.1)</f>
        <v>520091.00000000006</v>
      </c>
      <c r="D57" s="688">
        <f ca="1">IF(D6="",0,VLOOKUP(D26-D17-100000,'2015 근로소득 간이세액표'!$C$4:$N$845,1+$M$55)*1.1)</f>
        <v>1298924</v>
      </c>
      <c r="E57" s="688">
        <f ca="1">IF(E6="",0,VLOOKUP(E26-E17-100000,'2015 근로소득 간이세액표'!$C$4:$N$845,1+$M$55)*1.1)</f>
        <v>241527.00000000003</v>
      </c>
      <c r="F57" s="688">
        <f ca="1">IF(F6="",0,VLOOKUP(F26-F17-100000,'2015 근로소득 간이세액표'!$C$4:$N$845,1+$M$55)*1.1)</f>
        <v>241527.00000000003</v>
      </c>
      <c r="G57" s="688">
        <f ca="1">IF(G6="",0,VLOOKUP(G26-G17-100000,'2015 근로소득 간이세액표'!$C$4:$N$845,1+$M$55)*1.1)</f>
        <v>241527.00000000003</v>
      </c>
      <c r="H57" s="688">
        <f ca="1">IF(H6="",0,VLOOKUP(H26-H17-100000,'2015 근로소득 간이세액표'!$C$4:$N$845,1+$M$55)*1.1)</f>
        <v>426327.00000000006</v>
      </c>
      <c r="I57" s="688">
        <f ca="1">IF(I6="",0,VLOOKUP(I26-I17-100000,'2015 근로소득 간이세액표'!$C$4:$N$845,1+$M$55)*1.1)</f>
        <v>241527.00000000003</v>
      </c>
      <c r="J57" s="688">
        <f ca="1">IF(J6="",0,VLOOKUP(J26-J17-100000,'2015 근로소득 간이세액표'!$C$4:$N$845,1+$M$55)*1.1)</f>
        <v>622028</v>
      </c>
      <c r="K57" s="688">
        <f ca="1">IF(K6="",0,VLOOKUP(K26-K17-100000,'2015 근로소득 간이세액표'!$C$4:$N$845,1+$M$55)*1.1)</f>
        <v>241527.00000000003</v>
      </c>
      <c r="L57" s="688">
        <f ca="1">IF(L6="",0,VLOOKUP(L26-L17-100000,'2015 근로소득 간이세액표'!$C$4:$N$845,1+$M$55)*1.1)</f>
        <v>241527.00000000003</v>
      </c>
      <c r="M57" s="688">
        <f ca="1">IF(M6="",0,VLOOKUP(M26-M17-100000,'2015 근로소득 간이세액표'!$C$4:$N$845,1+$M$55)*1.1)</f>
        <v>263131</v>
      </c>
      <c r="N57" s="689">
        <f ca="1">SUM(B57:M57)</f>
        <v>4931938</v>
      </c>
    </row>
    <row r="58" spans="1:14" ht="10" customHeight="1">
      <c r="A58" s="687" t="s">
        <v>295</v>
      </c>
      <c r="B58" s="689">
        <f t="shared" ref="B58:M58" ca="1" si="34">IF(B6="",0,B27+B28)</f>
        <v>290260</v>
      </c>
      <c r="C58" s="689">
        <f t="shared" ca="1" si="34"/>
        <v>294030</v>
      </c>
      <c r="D58" s="689">
        <f t="shared" ca="1" si="34"/>
        <v>297800</v>
      </c>
      <c r="E58" s="689">
        <f t="shared" ca="1" si="34"/>
        <v>414660</v>
      </c>
      <c r="F58" s="689">
        <f t="shared" ca="1" si="34"/>
        <v>418430</v>
      </c>
      <c r="G58" s="689">
        <f t="shared" ca="1" si="34"/>
        <v>422190</v>
      </c>
      <c r="H58" s="689">
        <f t="shared" ca="1" si="34"/>
        <v>425960</v>
      </c>
      <c r="I58" s="689">
        <f t="shared" ca="1" si="34"/>
        <v>429740</v>
      </c>
      <c r="J58" s="689">
        <f t="shared" ca="1" si="34"/>
        <v>433500</v>
      </c>
      <c r="K58" s="689">
        <f t="shared" ca="1" si="34"/>
        <v>437270</v>
      </c>
      <c r="L58" s="689">
        <f t="shared" ca="1" si="34"/>
        <v>441050</v>
      </c>
      <c r="M58" s="689">
        <f t="shared" ca="1" si="34"/>
        <v>444810</v>
      </c>
      <c r="N58" s="689">
        <f ca="1">SUM(B58:M58)</f>
        <v>4749700</v>
      </c>
    </row>
    <row r="59" spans="1:14" ht="10" customHeight="1">
      <c r="A59" s="680" t="s">
        <v>546</v>
      </c>
      <c r="B59" s="684">
        <f ca="1">B57-B58</f>
        <v>62015</v>
      </c>
      <c r="C59" s="684">
        <f t="shared" ref="C59:N59" ca="1" si="35">C57-C58</f>
        <v>226061.00000000006</v>
      </c>
      <c r="D59" s="684">
        <f t="shared" ca="1" si="35"/>
        <v>1001124</v>
      </c>
      <c r="E59" s="684">
        <f t="shared" ca="1" si="35"/>
        <v>-173132.99999999997</v>
      </c>
      <c r="F59" s="684">
        <f t="shared" ca="1" si="35"/>
        <v>-176902.99999999997</v>
      </c>
      <c r="G59" s="684">
        <f t="shared" ca="1" si="35"/>
        <v>-180662.99999999997</v>
      </c>
      <c r="H59" s="684">
        <f t="shared" ca="1" si="35"/>
        <v>367.00000000005821</v>
      </c>
      <c r="I59" s="684">
        <f t="shared" ca="1" si="35"/>
        <v>-188212.99999999997</v>
      </c>
      <c r="J59" s="684">
        <f t="shared" ca="1" si="35"/>
        <v>188528</v>
      </c>
      <c r="K59" s="684">
        <f t="shared" ca="1" si="35"/>
        <v>-195742.99999999997</v>
      </c>
      <c r="L59" s="684">
        <f t="shared" ca="1" si="35"/>
        <v>-199522.99999999997</v>
      </c>
      <c r="M59" s="684">
        <f t="shared" ca="1" si="35"/>
        <v>-181679</v>
      </c>
      <c r="N59" s="684">
        <f t="shared" ca="1" si="35"/>
        <v>182238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182238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64"/>
      <c r="K60" s="1264"/>
      <c r="L60" s="1264"/>
      <c r="M60" s="1264"/>
      <c r="N60" s="685"/>
    </row>
  </sheetData>
  <sheetProtection algorithmName="SHA-512" hashValue="c8zopH4qBvI2m60C4wWV1yAuLATGgcAJX5r6JqwDRSZ1kRGoMdkGvq8E/6xcLGP342eDzYKEyzkSyovDBzS+ug==" saltValue="FeDMWwRPsuD120MPPFkKv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93" priority="8">
      <formula>$E$2="y"</formula>
    </cfRule>
    <cfRule type="expression" dxfId="492" priority="9">
      <formula>$D$2="Y"</formula>
    </cfRule>
    <cfRule type="expression" dxfId="491" priority="10">
      <formula>$F$2="y"</formula>
    </cfRule>
  </conditionalFormatting>
  <conditionalFormatting sqref="B27:M27">
    <cfRule type="expression" dxfId="490" priority="1">
      <formula>$F$2="y"</formula>
    </cfRule>
  </conditionalFormatting>
  <conditionalFormatting sqref="D16">
    <cfRule type="expression" dxfId="489" priority="26">
      <formula>$E$2="y"</formula>
    </cfRule>
    <cfRule type="expression" dxfId="488" priority="27">
      <formula>$E$2="y"</formula>
    </cfRule>
    <cfRule type="expression" dxfId="487" priority="28">
      <formula>$F$2="y"</formula>
    </cfRule>
  </conditionalFormatting>
  <conditionalFormatting sqref="D18">
    <cfRule type="expression" dxfId="486" priority="23">
      <formula>$E$2="y"</formula>
    </cfRule>
    <cfRule type="expression" dxfId="485" priority="24">
      <formula>$E$2="y"</formula>
    </cfRule>
    <cfRule type="expression" dxfId="484" priority="25">
      <formula>$F$2="y"</formula>
    </cfRule>
  </conditionalFormatting>
  <conditionalFormatting sqref="J12:K12">
    <cfRule type="expression" dxfId="483" priority="5">
      <formula>$E$2="y"</formula>
    </cfRule>
    <cfRule type="expression" dxfId="482" priority="6">
      <formula>$D$2="Y"</formula>
    </cfRule>
    <cfRule type="expression" dxfId="481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85" r:id="rId3" name="Drop Down 5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86" r:id="rId4" name="Drop Down 6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87" r:id="rId5" name="Drop Down 7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91" r:id="rId6" name="Drop Down 11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4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M2" sqref="M2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8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2030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집계표!H119</f>
        <v>2</v>
      </c>
      <c r="M1" s="627">
        <f>집계표!H122</f>
        <v>1</v>
      </c>
      <c r="N1" s="618">
        <v>6</v>
      </c>
      <c r="O1" s="200"/>
      <c r="P1" s="205"/>
      <c r="Q1" s="350"/>
    </row>
    <row r="2" spans="1:18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집계표!AQ53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  <c r="O2" s="200"/>
      <c r="P2" s="350"/>
      <c r="Q2" s="205"/>
    </row>
    <row r="3" spans="1:18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  <c r="P3" s="349"/>
      <c r="Q3" s="349"/>
      <c r="R3" s="349"/>
    </row>
    <row r="4" spans="1:18" ht="9.75" customHeight="1">
      <c r="A4" s="202" t="s">
        <v>139</v>
      </c>
      <c r="B4" s="356">
        <f>IF('2029'!M4&gt;=50,50,IF(AND('2029'!M4=50,M$3=$N$5),"",IF(B3=$N$5,'2029'!M4+1,'2029'!M4)))</f>
        <v>17</v>
      </c>
      <c r="C4" s="176">
        <f>IF(B4&gt;=50,50,IF(AND(B4=50,C$3=$N$5),50,IF(C$3=$N$5,B4+1,B4)))</f>
        <v>17</v>
      </c>
      <c r="D4" s="176">
        <f t="shared" ref="D4:M4" si="0">IF(C4&gt;=50,50,IF(AND(C4=50,D$3=$N$5),50,IF(D$3=$N$5,C4+1,C4)))</f>
        <v>18</v>
      </c>
      <c r="E4" s="176">
        <f t="shared" si="0"/>
        <v>18</v>
      </c>
      <c r="F4" s="176">
        <f t="shared" si="0"/>
        <v>18</v>
      </c>
      <c r="G4" s="176">
        <f t="shared" si="0"/>
        <v>18</v>
      </c>
      <c r="H4" s="176">
        <f t="shared" si="0"/>
        <v>18</v>
      </c>
      <c r="I4" s="176">
        <f t="shared" si="0"/>
        <v>18</v>
      </c>
      <c r="J4" s="176">
        <f t="shared" si="0"/>
        <v>18</v>
      </c>
      <c r="K4" s="176">
        <f t="shared" si="0"/>
        <v>18</v>
      </c>
      <c r="L4" s="176">
        <f t="shared" si="0"/>
        <v>18</v>
      </c>
      <c r="M4" s="176">
        <f t="shared" si="0"/>
        <v>18</v>
      </c>
      <c r="N4" s="202" t="s">
        <v>124</v>
      </c>
    </row>
    <row r="5" spans="1:18" ht="9.75" customHeight="1">
      <c r="A5" s="208" t="s">
        <v>134</v>
      </c>
      <c r="B5" s="356">
        <f>IF(B$3=$N$5,'2029'!M5+1,'2029'!M5)</f>
        <v>7</v>
      </c>
      <c r="C5" s="209">
        <f>IF(C$3=$N$5,B5+1,B5)</f>
        <v>7</v>
      </c>
      <c r="D5" s="209">
        <f t="shared" ref="D5:M5" si="1">IF(D$3=$N$5,C5+1,C5)</f>
        <v>8</v>
      </c>
      <c r="E5" s="209">
        <f t="shared" si="1"/>
        <v>8</v>
      </c>
      <c r="F5" s="209">
        <f t="shared" si="1"/>
        <v>8</v>
      </c>
      <c r="G5" s="209">
        <f t="shared" si="1"/>
        <v>8</v>
      </c>
      <c r="H5" s="209">
        <f t="shared" si="1"/>
        <v>8</v>
      </c>
      <c r="I5" s="209">
        <f t="shared" si="1"/>
        <v>8</v>
      </c>
      <c r="J5" s="209">
        <f t="shared" si="1"/>
        <v>8</v>
      </c>
      <c r="K5" s="209">
        <f t="shared" si="1"/>
        <v>8</v>
      </c>
      <c r="L5" s="209">
        <f t="shared" si="1"/>
        <v>8</v>
      </c>
      <c r="M5" s="209">
        <f t="shared" si="1"/>
        <v>8</v>
      </c>
      <c r="N5" s="177">
        <f>'2026'!N5</f>
        <v>3</v>
      </c>
      <c r="P5" s="200"/>
    </row>
    <row r="6" spans="1:18" ht="9.75" customHeight="1">
      <c r="A6" s="210" t="s">
        <v>454</v>
      </c>
      <c r="B6" s="211">
        <f ca="1">IF(OR(B4="",B4&lt;7),"",IF($D$1-YEAR($B$1)&gt;0,"",IF(AND($D$1-YEAR($B$1)=0,B3-MONTH($B$1)&gt;=1),"",VLOOKUP(B4,gibon40!$D$4:$AT$47,$N$1,1))))</f>
        <v>3445000</v>
      </c>
      <c r="C6" s="211">
        <f ca="1">IF(OR(C4="",C4&lt;7),"",IF($D$1-YEAR($B$1)&gt;0,"",IF(AND($D$1-YEAR($B$1)=0,C3-MONTH($B$1)&gt;=1),"",VLOOKUP(C4,gibon40!$D$4:$AT$47,$N$1,1))))</f>
        <v>3445000</v>
      </c>
      <c r="D6" s="211">
        <f ca="1">IF(OR(D4="",D4&lt;7),"",IF($D$1-YEAR($B$1)&gt;0,"",IF(AND($D$1-YEAR($B$1)=0,D3-MONTH($B$1)&gt;=1),"",VLOOKUP(D4,gibon40!$D$4:$AT$47,$N$1,1))))</f>
        <v>3578000</v>
      </c>
      <c r="E6" s="211">
        <f ca="1">IF(OR(E4="",E4&lt;7),"",IF($D$1-YEAR($B$1)&gt;0,"",IF(AND($D$1-YEAR($B$1)=0,E3-MONTH($B$1)&gt;=1),"",VLOOKUP(E4,gibon40!$D$4:$AT$47,$N$1,1))))</f>
        <v>3578000</v>
      </c>
      <c r="F6" s="211">
        <f ca="1">IF(OR(F4="",F4&lt;7),"",IF($D$1-YEAR($B$1)&gt;0,"",IF(AND($D$1-YEAR($B$1)=0,F3-MONTH($B$1)&gt;=1),"",VLOOKUP(F4,gibon40!$D$4:$AT$47,$N$1,1))))</f>
        <v>3578000</v>
      </c>
      <c r="G6" s="211">
        <f ca="1">IF(OR(G4="",G4&lt;7),"",IF($D$1-YEAR($B$1)&gt;0,"",IF(AND($D$1-YEAR($B$1)=0,G3-MONTH($B$1)&gt;=1),"",VLOOKUP(G4,gibon40!$D$4:$AT$47,$N$1,1))))</f>
        <v>3578000</v>
      </c>
      <c r="H6" s="211">
        <f ca="1">IF(OR(H4="",H4&lt;7),"",IF($D$1-YEAR($B$1)&gt;0,"",IF(AND($D$1-YEAR($B$1)=0,H3-MONTH($B$1)&gt;=1),"",VLOOKUP(H4,gibon40!$D$4:$AT$47,$N$1,1))))</f>
        <v>3578000</v>
      </c>
      <c r="I6" s="211">
        <f ca="1">IF(OR(I4="",I4&lt;7),"",IF($D$1-YEAR($B$1)&gt;0,"",IF(AND($D$1-YEAR($B$1)=0,I3-MONTH($B$1)&gt;=1),"",VLOOKUP(I4,gibon40!$D$4:$AT$47,$N$1,1))))</f>
        <v>3578000</v>
      </c>
      <c r="J6" s="211">
        <f ca="1">IF(OR(J4="",J4&lt;7),"",IF($D$1-YEAR($B$1)&gt;0,"",IF(AND($D$1-YEAR($B$1)=0,J3-MONTH($B$1)&gt;=1),"",VLOOKUP(J4,gibon40!$D$4:$AT$47,$N$1,1))))</f>
        <v>3578000</v>
      </c>
      <c r="K6" s="211">
        <f ca="1">IF(OR(K4="",K4&lt;7),"",IF($D$1-YEAR($B$1)&gt;0,"",IF(AND($D$1-YEAR($B$1)=0,K3-MONTH($B$1)&gt;=1),"",VLOOKUP(K4,gibon40!$D$4:$AT$47,$N$1,1))))</f>
        <v>3578000</v>
      </c>
      <c r="L6" s="211">
        <f ca="1">IF(OR(L4="",L4&lt;7),"",IF($D$1-YEAR($B$1)&gt;0,"",IF(AND($D$1-YEAR($B$1)=0,L3-MONTH($B$1)&gt;=1),"",VLOOKUP(L4,gibon40!$D$4:$AT$47,$N$1,1))))</f>
        <v>3578000</v>
      </c>
      <c r="M6" s="211">
        <f ca="1">IF(OR(M4="",M4&lt;7),"",IF($D$1-YEAR($B$1)&gt;0,"",IF(AND($D$1-YEAR($B$1)=0,M3-MONTH($B$1)&gt;=1),"",VLOOKUP(M4,gibon40!$D$4:$AT$47,$N$1,1))))</f>
        <v>3578000</v>
      </c>
      <c r="N6" s="211">
        <f t="shared" ref="N6:N52" ca="1" si="2">SUM(B6:M6)</f>
        <v>42670000</v>
      </c>
      <c r="O6" s="205"/>
      <c r="P6" s="350"/>
    </row>
    <row r="7" spans="1:18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1205750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1431200</v>
      </c>
      <c r="I7" s="180"/>
      <c r="J7" s="180"/>
      <c r="K7" s="180"/>
      <c r="L7" s="180"/>
      <c r="M7" s="180"/>
      <c r="N7" s="211">
        <f t="shared" ca="1" si="2"/>
        <v>2636950</v>
      </c>
      <c r="O7" s="205"/>
      <c r="P7" s="350"/>
    </row>
    <row r="8" spans="1:18" ht="9.75" customHeight="1">
      <c r="A8" s="178" t="s">
        <v>80</v>
      </c>
      <c r="B8" s="179">
        <f ca="1">IF(B4="","",IF(B6="","",IF(B5&gt;=20,100000,IF(B5&gt;=15,80000,IF(B5&gt;=10,60000,IF(B5&gt;=5,50000,30000))))))</f>
        <v>50000</v>
      </c>
      <c r="C8" s="179">
        <f t="shared" ref="C8:M8" ca="1" si="3">IF(C4="","",IF(C6="","",IF(C5&gt;=20,100000,IF(C5&gt;=15,80000,IF(C5&gt;=10,60000,IF(C5&gt;=5,50000,30000))))))</f>
        <v>50000</v>
      </c>
      <c r="D8" s="179">
        <f t="shared" ca="1" si="3"/>
        <v>50000</v>
      </c>
      <c r="E8" s="179">
        <f t="shared" ca="1" si="3"/>
        <v>50000</v>
      </c>
      <c r="F8" s="179">
        <f t="shared" ca="1" si="3"/>
        <v>50000</v>
      </c>
      <c r="G8" s="179">
        <f t="shared" ca="1" si="3"/>
        <v>50000</v>
      </c>
      <c r="H8" s="179">
        <f t="shared" ca="1" si="3"/>
        <v>50000</v>
      </c>
      <c r="I8" s="179">
        <f t="shared" ca="1" si="3"/>
        <v>50000</v>
      </c>
      <c r="J8" s="179">
        <f t="shared" ca="1" si="3"/>
        <v>50000</v>
      </c>
      <c r="K8" s="179">
        <f t="shared" ca="1" si="3"/>
        <v>50000</v>
      </c>
      <c r="L8" s="179">
        <f t="shared" ca="1" si="3"/>
        <v>50000</v>
      </c>
      <c r="M8" s="179">
        <f t="shared" ca="1" si="3"/>
        <v>50000</v>
      </c>
      <c r="N8" s="211">
        <f t="shared" ca="1" si="2"/>
        <v>600000</v>
      </c>
      <c r="O8" s="359"/>
      <c r="P8" s="360"/>
    </row>
    <row r="9" spans="1:18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8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4905560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4905560</v>
      </c>
    </row>
    <row r="11" spans="1:18" ht="9.75" customHeight="1">
      <c r="A11" s="178" t="s">
        <v>63</v>
      </c>
      <c r="B11" s="179">
        <f ca="1">IF(B$6="",0,'2029'!M11)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8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2067000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2146800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4213800</v>
      </c>
      <c r="P12" s="200"/>
    </row>
    <row r="13" spans="1:18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8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8" ht="9.75" customHeight="1">
      <c r="A15" s="606" t="str">
        <f>IF(L1=4,"교장관리수당",IF(OR(M1=1,M1=2,L1=3),"부장수당",""))</f>
        <v>부장수당</v>
      </c>
      <c r="B15" s="610">
        <f ca="1">IF(B$6="",0,'2029'!M15)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8" ht="9.75" customHeight="1">
      <c r="A16" s="606" t="s">
        <v>331</v>
      </c>
      <c r="B16" s="610">
        <f ca="1">IF(B$6="",0,'2029'!M16)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IF(B$6="",0,'2029'!M18)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IF(B$6="",0,'2029'!M19)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48260</v>
      </c>
      <c r="E21" s="179">
        <f ca="1">IF(D4="","",IF(E$6="","",ROUND(VLOOKUP(E4,gibon40!$D$51:$AV$100,$N$1+1)*10*15/15,-1)))</f>
        <v>144770</v>
      </c>
      <c r="F21" s="179">
        <f ca="1">IF(E4="","",IF(F$6="","",ROUND(VLOOKUP(F4,gibon40!$D$51:$AV$100,$N$1+1)*10*15/15,-1)))</f>
        <v>144770</v>
      </c>
      <c r="G21" s="179">
        <f ca="1">IF(F4="","",IF(G$6="","",ROUND(VLOOKUP(G4,gibon40!$D$51:$AV$100,$N$1+1)*10*15/15,-1)))</f>
        <v>144770</v>
      </c>
      <c r="H21" s="179">
        <f ca="1">IF(G4="","",IF(H$6="","",ROUND(VLOOKUP(H4,gibon40!$D$51:$AV$100,$N$1+1)*10*15/15,-1)))</f>
        <v>144770</v>
      </c>
      <c r="I21" s="179">
        <f ca="1">IF(H4="","",IF(I$6="","",ROUND(VLOOKUP(I4,gibon40!$D$51:$AV$100,$N$1+1)*10*15/15,-1)))</f>
        <v>144770</v>
      </c>
      <c r="J21" s="179">
        <f ca="1">IF(I4="","",IF(J$6="","",ROUND(VLOOKUP(J4,gibon40!$D$51:$AV$100,$N$1+1)*7*15/15,-1)))</f>
        <v>101340</v>
      </c>
      <c r="K21" s="179">
        <f ca="1">IF(J4="","",IF(K$6="","",ROUND(VLOOKUP(K4,gibon40!$D$51:$AV$100,$N$1+1)*10*15/15,-1)))</f>
        <v>144770</v>
      </c>
      <c r="L21" s="179">
        <f ca="1">IF(K4="","",IF(L$6="","",ROUND(VLOOKUP(L4,gibon40!$D$51:$AV$100,$N$1+1)*10*15/15,-1)))</f>
        <v>144770</v>
      </c>
      <c r="M21" s="179">
        <f ca="1">IF(L4="","",IF(M$6="","",ROUND(VLOOKUP(M4,gibon40!$D$51:$AV$100,$N$1+1)*10*15/15*2,-1)))</f>
        <v>289540</v>
      </c>
      <c r="N21" s="211">
        <f t="shared" ca="1" si="2"/>
        <v>1452530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IF(B$6="",0,'2029'!M23)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IF(B$6="",0,'2029'!M24)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'2029'!A25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5375750</v>
      </c>
      <c r="C26" s="213">
        <f t="shared" ref="C26:M26" ca="1" si="16">ROUNDDOWN(SUM(C6:C25),-1)</f>
        <v>6237000</v>
      </c>
      <c r="D26" s="213">
        <f t="shared" ca="1" si="16"/>
        <v>9256820</v>
      </c>
      <c r="E26" s="213">
        <f t="shared" ca="1" si="16"/>
        <v>4447770</v>
      </c>
      <c r="F26" s="213">
        <f t="shared" ca="1" si="16"/>
        <v>4447770</v>
      </c>
      <c r="G26" s="213">
        <f t="shared" ca="1" si="16"/>
        <v>4447770</v>
      </c>
      <c r="H26" s="213">
        <f t="shared" ca="1" si="16"/>
        <v>5878970</v>
      </c>
      <c r="I26" s="213">
        <f t="shared" ca="1" si="16"/>
        <v>4447770</v>
      </c>
      <c r="J26" s="213">
        <f t="shared" ca="1" si="16"/>
        <v>6551140</v>
      </c>
      <c r="K26" s="213">
        <f t="shared" ca="1" si="16"/>
        <v>4447770</v>
      </c>
      <c r="L26" s="213">
        <f t="shared" ca="1" si="16"/>
        <v>4447770</v>
      </c>
      <c r="M26" s="213">
        <f t="shared" ca="1" si="16"/>
        <v>4592540</v>
      </c>
      <c r="N26" s="214">
        <f ca="1">SUM(B26:M26)</f>
        <v>64578840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294110</v>
      </c>
      <c r="C27" s="179">
        <f ca="1">IF(C6="",0,ROUND(VLOOKUP(($N$26-1200000-$N$17-$N$16)/12,'2015근로소득간이세액표'!$C$4:$Z$700,$A$27+1)*0.78*O27,-1))</f>
        <v>297930</v>
      </c>
      <c r="D27" s="179">
        <f ca="1">IF(D6="",0,ROUND(VLOOKUP(($N$26-1200000-$N$17-$N$16)/12,'2015근로소득간이세액표'!$C$4:$Z$700,$A$27+1)*0.79*O27,-1))</f>
        <v>301750</v>
      </c>
      <c r="E27" s="179">
        <f ca="1">IF(E6="",0,ROUND(VLOOKUP(($N$26-1200000-$N$17-$N$16)/12,'2015근로소득간이세액표'!$C$4:$Z$700,$A$27+1)*1.1*O27,-1))</f>
        <v>420160</v>
      </c>
      <c r="F27" s="179">
        <f ca="1">IF(F6="",0,ROUND(VLOOKUP(($N$26-1200000-$N$17-$N$16)/12,'2015근로소득간이세액표'!$C$4:$Z$700,$A$27+1)*1.11*O27,-1))</f>
        <v>423980</v>
      </c>
      <c r="G27" s="179">
        <f ca="1">IF(G6="",0,ROUND(VLOOKUP(($N$26-1200000-$N$17-$N$16)/12,'2015근로소득간이세액표'!$C$4:$Z$700,$A$27+1)*1.12*O27,-1))</f>
        <v>427800</v>
      </c>
      <c r="H27" s="179">
        <f ca="1">IF(H6="",0,ROUND(VLOOKUP(($N$26-1200000-$N$17-$N$16)/12,'2015근로소득간이세액표'!$C$4:$Z$700,$A$27+1)*1.13*O27,-1))</f>
        <v>431610</v>
      </c>
      <c r="I27" s="179">
        <f ca="1">IF(I6="",0,ROUND(VLOOKUP(($N$26-1200000-$N$17-$N$16)/12,'2015근로소득간이세액표'!$C$4:$Z$700,$A$27+1)*1.14*O27,-1))</f>
        <v>435430</v>
      </c>
      <c r="J27" s="179">
        <f ca="1">IF(J6="",0,ROUND(VLOOKUP(($N$26-1200000-$N$17-$N$16)/12,'2015근로소득간이세액표'!$C$4:$Z$700,$A$27+1)*1.15*O27,-1))</f>
        <v>439250</v>
      </c>
      <c r="K27" s="179">
        <f ca="1">IF(K6="",0,ROUND(VLOOKUP(($N$26-1200000-$N$17-$N$16)/12,'2015근로소득간이세액표'!$C$4:$Z$700,$A$27+1)*1.16*O27,-1))</f>
        <v>443070</v>
      </c>
      <c r="L27" s="179">
        <f ca="1">IF(L6="",0,ROUND(VLOOKUP(($N$26-1200000-$N$17-$N$16)/12,'2015근로소득간이세액표'!$C$4:$Z$700,$A$27+1)*1.17*O27,-1))</f>
        <v>446890</v>
      </c>
      <c r="M27" s="179">
        <f ca="1">IF(M6="",0,ROUND(VLOOKUP(($N$26-1200000-$N$17-$N$16)/12,'2015근로소득간이세액표'!$C$4:$Z$700,$A$27+1)*1.18*O27,-1))</f>
        <v>450710</v>
      </c>
      <c r="N27" s="179">
        <f t="shared" ref="N27:N28" ca="1" si="17">SUM(B27:M27)</f>
        <v>4812690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29410</v>
      </c>
      <c r="C28" s="179">
        <f t="shared" ca="1" si="18"/>
        <v>29790</v>
      </c>
      <c r="D28" s="179">
        <f t="shared" ca="1" si="18"/>
        <v>30180</v>
      </c>
      <c r="E28" s="179">
        <f t="shared" ca="1" si="18"/>
        <v>42020</v>
      </c>
      <c r="F28" s="179">
        <f t="shared" ca="1" si="18"/>
        <v>42400</v>
      </c>
      <c r="G28" s="179">
        <f t="shared" ca="1" si="18"/>
        <v>42780</v>
      </c>
      <c r="H28" s="179">
        <f t="shared" ca="1" si="18"/>
        <v>43160</v>
      </c>
      <c r="I28" s="179">
        <f t="shared" ca="1" si="18"/>
        <v>43540</v>
      </c>
      <c r="J28" s="179">
        <f ca="1">IF(J$6="","",ROUND(J27*0.1,-1))</f>
        <v>43930</v>
      </c>
      <c r="K28" s="179">
        <f t="shared" ref="K28:M28" ca="1" si="19">IF(K$6="","",ROUND(K27*0.1,-1))</f>
        <v>44310</v>
      </c>
      <c r="L28" s="179">
        <f t="shared" ca="1" si="19"/>
        <v>44690</v>
      </c>
      <c r="M28" s="179">
        <f t="shared" ca="1" si="19"/>
        <v>45070</v>
      </c>
      <c r="N28" s="179">
        <f t="shared" ca="1" si="17"/>
        <v>481280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IF(B4="","",IF(B6="","",IF($D$1-YEAR('2025'!$I$1)&gt;0,"",IF(AND($D$1-YEAR('2025'!$I$1)=0,B3-MONTH('2025'!$I$1)&gt;=1),"",'2029'!M29))))</f>
        <v>419890</v>
      </c>
      <c r="C29" s="179">
        <f ca="1">IF(C4="","",IF(C6="","",IF($D$1-YEAR('2025'!$I$1)&gt;0,"",IF(AND($D$1-YEAR('2025'!$I$1)=0,C3-MONTH('2025'!$I$1)&gt;=1),"",B29))))</f>
        <v>419890</v>
      </c>
      <c r="D29" s="179">
        <f ca="1">IF(D4="","",IF(D6="","",IF($D$1-YEAR('2025'!$I$1)&gt;0,"",IF(AND($D$1-YEAR('2025'!$I$1)=0,D3-MONTH('2025'!$I$1)&gt;=1),"",C29))))</f>
        <v>419890</v>
      </c>
      <c r="E29" s="179">
        <f ca="1">IF(E4="","",IF(E6="","",IF($D$1-YEAR('2025'!$I$1)&gt;0,"",IF(AND($D$1-YEAR('2025'!$I$1)=0,E3-MONTH('2025'!$I$1)&gt;=1),"",D29))))</f>
        <v>419890</v>
      </c>
      <c r="F29" s="179">
        <f ca="1">IF(F4="","",IF(F$6="","",IF($D$1-YEAR('2025'!$I$1)&gt;0,"",IF(AND($D$1-YEAR('2025'!$I$1)=0,F3-MONTH('2025'!$I$1)&gt;=1),"",VLOOKUP(F$4,집계표!$AK$5:$HA$47,$N$1*3+$N$1-1+4)))))</f>
        <v>446880</v>
      </c>
      <c r="G29" s="179">
        <f ca="1">IF(G6="",0,IF($D$1-YEAR('2025'!$I$1)&gt;0,"",IF(AND($D$1-YEAR('2025'!$I$1)=0,G3-MONTH('2025'!$I$1)&gt;=1),"",F29)))</f>
        <v>446880</v>
      </c>
      <c r="H29" s="179">
        <f ca="1">IF(H6="",0,IF($D$1-YEAR('2025'!$I$1)&gt;0,"",IF(AND($D$1-YEAR('2025'!$I$1)=0,H3-MONTH('2025'!$I$1)&gt;=1),"",G29)))</f>
        <v>446880</v>
      </c>
      <c r="I29" s="179">
        <f ca="1">IF(I6="",0,IF($D$1-YEAR('2025'!$I$1)&gt;0,"",IF(AND($D$1-YEAR('2025'!$I$1)=0,I3-MONTH('2025'!$I$1)&gt;=1),"",H29)))</f>
        <v>446880</v>
      </c>
      <c r="J29" s="179">
        <f ca="1">IF(J6="",0,IF($D$1-YEAR('2025'!$I$1)&gt;0,"",IF(AND($D$1-YEAR('2025'!$I$1)=0,J3-MONTH('2025'!$I$1)&gt;=1),"",I29)))</f>
        <v>446880</v>
      </c>
      <c r="K29" s="179">
        <f ca="1">IF(K6="",0,IF($D$1-YEAR('2025'!$I$1)&gt;0,"",IF(AND($D$1-YEAR('2025'!$I$1)=0,K3-MONTH('2025'!$I$1)&gt;=1),"",J29)))</f>
        <v>446880</v>
      </c>
      <c r="L29" s="179">
        <f ca="1">IF(L6="",0,IF($D$1-YEAR('2025'!$I$1)&gt;0,"",IF(AND($D$1-YEAR('2025'!$I$1)=0,L3-MONTH('2025'!$I$1)&gt;=1),"",K29)))</f>
        <v>446880</v>
      </c>
      <c r="M29" s="179">
        <f ca="1">IF(M6="",0,IF($D$1-YEAR('2025'!$I$1)&gt;0,"",IF(AND($D$1-YEAR('2025'!$I$1)=0,M3-MONTH('2025'!$I$1)&gt;=1),"",L29)))</f>
        <v>446880</v>
      </c>
      <c r="N29" s="211">
        <f t="shared" ca="1" si="2"/>
        <v>5254600</v>
      </c>
    </row>
    <row r="30" spans="1:20" ht="9.75" customHeight="1">
      <c r="A30" s="182" t="s">
        <v>58</v>
      </c>
      <c r="B30" s="179">
        <f ca="1">IF(B6="","",'2029'!M30)</f>
        <v>168200</v>
      </c>
      <c r="C30" s="179">
        <f ca="1">IF(C6="","",B30)</f>
        <v>168200</v>
      </c>
      <c r="D30" s="179">
        <f ca="1">IF(D6="","",C30)</f>
        <v>168200</v>
      </c>
      <c r="E30" s="857">
        <f ca="1">IF(E6="","",VLOOKUP(E$4,집계표!$AK$5:$HA$47,$N$1*4))</f>
        <v>179010</v>
      </c>
      <c r="F30" s="179">
        <f ca="1">IF(F6="","",E30)</f>
        <v>179010</v>
      </c>
      <c r="G30" s="179">
        <f t="shared" ref="G30:M30" ca="1" si="20">IF(G6="","",F30)</f>
        <v>179010</v>
      </c>
      <c r="H30" s="179">
        <f t="shared" ca="1" si="20"/>
        <v>179010</v>
      </c>
      <c r="I30" s="179">
        <f t="shared" ca="1" si="20"/>
        <v>179010</v>
      </c>
      <c r="J30" s="179">
        <f t="shared" ca="1" si="20"/>
        <v>179010</v>
      </c>
      <c r="K30" s="179">
        <f t="shared" ca="1" si="20"/>
        <v>179010</v>
      </c>
      <c r="L30" s="179">
        <f t="shared" ca="1" si="20"/>
        <v>179010</v>
      </c>
      <c r="M30" s="179">
        <f t="shared" ca="1" si="20"/>
        <v>179010</v>
      </c>
      <c r="N30" s="211">
        <f t="shared" ca="1" si="2"/>
        <v>2115690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17240</v>
      </c>
      <c r="C31" s="179">
        <f t="shared" ca="1" si="21"/>
        <v>17240</v>
      </c>
      <c r="D31" s="179">
        <f t="shared" ca="1" si="21"/>
        <v>17240</v>
      </c>
      <c r="E31" s="179">
        <f t="shared" ca="1" si="21"/>
        <v>18350</v>
      </c>
      <c r="F31" s="179">
        <f t="shared" ca="1" si="21"/>
        <v>18350</v>
      </c>
      <c r="G31" s="179">
        <f t="shared" ca="1" si="21"/>
        <v>18350</v>
      </c>
      <c r="H31" s="179">
        <f t="shared" ca="1" si="21"/>
        <v>18350</v>
      </c>
      <c r="I31" s="179">
        <f t="shared" ca="1" si="21"/>
        <v>18350</v>
      </c>
      <c r="J31" s="179">
        <f ca="1">IF(J$6="","",ROUND(IF(J4="","",J30*10.25%),-1))</f>
        <v>18350</v>
      </c>
      <c r="K31" s="179">
        <f t="shared" ref="K31:M31" ca="1" si="22">IF(K$6="","",ROUND(IF(K4="","",K30*10.25%),-1))</f>
        <v>18350</v>
      </c>
      <c r="L31" s="179">
        <f t="shared" ca="1" si="22"/>
        <v>18350</v>
      </c>
      <c r="M31" s="179">
        <f t="shared" ca="1" si="22"/>
        <v>18350</v>
      </c>
      <c r="N31" s="211">
        <f t="shared" ca="1" si="2"/>
        <v>216870</v>
      </c>
    </row>
    <row r="32" spans="1:20" ht="9.75" customHeight="1">
      <c r="A32" s="597" t="str">
        <f>'2029'!A32</f>
        <v>교직원공제비</v>
      </c>
      <c r="B32" s="621">
        <f ca="1">'2029'!B32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'2029'!A33</f>
        <v>급식비</v>
      </c>
      <c r="B33" s="621">
        <f ca="1">'2029'!B33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IF(B$6="",0,'2029'!M34)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IF(B$6="",0,'2029'!M38)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IF(B$6="",0,'2029'!M39)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1249490</v>
      </c>
      <c r="C40" s="216">
        <f t="shared" ca="1" si="28"/>
        <v>1253690</v>
      </c>
      <c r="D40" s="216">
        <f t="shared" ca="1" si="28"/>
        <v>1257900</v>
      </c>
      <c r="E40" s="216">
        <f t="shared" ca="1" si="28"/>
        <v>1400070</v>
      </c>
      <c r="F40" s="216">
        <f t="shared" ca="1" si="28"/>
        <v>1431260</v>
      </c>
      <c r="G40" s="216">
        <f t="shared" ca="1" si="28"/>
        <v>1435460</v>
      </c>
      <c r="H40" s="216">
        <f t="shared" ca="1" si="28"/>
        <v>1439650</v>
      </c>
      <c r="I40" s="216">
        <f t="shared" ca="1" si="28"/>
        <v>1443850</v>
      </c>
      <c r="J40" s="216">
        <f ca="1">IF(J26="","",SUM(J27:J39))</f>
        <v>1448060</v>
      </c>
      <c r="K40" s="216">
        <f t="shared" ref="K40:M40" ca="1" si="29">IF(K26="","",SUM(K27:K39))</f>
        <v>1452260</v>
      </c>
      <c r="L40" s="216">
        <f t="shared" ca="1" si="29"/>
        <v>1456460</v>
      </c>
      <c r="M40" s="216">
        <f t="shared" ca="1" si="29"/>
        <v>1460660</v>
      </c>
      <c r="N40" s="216">
        <f ca="1">SUM(B40:M40)</f>
        <v>16728810</v>
      </c>
    </row>
    <row r="41" spans="1:14" ht="9.75" customHeight="1">
      <c r="A41" s="183" t="s">
        <v>79</v>
      </c>
      <c r="B41" s="184">
        <f ca="1">ROUND((B26-B40),-1)</f>
        <v>4126260</v>
      </c>
      <c r="C41" s="184">
        <f t="shared" ref="C41:M41" ca="1" si="30">ROUND((C26-C40),-1)</f>
        <v>4983310</v>
      </c>
      <c r="D41" s="184">
        <f t="shared" ca="1" si="30"/>
        <v>7998920</v>
      </c>
      <c r="E41" s="184">
        <f t="shared" ca="1" si="30"/>
        <v>3047700</v>
      </c>
      <c r="F41" s="184">
        <f t="shared" ca="1" si="30"/>
        <v>3016510</v>
      </c>
      <c r="G41" s="184">
        <f t="shared" ca="1" si="30"/>
        <v>3012310</v>
      </c>
      <c r="H41" s="184">
        <f t="shared" ca="1" si="30"/>
        <v>4439320</v>
      </c>
      <c r="I41" s="184">
        <f t="shared" ca="1" si="30"/>
        <v>3003920</v>
      </c>
      <c r="J41" s="184">
        <f t="shared" ca="1" si="30"/>
        <v>5103080</v>
      </c>
      <c r="K41" s="184">
        <f t="shared" ca="1" si="30"/>
        <v>2995510</v>
      </c>
      <c r="L41" s="184">
        <f t="shared" ca="1" si="30"/>
        <v>2991310</v>
      </c>
      <c r="M41" s="184">
        <f t="shared" ca="1" si="30"/>
        <v>3131880</v>
      </c>
      <c r="N41" s="184">
        <f ca="1">SUM(B41:M41)</f>
        <v>47850030</v>
      </c>
    </row>
    <row r="42" spans="1:14" ht="9.75" customHeight="1">
      <c r="A42" s="217" t="str">
        <f>'2029'!A42</f>
        <v>12)지출내용입력1</v>
      </c>
      <c r="B42" s="211">
        <f>'2029'!M42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'2029'!A43</f>
        <v>지출내용입력2</v>
      </c>
      <c r="B43" s="211">
        <f>'2029'!M43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'2029'!A44</f>
        <v>지출내용입력3</v>
      </c>
      <c r="B44" s="211">
        <f>'2029'!M44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'2029'!A45</f>
        <v>지출내용입력4</v>
      </c>
      <c r="B45" s="211">
        <f>'2029'!M45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'2029'!A46</f>
        <v>지출내용입력5</v>
      </c>
      <c r="B46" s="211">
        <f>'2029'!M46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'2029'!A47</f>
        <v>지출내용입력6</v>
      </c>
      <c r="B47" s="211">
        <f>'2029'!M47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'2029'!A48</f>
        <v>지출내용입력7</v>
      </c>
      <c r="B48" s="211">
        <f>'2029'!M48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'2029'!A49</f>
        <v>지출내용입력8</v>
      </c>
      <c r="B49" s="211">
        <f>'2029'!M49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'2029'!A50</f>
        <v>지출내용입력9</v>
      </c>
      <c r="B50" s="211">
        <f>'2029'!M50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'2029'!A51</f>
        <v>지출내용입력10</v>
      </c>
      <c r="B51" s="211">
        <f>'2029'!M51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4126160</v>
      </c>
      <c r="C53" s="188">
        <f t="shared" ca="1" si="33"/>
        <v>4983210</v>
      </c>
      <c r="D53" s="188">
        <f t="shared" ca="1" si="33"/>
        <v>7998820</v>
      </c>
      <c r="E53" s="188">
        <f t="shared" ca="1" si="33"/>
        <v>3047600</v>
      </c>
      <c r="F53" s="188">
        <f t="shared" ca="1" si="33"/>
        <v>3016410</v>
      </c>
      <c r="G53" s="188">
        <f t="shared" ca="1" si="33"/>
        <v>3012210</v>
      </c>
      <c r="H53" s="188">
        <f t="shared" ca="1" si="33"/>
        <v>4439220</v>
      </c>
      <c r="I53" s="188">
        <f t="shared" ca="1" si="33"/>
        <v>3003820</v>
      </c>
      <c r="J53" s="188">
        <f t="shared" ca="1" si="33"/>
        <v>5102980</v>
      </c>
      <c r="K53" s="188">
        <f t="shared" ca="1" si="33"/>
        <v>2995410</v>
      </c>
      <c r="L53" s="188">
        <f t="shared" ca="1" si="33"/>
        <v>2991210</v>
      </c>
      <c r="M53" s="188">
        <f t="shared" ca="1" si="33"/>
        <v>3131780</v>
      </c>
      <c r="N53" s="188">
        <f t="shared" ca="1" si="33"/>
        <v>47848830</v>
      </c>
    </row>
    <row r="55" spans="1:14" ht="18">
      <c r="A55" s="1232" t="str">
        <f ca="1">D1</f>
        <v>2030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420156.00000000006</v>
      </c>
      <c r="C57" s="688">
        <f ca="1">IF(C6="",0,VLOOKUP(C26-C17-100000,'2015 근로소득 간이세액표'!$C$4:$N$845,1+$M$55)*1.1)</f>
        <v>627022</v>
      </c>
      <c r="D57" s="688">
        <f ca="1">IF(D6="",0,VLOOKUP(D26-D17-100000,'2015 근로소득 간이세액표'!$C$4:$N$845,1+$M$55)*1.1)</f>
        <v>1386440</v>
      </c>
      <c r="E57" s="688">
        <f ca="1">IF(E6="",0,VLOOKUP(E26-E17-100000,'2015 근로소득 간이세액표'!$C$4:$N$845,1+$M$55)*1.1)</f>
        <v>275473</v>
      </c>
      <c r="F57" s="688">
        <f ca="1">IF(F6="",0,VLOOKUP(F26-F17-100000,'2015 근로소득 간이세액표'!$C$4:$N$845,1+$M$55)*1.1)</f>
        <v>275473</v>
      </c>
      <c r="G57" s="688">
        <f ca="1">IF(G6="",0,VLOOKUP(G26-G17-100000,'2015 근로소득 간이세액표'!$C$4:$N$845,1+$M$55)*1.1)</f>
        <v>275473</v>
      </c>
      <c r="H57" s="688">
        <f ca="1">IF(H6="",0,VLOOKUP(H26-H17-100000,'2015 근로소득 간이세액표'!$C$4:$N$845,1+$M$55)*1.1)</f>
        <v>510224.00000000006</v>
      </c>
      <c r="I57" s="688">
        <f ca="1">IF(I6="",0,VLOOKUP(I26-I17-100000,'2015 근로소득 간이세액표'!$C$4:$N$845,1+$M$55)*1.1)</f>
        <v>275473</v>
      </c>
      <c r="J57" s="688">
        <f ca="1">IF(J6="",0,VLOOKUP(J26-J17-100000,'2015 근로소득 간이세액표'!$C$4:$N$845,1+$M$55)*1.1)</f>
        <v>706860</v>
      </c>
      <c r="K57" s="688">
        <f ca="1">IF(K6="",0,VLOOKUP(K26-K17-100000,'2015 근로소득 간이세액표'!$C$4:$N$845,1+$M$55)*1.1)</f>
        <v>275473</v>
      </c>
      <c r="L57" s="688">
        <f ca="1">IF(L6="",0,VLOOKUP(L26-L17-100000,'2015 근로소득 간이세액표'!$C$4:$N$845,1+$M$55)*1.1)</f>
        <v>275473</v>
      </c>
      <c r="M57" s="688">
        <f ca="1">IF(M6="",0,VLOOKUP(M26-M17-100000,'2015 근로소득 간이세액표'!$C$4:$N$845,1+$M$55)*1.1)</f>
        <v>297066</v>
      </c>
      <c r="N57" s="689">
        <f ca="1">SUM(B57:M57)</f>
        <v>5600606</v>
      </c>
    </row>
    <row r="58" spans="1:14" ht="10" customHeight="1">
      <c r="A58" s="687" t="s">
        <v>295</v>
      </c>
      <c r="B58" s="689">
        <f t="shared" ref="B58:M58" ca="1" si="34">IF(B6="",0,B27+B28)</f>
        <v>323520</v>
      </c>
      <c r="C58" s="689">
        <f t="shared" ca="1" si="34"/>
        <v>327720</v>
      </c>
      <c r="D58" s="689">
        <f t="shared" ca="1" si="34"/>
        <v>331930</v>
      </c>
      <c r="E58" s="689">
        <f t="shared" ca="1" si="34"/>
        <v>462180</v>
      </c>
      <c r="F58" s="689">
        <f t="shared" ca="1" si="34"/>
        <v>466380</v>
      </c>
      <c r="G58" s="689">
        <f t="shared" ca="1" si="34"/>
        <v>470580</v>
      </c>
      <c r="H58" s="689">
        <f t="shared" ca="1" si="34"/>
        <v>474770</v>
      </c>
      <c r="I58" s="689">
        <f t="shared" ca="1" si="34"/>
        <v>478970</v>
      </c>
      <c r="J58" s="689">
        <f t="shared" ca="1" si="34"/>
        <v>483180</v>
      </c>
      <c r="K58" s="689">
        <f t="shared" ca="1" si="34"/>
        <v>487380</v>
      </c>
      <c r="L58" s="689">
        <f t="shared" ca="1" si="34"/>
        <v>491580</v>
      </c>
      <c r="M58" s="689">
        <f t="shared" ca="1" si="34"/>
        <v>495780</v>
      </c>
      <c r="N58" s="689">
        <f ca="1">SUM(B58:M58)</f>
        <v>5293970</v>
      </c>
    </row>
    <row r="59" spans="1:14" ht="10" customHeight="1">
      <c r="A59" s="680" t="s">
        <v>546</v>
      </c>
      <c r="B59" s="684">
        <f ca="1">B57-B58</f>
        <v>96636.000000000058</v>
      </c>
      <c r="C59" s="684">
        <f t="shared" ref="C59:N59" ca="1" si="35">C57-C58</f>
        <v>299302</v>
      </c>
      <c r="D59" s="684">
        <f t="shared" ca="1" si="35"/>
        <v>1054510</v>
      </c>
      <c r="E59" s="684">
        <f t="shared" ca="1" si="35"/>
        <v>-186707</v>
      </c>
      <c r="F59" s="684">
        <f t="shared" ca="1" si="35"/>
        <v>-190907</v>
      </c>
      <c r="G59" s="684">
        <f t="shared" ca="1" si="35"/>
        <v>-195107</v>
      </c>
      <c r="H59" s="684">
        <f t="shared" ca="1" si="35"/>
        <v>35454.000000000058</v>
      </c>
      <c r="I59" s="684">
        <f t="shared" ca="1" si="35"/>
        <v>-203497</v>
      </c>
      <c r="J59" s="684">
        <f t="shared" ca="1" si="35"/>
        <v>223680</v>
      </c>
      <c r="K59" s="684">
        <f t="shared" ca="1" si="35"/>
        <v>-211907</v>
      </c>
      <c r="L59" s="684">
        <f t="shared" ca="1" si="35"/>
        <v>-216107</v>
      </c>
      <c r="M59" s="684">
        <f t="shared" ca="1" si="35"/>
        <v>-198714</v>
      </c>
      <c r="N59" s="684">
        <f t="shared" ca="1" si="35"/>
        <v>306636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306636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64"/>
      <c r="K60" s="1264"/>
      <c r="L60" s="1264"/>
      <c r="M60" s="1264"/>
      <c r="N60" s="685"/>
    </row>
  </sheetData>
  <sheetProtection algorithmName="SHA-512" hashValue="E/GNTiyxiTC+kANiOCO1PSYzJkrxwMs0JUoP5rbdPzfAhlSQHBgbvDUFiV618TTKW7YevJbuwaTI47QRea2lkQ==" saltValue="73kv8d9jiZW9pbJtsrpLY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80" priority="8">
      <formula>$E$2="y"</formula>
    </cfRule>
    <cfRule type="expression" dxfId="479" priority="9">
      <formula>$D$2="Y"</formula>
    </cfRule>
    <cfRule type="expression" dxfId="478" priority="10">
      <formula>$F$2="y"</formula>
    </cfRule>
  </conditionalFormatting>
  <conditionalFormatting sqref="B27:M27">
    <cfRule type="expression" dxfId="477" priority="1">
      <formula>$F$2="y"</formula>
    </cfRule>
  </conditionalFormatting>
  <conditionalFormatting sqref="D16">
    <cfRule type="expression" dxfId="476" priority="20">
      <formula>$E$2="y"</formula>
    </cfRule>
    <cfRule type="expression" dxfId="475" priority="21">
      <formula>$E$2="y"</formula>
    </cfRule>
    <cfRule type="expression" dxfId="474" priority="22">
      <formula>$F$2="y"</formula>
    </cfRule>
  </conditionalFormatting>
  <conditionalFormatting sqref="D18">
    <cfRule type="expression" dxfId="473" priority="17">
      <formula>$E$2="y"</formula>
    </cfRule>
    <cfRule type="expression" dxfId="472" priority="18">
      <formula>$E$2="y"</formula>
    </cfRule>
    <cfRule type="expression" dxfId="471" priority="19">
      <formula>$F$2="y"</formula>
    </cfRule>
  </conditionalFormatting>
  <conditionalFormatting sqref="J12:K12">
    <cfRule type="expression" dxfId="470" priority="5">
      <formula>$E$2="y"</formula>
    </cfRule>
    <cfRule type="expression" dxfId="469" priority="6">
      <formula>$D$2="Y"</formula>
    </cfRule>
    <cfRule type="expression" dxfId="468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907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08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09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13" r:id="rId6" name="Drop Down 9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2031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집계표!I119</f>
        <v>2</v>
      </c>
      <c r="M1" s="627">
        <f>집계표!I122</f>
        <v>1</v>
      </c>
      <c r="N1" s="618">
        <v>7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집계표!AR53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IF('2030'!M4&gt;=50,50,IF(AND('2030'!M4=50,M$3=$N$5),"",IF(B3=$N$5,'2030'!M4+1,'2030'!M4)))</f>
        <v>18</v>
      </c>
      <c r="C4" s="176">
        <f>IF(B4&gt;=50,50,IF(AND(B4=50,C$3=$N$5),50,IF(C$3=$N$5,B4+1,B4)))</f>
        <v>18</v>
      </c>
      <c r="D4" s="176">
        <f t="shared" ref="D4:M4" si="0">IF(C4&gt;=50,50,IF(AND(C4=50,D$3=$N$5),50,IF(D$3=$N$5,C4+1,C4)))</f>
        <v>19</v>
      </c>
      <c r="E4" s="176">
        <f t="shared" si="0"/>
        <v>19</v>
      </c>
      <c r="F4" s="176">
        <f t="shared" si="0"/>
        <v>19</v>
      </c>
      <c r="G4" s="176">
        <f t="shared" si="0"/>
        <v>19</v>
      </c>
      <c r="H4" s="176">
        <f t="shared" si="0"/>
        <v>19</v>
      </c>
      <c r="I4" s="176">
        <f t="shared" si="0"/>
        <v>19</v>
      </c>
      <c r="J4" s="176">
        <f t="shared" si="0"/>
        <v>19</v>
      </c>
      <c r="K4" s="176">
        <f t="shared" si="0"/>
        <v>19</v>
      </c>
      <c r="L4" s="176">
        <f t="shared" si="0"/>
        <v>19</v>
      </c>
      <c r="M4" s="176">
        <f t="shared" si="0"/>
        <v>19</v>
      </c>
      <c r="N4" s="202" t="s">
        <v>124</v>
      </c>
    </row>
    <row r="5" spans="1:14" ht="9.75" customHeight="1">
      <c r="A5" s="208" t="s">
        <v>134</v>
      </c>
      <c r="B5" s="356">
        <f>IF(B$3=$N$5,'2030'!M5+1,'2030'!M5)</f>
        <v>8</v>
      </c>
      <c r="C5" s="209">
        <f>IF(C$3=$N$5,B5+1,B5)</f>
        <v>8</v>
      </c>
      <c r="D5" s="209">
        <f t="shared" ref="D5:M5" si="1">IF(D$3=$N$5,C5+1,C5)</f>
        <v>9</v>
      </c>
      <c r="E5" s="209">
        <f t="shared" si="1"/>
        <v>9</v>
      </c>
      <c r="F5" s="209">
        <f t="shared" si="1"/>
        <v>9</v>
      </c>
      <c r="G5" s="209">
        <f t="shared" si="1"/>
        <v>9</v>
      </c>
      <c r="H5" s="209">
        <f t="shared" si="1"/>
        <v>9</v>
      </c>
      <c r="I5" s="209">
        <f t="shared" si="1"/>
        <v>9</v>
      </c>
      <c r="J5" s="209">
        <f t="shared" si="1"/>
        <v>9</v>
      </c>
      <c r="K5" s="209">
        <f t="shared" si="1"/>
        <v>9</v>
      </c>
      <c r="L5" s="209">
        <f t="shared" si="1"/>
        <v>9</v>
      </c>
      <c r="M5" s="209">
        <f t="shared" si="1"/>
        <v>9</v>
      </c>
      <c r="N5" s="177">
        <f>'2026'!N5</f>
        <v>3</v>
      </c>
    </row>
    <row r="6" spans="1:14" ht="9.75" customHeight="1">
      <c r="A6" s="210" t="s">
        <v>454</v>
      </c>
      <c r="B6" s="211">
        <f ca="1">IF(OR(B4="",B4&lt;7),"",IF($D$1-YEAR($B$1)&gt;0,"",IF(AND($D$1-YEAR($B$1)=0,B3-MONTH($B$1)&gt;=1),"",VLOOKUP(B4,gibon40!$D$4:$AT$47,$N$1,1))))</f>
        <v>3667500</v>
      </c>
      <c r="C6" s="211">
        <f ca="1">IF(OR(C4="",C4&lt;7),"",IF($D$1-YEAR($B$1)&gt;0,"",IF(AND($D$1-YEAR($B$1)=0,C3-MONTH($B$1)&gt;=1),"",VLOOKUP(C4,gibon40!$D$4:$AT$47,$N$1,1))))</f>
        <v>3667500</v>
      </c>
      <c r="D6" s="211">
        <f ca="1">IF(OR(D4="",D4&lt;7),"",IF($D$1-YEAR($B$1)&gt;0,"",IF(AND($D$1-YEAR($B$1)=0,D3-MONTH($B$1)&gt;=1),"",VLOOKUP(D4,gibon40!$D$4:$AT$47,$N$1,1))))</f>
        <v>3802900</v>
      </c>
      <c r="E6" s="211">
        <f ca="1">IF(OR(E4="",E4&lt;7),"",IF($D$1-YEAR($B$1)&gt;0,"",IF(AND($D$1-YEAR($B$1)=0,E3-MONTH($B$1)&gt;=1),"",VLOOKUP(E4,gibon40!$D$4:$AT$47,$N$1,1))))</f>
        <v>3802900</v>
      </c>
      <c r="F6" s="211">
        <f ca="1">IF(OR(F4="",F4&lt;7),"",IF($D$1-YEAR($B$1)&gt;0,"",IF(AND($D$1-YEAR($B$1)=0,F3-MONTH($B$1)&gt;=1),"",VLOOKUP(F4,gibon40!$D$4:$AT$47,$N$1,1))))</f>
        <v>3802900</v>
      </c>
      <c r="G6" s="211">
        <f ca="1">IF(OR(G4="",G4&lt;7),"",IF($D$1-YEAR($B$1)&gt;0,"",IF(AND($D$1-YEAR($B$1)=0,G3-MONTH($B$1)&gt;=1),"",VLOOKUP(G4,gibon40!$D$4:$AT$47,$N$1,1))))</f>
        <v>3802900</v>
      </c>
      <c r="H6" s="211">
        <f ca="1">IF(OR(H4="",H4&lt;7),"",IF($D$1-YEAR($B$1)&gt;0,"",IF(AND($D$1-YEAR($B$1)=0,H3-MONTH($B$1)&gt;=1),"",VLOOKUP(H4,gibon40!$D$4:$AT$47,$N$1,1))))</f>
        <v>3802900</v>
      </c>
      <c r="I6" s="211">
        <f ca="1">IF(OR(I4="",I4&lt;7),"",IF($D$1-YEAR($B$1)&gt;0,"",IF(AND($D$1-YEAR($B$1)=0,I3-MONTH($B$1)&gt;=1),"",VLOOKUP(I4,gibon40!$D$4:$AT$47,$N$1,1))))</f>
        <v>3802900</v>
      </c>
      <c r="J6" s="211">
        <f ca="1">IF(OR(J4="",J4&lt;7),"",IF($D$1-YEAR($B$1)&gt;0,"",IF(AND($D$1-YEAR($B$1)=0,J3-MONTH($B$1)&gt;=1),"",VLOOKUP(J4,gibon40!$D$4:$AT$47,$N$1,1))))</f>
        <v>3802900</v>
      </c>
      <c r="K6" s="211">
        <f ca="1">IF(OR(K4="",K4&lt;7),"",IF($D$1-YEAR($B$1)&gt;0,"",IF(AND($D$1-YEAR($B$1)=0,K3-MONTH($B$1)&gt;=1),"",VLOOKUP(K4,gibon40!$D$4:$AT$47,$N$1,1))))</f>
        <v>3802900</v>
      </c>
      <c r="L6" s="211">
        <f ca="1">IF(OR(L4="",L4&lt;7),"",IF($D$1-YEAR($B$1)&gt;0,"",IF(AND($D$1-YEAR($B$1)=0,L3-MONTH($B$1)&gt;=1),"",VLOOKUP(L4,gibon40!$D$4:$AT$47,$N$1,1))))</f>
        <v>3802900</v>
      </c>
      <c r="M6" s="211">
        <f ca="1">IF(OR(M4="",M4&lt;7),"",IF($D$1-YEAR($B$1)&gt;0,"",IF(AND($D$1-YEAR($B$1)=0,M3-MONTH($B$1)&gt;=1),"",VLOOKUP(M4,gibon40!$D$4:$AT$47,$N$1,1))))</f>
        <v>3802900</v>
      </c>
      <c r="N6" s="211">
        <f t="shared" ref="N6:N52" ca="1" si="2">SUM(B6:M6)</f>
        <v>45364000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1467000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1711305</v>
      </c>
      <c r="I7" s="180"/>
      <c r="J7" s="180"/>
      <c r="K7" s="180"/>
      <c r="L7" s="180"/>
      <c r="M7" s="180"/>
      <c r="N7" s="211">
        <f t="shared" ca="1" si="2"/>
        <v>3178305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50000</v>
      </c>
      <c r="C8" s="179">
        <f t="shared" ref="C8:M8" ca="1" si="3">IF(C4="","",IF(C6="","",IF(C5&gt;=20,100000,IF(C5&gt;=15,80000,IF(C5&gt;=10,60000,IF(C5&gt;=5,50000,30000))))))</f>
        <v>50000</v>
      </c>
      <c r="D8" s="179">
        <f t="shared" ca="1" si="3"/>
        <v>50000</v>
      </c>
      <c r="E8" s="179">
        <f t="shared" ca="1" si="3"/>
        <v>50000</v>
      </c>
      <c r="F8" s="179">
        <f t="shared" ca="1" si="3"/>
        <v>50000</v>
      </c>
      <c r="G8" s="179">
        <f t="shared" ca="1" si="3"/>
        <v>50000</v>
      </c>
      <c r="H8" s="179">
        <f t="shared" ca="1" si="3"/>
        <v>50000</v>
      </c>
      <c r="I8" s="179">
        <f t="shared" ca="1" si="3"/>
        <v>50000</v>
      </c>
      <c r="J8" s="179">
        <f t="shared" ca="1" si="3"/>
        <v>50000</v>
      </c>
      <c r="K8" s="179">
        <f t="shared" ca="1" si="3"/>
        <v>50000</v>
      </c>
      <c r="L8" s="179">
        <f t="shared" ca="1" si="3"/>
        <v>50000</v>
      </c>
      <c r="M8" s="179">
        <f t="shared" ca="1" si="3"/>
        <v>50000</v>
      </c>
      <c r="N8" s="211">
        <f t="shared" ca="1" si="2"/>
        <v>600000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5028160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5028160</v>
      </c>
    </row>
    <row r="11" spans="1:14" ht="9.75" customHeight="1">
      <c r="A11" s="178" t="s">
        <v>63</v>
      </c>
      <c r="B11" s="179">
        <f ca="1">IF(B$6="",0,'2030'!M11)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2200500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2281740</v>
      </c>
      <c r="L12" s="179"/>
      <c r="M12" s="179"/>
      <c r="N12" s="211">
        <f t="shared" ca="1" si="2"/>
        <v>4482240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IF(B$6="",0,'2030'!M15)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IF(B$6="",0,'2030'!M16)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IF(B$6="",0,'2030'!M18)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IF(B$6="",0,'2030'!M19)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49460</v>
      </c>
      <c r="E21" s="179">
        <f ca="1">IF(D4="","",IF(E$6="","",ROUND(VLOOKUP(E4,gibon40!$D$51:$AV$100,$N$1+1)*10*15/15,-1)))</f>
        <v>148390</v>
      </c>
      <c r="F21" s="179">
        <f ca="1">IF(E4="","",IF(F$6="","",ROUND(VLOOKUP(F4,gibon40!$D$51:$AV$100,$N$1+1)*10*15/15,-1)))</f>
        <v>148390</v>
      </c>
      <c r="G21" s="179">
        <f ca="1">IF(F4="","",IF(G$6="","",ROUND(VLOOKUP(G4,gibon40!$D$51:$AV$100,$N$1+1)*10*15/15,-1)))</f>
        <v>148390</v>
      </c>
      <c r="H21" s="179">
        <f ca="1">IF(G4="","",IF(H$6="","",ROUND(VLOOKUP(H4,gibon40!$D$51:$AV$100,$N$1+1)*10*15/15,-1)))</f>
        <v>148390</v>
      </c>
      <c r="I21" s="179">
        <f ca="1">IF(H4="","",IF(I$6="","",ROUND(VLOOKUP(I4,gibon40!$D$51:$AV$100,$N$1+1)*10*15/15,-1)))</f>
        <v>148390</v>
      </c>
      <c r="J21" s="179">
        <f ca="1">IF(I4="","",IF(J$6="","",ROUND(VLOOKUP(J4,gibon40!$D$51:$AV$100,$N$1+1)*7*15/15,-1)))</f>
        <v>103870</v>
      </c>
      <c r="K21" s="179">
        <f ca="1">IF(J4="","",IF(K$6="","",ROUND(VLOOKUP(K4,gibon40!$D$51:$AV$100,$N$1+1)*10*15/15,-1)))</f>
        <v>148390</v>
      </c>
      <c r="L21" s="179">
        <f ca="1">IF(K4="","",IF(L$6="","",ROUND(VLOOKUP(L4,gibon40!$D$51:$AV$100,$N$1+1)*10*15/15,-1)))</f>
        <v>148390</v>
      </c>
      <c r="M21" s="179">
        <f ca="1">IF(L4="","",IF(M$6="","",ROUND(VLOOKUP(M4,gibon40!$D$51:$AV$100,$N$1+1)*10*15/15*2,-1)))</f>
        <v>296780</v>
      </c>
      <c r="N21" s="211">
        <f t="shared" ca="1" si="2"/>
        <v>1488840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IF(B$6="",0,'2030'!M23)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IF(B$6="",0,'2030'!M24)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'2030'!A25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8060000</v>
      </c>
      <c r="C26" s="213">
        <f t="shared" ref="C26:M26" ca="1" si="16">ROUNDDOWN(SUM(C6:C25),-1)</f>
        <v>4392500</v>
      </c>
      <c r="D26" s="213">
        <f t="shared" ca="1" si="16"/>
        <v>9605520</v>
      </c>
      <c r="E26" s="213">
        <f t="shared" ca="1" si="16"/>
        <v>4676290</v>
      </c>
      <c r="F26" s="213">
        <f t="shared" ca="1" si="16"/>
        <v>4676290</v>
      </c>
      <c r="G26" s="213">
        <f t="shared" ca="1" si="16"/>
        <v>4676290</v>
      </c>
      <c r="H26" s="213">
        <f t="shared" ca="1" si="16"/>
        <v>6387590</v>
      </c>
      <c r="I26" s="213">
        <f t="shared" ca="1" si="16"/>
        <v>4676290</v>
      </c>
      <c r="J26" s="213">
        <f t="shared" ca="1" si="16"/>
        <v>4631770</v>
      </c>
      <c r="K26" s="213">
        <f t="shared" ca="1" si="16"/>
        <v>6958030</v>
      </c>
      <c r="L26" s="213">
        <f t="shared" ca="1" si="16"/>
        <v>4676290</v>
      </c>
      <c r="M26" s="213">
        <f t="shared" ca="1" si="16"/>
        <v>4824680</v>
      </c>
      <c r="N26" s="214">
        <f ca="1">SUM(B26:M26)</f>
        <v>68241540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328670</v>
      </c>
      <c r="C27" s="179">
        <f ca="1">IF(C6="",0,ROUND(VLOOKUP(($N$26-1200000-$N$17-$N$16)/12,'2015근로소득간이세액표'!$C$4:$Z$700,$A$27+1)*0.78*O27,-1))</f>
        <v>332940</v>
      </c>
      <c r="D27" s="179">
        <f ca="1">IF(D6="",0,ROUND(VLOOKUP(($N$26-1200000-$N$17-$N$16)/12,'2015근로소득간이세액표'!$C$4:$Z$700,$A$27+1)*0.79*O27,-1))</f>
        <v>337200</v>
      </c>
      <c r="E27" s="179">
        <f ca="1">IF(E6="",0,ROUND(VLOOKUP(($N$26-1200000-$N$17-$N$16)/12,'2015근로소득간이세액표'!$C$4:$Z$700,$A$27+1)*1.1*O27,-1))</f>
        <v>469520</v>
      </c>
      <c r="F27" s="179">
        <f ca="1">IF(F6="",0,ROUND(VLOOKUP(($N$26-1200000-$N$17-$N$16)/12,'2015근로소득간이세액표'!$C$4:$Z$700,$A$27+1)*1.11*O27,-1))</f>
        <v>473790</v>
      </c>
      <c r="G27" s="179">
        <f ca="1">IF(G6="",0,ROUND(VLOOKUP(($N$26-1200000-$N$17-$N$16)/12,'2015근로소득간이세액표'!$C$4:$Z$700,$A$27+1)*1.12*O27,-1))</f>
        <v>478060</v>
      </c>
      <c r="H27" s="179">
        <f ca="1">IF(H6="",0,ROUND(VLOOKUP(($N$26-1200000-$N$17-$N$16)/12,'2015근로소득간이세액표'!$C$4:$Z$700,$A$27+1)*1.13*O27,-1))</f>
        <v>482330</v>
      </c>
      <c r="I27" s="179">
        <f ca="1">IF(I6="",0,ROUND(VLOOKUP(($N$26-1200000-$N$17-$N$16)/12,'2015근로소득간이세액표'!$C$4:$Z$700,$A$27+1)*1.14*O27,-1))</f>
        <v>486600</v>
      </c>
      <c r="J27" s="179">
        <f ca="1">IF(J6="",0,ROUND(VLOOKUP(($N$26-1200000-$N$17-$N$16)/12,'2015근로소득간이세액표'!$C$4:$Z$700,$A$27+1)*1.15*O27,-1))</f>
        <v>490870</v>
      </c>
      <c r="K27" s="179">
        <f ca="1">IF(K6="",0,ROUND(VLOOKUP(($N$26-1200000-$N$17-$N$16)/12,'2015근로소득간이세액표'!$C$4:$Z$700,$A$27+1)*1.16*O27,-1))</f>
        <v>495130</v>
      </c>
      <c r="L27" s="179">
        <f ca="1">IF(L6="",0,ROUND(VLOOKUP(($N$26-1200000-$N$17-$N$16)/12,'2015근로소득간이세액표'!$C$4:$Z$700,$A$27+1)*1.17*O27,-1))</f>
        <v>499400</v>
      </c>
      <c r="M27" s="179">
        <f ca="1">IF(M6="",0,ROUND(VLOOKUP(($N$26-1200000-$N$17-$N$16)/12,'2015근로소득간이세액표'!$C$4:$Z$700,$A$27+1)*1.18*O27,-1))</f>
        <v>503670</v>
      </c>
      <c r="N27" s="179">
        <f t="shared" ref="N27:N28" ca="1" si="17">SUM(B27:M27)</f>
        <v>5378180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32870</v>
      </c>
      <c r="C28" s="179">
        <f t="shared" ca="1" si="18"/>
        <v>33290</v>
      </c>
      <c r="D28" s="179">
        <f t="shared" ca="1" si="18"/>
        <v>33720</v>
      </c>
      <c r="E28" s="179">
        <f t="shared" ca="1" si="18"/>
        <v>46950</v>
      </c>
      <c r="F28" s="179">
        <f t="shared" ca="1" si="18"/>
        <v>47380</v>
      </c>
      <c r="G28" s="179">
        <f t="shared" ca="1" si="18"/>
        <v>47810</v>
      </c>
      <c r="H28" s="179">
        <f t="shared" ca="1" si="18"/>
        <v>48230</v>
      </c>
      <c r="I28" s="179">
        <f t="shared" ca="1" si="18"/>
        <v>48660</v>
      </c>
      <c r="J28" s="179">
        <f ca="1">IF(J$6="","",ROUND(J27*0.1,-1))</f>
        <v>49090</v>
      </c>
      <c r="K28" s="179">
        <f t="shared" ref="K28:M28" ca="1" si="19">IF(K$6="","",ROUND(K27*0.1,-1))</f>
        <v>49510</v>
      </c>
      <c r="L28" s="179">
        <f t="shared" ca="1" si="19"/>
        <v>49940</v>
      </c>
      <c r="M28" s="179">
        <f t="shared" ca="1" si="19"/>
        <v>50370</v>
      </c>
      <c r="N28" s="179">
        <f t="shared" ca="1" si="17"/>
        <v>537820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IF(B4="","",IF(B6="","",IF($D$1-YEAR('2025'!$I$1)&gt;0,"",IF(AND($D$1-YEAR('2025'!$I$1)=0,B3-MONTH('2025'!$I$1)&gt;=1),"",'2030'!M29))))</f>
        <v>446880</v>
      </c>
      <c r="C29" s="179">
        <f ca="1">IF(C4="","",IF(C6="","",IF($D$1-YEAR('2025'!$I$1)&gt;0,"",IF(AND($D$1-YEAR('2025'!$I$1)=0,C3-MONTH('2025'!$I$1)&gt;=1),"",B29))))</f>
        <v>446880</v>
      </c>
      <c r="D29" s="179">
        <f ca="1">IF(D4="","",IF(D6="","",IF($D$1-YEAR('2025'!$I$1)&gt;0,"",IF(AND($D$1-YEAR('2025'!$I$1)=0,D3-MONTH('2025'!$I$1)&gt;=1),"",C29))))</f>
        <v>446880</v>
      </c>
      <c r="E29" s="179">
        <f ca="1">IF(E4="","",IF(E6="","",IF($D$1-YEAR('2025'!$I$1)&gt;0,"",IF(AND($D$1-YEAR('2025'!$I$1)=0,E3-MONTH('2025'!$I$1)&gt;=1),"",D29))))</f>
        <v>446880</v>
      </c>
      <c r="F29" s="179">
        <f ca="1">IF(F4="","",IF(F$6="","",IF($D$1-YEAR('2025'!$I$1)&gt;0,"",IF(AND($D$1-YEAR('2025'!$I$1)=0,F3-MONTH('2025'!$I$1)&gt;=1),"",VLOOKUP(F$4,집계표!$AK$5:$HA$47,$N$1*3+$N$1-1+4)))))</f>
        <v>474650</v>
      </c>
      <c r="G29" s="179">
        <f ca="1">IF(G6="",0,IF($D$1-YEAR('2025'!$I$1)&gt;0,"",IF(AND($D$1-YEAR('2025'!$I$1)=0,G3-MONTH('2025'!$I$1)&gt;=1),"",F29)))</f>
        <v>474650</v>
      </c>
      <c r="H29" s="179">
        <f ca="1">IF(H6="",0,IF($D$1-YEAR('2025'!$I$1)&gt;0,"",IF(AND($D$1-YEAR('2025'!$I$1)=0,H3-MONTH('2025'!$I$1)&gt;=1),"",G29)))</f>
        <v>474650</v>
      </c>
      <c r="I29" s="179">
        <f ca="1">IF(I6="",0,IF($D$1-YEAR('2025'!$I$1)&gt;0,"",IF(AND($D$1-YEAR('2025'!$I$1)=0,I3-MONTH('2025'!$I$1)&gt;=1),"",H29)))</f>
        <v>474650</v>
      </c>
      <c r="J29" s="179">
        <f ca="1">IF(J6="",0,IF($D$1-YEAR('2025'!$I$1)&gt;0,"",IF(AND($D$1-YEAR('2025'!$I$1)=0,J3-MONTH('2025'!$I$1)&gt;=1),"",I29)))</f>
        <v>474650</v>
      </c>
      <c r="K29" s="179">
        <f ca="1">IF(K6="",0,IF($D$1-YEAR('2025'!$I$1)&gt;0,"",IF(AND($D$1-YEAR('2025'!$I$1)=0,K3-MONTH('2025'!$I$1)&gt;=1),"",J29)))</f>
        <v>474650</v>
      </c>
      <c r="L29" s="179">
        <f ca="1">IF(L6="",0,IF($D$1-YEAR('2025'!$I$1)&gt;0,"",IF(AND($D$1-YEAR('2025'!$I$1)=0,L3-MONTH('2025'!$I$1)&gt;=1),"",K29)))</f>
        <v>474650</v>
      </c>
      <c r="M29" s="179">
        <f ca="1">IF(M6="",0,IF($D$1-YEAR('2025'!$I$1)&gt;0,"",IF(AND($D$1-YEAR('2025'!$I$1)=0,M3-MONTH('2025'!$I$1)&gt;=1),"",L29)))</f>
        <v>474650</v>
      </c>
      <c r="N29" s="211">
        <f t="shared" ca="1" si="2"/>
        <v>5584720</v>
      </c>
    </row>
    <row r="30" spans="1:20" ht="9.75" customHeight="1">
      <c r="A30" s="182" t="s">
        <v>58</v>
      </c>
      <c r="B30" s="179">
        <f ca="1">IF(B6="","",'2030'!M30)</f>
        <v>179010</v>
      </c>
      <c r="C30" s="179">
        <f ca="1">IF(C6="","",B30)</f>
        <v>179010</v>
      </c>
      <c r="D30" s="179">
        <f ca="1">IF(D6="","",C30)</f>
        <v>179010</v>
      </c>
      <c r="E30" s="857">
        <f ca="1">IF(E6="","",VLOOKUP(E$4,집계표!$AK$5:$HA$47,$N$1*4))</f>
        <v>194890</v>
      </c>
      <c r="F30" s="179">
        <f ca="1">IF(F6="","",E30)</f>
        <v>194890</v>
      </c>
      <c r="G30" s="179">
        <f t="shared" ref="G30:M30" ca="1" si="20">IF(G6="","",F30)</f>
        <v>194890</v>
      </c>
      <c r="H30" s="179">
        <f t="shared" ca="1" si="20"/>
        <v>194890</v>
      </c>
      <c r="I30" s="179">
        <f t="shared" ca="1" si="20"/>
        <v>194890</v>
      </c>
      <c r="J30" s="179">
        <f t="shared" ca="1" si="20"/>
        <v>194890</v>
      </c>
      <c r="K30" s="179">
        <f t="shared" ca="1" si="20"/>
        <v>194890</v>
      </c>
      <c r="L30" s="179">
        <f t="shared" ca="1" si="20"/>
        <v>194890</v>
      </c>
      <c r="M30" s="179">
        <f t="shared" ca="1" si="20"/>
        <v>194890</v>
      </c>
      <c r="N30" s="211">
        <f t="shared" ca="1" si="2"/>
        <v>2291040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18350</v>
      </c>
      <c r="C31" s="179">
        <f t="shared" ca="1" si="21"/>
        <v>18350</v>
      </c>
      <c r="D31" s="179">
        <f t="shared" ca="1" si="21"/>
        <v>18350</v>
      </c>
      <c r="E31" s="179">
        <f t="shared" ca="1" si="21"/>
        <v>19980</v>
      </c>
      <c r="F31" s="179">
        <f t="shared" ca="1" si="21"/>
        <v>19980</v>
      </c>
      <c r="G31" s="179">
        <f t="shared" ca="1" si="21"/>
        <v>19980</v>
      </c>
      <c r="H31" s="179">
        <f t="shared" ca="1" si="21"/>
        <v>19980</v>
      </c>
      <c r="I31" s="179">
        <f t="shared" ca="1" si="21"/>
        <v>19980</v>
      </c>
      <c r="J31" s="179">
        <f ca="1">IF(J$6="","",ROUND(IF(J4="","",J30*10.25%),-1))</f>
        <v>19980</v>
      </c>
      <c r="K31" s="179">
        <f t="shared" ref="K31:M31" ca="1" si="22">IF(K$6="","",ROUND(IF(K4="","",K30*10.25%),-1))</f>
        <v>19980</v>
      </c>
      <c r="L31" s="179">
        <f t="shared" ca="1" si="22"/>
        <v>19980</v>
      </c>
      <c r="M31" s="179">
        <f t="shared" ca="1" si="22"/>
        <v>19980</v>
      </c>
      <c r="N31" s="211">
        <f t="shared" ca="1" si="2"/>
        <v>234870</v>
      </c>
    </row>
    <row r="32" spans="1:20" ht="9.75" customHeight="1">
      <c r="A32" s="597" t="str">
        <f>'2030'!A32</f>
        <v>교직원공제비</v>
      </c>
      <c r="B32" s="621">
        <f ca="1">'2030'!B32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'2030'!A33</f>
        <v>급식비</v>
      </c>
      <c r="B33" s="621">
        <f ca="1">'2030'!B33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IF(B$6="",0,'2030'!M34)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IF(B$6="",0,'2030'!M38)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IF(B$6="",0,'2030'!M39)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1326420</v>
      </c>
      <c r="C40" s="216">
        <f t="shared" ca="1" si="28"/>
        <v>1331110</v>
      </c>
      <c r="D40" s="216">
        <f t="shared" ca="1" si="28"/>
        <v>1335800</v>
      </c>
      <c r="E40" s="216">
        <f t="shared" ca="1" si="28"/>
        <v>1498860</v>
      </c>
      <c r="F40" s="216">
        <f t="shared" ca="1" si="28"/>
        <v>1531330</v>
      </c>
      <c r="G40" s="216">
        <f t="shared" ca="1" si="28"/>
        <v>1536030</v>
      </c>
      <c r="H40" s="216">
        <f t="shared" ca="1" si="28"/>
        <v>1540720</v>
      </c>
      <c r="I40" s="216">
        <f t="shared" ca="1" si="28"/>
        <v>1545420</v>
      </c>
      <c r="J40" s="216">
        <f ca="1">IF(J26="","",SUM(J27:J39))</f>
        <v>1550120</v>
      </c>
      <c r="K40" s="216">
        <f t="shared" ref="K40:M40" ca="1" si="29">IF(K26="","",SUM(K27:K39))</f>
        <v>1554800</v>
      </c>
      <c r="L40" s="216">
        <f t="shared" ca="1" si="29"/>
        <v>1559500</v>
      </c>
      <c r="M40" s="216">
        <f t="shared" ca="1" si="29"/>
        <v>1564200</v>
      </c>
      <c r="N40" s="216">
        <f ca="1">SUM(B40:M40)</f>
        <v>17874310</v>
      </c>
    </row>
    <row r="41" spans="1:14" ht="9.75" customHeight="1">
      <c r="A41" s="183" t="s">
        <v>79</v>
      </c>
      <c r="B41" s="184">
        <f ca="1">ROUND((B26-B40),-1)</f>
        <v>6733580</v>
      </c>
      <c r="C41" s="184">
        <f t="shared" ref="C41:M41" ca="1" si="30">ROUND((C26-C40),-1)</f>
        <v>3061390</v>
      </c>
      <c r="D41" s="184">
        <f t="shared" ca="1" si="30"/>
        <v>8269720</v>
      </c>
      <c r="E41" s="184">
        <f t="shared" ca="1" si="30"/>
        <v>3177430</v>
      </c>
      <c r="F41" s="184">
        <f t="shared" ca="1" si="30"/>
        <v>3144960</v>
      </c>
      <c r="G41" s="184">
        <f t="shared" ca="1" si="30"/>
        <v>3140260</v>
      </c>
      <c r="H41" s="184">
        <f t="shared" ca="1" si="30"/>
        <v>4846870</v>
      </c>
      <c r="I41" s="184">
        <f t="shared" ca="1" si="30"/>
        <v>3130870</v>
      </c>
      <c r="J41" s="184">
        <f t="shared" ca="1" si="30"/>
        <v>3081650</v>
      </c>
      <c r="K41" s="184">
        <f t="shared" ca="1" si="30"/>
        <v>5403230</v>
      </c>
      <c r="L41" s="184">
        <f t="shared" ca="1" si="30"/>
        <v>3116790</v>
      </c>
      <c r="M41" s="184">
        <f t="shared" ca="1" si="30"/>
        <v>3260480</v>
      </c>
      <c r="N41" s="184">
        <f ca="1">SUM(B41:M41)</f>
        <v>50367230</v>
      </c>
    </row>
    <row r="42" spans="1:14" ht="9.75" customHeight="1">
      <c r="A42" s="217" t="str">
        <f>'2030'!A42</f>
        <v>12)지출내용입력1</v>
      </c>
      <c r="B42" s="211">
        <f>'2030'!M42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'2030'!A43</f>
        <v>지출내용입력2</v>
      </c>
      <c r="B43" s="211">
        <f>'2030'!M43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'2030'!A44</f>
        <v>지출내용입력3</v>
      </c>
      <c r="B44" s="211">
        <f>'2030'!M44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'2030'!A45</f>
        <v>지출내용입력4</v>
      </c>
      <c r="B45" s="211">
        <f>'2030'!M45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'2030'!A46</f>
        <v>지출내용입력5</v>
      </c>
      <c r="B46" s="211">
        <f>'2030'!M46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'2030'!A47</f>
        <v>지출내용입력6</v>
      </c>
      <c r="B47" s="211">
        <f>'2030'!M47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'2030'!A48</f>
        <v>지출내용입력7</v>
      </c>
      <c r="B48" s="211">
        <f>'2030'!M48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'2030'!A49</f>
        <v>지출내용입력8</v>
      </c>
      <c r="B49" s="211">
        <f>'2030'!M49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'2030'!A50</f>
        <v>지출내용입력9</v>
      </c>
      <c r="B50" s="211">
        <f>'2030'!M50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'2030'!A51</f>
        <v>지출내용입력10</v>
      </c>
      <c r="B51" s="211">
        <f>'2030'!M51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6733480</v>
      </c>
      <c r="C53" s="188">
        <f t="shared" ca="1" si="33"/>
        <v>3061290</v>
      </c>
      <c r="D53" s="188">
        <f t="shared" ca="1" si="33"/>
        <v>8269620</v>
      </c>
      <c r="E53" s="188">
        <f t="shared" ca="1" si="33"/>
        <v>3177330</v>
      </c>
      <c r="F53" s="188">
        <f t="shared" ca="1" si="33"/>
        <v>3144860</v>
      </c>
      <c r="G53" s="188">
        <f t="shared" ca="1" si="33"/>
        <v>3140160</v>
      </c>
      <c r="H53" s="188">
        <f t="shared" ca="1" si="33"/>
        <v>4846770</v>
      </c>
      <c r="I53" s="188">
        <f t="shared" ca="1" si="33"/>
        <v>3130770</v>
      </c>
      <c r="J53" s="188">
        <f t="shared" ca="1" si="33"/>
        <v>3081550</v>
      </c>
      <c r="K53" s="188">
        <f t="shared" ca="1" si="33"/>
        <v>5403130</v>
      </c>
      <c r="L53" s="188">
        <f t="shared" ca="1" si="33"/>
        <v>3116690</v>
      </c>
      <c r="M53" s="188">
        <f t="shared" ca="1" si="33"/>
        <v>3260380</v>
      </c>
      <c r="N53" s="188">
        <f t="shared" ca="1" si="33"/>
        <v>50366030</v>
      </c>
    </row>
    <row r="55" spans="1:14" ht="18">
      <c r="A55" s="1232" t="str">
        <f ca="1">D1</f>
        <v>2031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1086063</v>
      </c>
      <c r="C57" s="688">
        <f ca="1">IF(C6="",0,VLOOKUP(C26-C17-100000,'2015 근로소득 간이세액표'!$C$4:$N$845,1+$M$55)*1.1)</f>
        <v>266211</v>
      </c>
      <c r="D57" s="688">
        <f ca="1">IF(D6="",0,VLOOKUP(D26-D17-100000,'2015 근로소득 간이세액표'!$C$4:$N$845,1+$M$55)*1.1)</f>
        <v>1510025.0000000002</v>
      </c>
      <c r="E57" s="688">
        <f ca="1">IF(E6="",0,VLOOKUP(E26-E17-100000,'2015 근로소득 간이세액표'!$C$4:$N$845,1+$M$55)*1.1)</f>
        <v>309408</v>
      </c>
      <c r="F57" s="688">
        <f ca="1">IF(F6="",0,VLOOKUP(F26-F17-100000,'2015 근로소득 간이세액표'!$C$4:$N$845,1+$M$55)*1.1)</f>
        <v>309408</v>
      </c>
      <c r="G57" s="688">
        <f ca="1">IF(G6="",0,VLOOKUP(G26-G17-100000,'2015 근로소득 간이세액표'!$C$4:$N$845,1+$M$55)*1.1)</f>
        <v>309408</v>
      </c>
      <c r="H57" s="688">
        <f ca="1">IF(H6="",0,VLOOKUP(H26-H17-100000,'2015 근로소득 간이세액표'!$C$4:$N$845,1+$M$55)*1.1)</f>
        <v>666941</v>
      </c>
      <c r="I57" s="688">
        <f ca="1">IF(I6="",0,VLOOKUP(I26-I17-100000,'2015 근로소득 간이세액표'!$C$4:$N$845,1+$M$55)*1.1)</f>
        <v>309408</v>
      </c>
      <c r="J57" s="688">
        <f ca="1">IF(J6="",0,VLOOKUP(J26-J17-100000,'2015 근로소득 간이세액표'!$C$4:$N$845,1+$M$55)*1.1)</f>
        <v>303237</v>
      </c>
      <c r="K57" s="688">
        <f ca="1">IF(K6="",0,VLOOKUP(K26-K17-100000,'2015 근로소득 간이세액표'!$C$4:$N$845,1+$M$55)*1.1)</f>
        <v>806652.00000000012</v>
      </c>
      <c r="L57" s="688">
        <f ca="1">IF(L6="",0,VLOOKUP(L26-L17-100000,'2015 근로소득 간이세액표'!$C$4:$N$845,1+$M$55)*1.1)</f>
        <v>309408</v>
      </c>
      <c r="M57" s="688">
        <f ca="1">IF(M6="",0,VLOOKUP(M26-M17-100000,'2015 근로소득 간이세액표'!$C$4:$N$845,1+$M$55)*1.1)</f>
        <v>336842</v>
      </c>
      <c r="N57" s="689">
        <f ca="1">SUM(B57:M57)</f>
        <v>6523011</v>
      </c>
    </row>
    <row r="58" spans="1:14" ht="10" customHeight="1">
      <c r="A58" s="687" t="s">
        <v>295</v>
      </c>
      <c r="B58" s="689">
        <f t="shared" ref="B58:M58" ca="1" si="34">IF(B6="",0,B27+B28)</f>
        <v>361540</v>
      </c>
      <c r="C58" s="689">
        <f t="shared" ca="1" si="34"/>
        <v>366230</v>
      </c>
      <c r="D58" s="689">
        <f t="shared" ca="1" si="34"/>
        <v>370920</v>
      </c>
      <c r="E58" s="689">
        <f t="shared" ca="1" si="34"/>
        <v>516470</v>
      </c>
      <c r="F58" s="689">
        <f t="shared" ca="1" si="34"/>
        <v>521170</v>
      </c>
      <c r="G58" s="689">
        <f t="shared" ca="1" si="34"/>
        <v>525870</v>
      </c>
      <c r="H58" s="689">
        <f t="shared" ca="1" si="34"/>
        <v>530560</v>
      </c>
      <c r="I58" s="689">
        <f t="shared" ca="1" si="34"/>
        <v>535260</v>
      </c>
      <c r="J58" s="689">
        <f t="shared" ca="1" si="34"/>
        <v>539960</v>
      </c>
      <c r="K58" s="689">
        <f t="shared" ca="1" si="34"/>
        <v>544640</v>
      </c>
      <c r="L58" s="689">
        <f t="shared" ca="1" si="34"/>
        <v>549340</v>
      </c>
      <c r="M58" s="689">
        <f t="shared" ca="1" si="34"/>
        <v>554040</v>
      </c>
      <c r="N58" s="689">
        <f ca="1">SUM(B58:M58)</f>
        <v>5916000</v>
      </c>
    </row>
    <row r="59" spans="1:14" ht="10" customHeight="1">
      <c r="A59" s="680" t="s">
        <v>546</v>
      </c>
      <c r="B59" s="684">
        <f ca="1">B57-B58</f>
        <v>724523</v>
      </c>
      <c r="C59" s="684">
        <f t="shared" ref="C59:N59" ca="1" si="35">C57-C58</f>
        <v>-100019</v>
      </c>
      <c r="D59" s="684">
        <f t="shared" ca="1" si="35"/>
        <v>1139105.0000000002</v>
      </c>
      <c r="E59" s="684">
        <f t="shared" ca="1" si="35"/>
        <v>-207062</v>
      </c>
      <c r="F59" s="684">
        <f t="shared" ca="1" si="35"/>
        <v>-211762</v>
      </c>
      <c r="G59" s="684">
        <f t="shared" ca="1" si="35"/>
        <v>-216462</v>
      </c>
      <c r="H59" s="684">
        <f t="shared" ca="1" si="35"/>
        <v>136381</v>
      </c>
      <c r="I59" s="684">
        <f t="shared" ca="1" si="35"/>
        <v>-225852</v>
      </c>
      <c r="J59" s="684">
        <f t="shared" ca="1" si="35"/>
        <v>-236723</v>
      </c>
      <c r="K59" s="684">
        <f t="shared" ca="1" si="35"/>
        <v>262012.00000000012</v>
      </c>
      <c r="L59" s="684">
        <f t="shared" ca="1" si="35"/>
        <v>-239932</v>
      </c>
      <c r="M59" s="684">
        <f t="shared" ca="1" si="35"/>
        <v>-217198</v>
      </c>
      <c r="N59" s="684">
        <f t="shared" ca="1" si="35"/>
        <v>607011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607011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많이 준비하셔야 겠네요.</v>
      </c>
      <c r="J60" s="1264"/>
      <c r="K60" s="1264"/>
      <c r="L60" s="1264"/>
      <c r="M60" s="1264"/>
      <c r="N60" s="685"/>
    </row>
  </sheetData>
  <sheetProtection algorithmName="SHA-512" hashValue="m8+tgfJWBbmK3br+KgmRXfukKJD1W7znPSoRIe6m2W2Hx5khK6IQ8wj/ViiVgHW7ZEauBWfp42/Z7AhdGVoibA==" saltValue="jSTv2jb9iT4SV3kjqg/IC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67" priority="8">
      <formula>$E$2="y"</formula>
    </cfRule>
    <cfRule type="expression" dxfId="466" priority="9">
      <formula>$D$2="Y"</formula>
    </cfRule>
    <cfRule type="expression" dxfId="465" priority="10">
      <formula>$F$2="y"</formula>
    </cfRule>
  </conditionalFormatting>
  <conditionalFormatting sqref="B27:M27">
    <cfRule type="expression" dxfId="464" priority="1">
      <formula>$F$2="y"</formula>
    </cfRule>
  </conditionalFormatting>
  <conditionalFormatting sqref="D16">
    <cfRule type="expression" dxfId="463" priority="32">
      <formula>$E$2="y"</formula>
    </cfRule>
    <cfRule type="expression" dxfId="462" priority="33">
      <formula>$E$2="y"</formula>
    </cfRule>
    <cfRule type="expression" dxfId="461" priority="34">
      <formula>$F$2="y"</formula>
    </cfRule>
  </conditionalFormatting>
  <conditionalFormatting sqref="D18">
    <cfRule type="expression" dxfId="460" priority="29">
      <formula>$E$2="y"</formula>
    </cfRule>
    <cfRule type="expression" dxfId="459" priority="30">
      <formula>$E$2="y"</formula>
    </cfRule>
    <cfRule type="expression" dxfId="458" priority="31">
      <formula>$F$2="y"</formula>
    </cfRule>
  </conditionalFormatting>
  <conditionalFormatting sqref="J12:K12">
    <cfRule type="expression" dxfId="457" priority="5">
      <formula>$E$2="y"</formula>
    </cfRule>
    <cfRule type="expression" dxfId="456" priority="6">
      <formula>$D$2="Y"</formula>
    </cfRule>
    <cfRule type="expression" dxfId="455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4931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2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3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7" r:id="rId6" name="Drop Down 9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6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2032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집계표!J119</f>
        <v>2</v>
      </c>
      <c r="M1" s="627">
        <f>집계표!J122</f>
        <v>1</v>
      </c>
      <c r="N1" s="618">
        <v>8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집계표!AS53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IF('2031'!M4&gt;=50,50,IF(AND('2031'!M4=50,M$3=$N$5),"",IF(B3=$N$5,'2031'!M4+1,'2031'!M4)))</f>
        <v>19</v>
      </c>
      <c r="C4" s="176">
        <f>IF(B4&gt;=50,50,IF(AND(B4=50,C$3=$N$5),50,IF(C$3=$N$5,B4+1,B4)))</f>
        <v>19</v>
      </c>
      <c r="D4" s="176">
        <f t="shared" ref="D4:M4" si="0">IF(C4&gt;=50,50,IF(AND(C4=50,D$3=$N$5),50,IF(D$3=$N$5,C4+1,C4)))</f>
        <v>20</v>
      </c>
      <c r="E4" s="176">
        <f t="shared" si="0"/>
        <v>20</v>
      </c>
      <c r="F4" s="176">
        <f t="shared" si="0"/>
        <v>20</v>
      </c>
      <c r="G4" s="176">
        <f t="shared" si="0"/>
        <v>20</v>
      </c>
      <c r="H4" s="176">
        <f t="shared" si="0"/>
        <v>20</v>
      </c>
      <c r="I4" s="176">
        <f t="shared" si="0"/>
        <v>20</v>
      </c>
      <c r="J4" s="176">
        <f t="shared" si="0"/>
        <v>20</v>
      </c>
      <c r="K4" s="176">
        <f t="shared" si="0"/>
        <v>20</v>
      </c>
      <c r="L4" s="176">
        <f t="shared" si="0"/>
        <v>20</v>
      </c>
      <c r="M4" s="176">
        <f t="shared" si="0"/>
        <v>20</v>
      </c>
      <c r="N4" s="202" t="s">
        <v>124</v>
      </c>
    </row>
    <row r="5" spans="1:14" ht="9.75" customHeight="1">
      <c r="A5" s="208" t="s">
        <v>134</v>
      </c>
      <c r="B5" s="356">
        <f>IF(B$3=$N$5,'2031'!M5+1,'2031'!M5)</f>
        <v>9</v>
      </c>
      <c r="C5" s="209">
        <f>IF(C$3=$N$5,B5+1,B5)</f>
        <v>9</v>
      </c>
      <c r="D5" s="209">
        <f t="shared" ref="D5:M5" si="1">IF(D$3=$N$5,C5+1,C5)</f>
        <v>10</v>
      </c>
      <c r="E5" s="209">
        <f t="shared" si="1"/>
        <v>10</v>
      </c>
      <c r="F5" s="209">
        <f t="shared" si="1"/>
        <v>10</v>
      </c>
      <c r="G5" s="209">
        <f t="shared" si="1"/>
        <v>10</v>
      </c>
      <c r="H5" s="209">
        <f t="shared" si="1"/>
        <v>10</v>
      </c>
      <c r="I5" s="209">
        <f t="shared" si="1"/>
        <v>10</v>
      </c>
      <c r="J5" s="209">
        <f t="shared" si="1"/>
        <v>10</v>
      </c>
      <c r="K5" s="209">
        <f t="shared" si="1"/>
        <v>10</v>
      </c>
      <c r="L5" s="209">
        <f t="shared" si="1"/>
        <v>10</v>
      </c>
      <c r="M5" s="209">
        <f t="shared" si="1"/>
        <v>10</v>
      </c>
      <c r="N5" s="177">
        <f>'2026'!N5</f>
        <v>3</v>
      </c>
    </row>
    <row r="6" spans="1:14" ht="9.75" customHeight="1">
      <c r="A6" s="210" t="s">
        <v>454</v>
      </c>
      <c r="B6" s="211">
        <f ca="1">IF(OR(B4="",B4&lt;7),"",IF($D$1-YEAR($B$1)&gt;0,"",IF(AND($D$1-YEAR($B$1)=0,B3-MONTH($B$1)&gt;=1),"",VLOOKUP(B4,gibon40!$D$4:$AT$47,$N$1,1))))</f>
        <v>3898000</v>
      </c>
      <c r="C6" s="211">
        <f ca="1">IF(OR(C4="",C4&lt;7),"",IF($D$1-YEAR($B$1)&gt;0,"",IF(AND($D$1-YEAR($B$1)=0,C3-MONTH($B$1)&gt;=1),"",VLOOKUP(C4,gibon40!$D$4:$AT$47,$N$1,1))))</f>
        <v>3898000</v>
      </c>
      <c r="D6" s="211">
        <f ca="1">IF(OR(D4="",D4&lt;7),"",IF($D$1-YEAR($B$1)&gt;0,"",IF(AND($D$1-YEAR($B$1)=0,D3-MONTH($B$1)&gt;=1),"",VLOOKUP(D4,gibon40!$D$4:$AT$47,$N$1,1))))</f>
        <v>4036900</v>
      </c>
      <c r="E6" s="211">
        <f ca="1">IF(OR(E4="",E4&lt;7),"",IF($D$1-YEAR($B$1)&gt;0,"",IF(AND($D$1-YEAR($B$1)=0,E3-MONTH($B$1)&gt;=1),"",VLOOKUP(E4,gibon40!$D$4:$AT$47,$N$1,1))))</f>
        <v>4036900</v>
      </c>
      <c r="F6" s="211">
        <f ca="1">IF(OR(F4="",F4&lt;7),"",IF($D$1-YEAR($B$1)&gt;0,"",IF(AND($D$1-YEAR($B$1)=0,F3-MONTH($B$1)&gt;=1),"",VLOOKUP(F4,gibon40!$D$4:$AT$47,$N$1,1))))</f>
        <v>4036900</v>
      </c>
      <c r="G6" s="211">
        <f ca="1">IF(OR(G4="",G4&lt;7),"",IF($D$1-YEAR($B$1)&gt;0,"",IF(AND($D$1-YEAR($B$1)=0,G3-MONTH($B$1)&gt;=1),"",VLOOKUP(G4,gibon40!$D$4:$AT$47,$N$1,1))))</f>
        <v>4036900</v>
      </c>
      <c r="H6" s="211">
        <f ca="1">IF(OR(H4="",H4&lt;7),"",IF($D$1-YEAR($B$1)&gt;0,"",IF(AND($D$1-YEAR($B$1)=0,H3-MONTH($B$1)&gt;=1),"",VLOOKUP(H4,gibon40!$D$4:$AT$47,$N$1,1))))</f>
        <v>4036900</v>
      </c>
      <c r="I6" s="211">
        <f ca="1">IF(OR(I4="",I4&lt;7),"",IF($D$1-YEAR($B$1)&gt;0,"",IF(AND($D$1-YEAR($B$1)=0,I3-MONTH($B$1)&gt;=1),"",VLOOKUP(I4,gibon40!$D$4:$AT$47,$N$1,1))))</f>
        <v>4036900</v>
      </c>
      <c r="J6" s="211">
        <f ca="1">IF(OR(J4="",J4&lt;7),"",IF($D$1-YEAR($B$1)&gt;0,"",IF(AND($D$1-YEAR($B$1)=0,J3-MONTH($B$1)&gt;=1),"",VLOOKUP(J4,gibon40!$D$4:$AT$47,$N$1,1))))</f>
        <v>4036900</v>
      </c>
      <c r="K6" s="211">
        <f ca="1">IF(OR(K4="",K4&lt;7),"",IF($D$1-YEAR($B$1)&gt;0,"",IF(AND($D$1-YEAR($B$1)=0,K3-MONTH($B$1)&gt;=1),"",VLOOKUP(K4,gibon40!$D$4:$AT$47,$N$1,1))))</f>
        <v>4036900</v>
      </c>
      <c r="L6" s="211">
        <f ca="1">IF(OR(L4="",L4&lt;7),"",IF($D$1-YEAR($B$1)&gt;0,"",IF(AND($D$1-YEAR($B$1)=0,L3-MONTH($B$1)&gt;=1),"",VLOOKUP(L4,gibon40!$D$4:$AT$47,$N$1,1))))</f>
        <v>4036900</v>
      </c>
      <c r="M6" s="211">
        <f ca="1">IF(OR(M4="",M4&lt;7),"",IF($D$1-YEAR($B$1)&gt;0,"",IF(AND($D$1-YEAR($B$1)=0,M3-MONTH($B$1)&gt;=1),"",VLOOKUP(M4,gibon40!$D$4:$AT$47,$N$1,1))))</f>
        <v>4036900</v>
      </c>
      <c r="N6" s="211">
        <f t="shared" ref="N6:N52" ca="1" si="2">SUM(B6:M6)</f>
        <v>48165000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1754100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2018450</v>
      </c>
      <c r="I7" s="180"/>
      <c r="J7" s="180"/>
      <c r="K7" s="180"/>
      <c r="L7" s="180"/>
      <c r="M7" s="180"/>
      <c r="N7" s="211">
        <f t="shared" ca="1" si="2"/>
        <v>3772550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50000</v>
      </c>
      <c r="C8" s="179">
        <f t="shared" ref="C8:M8" ca="1" si="3">IF(C4="","",IF(C6="","",IF(C5&gt;=20,100000,IF(C5&gt;=15,80000,IF(C5&gt;=10,60000,IF(C5&gt;=5,50000,30000))))))</f>
        <v>50000</v>
      </c>
      <c r="D8" s="179">
        <f t="shared" ca="1" si="3"/>
        <v>60000</v>
      </c>
      <c r="E8" s="179">
        <f t="shared" ca="1" si="3"/>
        <v>60000</v>
      </c>
      <c r="F8" s="179">
        <f t="shared" ca="1" si="3"/>
        <v>60000</v>
      </c>
      <c r="G8" s="179">
        <f t="shared" ca="1" si="3"/>
        <v>60000</v>
      </c>
      <c r="H8" s="179">
        <f t="shared" ca="1" si="3"/>
        <v>60000</v>
      </c>
      <c r="I8" s="179">
        <f t="shared" ca="1" si="3"/>
        <v>60000</v>
      </c>
      <c r="J8" s="179">
        <f t="shared" ca="1" si="3"/>
        <v>60000</v>
      </c>
      <c r="K8" s="179">
        <f t="shared" ca="1" si="3"/>
        <v>60000</v>
      </c>
      <c r="L8" s="179">
        <f t="shared" ca="1" si="3"/>
        <v>60000</v>
      </c>
      <c r="M8" s="179">
        <f t="shared" ca="1" si="3"/>
        <v>60000</v>
      </c>
      <c r="N8" s="211">
        <f t="shared" ca="1" si="2"/>
        <v>700000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5153860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5153860</v>
      </c>
    </row>
    <row r="11" spans="1:14" ht="9.75" customHeight="1">
      <c r="A11" s="178" t="s">
        <v>63</v>
      </c>
      <c r="B11" s="179">
        <f ca="1">IF(B$6="",0,'2031'!M11)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2338800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2422140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4760940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IF(B$6="",0,'2031'!M15)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IF(B$6="",0,'2031'!M16)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IF(B$6="",0,'2031'!M18)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IF(B$6="",0,'2031'!M19)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56320</v>
      </c>
      <c r="E21" s="179">
        <f ca="1">IF(D4="","",IF(E$6="","",ROUND(VLOOKUP(E4,gibon40!$D$51:$AV$100,$N$1+1)*10*15/15,-1)))</f>
        <v>168950</v>
      </c>
      <c r="F21" s="179">
        <f ca="1">IF(E4="","",IF(F$6="","",ROUND(VLOOKUP(F4,gibon40!$D$51:$AV$100,$N$1+1)*10*15/15,-1)))</f>
        <v>168950</v>
      </c>
      <c r="G21" s="179">
        <f ca="1">IF(F4="","",IF(G$6="","",ROUND(VLOOKUP(G4,gibon40!$D$51:$AV$100,$N$1+1)*10*15/15,-1)))</f>
        <v>168950</v>
      </c>
      <c r="H21" s="179">
        <f ca="1">IF(G4="","",IF(H$6="","",ROUND(VLOOKUP(H4,gibon40!$D$51:$AV$100,$N$1+1)*10*15/15,-1)))</f>
        <v>168950</v>
      </c>
      <c r="I21" s="179">
        <f ca="1">IF(H4="","",IF(I$6="","",ROUND(VLOOKUP(I4,gibon40!$D$51:$AV$100,$N$1+1)*10*15/15,-1)))</f>
        <v>168950</v>
      </c>
      <c r="J21" s="179">
        <f ca="1">IF(I4="","",IF(J$6="","",ROUND(VLOOKUP(J4,gibon40!$D$51:$AV$100,$N$1+1)*7*15/15,-1)))</f>
        <v>118270</v>
      </c>
      <c r="K21" s="179">
        <f ca="1">IF(J4="","",IF(K$6="","",ROUND(VLOOKUP(K4,gibon40!$D$51:$AV$100,$N$1+1)*10*15/15,-1)))</f>
        <v>168950</v>
      </c>
      <c r="L21" s="179">
        <f ca="1">IF(K4="","",IF(L$6="","",ROUND(VLOOKUP(L4,gibon40!$D$51:$AV$100,$N$1+1)*10*15/15,-1)))</f>
        <v>168950</v>
      </c>
      <c r="M21" s="179">
        <f ca="1">IF(L4="","",IF(M$6="","",ROUND(VLOOKUP(M4,gibon40!$D$51:$AV$100,$N$1+1)*10*15/15*2,-1)))</f>
        <v>337900</v>
      </c>
      <c r="N21" s="211">
        <f t="shared" ca="1" si="2"/>
        <v>1695140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IF(B$6="",0,'2031'!M23)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IF(B$6="",0,'2031'!M24)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'2031'!A25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6377100</v>
      </c>
      <c r="C26" s="213">
        <f t="shared" ref="C26:M26" ca="1" si="16">ROUNDDOWN(SUM(C6:C25),-1)</f>
        <v>6961800</v>
      </c>
      <c r="D26" s="213">
        <f t="shared" ca="1" si="16"/>
        <v>9982080</v>
      </c>
      <c r="E26" s="213">
        <f t="shared" ca="1" si="16"/>
        <v>4940850</v>
      </c>
      <c r="F26" s="213">
        <f t="shared" ca="1" si="16"/>
        <v>4940850</v>
      </c>
      <c r="G26" s="213">
        <f t="shared" ca="1" si="16"/>
        <v>4940850</v>
      </c>
      <c r="H26" s="213">
        <f t="shared" ca="1" si="16"/>
        <v>6959300</v>
      </c>
      <c r="I26" s="213">
        <f t="shared" ca="1" si="16"/>
        <v>4940850</v>
      </c>
      <c r="J26" s="213">
        <f t="shared" ca="1" si="16"/>
        <v>7312310</v>
      </c>
      <c r="K26" s="213">
        <f t="shared" ca="1" si="16"/>
        <v>4940850</v>
      </c>
      <c r="L26" s="213">
        <f t="shared" ca="1" si="16"/>
        <v>4940850</v>
      </c>
      <c r="M26" s="213">
        <f t="shared" ca="1" si="16"/>
        <v>5109800</v>
      </c>
      <c r="N26" s="214">
        <f ca="1">SUM(B26:M26)</f>
        <v>72347490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403990</v>
      </c>
      <c r="C27" s="179">
        <f ca="1">IF(C6="",0,ROUND(VLOOKUP(($N$26-1200000-$N$17-$N$16)/12,'2015근로소득간이세액표'!$C$4:$Z$700,$A$27+1)*0.78*O27,-1))</f>
        <v>409230</v>
      </c>
      <c r="D27" s="179">
        <f ca="1">IF(D6="",0,ROUND(VLOOKUP(($N$26-1200000-$N$17-$N$16)/12,'2015근로소득간이세액표'!$C$4:$Z$700,$A$27+1)*0.79*O27,-1))</f>
        <v>414480</v>
      </c>
      <c r="E27" s="179">
        <f ca="1">IF(E6="",0,ROUND(VLOOKUP(($N$26-1200000-$N$17-$N$16)/12,'2015근로소득간이세액표'!$C$4:$Z$700,$A$27+1)*1.1*O27,-1))</f>
        <v>577130</v>
      </c>
      <c r="F27" s="179">
        <f ca="1">IF(F6="",0,ROUND(VLOOKUP(($N$26-1200000-$N$17-$N$16)/12,'2015근로소득간이세액표'!$C$4:$Z$700,$A$27+1)*1.11*O27,-1))</f>
        <v>582370</v>
      </c>
      <c r="G27" s="179">
        <f ca="1">IF(G6="",0,ROUND(VLOOKUP(($N$26-1200000-$N$17-$N$16)/12,'2015근로소득간이세액표'!$C$4:$Z$700,$A$27+1)*1.12*O27,-1))</f>
        <v>587620</v>
      </c>
      <c r="H27" s="179">
        <f ca="1">IF(H6="",0,ROUND(VLOOKUP(($N$26-1200000-$N$17-$N$16)/12,'2015근로소득간이세액표'!$C$4:$Z$700,$A$27+1)*1.13*O27,-1))</f>
        <v>592870</v>
      </c>
      <c r="I27" s="179">
        <f ca="1">IF(I6="",0,ROUND(VLOOKUP(($N$26-1200000-$N$17-$N$16)/12,'2015근로소득간이세액표'!$C$4:$Z$700,$A$27+1)*1.14*O27,-1))</f>
        <v>598110</v>
      </c>
      <c r="J27" s="179">
        <f ca="1">IF(J6="",0,ROUND(VLOOKUP(($N$26-1200000-$N$17-$N$16)/12,'2015근로소득간이세액표'!$C$4:$Z$700,$A$27+1)*1.15*O27,-1))</f>
        <v>603360</v>
      </c>
      <c r="K27" s="179">
        <f ca="1">IF(K6="",0,ROUND(VLOOKUP(($N$26-1200000-$N$17-$N$16)/12,'2015근로소득간이세액표'!$C$4:$Z$700,$A$27+1)*1.16*O27,-1))</f>
        <v>608610</v>
      </c>
      <c r="L27" s="179">
        <f ca="1">IF(L6="",0,ROUND(VLOOKUP(($N$26-1200000-$N$17-$N$16)/12,'2015근로소득간이세액표'!$C$4:$Z$700,$A$27+1)*1.17*O27,-1))</f>
        <v>613850</v>
      </c>
      <c r="M27" s="179">
        <f ca="1">IF(M6="",0,ROUND(VLOOKUP(($N$26-1200000-$N$17-$N$16)/12,'2015근로소득간이세액표'!$C$4:$Z$700,$A$27+1)*1.18*O27,-1))</f>
        <v>619100</v>
      </c>
      <c r="N27" s="179">
        <f t="shared" ref="N27:N28" ca="1" si="17">SUM(B27:M27)</f>
        <v>6610720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40400</v>
      </c>
      <c r="C28" s="179">
        <f t="shared" ca="1" si="18"/>
        <v>40920</v>
      </c>
      <c r="D28" s="179">
        <f t="shared" ca="1" si="18"/>
        <v>41450</v>
      </c>
      <c r="E28" s="179">
        <f t="shared" ca="1" si="18"/>
        <v>57710</v>
      </c>
      <c r="F28" s="179">
        <f t="shared" ca="1" si="18"/>
        <v>58240</v>
      </c>
      <c r="G28" s="179">
        <f t="shared" ca="1" si="18"/>
        <v>58760</v>
      </c>
      <c r="H28" s="179">
        <f t="shared" ca="1" si="18"/>
        <v>59290</v>
      </c>
      <c r="I28" s="179">
        <f t="shared" ca="1" si="18"/>
        <v>59810</v>
      </c>
      <c r="J28" s="179">
        <f ca="1">IF(J$6="","",ROUND(J27*0.1,-1))</f>
        <v>60340</v>
      </c>
      <c r="K28" s="179">
        <f t="shared" ref="K28:M28" ca="1" si="19">IF(K$6="","",ROUND(K27*0.1,-1))</f>
        <v>60860</v>
      </c>
      <c r="L28" s="179">
        <f t="shared" ca="1" si="19"/>
        <v>61390</v>
      </c>
      <c r="M28" s="179">
        <f t="shared" ca="1" si="19"/>
        <v>61910</v>
      </c>
      <c r="N28" s="179">
        <f t="shared" ca="1" si="17"/>
        <v>661080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IF(B4="","",IF(B6="","",IF($D$1-YEAR('2025'!$I$1)&gt;0,"",IF(AND($D$1-YEAR('2025'!$I$1)=0,B3-MONTH('2025'!$I$1)&gt;=1),"",'2031'!M29))))</f>
        <v>474650</v>
      </c>
      <c r="C29" s="179">
        <f ca="1">IF(C4="","",IF(C6="","",IF($D$1-YEAR('2025'!$I$1)&gt;0,"",IF(AND($D$1-YEAR('2025'!$I$1)=0,C3-MONTH('2025'!$I$1)&gt;=1),"",B29))))</f>
        <v>474650</v>
      </c>
      <c r="D29" s="179">
        <f ca="1">IF(D4="","",IF(D6="","",IF($D$1-YEAR('2025'!$I$1)&gt;0,"",IF(AND($D$1-YEAR('2025'!$I$1)=0,D3-MONTH('2025'!$I$1)&gt;=1),"",C29))))</f>
        <v>474650</v>
      </c>
      <c r="E29" s="179">
        <f ca="1">IF(E4="","",IF(E6="","",IF($D$1-YEAR('2025'!$I$1)&gt;0,"",IF(AND($D$1-YEAR('2025'!$I$1)=0,E3-MONTH('2025'!$I$1)&gt;=1),"",D29))))</f>
        <v>474650</v>
      </c>
      <c r="F29" s="179">
        <f ca="1">IF(F4="","",IF(F$6="","",IF($D$1-YEAR('2025'!$I$1)&gt;0,"",IF(AND($D$1-YEAR('2025'!$I$1)=0,F3-MONTH('2025'!$I$1)&gt;=1),"",VLOOKUP(F$4,집계표!$AK$5:$HA$47,$N$1*3+$N$1-1+4)))))</f>
        <v>504210</v>
      </c>
      <c r="G29" s="179">
        <f ca="1">IF(G6="",0,IF($D$1-YEAR('2025'!$I$1)&gt;0,"",IF(AND($D$1-YEAR('2025'!$I$1)=0,G3-MONTH('2025'!$I$1)&gt;=1),"",F29)))</f>
        <v>504210</v>
      </c>
      <c r="H29" s="179">
        <f ca="1">IF(H6="",0,IF($D$1-YEAR('2025'!$I$1)&gt;0,"",IF(AND($D$1-YEAR('2025'!$I$1)=0,H3-MONTH('2025'!$I$1)&gt;=1),"",G29)))</f>
        <v>504210</v>
      </c>
      <c r="I29" s="179">
        <f ca="1">IF(I6="",0,IF($D$1-YEAR('2025'!$I$1)&gt;0,"",IF(AND($D$1-YEAR('2025'!$I$1)=0,I3-MONTH('2025'!$I$1)&gt;=1),"",H29)))</f>
        <v>504210</v>
      </c>
      <c r="J29" s="179">
        <f ca="1">IF(J6="",0,IF($D$1-YEAR('2025'!$I$1)&gt;0,"",IF(AND($D$1-YEAR('2025'!$I$1)=0,J3-MONTH('2025'!$I$1)&gt;=1),"",I29)))</f>
        <v>504210</v>
      </c>
      <c r="K29" s="179">
        <f ca="1">IF(K6="",0,IF($D$1-YEAR('2025'!$I$1)&gt;0,"",IF(AND($D$1-YEAR('2025'!$I$1)=0,K3-MONTH('2025'!$I$1)&gt;=1),"",J29)))</f>
        <v>504210</v>
      </c>
      <c r="L29" s="179">
        <f ca="1">IF(L6="",0,IF($D$1-YEAR('2025'!$I$1)&gt;0,"",IF(AND($D$1-YEAR('2025'!$I$1)=0,L3-MONTH('2025'!$I$1)&gt;=1),"",K29)))</f>
        <v>504210</v>
      </c>
      <c r="M29" s="179">
        <f ca="1">IF(M6="",0,IF($D$1-YEAR('2025'!$I$1)&gt;0,"",IF(AND($D$1-YEAR('2025'!$I$1)=0,M3-MONTH('2025'!$I$1)&gt;=1),"",L29)))</f>
        <v>504210</v>
      </c>
      <c r="N29" s="211">
        <f t="shared" ca="1" si="2"/>
        <v>5932280</v>
      </c>
    </row>
    <row r="30" spans="1:20" ht="9.75" customHeight="1">
      <c r="A30" s="182" t="s">
        <v>58</v>
      </c>
      <c r="B30" s="179">
        <f ca="1">IF(B6="","",'2031'!M30)</f>
        <v>194890</v>
      </c>
      <c r="C30" s="179">
        <f ca="1">IF(C6="","",B30)</f>
        <v>194890</v>
      </c>
      <c r="D30" s="179">
        <f ca="1">IF(D6="","",C30)</f>
        <v>194890</v>
      </c>
      <c r="E30" s="857">
        <f ca="1">IF(E6="","",VLOOKUP(E$4,집계표!$AK$5:$HA$47,$N$1*4))</f>
        <v>212200</v>
      </c>
      <c r="F30" s="179">
        <f ca="1">IF(F6="","",E30)</f>
        <v>212200</v>
      </c>
      <c r="G30" s="179">
        <f t="shared" ref="G30:M30" ca="1" si="20">IF(G6="","",F30)</f>
        <v>212200</v>
      </c>
      <c r="H30" s="179">
        <f t="shared" ca="1" si="20"/>
        <v>212200</v>
      </c>
      <c r="I30" s="179">
        <f t="shared" ca="1" si="20"/>
        <v>212200</v>
      </c>
      <c r="J30" s="179">
        <f t="shared" ca="1" si="20"/>
        <v>212200</v>
      </c>
      <c r="K30" s="179">
        <f t="shared" ca="1" si="20"/>
        <v>212200</v>
      </c>
      <c r="L30" s="179">
        <f t="shared" ca="1" si="20"/>
        <v>212200</v>
      </c>
      <c r="M30" s="179">
        <f t="shared" ca="1" si="20"/>
        <v>212200</v>
      </c>
      <c r="N30" s="211">
        <f t="shared" ca="1" si="2"/>
        <v>2494470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19980</v>
      </c>
      <c r="C31" s="179">
        <f t="shared" ca="1" si="21"/>
        <v>19980</v>
      </c>
      <c r="D31" s="179">
        <f t="shared" ca="1" si="21"/>
        <v>19980</v>
      </c>
      <c r="E31" s="179">
        <f t="shared" ca="1" si="21"/>
        <v>21750</v>
      </c>
      <c r="F31" s="179">
        <f t="shared" ca="1" si="21"/>
        <v>21750</v>
      </c>
      <c r="G31" s="179">
        <f t="shared" ca="1" si="21"/>
        <v>21750</v>
      </c>
      <c r="H31" s="179">
        <f t="shared" ca="1" si="21"/>
        <v>21750</v>
      </c>
      <c r="I31" s="179">
        <f t="shared" ca="1" si="21"/>
        <v>21750</v>
      </c>
      <c r="J31" s="179">
        <f ca="1">IF(J$6="","",ROUND(IF(J4="","",J30*10.25%),-1))</f>
        <v>21750</v>
      </c>
      <c r="K31" s="179">
        <f t="shared" ref="K31:M31" ca="1" si="22">IF(K$6="","",ROUND(IF(K4="","",K30*10.25%),-1))</f>
        <v>21750</v>
      </c>
      <c r="L31" s="179">
        <f t="shared" ca="1" si="22"/>
        <v>21750</v>
      </c>
      <c r="M31" s="179">
        <f t="shared" ca="1" si="22"/>
        <v>21750</v>
      </c>
      <c r="N31" s="211">
        <f t="shared" ca="1" si="2"/>
        <v>255690</v>
      </c>
    </row>
    <row r="32" spans="1:20" ht="9.75" customHeight="1">
      <c r="A32" s="597" t="str">
        <f>'2031'!A32</f>
        <v>교직원공제비</v>
      </c>
      <c r="B32" s="621">
        <f ca="1">'2031'!B32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'2031'!A33</f>
        <v>급식비</v>
      </c>
      <c r="B33" s="621">
        <f ca="1">'2031'!B33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IF(B$6="",0,'2031'!M34)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IF(B$6="",0,'2031'!M38)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IF(B$6="",0,'2031'!M39)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1454550</v>
      </c>
      <c r="C40" s="216">
        <f t="shared" ca="1" si="28"/>
        <v>1460310</v>
      </c>
      <c r="D40" s="216">
        <f t="shared" ca="1" si="28"/>
        <v>1466090</v>
      </c>
      <c r="E40" s="216">
        <f t="shared" ca="1" si="28"/>
        <v>1664080</v>
      </c>
      <c r="F40" s="216">
        <f t="shared" ca="1" si="28"/>
        <v>1699410</v>
      </c>
      <c r="G40" s="216">
        <f t="shared" ca="1" si="28"/>
        <v>1705180</v>
      </c>
      <c r="H40" s="216">
        <f t="shared" ca="1" si="28"/>
        <v>1710960</v>
      </c>
      <c r="I40" s="216">
        <f t="shared" ca="1" si="28"/>
        <v>1716720</v>
      </c>
      <c r="J40" s="216">
        <f ca="1">IF(J26="","",SUM(J27:J39))</f>
        <v>1722500</v>
      </c>
      <c r="K40" s="216">
        <f t="shared" ref="K40:M40" ca="1" si="29">IF(K26="","",SUM(K27:K39))</f>
        <v>1728270</v>
      </c>
      <c r="L40" s="216">
        <f t="shared" ca="1" si="29"/>
        <v>1734040</v>
      </c>
      <c r="M40" s="216">
        <f t="shared" ca="1" si="29"/>
        <v>1739810</v>
      </c>
      <c r="N40" s="216">
        <f ca="1">SUM(B40:M40)</f>
        <v>19801920</v>
      </c>
    </row>
    <row r="41" spans="1:14" ht="9.75" customHeight="1">
      <c r="A41" s="183" t="s">
        <v>79</v>
      </c>
      <c r="B41" s="184">
        <f ca="1">ROUND((B26-B40),-1)</f>
        <v>4922550</v>
      </c>
      <c r="C41" s="184">
        <f t="shared" ref="C41:M41" ca="1" si="30">ROUND((C26-C40),-1)</f>
        <v>5501490</v>
      </c>
      <c r="D41" s="184">
        <f t="shared" ca="1" si="30"/>
        <v>8515990</v>
      </c>
      <c r="E41" s="184">
        <f t="shared" ca="1" si="30"/>
        <v>3276770</v>
      </c>
      <c r="F41" s="184">
        <f t="shared" ca="1" si="30"/>
        <v>3241440</v>
      </c>
      <c r="G41" s="184">
        <f t="shared" ca="1" si="30"/>
        <v>3235670</v>
      </c>
      <c r="H41" s="184">
        <f t="shared" ca="1" si="30"/>
        <v>5248340</v>
      </c>
      <c r="I41" s="184">
        <f t="shared" ca="1" si="30"/>
        <v>3224130</v>
      </c>
      <c r="J41" s="184">
        <f t="shared" ca="1" si="30"/>
        <v>5589810</v>
      </c>
      <c r="K41" s="184">
        <f t="shared" ca="1" si="30"/>
        <v>3212580</v>
      </c>
      <c r="L41" s="184">
        <f t="shared" ca="1" si="30"/>
        <v>3206810</v>
      </c>
      <c r="M41" s="184">
        <f t="shared" ca="1" si="30"/>
        <v>3369990</v>
      </c>
      <c r="N41" s="184">
        <f ca="1">SUM(B41:M41)</f>
        <v>52545570</v>
      </c>
    </row>
    <row r="42" spans="1:14" ht="9.75" customHeight="1">
      <c r="A42" s="217" t="str">
        <f>'2031'!A42</f>
        <v>12)지출내용입력1</v>
      </c>
      <c r="B42" s="211">
        <f>'2031'!M42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'2031'!A43</f>
        <v>지출내용입력2</v>
      </c>
      <c r="B43" s="211">
        <f>'2031'!M43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'2031'!A44</f>
        <v>지출내용입력3</v>
      </c>
      <c r="B44" s="211">
        <f>'2031'!M44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'2031'!A45</f>
        <v>지출내용입력4</v>
      </c>
      <c r="B45" s="211">
        <f>'2031'!M45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'2031'!A46</f>
        <v>지출내용입력5</v>
      </c>
      <c r="B46" s="211">
        <f>'2031'!M46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'2031'!A47</f>
        <v>지출내용입력6</v>
      </c>
      <c r="B47" s="211">
        <f>'2031'!M47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'2031'!A48</f>
        <v>지출내용입력7</v>
      </c>
      <c r="B48" s="211">
        <f>'2031'!M48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'2031'!A49</f>
        <v>지출내용입력8</v>
      </c>
      <c r="B49" s="211">
        <f>'2031'!M49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'2031'!A50</f>
        <v>지출내용입력9</v>
      </c>
      <c r="B50" s="211">
        <f>'2031'!M50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'2031'!A51</f>
        <v>지출내용입력10</v>
      </c>
      <c r="B51" s="211">
        <f>'2031'!M51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4922450</v>
      </c>
      <c r="C53" s="188">
        <f t="shared" ca="1" si="33"/>
        <v>5501390</v>
      </c>
      <c r="D53" s="188">
        <f t="shared" ca="1" si="33"/>
        <v>8515890</v>
      </c>
      <c r="E53" s="188">
        <f t="shared" ca="1" si="33"/>
        <v>3276670</v>
      </c>
      <c r="F53" s="188">
        <f t="shared" ca="1" si="33"/>
        <v>3241340</v>
      </c>
      <c r="G53" s="188">
        <f t="shared" ca="1" si="33"/>
        <v>3235570</v>
      </c>
      <c r="H53" s="188">
        <f t="shared" ca="1" si="33"/>
        <v>5248240</v>
      </c>
      <c r="I53" s="188">
        <f t="shared" ca="1" si="33"/>
        <v>3224030</v>
      </c>
      <c r="J53" s="188">
        <f t="shared" ca="1" si="33"/>
        <v>5589710</v>
      </c>
      <c r="K53" s="188">
        <f t="shared" ca="1" si="33"/>
        <v>3212480</v>
      </c>
      <c r="L53" s="188">
        <f t="shared" ca="1" si="33"/>
        <v>3206710</v>
      </c>
      <c r="M53" s="188">
        <f t="shared" ca="1" si="33"/>
        <v>3369890</v>
      </c>
      <c r="N53" s="188">
        <f t="shared" ca="1" si="33"/>
        <v>52544370</v>
      </c>
    </row>
    <row r="55" spans="1:14" ht="18">
      <c r="A55" s="1232" t="str">
        <f ca="1">D1</f>
        <v>2032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661947</v>
      </c>
      <c r="C57" s="688">
        <f ca="1">IF(C6="",0,VLOOKUP(C26-C17-100000,'2015 근로소득 간이세액표'!$C$4:$N$845,1+$M$55)*1.1)</f>
        <v>811635.00000000012</v>
      </c>
      <c r="D57" s="688">
        <f ca="1">IF(D6="",0,VLOOKUP(D26-D17-100000,'2015 근로소득 간이세액표'!$C$4:$N$845,1+$M$55)*1.1)</f>
        <v>1652662.0000000002</v>
      </c>
      <c r="E57" s="688">
        <f ca="1">IF(E6="",0,VLOOKUP(E26-E17-100000,'2015 근로소득 간이세액표'!$C$4:$N$845,1+$M$55)*1.1)</f>
        <v>355355</v>
      </c>
      <c r="F57" s="688">
        <f ca="1">IF(F6="",0,VLOOKUP(F26-F17-100000,'2015 근로소득 간이세액표'!$C$4:$N$845,1+$M$55)*1.1)</f>
        <v>355355</v>
      </c>
      <c r="G57" s="688">
        <f ca="1">IF(G6="",0,VLOOKUP(G26-G17-100000,'2015 근로소득 간이세액표'!$C$4:$N$845,1+$M$55)*1.1)</f>
        <v>355355</v>
      </c>
      <c r="H57" s="688">
        <f ca="1">IF(H6="",0,VLOOKUP(H26-H17-100000,'2015 근로소득 간이세액표'!$C$4:$N$845,1+$M$55)*1.1)</f>
        <v>806652.00000000012</v>
      </c>
      <c r="I57" s="688">
        <f ca="1">IF(I6="",0,VLOOKUP(I26-I17-100000,'2015 근로소득 간이세액표'!$C$4:$N$845,1+$M$55)*1.1)</f>
        <v>355355</v>
      </c>
      <c r="J57" s="688">
        <f ca="1">IF(J6="",0,VLOOKUP(J26-J17-100000,'2015 근로소득 간이세액표'!$C$4:$N$845,1+$M$55)*1.1)</f>
        <v>896456.00000000012</v>
      </c>
      <c r="K57" s="688">
        <f ca="1">IF(K6="",0,VLOOKUP(K26-K17-100000,'2015 근로소득 간이세액표'!$C$4:$N$845,1+$M$55)*1.1)</f>
        <v>355355</v>
      </c>
      <c r="L57" s="688">
        <f ca="1">IF(L6="",0,VLOOKUP(L26-L17-100000,'2015 근로소득 간이세액표'!$C$4:$N$845,1+$M$55)*1.1)</f>
        <v>355355</v>
      </c>
      <c r="M57" s="688">
        <f ca="1">IF(M6="",0,VLOOKUP(M26-M17-100000,'2015 근로소득 간이세액표'!$C$4:$N$845,1+$M$55)*1.1)</f>
        <v>380039.00000000006</v>
      </c>
      <c r="N57" s="689">
        <f ca="1">SUM(B57:M57)</f>
        <v>7341521</v>
      </c>
    </row>
    <row r="58" spans="1:14" ht="10" customHeight="1">
      <c r="A58" s="687" t="s">
        <v>295</v>
      </c>
      <c r="B58" s="689">
        <f t="shared" ref="B58:M58" ca="1" si="34">IF(B6="",0,B27+B28)</f>
        <v>444390</v>
      </c>
      <c r="C58" s="689">
        <f t="shared" ca="1" si="34"/>
        <v>450150</v>
      </c>
      <c r="D58" s="689">
        <f t="shared" ca="1" si="34"/>
        <v>455930</v>
      </c>
      <c r="E58" s="689">
        <f t="shared" ca="1" si="34"/>
        <v>634840</v>
      </c>
      <c r="F58" s="689">
        <f t="shared" ca="1" si="34"/>
        <v>640610</v>
      </c>
      <c r="G58" s="689">
        <f t="shared" ca="1" si="34"/>
        <v>646380</v>
      </c>
      <c r="H58" s="689">
        <f t="shared" ca="1" si="34"/>
        <v>652160</v>
      </c>
      <c r="I58" s="689">
        <f t="shared" ca="1" si="34"/>
        <v>657920</v>
      </c>
      <c r="J58" s="689">
        <f t="shared" ca="1" si="34"/>
        <v>663700</v>
      </c>
      <c r="K58" s="689">
        <f t="shared" ca="1" si="34"/>
        <v>669470</v>
      </c>
      <c r="L58" s="689">
        <f t="shared" ca="1" si="34"/>
        <v>675240</v>
      </c>
      <c r="M58" s="689">
        <f t="shared" ca="1" si="34"/>
        <v>681010</v>
      </c>
      <c r="N58" s="689">
        <f ca="1">SUM(B58:M58)</f>
        <v>7271800</v>
      </c>
    </row>
    <row r="59" spans="1:14" ht="10" customHeight="1">
      <c r="A59" s="680" t="s">
        <v>546</v>
      </c>
      <c r="B59" s="684">
        <f ca="1">B57-B58</f>
        <v>217557</v>
      </c>
      <c r="C59" s="684">
        <f t="shared" ref="C59:N59" ca="1" si="35">C57-C58</f>
        <v>361485.00000000012</v>
      </c>
      <c r="D59" s="684">
        <f t="shared" ca="1" si="35"/>
        <v>1196732.0000000002</v>
      </c>
      <c r="E59" s="684">
        <f t="shared" ca="1" si="35"/>
        <v>-279485</v>
      </c>
      <c r="F59" s="684">
        <f t="shared" ca="1" si="35"/>
        <v>-285255</v>
      </c>
      <c r="G59" s="684">
        <f t="shared" ca="1" si="35"/>
        <v>-291025</v>
      </c>
      <c r="H59" s="684">
        <f t="shared" ca="1" si="35"/>
        <v>154492.00000000012</v>
      </c>
      <c r="I59" s="684">
        <f t="shared" ca="1" si="35"/>
        <v>-302565</v>
      </c>
      <c r="J59" s="684">
        <f t="shared" ca="1" si="35"/>
        <v>232756.00000000012</v>
      </c>
      <c r="K59" s="684">
        <f t="shared" ca="1" si="35"/>
        <v>-314115</v>
      </c>
      <c r="L59" s="684">
        <f t="shared" ca="1" si="35"/>
        <v>-319885</v>
      </c>
      <c r="M59" s="684">
        <f t="shared" ca="1" si="35"/>
        <v>-300970.99999999994</v>
      </c>
      <c r="N59" s="684">
        <f t="shared" ca="1" si="35"/>
        <v>69721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69721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64"/>
      <c r="K60" s="1264"/>
      <c r="L60" s="1264"/>
      <c r="M60" s="1264"/>
      <c r="N60" s="685"/>
    </row>
  </sheetData>
  <sheetProtection algorithmName="SHA-512" hashValue="ZW3LnMV7lBcNdsHOrKhApddYNUonfMJI4whcMX2AjhyeZknayXncG00XYfsIxIjyiy2LQzoqBIaebd+PUoQ2dA==" saltValue="1htTFknIXsvNnZFubI9JZ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54" priority="8">
      <formula>$E$2="y"</formula>
    </cfRule>
    <cfRule type="expression" dxfId="453" priority="9">
      <formula>$D$2="Y"</formula>
    </cfRule>
    <cfRule type="expression" dxfId="452" priority="10">
      <formula>$F$2="y"</formula>
    </cfRule>
  </conditionalFormatting>
  <conditionalFormatting sqref="B27:M27">
    <cfRule type="expression" dxfId="451" priority="1">
      <formula>$F$2="y"</formula>
    </cfRule>
  </conditionalFormatting>
  <conditionalFormatting sqref="D16">
    <cfRule type="expression" dxfId="450" priority="26">
      <formula>$E$2="y"</formula>
    </cfRule>
    <cfRule type="expression" dxfId="449" priority="27">
      <formula>$E$2="y"</formula>
    </cfRule>
    <cfRule type="expression" dxfId="448" priority="28">
      <formula>$F$2="y"</formula>
    </cfRule>
  </conditionalFormatting>
  <conditionalFormatting sqref="D18">
    <cfRule type="expression" dxfId="447" priority="23">
      <formula>$E$2="y"</formula>
    </cfRule>
    <cfRule type="expression" dxfId="446" priority="24">
      <formula>$E$2="y"</formula>
    </cfRule>
    <cfRule type="expression" dxfId="445" priority="25">
      <formula>$F$2="y"</formula>
    </cfRule>
  </conditionalFormatting>
  <conditionalFormatting sqref="J12:K12">
    <cfRule type="expression" dxfId="444" priority="5">
      <formula>$E$2="y"</formula>
    </cfRule>
    <cfRule type="expression" dxfId="443" priority="6">
      <formula>$D$2="Y"</formula>
    </cfRule>
    <cfRule type="expression" dxfId="442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5955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56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57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61" r:id="rId6" name="Drop Down 9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7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2033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집계표!K119</f>
        <v>2</v>
      </c>
      <c r="M1" s="627">
        <f>집계표!K122</f>
        <v>1</v>
      </c>
      <c r="N1" s="618">
        <v>9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집계표!AT53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IF('2032'!M4&gt;=50,50,IF(AND('2032'!M4=50,M$3=$N$5),"",IF(B3=$N$5,'2032'!M4+1,'2032'!M4)))</f>
        <v>20</v>
      </c>
      <c r="C4" s="176">
        <f>IF(B4&gt;=50,50,IF(AND(B4=50,C$3=$N$5),50,IF(C$3=$N$5,B4+1,B4)))</f>
        <v>20</v>
      </c>
      <c r="D4" s="176">
        <f t="shared" ref="D4:M4" si="0">IF(C4&gt;=50,50,IF(AND(C4=50,D$3=$N$5),50,IF(D$3=$N$5,C4+1,C4)))</f>
        <v>21</v>
      </c>
      <c r="E4" s="176">
        <f t="shared" si="0"/>
        <v>21</v>
      </c>
      <c r="F4" s="176">
        <f t="shared" si="0"/>
        <v>21</v>
      </c>
      <c r="G4" s="176">
        <f t="shared" si="0"/>
        <v>21</v>
      </c>
      <c r="H4" s="176">
        <f t="shared" si="0"/>
        <v>21</v>
      </c>
      <c r="I4" s="176">
        <f t="shared" si="0"/>
        <v>21</v>
      </c>
      <c r="J4" s="176">
        <f t="shared" si="0"/>
        <v>21</v>
      </c>
      <c r="K4" s="176">
        <f t="shared" si="0"/>
        <v>21</v>
      </c>
      <c r="L4" s="176">
        <f t="shared" si="0"/>
        <v>21</v>
      </c>
      <c r="M4" s="176">
        <f t="shared" si="0"/>
        <v>21</v>
      </c>
      <c r="N4" s="202" t="s">
        <v>124</v>
      </c>
    </row>
    <row r="5" spans="1:14" ht="9.75" customHeight="1">
      <c r="A5" s="208" t="s">
        <v>134</v>
      </c>
      <c r="B5" s="356">
        <f>IF(B$3=$N$5,'2032'!M5+1,'2032'!M5)</f>
        <v>10</v>
      </c>
      <c r="C5" s="209">
        <f>IF(C$3=$N$5,B5+1,B5)</f>
        <v>10</v>
      </c>
      <c r="D5" s="209">
        <f t="shared" ref="D5:M5" si="1">IF(D$3=$N$5,C5+1,C5)</f>
        <v>11</v>
      </c>
      <c r="E5" s="209">
        <f t="shared" si="1"/>
        <v>11</v>
      </c>
      <c r="F5" s="209">
        <f t="shared" si="1"/>
        <v>11</v>
      </c>
      <c r="G5" s="209">
        <f t="shared" si="1"/>
        <v>11</v>
      </c>
      <c r="H5" s="209">
        <f t="shared" si="1"/>
        <v>11</v>
      </c>
      <c r="I5" s="209">
        <f t="shared" si="1"/>
        <v>11</v>
      </c>
      <c r="J5" s="209">
        <f t="shared" si="1"/>
        <v>11</v>
      </c>
      <c r="K5" s="209">
        <f t="shared" si="1"/>
        <v>11</v>
      </c>
      <c r="L5" s="209">
        <f t="shared" si="1"/>
        <v>11</v>
      </c>
      <c r="M5" s="209">
        <f t="shared" si="1"/>
        <v>11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4137800</v>
      </c>
      <c r="C6" s="211">
        <f ca="1">IF($D$1-YEAR($B$1)&gt;0,"",IF(AND($D$1-YEAR($B$1)=0,C3-MONTH($B$1)&gt;=1),"",VLOOKUP(C4,gibon40!$D$4:$AT$47,$N$1,1)))</f>
        <v>4137800</v>
      </c>
      <c r="D6" s="211">
        <f ca="1">IF($D$1-YEAR($B$1)&gt;0,"",IF(AND($D$1-YEAR($B$1)=0,D3-MONTH($B$1)&gt;=1),"",VLOOKUP(D4,gibon40!$D$4:$AT$47,$N$1,1)))</f>
        <v>4280100</v>
      </c>
      <c r="E6" s="211">
        <f ca="1">IF($D$1-YEAR($B$1)&gt;0,"",IF(AND($D$1-YEAR($B$1)=0,E3-MONTH($B$1)&gt;=1),"",VLOOKUP(E4,gibon40!$D$4:$AT$47,$N$1,1)))</f>
        <v>4280100</v>
      </c>
      <c r="F6" s="211">
        <f ca="1">IF($D$1-YEAR($B$1)&gt;0,"",IF(AND($D$1-YEAR($B$1)=0,F3-MONTH($B$1)&gt;=1),"",VLOOKUP(F4,gibon40!$D$4:$AT$47,$N$1,1)))</f>
        <v>4280100</v>
      </c>
      <c r="G6" s="211">
        <f ca="1">IF($D$1-YEAR($B$1)&gt;0,"",IF(AND($D$1-YEAR($B$1)=0,G3-MONTH($B$1)&gt;=1),"",VLOOKUP(G4,gibon40!$D$4:$AT$47,$N$1,1)))</f>
        <v>4280100</v>
      </c>
      <c r="H6" s="211">
        <f ca="1">IF($D$1-YEAR($B$1)&gt;0,"",IF(AND($D$1-YEAR($B$1)=0,H3-MONTH($B$1)&gt;=1),"",VLOOKUP(H4,gibon40!$D$4:$AT$47,$N$1,1)))</f>
        <v>4280100</v>
      </c>
      <c r="I6" s="211">
        <f ca="1">IF($D$1-YEAR($B$1)&gt;0,"",IF(AND($D$1-YEAR($B$1)=0,I3-MONTH($B$1)&gt;=1),"",VLOOKUP(I4,gibon40!$D$4:$AT$47,$N$1,1)))</f>
        <v>4280100</v>
      </c>
      <c r="J6" s="211">
        <f ca="1">IF($D$1-YEAR($B$1)&gt;0,"",IF(AND($D$1-YEAR($B$1)=0,J3-MONTH($B$1)&gt;=1),"",VLOOKUP(J4,gibon40!$D$4:$AT$47,$N$1,1)))</f>
        <v>4280100</v>
      </c>
      <c r="K6" s="211">
        <f ca="1">IF($D$1-YEAR($B$1)&gt;0,"",IF(AND($D$1-YEAR($B$1)=0,K3-MONTH($B$1)&gt;=1),"",VLOOKUP(K4,gibon40!$D$4:$AT$47,$N$1,1)))</f>
        <v>4280100</v>
      </c>
      <c r="L6" s="211">
        <f ca="1">IF($D$1-YEAR($B$1)&gt;0,"",IF(AND($D$1-YEAR($B$1)=0,L3-MONTH($B$1)&gt;=1),"",VLOOKUP(L4,gibon40!$D$4:$AT$47,$N$1,1)))</f>
        <v>4280100</v>
      </c>
      <c r="M6" s="211">
        <f ca="1">IF($D$1-YEAR($B$1)&gt;0,"",IF(AND($D$1-YEAR($B$1)=0,M3-MONTH($B$1)&gt;=1),"",VLOOKUP(M4,gibon40!$D$4:$AT$47,$N$1,1)))</f>
        <v>4280100</v>
      </c>
      <c r="N6" s="211">
        <f t="shared" ref="N6:N52" ca="1" si="2">SUM(B6:M6)</f>
        <v>51076600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2068900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2140050</v>
      </c>
      <c r="I7" s="180"/>
      <c r="J7" s="180"/>
      <c r="K7" s="180"/>
      <c r="L7" s="180"/>
      <c r="M7" s="180"/>
      <c r="N7" s="211">
        <f t="shared" ca="1" si="2"/>
        <v>4208950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60000</v>
      </c>
      <c r="C8" s="179">
        <f t="shared" ref="C8:M8" ca="1" si="3">IF(C4="","",IF(C6="","",IF(C5&gt;=20,100000,IF(C5&gt;=15,80000,IF(C5&gt;=10,60000,IF(C5&gt;=5,50000,30000))))))</f>
        <v>60000</v>
      </c>
      <c r="D8" s="179">
        <f t="shared" ca="1" si="3"/>
        <v>60000</v>
      </c>
      <c r="E8" s="179">
        <f t="shared" ca="1" si="3"/>
        <v>60000</v>
      </c>
      <c r="F8" s="179">
        <f t="shared" ca="1" si="3"/>
        <v>60000</v>
      </c>
      <c r="G8" s="179">
        <f t="shared" ca="1" si="3"/>
        <v>60000</v>
      </c>
      <c r="H8" s="179">
        <f t="shared" ca="1" si="3"/>
        <v>60000</v>
      </c>
      <c r="I8" s="179">
        <f t="shared" ca="1" si="3"/>
        <v>60000</v>
      </c>
      <c r="J8" s="179">
        <f t="shared" ca="1" si="3"/>
        <v>60000</v>
      </c>
      <c r="K8" s="179">
        <f t="shared" ca="1" si="3"/>
        <v>60000</v>
      </c>
      <c r="L8" s="179">
        <f t="shared" ca="1" si="3"/>
        <v>60000</v>
      </c>
      <c r="M8" s="179">
        <f t="shared" ca="1" si="3"/>
        <v>60000</v>
      </c>
      <c r="N8" s="211">
        <f t="shared" ca="1" si="2"/>
        <v>720000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5282660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5282660</v>
      </c>
    </row>
    <row r="11" spans="1:14" ht="9.75" customHeight="1">
      <c r="A11" s="178" t="s">
        <v>63</v>
      </c>
      <c r="B11" s="179">
        <f ca="1">IF(B$6="",0,'2032'!M11)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2482680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2568060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5050740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IF(B$6="",0,'2032'!M15)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IF(B$6="",0,'2032'!M16)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IF(B$6="",0,'2032'!M18)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IF(B$6="",0,'2032'!M19)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57730</v>
      </c>
      <c r="E21" s="179">
        <f ca="1">IF(D4="","",IF(E$6="","",ROUND(VLOOKUP(E4,gibon40!$D$51:$AV$100,$N$1+1)*10*15/15,-1)))</f>
        <v>173180</v>
      </c>
      <c r="F21" s="179">
        <f ca="1">IF(E4="","",IF(F$6="","",ROUND(VLOOKUP(F4,gibon40!$D$51:$AV$100,$N$1+1)*10*15/15,-1)))</f>
        <v>173180</v>
      </c>
      <c r="G21" s="179">
        <f ca="1">IF(F4="","",IF(G$6="","",ROUND(VLOOKUP(G4,gibon40!$D$51:$AV$100,$N$1+1)*10*15/15,-1)))</f>
        <v>173180</v>
      </c>
      <c r="H21" s="179">
        <f ca="1">IF(G4="","",IF(H$6="","",ROUND(VLOOKUP(H4,gibon40!$D$51:$AV$100,$N$1+1)*10*15/15,-1)))</f>
        <v>173180</v>
      </c>
      <c r="I21" s="179">
        <f ca="1">IF(H4="","",IF(I$6="","",ROUND(VLOOKUP(I4,gibon40!$D$51:$AV$100,$N$1+1)*10*15/15,-1)))</f>
        <v>173180</v>
      </c>
      <c r="J21" s="179">
        <f ca="1">IF(I4="","",IF(J$6="","",ROUND(VLOOKUP(J4,gibon40!$D$51:$AV$100,$N$1+1)*7*15/15,-1)))</f>
        <v>121220</v>
      </c>
      <c r="K21" s="179">
        <f ca="1">IF(J4="","",IF(K$6="","",ROUND(VLOOKUP(K4,gibon40!$D$51:$AV$100,$N$1+1)*10*15/15,-1)))</f>
        <v>173180</v>
      </c>
      <c r="L21" s="179">
        <f ca="1">IF(K4="","",IF(L$6="","",ROUND(VLOOKUP(L4,gibon40!$D$51:$AV$100,$N$1+1)*10*15/15,-1)))</f>
        <v>173180</v>
      </c>
      <c r="M21" s="179">
        <f ca="1">IF(L4="","",IF(M$6="","",ROUND(VLOOKUP(M4,gibon40!$D$51:$AV$100,$N$1+1)*10*15/15*2,-1)))</f>
        <v>346350</v>
      </c>
      <c r="N21" s="211">
        <f t="shared" ca="1" si="2"/>
        <v>1737560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IF(B$6="",0,'2032'!M23)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IF(B$6="",0,'2032'!M24)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'2032'!A25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9424380</v>
      </c>
      <c r="C26" s="213">
        <f t="shared" ref="C26:M26" ca="1" si="16">ROUNDDOWN(SUM(C6:C25),-1)</f>
        <v>4872800</v>
      </c>
      <c r="D26" s="213">
        <f t="shared" ca="1" si="16"/>
        <v>10355490</v>
      </c>
      <c r="E26" s="213">
        <f t="shared" ca="1" si="16"/>
        <v>5188280</v>
      </c>
      <c r="F26" s="213">
        <f t="shared" ca="1" si="16"/>
        <v>5188280</v>
      </c>
      <c r="G26" s="213">
        <f t="shared" ca="1" si="16"/>
        <v>5188280</v>
      </c>
      <c r="H26" s="213">
        <f t="shared" ca="1" si="16"/>
        <v>7328330</v>
      </c>
      <c r="I26" s="213">
        <f t="shared" ca="1" si="16"/>
        <v>5188280</v>
      </c>
      <c r="J26" s="213">
        <f t="shared" ca="1" si="16"/>
        <v>7704380</v>
      </c>
      <c r="K26" s="213">
        <f t="shared" ca="1" si="16"/>
        <v>5188280</v>
      </c>
      <c r="L26" s="213">
        <f t="shared" ca="1" si="16"/>
        <v>5188280</v>
      </c>
      <c r="M26" s="213">
        <f t="shared" ca="1" si="16"/>
        <v>5361450</v>
      </c>
      <c r="N26" s="214">
        <f ca="1">SUM(B26:M26)</f>
        <v>76176510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459870</v>
      </c>
      <c r="C27" s="179">
        <f ca="1">IF(C6="",0,ROUND(VLOOKUP(($N$26-1200000-$N$17-$N$16)/12,'2015근로소득간이세액표'!$C$4:$Z$700,$A$27+1)*0.78*O27,-1))</f>
        <v>465850</v>
      </c>
      <c r="D27" s="179">
        <f ca="1">IF(D6="",0,ROUND(VLOOKUP(($N$26-1200000-$N$17-$N$16)/12,'2015근로소득간이세액표'!$C$4:$Z$700,$A$27+1)*0.79*O27,-1))</f>
        <v>471820</v>
      </c>
      <c r="E27" s="179">
        <f ca="1">IF(E6="",0,ROUND(VLOOKUP(($N$26-1200000-$N$17-$N$16)/12,'2015근로소득간이세액표'!$C$4:$Z$700,$A$27+1)*1.1*O27,-1))</f>
        <v>656960</v>
      </c>
      <c r="F27" s="179">
        <f ca="1">IF(F6="",0,ROUND(VLOOKUP(($N$26-1200000-$N$17-$N$16)/12,'2015근로소득간이세액표'!$C$4:$Z$700,$A$27+1)*1.11*O27,-1))</f>
        <v>662940</v>
      </c>
      <c r="G27" s="179">
        <f ca="1">IF(G6="",0,ROUND(VLOOKUP(($N$26-1200000-$N$17-$N$16)/12,'2015근로소득간이세액표'!$C$4:$Z$700,$A$27+1)*1.12*O27,-1))</f>
        <v>668910</v>
      </c>
      <c r="H27" s="179">
        <f ca="1">IF(H6="",0,ROUND(VLOOKUP(($N$26-1200000-$N$17-$N$16)/12,'2015근로소득간이세액표'!$C$4:$Z$700,$A$27+1)*1.13*O27,-1))</f>
        <v>674880</v>
      </c>
      <c r="I27" s="179">
        <f ca="1">IF(I6="",0,ROUND(VLOOKUP(($N$26-1200000-$N$17-$N$16)/12,'2015근로소득간이세액표'!$C$4:$Z$700,$A$27+1)*1.14*O27,-1))</f>
        <v>680850</v>
      </c>
      <c r="J27" s="179">
        <f ca="1">IF(J6="",0,ROUND(VLOOKUP(($N$26-1200000-$N$17-$N$16)/12,'2015근로소득간이세액표'!$C$4:$Z$700,$A$27+1)*1.15*O27,-1))</f>
        <v>686830</v>
      </c>
      <c r="K27" s="179">
        <f ca="1">IF(K6="",0,ROUND(VLOOKUP(($N$26-1200000-$N$17-$N$16)/12,'2015근로소득간이세액표'!$C$4:$Z$700,$A$27+1)*1.16*O27,-1))</f>
        <v>692800</v>
      </c>
      <c r="L27" s="179">
        <f ca="1">IF(L6="",0,ROUND(VLOOKUP(($N$26-1200000-$N$17-$N$16)/12,'2015근로소득간이세액표'!$C$4:$Z$700,$A$27+1)*1.17*O27,-1))</f>
        <v>698770</v>
      </c>
      <c r="M27" s="179">
        <f ca="1">IF(M6="",0,ROUND(VLOOKUP(($N$26-1200000-$N$17-$N$16)/12,'2015근로소득간이세액표'!$C$4:$Z$700,$A$27+1)*1.18*O27,-1))</f>
        <v>704740</v>
      </c>
      <c r="N27" s="179">
        <f t="shared" ref="N27:N28" ca="1" si="17">SUM(B27:M27)</f>
        <v>7525220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45990</v>
      </c>
      <c r="C28" s="179">
        <f t="shared" ca="1" si="18"/>
        <v>46590</v>
      </c>
      <c r="D28" s="179">
        <f t="shared" ca="1" si="18"/>
        <v>47180</v>
      </c>
      <c r="E28" s="179">
        <f t="shared" ca="1" si="18"/>
        <v>65700</v>
      </c>
      <c r="F28" s="179">
        <f t="shared" ca="1" si="18"/>
        <v>66290</v>
      </c>
      <c r="G28" s="179">
        <f t="shared" ca="1" si="18"/>
        <v>66890</v>
      </c>
      <c r="H28" s="179">
        <f t="shared" ca="1" si="18"/>
        <v>67490</v>
      </c>
      <c r="I28" s="179">
        <f t="shared" ca="1" si="18"/>
        <v>68090</v>
      </c>
      <c r="J28" s="179">
        <f ca="1">IF(J$6="","",ROUND(J27*0.1,-1))</f>
        <v>68680</v>
      </c>
      <c r="K28" s="179">
        <f t="shared" ref="K28:M28" ca="1" si="19">IF(K$6="","",ROUND(K27*0.1,-1))</f>
        <v>69280</v>
      </c>
      <c r="L28" s="179">
        <f t="shared" ca="1" si="19"/>
        <v>69880</v>
      </c>
      <c r="M28" s="179">
        <f t="shared" ca="1" si="19"/>
        <v>70470</v>
      </c>
      <c r="N28" s="179">
        <f t="shared" ca="1" si="17"/>
        <v>752530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IF(B4="","",IF(B6="","",IF($D$1-YEAR('2025'!$I$1)&gt;0,"",IF(AND($D$1-YEAR('2025'!$I$1)=0,B3-MONTH('2025'!$I$1)&gt;=1),"",'2032'!M29))))</f>
        <v>504210</v>
      </c>
      <c r="C29" s="179">
        <f ca="1">IF(C4="","",IF(C6="","",IF($D$1-YEAR('2025'!$I$1)&gt;0,"",IF(AND($D$1-YEAR('2025'!$I$1)=0,C3-MONTH('2025'!$I$1)&gt;=1),"",B29))))</f>
        <v>504210</v>
      </c>
      <c r="D29" s="179">
        <f ca="1">IF(D4="","",IF(D6="","",IF($D$1-YEAR('2025'!$I$1)&gt;0,"",IF(AND($D$1-YEAR('2025'!$I$1)=0,D3-MONTH('2025'!$I$1)&gt;=1),"",C29))))</f>
        <v>504210</v>
      </c>
      <c r="E29" s="179">
        <f ca="1">IF(E4="","",IF(E6="","",IF($D$1-YEAR('2025'!$I$1)&gt;0,"",IF(AND($D$1-YEAR('2025'!$I$1)=0,E3-MONTH('2025'!$I$1)&gt;=1),"",D29))))</f>
        <v>504210</v>
      </c>
      <c r="F29" s="179">
        <f ca="1">IF(F4="","",IF(F$6="","",IF($D$1-YEAR('2025'!$I$1)&gt;0,"",IF(AND($D$1-YEAR('2025'!$I$1)=0,F3-MONTH('2025'!$I$1)&gt;=1),"",VLOOKUP(F$4,집계표!$AK$5:$HA$47,$N$1*3+$N$1-1+4)))))</f>
        <v>533200</v>
      </c>
      <c r="G29" s="179">
        <f ca="1">IF(G6="",0,IF($D$1-YEAR('2025'!$I$1)&gt;0,"",IF(AND($D$1-YEAR('2025'!$I$1)=0,G3-MONTH('2025'!$I$1)&gt;=1),"",F29)))</f>
        <v>533200</v>
      </c>
      <c r="H29" s="179">
        <f ca="1">IF(H6="",0,IF($D$1-YEAR('2025'!$I$1)&gt;0,"",IF(AND($D$1-YEAR('2025'!$I$1)=0,H3-MONTH('2025'!$I$1)&gt;=1),"",G29)))</f>
        <v>533200</v>
      </c>
      <c r="I29" s="179">
        <f ca="1">IF(I6="",0,IF($D$1-YEAR('2025'!$I$1)&gt;0,"",IF(AND($D$1-YEAR('2025'!$I$1)=0,I3-MONTH('2025'!$I$1)&gt;=1),"",H29)))</f>
        <v>533200</v>
      </c>
      <c r="J29" s="179">
        <f ca="1">IF(J6="",0,IF($D$1-YEAR('2025'!$I$1)&gt;0,"",IF(AND($D$1-YEAR('2025'!$I$1)=0,J3-MONTH('2025'!$I$1)&gt;=1),"",I29)))</f>
        <v>533200</v>
      </c>
      <c r="K29" s="179">
        <f ca="1">IF(K6="",0,IF($D$1-YEAR('2025'!$I$1)&gt;0,"",IF(AND($D$1-YEAR('2025'!$I$1)=0,K3-MONTH('2025'!$I$1)&gt;=1),"",J29)))</f>
        <v>533200</v>
      </c>
      <c r="L29" s="179">
        <f ca="1">IF(L6="",0,IF($D$1-YEAR('2025'!$I$1)&gt;0,"",IF(AND($D$1-YEAR('2025'!$I$1)=0,L3-MONTH('2025'!$I$1)&gt;=1),"",K29)))</f>
        <v>533200</v>
      </c>
      <c r="M29" s="179">
        <f ca="1">IF(M6="",0,IF($D$1-YEAR('2025'!$I$1)&gt;0,"",IF(AND($D$1-YEAR('2025'!$I$1)=0,M3-MONTH('2025'!$I$1)&gt;=1),"",L29)))</f>
        <v>533200</v>
      </c>
      <c r="N29" s="211">
        <f t="shared" ca="1" si="2"/>
        <v>6282440</v>
      </c>
    </row>
    <row r="30" spans="1:20" ht="9.75" customHeight="1">
      <c r="A30" s="182" t="s">
        <v>58</v>
      </c>
      <c r="B30" s="179">
        <f ca="1">IF(B6="","",'2032'!M30)</f>
        <v>212200</v>
      </c>
      <c r="C30" s="179">
        <f ca="1">IF(C6="","",B30)</f>
        <v>212200</v>
      </c>
      <c r="D30" s="179">
        <f ca="1">IF(D6="","",C30)</f>
        <v>212200</v>
      </c>
      <c r="E30" s="857">
        <f ca="1">IF(E6="","",VLOOKUP(E$4,집계표!$AK$5:$HA$47,$N$1*4))</f>
        <v>224400</v>
      </c>
      <c r="F30" s="179">
        <f ca="1">IF(F6="","",E30)</f>
        <v>224400</v>
      </c>
      <c r="G30" s="179">
        <f t="shared" ref="G30:M30" ca="1" si="20">IF(G6="","",F30)</f>
        <v>224400</v>
      </c>
      <c r="H30" s="179">
        <f t="shared" ca="1" si="20"/>
        <v>224400</v>
      </c>
      <c r="I30" s="179">
        <f t="shared" ca="1" si="20"/>
        <v>224400</v>
      </c>
      <c r="J30" s="179">
        <f t="shared" ca="1" si="20"/>
        <v>224400</v>
      </c>
      <c r="K30" s="179">
        <f t="shared" ca="1" si="20"/>
        <v>224400</v>
      </c>
      <c r="L30" s="179">
        <f t="shared" ca="1" si="20"/>
        <v>224400</v>
      </c>
      <c r="M30" s="179">
        <f t="shared" ca="1" si="20"/>
        <v>224400</v>
      </c>
      <c r="N30" s="211">
        <f t="shared" ca="1" si="2"/>
        <v>2656200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21750</v>
      </c>
      <c r="C31" s="179">
        <f t="shared" ca="1" si="21"/>
        <v>21750</v>
      </c>
      <c r="D31" s="179">
        <f t="shared" ca="1" si="21"/>
        <v>21750</v>
      </c>
      <c r="E31" s="179">
        <f t="shared" ca="1" si="21"/>
        <v>23000</v>
      </c>
      <c r="F31" s="179">
        <f t="shared" ca="1" si="21"/>
        <v>23000</v>
      </c>
      <c r="G31" s="179">
        <f t="shared" ca="1" si="21"/>
        <v>23000</v>
      </c>
      <c r="H31" s="179">
        <f t="shared" ca="1" si="21"/>
        <v>23000</v>
      </c>
      <c r="I31" s="179">
        <f t="shared" ca="1" si="21"/>
        <v>23000</v>
      </c>
      <c r="J31" s="179">
        <f ca="1">IF(J$6="","",ROUND(IF(J4="","",J30*10.25%),-1))</f>
        <v>23000</v>
      </c>
      <c r="K31" s="179">
        <f t="shared" ref="K31:M31" ca="1" si="22">IF(K$6="","",ROUND(IF(K4="","",K30*10.25%),-1))</f>
        <v>23000</v>
      </c>
      <c r="L31" s="179">
        <f t="shared" ca="1" si="22"/>
        <v>23000</v>
      </c>
      <c r="M31" s="179">
        <f t="shared" ca="1" si="22"/>
        <v>23000</v>
      </c>
      <c r="N31" s="211">
        <f t="shared" ca="1" si="2"/>
        <v>272250</v>
      </c>
    </row>
    <row r="32" spans="1:20" ht="9.75" customHeight="1">
      <c r="A32" s="597" t="str">
        <f>'2032'!A32</f>
        <v>교직원공제비</v>
      </c>
      <c r="B32" s="621">
        <f ca="1">'2032'!B32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'2032'!A33</f>
        <v>급식비</v>
      </c>
      <c r="B33" s="621">
        <f ca="1">'2032'!B33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IF(B$6="",0,'2032'!M34)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IF(B$6="",0,'2032'!M38)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IF(B$6="",0,'2032'!M39)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1564660</v>
      </c>
      <c r="C40" s="216">
        <f t="shared" ca="1" si="28"/>
        <v>1571240</v>
      </c>
      <c r="D40" s="216">
        <f t="shared" ca="1" si="28"/>
        <v>1577800</v>
      </c>
      <c r="E40" s="216">
        <f t="shared" ca="1" si="28"/>
        <v>1794910</v>
      </c>
      <c r="F40" s="216">
        <f t="shared" ca="1" si="28"/>
        <v>1830470</v>
      </c>
      <c r="G40" s="216">
        <f t="shared" ca="1" si="28"/>
        <v>1837040</v>
      </c>
      <c r="H40" s="216">
        <f t="shared" ca="1" si="28"/>
        <v>1843610</v>
      </c>
      <c r="I40" s="216">
        <f t="shared" ca="1" si="28"/>
        <v>1850180</v>
      </c>
      <c r="J40" s="216">
        <f ca="1">IF(J26="","",SUM(J27:J39))</f>
        <v>1856750</v>
      </c>
      <c r="K40" s="216">
        <f t="shared" ref="K40:M40" ca="1" si="29">IF(K26="","",SUM(K27:K39))</f>
        <v>1863320</v>
      </c>
      <c r="L40" s="216">
        <f t="shared" ca="1" si="29"/>
        <v>1869890</v>
      </c>
      <c r="M40" s="216">
        <f t="shared" ca="1" si="29"/>
        <v>1876450</v>
      </c>
      <c r="N40" s="216">
        <f ca="1">SUM(B40:M40)</f>
        <v>21336320</v>
      </c>
    </row>
    <row r="41" spans="1:14" ht="9.75" customHeight="1">
      <c r="A41" s="183" t="s">
        <v>79</v>
      </c>
      <c r="B41" s="184">
        <f ca="1">ROUND((B26-B40),-1)</f>
        <v>7859720</v>
      </c>
      <c r="C41" s="184">
        <f t="shared" ref="C41:M41" ca="1" si="30">ROUND((C26-C40),-1)</f>
        <v>3301560</v>
      </c>
      <c r="D41" s="184">
        <f t="shared" ca="1" si="30"/>
        <v>8777690</v>
      </c>
      <c r="E41" s="184">
        <f t="shared" ca="1" si="30"/>
        <v>3393370</v>
      </c>
      <c r="F41" s="184">
        <f t="shared" ca="1" si="30"/>
        <v>3357810</v>
      </c>
      <c r="G41" s="184">
        <f t="shared" ca="1" si="30"/>
        <v>3351240</v>
      </c>
      <c r="H41" s="184">
        <f t="shared" ca="1" si="30"/>
        <v>5484720</v>
      </c>
      <c r="I41" s="184">
        <f t="shared" ca="1" si="30"/>
        <v>3338100</v>
      </c>
      <c r="J41" s="184">
        <f t="shared" ca="1" si="30"/>
        <v>5847630</v>
      </c>
      <c r="K41" s="184">
        <f t="shared" ca="1" si="30"/>
        <v>3324960</v>
      </c>
      <c r="L41" s="184">
        <f t="shared" ca="1" si="30"/>
        <v>3318390</v>
      </c>
      <c r="M41" s="184">
        <f t="shared" ca="1" si="30"/>
        <v>3485000</v>
      </c>
      <c r="N41" s="184">
        <f ca="1">SUM(B41:M41)</f>
        <v>54840190</v>
      </c>
    </row>
    <row r="42" spans="1:14" ht="9.75" customHeight="1">
      <c r="A42" s="217" t="str">
        <f>'2032'!A42</f>
        <v>12)지출내용입력1</v>
      </c>
      <c r="B42" s="211">
        <f>'2032'!M42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'2032'!A43</f>
        <v>지출내용입력2</v>
      </c>
      <c r="B43" s="211">
        <f>'2032'!M43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'2032'!A44</f>
        <v>지출내용입력3</v>
      </c>
      <c r="B44" s="211">
        <f>'2032'!M44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'2032'!A45</f>
        <v>지출내용입력4</v>
      </c>
      <c r="B45" s="211">
        <f>'2032'!M45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'2032'!A46</f>
        <v>지출내용입력5</v>
      </c>
      <c r="B46" s="211">
        <f>'2032'!M46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'2032'!A47</f>
        <v>지출내용입력6</v>
      </c>
      <c r="B47" s="211">
        <f>'2032'!M47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'2032'!A48</f>
        <v>지출내용입력7</v>
      </c>
      <c r="B48" s="211">
        <f>'2032'!M48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'2032'!A49</f>
        <v>지출내용입력8</v>
      </c>
      <c r="B49" s="211">
        <f>'2032'!M49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'2032'!A50</f>
        <v>지출내용입력9</v>
      </c>
      <c r="B50" s="211">
        <f>'2032'!M50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'2032'!A51</f>
        <v>지출내용입력10</v>
      </c>
      <c r="B51" s="211">
        <f>'2032'!M51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7859620</v>
      </c>
      <c r="C53" s="188">
        <f t="shared" ca="1" si="33"/>
        <v>3301460</v>
      </c>
      <c r="D53" s="188">
        <f t="shared" ca="1" si="33"/>
        <v>8777590</v>
      </c>
      <c r="E53" s="188">
        <f t="shared" ca="1" si="33"/>
        <v>3393270</v>
      </c>
      <c r="F53" s="188">
        <f t="shared" ca="1" si="33"/>
        <v>3357710</v>
      </c>
      <c r="G53" s="188">
        <f t="shared" ca="1" si="33"/>
        <v>3351140</v>
      </c>
      <c r="H53" s="188">
        <f t="shared" ca="1" si="33"/>
        <v>5484620</v>
      </c>
      <c r="I53" s="188">
        <f t="shared" ca="1" si="33"/>
        <v>3338000</v>
      </c>
      <c r="J53" s="188">
        <f t="shared" ca="1" si="33"/>
        <v>5847530</v>
      </c>
      <c r="K53" s="188">
        <f t="shared" ca="1" si="33"/>
        <v>3324860</v>
      </c>
      <c r="L53" s="188">
        <f t="shared" ca="1" si="33"/>
        <v>3318290</v>
      </c>
      <c r="M53" s="188">
        <f t="shared" ca="1" si="33"/>
        <v>3484900</v>
      </c>
      <c r="N53" s="188">
        <f t="shared" ca="1" si="33"/>
        <v>54838990</v>
      </c>
    </row>
    <row r="55" spans="1:14" ht="18">
      <c r="A55" s="1232" t="str">
        <f ca="1">D1</f>
        <v>2033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1442452.0000000002</v>
      </c>
      <c r="C57" s="688">
        <f ca="1">IF(C6="",0,VLOOKUP(C26-C17-100000,'2015 근로소득 간이세액표'!$C$4:$N$845,1+$M$55)*1.1)</f>
        <v>343013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392381.00000000006</v>
      </c>
      <c r="F57" s="688">
        <f ca="1">IF(F6="",0,VLOOKUP(F26-F17-100000,'2015 근로소득 간이세액표'!$C$4:$N$845,1+$M$55)*1.1)</f>
        <v>392381.00000000006</v>
      </c>
      <c r="G57" s="688">
        <f ca="1">IF(G6="",0,VLOOKUP(G26-G17-100000,'2015 근로소득 간이세액표'!$C$4:$N$845,1+$M$55)*1.1)</f>
        <v>392381.00000000006</v>
      </c>
      <c r="H57" s="688">
        <f ca="1">IF(H6="",0,VLOOKUP(H26-H17-100000,'2015 근로소득 간이세액표'!$C$4:$N$845,1+$M$55)*1.1)</f>
        <v>901450.00000000012</v>
      </c>
      <c r="I57" s="688">
        <f ca="1">IF(I6="",0,VLOOKUP(I26-I17-100000,'2015 근로소득 간이세액표'!$C$4:$N$845,1+$M$55)*1.1)</f>
        <v>392381.00000000006</v>
      </c>
      <c r="J57" s="688">
        <f ca="1">IF(J6="",0,VLOOKUP(J26-J17-100000,'2015 근로소득 간이세액표'!$C$4:$N$845,1+$M$55)*1.1)</f>
        <v>996248.00000000012</v>
      </c>
      <c r="K57" s="688">
        <f ca="1">IF(K6="",0,VLOOKUP(K26-K17-100000,'2015 근로소득 간이세액표'!$C$4:$N$845,1+$M$55)*1.1)</f>
        <v>392381.00000000006</v>
      </c>
      <c r="L57" s="688">
        <f ca="1">IF(L6="",0,VLOOKUP(L26-L17-100000,'2015 근로소득 간이세액표'!$C$4:$N$845,1+$M$55)*1.1)</f>
        <v>392381.00000000006</v>
      </c>
      <c r="M57" s="688">
        <f ca="1">IF(M6="",0,VLOOKUP(M26-M17-100000,'2015 근로소득 간이세액표'!$C$4:$N$845,1+$M$55)*1.1)</f>
        <v>420156.00000000006</v>
      </c>
      <c r="N57" s="689">
        <f ca="1">SUM(B57:M57)</f>
        <v>8174089.0000000009</v>
      </c>
    </row>
    <row r="58" spans="1:14" ht="10" customHeight="1">
      <c r="A58" s="687" t="s">
        <v>295</v>
      </c>
      <c r="B58" s="689">
        <f t="shared" ref="B58:M58" ca="1" si="34">IF(B6="",0,B27+B28)</f>
        <v>505860</v>
      </c>
      <c r="C58" s="689">
        <f t="shared" ca="1" si="34"/>
        <v>512440</v>
      </c>
      <c r="D58" s="689">
        <f t="shared" ca="1" si="34"/>
        <v>519000</v>
      </c>
      <c r="E58" s="689">
        <f t="shared" ca="1" si="34"/>
        <v>722660</v>
      </c>
      <c r="F58" s="689">
        <f t="shared" ca="1" si="34"/>
        <v>729230</v>
      </c>
      <c r="G58" s="689">
        <f t="shared" ca="1" si="34"/>
        <v>735800</v>
      </c>
      <c r="H58" s="689">
        <f t="shared" ca="1" si="34"/>
        <v>742370</v>
      </c>
      <c r="I58" s="689">
        <f t="shared" ca="1" si="34"/>
        <v>748940</v>
      </c>
      <c r="J58" s="689">
        <f t="shared" ca="1" si="34"/>
        <v>755510</v>
      </c>
      <c r="K58" s="689">
        <f t="shared" ca="1" si="34"/>
        <v>762080</v>
      </c>
      <c r="L58" s="689">
        <f t="shared" ca="1" si="34"/>
        <v>768650</v>
      </c>
      <c r="M58" s="689">
        <f t="shared" ca="1" si="34"/>
        <v>775210</v>
      </c>
      <c r="N58" s="689">
        <f ca="1">SUM(B58:M58)</f>
        <v>8277750</v>
      </c>
    </row>
    <row r="59" spans="1:14" ht="10" customHeight="1">
      <c r="A59" s="680" t="s">
        <v>546</v>
      </c>
      <c r="B59" s="684">
        <f ca="1">B57-B58</f>
        <v>936592.00000000023</v>
      </c>
      <c r="C59" s="684">
        <f t="shared" ref="C59:N59" ca="1" si="35">C57-C58</f>
        <v>-169427</v>
      </c>
      <c r="D59" s="684">
        <f t="shared" ca="1" si="35"/>
        <v>1197484.0000000002</v>
      </c>
      <c r="E59" s="684">
        <f t="shared" ca="1" si="35"/>
        <v>-330278.99999999994</v>
      </c>
      <c r="F59" s="684">
        <f t="shared" ca="1" si="35"/>
        <v>-336848.99999999994</v>
      </c>
      <c r="G59" s="684">
        <f t="shared" ca="1" si="35"/>
        <v>-343418.99999999994</v>
      </c>
      <c r="H59" s="684">
        <f t="shared" ca="1" si="35"/>
        <v>159080.00000000012</v>
      </c>
      <c r="I59" s="684">
        <f t="shared" ca="1" si="35"/>
        <v>-356558.99999999994</v>
      </c>
      <c r="J59" s="684">
        <f t="shared" ca="1" si="35"/>
        <v>240738.00000000012</v>
      </c>
      <c r="K59" s="684">
        <f t="shared" ca="1" si="35"/>
        <v>-369698.99999999994</v>
      </c>
      <c r="L59" s="684">
        <f t="shared" ca="1" si="35"/>
        <v>-376268.99999999994</v>
      </c>
      <c r="M59" s="684">
        <f t="shared" ca="1" si="35"/>
        <v>-355053.99999999994</v>
      </c>
      <c r="N59" s="684">
        <f t="shared" ca="1" si="35"/>
        <v>-103660.99999999907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-103660.99999999907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glnxIAdfhh4zSMFR4ZXtC4kay5/FxCsbfKaIBJnv8mD0WmgX+4u3PoJ6xhsUxi3YKtKzrkOkl4IruxxsYGJs8w==" saltValue="9lMgCFfZGa417C64W62DM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41" priority="8">
      <formula>$E$2="y"</formula>
    </cfRule>
    <cfRule type="expression" dxfId="440" priority="9">
      <formula>$D$2="Y"</formula>
    </cfRule>
    <cfRule type="expression" dxfId="439" priority="10">
      <formula>$F$2="y"</formula>
    </cfRule>
  </conditionalFormatting>
  <conditionalFormatting sqref="B27:M27">
    <cfRule type="expression" dxfId="438" priority="1">
      <formula>$F$2="y"</formula>
    </cfRule>
  </conditionalFormatting>
  <conditionalFormatting sqref="D16">
    <cfRule type="expression" dxfId="437" priority="26">
      <formula>$E$2="y"</formula>
    </cfRule>
    <cfRule type="expression" dxfId="436" priority="27">
      <formula>$E$2="y"</formula>
    </cfRule>
    <cfRule type="expression" dxfId="435" priority="28">
      <formula>$F$2="y"</formula>
    </cfRule>
  </conditionalFormatting>
  <conditionalFormatting sqref="D18">
    <cfRule type="expression" dxfId="434" priority="23">
      <formula>$E$2="y"</formula>
    </cfRule>
    <cfRule type="expression" dxfId="433" priority="24">
      <formula>$E$2="y"</formula>
    </cfRule>
    <cfRule type="expression" dxfId="432" priority="25">
      <formula>$F$2="y"</formula>
    </cfRule>
  </conditionalFormatting>
  <conditionalFormatting sqref="J12:K12">
    <cfRule type="expression" dxfId="431" priority="5">
      <formula>$E$2="y"</formula>
    </cfRule>
    <cfRule type="expression" dxfId="430" priority="6">
      <formula>$D$2="Y"</formula>
    </cfRule>
    <cfRule type="expression" dxfId="429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6979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80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81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84" r:id="rId6" name="Drop Down 8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8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2034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집계표!L119</f>
        <v>2</v>
      </c>
      <c r="M1" s="627">
        <f>집계표!L122</f>
        <v>1</v>
      </c>
      <c r="N1" s="618">
        <v>10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집계표!AU53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IF('2033'!M4&gt;=50,50,IF(AND('2033'!M4=50,M$3=$N$5),"",IF(B3=$N$5,'2033'!M4+1,'2033'!M4)))</f>
        <v>21</v>
      </c>
      <c r="C4" s="176">
        <f>IF(B4&gt;=50,50,IF(AND(B4=50,C$3=$N$5),50,IF(C$3=$N$5,B4+1,B4)))</f>
        <v>21</v>
      </c>
      <c r="D4" s="176">
        <f t="shared" ref="D4:M4" si="0">IF(C4&gt;=50,50,IF(AND(C4=50,D$3=$N$5),50,IF(D$3=$N$5,C4+1,C4)))</f>
        <v>22</v>
      </c>
      <c r="E4" s="176">
        <f t="shared" si="0"/>
        <v>22</v>
      </c>
      <c r="F4" s="176">
        <f t="shared" si="0"/>
        <v>22</v>
      </c>
      <c r="G4" s="176">
        <f t="shared" si="0"/>
        <v>22</v>
      </c>
      <c r="H4" s="176">
        <f t="shared" si="0"/>
        <v>22</v>
      </c>
      <c r="I4" s="176">
        <f t="shared" si="0"/>
        <v>22</v>
      </c>
      <c r="J4" s="176">
        <f t="shared" si="0"/>
        <v>22</v>
      </c>
      <c r="K4" s="176">
        <f t="shared" si="0"/>
        <v>22</v>
      </c>
      <c r="L4" s="176">
        <f t="shared" si="0"/>
        <v>22</v>
      </c>
      <c r="M4" s="176">
        <f t="shared" si="0"/>
        <v>22</v>
      </c>
      <c r="N4" s="202" t="s">
        <v>124</v>
      </c>
    </row>
    <row r="5" spans="1:14" ht="9.75" customHeight="1">
      <c r="A5" s="208" t="s">
        <v>134</v>
      </c>
      <c r="B5" s="356">
        <f>IF(B$3=$N$5,'2033'!M5+1,'2033'!M5)</f>
        <v>11</v>
      </c>
      <c r="C5" s="209">
        <f>IF(C$3=$N$5,B5+1,B5)</f>
        <v>11</v>
      </c>
      <c r="D5" s="209">
        <f t="shared" ref="D5:M5" si="1">IF(D$3=$N$5,C5+1,C5)</f>
        <v>12</v>
      </c>
      <c r="E5" s="209">
        <f t="shared" si="1"/>
        <v>12</v>
      </c>
      <c r="F5" s="209">
        <f t="shared" si="1"/>
        <v>12</v>
      </c>
      <c r="G5" s="209">
        <f t="shared" si="1"/>
        <v>12</v>
      </c>
      <c r="H5" s="209">
        <f t="shared" si="1"/>
        <v>12</v>
      </c>
      <c r="I5" s="209">
        <f t="shared" si="1"/>
        <v>12</v>
      </c>
      <c r="J5" s="209">
        <f t="shared" si="1"/>
        <v>12</v>
      </c>
      <c r="K5" s="209">
        <f t="shared" si="1"/>
        <v>12</v>
      </c>
      <c r="L5" s="209">
        <f t="shared" si="1"/>
        <v>12</v>
      </c>
      <c r="M5" s="209">
        <f t="shared" si="1"/>
        <v>12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4387100</v>
      </c>
      <c r="C6" s="211">
        <f ca="1">IF($D$1-YEAR($B$1)&gt;0,"",IF(AND($D$1-YEAR($B$1)=0,C3-MONTH($B$1)&gt;=1),"",VLOOKUP(C4,gibon40!$D$4:$AT$47,$N$1,1)))</f>
        <v>4387100</v>
      </c>
      <c r="D6" s="211">
        <f ca="1">IF($D$1-YEAR($B$1)&gt;0,"",IF(AND($D$1-YEAR($B$1)=0,D3-MONTH($B$1)&gt;=1),"",VLOOKUP(D4,gibon40!$D$4:$AT$47,$N$1,1)))</f>
        <v>4549000</v>
      </c>
      <c r="E6" s="211">
        <f ca="1">IF($D$1-YEAR($B$1)&gt;0,"",IF(AND($D$1-YEAR($B$1)=0,E3-MONTH($B$1)&gt;=1),"",VLOOKUP(E4,gibon40!$D$4:$AT$47,$N$1,1)))</f>
        <v>4549000</v>
      </c>
      <c r="F6" s="211">
        <f ca="1">IF($D$1-YEAR($B$1)&gt;0,"",IF(AND($D$1-YEAR($B$1)=0,F3-MONTH($B$1)&gt;=1),"",VLOOKUP(F4,gibon40!$D$4:$AT$47,$N$1,1)))</f>
        <v>4549000</v>
      </c>
      <c r="G6" s="211">
        <f ca="1">IF($D$1-YEAR($B$1)&gt;0,"",IF(AND($D$1-YEAR($B$1)=0,G3-MONTH($B$1)&gt;=1),"",VLOOKUP(G4,gibon40!$D$4:$AT$47,$N$1,1)))</f>
        <v>4549000</v>
      </c>
      <c r="H6" s="211">
        <f ca="1">IF($D$1-YEAR($B$1)&gt;0,"",IF(AND($D$1-YEAR($B$1)=0,H3-MONTH($B$1)&gt;=1),"",VLOOKUP(H4,gibon40!$D$4:$AT$47,$N$1,1)))</f>
        <v>4549000</v>
      </c>
      <c r="I6" s="211">
        <f ca="1">IF($D$1-YEAR($B$1)&gt;0,"",IF(AND($D$1-YEAR($B$1)=0,I3-MONTH($B$1)&gt;=1),"",VLOOKUP(I4,gibon40!$D$4:$AT$47,$N$1,1)))</f>
        <v>4549000</v>
      </c>
      <c r="J6" s="211">
        <f ca="1">IF($D$1-YEAR($B$1)&gt;0,"",IF(AND($D$1-YEAR($B$1)=0,J3-MONTH($B$1)&gt;=1),"",VLOOKUP(J4,gibon40!$D$4:$AT$47,$N$1,1)))</f>
        <v>4549000</v>
      </c>
      <c r="K6" s="211">
        <f ca="1">IF($D$1-YEAR($B$1)&gt;0,"",IF(AND($D$1-YEAR($B$1)=0,K3-MONTH($B$1)&gt;=1),"",VLOOKUP(K4,gibon40!$D$4:$AT$47,$N$1,1)))</f>
        <v>4549000</v>
      </c>
      <c r="L6" s="211">
        <f ca="1">IF($D$1-YEAR($B$1)&gt;0,"",IF(AND($D$1-YEAR($B$1)=0,L3-MONTH($B$1)&gt;=1),"",VLOOKUP(L4,gibon40!$D$4:$AT$47,$N$1,1)))</f>
        <v>4549000</v>
      </c>
      <c r="M6" s="211">
        <f ca="1">IF($D$1-YEAR($B$1)&gt;0,"",IF(AND($D$1-YEAR($B$1)=0,M3-MONTH($B$1)&gt;=1),"",VLOOKUP(M4,gibon40!$D$4:$AT$47,$N$1,1)))</f>
        <v>4549000</v>
      </c>
      <c r="N6" s="211">
        <f t="shared" ref="N6:N52" ca="1" si="2">SUM(B6:M6)</f>
        <v>54264200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2193550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2274500</v>
      </c>
      <c r="I7" s="180"/>
      <c r="J7" s="180"/>
      <c r="K7" s="180"/>
      <c r="L7" s="180"/>
      <c r="M7" s="180"/>
      <c r="N7" s="211">
        <f t="shared" ca="1" si="2"/>
        <v>4468050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60000</v>
      </c>
      <c r="C8" s="179">
        <f t="shared" ref="C8:M8" ca="1" si="3">IF(C4="","",IF(C6="","",IF(C5&gt;=20,100000,IF(C5&gt;=15,80000,IF(C5&gt;=10,60000,IF(C5&gt;=5,50000,30000))))))</f>
        <v>60000</v>
      </c>
      <c r="D8" s="179">
        <f t="shared" ca="1" si="3"/>
        <v>60000</v>
      </c>
      <c r="E8" s="179">
        <f t="shared" ca="1" si="3"/>
        <v>60000</v>
      </c>
      <c r="F8" s="179">
        <f t="shared" ca="1" si="3"/>
        <v>60000</v>
      </c>
      <c r="G8" s="179">
        <f t="shared" ca="1" si="3"/>
        <v>60000</v>
      </c>
      <c r="H8" s="179">
        <f t="shared" ca="1" si="3"/>
        <v>60000</v>
      </c>
      <c r="I8" s="179">
        <f t="shared" ca="1" si="3"/>
        <v>60000</v>
      </c>
      <c r="J8" s="179">
        <f t="shared" ca="1" si="3"/>
        <v>60000</v>
      </c>
      <c r="K8" s="179">
        <f t="shared" ca="1" si="3"/>
        <v>60000</v>
      </c>
      <c r="L8" s="179">
        <f t="shared" ca="1" si="3"/>
        <v>60000</v>
      </c>
      <c r="M8" s="179">
        <f t="shared" ca="1" si="3"/>
        <v>60000</v>
      </c>
      <c r="N8" s="211">
        <f t="shared" ca="1" si="2"/>
        <v>720000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5414770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5414770</v>
      </c>
    </row>
    <row r="11" spans="1:14" ht="9.75" customHeight="1">
      <c r="A11" s="178" t="s">
        <v>63</v>
      </c>
      <c r="B11" s="179">
        <f ca="1">IF(B$6="",0,'2033'!M11)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2632260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2729400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5361660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IF(B$6="",0,'2033'!M15)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IF(B$6="",0,'2033'!M16)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IF(B$6="",0,'2033'!M18)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IF(B$6="",0,'2033'!M19)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59170</v>
      </c>
      <c r="E21" s="179">
        <f ca="1">IF(D4="","",IF(E$6="","",ROUND(VLOOKUP(E4,gibon40!$D$51:$AV$100,$N$1+1)*10*15/15,-1)))</f>
        <v>177510</v>
      </c>
      <c r="F21" s="179">
        <f ca="1">IF(E4="","",IF(F$6="","",ROUND(VLOOKUP(F4,gibon40!$D$51:$AV$100,$N$1+1)*10*15/15,-1)))</f>
        <v>177510</v>
      </c>
      <c r="G21" s="179">
        <f ca="1">IF(F4="","",IF(G$6="","",ROUND(VLOOKUP(G4,gibon40!$D$51:$AV$100,$N$1+1)*10*15/15,-1)))</f>
        <v>177510</v>
      </c>
      <c r="H21" s="179">
        <f ca="1">IF(G4="","",IF(H$6="","",ROUND(VLOOKUP(H4,gibon40!$D$51:$AV$100,$N$1+1)*10*15/15,-1)))</f>
        <v>177510</v>
      </c>
      <c r="I21" s="179">
        <f ca="1">IF(H4="","",IF(I$6="","",ROUND(VLOOKUP(I4,gibon40!$D$51:$AV$100,$N$1+1)*10*15/15,-1)))</f>
        <v>177510</v>
      </c>
      <c r="J21" s="179">
        <f ca="1">IF(I4="","",IF(J$6="","",ROUND(VLOOKUP(J4,gibon40!$D$51:$AV$100,$N$1+1)*7*15/15,-1)))</f>
        <v>124250</v>
      </c>
      <c r="K21" s="179">
        <f ca="1">IF(J4="","",IF(K$6="","",ROUND(VLOOKUP(K4,gibon40!$D$51:$AV$100,$N$1+1)*10*15/15,-1)))</f>
        <v>177510</v>
      </c>
      <c r="L21" s="179">
        <f ca="1">IF(K4="","",IF(L$6="","",ROUND(VLOOKUP(L4,gibon40!$D$51:$AV$100,$N$1+1)*10*15/15,-1)))</f>
        <v>177510</v>
      </c>
      <c r="M21" s="179">
        <f ca="1">IF(L4="","",IF(M$6="","",ROUND(VLOOKUP(M4,gibon40!$D$51:$AV$100,$N$1+1)*10*15/15*2,-1)))</f>
        <v>355010</v>
      </c>
      <c r="N21" s="211">
        <f t="shared" ca="1" si="2"/>
        <v>1781000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IF(B$6="",0,'2033'!M23)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IF(B$6="",0,'2033'!M24)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'2033'!A25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7315650</v>
      </c>
      <c r="C26" s="213">
        <f t="shared" ref="C26:M26" ca="1" si="16">ROUNDDOWN(SUM(C6:C25),-1)</f>
        <v>7754360</v>
      </c>
      <c r="D26" s="213">
        <f t="shared" ca="1" si="16"/>
        <v>10757940</v>
      </c>
      <c r="E26" s="213">
        <f t="shared" ca="1" si="16"/>
        <v>5461510</v>
      </c>
      <c r="F26" s="213">
        <f t="shared" ca="1" si="16"/>
        <v>5461510</v>
      </c>
      <c r="G26" s="213">
        <f t="shared" ca="1" si="16"/>
        <v>5461510</v>
      </c>
      <c r="H26" s="213">
        <f t="shared" ca="1" si="16"/>
        <v>7736010</v>
      </c>
      <c r="I26" s="213">
        <f t="shared" ca="1" si="16"/>
        <v>5461510</v>
      </c>
      <c r="J26" s="213">
        <f t="shared" ca="1" si="16"/>
        <v>8137650</v>
      </c>
      <c r="K26" s="213">
        <f t="shared" ca="1" si="16"/>
        <v>5461510</v>
      </c>
      <c r="L26" s="213">
        <f t="shared" ca="1" si="16"/>
        <v>5461510</v>
      </c>
      <c r="M26" s="213">
        <f t="shared" ca="1" si="16"/>
        <v>5639010</v>
      </c>
      <c r="N26" s="214">
        <f ca="1">SUM(B26:M26)</f>
        <v>80109680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618900</v>
      </c>
      <c r="C27" s="179">
        <f ca="1">IF(C6="",0,ROUND(VLOOKUP(($N$26-1200000-$N$17-$N$16)/12,'2015근로소득간이세액표'!$C$4:$Z$700,$A$27+1)*0.78*O27,-1))</f>
        <v>626940</v>
      </c>
      <c r="D27" s="179">
        <f ca="1">IF(D6="",0,ROUND(VLOOKUP(($N$26-1200000-$N$17-$N$16)/12,'2015근로소득간이세액표'!$C$4:$Z$700,$A$27+1)*0.79*O27,-1))</f>
        <v>634980</v>
      </c>
      <c r="E27" s="179">
        <f ca="1">IF(E6="",0,ROUND(VLOOKUP(($N$26-1200000-$N$17-$N$16)/12,'2015근로소득간이세액표'!$C$4:$Z$700,$A$27+1)*1.1*O27,-1))</f>
        <v>884150</v>
      </c>
      <c r="F27" s="179">
        <f ca="1">IF(F6="",0,ROUND(VLOOKUP(($N$26-1200000-$N$17-$N$16)/12,'2015근로소득간이세액표'!$C$4:$Z$700,$A$27+1)*1.11*O27,-1))</f>
        <v>892190</v>
      </c>
      <c r="G27" s="179">
        <f ca="1">IF(G6="",0,ROUND(VLOOKUP(($N$26-1200000-$N$17-$N$16)/12,'2015근로소득간이세액표'!$C$4:$Z$700,$A$27+1)*1.12*O27,-1))</f>
        <v>900220</v>
      </c>
      <c r="H27" s="179">
        <f ca="1">IF(H6="",0,ROUND(VLOOKUP(($N$26-1200000-$N$17-$N$16)/12,'2015근로소득간이세액표'!$C$4:$Z$700,$A$27+1)*1.13*O27,-1))</f>
        <v>908260</v>
      </c>
      <c r="I27" s="179">
        <f ca="1">IF(I6="",0,ROUND(VLOOKUP(($N$26-1200000-$N$17-$N$16)/12,'2015근로소득간이세액표'!$C$4:$Z$700,$A$27+1)*1.14*O27,-1))</f>
        <v>916300</v>
      </c>
      <c r="J27" s="179">
        <f ca="1">IF(J6="",0,ROUND(VLOOKUP(($N$26-1200000-$N$17-$N$16)/12,'2015근로소득간이세액표'!$C$4:$Z$700,$A$27+1)*1.15*O27,-1))</f>
        <v>924340</v>
      </c>
      <c r="K27" s="179">
        <f ca="1">IF(K6="",0,ROUND(VLOOKUP(($N$26-1200000-$N$17-$N$16)/12,'2015근로소득간이세액표'!$C$4:$Z$700,$A$27+1)*1.16*O27,-1))</f>
        <v>932380</v>
      </c>
      <c r="L27" s="179">
        <f ca="1">IF(L6="",0,ROUND(VLOOKUP(($N$26-1200000-$N$17-$N$16)/12,'2015근로소득간이세액표'!$C$4:$Z$700,$A$27+1)*1.17*O27,-1))</f>
        <v>940410</v>
      </c>
      <c r="M27" s="179">
        <f ca="1">IF(M6="",0,ROUND(VLOOKUP(($N$26-1200000-$N$17-$N$16)/12,'2015근로소득간이세액표'!$C$4:$Z$700,$A$27+1)*1.18*O27,-1))</f>
        <v>948450</v>
      </c>
      <c r="N27" s="179">
        <f t="shared" ref="N27:N28" ca="1" si="17">SUM(B27:M27)</f>
        <v>10127520</v>
      </c>
      <c r="O27" s="881">
        <v>1.2</v>
      </c>
    </row>
    <row r="28" spans="1:20" ht="9.75" customHeight="1">
      <c r="A28" s="182" t="s">
        <v>308</v>
      </c>
      <c r="B28" s="179">
        <f t="shared" ref="B28:I28" ca="1" si="18">IF(B$6="","",ROUND(B27*0.1,-1))</f>
        <v>61890</v>
      </c>
      <c r="C28" s="179">
        <f t="shared" ca="1" si="18"/>
        <v>62690</v>
      </c>
      <c r="D28" s="179">
        <f t="shared" ca="1" si="18"/>
        <v>63500</v>
      </c>
      <c r="E28" s="179">
        <f t="shared" ca="1" si="18"/>
        <v>88420</v>
      </c>
      <c r="F28" s="179">
        <f t="shared" ca="1" si="18"/>
        <v>89220</v>
      </c>
      <c r="G28" s="179">
        <f t="shared" ca="1" si="18"/>
        <v>90020</v>
      </c>
      <c r="H28" s="179">
        <f t="shared" ca="1" si="18"/>
        <v>90830</v>
      </c>
      <c r="I28" s="179">
        <f t="shared" ca="1" si="18"/>
        <v>91630</v>
      </c>
      <c r="J28" s="179">
        <f ca="1">IF(J$6="","",ROUND(J27*0.1,-1))</f>
        <v>92430</v>
      </c>
      <c r="K28" s="179">
        <f t="shared" ref="K28:M28" ca="1" si="19">IF(K$6="","",ROUND(K27*0.1,-1))</f>
        <v>93240</v>
      </c>
      <c r="L28" s="179">
        <f t="shared" ca="1" si="19"/>
        <v>94040</v>
      </c>
      <c r="M28" s="179">
        <f t="shared" ca="1" si="19"/>
        <v>94850</v>
      </c>
      <c r="N28" s="179">
        <f t="shared" ca="1" si="17"/>
        <v>1012760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IF(B4="","",IF(B6="","",IF($D$1-YEAR('2025'!$I$1)&gt;0,"",IF(AND($D$1-YEAR('2025'!$I$1)=0,B3-MONTH('2025'!$I$1)&gt;=1),"",'2033'!M29))))</f>
        <v>533200</v>
      </c>
      <c r="C29" s="179">
        <f ca="1">IF(C4="","",IF(C6="","",IF($D$1-YEAR('2025'!$I$1)&gt;0,"",IF(AND($D$1-YEAR('2025'!$I$1)=0,C3-MONTH('2025'!$I$1)&gt;=1),"",B29))))</f>
        <v>533200</v>
      </c>
      <c r="D29" s="179">
        <f ca="1">IF(D4="","",IF(D6="","",IF($D$1-YEAR('2025'!$I$1)&gt;0,"",IF(AND($D$1-YEAR('2025'!$I$1)=0,D3-MONTH('2025'!$I$1)&gt;=1),"",C29))))</f>
        <v>533200</v>
      </c>
      <c r="E29" s="179">
        <f ca="1">IF(E4="","",IF(E6="","",IF($D$1-YEAR('2025'!$I$1)&gt;0,"",IF(AND($D$1-YEAR('2025'!$I$1)=0,E3-MONTH('2025'!$I$1)&gt;=1),"",D29))))</f>
        <v>533200</v>
      </c>
      <c r="F29" s="179">
        <f ca="1">IF(F4="","",IF(F$6="","",IF($D$1-YEAR('2025'!$I$1)&gt;0,"",IF(AND($D$1-YEAR('2025'!$I$1)=0,F3-MONTH('2025'!$I$1)&gt;=1),"",VLOOKUP(F$4,집계표!$AK$5:$HA$47,$N$1*3+$N$1-1+4)))))</f>
        <v>563620</v>
      </c>
      <c r="G29" s="179">
        <f ca="1">IF(G6="",0,IF($D$1-YEAR('2025'!$I$1)&gt;0,"",IF(AND($D$1-YEAR('2025'!$I$1)=0,G3-MONTH('2025'!$I$1)&gt;=1),"",F29)))</f>
        <v>563620</v>
      </c>
      <c r="H29" s="179">
        <f ca="1">IF(H6="",0,IF($D$1-YEAR('2025'!$I$1)&gt;0,"",IF(AND($D$1-YEAR('2025'!$I$1)=0,H3-MONTH('2025'!$I$1)&gt;=1),"",G29)))</f>
        <v>563620</v>
      </c>
      <c r="I29" s="179">
        <f ca="1">IF(I6="",0,IF($D$1-YEAR('2025'!$I$1)&gt;0,"",IF(AND($D$1-YEAR('2025'!$I$1)=0,I3-MONTH('2025'!$I$1)&gt;=1),"",H29)))</f>
        <v>563620</v>
      </c>
      <c r="J29" s="179">
        <f ca="1">IF(J6="",0,IF($D$1-YEAR('2025'!$I$1)&gt;0,"",IF(AND($D$1-YEAR('2025'!$I$1)=0,J3-MONTH('2025'!$I$1)&gt;=1),"",I29)))</f>
        <v>563620</v>
      </c>
      <c r="K29" s="179">
        <f ca="1">IF(K6="",0,IF($D$1-YEAR('2025'!$I$1)&gt;0,"",IF(AND($D$1-YEAR('2025'!$I$1)=0,K3-MONTH('2025'!$I$1)&gt;=1),"",J29)))</f>
        <v>563620</v>
      </c>
      <c r="L29" s="179">
        <f ca="1">IF(L6="",0,IF($D$1-YEAR('2025'!$I$1)&gt;0,"",IF(AND($D$1-YEAR('2025'!$I$1)=0,L3-MONTH('2025'!$I$1)&gt;=1),"",K29)))</f>
        <v>563620</v>
      </c>
      <c r="M29" s="179">
        <f ca="1">IF(M6="",0,IF($D$1-YEAR('2025'!$I$1)&gt;0,"",IF(AND($D$1-YEAR('2025'!$I$1)=0,M3-MONTH('2025'!$I$1)&gt;=1),"",L29)))</f>
        <v>563620</v>
      </c>
      <c r="N29" s="211">
        <f t="shared" ca="1" si="2"/>
        <v>6641760</v>
      </c>
    </row>
    <row r="30" spans="1:20" ht="9.75" customHeight="1">
      <c r="A30" s="182" t="s">
        <v>58</v>
      </c>
      <c r="B30" s="179">
        <f ca="1">IF(B6="","",'2033'!M30)</f>
        <v>224400</v>
      </c>
      <c r="C30" s="179">
        <f ca="1">IF(C6="","",B30)</f>
        <v>224400</v>
      </c>
      <c r="D30" s="179">
        <f ca="1">IF(D6="","",C30)</f>
        <v>224400</v>
      </c>
      <c r="E30" s="857">
        <f ca="1">IF(E6="","",VLOOKUP(E$4,집계표!$AK$5:$HA$47,$N$1*4))</f>
        <v>243130</v>
      </c>
      <c r="F30" s="179">
        <f ca="1">IF(F6="","",E30)</f>
        <v>243130</v>
      </c>
      <c r="G30" s="179">
        <f t="shared" ref="G30:M30" ca="1" si="20">IF(G6="","",F30)</f>
        <v>243130</v>
      </c>
      <c r="H30" s="179">
        <f t="shared" ca="1" si="20"/>
        <v>243130</v>
      </c>
      <c r="I30" s="179">
        <f t="shared" ca="1" si="20"/>
        <v>243130</v>
      </c>
      <c r="J30" s="179">
        <f t="shared" ca="1" si="20"/>
        <v>243130</v>
      </c>
      <c r="K30" s="179">
        <f t="shared" ca="1" si="20"/>
        <v>243130</v>
      </c>
      <c r="L30" s="179">
        <f t="shared" ca="1" si="20"/>
        <v>243130</v>
      </c>
      <c r="M30" s="179">
        <f t="shared" ca="1" si="20"/>
        <v>243130</v>
      </c>
      <c r="N30" s="211">
        <f t="shared" ca="1" si="2"/>
        <v>2861370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23000</v>
      </c>
      <c r="C31" s="179">
        <f t="shared" ca="1" si="21"/>
        <v>23000</v>
      </c>
      <c r="D31" s="179">
        <f t="shared" ca="1" si="21"/>
        <v>23000</v>
      </c>
      <c r="E31" s="179">
        <f t="shared" ca="1" si="21"/>
        <v>24920</v>
      </c>
      <c r="F31" s="179">
        <f t="shared" ca="1" si="21"/>
        <v>24920</v>
      </c>
      <c r="G31" s="179">
        <f t="shared" ca="1" si="21"/>
        <v>24920</v>
      </c>
      <c r="H31" s="179">
        <f t="shared" ca="1" si="21"/>
        <v>24920</v>
      </c>
      <c r="I31" s="179">
        <f t="shared" ca="1" si="21"/>
        <v>24920</v>
      </c>
      <c r="J31" s="179">
        <f ca="1">IF(J$6="","",ROUND(IF(J4="","",J30*10.25%),-1))</f>
        <v>24920</v>
      </c>
      <c r="K31" s="179">
        <f t="shared" ref="K31:M31" ca="1" si="22">IF(K$6="","",ROUND(IF(K4="","",K30*10.25%),-1))</f>
        <v>24920</v>
      </c>
      <c r="L31" s="179">
        <f t="shared" ca="1" si="22"/>
        <v>24920</v>
      </c>
      <c r="M31" s="179">
        <f t="shared" ca="1" si="22"/>
        <v>24920</v>
      </c>
      <c r="N31" s="211">
        <f t="shared" ca="1" si="2"/>
        <v>293280</v>
      </c>
    </row>
    <row r="32" spans="1:20" ht="9.75" customHeight="1">
      <c r="A32" s="597" t="str">
        <f>'2033'!A32</f>
        <v>교직원공제비</v>
      </c>
      <c r="B32" s="621">
        <f ca="1">IF(B$6="","",'2033'!B32)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'2033'!A33</f>
        <v>급식비</v>
      </c>
      <c r="B33" s="621">
        <f ca="1">IF(B$6="","",'2033'!B33)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IF(B$6="",0,'2033'!M34)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IF(B$6="",0,'2033'!M38)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IF(B$6="",0,'2033'!M39)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1782030</v>
      </c>
      <c r="C40" s="216">
        <f t="shared" ca="1" si="28"/>
        <v>1790870</v>
      </c>
      <c r="D40" s="216">
        <f t="shared" ca="1" si="28"/>
        <v>1799720</v>
      </c>
      <c r="E40" s="216">
        <f t="shared" ca="1" si="28"/>
        <v>2094460</v>
      </c>
      <c r="F40" s="216">
        <f t="shared" ca="1" si="28"/>
        <v>2133720</v>
      </c>
      <c r="G40" s="216">
        <f t="shared" ca="1" si="28"/>
        <v>2142550</v>
      </c>
      <c r="H40" s="216">
        <f t="shared" ca="1" si="28"/>
        <v>2151400</v>
      </c>
      <c r="I40" s="216">
        <f t="shared" ca="1" si="28"/>
        <v>2160240</v>
      </c>
      <c r="J40" s="216">
        <f ca="1">IF(J26="","",SUM(J27:J39))</f>
        <v>2169080</v>
      </c>
      <c r="K40" s="216">
        <f t="shared" ref="K40:M40" ca="1" si="29">IF(K26="","",SUM(K27:K39))</f>
        <v>2177930</v>
      </c>
      <c r="L40" s="216">
        <f t="shared" ca="1" si="29"/>
        <v>2186760</v>
      </c>
      <c r="M40" s="216">
        <f t="shared" ca="1" si="29"/>
        <v>2195610</v>
      </c>
      <c r="N40" s="216">
        <f ca="1">SUM(B40:M40)</f>
        <v>24784370</v>
      </c>
    </row>
    <row r="41" spans="1:14" ht="9.75" customHeight="1">
      <c r="A41" s="183" t="s">
        <v>79</v>
      </c>
      <c r="B41" s="184">
        <f ca="1">ROUND((B26-B40),-1)</f>
        <v>5533620</v>
      </c>
      <c r="C41" s="184">
        <f t="shared" ref="C41:M41" ca="1" si="30">ROUND((C26-C40),-1)</f>
        <v>5963490</v>
      </c>
      <c r="D41" s="184">
        <f t="shared" ca="1" si="30"/>
        <v>8958220</v>
      </c>
      <c r="E41" s="184">
        <f t="shared" ca="1" si="30"/>
        <v>3367050</v>
      </c>
      <c r="F41" s="184">
        <f t="shared" ca="1" si="30"/>
        <v>3327790</v>
      </c>
      <c r="G41" s="184">
        <f t="shared" ca="1" si="30"/>
        <v>3318960</v>
      </c>
      <c r="H41" s="184">
        <f t="shared" ca="1" si="30"/>
        <v>5584610</v>
      </c>
      <c r="I41" s="184">
        <f t="shared" ca="1" si="30"/>
        <v>3301270</v>
      </c>
      <c r="J41" s="184">
        <f t="shared" ca="1" si="30"/>
        <v>5968570</v>
      </c>
      <c r="K41" s="184">
        <f t="shared" ca="1" si="30"/>
        <v>3283580</v>
      </c>
      <c r="L41" s="184">
        <f t="shared" ca="1" si="30"/>
        <v>3274750</v>
      </c>
      <c r="M41" s="184">
        <f t="shared" ca="1" si="30"/>
        <v>3443400</v>
      </c>
      <c r="N41" s="184">
        <f ca="1">SUM(B41:M41)</f>
        <v>55325310</v>
      </c>
    </row>
    <row r="42" spans="1:14" ht="9.75" customHeight="1">
      <c r="A42" s="217" t="str">
        <f>'2033'!A42</f>
        <v>12)지출내용입력1</v>
      </c>
      <c r="B42" s="211">
        <f>'2033'!M42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'2033'!A43</f>
        <v>지출내용입력2</v>
      </c>
      <c r="B43" s="211">
        <f>'2033'!M43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'2033'!A44</f>
        <v>지출내용입력3</v>
      </c>
      <c r="B44" s="211">
        <f>'2033'!M44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'2033'!A45</f>
        <v>지출내용입력4</v>
      </c>
      <c r="B45" s="211">
        <f>'2033'!M45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'2033'!A46</f>
        <v>지출내용입력5</v>
      </c>
      <c r="B46" s="211">
        <f>'2033'!M46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'2033'!A47</f>
        <v>지출내용입력6</v>
      </c>
      <c r="B47" s="211">
        <f>'2033'!M47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'2033'!A48</f>
        <v>지출내용입력7</v>
      </c>
      <c r="B48" s="211">
        <f>'2033'!M48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'2033'!A49</f>
        <v>지출내용입력8</v>
      </c>
      <c r="B49" s="211">
        <f>'2033'!M49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'2033'!A50</f>
        <v>지출내용입력9</v>
      </c>
      <c r="B50" s="211">
        <f>'2033'!M50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'2033'!A51</f>
        <v>지출내용입력10</v>
      </c>
      <c r="B51" s="211">
        <f>'2033'!M51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5533520</v>
      </c>
      <c r="C53" s="188">
        <f t="shared" ca="1" si="33"/>
        <v>5963390</v>
      </c>
      <c r="D53" s="188">
        <f t="shared" ca="1" si="33"/>
        <v>8958120</v>
      </c>
      <c r="E53" s="188">
        <f t="shared" ca="1" si="33"/>
        <v>3366950</v>
      </c>
      <c r="F53" s="188">
        <f t="shared" ca="1" si="33"/>
        <v>3327690</v>
      </c>
      <c r="G53" s="188">
        <f t="shared" ca="1" si="33"/>
        <v>3318860</v>
      </c>
      <c r="H53" s="188">
        <f t="shared" ca="1" si="33"/>
        <v>5584510</v>
      </c>
      <c r="I53" s="188">
        <f t="shared" ca="1" si="33"/>
        <v>3301170</v>
      </c>
      <c r="J53" s="188">
        <f t="shared" ca="1" si="33"/>
        <v>5968470</v>
      </c>
      <c r="K53" s="188">
        <f t="shared" ca="1" si="33"/>
        <v>3283480</v>
      </c>
      <c r="L53" s="188">
        <f t="shared" ca="1" si="33"/>
        <v>3274650</v>
      </c>
      <c r="M53" s="188">
        <f t="shared" ca="1" si="33"/>
        <v>3443300</v>
      </c>
      <c r="N53" s="188">
        <f t="shared" ca="1" si="33"/>
        <v>55324110</v>
      </c>
    </row>
    <row r="55" spans="1:14" ht="18">
      <c r="A55" s="1232" t="str">
        <f ca="1">D1</f>
        <v>2034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896456.00000000012</v>
      </c>
      <c r="C57" s="688">
        <f ca="1">IF(C6="",0,VLOOKUP(C26-C17-100000,'2015 근로소득 간이세액표'!$C$4:$N$845,1+$M$55)*1.1)</f>
        <v>1006236.0000000001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435578.00000000006</v>
      </c>
      <c r="F57" s="688">
        <f ca="1">IF(F6="",0,VLOOKUP(F26-F17-100000,'2015 근로소득 간이세액표'!$C$4:$N$845,1+$M$55)*1.1)</f>
        <v>435578.00000000006</v>
      </c>
      <c r="G57" s="688">
        <f ca="1">IF(G6="",0,VLOOKUP(G26-G17-100000,'2015 근로소득 간이세액표'!$C$4:$N$845,1+$M$55)*1.1)</f>
        <v>435578.00000000006</v>
      </c>
      <c r="H57" s="688">
        <f ca="1">IF(H6="",0,VLOOKUP(H26-H17-100000,'2015 근로소득 간이세액표'!$C$4:$N$845,1+$M$55)*1.1)</f>
        <v>1001242.0000000001</v>
      </c>
      <c r="I57" s="688">
        <f ca="1">IF(I6="",0,VLOOKUP(I26-I17-100000,'2015 근로소득 간이세액표'!$C$4:$N$845,1+$M$55)*1.1)</f>
        <v>435578.00000000006</v>
      </c>
      <c r="J57" s="688">
        <f ca="1">IF(J6="",0,VLOOKUP(J26-J17-100000,'2015 근로소득 간이세액표'!$C$4:$N$845,1+$M$55)*1.1)</f>
        <v>1101034</v>
      </c>
      <c r="K57" s="688">
        <f ca="1">IF(K6="",0,VLOOKUP(K26-K17-100000,'2015 근로소득 간이세액표'!$C$4:$N$845,1+$M$55)*1.1)</f>
        <v>435578.00000000006</v>
      </c>
      <c r="L57" s="688">
        <f ca="1">IF(L6="",0,VLOOKUP(L26-L17-100000,'2015 근로소득 간이세액표'!$C$4:$N$845,1+$M$55)*1.1)</f>
        <v>435578.00000000006</v>
      </c>
      <c r="M57" s="688">
        <f ca="1">IF(M6="",0,VLOOKUP(M26-M17-100000,'2015 근로소득 간이세액표'!$C$4:$N$845,1+$M$55)*1.1)</f>
        <v>460262.00000000006</v>
      </c>
      <c r="N57" s="689">
        <f ca="1">SUM(B57:M57)</f>
        <v>8795182.0000000019</v>
      </c>
    </row>
    <row r="58" spans="1:14" ht="10" customHeight="1">
      <c r="A58" s="687" t="s">
        <v>295</v>
      </c>
      <c r="B58" s="689">
        <f t="shared" ref="B58:M58" ca="1" si="34">IF(B6="",0,B27+B28)</f>
        <v>680790</v>
      </c>
      <c r="C58" s="689">
        <f t="shared" ca="1" si="34"/>
        <v>689630</v>
      </c>
      <c r="D58" s="689">
        <f t="shared" ca="1" si="34"/>
        <v>698480</v>
      </c>
      <c r="E58" s="689">
        <f t="shared" ca="1" si="34"/>
        <v>972570</v>
      </c>
      <c r="F58" s="689">
        <f t="shared" ca="1" si="34"/>
        <v>981410</v>
      </c>
      <c r="G58" s="689">
        <f t="shared" ca="1" si="34"/>
        <v>990240</v>
      </c>
      <c r="H58" s="689">
        <f t="shared" ca="1" si="34"/>
        <v>999090</v>
      </c>
      <c r="I58" s="689">
        <f t="shared" ca="1" si="34"/>
        <v>1007930</v>
      </c>
      <c r="J58" s="689">
        <f t="shared" ca="1" si="34"/>
        <v>1016770</v>
      </c>
      <c r="K58" s="689">
        <f t="shared" ca="1" si="34"/>
        <v>1025620</v>
      </c>
      <c r="L58" s="689">
        <f t="shared" ca="1" si="34"/>
        <v>1034450</v>
      </c>
      <c r="M58" s="689">
        <f t="shared" ca="1" si="34"/>
        <v>1043300</v>
      </c>
      <c r="N58" s="689">
        <f ca="1">SUM(B58:M58)</f>
        <v>11140280</v>
      </c>
    </row>
    <row r="59" spans="1:14" ht="10" customHeight="1">
      <c r="A59" s="680" t="s">
        <v>546</v>
      </c>
      <c r="B59" s="684">
        <f ca="1">B57-B58</f>
        <v>215666.00000000012</v>
      </c>
      <c r="C59" s="684">
        <f t="shared" ref="C59:N59" ca="1" si="35">C57-C58</f>
        <v>316606.00000000012</v>
      </c>
      <c r="D59" s="684">
        <f t="shared" ca="1" si="35"/>
        <v>1018004.0000000002</v>
      </c>
      <c r="E59" s="684">
        <f t="shared" ca="1" si="35"/>
        <v>-536992</v>
      </c>
      <c r="F59" s="684">
        <f t="shared" ca="1" si="35"/>
        <v>-545832</v>
      </c>
      <c r="G59" s="684">
        <f t="shared" ca="1" si="35"/>
        <v>-554662</v>
      </c>
      <c r="H59" s="684">
        <f t="shared" ca="1" si="35"/>
        <v>2152.0000000001164</v>
      </c>
      <c r="I59" s="684">
        <f t="shared" ca="1" si="35"/>
        <v>-572352</v>
      </c>
      <c r="J59" s="684">
        <f t="shared" ca="1" si="35"/>
        <v>84264</v>
      </c>
      <c r="K59" s="684">
        <f t="shared" ca="1" si="35"/>
        <v>-590042</v>
      </c>
      <c r="L59" s="684">
        <f t="shared" ca="1" si="35"/>
        <v>-598872</v>
      </c>
      <c r="M59" s="684">
        <f t="shared" ca="1" si="35"/>
        <v>-583038</v>
      </c>
      <c r="N59" s="684">
        <f t="shared" ca="1" si="35"/>
        <v>-2345097.9999999981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-2345097.9999999981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NqOLrCH7Q45ZEK2Oezlh7ZB6Z+ftwTTdb1Z4m1dCpaUmJt2gt/zzLUhWkzp7pEI/lKmKeE5AuX6wGSDPI8O5sw==" saltValue="kIEElKcPKRpRICv0MLXFe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28" priority="8">
      <formula>$E$2="y"</formula>
    </cfRule>
    <cfRule type="expression" dxfId="427" priority="9">
      <formula>$D$2="Y"</formula>
    </cfRule>
    <cfRule type="expression" dxfId="426" priority="10">
      <formula>$F$2="y"</formula>
    </cfRule>
  </conditionalFormatting>
  <conditionalFormatting sqref="B27:M27">
    <cfRule type="expression" dxfId="425" priority="1">
      <formula>$F$2="y"</formula>
    </cfRule>
  </conditionalFormatting>
  <conditionalFormatting sqref="D16">
    <cfRule type="expression" dxfId="424" priority="26">
      <formula>$E$2="y"</formula>
    </cfRule>
    <cfRule type="expression" dxfId="423" priority="27">
      <formula>$E$2="y"</formula>
    </cfRule>
    <cfRule type="expression" dxfId="422" priority="28">
      <formula>$F$2="y"</formula>
    </cfRule>
  </conditionalFormatting>
  <conditionalFormatting sqref="D18">
    <cfRule type="expression" dxfId="421" priority="23">
      <formula>$E$2="y"</formula>
    </cfRule>
    <cfRule type="expression" dxfId="420" priority="24">
      <formula>$E$2="y"</formula>
    </cfRule>
    <cfRule type="expression" dxfId="419" priority="25">
      <formula>$F$2="y"</formula>
    </cfRule>
  </conditionalFormatting>
  <conditionalFormatting sqref="J12:K12">
    <cfRule type="expression" dxfId="418" priority="5">
      <formula>$E$2="y"</formula>
    </cfRule>
    <cfRule type="expression" dxfId="417" priority="6">
      <formula>$D$2="Y"</formula>
    </cfRule>
    <cfRule type="expression" dxfId="416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8003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04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05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08" r:id="rId6" name="Drop Down 8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9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2035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집계표!M119</f>
        <v>2</v>
      </c>
      <c r="M1" s="627">
        <f>집계표!M122</f>
        <v>1</v>
      </c>
      <c r="N1" s="618">
        <v>11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집계표!AV53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IF('2034'!M4&gt;=50,50,IF(AND('2034'!M4=50,M$3=$N$5),"",IF(B3=$N$5,'2034'!M4+1,'2034'!M4)))</f>
        <v>22</v>
      </c>
      <c r="C4" s="176">
        <f>IF(B4&gt;=50,50,IF(AND(B4=50,C$3=$N$5),50,IF(C$3=$N$5,B4+1,B4)))</f>
        <v>22</v>
      </c>
      <c r="D4" s="176">
        <f t="shared" ref="D4:M4" si="0">IF(C4&gt;=50,50,IF(AND(C4=50,D$3=$N$5),50,IF(D$3=$N$5,C4+1,C4)))</f>
        <v>23</v>
      </c>
      <c r="E4" s="176">
        <f t="shared" si="0"/>
        <v>23</v>
      </c>
      <c r="F4" s="176">
        <f t="shared" si="0"/>
        <v>23</v>
      </c>
      <c r="G4" s="176">
        <f t="shared" si="0"/>
        <v>23</v>
      </c>
      <c r="H4" s="176">
        <f t="shared" si="0"/>
        <v>23</v>
      </c>
      <c r="I4" s="176">
        <f t="shared" si="0"/>
        <v>23</v>
      </c>
      <c r="J4" s="176">
        <f t="shared" si="0"/>
        <v>23</v>
      </c>
      <c r="K4" s="176">
        <f t="shared" si="0"/>
        <v>23</v>
      </c>
      <c r="L4" s="176">
        <f t="shared" si="0"/>
        <v>23</v>
      </c>
      <c r="M4" s="176">
        <f t="shared" si="0"/>
        <v>23</v>
      </c>
      <c r="N4" s="202" t="s">
        <v>124</v>
      </c>
    </row>
    <row r="5" spans="1:14" ht="9.75" customHeight="1">
      <c r="A5" s="208" t="s">
        <v>134</v>
      </c>
      <c r="B5" s="356">
        <f>IF(B$3=$N$5,'2034'!M5+1,'2034'!M5)</f>
        <v>12</v>
      </c>
      <c r="C5" s="209">
        <f>IF(C$3=$N$5,B5+1,B5)</f>
        <v>12</v>
      </c>
      <c r="D5" s="209">
        <f t="shared" ref="D5:M5" si="1">IF(D$3=$N$5,C5+1,C5)</f>
        <v>13</v>
      </c>
      <c r="E5" s="209">
        <f t="shared" si="1"/>
        <v>13</v>
      </c>
      <c r="F5" s="209">
        <f t="shared" si="1"/>
        <v>13</v>
      </c>
      <c r="G5" s="209">
        <f t="shared" si="1"/>
        <v>13</v>
      </c>
      <c r="H5" s="209">
        <f t="shared" si="1"/>
        <v>13</v>
      </c>
      <c r="I5" s="209">
        <f t="shared" si="1"/>
        <v>13</v>
      </c>
      <c r="J5" s="209">
        <f t="shared" si="1"/>
        <v>13</v>
      </c>
      <c r="K5" s="209">
        <f t="shared" si="1"/>
        <v>13</v>
      </c>
      <c r="L5" s="209">
        <f t="shared" si="1"/>
        <v>13</v>
      </c>
      <c r="M5" s="209">
        <f t="shared" si="1"/>
        <v>13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4662700</v>
      </c>
      <c r="C6" s="211">
        <f ca="1">IF($D$1-YEAR($B$1)&gt;0,"",IF(AND($D$1-YEAR($B$1)=0,C3-MONTH($B$1)&gt;=1),"",VLOOKUP(C4,gibon40!$D$4:$AT$47,$N$1,1)))</f>
        <v>4662700</v>
      </c>
      <c r="D6" s="211">
        <f ca="1">IF($D$1-YEAR($B$1)&gt;0,"",IF(AND($D$1-YEAR($B$1)=0,D3-MONTH($B$1)&gt;=1),"",VLOOKUP(D4,gibon40!$D$4:$AT$47,$N$1,1)))</f>
        <v>4827200</v>
      </c>
      <c r="E6" s="211">
        <f ca="1">IF($D$1-YEAR($B$1)&gt;0,"",IF(AND($D$1-YEAR($B$1)=0,E3-MONTH($B$1)&gt;=1),"",VLOOKUP(E4,gibon40!$D$4:$AT$47,$N$1,1)))</f>
        <v>4827200</v>
      </c>
      <c r="F6" s="211">
        <f ca="1">IF($D$1-YEAR($B$1)&gt;0,"",IF(AND($D$1-YEAR($B$1)=0,F3-MONTH($B$1)&gt;=1),"",VLOOKUP(F4,gibon40!$D$4:$AT$47,$N$1,1)))</f>
        <v>4827200</v>
      </c>
      <c r="G6" s="211">
        <f ca="1">IF($D$1-YEAR($B$1)&gt;0,"",IF(AND($D$1-YEAR($B$1)=0,G3-MONTH($B$1)&gt;=1),"",VLOOKUP(G4,gibon40!$D$4:$AT$47,$N$1,1)))</f>
        <v>4827200</v>
      </c>
      <c r="H6" s="211">
        <f ca="1">IF($D$1-YEAR($B$1)&gt;0,"",IF(AND($D$1-YEAR($B$1)=0,H3-MONTH($B$1)&gt;=1),"",VLOOKUP(H4,gibon40!$D$4:$AT$47,$N$1,1)))</f>
        <v>4827200</v>
      </c>
      <c r="I6" s="211">
        <f ca="1">IF($D$1-YEAR($B$1)&gt;0,"",IF(AND($D$1-YEAR($B$1)=0,I3-MONTH($B$1)&gt;=1),"",VLOOKUP(I4,gibon40!$D$4:$AT$47,$N$1,1)))</f>
        <v>4827200</v>
      </c>
      <c r="J6" s="211">
        <f ca="1">IF($D$1-YEAR($B$1)&gt;0,"",IF(AND($D$1-YEAR($B$1)=0,J3-MONTH($B$1)&gt;=1),"",VLOOKUP(J4,gibon40!$D$4:$AT$47,$N$1,1)))</f>
        <v>4827200</v>
      </c>
      <c r="K6" s="211">
        <f ca="1">IF($D$1-YEAR($B$1)&gt;0,"",IF(AND($D$1-YEAR($B$1)=0,K3-MONTH($B$1)&gt;=1),"",VLOOKUP(K4,gibon40!$D$4:$AT$47,$N$1,1)))</f>
        <v>4827200</v>
      </c>
      <c r="L6" s="211">
        <f ca="1">IF($D$1-YEAR($B$1)&gt;0,"",IF(AND($D$1-YEAR($B$1)=0,L3-MONTH($B$1)&gt;=1),"",VLOOKUP(L4,gibon40!$D$4:$AT$47,$N$1,1)))</f>
        <v>4827200</v>
      </c>
      <c r="M6" s="211">
        <f ca="1">IF($D$1-YEAR($B$1)&gt;0,"",IF(AND($D$1-YEAR($B$1)=0,M3-MONTH($B$1)&gt;=1),"",VLOOKUP(M4,gibon40!$D$4:$AT$47,$N$1,1)))</f>
        <v>4827200</v>
      </c>
      <c r="N6" s="211">
        <f t="shared" ref="N6:N52" ca="1" si="2">SUM(B6:M6)</f>
        <v>57597400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2331350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2413600</v>
      </c>
      <c r="I7" s="180"/>
      <c r="J7" s="180"/>
      <c r="K7" s="180"/>
      <c r="L7" s="180"/>
      <c r="M7" s="180"/>
      <c r="N7" s="211">
        <f t="shared" ca="1" si="2"/>
        <v>4744950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60000</v>
      </c>
      <c r="C8" s="179">
        <f t="shared" ref="C8:M8" ca="1" si="3">IF(C4="","",IF(C6="","",IF(C5&gt;=20,100000,IF(C5&gt;=15,80000,IF(C5&gt;=10,60000,IF(C5&gt;=5,50000,30000))))))</f>
        <v>60000</v>
      </c>
      <c r="D8" s="179">
        <f t="shared" ca="1" si="3"/>
        <v>60000</v>
      </c>
      <c r="E8" s="179">
        <f t="shared" ca="1" si="3"/>
        <v>60000</v>
      </c>
      <c r="F8" s="179">
        <f t="shared" ca="1" si="3"/>
        <v>60000</v>
      </c>
      <c r="G8" s="179">
        <f t="shared" ca="1" si="3"/>
        <v>60000</v>
      </c>
      <c r="H8" s="179">
        <f t="shared" ca="1" si="3"/>
        <v>60000</v>
      </c>
      <c r="I8" s="179">
        <f t="shared" ca="1" si="3"/>
        <v>60000</v>
      </c>
      <c r="J8" s="179">
        <f t="shared" ca="1" si="3"/>
        <v>60000</v>
      </c>
      <c r="K8" s="179">
        <f t="shared" ca="1" si="3"/>
        <v>60000</v>
      </c>
      <c r="L8" s="179">
        <f t="shared" ca="1" si="3"/>
        <v>60000</v>
      </c>
      <c r="M8" s="179">
        <f t="shared" ca="1" si="3"/>
        <v>60000</v>
      </c>
      <c r="N8" s="211">
        <f t="shared" ca="1" si="2"/>
        <v>720000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5550090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5550090</v>
      </c>
    </row>
    <row r="11" spans="1:14" ht="9.75" customHeight="1">
      <c r="A11" s="178" t="s">
        <v>63</v>
      </c>
      <c r="B11" s="179">
        <f ca="1">IF(B$6="",0,'2034'!M11)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2797620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2896320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5693940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IF(B$6="",0,'2034'!M15)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IF(B$6="",0,'2034'!M16)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IF(B$6="",0,'2034'!M18)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IF(B$6="",0,'2034'!M19)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60650</v>
      </c>
      <c r="E21" s="179">
        <f ca="1">IF(D4="","",IF(E$6="","",ROUND(VLOOKUP(E4,gibon40!$D$51:$AV$100,$N$1+1)*10*15/15,-1)))</f>
        <v>181940</v>
      </c>
      <c r="F21" s="179">
        <f ca="1">IF(E4="","",IF(F$6="","",ROUND(VLOOKUP(F4,gibon40!$D$51:$AV$100,$N$1+1)*10*15/15,-1)))</f>
        <v>181940</v>
      </c>
      <c r="G21" s="179">
        <f ca="1">IF(F4="","",IF(G$6="","",ROUND(VLOOKUP(G4,gibon40!$D$51:$AV$100,$N$1+1)*10*15/15,-1)))</f>
        <v>181940</v>
      </c>
      <c r="H21" s="179">
        <f ca="1">IF(G4="","",IF(H$6="","",ROUND(VLOOKUP(H4,gibon40!$D$51:$AV$100,$N$1+1)*10*15/15,-1)))</f>
        <v>181940</v>
      </c>
      <c r="I21" s="179">
        <f ca="1">IF(H4="","",IF(I$6="","",ROUND(VLOOKUP(I4,gibon40!$D$51:$AV$100,$N$1+1)*10*15/15,-1)))</f>
        <v>181940</v>
      </c>
      <c r="J21" s="179">
        <f ca="1">IF(I4="","",IF(J$6="","",ROUND(VLOOKUP(J4,gibon40!$D$51:$AV$100,$N$1+1)*7*15/15,-1)))</f>
        <v>127360</v>
      </c>
      <c r="K21" s="179">
        <f ca="1">IF(J4="","",IF(K$6="","",ROUND(VLOOKUP(K4,gibon40!$D$51:$AV$100,$N$1+1)*10*15/15,-1)))</f>
        <v>181940</v>
      </c>
      <c r="L21" s="179">
        <f ca="1">IF(K4="","",IF(L$6="","",ROUND(VLOOKUP(L4,gibon40!$D$51:$AV$100,$N$1+1)*10*15/15,-1)))</f>
        <v>181940</v>
      </c>
      <c r="M21" s="179">
        <f ca="1">IF(L4="","",IF(M$6="","",ROUND(VLOOKUP(M4,gibon40!$D$51:$AV$100,$N$1+1)*10*15/15*2,-1)))</f>
        <v>363880</v>
      </c>
      <c r="N21" s="211">
        <f t="shared" ca="1" si="2"/>
        <v>1825470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IF(B$6="",0,'2034'!M23)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IF(B$6="",0,'2034'!M24)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'2036'!A25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7729050</v>
      </c>
      <c r="C26" s="213">
        <f t="shared" ref="C26:M26" ca="1" si="16">ROUNDDOWN(SUM(C6:C25),-1)</f>
        <v>8195320</v>
      </c>
      <c r="D26" s="213">
        <f t="shared" ca="1" si="16"/>
        <v>11172940</v>
      </c>
      <c r="E26" s="213">
        <f t="shared" ca="1" si="16"/>
        <v>5744140</v>
      </c>
      <c r="F26" s="213">
        <f t="shared" ca="1" si="16"/>
        <v>5744140</v>
      </c>
      <c r="G26" s="213">
        <f t="shared" ca="1" si="16"/>
        <v>5744140</v>
      </c>
      <c r="H26" s="213">
        <f t="shared" ca="1" si="16"/>
        <v>8157740</v>
      </c>
      <c r="I26" s="213">
        <f t="shared" ca="1" si="16"/>
        <v>5744140</v>
      </c>
      <c r="J26" s="213">
        <f t="shared" ca="1" si="16"/>
        <v>8585880</v>
      </c>
      <c r="K26" s="213">
        <f t="shared" ca="1" si="16"/>
        <v>5744140</v>
      </c>
      <c r="L26" s="213">
        <f t="shared" ca="1" si="16"/>
        <v>5744140</v>
      </c>
      <c r="M26" s="213">
        <f t="shared" ca="1" si="16"/>
        <v>5926080</v>
      </c>
      <c r="N26" s="214">
        <f ca="1">SUM(B26:M26)</f>
        <v>84231850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575130</v>
      </c>
      <c r="C27" s="179">
        <f ca="1">IF(C6="",0,ROUND(VLOOKUP(($N$26-1200000-$N$17-$N$16)/12,'2015근로소득간이세액표'!$C$4:$Z$700,$A$27+1)*0.78*O27,-1))</f>
        <v>582600</v>
      </c>
      <c r="D27" s="179">
        <f ca="1">IF(D6="",0,ROUND(VLOOKUP(($N$26-1200000-$N$17-$N$16)/12,'2015근로소득간이세액표'!$C$4:$Z$700,$A$27+1)*0.79*O27,-1))</f>
        <v>590070</v>
      </c>
      <c r="E27" s="179">
        <f ca="1">IF(E6="",0,ROUND(VLOOKUP(($N$26-1200000-$N$17-$N$16)/12,'2015근로소득간이세액표'!$C$4:$Z$700,$A$27+1)*1.1*O27,-1))</f>
        <v>821610</v>
      </c>
      <c r="F27" s="179">
        <f ca="1">IF(F6="",0,ROUND(VLOOKUP(($N$26-1200000-$N$17-$N$16)/12,'2015근로소득간이세액표'!$C$4:$Z$700,$A$27+1)*1.11*O27,-1))</f>
        <v>829080</v>
      </c>
      <c r="G27" s="179">
        <f ca="1">IF(G6="",0,ROUND(VLOOKUP(($N$26-1200000-$N$17-$N$16)/12,'2015근로소득간이세액표'!$C$4:$Z$700,$A$27+1)*1.12*O27,-1))</f>
        <v>836550</v>
      </c>
      <c r="H27" s="179">
        <f ca="1">IF(H6="",0,ROUND(VLOOKUP(($N$26-1200000-$N$17-$N$16)/12,'2015근로소득간이세액표'!$C$4:$Z$700,$A$27+1)*1.13*O27,-1))</f>
        <v>844020</v>
      </c>
      <c r="I27" s="179">
        <f ca="1">IF(I6="",0,ROUND(VLOOKUP(($N$26-1200000-$N$17-$N$16)/12,'2015근로소득간이세액표'!$C$4:$Z$700,$A$27+1)*1.14*O27,-1))</f>
        <v>851490</v>
      </c>
      <c r="J27" s="179">
        <f ca="1">IF(J6="",0,ROUND(VLOOKUP(($N$26-1200000-$N$17-$N$16)/12,'2015근로소득간이세액표'!$C$4:$Z$700,$A$27+1)*1.15*O27,-1))</f>
        <v>858960</v>
      </c>
      <c r="K27" s="179">
        <f ca="1">IF(K6="",0,ROUND(VLOOKUP(($N$26-1200000-$N$17-$N$16)/12,'2015근로소득간이세액표'!$C$4:$Z$700,$A$27+1)*1.16*O27,-1))</f>
        <v>866430</v>
      </c>
      <c r="L27" s="179">
        <f ca="1">IF(L6="",0,ROUND(VLOOKUP(($N$26-1200000-$N$17-$N$16)/12,'2015근로소득간이세액표'!$C$4:$Z$700,$A$27+1)*1.17*O27,-1))</f>
        <v>873900</v>
      </c>
      <c r="M27" s="179">
        <f ca="1">IF(M6="",0,ROUND(VLOOKUP(($N$26-1200000-$N$17-$N$16)/12,'2015근로소득간이세액표'!$C$4:$Z$700,$A$27+1)*1.18*O27,-1))</f>
        <v>881370</v>
      </c>
      <c r="N27" s="179">
        <f t="shared" ref="N27:N28" ca="1" si="17">SUM(B27:M27)</f>
        <v>9411210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57510</v>
      </c>
      <c r="C28" s="179">
        <f t="shared" ca="1" si="18"/>
        <v>58260</v>
      </c>
      <c r="D28" s="179">
        <f t="shared" ca="1" si="18"/>
        <v>59010</v>
      </c>
      <c r="E28" s="179">
        <f t="shared" ca="1" si="18"/>
        <v>82160</v>
      </c>
      <c r="F28" s="179">
        <f t="shared" ca="1" si="18"/>
        <v>82910</v>
      </c>
      <c r="G28" s="179">
        <f t="shared" ca="1" si="18"/>
        <v>83660</v>
      </c>
      <c r="H28" s="179">
        <f t="shared" ca="1" si="18"/>
        <v>84400</v>
      </c>
      <c r="I28" s="179">
        <f t="shared" ca="1" si="18"/>
        <v>85150</v>
      </c>
      <c r="J28" s="179">
        <f ca="1">IF(J$6="","",ROUND(J27*0.1,-1))</f>
        <v>85900</v>
      </c>
      <c r="K28" s="179">
        <f t="shared" ref="K28:M28" ca="1" si="19">IF(K$6="","",ROUND(K27*0.1,-1))</f>
        <v>86640</v>
      </c>
      <c r="L28" s="179">
        <f t="shared" ca="1" si="19"/>
        <v>87390</v>
      </c>
      <c r="M28" s="179">
        <f t="shared" ca="1" si="19"/>
        <v>88140</v>
      </c>
      <c r="N28" s="179">
        <f t="shared" ca="1" si="17"/>
        <v>941130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IF(B4="","",IF(B6="","",IF($D$1-YEAR('2025'!$I$1)&gt;0,"",IF(AND($D$1-YEAR('2025'!$I$1)=0,B3-MONTH('2025'!$I$1)&gt;=1),"",'2034'!M29))))</f>
        <v>563620</v>
      </c>
      <c r="C29" s="179">
        <f ca="1">IF(C4="","",IF(C6="","",IF($D$1-YEAR('2025'!$I$1)&gt;0,"",IF(AND($D$1-YEAR('2025'!$I$1)=0,C3-MONTH('2025'!$I$1)&gt;=1),"",B29))))</f>
        <v>563620</v>
      </c>
      <c r="D29" s="179">
        <f ca="1">IF(D4="","",IF(D6="","",IF($D$1-YEAR('2025'!$I$1)&gt;0,"",IF(AND($D$1-YEAR('2025'!$I$1)=0,D3-MONTH('2025'!$I$1)&gt;=1),"",C29))))</f>
        <v>563620</v>
      </c>
      <c r="E29" s="179">
        <f ca="1">IF(E4="","",IF(E6="","",IF($D$1-YEAR('2025'!$I$1)&gt;0,"",IF(AND($D$1-YEAR('2025'!$I$1)=0,E3-MONTH('2025'!$I$1)&gt;=1),"",D29))))</f>
        <v>563620</v>
      </c>
      <c r="F29" s="179">
        <f ca="1">IF(F4="","",IF(F$6="","",IF($D$1-YEAR('2025'!$I$1)&gt;0,"",IF(AND($D$1-YEAR('2025'!$I$1)=0,F3-MONTH('2025'!$I$1)&gt;=1),"",VLOOKUP(F$4,집계표!$AK$5:$HA$47,$N$1*3+$N$1-1+4)))))</f>
        <v>595000</v>
      </c>
      <c r="G29" s="179">
        <f ca="1">IF(G6="",0,IF($D$1-YEAR('2025'!$I$1)&gt;0,"",IF(AND($D$1-YEAR('2025'!$I$1)=0,G3-MONTH('2025'!$I$1)&gt;=1),"",F29)))</f>
        <v>595000</v>
      </c>
      <c r="H29" s="179">
        <f ca="1">IF(H6="",0,IF($D$1-YEAR('2025'!$I$1)&gt;0,"",IF(AND($D$1-YEAR('2025'!$I$1)=0,H3-MONTH('2025'!$I$1)&gt;=1),"",G29)))</f>
        <v>595000</v>
      </c>
      <c r="I29" s="179">
        <f ca="1">IF(I6="",0,IF($D$1-YEAR('2025'!$I$1)&gt;0,"",IF(AND($D$1-YEAR('2025'!$I$1)=0,I3-MONTH('2025'!$I$1)&gt;=1),"",H29)))</f>
        <v>595000</v>
      </c>
      <c r="J29" s="179">
        <f ca="1">IF(J6="",0,IF($D$1-YEAR('2025'!$I$1)&gt;0,"",IF(AND($D$1-YEAR('2025'!$I$1)=0,J3-MONTH('2025'!$I$1)&gt;=1),"",I29)))</f>
        <v>595000</v>
      </c>
      <c r="K29" s="179">
        <f ca="1">IF(K6="",0,IF($D$1-YEAR('2025'!$I$1)&gt;0,"",IF(AND($D$1-YEAR('2025'!$I$1)=0,K3-MONTH('2025'!$I$1)&gt;=1),"",J29)))</f>
        <v>595000</v>
      </c>
      <c r="L29" s="179">
        <f ca="1">IF(L6="",0,IF($D$1-YEAR('2025'!$I$1)&gt;0,"",IF(AND($D$1-YEAR('2025'!$I$1)=0,L3-MONTH('2025'!$I$1)&gt;=1),"",K29)))</f>
        <v>595000</v>
      </c>
      <c r="M29" s="179">
        <f ca="1">IF(M6="",0,IF($D$1-YEAR('2025'!$I$1)&gt;0,"",IF(AND($D$1-YEAR('2025'!$I$1)=0,M3-MONTH('2025'!$I$1)&gt;=1),"",L29)))</f>
        <v>595000</v>
      </c>
      <c r="N29" s="211">
        <f t="shared" ca="1" si="2"/>
        <v>7014480</v>
      </c>
    </row>
    <row r="30" spans="1:20" ht="9.75" customHeight="1">
      <c r="A30" s="182" t="s">
        <v>58</v>
      </c>
      <c r="B30" s="179">
        <f ca="1">IF(B6="","",'2034'!M30)</f>
        <v>243130</v>
      </c>
      <c r="C30" s="179">
        <f ca="1">IF(C6="","",B30)</f>
        <v>243130</v>
      </c>
      <c r="D30" s="179">
        <f ca="1">IF(D6="","",C30)</f>
        <v>243130</v>
      </c>
      <c r="E30" s="857">
        <f ca="1">IF(E6="","",VLOOKUP(E$4,집계표!$AK$5:$HA$47,$N$1*4))</f>
        <v>256670</v>
      </c>
      <c r="F30" s="179">
        <f ca="1">IF(F6="","",E30)</f>
        <v>256670</v>
      </c>
      <c r="G30" s="179">
        <f t="shared" ref="G30:M30" ca="1" si="20">IF(G6="","",F30)</f>
        <v>256670</v>
      </c>
      <c r="H30" s="179">
        <f t="shared" ca="1" si="20"/>
        <v>256670</v>
      </c>
      <c r="I30" s="179">
        <f t="shared" ca="1" si="20"/>
        <v>256670</v>
      </c>
      <c r="J30" s="179">
        <f t="shared" ca="1" si="20"/>
        <v>256670</v>
      </c>
      <c r="K30" s="179">
        <f t="shared" ca="1" si="20"/>
        <v>256670</v>
      </c>
      <c r="L30" s="179">
        <f t="shared" ca="1" si="20"/>
        <v>256670</v>
      </c>
      <c r="M30" s="179">
        <f t="shared" ca="1" si="20"/>
        <v>256670</v>
      </c>
      <c r="N30" s="211">
        <f t="shared" ca="1" si="2"/>
        <v>3039420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24920</v>
      </c>
      <c r="C31" s="179">
        <f t="shared" ca="1" si="21"/>
        <v>24920</v>
      </c>
      <c r="D31" s="179">
        <f t="shared" ca="1" si="21"/>
        <v>24920</v>
      </c>
      <c r="E31" s="179">
        <f t="shared" ca="1" si="21"/>
        <v>26310</v>
      </c>
      <c r="F31" s="179">
        <f t="shared" ca="1" si="21"/>
        <v>26310</v>
      </c>
      <c r="G31" s="179">
        <f t="shared" ca="1" si="21"/>
        <v>26310</v>
      </c>
      <c r="H31" s="179">
        <f t="shared" ca="1" si="21"/>
        <v>26310</v>
      </c>
      <c r="I31" s="179">
        <f t="shared" ca="1" si="21"/>
        <v>26310</v>
      </c>
      <c r="J31" s="179">
        <f ca="1">IF(J$6="","",ROUND(IF(J4="","",J30*10.25%),-1))</f>
        <v>26310</v>
      </c>
      <c r="K31" s="179">
        <f t="shared" ref="K31:M31" ca="1" si="22">IF(K$6="","",ROUND(IF(K4="","",K30*10.25%),-1))</f>
        <v>26310</v>
      </c>
      <c r="L31" s="179">
        <f t="shared" ca="1" si="22"/>
        <v>26310</v>
      </c>
      <c r="M31" s="179">
        <f t="shared" ca="1" si="22"/>
        <v>26310</v>
      </c>
      <c r="N31" s="211">
        <f t="shared" ca="1" si="2"/>
        <v>311550</v>
      </c>
    </row>
    <row r="32" spans="1:20" ht="9.75" customHeight="1">
      <c r="A32" s="597" t="str">
        <f>'2034'!A32</f>
        <v>교직원공제비</v>
      </c>
      <c r="B32" s="621">
        <f ca="1">IF(B$6="","",'2034'!B32)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'2034'!A33</f>
        <v>급식비</v>
      </c>
      <c r="B33" s="621">
        <f ca="1">IF(B$6="","",'2034'!B33)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IF(B$6="",0,'2034'!M34)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IF(B$6="",0,'2034'!M38)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IF(B$6="",0,'2034'!M39)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1784950</v>
      </c>
      <c r="C40" s="216">
        <f t="shared" ca="1" si="28"/>
        <v>1793170</v>
      </c>
      <c r="D40" s="216">
        <f t="shared" ca="1" si="28"/>
        <v>1801390</v>
      </c>
      <c r="E40" s="216">
        <f t="shared" ca="1" si="28"/>
        <v>2071010</v>
      </c>
      <c r="F40" s="216">
        <f t="shared" ca="1" si="28"/>
        <v>2110610</v>
      </c>
      <c r="G40" s="216">
        <f t="shared" ca="1" si="28"/>
        <v>2118830</v>
      </c>
      <c r="H40" s="216">
        <f t="shared" ca="1" si="28"/>
        <v>2127040</v>
      </c>
      <c r="I40" s="216">
        <f t="shared" ca="1" si="28"/>
        <v>2135260</v>
      </c>
      <c r="J40" s="216">
        <f ca="1">IF(J26="","",SUM(J27:J39))</f>
        <v>2143480</v>
      </c>
      <c r="K40" s="216">
        <f t="shared" ref="K40:M40" ca="1" si="29">IF(K26="","",SUM(K27:K39))</f>
        <v>2151690</v>
      </c>
      <c r="L40" s="216">
        <f t="shared" ca="1" si="29"/>
        <v>2159910</v>
      </c>
      <c r="M40" s="216">
        <f t="shared" ca="1" si="29"/>
        <v>2168130</v>
      </c>
      <c r="N40" s="216">
        <f ca="1">SUM(B40:M40)</f>
        <v>24565470</v>
      </c>
    </row>
    <row r="41" spans="1:14" ht="9.75" customHeight="1">
      <c r="A41" s="183" t="s">
        <v>79</v>
      </c>
      <c r="B41" s="184">
        <f ca="1">ROUND((B26-B40),-1)</f>
        <v>5944100</v>
      </c>
      <c r="C41" s="184">
        <f t="shared" ref="C41:M41" ca="1" si="30">ROUND((C26-C40),-1)</f>
        <v>6402150</v>
      </c>
      <c r="D41" s="184">
        <f t="shared" ca="1" si="30"/>
        <v>9371550</v>
      </c>
      <c r="E41" s="184">
        <f t="shared" ca="1" si="30"/>
        <v>3673130</v>
      </c>
      <c r="F41" s="184">
        <f t="shared" ca="1" si="30"/>
        <v>3633530</v>
      </c>
      <c r="G41" s="184">
        <f t="shared" ca="1" si="30"/>
        <v>3625310</v>
      </c>
      <c r="H41" s="184">
        <f t="shared" ca="1" si="30"/>
        <v>6030700</v>
      </c>
      <c r="I41" s="184">
        <f t="shared" ca="1" si="30"/>
        <v>3608880</v>
      </c>
      <c r="J41" s="184">
        <f t="shared" ca="1" si="30"/>
        <v>6442400</v>
      </c>
      <c r="K41" s="184">
        <f t="shared" ca="1" si="30"/>
        <v>3592450</v>
      </c>
      <c r="L41" s="184">
        <f t="shared" ca="1" si="30"/>
        <v>3584230</v>
      </c>
      <c r="M41" s="184">
        <f t="shared" ca="1" si="30"/>
        <v>3757950</v>
      </c>
      <c r="N41" s="184">
        <f ca="1">SUM(B41:M41)</f>
        <v>59666380</v>
      </c>
    </row>
    <row r="42" spans="1:14" ht="9.75" customHeight="1">
      <c r="A42" s="217" t="str">
        <f>'2034'!A42</f>
        <v>12)지출내용입력1</v>
      </c>
      <c r="B42" s="211">
        <f>'2034'!M42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'2034'!A43</f>
        <v>지출내용입력2</v>
      </c>
      <c r="B43" s="211">
        <f>'2034'!M43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'2034'!A44</f>
        <v>지출내용입력3</v>
      </c>
      <c r="B44" s="211">
        <f>'2034'!M44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'2034'!A45</f>
        <v>지출내용입력4</v>
      </c>
      <c r="B45" s="211">
        <f>'2034'!M45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'2034'!A46</f>
        <v>지출내용입력5</v>
      </c>
      <c r="B46" s="211">
        <f>'2034'!M46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'2034'!A47</f>
        <v>지출내용입력6</v>
      </c>
      <c r="B47" s="211">
        <f>'2034'!M47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'2034'!A48</f>
        <v>지출내용입력7</v>
      </c>
      <c r="B48" s="211">
        <f>'2034'!M48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'2034'!A49</f>
        <v>지출내용입력8</v>
      </c>
      <c r="B49" s="211">
        <f>'2034'!M49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'2034'!A50</f>
        <v>지출내용입력9</v>
      </c>
      <c r="B50" s="211">
        <f>'2034'!M50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'2034'!A51</f>
        <v>지출내용입력10</v>
      </c>
      <c r="B51" s="211">
        <f>'2034'!M51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5944000</v>
      </c>
      <c r="C53" s="188">
        <f t="shared" ca="1" si="33"/>
        <v>6402050</v>
      </c>
      <c r="D53" s="188">
        <f t="shared" ca="1" si="33"/>
        <v>9371450</v>
      </c>
      <c r="E53" s="188">
        <f t="shared" ca="1" si="33"/>
        <v>3673030</v>
      </c>
      <c r="F53" s="188">
        <f t="shared" ca="1" si="33"/>
        <v>3633430</v>
      </c>
      <c r="G53" s="188">
        <f t="shared" ca="1" si="33"/>
        <v>3625210</v>
      </c>
      <c r="H53" s="188">
        <f t="shared" ca="1" si="33"/>
        <v>6030600</v>
      </c>
      <c r="I53" s="188">
        <f t="shared" ca="1" si="33"/>
        <v>3608780</v>
      </c>
      <c r="J53" s="188">
        <f t="shared" ca="1" si="33"/>
        <v>6442300</v>
      </c>
      <c r="K53" s="188">
        <f t="shared" ca="1" si="33"/>
        <v>3592350</v>
      </c>
      <c r="L53" s="188">
        <f t="shared" ca="1" si="33"/>
        <v>3584130</v>
      </c>
      <c r="M53" s="188">
        <f t="shared" ca="1" si="33"/>
        <v>3757850</v>
      </c>
      <c r="N53" s="188">
        <f t="shared" ca="1" si="33"/>
        <v>59665180</v>
      </c>
    </row>
    <row r="55" spans="1:14" ht="18">
      <c r="A55" s="1232" t="str">
        <f ca="1">D1</f>
        <v>2035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1001242.0000000001</v>
      </c>
      <c r="C57" s="688">
        <f ca="1">IF(C6="",0,VLOOKUP(C26-C17-100000,'2015 근로소득 간이세액표'!$C$4:$N$845,1+$M$55)*1.1)</f>
        <v>1116005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480601.00000000006</v>
      </c>
      <c r="F57" s="688">
        <f ca="1">IF(F6="",0,VLOOKUP(F26-F17-100000,'2015 근로소득 간이세액표'!$C$4:$N$845,1+$M$55)*1.1)</f>
        <v>480601.00000000006</v>
      </c>
      <c r="G57" s="688">
        <f ca="1">IF(G6="",0,VLOOKUP(G26-G17-100000,'2015 근로소득 간이세액표'!$C$4:$N$845,1+$M$55)*1.1)</f>
        <v>480601.00000000006</v>
      </c>
      <c r="H57" s="688">
        <f ca="1">IF(H6="",0,VLOOKUP(H26-H17-100000,'2015 근로소득 간이세액표'!$C$4:$N$845,1+$M$55)*1.1)</f>
        <v>1106028</v>
      </c>
      <c r="I57" s="688">
        <f ca="1">IF(I6="",0,VLOOKUP(I26-I17-100000,'2015 근로소득 간이세액표'!$C$4:$N$845,1+$M$55)*1.1)</f>
        <v>480601.00000000006</v>
      </c>
      <c r="J57" s="688">
        <f ca="1">IF(J6="",0,VLOOKUP(J26-J17-100000,'2015 근로소득 간이세액표'!$C$4:$N$845,1+$M$55)*1.1)</f>
        <v>1216556</v>
      </c>
      <c r="K57" s="688">
        <f ca="1">IF(K6="",0,VLOOKUP(K26-K17-100000,'2015 근로소득 간이세액표'!$C$4:$N$845,1+$M$55)*1.1)</f>
        <v>480601.00000000006</v>
      </c>
      <c r="L57" s="688">
        <f ca="1">IF(L6="",0,VLOOKUP(L26-L17-100000,'2015 근로소득 간이세액표'!$C$4:$N$845,1+$M$55)*1.1)</f>
        <v>480601.00000000006</v>
      </c>
      <c r="M57" s="688">
        <f ca="1">IF(M6="",0,VLOOKUP(M26-M17-100000,'2015 근로소득 간이세액표'!$C$4:$N$845,1+$M$55)*1.1)</f>
        <v>525030</v>
      </c>
      <c r="N57" s="689">
        <f ca="1">SUM(B57:M57)</f>
        <v>9564951</v>
      </c>
    </row>
    <row r="58" spans="1:14" ht="10" customHeight="1">
      <c r="A58" s="687" t="s">
        <v>295</v>
      </c>
      <c r="B58" s="689">
        <f t="shared" ref="B58:M58" ca="1" si="34">IF(B6="",0,B27+B28)</f>
        <v>632640</v>
      </c>
      <c r="C58" s="689">
        <f t="shared" ca="1" si="34"/>
        <v>640860</v>
      </c>
      <c r="D58" s="689">
        <f t="shared" ca="1" si="34"/>
        <v>649080</v>
      </c>
      <c r="E58" s="689">
        <f t="shared" ca="1" si="34"/>
        <v>903770</v>
      </c>
      <c r="F58" s="689">
        <f t="shared" ca="1" si="34"/>
        <v>911990</v>
      </c>
      <c r="G58" s="689">
        <f t="shared" ca="1" si="34"/>
        <v>920210</v>
      </c>
      <c r="H58" s="689">
        <f t="shared" ca="1" si="34"/>
        <v>928420</v>
      </c>
      <c r="I58" s="689">
        <f t="shared" ca="1" si="34"/>
        <v>936640</v>
      </c>
      <c r="J58" s="689">
        <f t="shared" ca="1" si="34"/>
        <v>944860</v>
      </c>
      <c r="K58" s="689">
        <f t="shared" ca="1" si="34"/>
        <v>953070</v>
      </c>
      <c r="L58" s="689">
        <f t="shared" ca="1" si="34"/>
        <v>961290</v>
      </c>
      <c r="M58" s="689">
        <f t="shared" ca="1" si="34"/>
        <v>969510</v>
      </c>
      <c r="N58" s="689">
        <f ca="1">SUM(B58:M58)</f>
        <v>10352340</v>
      </c>
    </row>
    <row r="59" spans="1:14" ht="10" customHeight="1">
      <c r="A59" s="680" t="s">
        <v>546</v>
      </c>
      <c r="B59" s="684">
        <f ca="1">B57-B58</f>
        <v>368602.00000000012</v>
      </c>
      <c r="C59" s="684">
        <f t="shared" ref="C59:N59" ca="1" si="35">C57-C58</f>
        <v>475145</v>
      </c>
      <c r="D59" s="684">
        <f t="shared" ca="1" si="35"/>
        <v>1067404.0000000002</v>
      </c>
      <c r="E59" s="684">
        <f t="shared" ca="1" si="35"/>
        <v>-423168.99999999994</v>
      </c>
      <c r="F59" s="684">
        <f t="shared" ca="1" si="35"/>
        <v>-431388.99999999994</v>
      </c>
      <c r="G59" s="684">
        <f t="shared" ca="1" si="35"/>
        <v>-439608.99999999994</v>
      </c>
      <c r="H59" s="684">
        <f t="shared" ca="1" si="35"/>
        <v>177608</v>
      </c>
      <c r="I59" s="684">
        <f t="shared" ca="1" si="35"/>
        <v>-456038.99999999994</v>
      </c>
      <c r="J59" s="684">
        <f t="shared" ca="1" si="35"/>
        <v>271696</v>
      </c>
      <c r="K59" s="684">
        <f t="shared" ca="1" si="35"/>
        <v>-472468.99999999994</v>
      </c>
      <c r="L59" s="684">
        <f t="shared" ca="1" si="35"/>
        <v>-480688.99999999994</v>
      </c>
      <c r="M59" s="684">
        <f t="shared" ca="1" si="35"/>
        <v>-444480</v>
      </c>
      <c r="N59" s="684">
        <f t="shared" ca="1" si="35"/>
        <v>-787389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-787389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sMSdv567ORQfxDWHZHq+phchh3QouHM4IK9wKRJ2il30/irYBIIMeSz4jZCCpW1gIX6wBg2dg9RQuHHe25wICg==" saltValue="q8fF0WcExE1lXk9UEJXyw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15" priority="8">
      <formula>$E$2="y"</formula>
    </cfRule>
    <cfRule type="expression" dxfId="414" priority="9">
      <formula>$D$2="Y"</formula>
    </cfRule>
    <cfRule type="expression" dxfId="413" priority="10">
      <formula>$F$2="y"</formula>
    </cfRule>
  </conditionalFormatting>
  <conditionalFormatting sqref="B27:M27">
    <cfRule type="expression" dxfId="412" priority="1">
      <formula>$F$2="y"</formula>
    </cfRule>
  </conditionalFormatting>
  <conditionalFormatting sqref="D16">
    <cfRule type="expression" dxfId="411" priority="26">
      <formula>$E$2="y"</formula>
    </cfRule>
    <cfRule type="expression" dxfId="410" priority="27">
      <formula>$E$2="y"</formula>
    </cfRule>
    <cfRule type="expression" dxfId="409" priority="28">
      <formula>$F$2="y"</formula>
    </cfRule>
  </conditionalFormatting>
  <conditionalFormatting sqref="D18">
    <cfRule type="expression" dxfId="408" priority="23">
      <formula>$E$2="y"</formula>
    </cfRule>
    <cfRule type="expression" dxfId="407" priority="24">
      <formula>$E$2="y"</formula>
    </cfRule>
    <cfRule type="expression" dxfId="406" priority="25">
      <formula>$F$2="y"</formula>
    </cfRule>
  </conditionalFormatting>
  <conditionalFormatting sqref="J12:K12">
    <cfRule type="expression" dxfId="405" priority="5">
      <formula>$E$2="y"</formula>
    </cfRule>
    <cfRule type="expression" dxfId="404" priority="6">
      <formula>$D$2="Y"</formula>
    </cfRule>
    <cfRule type="expression" dxfId="403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0051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52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53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55" r:id="rId6" name="Drop Down 7">
              <controlPr defaultSize="0" autoLine="0" autoPict="0">
                <anchor moveWithCells="1">
                  <from>
                    <xdr:col>0</xdr:col>
                    <xdr:colOff>25400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2036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집계표!N119</f>
        <v>2</v>
      </c>
      <c r="M1" s="627">
        <f>집계표!N122</f>
        <v>1</v>
      </c>
      <c r="N1" s="618">
        <v>12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집계표!AW53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IF('2035'!M4&gt;=50,50,IF(AND('2035'!M4=50,M$3=$N$5),"",IF(B3=$N$5,'2035'!M4+1,'2035'!M4)))</f>
        <v>23</v>
      </c>
      <c r="C4" s="176">
        <f>IF(B4&gt;=50,50,IF(AND(B4=50,C$3=$N$5),50,IF(C$3=$N$5,B4+1,B4)))</f>
        <v>23</v>
      </c>
      <c r="D4" s="176">
        <f t="shared" ref="D4:M4" si="0">IF(C4&gt;=50,50,IF(AND(C4=50,D$3=$N$5),50,IF(D$3=$N$5,C4+1,C4)))</f>
        <v>24</v>
      </c>
      <c r="E4" s="176">
        <f t="shared" si="0"/>
        <v>24</v>
      </c>
      <c r="F4" s="176">
        <f t="shared" si="0"/>
        <v>24</v>
      </c>
      <c r="G4" s="176">
        <f t="shared" si="0"/>
        <v>24</v>
      </c>
      <c r="H4" s="176">
        <f t="shared" si="0"/>
        <v>24</v>
      </c>
      <c r="I4" s="176">
        <f t="shared" si="0"/>
        <v>24</v>
      </c>
      <c r="J4" s="176">
        <f t="shared" si="0"/>
        <v>24</v>
      </c>
      <c r="K4" s="176">
        <f t="shared" si="0"/>
        <v>24</v>
      </c>
      <c r="L4" s="176">
        <f t="shared" si="0"/>
        <v>24</v>
      </c>
      <c r="M4" s="176">
        <f t="shared" si="0"/>
        <v>24</v>
      </c>
      <c r="N4" s="202" t="s">
        <v>124</v>
      </c>
    </row>
    <row r="5" spans="1:14" ht="9.75" customHeight="1">
      <c r="A5" s="208" t="s">
        <v>134</v>
      </c>
      <c r="B5" s="356">
        <f>IF(B$3=$N$5,'2035'!M5+1,'2035'!M5)</f>
        <v>13</v>
      </c>
      <c r="C5" s="209">
        <f>IF(C$3=$N$5,B5+1,B5)</f>
        <v>13</v>
      </c>
      <c r="D5" s="209">
        <f t="shared" ref="D5:M5" si="1">IF(D$3=$N$5,C5+1,C5)</f>
        <v>14</v>
      </c>
      <c r="E5" s="209">
        <f t="shared" si="1"/>
        <v>14</v>
      </c>
      <c r="F5" s="209">
        <f t="shared" si="1"/>
        <v>14</v>
      </c>
      <c r="G5" s="209">
        <f t="shared" si="1"/>
        <v>14</v>
      </c>
      <c r="H5" s="209">
        <f t="shared" si="1"/>
        <v>14</v>
      </c>
      <c r="I5" s="209">
        <f t="shared" si="1"/>
        <v>14</v>
      </c>
      <c r="J5" s="209">
        <f t="shared" si="1"/>
        <v>14</v>
      </c>
      <c r="K5" s="209">
        <f t="shared" si="1"/>
        <v>14</v>
      </c>
      <c r="L5" s="209">
        <f t="shared" si="1"/>
        <v>14</v>
      </c>
      <c r="M5" s="209">
        <f t="shared" si="1"/>
        <v>14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4947900</v>
      </c>
      <c r="C6" s="211">
        <f ca="1">IF($D$1-YEAR($B$1)&gt;0,"",IF(AND($D$1-YEAR($B$1)=0,C3-MONTH($B$1)&gt;=1),"",VLOOKUP(C4,gibon40!$D$4:$AT$47,$N$1,1)))</f>
        <v>4947900</v>
      </c>
      <c r="D6" s="211">
        <f ca="1">IF($D$1-YEAR($B$1)&gt;0,"",IF(AND($D$1-YEAR($B$1)=0,D3-MONTH($B$1)&gt;=1),"",VLOOKUP(D4,gibon40!$D$4:$AT$47,$N$1,1)))</f>
        <v>5117100</v>
      </c>
      <c r="E6" s="211">
        <f ca="1">IF($D$1-YEAR($B$1)&gt;0,"",IF(AND($D$1-YEAR($B$1)=0,E3-MONTH($B$1)&gt;=1),"",VLOOKUP(E4,gibon40!$D$4:$AT$47,$N$1,1)))</f>
        <v>5117100</v>
      </c>
      <c r="F6" s="211">
        <f ca="1">IF($D$1-YEAR($B$1)&gt;0,"",IF(AND($D$1-YEAR($B$1)=0,F3-MONTH($B$1)&gt;=1),"",VLOOKUP(F4,gibon40!$D$4:$AT$47,$N$1,1)))</f>
        <v>5117100</v>
      </c>
      <c r="G6" s="211">
        <f ca="1">IF($D$1-YEAR($B$1)&gt;0,"",IF(AND($D$1-YEAR($B$1)=0,G3-MONTH($B$1)&gt;=1),"",VLOOKUP(G4,gibon40!$D$4:$AT$47,$N$1,1)))</f>
        <v>5117100</v>
      </c>
      <c r="H6" s="211">
        <f ca="1">IF($D$1-YEAR($B$1)&gt;0,"",IF(AND($D$1-YEAR($B$1)=0,H3-MONTH($B$1)&gt;=1),"",VLOOKUP(H4,gibon40!$D$4:$AT$47,$N$1,1)))</f>
        <v>5117100</v>
      </c>
      <c r="I6" s="211">
        <f ca="1">IF($D$1-YEAR($B$1)&gt;0,"",IF(AND($D$1-YEAR($B$1)=0,I3-MONTH($B$1)&gt;=1),"",VLOOKUP(I4,gibon40!$D$4:$AT$47,$N$1,1)))</f>
        <v>5117100</v>
      </c>
      <c r="J6" s="211">
        <f ca="1">IF($D$1-YEAR($B$1)&gt;0,"",IF(AND($D$1-YEAR($B$1)=0,J3-MONTH($B$1)&gt;=1),"",VLOOKUP(J4,gibon40!$D$4:$AT$47,$N$1,1)))</f>
        <v>5117100</v>
      </c>
      <c r="K6" s="211">
        <f ca="1">IF($D$1-YEAR($B$1)&gt;0,"",IF(AND($D$1-YEAR($B$1)=0,K3-MONTH($B$1)&gt;=1),"",VLOOKUP(K4,gibon40!$D$4:$AT$47,$N$1,1)))</f>
        <v>5117100</v>
      </c>
      <c r="L6" s="211">
        <f ca="1">IF($D$1-YEAR($B$1)&gt;0,"",IF(AND($D$1-YEAR($B$1)=0,L3-MONTH($B$1)&gt;=1),"",VLOOKUP(L4,gibon40!$D$4:$AT$47,$N$1,1)))</f>
        <v>5117100</v>
      </c>
      <c r="M6" s="211">
        <f ca="1">IF($D$1-YEAR($B$1)&gt;0,"",IF(AND($D$1-YEAR($B$1)=0,M3-MONTH($B$1)&gt;=1),"",VLOOKUP(M4,gibon40!$D$4:$AT$47,$N$1,1)))</f>
        <v>5117100</v>
      </c>
      <c r="N6" s="211">
        <f t="shared" ref="N6:N52" ca="1" si="2">SUM(B6:M6)</f>
        <v>61066800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2473950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2558550</v>
      </c>
      <c r="I7" s="180"/>
      <c r="J7" s="180"/>
      <c r="K7" s="180"/>
      <c r="L7" s="180"/>
      <c r="M7" s="180"/>
      <c r="N7" s="211">
        <f t="shared" ca="1" si="2"/>
        <v>5032500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60000</v>
      </c>
      <c r="C8" s="179">
        <f t="shared" ref="C8:M8" ca="1" si="3">IF(C4="","",IF(C6="","",IF(C5&gt;=20,100000,IF(C5&gt;=15,80000,IF(C5&gt;=10,60000,IF(C5&gt;=5,50000,30000))))))</f>
        <v>60000</v>
      </c>
      <c r="D8" s="179">
        <f t="shared" ca="1" si="3"/>
        <v>60000</v>
      </c>
      <c r="E8" s="179">
        <f t="shared" ca="1" si="3"/>
        <v>60000</v>
      </c>
      <c r="F8" s="179">
        <f t="shared" ca="1" si="3"/>
        <v>60000</v>
      </c>
      <c r="G8" s="179">
        <f t="shared" ca="1" si="3"/>
        <v>60000</v>
      </c>
      <c r="H8" s="179">
        <f t="shared" ca="1" si="3"/>
        <v>60000</v>
      </c>
      <c r="I8" s="179">
        <f t="shared" ca="1" si="3"/>
        <v>60000</v>
      </c>
      <c r="J8" s="179">
        <f t="shared" ca="1" si="3"/>
        <v>60000</v>
      </c>
      <c r="K8" s="179">
        <f t="shared" ca="1" si="3"/>
        <v>60000</v>
      </c>
      <c r="L8" s="179">
        <f t="shared" ca="1" si="3"/>
        <v>60000</v>
      </c>
      <c r="M8" s="179">
        <f t="shared" ca="1" si="3"/>
        <v>60000</v>
      </c>
      <c r="N8" s="211">
        <f t="shared" ca="1" si="2"/>
        <v>720000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5688830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5688830</v>
      </c>
    </row>
    <row r="11" spans="1:14" ht="9.75" customHeight="1">
      <c r="A11" s="178" t="s">
        <v>63</v>
      </c>
      <c r="B11" s="179">
        <f ca="1">IF(B$6="",0,'2035'!M11)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2968740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3070260</v>
      </c>
      <c r="L12" s="179"/>
      <c r="M12" s="179"/>
      <c r="N12" s="211">
        <f t="shared" ca="1" si="2"/>
        <v>6039000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IF(B$6="",0,'2035'!M15)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IF(B$6="",0,'2035'!M16)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IF(B$6="",0,'2035'!M18)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IF(B$6="",0,'2035'!M19)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62160</v>
      </c>
      <c r="E21" s="179">
        <f ca="1">IF(D4="","",IF(E$6="","",ROUND(VLOOKUP(E4,gibon40!$D$51:$AV$100,$N$1+1)*10*15/15,-1)))</f>
        <v>186490</v>
      </c>
      <c r="F21" s="179">
        <f ca="1">IF(E4="","",IF(F$6="","",ROUND(VLOOKUP(F4,gibon40!$D$51:$AV$100,$N$1+1)*10*15/15,-1)))</f>
        <v>186490</v>
      </c>
      <c r="G21" s="179">
        <f ca="1">IF(F4="","",IF(G$6="","",ROUND(VLOOKUP(G4,gibon40!$D$51:$AV$100,$N$1+1)*10*15/15,-1)))</f>
        <v>186490</v>
      </c>
      <c r="H21" s="179">
        <f ca="1">IF(G4="","",IF(H$6="","",ROUND(VLOOKUP(H4,gibon40!$D$51:$AV$100,$N$1+1)*10*15/15,-1)))</f>
        <v>186490</v>
      </c>
      <c r="I21" s="179">
        <f ca="1">IF(H4="","",IF(I$6="","",ROUND(VLOOKUP(I4,gibon40!$D$51:$AV$100,$N$1+1)*10*15/15,-1)))</f>
        <v>186490</v>
      </c>
      <c r="J21" s="179">
        <f ca="1">IF(I4="","",IF(J$6="","",ROUND(VLOOKUP(J4,gibon40!$D$51:$AV$100,$N$1+1)*7*15/15,-1)))</f>
        <v>130540</v>
      </c>
      <c r="K21" s="179">
        <f ca="1">IF(J4="","",IF(K$6="","",ROUND(VLOOKUP(K4,gibon40!$D$51:$AV$100,$N$1+1)*10*15/15,-1)))</f>
        <v>186490</v>
      </c>
      <c r="L21" s="179">
        <f ca="1">IF(K4="","",IF(L$6="","",ROUND(VLOOKUP(L4,gibon40!$D$51:$AV$100,$N$1+1)*10*15/15,-1)))</f>
        <v>186490</v>
      </c>
      <c r="M21" s="179">
        <f ca="1">IF(L4="","",IF(M$6="","",ROUND(VLOOKUP(M4,gibon40!$D$51:$AV$100,$N$1+1)*10*15/15*2,-1)))</f>
        <v>372980</v>
      </c>
      <c r="N21" s="211">
        <f t="shared" ca="1" si="2"/>
        <v>1871110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IF(B$6="",0,'2035'!M23)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IF(B$6="",0,'2035'!M24)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'2034'!A25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11125590</v>
      </c>
      <c r="C26" s="213">
        <f t="shared" ref="C26:M26" ca="1" si="16">ROUNDDOWN(SUM(C6:C25),-1)</f>
        <v>5682900</v>
      </c>
      <c r="D26" s="213">
        <f t="shared" ca="1" si="16"/>
        <v>11603090</v>
      </c>
      <c r="E26" s="213">
        <f t="shared" ca="1" si="16"/>
        <v>6038590</v>
      </c>
      <c r="F26" s="213">
        <f t="shared" ca="1" si="16"/>
        <v>6038590</v>
      </c>
      <c r="G26" s="213">
        <f t="shared" ca="1" si="16"/>
        <v>6038590</v>
      </c>
      <c r="H26" s="213">
        <f t="shared" ca="1" si="16"/>
        <v>8597140</v>
      </c>
      <c r="I26" s="213">
        <f t="shared" ca="1" si="16"/>
        <v>6038590</v>
      </c>
      <c r="J26" s="213">
        <f t="shared" ca="1" si="16"/>
        <v>5982640</v>
      </c>
      <c r="K26" s="213">
        <f t="shared" ca="1" si="16"/>
        <v>9108850</v>
      </c>
      <c r="L26" s="213">
        <f t="shared" ca="1" si="16"/>
        <v>6038590</v>
      </c>
      <c r="M26" s="213">
        <f t="shared" ca="1" si="16"/>
        <v>6225080</v>
      </c>
      <c r="N26" s="214">
        <f ca="1">SUM(B26:M26)</f>
        <v>88518240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638000</v>
      </c>
      <c r="C27" s="179">
        <f ca="1">IF(C6="",0,ROUND(VLOOKUP(($N$26-1200000-$N$17-$N$16)/12,'2015근로소득간이세액표'!$C$4:$Z$700,$A$27+1)*0.78*O27,-1))</f>
        <v>646280</v>
      </c>
      <c r="D27" s="179">
        <f ca="1">IF(D6="",0,ROUND(VLOOKUP(($N$26-1200000-$N$17-$N$16)/12,'2015근로소득간이세액표'!$C$4:$Z$700,$A$27+1)*0.79*O27,-1))</f>
        <v>654570</v>
      </c>
      <c r="E27" s="179">
        <f ca="1">IF(E6="",0,ROUND(VLOOKUP(($N$26-1200000-$N$17-$N$16)/12,'2015근로소득간이세액표'!$C$4:$Z$700,$A$27+1)*1.1*O27,-1))</f>
        <v>911430</v>
      </c>
      <c r="F27" s="179">
        <f ca="1">IF(F6="",0,ROUND(VLOOKUP(($N$26-1200000-$N$17-$N$16)/12,'2015근로소득간이세액표'!$C$4:$Z$700,$A$27+1)*1.11*O27,-1))</f>
        <v>919710</v>
      </c>
      <c r="G27" s="179">
        <f ca="1">IF(G6="",0,ROUND(VLOOKUP(($N$26-1200000-$N$17-$N$16)/12,'2015근로소득간이세액표'!$C$4:$Z$700,$A$27+1)*1.12*O27,-1))</f>
        <v>928000</v>
      </c>
      <c r="H27" s="179">
        <f ca="1">IF(H6="",0,ROUND(VLOOKUP(($N$26-1200000-$N$17-$N$16)/12,'2015근로소득간이세액표'!$C$4:$Z$700,$A$27+1)*1.13*O27,-1))</f>
        <v>936280</v>
      </c>
      <c r="I27" s="179">
        <f ca="1">IF(I6="",0,ROUND(VLOOKUP(($N$26-1200000-$N$17-$N$16)/12,'2015근로소득간이세액표'!$C$4:$Z$700,$A$27+1)*1.14*O27,-1))</f>
        <v>944570</v>
      </c>
      <c r="J27" s="179">
        <f ca="1">IF(J6="",0,ROUND(VLOOKUP(($N$26-1200000-$N$17-$N$16)/12,'2015근로소득간이세액표'!$C$4:$Z$700,$A$27+1)*1.15*O27,-1))</f>
        <v>952860</v>
      </c>
      <c r="K27" s="179">
        <f ca="1">IF(K6="",0,ROUND(VLOOKUP(($N$26-1200000-$N$17-$N$16)/12,'2015근로소득간이세액표'!$C$4:$Z$700,$A$27+1)*1.16*O27,-1))</f>
        <v>961140</v>
      </c>
      <c r="L27" s="179">
        <f ca="1">IF(L6="",0,ROUND(VLOOKUP(($N$26-1200000-$N$17-$N$16)/12,'2015근로소득간이세액표'!$C$4:$Z$700,$A$27+1)*1.17*O27,-1))</f>
        <v>969430</v>
      </c>
      <c r="M27" s="179">
        <f ca="1">IF(M6="",0,ROUND(VLOOKUP(($N$26-1200000-$N$17-$N$16)/12,'2015근로소득간이세액표'!$C$4:$Z$700,$A$27+1)*1.18*O27,-1))</f>
        <v>977710</v>
      </c>
      <c r="N27" s="179">
        <f t="shared" ref="N27:N28" ca="1" si="17">SUM(B27:M27)</f>
        <v>10439980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63800</v>
      </c>
      <c r="C28" s="179">
        <f t="shared" ca="1" si="18"/>
        <v>64630</v>
      </c>
      <c r="D28" s="179">
        <f t="shared" ca="1" si="18"/>
        <v>65460</v>
      </c>
      <c r="E28" s="179">
        <f t="shared" ca="1" si="18"/>
        <v>91140</v>
      </c>
      <c r="F28" s="179">
        <f t="shared" ca="1" si="18"/>
        <v>91970</v>
      </c>
      <c r="G28" s="179">
        <f t="shared" ca="1" si="18"/>
        <v>92800</v>
      </c>
      <c r="H28" s="179">
        <f t="shared" ca="1" si="18"/>
        <v>93630</v>
      </c>
      <c r="I28" s="179">
        <f t="shared" ca="1" si="18"/>
        <v>94460</v>
      </c>
      <c r="J28" s="179">
        <f ca="1">IF(J$6="","",ROUND(J27*0.1,-1))</f>
        <v>95290</v>
      </c>
      <c r="K28" s="179">
        <f t="shared" ref="K28:M28" ca="1" si="19">IF(K$6="","",ROUND(K27*0.1,-1))</f>
        <v>96110</v>
      </c>
      <c r="L28" s="179">
        <f t="shared" ca="1" si="19"/>
        <v>96940</v>
      </c>
      <c r="M28" s="179">
        <f t="shared" ca="1" si="19"/>
        <v>97770</v>
      </c>
      <c r="N28" s="179">
        <f t="shared" ca="1" si="17"/>
        <v>1044000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IF(B4="","",IF(B6="","",IF($D$1-YEAR('2025'!$I$1)&gt;0,"",IF(AND($D$1-YEAR('2025'!$I$1)=0,B3-MONTH('2025'!$I$1)&gt;=1),"",'2035'!M29))))</f>
        <v>595000</v>
      </c>
      <c r="C29" s="179">
        <f ca="1">IF(C4="","",IF(C6="","",IF($D$1-YEAR('2025'!$I$1)&gt;0,"",IF(AND($D$1-YEAR('2025'!$I$1)=0,C3-MONTH('2025'!$I$1)&gt;=1),"",B29))))</f>
        <v>595000</v>
      </c>
      <c r="D29" s="179">
        <f ca="1">IF(D4="","",IF(D6="","",IF($D$1-YEAR('2025'!$I$1)&gt;0,"",IF(AND($D$1-YEAR('2025'!$I$1)=0,D3-MONTH('2025'!$I$1)&gt;=1),"",C29))))</f>
        <v>595000</v>
      </c>
      <c r="E29" s="179">
        <f ca="1">IF(E4="","",IF(E6="","",IF($D$1-YEAR('2025'!$I$1)&gt;0,"",IF(AND($D$1-YEAR('2025'!$I$1)=0,E3-MONTH('2025'!$I$1)&gt;=1),"",D29))))</f>
        <v>595000</v>
      </c>
      <c r="F29" s="179">
        <f ca="1">IF(F4="","",IF(F$6="","",IF($D$1-YEAR('2025'!$I$1)&gt;0,"",IF(AND($D$1-YEAR('2025'!$I$1)=0,F3-MONTH('2025'!$I$1)&gt;=1),"",VLOOKUP(F$4,집계표!$AK$5:$HA$47,$N$1*3+$N$1-1+4)))))</f>
        <v>628010</v>
      </c>
      <c r="G29" s="179">
        <f ca="1">IF(G6="",0,IF($D$1-YEAR('2025'!$I$1)&gt;0,"",IF(AND($D$1-YEAR('2025'!$I$1)=0,G3-MONTH('2025'!$I$1)&gt;=1),"",F29)))</f>
        <v>628010</v>
      </c>
      <c r="H29" s="179">
        <f ca="1">IF(H6="",0,IF($D$1-YEAR('2025'!$I$1)&gt;0,"",IF(AND($D$1-YEAR('2025'!$I$1)=0,H3-MONTH('2025'!$I$1)&gt;=1),"",G29)))</f>
        <v>628010</v>
      </c>
      <c r="I29" s="179">
        <f ca="1">IF(I6="",0,IF($D$1-YEAR('2025'!$I$1)&gt;0,"",IF(AND($D$1-YEAR('2025'!$I$1)=0,I3-MONTH('2025'!$I$1)&gt;=1),"",H29)))</f>
        <v>628010</v>
      </c>
      <c r="J29" s="179">
        <f ca="1">IF(J6="",0,IF($D$1-YEAR('2025'!$I$1)&gt;0,"",IF(AND($D$1-YEAR('2025'!$I$1)=0,J3-MONTH('2025'!$I$1)&gt;=1),"",I29)))</f>
        <v>628010</v>
      </c>
      <c r="K29" s="179">
        <f ca="1">IF(K6="",0,IF($D$1-YEAR('2025'!$I$1)&gt;0,"",IF(AND($D$1-YEAR('2025'!$I$1)=0,K3-MONTH('2025'!$I$1)&gt;=1),"",J29)))</f>
        <v>628010</v>
      </c>
      <c r="L29" s="179">
        <f ca="1">IF(L6="",0,IF($D$1-YEAR('2025'!$I$1)&gt;0,"",IF(AND($D$1-YEAR('2025'!$I$1)=0,L3-MONTH('2025'!$I$1)&gt;=1),"",K29)))</f>
        <v>628010</v>
      </c>
      <c r="M29" s="179">
        <f ca="1">IF(M6="",0,IF($D$1-YEAR('2025'!$I$1)&gt;0,"",IF(AND($D$1-YEAR('2025'!$I$1)=0,M3-MONTH('2025'!$I$1)&gt;=1),"",L29)))</f>
        <v>628010</v>
      </c>
      <c r="N29" s="211">
        <f t="shared" ca="1" si="2"/>
        <v>7404080</v>
      </c>
    </row>
    <row r="30" spans="1:20" ht="9.75" customHeight="1">
      <c r="A30" s="182" t="s">
        <v>58</v>
      </c>
      <c r="B30" s="179">
        <f ca="1">IF(B6="","",'2035'!M30)</f>
        <v>256670</v>
      </c>
      <c r="C30" s="179">
        <f ca="1">IF(C6="","",B30)</f>
        <v>256670</v>
      </c>
      <c r="D30" s="179">
        <f ca="1">IF(D6="","",C30)</f>
        <v>256670</v>
      </c>
      <c r="E30" s="857">
        <f ca="1">IF(E6="","",VLOOKUP(E$4,집계표!$AK$5:$HA$47,$N$1*4))</f>
        <v>270910</v>
      </c>
      <c r="F30" s="179">
        <f ca="1">IF(F6="","",E30)</f>
        <v>270910</v>
      </c>
      <c r="G30" s="179">
        <f t="shared" ref="G30:M30" ca="1" si="20">IF(G6="","",F30)</f>
        <v>270910</v>
      </c>
      <c r="H30" s="179">
        <f t="shared" ca="1" si="20"/>
        <v>270910</v>
      </c>
      <c r="I30" s="179">
        <f t="shared" ca="1" si="20"/>
        <v>270910</v>
      </c>
      <c r="J30" s="179">
        <f t="shared" ca="1" si="20"/>
        <v>270910</v>
      </c>
      <c r="K30" s="179">
        <f t="shared" ca="1" si="20"/>
        <v>270910</v>
      </c>
      <c r="L30" s="179">
        <f t="shared" ca="1" si="20"/>
        <v>270910</v>
      </c>
      <c r="M30" s="179">
        <f t="shared" ca="1" si="20"/>
        <v>270910</v>
      </c>
      <c r="N30" s="211">
        <f t="shared" ca="1" si="2"/>
        <v>3208200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26310</v>
      </c>
      <c r="C31" s="179">
        <f t="shared" ca="1" si="21"/>
        <v>26310</v>
      </c>
      <c r="D31" s="179">
        <f t="shared" ca="1" si="21"/>
        <v>26310</v>
      </c>
      <c r="E31" s="179">
        <f t="shared" ca="1" si="21"/>
        <v>27770</v>
      </c>
      <c r="F31" s="179">
        <f t="shared" ca="1" si="21"/>
        <v>27770</v>
      </c>
      <c r="G31" s="179">
        <f t="shared" ca="1" si="21"/>
        <v>27770</v>
      </c>
      <c r="H31" s="179">
        <f t="shared" ca="1" si="21"/>
        <v>27770</v>
      </c>
      <c r="I31" s="179">
        <f t="shared" ca="1" si="21"/>
        <v>27770</v>
      </c>
      <c r="J31" s="179">
        <f ca="1">IF(J$6="","",ROUND(IF(J4="","",J30*10.25%),-1))</f>
        <v>27770</v>
      </c>
      <c r="K31" s="179">
        <f t="shared" ref="K31:M31" ca="1" si="22">IF(K$6="","",ROUND(IF(K4="","",K30*10.25%),-1))</f>
        <v>27770</v>
      </c>
      <c r="L31" s="179">
        <f t="shared" ca="1" si="22"/>
        <v>27770</v>
      </c>
      <c r="M31" s="179">
        <f t="shared" ca="1" si="22"/>
        <v>27770</v>
      </c>
      <c r="N31" s="211">
        <f t="shared" ca="1" si="2"/>
        <v>328860</v>
      </c>
    </row>
    <row r="32" spans="1:20" ht="9.75" customHeight="1">
      <c r="A32" s="597" t="str">
        <f>'2035'!A32</f>
        <v>교직원공제비</v>
      </c>
      <c r="B32" s="621">
        <f ca="1">IF(B$6="","",'2035'!B32)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'2035'!A33</f>
        <v>급식비</v>
      </c>
      <c r="B33" s="621">
        <f ca="1">IF(B$6="","",'2035'!B33)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IF(B$6="",0,'2035'!M34)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IF(B$6="",0,'2035'!M38)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IF(B$6="",0,'2035'!M39)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1900420</v>
      </c>
      <c r="C40" s="216">
        <f t="shared" ca="1" si="28"/>
        <v>1909530</v>
      </c>
      <c r="D40" s="216">
        <f t="shared" ca="1" si="28"/>
        <v>1918650</v>
      </c>
      <c r="E40" s="216">
        <f t="shared" ca="1" si="28"/>
        <v>2216890</v>
      </c>
      <c r="F40" s="216">
        <f t="shared" ca="1" si="28"/>
        <v>2259010</v>
      </c>
      <c r="G40" s="216">
        <f t="shared" ca="1" si="28"/>
        <v>2268130</v>
      </c>
      <c r="H40" s="216">
        <f t="shared" ca="1" si="28"/>
        <v>2277240</v>
      </c>
      <c r="I40" s="216">
        <f t="shared" ca="1" si="28"/>
        <v>2286360</v>
      </c>
      <c r="J40" s="216">
        <f ca="1">IF(J26="","",SUM(J27:J39))</f>
        <v>2295480</v>
      </c>
      <c r="K40" s="216">
        <f t="shared" ref="K40:M40" ca="1" si="29">IF(K26="","",SUM(K27:K39))</f>
        <v>2304580</v>
      </c>
      <c r="L40" s="216">
        <f t="shared" ca="1" si="29"/>
        <v>2313700</v>
      </c>
      <c r="M40" s="216">
        <f t="shared" ca="1" si="29"/>
        <v>2322810</v>
      </c>
      <c r="N40" s="216">
        <f ca="1">SUM(B40:M40)</f>
        <v>26272800</v>
      </c>
    </row>
    <row r="41" spans="1:14" ht="9.75" customHeight="1">
      <c r="A41" s="183" t="s">
        <v>79</v>
      </c>
      <c r="B41" s="184">
        <f ca="1">ROUND((B26-B40),-1)</f>
        <v>9225170</v>
      </c>
      <c r="C41" s="184">
        <f t="shared" ref="C41:M41" ca="1" si="30">ROUND((C26-C40),-1)</f>
        <v>3773370</v>
      </c>
      <c r="D41" s="184">
        <f t="shared" ca="1" si="30"/>
        <v>9684440</v>
      </c>
      <c r="E41" s="184">
        <f t="shared" ca="1" si="30"/>
        <v>3821700</v>
      </c>
      <c r="F41" s="184">
        <f t="shared" ca="1" si="30"/>
        <v>3779580</v>
      </c>
      <c r="G41" s="184">
        <f t="shared" ca="1" si="30"/>
        <v>3770460</v>
      </c>
      <c r="H41" s="184">
        <f t="shared" ca="1" si="30"/>
        <v>6319900</v>
      </c>
      <c r="I41" s="184">
        <f t="shared" ca="1" si="30"/>
        <v>3752230</v>
      </c>
      <c r="J41" s="184">
        <f t="shared" ca="1" si="30"/>
        <v>3687160</v>
      </c>
      <c r="K41" s="184">
        <f t="shared" ca="1" si="30"/>
        <v>6804270</v>
      </c>
      <c r="L41" s="184">
        <f t="shared" ca="1" si="30"/>
        <v>3724890</v>
      </c>
      <c r="M41" s="184">
        <f t="shared" ca="1" si="30"/>
        <v>3902270</v>
      </c>
      <c r="N41" s="184">
        <f ca="1">SUM(B41:M41)</f>
        <v>62245440</v>
      </c>
    </row>
    <row r="42" spans="1:14" ht="9.75" customHeight="1">
      <c r="A42" s="217" t="str">
        <f>'2035'!A42</f>
        <v>12)지출내용입력1</v>
      </c>
      <c r="B42" s="211">
        <f>'2035'!M42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'2035'!A43</f>
        <v>지출내용입력2</v>
      </c>
      <c r="B43" s="211">
        <f>'2035'!M43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'2035'!A44</f>
        <v>지출내용입력3</v>
      </c>
      <c r="B44" s="211">
        <f>'2035'!M44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'2035'!A45</f>
        <v>지출내용입력4</v>
      </c>
      <c r="B45" s="211">
        <f>'2035'!M45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'2035'!A46</f>
        <v>지출내용입력5</v>
      </c>
      <c r="B46" s="211">
        <f>'2035'!M46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'2035'!A47</f>
        <v>지출내용입력6</v>
      </c>
      <c r="B47" s="211">
        <f>'2035'!M47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'2035'!A48</f>
        <v>지출내용입력7</v>
      </c>
      <c r="B48" s="211">
        <f>'2035'!M48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'2035'!A49</f>
        <v>지출내용입력8</v>
      </c>
      <c r="B49" s="211">
        <f>'2035'!M49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'2035'!A50</f>
        <v>지출내용입력9</v>
      </c>
      <c r="B50" s="211">
        <f>'2035'!M50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'2035'!A51</f>
        <v>지출내용입력10</v>
      </c>
      <c r="B51" s="211">
        <f>'2035'!M51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9225070</v>
      </c>
      <c r="C53" s="188">
        <f t="shared" ca="1" si="33"/>
        <v>3773270</v>
      </c>
      <c r="D53" s="188">
        <f t="shared" ca="1" si="33"/>
        <v>9684340</v>
      </c>
      <c r="E53" s="188">
        <f t="shared" ca="1" si="33"/>
        <v>3821600</v>
      </c>
      <c r="F53" s="188">
        <f t="shared" ca="1" si="33"/>
        <v>3779480</v>
      </c>
      <c r="G53" s="188">
        <f t="shared" ca="1" si="33"/>
        <v>3770360</v>
      </c>
      <c r="H53" s="188">
        <f t="shared" ca="1" si="33"/>
        <v>6319800</v>
      </c>
      <c r="I53" s="188">
        <f t="shared" ca="1" si="33"/>
        <v>3752130</v>
      </c>
      <c r="J53" s="188">
        <f t="shared" ca="1" si="33"/>
        <v>3687060</v>
      </c>
      <c r="K53" s="188">
        <f t="shared" ca="1" si="33"/>
        <v>6804170</v>
      </c>
      <c r="L53" s="188">
        <f t="shared" ca="1" si="33"/>
        <v>3724790</v>
      </c>
      <c r="M53" s="188">
        <f t="shared" ca="1" si="33"/>
        <v>3902170</v>
      </c>
      <c r="N53" s="188">
        <f t="shared" ca="1" si="33"/>
        <v>62244240</v>
      </c>
    </row>
    <row r="55" spans="1:14" ht="18">
      <c r="A55" s="1232" t="str">
        <f ca="1">D1</f>
        <v>2036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469524.00000000006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577126</v>
      </c>
      <c r="F57" s="688">
        <f ca="1">IF(F6="",0,VLOOKUP(F26-F17-100000,'2015 근로소득 간이세액표'!$C$4:$N$845,1+$M$55)*1.1)</f>
        <v>577126</v>
      </c>
      <c r="G57" s="688">
        <f ca="1">IF(G6="",0,VLOOKUP(G26-G17-100000,'2015 근로소득 간이세액표'!$C$4:$N$845,1+$M$55)*1.1)</f>
        <v>577126</v>
      </c>
      <c r="H57" s="688">
        <f ca="1">IF(H6="",0,VLOOKUP(H26-H17-100000,'2015 근로소득 간이세액표'!$C$4:$N$845,1+$M$55)*1.1)</f>
        <v>1216556</v>
      </c>
      <c r="I57" s="688">
        <f ca="1">IF(I6="",0,VLOOKUP(I26-I17-100000,'2015 근로소득 간이세액표'!$C$4:$N$845,1+$M$55)*1.1)</f>
        <v>577126</v>
      </c>
      <c r="J57" s="688">
        <f ca="1">IF(J6="",0,VLOOKUP(J26-J17-100000,'2015 근로소득 간이세액표'!$C$4:$N$845,1+$M$55)*1.1)</f>
        <v>539836</v>
      </c>
      <c r="K57" s="688">
        <f ca="1">IF(K6="",0,VLOOKUP(K26-K17-100000,'2015 근로소득 간이세액표'!$C$4:$N$845,1+$M$55)*1.1)</f>
        <v>1350404</v>
      </c>
      <c r="L57" s="688">
        <f ca="1">IF(L6="",0,VLOOKUP(L26-L17-100000,'2015 근로소득 간이세액표'!$C$4:$N$845,1+$M$55)*1.1)</f>
        <v>577126</v>
      </c>
      <c r="M57" s="688">
        <f ca="1">IF(M6="",0,VLOOKUP(M26-M17-100000,'2015 근로소득 간이세액표'!$C$4:$N$845,1+$M$55)*1.1)</f>
        <v>627022</v>
      </c>
      <c r="N57" s="689">
        <f ca="1">SUM(B57:M57)</f>
        <v>10521940</v>
      </c>
    </row>
    <row r="58" spans="1:14" ht="10" customHeight="1">
      <c r="A58" s="687" t="s">
        <v>295</v>
      </c>
      <c r="B58" s="689">
        <f t="shared" ref="B58:M58" ca="1" si="34">IF(B6="",0,B27+B28)</f>
        <v>701800</v>
      </c>
      <c r="C58" s="689">
        <f t="shared" ca="1" si="34"/>
        <v>710910</v>
      </c>
      <c r="D58" s="689">
        <f t="shared" ca="1" si="34"/>
        <v>720030</v>
      </c>
      <c r="E58" s="689">
        <f t="shared" ca="1" si="34"/>
        <v>1002570</v>
      </c>
      <c r="F58" s="689">
        <f t="shared" ca="1" si="34"/>
        <v>1011680</v>
      </c>
      <c r="G58" s="689">
        <f t="shared" ca="1" si="34"/>
        <v>1020800</v>
      </c>
      <c r="H58" s="689">
        <f t="shared" ca="1" si="34"/>
        <v>1029910</v>
      </c>
      <c r="I58" s="689">
        <f t="shared" ca="1" si="34"/>
        <v>1039030</v>
      </c>
      <c r="J58" s="689">
        <f t="shared" ca="1" si="34"/>
        <v>1048150</v>
      </c>
      <c r="K58" s="689">
        <f t="shared" ca="1" si="34"/>
        <v>1057250</v>
      </c>
      <c r="L58" s="689">
        <f t="shared" ca="1" si="34"/>
        <v>1066370</v>
      </c>
      <c r="M58" s="689">
        <f t="shared" ca="1" si="34"/>
        <v>1075480</v>
      </c>
      <c r="N58" s="689">
        <f ca="1">SUM(B58:M58)</f>
        <v>11483980</v>
      </c>
    </row>
    <row r="59" spans="1:14" ht="10" customHeight="1">
      <c r="A59" s="680" t="s">
        <v>546</v>
      </c>
      <c r="B59" s="684">
        <f ca="1">B57-B58</f>
        <v>1014684.0000000002</v>
      </c>
      <c r="C59" s="684">
        <f t="shared" ref="C59:N59" ca="1" si="35">C57-C58</f>
        <v>-241385.99999999994</v>
      </c>
      <c r="D59" s="684">
        <f t="shared" ca="1" si="35"/>
        <v>996454.00000000023</v>
      </c>
      <c r="E59" s="684">
        <f t="shared" ca="1" si="35"/>
        <v>-425444</v>
      </c>
      <c r="F59" s="684">
        <f t="shared" ca="1" si="35"/>
        <v>-434554</v>
      </c>
      <c r="G59" s="684">
        <f t="shared" ca="1" si="35"/>
        <v>-443674</v>
      </c>
      <c r="H59" s="684">
        <f t="shared" ca="1" si="35"/>
        <v>186646</v>
      </c>
      <c r="I59" s="684">
        <f t="shared" ca="1" si="35"/>
        <v>-461904</v>
      </c>
      <c r="J59" s="684">
        <f t="shared" ca="1" si="35"/>
        <v>-508314</v>
      </c>
      <c r="K59" s="684">
        <f t="shared" ca="1" si="35"/>
        <v>293154</v>
      </c>
      <c r="L59" s="684">
        <f t="shared" ca="1" si="35"/>
        <v>-489244</v>
      </c>
      <c r="M59" s="684">
        <f t="shared" ca="1" si="35"/>
        <v>-448458</v>
      </c>
      <c r="N59" s="684">
        <f t="shared" ca="1" si="35"/>
        <v>-962040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-962040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WpTLtC1VZf9UWwx7ANn4yvPlmHzt3gT1SXpj4BxAZp5NJ7ixoi4OA2oQuIQq+VaMA6GhLjd9VTzkcAZs6/kJUQ==" saltValue="P6lqHlIE9PhauBjrKYMV9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02" priority="8">
      <formula>$E$2="y"</formula>
    </cfRule>
    <cfRule type="expression" dxfId="401" priority="9">
      <formula>$D$2="Y"</formula>
    </cfRule>
    <cfRule type="expression" dxfId="400" priority="10">
      <formula>$F$2="y"</formula>
    </cfRule>
  </conditionalFormatting>
  <conditionalFormatting sqref="B27:M27">
    <cfRule type="expression" dxfId="399" priority="1">
      <formula>$F$2="y"</formula>
    </cfRule>
  </conditionalFormatting>
  <conditionalFormatting sqref="D16">
    <cfRule type="expression" dxfId="398" priority="26">
      <formula>$E$2="y"</formula>
    </cfRule>
    <cfRule type="expression" dxfId="397" priority="27">
      <formula>$E$2="y"</formula>
    </cfRule>
    <cfRule type="expression" dxfId="396" priority="28">
      <formula>$F$2="y"</formula>
    </cfRule>
  </conditionalFormatting>
  <conditionalFormatting sqref="D18">
    <cfRule type="expression" dxfId="395" priority="23">
      <formula>$E$2="y"</formula>
    </cfRule>
    <cfRule type="expression" dxfId="394" priority="24">
      <formula>$E$2="y"</formula>
    </cfRule>
    <cfRule type="expression" dxfId="393" priority="25">
      <formula>$F$2="y"</formula>
    </cfRule>
  </conditionalFormatting>
  <conditionalFormatting sqref="J12:K12">
    <cfRule type="expression" dxfId="392" priority="5">
      <formula>$E$2="y"</formula>
    </cfRule>
    <cfRule type="expression" dxfId="391" priority="6">
      <formula>$D$2="Y"</formula>
    </cfRule>
    <cfRule type="expression" dxfId="390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9027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28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29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32" r:id="rId6" name="Drop Down 8">
              <controlPr defaultSize="0" autoLine="0" autoPict="0">
                <anchor moveWithCells="1">
                  <from>
                    <xdr:col>0</xdr:col>
                    <xdr:colOff>25400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B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2037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집계표!O119</f>
        <v>2</v>
      </c>
      <c r="M1" s="627">
        <f>집계표!O122</f>
        <v>1</v>
      </c>
      <c r="N1" s="618">
        <v>13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집계표!AX53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IF('2036'!M4&gt;=50,50,IF(AND('2036'!M4=50,M$3=$N$5),"",IF(B3=$N$5,'2036'!M4+1,'2036'!M4)))</f>
        <v>24</v>
      </c>
      <c r="C4" s="176">
        <f>IF(B4&gt;=50,50,IF(AND(B4=50,C$3=$N$5),50,IF(C$3=$N$5,B4+1,B4)))</f>
        <v>24</v>
      </c>
      <c r="D4" s="176">
        <f t="shared" ref="D4:M4" si="0">IF(C4&gt;=50,50,IF(AND(C4=50,D$3=$N$5),50,IF(D$3=$N$5,C4+1,C4)))</f>
        <v>25</v>
      </c>
      <c r="E4" s="176">
        <f t="shared" si="0"/>
        <v>25</v>
      </c>
      <c r="F4" s="176">
        <f t="shared" si="0"/>
        <v>25</v>
      </c>
      <c r="G4" s="176">
        <f t="shared" si="0"/>
        <v>25</v>
      </c>
      <c r="H4" s="176">
        <f t="shared" si="0"/>
        <v>25</v>
      </c>
      <c r="I4" s="176">
        <f t="shared" si="0"/>
        <v>25</v>
      </c>
      <c r="J4" s="176">
        <f t="shared" si="0"/>
        <v>25</v>
      </c>
      <c r="K4" s="176">
        <f t="shared" si="0"/>
        <v>25</v>
      </c>
      <c r="L4" s="176">
        <f t="shared" si="0"/>
        <v>25</v>
      </c>
      <c r="M4" s="176">
        <f t="shared" si="0"/>
        <v>25</v>
      </c>
      <c r="N4" s="202" t="s">
        <v>124</v>
      </c>
    </row>
    <row r="5" spans="1:14" ht="9.75" customHeight="1">
      <c r="A5" s="208" t="s">
        <v>134</v>
      </c>
      <c r="B5" s="356">
        <f>IF(B$3=$N$5,'2036'!M5+1,'2036'!M5)</f>
        <v>14</v>
      </c>
      <c r="C5" s="209">
        <f>IF(C$3=$N$5,B5+1,B5)</f>
        <v>14</v>
      </c>
      <c r="D5" s="209">
        <f t="shared" ref="D5:M5" si="1">IF(D$3=$N$5,C5+1,C5)</f>
        <v>15</v>
      </c>
      <c r="E5" s="209">
        <f t="shared" si="1"/>
        <v>15</v>
      </c>
      <c r="F5" s="209">
        <f t="shared" si="1"/>
        <v>15</v>
      </c>
      <c r="G5" s="209">
        <f t="shared" si="1"/>
        <v>15</v>
      </c>
      <c r="H5" s="209">
        <f t="shared" si="1"/>
        <v>15</v>
      </c>
      <c r="I5" s="209">
        <f t="shared" si="1"/>
        <v>15</v>
      </c>
      <c r="J5" s="209">
        <f t="shared" si="1"/>
        <v>15</v>
      </c>
      <c r="K5" s="209">
        <f t="shared" si="1"/>
        <v>15</v>
      </c>
      <c r="L5" s="209">
        <f t="shared" si="1"/>
        <v>15</v>
      </c>
      <c r="M5" s="209">
        <f t="shared" si="1"/>
        <v>15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5245000</v>
      </c>
      <c r="C6" s="211">
        <f ca="1">IF($D$1-YEAR($B$1)&gt;0,"",IF(AND($D$1-YEAR($B$1)=0,C3-MONTH($B$1)&gt;=1),"",VLOOKUP(C4,gibon40!$D$4:$AT$47,$N$1,1)))</f>
        <v>5245000</v>
      </c>
      <c r="D6" s="211">
        <f ca="1">IF($D$1-YEAR($B$1)&gt;0,"",IF(AND($D$1-YEAR($B$1)=0,D3-MONTH($B$1)&gt;=1),"",VLOOKUP(D4,gibon40!$D$4:$AT$47,$N$1,1)))</f>
        <v>5418200</v>
      </c>
      <c r="E6" s="211">
        <f ca="1">IF($D$1-YEAR($B$1)&gt;0,"",IF(AND($D$1-YEAR($B$1)=0,E3-MONTH($B$1)&gt;=1),"",VLOOKUP(E4,gibon40!$D$4:$AT$47,$N$1,1)))</f>
        <v>5418200</v>
      </c>
      <c r="F6" s="211">
        <f ca="1">IF($D$1-YEAR($B$1)&gt;0,"",IF(AND($D$1-YEAR($B$1)=0,F3-MONTH($B$1)&gt;=1),"",VLOOKUP(F4,gibon40!$D$4:$AT$47,$N$1,1)))</f>
        <v>5418200</v>
      </c>
      <c r="G6" s="211">
        <f ca="1">IF($D$1-YEAR($B$1)&gt;0,"",IF(AND($D$1-YEAR($B$1)=0,G3-MONTH($B$1)&gt;=1),"",VLOOKUP(G4,gibon40!$D$4:$AT$47,$N$1,1)))</f>
        <v>5418200</v>
      </c>
      <c r="H6" s="211">
        <f ca="1">IF($D$1-YEAR($B$1)&gt;0,"",IF(AND($D$1-YEAR($B$1)=0,H3-MONTH($B$1)&gt;=1),"",VLOOKUP(H4,gibon40!$D$4:$AT$47,$N$1,1)))</f>
        <v>5418200</v>
      </c>
      <c r="I6" s="211">
        <f ca="1">IF($D$1-YEAR($B$1)&gt;0,"",IF(AND($D$1-YEAR($B$1)=0,I3-MONTH($B$1)&gt;=1),"",VLOOKUP(I4,gibon40!$D$4:$AT$47,$N$1,1)))</f>
        <v>5418200</v>
      </c>
      <c r="J6" s="211">
        <f ca="1">IF($D$1-YEAR($B$1)&gt;0,"",IF(AND($D$1-YEAR($B$1)=0,J3-MONTH($B$1)&gt;=1),"",VLOOKUP(J4,gibon40!$D$4:$AT$47,$N$1,1)))</f>
        <v>5418200</v>
      </c>
      <c r="K6" s="211">
        <f ca="1">IF($D$1-YEAR($B$1)&gt;0,"",IF(AND($D$1-YEAR($B$1)=0,K3-MONTH($B$1)&gt;=1),"",VLOOKUP(K4,gibon40!$D$4:$AT$47,$N$1,1)))</f>
        <v>5418200</v>
      </c>
      <c r="L6" s="211">
        <f ca="1">IF($D$1-YEAR($B$1)&gt;0,"",IF(AND($D$1-YEAR($B$1)=0,L3-MONTH($B$1)&gt;=1),"",VLOOKUP(L4,gibon40!$D$4:$AT$47,$N$1,1)))</f>
        <v>5418200</v>
      </c>
      <c r="M6" s="211">
        <f ca="1">IF($D$1-YEAR($B$1)&gt;0,"",IF(AND($D$1-YEAR($B$1)=0,M3-MONTH($B$1)&gt;=1),"",VLOOKUP(M4,gibon40!$D$4:$AT$47,$N$1,1)))</f>
        <v>5418200</v>
      </c>
      <c r="N6" s="211">
        <f t="shared" ref="N6:N52" ca="1" si="2">SUM(B6:M6)</f>
        <v>64672000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2622500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2709100</v>
      </c>
      <c r="I7" s="180"/>
      <c r="J7" s="180"/>
      <c r="K7" s="180"/>
      <c r="L7" s="180"/>
      <c r="M7" s="180"/>
      <c r="N7" s="211">
        <f t="shared" ca="1" si="2"/>
        <v>5331600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60000</v>
      </c>
      <c r="C8" s="179">
        <f t="shared" ref="C8:M8" ca="1" si="3">IF(C4="","",IF(C6="","",IF(C5&gt;=20,100000,IF(C5&gt;=15,80000,IF(C5&gt;=10,60000,IF(C5&gt;=5,50000,30000))))))</f>
        <v>60000</v>
      </c>
      <c r="D8" s="179">
        <f t="shared" ca="1" si="3"/>
        <v>80000</v>
      </c>
      <c r="E8" s="179">
        <f t="shared" ca="1" si="3"/>
        <v>80000</v>
      </c>
      <c r="F8" s="179">
        <f t="shared" ca="1" si="3"/>
        <v>80000</v>
      </c>
      <c r="G8" s="179">
        <f t="shared" ca="1" si="3"/>
        <v>80000</v>
      </c>
      <c r="H8" s="179">
        <f t="shared" ca="1" si="3"/>
        <v>80000</v>
      </c>
      <c r="I8" s="179">
        <f t="shared" ca="1" si="3"/>
        <v>80000</v>
      </c>
      <c r="J8" s="179">
        <f t="shared" ca="1" si="3"/>
        <v>80000</v>
      </c>
      <c r="K8" s="179">
        <f t="shared" ca="1" si="3"/>
        <v>80000</v>
      </c>
      <c r="L8" s="179">
        <f t="shared" ca="1" si="3"/>
        <v>80000</v>
      </c>
      <c r="M8" s="179">
        <f t="shared" ca="1" si="3"/>
        <v>80000</v>
      </c>
      <c r="N8" s="211">
        <f t="shared" ca="1" si="2"/>
        <v>920000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5831100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5831100</v>
      </c>
    </row>
    <row r="11" spans="1:14" ht="9.75" customHeight="1">
      <c r="A11" s="178" t="s">
        <v>63</v>
      </c>
      <c r="B11" s="179">
        <f ca="1">IF(B$6="",0,'2036'!M11)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3147000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3250920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6397920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IF(B$6="",0,'2036'!M15)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IF(B$6="",0,'2036'!M16)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IF(B$6="",0,'2036'!M18)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IF(B$6="",0,'2036'!M19)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63720</v>
      </c>
      <c r="E21" s="179">
        <f ca="1">IF(D4="","",IF(E$6="","",ROUND(VLOOKUP(E4,gibon40!$D$51:$AV$100,$N$1+1)*10*15/15,-1)))</f>
        <v>191150</v>
      </c>
      <c r="F21" s="179">
        <f ca="1">IF(E4="","",IF(F$6="","",ROUND(VLOOKUP(F4,gibon40!$D$51:$AV$100,$N$1+1)*10*15/15,-1)))</f>
        <v>191150</v>
      </c>
      <c r="G21" s="179">
        <f ca="1">IF(F4="","",IF(G$6="","",ROUND(VLOOKUP(G4,gibon40!$D$51:$AV$100,$N$1+1)*10*15/15,-1)))</f>
        <v>191150</v>
      </c>
      <c r="H21" s="179">
        <f ca="1">IF(G4="","",IF(H$6="","",ROUND(VLOOKUP(H4,gibon40!$D$51:$AV$100,$N$1+1)*10*15/15,-1)))</f>
        <v>191150</v>
      </c>
      <c r="I21" s="179">
        <f ca="1">IF(H4="","",IF(I$6="","",ROUND(VLOOKUP(I4,gibon40!$D$51:$AV$100,$N$1+1)*10*15/15,-1)))</f>
        <v>191150</v>
      </c>
      <c r="J21" s="179">
        <f ca="1">IF(I4="","",IF(J$6="","",ROUND(VLOOKUP(J4,gibon40!$D$51:$AV$100,$N$1+1)*7*15/15,-1)))</f>
        <v>133810</v>
      </c>
      <c r="K21" s="179">
        <f ca="1">IF(J4="","",IF(K$6="","",ROUND(VLOOKUP(K4,gibon40!$D$51:$AV$100,$N$1+1)*10*15/15,-1)))</f>
        <v>191150</v>
      </c>
      <c r="L21" s="179">
        <f ca="1">IF(K4="","",IF(L$6="","",ROUND(VLOOKUP(L4,gibon40!$D$51:$AV$100,$N$1+1)*10*15/15,-1)))</f>
        <v>191150</v>
      </c>
      <c r="M21" s="179">
        <f ca="1">IF(L4="","",IF(M$6="","",ROUND(VLOOKUP(M4,gibon40!$D$51:$AV$100,$N$1+1)*10*15/15*2,-1)))</f>
        <v>382300</v>
      </c>
      <c r="N21" s="211">
        <f t="shared" ca="1" si="2"/>
        <v>1917880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IF(B$6="",0,'2036'!M23)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IF(B$6="",0,'2036'!M24)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'2035'!A25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8602500</v>
      </c>
      <c r="C26" s="213">
        <f t="shared" ref="C26:M26" ca="1" si="16">ROUNDDOWN(SUM(C6:C25),-1)</f>
        <v>9127000</v>
      </c>
      <c r="D26" s="213">
        <f t="shared" ca="1" si="16"/>
        <v>12068020</v>
      </c>
      <c r="E26" s="213">
        <f t="shared" ca="1" si="16"/>
        <v>6364350</v>
      </c>
      <c r="F26" s="213">
        <f t="shared" ca="1" si="16"/>
        <v>6364350</v>
      </c>
      <c r="G26" s="213">
        <f t="shared" ca="1" si="16"/>
        <v>6364350</v>
      </c>
      <c r="H26" s="213">
        <f t="shared" ca="1" si="16"/>
        <v>9073450</v>
      </c>
      <c r="I26" s="213">
        <f t="shared" ca="1" si="16"/>
        <v>6364350</v>
      </c>
      <c r="J26" s="213">
        <f t="shared" ca="1" si="16"/>
        <v>9557930</v>
      </c>
      <c r="K26" s="213">
        <f t="shared" ca="1" si="16"/>
        <v>6364350</v>
      </c>
      <c r="L26" s="213">
        <f t="shared" ca="1" si="16"/>
        <v>6364350</v>
      </c>
      <c r="M26" s="213">
        <f t="shared" ca="1" si="16"/>
        <v>6555500</v>
      </c>
      <c r="N26" s="214">
        <f ca="1">SUM(B26:M26)</f>
        <v>93170500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704370</v>
      </c>
      <c r="C27" s="179">
        <f ca="1">IF(C6="",0,ROUND(VLOOKUP(($N$26-1200000-$N$17-$N$16)/12,'2015근로소득간이세액표'!$C$4:$Z$700,$A$27+1)*0.78*O27,-1))</f>
        <v>713510</v>
      </c>
      <c r="D27" s="179">
        <f ca="1">IF(D6="",0,ROUND(VLOOKUP(($N$26-1200000-$N$17-$N$16)/12,'2015근로소득간이세액표'!$C$4:$Z$700,$A$27+1)*0.79*O27,-1))</f>
        <v>722660</v>
      </c>
      <c r="E27" s="179">
        <f ca="1">IF(E6="",0,ROUND(VLOOKUP(($N$26-1200000-$N$17-$N$16)/12,'2015근로소득간이세액표'!$C$4:$Z$700,$A$27+1)*1.1*O27,-1))</f>
        <v>1006240</v>
      </c>
      <c r="F27" s="179">
        <f ca="1">IF(F6="",0,ROUND(VLOOKUP(($N$26-1200000-$N$17-$N$16)/12,'2015근로소득간이세액표'!$C$4:$Z$700,$A$27+1)*1.11*O27,-1))</f>
        <v>1015380</v>
      </c>
      <c r="G27" s="179">
        <f ca="1">IF(G6="",0,ROUND(VLOOKUP(($N$26-1200000-$N$17-$N$16)/12,'2015근로소득간이세액표'!$C$4:$Z$700,$A$27+1)*1.12*O27,-1))</f>
        <v>1024530</v>
      </c>
      <c r="H27" s="179">
        <f ca="1">IF(H6="",0,ROUND(VLOOKUP(($N$26-1200000-$N$17-$N$16)/12,'2015근로소득간이세액표'!$C$4:$Z$700,$A$27+1)*1.13*O27,-1))</f>
        <v>1033680</v>
      </c>
      <c r="I27" s="179">
        <f ca="1">IF(I6="",0,ROUND(VLOOKUP(($N$26-1200000-$N$17-$N$16)/12,'2015근로소득간이세액표'!$C$4:$Z$700,$A$27+1)*1.14*O27,-1))</f>
        <v>1042830</v>
      </c>
      <c r="J27" s="179">
        <f ca="1">IF(J6="",0,ROUND(VLOOKUP(($N$26-1200000-$N$17-$N$16)/12,'2015근로소득간이세액표'!$C$4:$Z$700,$A$27+1)*1.15*O27,-1))</f>
        <v>1051970</v>
      </c>
      <c r="K27" s="179">
        <f ca="1">IF(K6="",0,ROUND(VLOOKUP(($N$26-1200000-$N$17-$N$16)/12,'2015근로소득간이세액표'!$C$4:$Z$700,$A$27+1)*1.16*O27,-1))</f>
        <v>1061120</v>
      </c>
      <c r="L27" s="179">
        <f ca="1">IF(L6="",0,ROUND(VLOOKUP(($N$26-1200000-$N$17-$N$16)/12,'2015근로소득간이세액표'!$C$4:$Z$700,$A$27+1)*1.17*O27,-1))</f>
        <v>1070270</v>
      </c>
      <c r="M27" s="179">
        <f ca="1">IF(M6="",0,ROUND(VLOOKUP(($N$26-1200000-$N$17-$N$16)/12,'2015근로소득간이세액표'!$C$4:$Z$700,$A$27+1)*1.18*O27,-1))</f>
        <v>1079420</v>
      </c>
      <c r="N27" s="179">
        <f t="shared" ref="N27:N28" ca="1" si="17">SUM(B27:M27)</f>
        <v>11525980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70440</v>
      </c>
      <c r="C28" s="179">
        <f t="shared" ca="1" si="18"/>
        <v>71350</v>
      </c>
      <c r="D28" s="179">
        <f t="shared" ca="1" si="18"/>
        <v>72270</v>
      </c>
      <c r="E28" s="179">
        <f t="shared" ca="1" si="18"/>
        <v>100620</v>
      </c>
      <c r="F28" s="179">
        <f t="shared" ca="1" si="18"/>
        <v>101540</v>
      </c>
      <c r="G28" s="179">
        <f t="shared" ca="1" si="18"/>
        <v>102450</v>
      </c>
      <c r="H28" s="179">
        <f t="shared" ca="1" si="18"/>
        <v>103370</v>
      </c>
      <c r="I28" s="179">
        <f t="shared" ca="1" si="18"/>
        <v>104280</v>
      </c>
      <c r="J28" s="179">
        <f ca="1">IF(J$6="","",ROUND(J27*0.1,-1))</f>
        <v>105200</v>
      </c>
      <c r="K28" s="179">
        <f t="shared" ref="K28:M28" ca="1" si="19">IF(K$6="","",ROUND(K27*0.1,-1))</f>
        <v>106110</v>
      </c>
      <c r="L28" s="179">
        <f t="shared" ca="1" si="19"/>
        <v>107030</v>
      </c>
      <c r="M28" s="179">
        <f t="shared" ca="1" si="19"/>
        <v>107940</v>
      </c>
      <c r="N28" s="179">
        <f t="shared" ca="1" si="17"/>
        <v>1152600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IF(B4="","",IF(B6="","",IF($D$1-YEAR('2025'!$I$1)&gt;0,"",IF(AND($D$1-YEAR('2025'!$I$1)=0,B3-MONTH('2025'!$I$1)&gt;=1),"",'2036'!M29))))</f>
        <v>628010</v>
      </c>
      <c r="C29" s="179">
        <f ca="1">IF(C4="","",IF(C6="","",IF($D$1-YEAR('2025'!$I$1)&gt;0,"",IF(AND($D$1-YEAR('2025'!$I$1)=0,C3-MONTH('2025'!$I$1)&gt;=1),"",B29))))</f>
        <v>628010</v>
      </c>
      <c r="D29" s="179">
        <f ca="1">IF(D4="","",IF(D6="","",IF($D$1-YEAR('2025'!$I$1)&gt;0,"",IF(AND($D$1-YEAR('2025'!$I$1)=0,D3-MONTH('2025'!$I$1)&gt;=1),"",C29))))</f>
        <v>628010</v>
      </c>
      <c r="E29" s="179">
        <f ca="1">IF(E4="","",IF(E6="","",IF($D$1-YEAR('2025'!$I$1)&gt;0,"",IF(AND($D$1-YEAR('2025'!$I$1)=0,E3-MONTH('2025'!$I$1)&gt;=1),"",D29))))</f>
        <v>628010</v>
      </c>
      <c r="F29" s="179">
        <f ca="1">IF(F4="","",IF(F$6="","",IF($D$1-YEAR('2025'!$I$1)&gt;0,"",IF(AND($D$1-YEAR('2025'!$I$1)=0,F3-MONTH('2025'!$I$1)&gt;=1),"",VLOOKUP(F$4,집계표!$AK$5:$HA$47,$N$1*3+$N$1-1+4)))))</f>
        <v>664400</v>
      </c>
      <c r="G29" s="179">
        <f ca="1">IF(G6="",0,IF($D$1-YEAR('2025'!$I$1)&gt;0,"",IF(AND($D$1-YEAR('2025'!$I$1)=0,G3-MONTH('2025'!$I$1)&gt;=1),"",F29)))</f>
        <v>664400</v>
      </c>
      <c r="H29" s="179">
        <f ca="1">IF(H6="",0,IF($D$1-YEAR('2025'!$I$1)&gt;0,"",IF(AND($D$1-YEAR('2025'!$I$1)=0,H3-MONTH('2025'!$I$1)&gt;=1),"",G29)))</f>
        <v>664400</v>
      </c>
      <c r="I29" s="179">
        <f ca="1">IF(I6="",0,IF($D$1-YEAR('2025'!$I$1)&gt;0,"",IF(AND($D$1-YEAR('2025'!$I$1)=0,I3-MONTH('2025'!$I$1)&gt;=1),"",H29)))</f>
        <v>664400</v>
      </c>
      <c r="J29" s="179">
        <f ca="1">IF(J6="",0,IF($D$1-YEAR('2025'!$I$1)&gt;0,"",IF(AND($D$1-YEAR('2025'!$I$1)=0,J3-MONTH('2025'!$I$1)&gt;=1),"",I29)))</f>
        <v>664400</v>
      </c>
      <c r="K29" s="179">
        <f ca="1">IF(K6="",0,IF($D$1-YEAR('2025'!$I$1)&gt;0,"",IF(AND($D$1-YEAR('2025'!$I$1)=0,K3-MONTH('2025'!$I$1)&gt;=1),"",J29)))</f>
        <v>664400</v>
      </c>
      <c r="L29" s="179">
        <f ca="1">IF(L6="",0,IF($D$1-YEAR('2025'!$I$1)&gt;0,"",IF(AND($D$1-YEAR('2025'!$I$1)=0,L3-MONTH('2025'!$I$1)&gt;=1),"",K29)))</f>
        <v>664400</v>
      </c>
      <c r="M29" s="179">
        <f ca="1">IF(M6="",0,IF($D$1-YEAR('2025'!$I$1)&gt;0,"",IF(AND($D$1-YEAR('2025'!$I$1)=0,M3-MONTH('2025'!$I$1)&gt;=1),"",L29)))</f>
        <v>664400</v>
      </c>
      <c r="N29" s="211">
        <f t="shared" ca="1" si="2"/>
        <v>7827240</v>
      </c>
    </row>
    <row r="30" spans="1:20" ht="9.75" customHeight="1">
      <c r="A30" s="182" t="s">
        <v>58</v>
      </c>
      <c r="B30" s="179">
        <f ca="1">IF(B6="","",'2036'!M30)</f>
        <v>270910</v>
      </c>
      <c r="C30" s="179">
        <f ca="1">IF(C6="","",B30)</f>
        <v>270910</v>
      </c>
      <c r="D30" s="179">
        <f ca="1">IF(D6="","",C30)</f>
        <v>270910</v>
      </c>
      <c r="E30" s="857">
        <f ca="1">IF(E6="","",VLOOKUP(E$4,집계표!$AK$5:$HA$47,$N$1*4))</f>
        <v>286610</v>
      </c>
      <c r="F30" s="179">
        <f ca="1">IF(F6="","",E30)</f>
        <v>286610</v>
      </c>
      <c r="G30" s="179">
        <f t="shared" ref="G30:M30" ca="1" si="20">IF(G6="","",F30)</f>
        <v>286610</v>
      </c>
      <c r="H30" s="179">
        <f t="shared" ca="1" si="20"/>
        <v>286610</v>
      </c>
      <c r="I30" s="179">
        <f t="shared" ca="1" si="20"/>
        <v>286610</v>
      </c>
      <c r="J30" s="179">
        <f t="shared" ca="1" si="20"/>
        <v>286610</v>
      </c>
      <c r="K30" s="179">
        <f t="shared" ca="1" si="20"/>
        <v>286610</v>
      </c>
      <c r="L30" s="179">
        <f t="shared" ca="1" si="20"/>
        <v>286610</v>
      </c>
      <c r="M30" s="179">
        <f t="shared" ca="1" si="20"/>
        <v>286610</v>
      </c>
      <c r="N30" s="211">
        <f t="shared" ca="1" si="2"/>
        <v>3392220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27770</v>
      </c>
      <c r="C31" s="179">
        <f t="shared" ca="1" si="21"/>
        <v>27770</v>
      </c>
      <c r="D31" s="179">
        <f t="shared" ca="1" si="21"/>
        <v>27770</v>
      </c>
      <c r="E31" s="179">
        <f t="shared" ca="1" si="21"/>
        <v>29380</v>
      </c>
      <c r="F31" s="179">
        <f t="shared" ca="1" si="21"/>
        <v>29380</v>
      </c>
      <c r="G31" s="179">
        <f t="shared" ca="1" si="21"/>
        <v>29380</v>
      </c>
      <c r="H31" s="179">
        <f t="shared" ca="1" si="21"/>
        <v>29380</v>
      </c>
      <c r="I31" s="179">
        <f t="shared" ca="1" si="21"/>
        <v>29380</v>
      </c>
      <c r="J31" s="179">
        <f ca="1">IF(J$6="","",ROUND(IF(J4="","",J30*10.25%),-1))</f>
        <v>29380</v>
      </c>
      <c r="K31" s="179">
        <f t="shared" ref="K31:M31" ca="1" si="22">IF(K$6="","",ROUND(IF(K4="","",K30*10.25%),-1))</f>
        <v>29380</v>
      </c>
      <c r="L31" s="179">
        <f t="shared" ca="1" si="22"/>
        <v>29380</v>
      </c>
      <c r="M31" s="179">
        <f t="shared" ca="1" si="22"/>
        <v>29380</v>
      </c>
      <c r="N31" s="211">
        <f t="shared" ca="1" si="2"/>
        <v>347730</v>
      </c>
    </row>
    <row r="32" spans="1:20" ht="9.75" customHeight="1">
      <c r="A32" s="597" t="str">
        <f>'2036'!A32</f>
        <v>교직원공제비</v>
      </c>
      <c r="B32" s="621">
        <f ca="1">IF(B$6="","",'2036'!B32)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'2036'!A33</f>
        <v>급식비</v>
      </c>
      <c r="B33" s="621">
        <f ca="1">IF(B$6="","",'2036'!B33)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IF(B$6="",0,'2036'!M34)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IF(B$6="",0,'2036'!M38)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IF(B$6="",0,'2036'!M39)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2022140</v>
      </c>
      <c r="C40" s="216">
        <f t="shared" ca="1" si="28"/>
        <v>2032190</v>
      </c>
      <c r="D40" s="216">
        <f t="shared" ca="1" si="28"/>
        <v>2042260</v>
      </c>
      <c r="E40" s="216">
        <f t="shared" ca="1" si="28"/>
        <v>2371500</v>
      </c>
      <c r="F40" s="216">
        <f t="shared" ca="1" si="28"/>
        <v>2417950</v>
      </c>
      <c r="G40" s="216">
        <f t="shared" ca="1" si="28"/>
        <v>2428010</v>
      </c>
      <c r="H40" s="216">
        <f t="shared" ca="1" si="28"/>
        <v>2438080</v>
      </c>
      <c r="I40" s="216">
        <f t="shared" ca="1" si="28"/>
        <v>2448140</v>
      </c>
      <c r="J40" s="216">
        <f ca="1">IF(J26="","",SUM(J27:J39))</f>
        <v>2458200</v>
      </c>
      <c r="K40" s="216">
        <f t="shared" ref="K40:M40" ca="1" si="29">IF(K26="","",SUM(K27:K39))</f>
        <v>2468260</v>
      </c>
      <c r="L40" s="216">
        <f t="shared" ca="1" si="29"/>
        <v>2478330</v>
      </c>
      <c r="M40" s="216">
        <f t="shared" ca="1" si="29"/>
        <v>2488390</v>
      </c>
      <c r="N40" s="216">
        <f ca="1">SUM(B40:M40)</f>
        <v>28093450</v>
      </c>
    </row>
    <row r="41" spans="1:14" ht="9.75" customHeight="1">
      <c r="A41" s="183" t="s">
        <v>79</v>
      </c>
      <c r="B41" s="184">
        <f ca="1">ROUND((B26-B40),-1)</f>
        <v>6580360</v>
      </c>
      <c r="C41" s="184">
        <f t="shared" ref="C41:M41" ca="1" si="30">ROUND((C26-C40),-1)</f>
        <v>7094810</v>
      </c>
      <c r="D41" s="184">
        <f t="shared" ca="1" si="30"/>
        <v>10025760</v>
      </c>
      <c r="E41" s="184">
        <f t="shared" ca="1" si="30"/>
        <v>3992850</v>
      </c>
      <c r="F41" s="184">
        <f t="shared" ca="1" si="30"/>
        <v>3946400</v>
      </c>
      <c r="G41" s="184">
        <f t="shared" ca="1" si="30"/>
        <v>3936340</v>
      </c>
      <c r="H41" s="184">
        <f t="shared" ca="1" si="30"/>
        <v>6635370</v>
      </c>
      <c r="I41" s="184">
        <f t="shared" ca="1" si="30"/>
        <v>3916210</v>
      </c>
      <c r="J41" s="184">
        <f t="shared" ca="1" si="30"/>
        <v>7099730</v>
      </c>
      <c r="K41" s="184">
        <f t="shared" ca="1" si="30"/>
        <v>3896090</v>
      </c>
      <c r="L41" s="184">
        <f t="shared" ca="1" si="30"/>
        <v>3886020</v>
      </c>
      <c r="M41" s="184">
        <f t="shared" ca="1" si="30"/>
        <v>4067110</v>
      </c>
      <c r="N41" s="184">
        <f ca="1">SUM(B41:M41)</f>
        <v>65077050</v>
      </c>
    </row>
    <row r="42" spans="1:14" ht="9.75" customHeight="1">
      <c r="A42" s="217" t="str">
        <f>'2036'!A42</f>
        <v>12)지출내용입력1</v>
      </c>
      <c r="B42" s="211">
        <f>'2036'!M42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'2036'!A43</f>
        <v>지출내용입력2</v>
      </c>
      <c r="B43" s="211">
        <f>'2036'!M43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'2036'!A44</f>
        <v>지출내용입력3</v>
      </c>
      <c r="B44" s="211">
        <f>'2036'!M44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'2036'!A45</f>
        <v>지출내용입력4</v>
      </c>
      <c r="B45" s="211">
        <f>'2036'!M45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'2036'!A46</f>
        <v>지출내용입력5</v>
      </c>
      <c r="B46" s="211">
        <f>'2036'!M46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'2036'!A47</f>
        <v>지출내용입력6</v>
      </c>
      <c r="B47" s="211">
        <f>'2036'!M47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'2036'!A48</f>
        <v>지출내용입력7</v>
      </c>
      <c r="B48" s="211">
        <f>'2036'!M48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'2036'!A49</f>
        <v>지출내용입력8</v>
      </c>
      <c r="B49" s="211">
        <f>'2036'!M49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'2036'!A50</f>
        <v>지출내용입력9</v>
      </c>
      <c r="B50" s="211">
        <f>'2036'!M50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'2036'!A51</f>
        <v>지출내용입력10</v>
      </c>
      <c r="B51" s="211">
        <f>'2036'!M51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6580260</v>
      </c>
      <c r="C53" s="188">
        <f t="shared" ca="1" si="33"/>
        <v>7094710</v>
      </c>
      <c r="D53" s="188">
        <f t="shared" ca="1" si="33"/>
        <v>10025660</v>
      </c>
      <c r="E53" s="188">
        <f t="shared" ca="1" si="33"/>
        <v>3992750</v>
      </c>
      <c r="F53" s="188">
        <f t="shared" ca="1" si="33"/>
        <v>3946300</v>
      </c>
      <c r="G53" s="188">
        <f t="shared" ca="1" si="33"/>
        <v>3936240</v>
      </c>
      <c r="H53" s="188">
        <f t="shared" ca="1" si="33"/>
        <v>6635270</v>
      </c>
      <c r="I53" s="188">
        <f t="shared" ca="1" si="33"/>
        <v>3916110</v>
      </c>
      <c r="J53" s="188">
        <f t="shared" ca="1" si="33"/>
        <v>7099630</v>
      </c>
      <c r="K53" s="188">
        <f t="shared" ca="1" si="33"/>
        <v>3895990</v>
      </c>
      <c r="L53" s="188">
        <f t="shared" ca="1" si="33"/>
        <v>3885920</v>
      </c>
      <c r="M53" s="188">
        <f t="shared" ca="1" si="33"/>
        <v>4067010</v>
      </c>
      <c r="N53" s="188">
        <f t="shared" ca="1" si="33"/>
        <v>65075850</v>
      </c>
    </row>
    <row r="55" spans="1:14" ht="18">
      <c r="A55" s="1232" t="str">
        <f ca="1">D1</f>
        <v>2037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1221704</v>
      </c>
      <c r="C57" s="688">
        <f ca="1">IF(C6="",0,VLOOKUP(C26-C17-100000,'2015 근로소득 간이세액표'!$C$4:$N$845,1+$M$55)*1.1)</f>
        <v>1355552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661947</v>
      </c>
      <c r="F57" s="688">
        <f ca="1">IF(F6="",0,VLOOKUP(F26-F17-100000,'2015 근로소득 간이세액표'!$C$4:$N$845,1+$M$55)*1.1)</f>
        <v>661947</v>
      </c>
      <c r="G57" s="688">
        <f ca="1">IF(G6="",0,VLOOKUP(G26-G17-100000,'2015 근로소득 간이세액표'!$C$4:$N$845,1+$M$55)*1.1)</f>
        <v>661947</v>
      </c>
      <c r="H57" s="688">
        <f ca="1">IF(H6="",0,VLOOKUP(H26-H17-100000,'2015 근로소득 간이세액표'!$C$4:$N$845,1+$M$55)*1.1)</f>
        <v>1340108</v>
      </c>
      <c r="I57" s="688">
        <f ca="1">IF(I6="",0,VLOOKUP(I26-I17-100000,'2015 근로소득 간이세액표'!$C$4:$N$845,1+$M$55)*1.1)</f>
        <v>661947</v>
      </c>
      <c r="J57" s="688">
        <f ca="1">IF(J6="",0,VLOOKUP(J26-J17-100000,'2015 근로소득 간이세액표'!$C$4:$N$845,1+$M$55)*1.1)</f>
        <v>1487497.0000000002</v>
      </c>
      <c r="K57" s="688">
        <f ca="1">IF(K6="",0,VLOOKUP(K26-K17-100000,'2015 근로소득 간이세액표'!$C$4:$N$845,1+$M$55)*1.1)</f>
        <v>661947</v>
      </c>
      <c r="L57" s="688">
        <f ca="1">IF(L6="",0,VLOOKUP(L26-L17-100000,'2015 근로소득 간이세액표'!$C$4:$N$845,1+$M$55)*1.1)</f>
        <v>661947</v>
      </c>
      <c r="M57" s="688">
        <f ca="1">IF(M6="",0,VLOOKUP(M26-M17-100000,'2015 근로소득 간이세액표'!$C$4:$N$845,1+$M$55)*1.1)</f>
        <v>706860</v>
      </c>
      <c r="N57" s="689">
        <f ca="1">SUM(B57:M57)</f>
        <v>11799887</v>
      </c>
    </row>
    <row r="58" spans="1:14" ht="10" customHeight="1">
      <c r="A58" s="687" t="s">
        <v>295</v>
      </c>
      <c r="B58" s="689">
        <f t="shared" ref="B58:M58" ca="1" si="34">IF(B6="",0,B27+B28)</f>
        <v>774810</v>
      </c>
      <c r="C58" s="689">
        <f t="shared" ca="1" si="34"/>
        <v>784860</v>
      </c>
      <c r="D58" s="689">
        <f t="shared" ca="1" si="34"/>
        <v>794930</v>
      </c>
      <c r="E58" s="689">
        <f t="shared" ca="1" si="34"/>
        <v>1106860</v>
      </c>
      <c r="F58" s="689">
        <f t="shared" ca="1" si="34"/>
        <v>1116920</v>
      </c>
      <c r="G58" s="689">
        <f t="shared" ca="1" si="34"/>
        <v>1126980</v>
      </c>
      <c r="H58" s="689">
        <f t="shared" ca="1" si="34"/>
        <v>1137050</v>
      </c>
      <c r="I58" s="689">
        <f t="shared" ca="1" si="34"/>
        <v>1147110</v>
      </c>
      <c r="J58" s="689">
        <f t="shared" ca="1" si="34"/>
        <v>1157170</v>
      </c>
      <c r="K58" s="689">
        <f t="shared" ca="1" si="34"/>
        <v>1167230</v>
      </c>
      <c r="L58" s="689">
        <f t="shared" ca="1" si="34"/>
        <v>1177300</v>
      </c>
      <c r="M58" s="689">
        <f t="shared" ca="1" si="34"/>
        <v>1187360</v>
      </c>
      <c r="N58" s="689">
        <f ca="1">SUM(B58:M58)</f>
        <v>12678580</v>
      </c>
    </row>
    <row r="59" spans="1:14" ht="10" customHeight="1">
      <c r="A59" s="680" t="s">
        <v>546</v>
      </c>
      <c r="B59" s="684">
        <f ca="1">B57-B58</f>
        <v>446894</v>
      </c>
      <c r="C59" s="684">
        <f t="shared" ref="C59:N59" ca="1" si="35">C57-C58</f>
        <v>570692</v>
      </c>
      <c r="D59" s="684">
        <f t="shared" ca="1" si="35"/>
        <v>921554.00000000023</v>
      </c>
      <c r="E59" s="684">
        <f t="shared" ca="1" si="35"/>
        <v>-444913</v>
      </c>
      <c r="F59" s="684">
        <f t="shared" ca="1" si="35"/>
        <v>-454973</v>
      </c>
      <c r="G59" s="684">
        <f t="shared" ca="1" si="35"/>
        <v>-465033</v>
      </c>
      <c r="H59" s="684">
        <f t="shared" ca="1" si="35"/>
        <v>203058</v>
      </c>
      <c r="I59" s="684">
        <f t="shared" ca="1" si="35"/>
        <v>-485163</v>
      </c>
      <c r="J59" s="684">
        <f t="shared" ca="1" si="35"/>
        <v>330327.00000000023</v>
      </c>
      <c r="K59" s="684">
        <f t="shared" ca="1" si="35"/>
        <v>-505283</v>
      </c>
      <c r="L59" s="684">
        <f t="shared" ca="1" si="35"/>
        <v>-515353</v>
      </c>
      <c r="M59" s="684">
        <f t="shared" ca="1" si="35"/>
        <v>-480500</v>
      </c>
      <c r="N59" s="684">
        <f t="shared" ca="1" si="35"/>
        <v>-878693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-878693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MxuTjplD9A5bJZE7r2TZmboo0BVFAhMbLAawt6cdy4AUKm4kpc2Lr9RGZwKXO7OAHufMl0l9EBtCz3B77p/akg==" saltValue="vgC4IJKCAtxuH0+WSba8i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89" priority="8">
      <formula>$E$2="y"</formula>
    </cfRule>
    <cfRule type="expression" dxfId="388" priority="9">
      <formula>$D$2="Y"</formula>
    </cfRule>
    <cfRule type="expression" dxfId="387" priority="10">
      <formula>$F$2="y"</formula>
    </cfRule>
  </conditionalFormatting>
  <conditionalFormatting sqref="B27:M27">
    <cfRule type="expression" dxfId="386" priority="1">
      <formula>$F$2="y"</formula>
    </cfRule>
  </conditionalFormatting>
  <conditionalFormatting sqref="D16">
    <cfRule type="expression" dxfId="385" priority="26">
      <formula>$E$2="y"</formula>
    </cfRule>
    <cfRule type="expression" dxfId="384" priority="27">
      <formula>$E$2="y"</formula>
    </cfRule>
    <cfRule type="expression" dxfId="383" priority="28">
      <formula>$F$2="y"</formula>
    </cfRule>
  </conditionalFormatting>
  <conditionalFormatting sqref="D18">
    <cfRule type="expression" dxfId="382" priority="23">
      <formula>$E$2="y"</formula>
    </cfRule>
    <cfRule type="expression" dxfId="381" priority="24">
      <formula>$E$2="y"</formula>
    </cfRule>
    <cfRule type="expression" dxfId="380" priority="25">
      <formula>$F$2="y"</formula>
    </cfRule>
  </conditionalFormatting>
  <conditionalFormatting sqref="J12:K12">
    <cfRule type="expression" dxfId="379" priority="5">
      <formula>$E$2="y"</formula>
    </cfRule>
    <cfRule type="expression" dxfId="378" priority="6">
      <formula>$D$2="Y"</formula>
    </cfRule>
    <cfRule type="expression" dxfId="377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1075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76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77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79" r:id="rId6" name="Drop Down 7">
              <controlPr defaultSize="0" autoLine="0" autoPict="0">
                <anchor moveWithCells="1">
                  <from>
                    <xdr:col>0</xdr:col>
                    <xdr:colOff>25400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2038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집계표!P119</f>
        <v>2</v>
      </c>
      <c r="M1" s="627">
        <f>집계표!P122</f>
        <v>1</v>
      </c>
      <c r="N1" s="618">
        <v>14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집계표!AY53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IF('2037'!M4&gt;=50,50,IF(AND('2037'!M4=50,M$3=$N$5),"",IF(B3=$N$5,'2037'!M4+1,'2037'!M4)))</f>
        <v>25</v>
      </c>
      <c r="C4" s="176">
        <f>IF(B4&gt;=50,50,IF(AND(B4=50,C$3=$N$5),50,IF(C$3=$N$5,B4+1,B4)))</f>
        <v>25</v>
      </c>
      <c r="D4" s="176">
        <f t="shared" ref="D4:M4" si="0">IF(C4&gt;=50,50,IF(AND(C4=50,D$3=$N$5),50,IF(D$3=$N$5,C4+1,C4)))</f>
        <v>26</v>
      </c>
      <c r="E4" s="176">
        <f t="shared" si="0"/>
        <v>26</v>
      </c>
      <c r="F4" s="176">
        <f t="shared" si="0"/>
        <v>26</v>
      </c>
      <c r="G4" s="176">
        <f t="shared" si="0"/>
        <v>26</v>
      </c>
      <c r="H4" s="176">
        <f t="shared" si="0"/>
        <v>26</v>
      </c>
      <c r="I4" s="176">
        <f t="shared" si="0"/>
        <v>26</v>
      </c>
      <c r="J4" s="176">
        <f t="shared" si="0"/>
        <v>26</v>
      </c>
      <c r="K4" s="176">
        <f t="shared" si="0"/>
        <v>26</v>
      </c>
      <c r="L4" s="176">
        <f t="shared" si="0"/>
        <v>26</v>
      </c>
      <c r="M4" s="176">
        <f t="shared" si="0"/>
        <v>26</v>
      </c>
      <c r="N4" s="202" t="s">
        <v>124</v>
      </c>
    </row>
    <row r="5" spans="1:14" ht="9.75" customHeight="1">
      <c r="A5" s="208" t="s">
        <v>134</v>
      </c>
      <c r="B5" s="356">
        <f>IF(B$3=$N$5,'2037'!M5+1,'2037'!M5)</f>
        <v>15</v>
      </c>
      <c r="C5" s="209">
        <f>IF(C$3=$N$5,B5+1,B5)</f>
        <v>15</v>
      </c>
      <c r="D5" s="209">
        <f t="shared" ref="D5:M5" si="1">IF(D$3=$N$5,C5+1,C5)</f>
        <v>16</v>
      </c>
      <c r="E5" s="209">
        <f t="shared" si="1"/>
        <v>16</v>
      </c>
      <c r="F5" s="209">
        <f t="shared" si="1"/>
        <v>16</v>
      </c>
      <c r="G5" s="209">
        <f t="shared" si="1"/>
        <v>16</v>
      </c>
      <c r="H5" s="209">
        <f t="shared" si="1"/>
        <v>16</v>
      </c>
      <c r="I5" s="209">
        <f t="shared" si="1"/>
        <v>16</v>
      </c>
      <c r="J5" s="209">
        <f t="shared" si="1"/>
        <v>16</v>
      </c>
      <c r="K5" s="209">
        <f t="shared" si="1"/>
        <v>16</v>
      </c>
      <c r="L5" s="209">
        <f t="shared" si="1"/>
        <v>16</v>
      </c>
      <c r="M5" s="209">
        <f t="shared" si="1"/>
        <v>16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5553700</v>
      </c>
      <c r="C6" s="211">
        <f ca="1">IF($D$1-YEAR($B$1)&gt;0,"",IF(AND($D$1-YEAR($B$1)=0,C3-MONTH($B$1)&gt;=1),"",VLOOKUP(C4,gibon40!$D$4:$AT$47,$N$1,1)))</f>
        <v>5553700</v>
      </c>
      <c r="D6" s="211">
        <f ca="1">IF($D$1-YEAR($B$1)&gt;0,"",IF(AND($D$1-YEAR($B$1)=0,D3-MONTH($B$1)&gt;=1),"",VLOOKUP(D4,gibon40!$D$4:$AT$47,$N$1,1)))</f>
        <v>5731600</v>
      </c>
      <c r="E6" s="211">
        <f ca="1">IF($D$1-YEAR($B$1)&gt;0,"",IF(AND($D$1-YEAR($B$1)=0,E3-MONTH($B$1)&gt;=1),"",VLOOKUP(E4,gibon40!$D$4:$AT$47,$N$1,1)))</f>
        <v>5731600</v>
      </c>
      <c r="F6" s="211">
        <f ca="1">IF($D$1-YEAR($B$1)&gt;0,"",IF(AND($D$1-YEAR($B$1)=0,F3-MONTH($B$1)&gt;=1),"",VLOOKUP(F4,gibon40!$D$4:$AT$47,$N$1,1)))</f>
        <v>5731600</v>
      </c>
      <c r="G6" s="211">
        <f ca="1">IF($D$1-YEAR($B$1)&gt;0,"",IF(AND($D$1-YEAR($B$1)=0,G3-MONTH($B$1)&gt;=1),"",VLOOKUP(G4,gibon40!$D$4:$AT$47,$N$1,1)))</f>
        <v>5731600</v>
      </c>
      <c r="H6" s="211">
        <f ca="1">IF($D$1-YEAR($B$1)&gt;0,"",IF(AND($D$1-YEAR($B$1)=0,H3-MONTH($B$1)&gt;=1),"",VLOOKUP(H4,gibon40!$D$4:$AT$47,$N$1,1)))</f>
        <v>5731600</v>
      </c>
      <c r="I6" s="211">
        <f ca="1">IF($D$1-YEAR($B$1)&gt;0,"",IF(AND($D$1-YEAR($B$1)=0,I3-MONTH($B$1)&gt;=1),"",VLOOKUP(I4,gibon40!$D$4:$AT$47,$N$1,1)))</f>
        <v>5731600</v>
      </c>
      <c r="J6" s="211">
        <f ca="1">IF($D$1-YEAR($B$1)&gt;0,"",IF(AND($D$1-YEAR($B$1)=0,J3-MONTH($B$1)&gt;=1),"",VLOOKUP(J4,gibon40!$D$4:$AT$47,$N$1,1)))</f>
        <v>5731600</v>
      </c>
      <c r="K6" s="211">
        <f ca="1">IF($D$1-YEAR($B$1)&gt;0,"",IF(AND($D$1-YEAR($B$1)=0,K3-MONTH($B$1)&gt;=1),"",VLOOKUP(K4,gibon40!$D$4:$AT$47,$N$1,1)))</f>
        <v>5731600</v>
      </c>
      <c r="L6" s="211">
        <f ca="1">IF($D$1-YEAR($B$1)&gt;0,"",IF(AND($D$1-YEAR($B$1)=0,L3-MONTH($B$1)&gt;=1),"",VLOOKUP(L4,gibon40!$D$4:$AT$47,$N$1,1)))</f>
        <v>5731600</v>
      </c>
      <c r="M6" s="211">
        <f ca="1">IF($D$1-YEAR($B$1)&gt;0,"",IF(AND($D$1-YEAR($B$1)=0,M3-MONTH($B$1)&gt;=1),"",VLOOKUP(M4,gibon40!$D$4:$AT$47,$N$1,1)))</f>
        <v>5731600</v>
      </c>
      <c r="N6" s="211">
        <f t="shared" ref="N6:N52" ca="1" si="2">SUM(B6:M6)</f>
        <v>68423400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2776850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2865800</v>
      </c>
      <c r="I7" s="180"/>
      <c r="J7" s="180"/>
      <c r="K7" s="180"/>
      <c r="L7" s="180"/>
      <c r="M7" s="180"/>
      <c r="N7" s="211">
        <f t="shared" ca="1" si="2"/>
        <v>5642650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80000</v>
      </c>
      <c r="C8" s="179">
        <f t="shared" ref="C8:M8" ca="1" si="3">IF(C4="","",IF(C6="","",IF(C5&gt;=20,100000,IF(C5&gt;=15,80000,IF(C5&gt;=10,60000,IF(C5&gt;=5,50000,30000))))))</f>
        <v>80000</v>
      </c>
      <c r="D8" s="179">
        <f t="shared" ca="1" si="3"/>
        <v>80000</v>
      </c>
      <c r="E8" s="179">
        <f t="shared" ca="1" si="3"/>
        <v>80000</v>
      </c>
      <c r="F8" s="179">
        <f t="shared" ca="1" si="3"/>
        <v>80000</v>
      </c>
      <c r="G8" s="179">
        <f t="shared" ca="1" si="3"/>
        <v>80000</v>
      </c>
      <c r="H8" s="179">
        <f t="shared" ca="1" si="3"/>
        <v>80000</v>
      </c>
      <c r="I8" s="179">
        <f t="shared" ca="1" si="3"/>
        <v>80000</v>
      </c>
      <c r="J8" s="179">
        <f t="shared" ca="1" si="3"/>
        <v>80000</v>
      </c>
      <c r="K8" s="179">
        <f t="shared" ca="1" si="3"/>
        <v>80000</v>
      </c>
      <c r="L8" s="179">
        <f t="shared" ca="1" si="3"/>
        <v>80000</v>
      </c>
      <c r="M8" s="179">
        <f t="shared" ca="1" si="3"/>
        <v>80000</v>
      </c>
      <c r="N8" s="211">
        <f t="shared" ca="1" si="2"/>
        <v>960000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5976890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5976890</v>
      </c>
    </row>
    <row r="11" spans="1:14" ht="9.75" customHeight="1">
      <c r="A11" s="178" t="s">
        <v>63</v>
      </c>
      <c r="B11" s="179">
        <f ca="1">IF(B$6="",0,'2037'!M11)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3332220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3438960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6771180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IF(B$6="",0,'2037'!M15)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IF(B$6="",0,'2037'!M16)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IF(B$6="",0,'2037'!M18)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IF(B$6="",0,'2037'!M19)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65310</v>
      </c>
      <c r="E21" s="179">
        <f ca="1">IF(D4="","",IF(E$6="","",ROUND(VLOOKUP(E4,gibon40!$D$51:$AV$100,$N$1+1)*10*15/15,-1)))</f>
        <v>195930</v>
      </c>
      <c r="F21" s="179">
        <f ca="1">IF(E4="","",IF(F$6="","",ROUND(VLOOKUP(F4,gibon40!$D$51:$AV$100,$N$1+1)*10*15/15,-1)))</f>
        <v>195930</v>
      </c>
      <c r="G21" s="179">
        <f ca="1">IF(F4="","",IF(G$6="","",ROUND(VLOOKUP(G4,gibon40!$D$51:$AV$100,$N$1+1)*10*15/15,-1)))</f>
        <v>195930</v>
      </c>
      <c r="H21" s="179">
        <f ca="1">IF(G4="","",IF(H$6="","",ROUND(VLOOKUP(H4,gibon40!$D$51:$AV$100,$N$1+1)*10*15/15,-1)))</f>
        <v>195930</v>
      </c>
      <c r="I21" s="179">
        <f ca="1">IF(H4="","",IF(I$6="","",ROUND(VLOOKUP(I4,gibon40!$D$51:$AV$100,$N$1+1)*10*15/15,-1)))</f>
        <v>195930</v>
      </c>
      <c r="J21" s="179">
        <f ca="1">IF(I4="","",IF(J$6="","",ROUND(VLOOKUP(J4,gibon40!$D$51:$AV$100,$N$1+1)*7*15/15,-1)))</f>
        <v>137150</v>
      </c>
      <c r="K21" s="179">
        <f ca="1">IF(J4="","",IF(K$6="","",ROUND(VLOOKUP(K4,gibon40!$D$51:$AV$100,$N$1+1)*10*15/15,-1)))</f>
        <v>195930</v>
      </c>
      <c r="L21" s="179">
        <f ca="1">IF(K4="","",IF(L$6="","",ROUND(VLOOKUP(L4,gibon40!$D$51:$AV$100,$N$1+1)*10*15/15,-1)))</f>
        <v>195930</v>
      </c>
      <c r="M21" s="179">
        <f ca="1">IF(L4="","",IF(M$6="","",ROUND(VLOOKUP(M4,gibon40!$D$51:$AV$100,$N$1+1)*10*15/15*2,-1)))</f>
        <v>391860</v>
      </c>
      <c r="N21" s="211">
        <f t="shared" ca="1" si="2"/>
        <v>1965830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IF(B$6="",0,'2037'!M23)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IF(B$6="",0,'2037'!M24)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'2037'!A25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9085550</v>
      </c>
      <c r="C26" s="213">
        <f t="shared" ref="C26:M26" ca="1" si="16">ROUNDDOWN(SUM(C6:C25),-1)</f>
        <v>9640920</v>
      </c>
      <c r="D26" s="213">
        <f t="shared" ca="1" si="16"/>
        <v>12528800</v>
      </c>
      <c r="E26" s="213">
        <f t="shared" ca="1" si="16"/>
        <v>6682530</v>
      </c>
      <c r="F26" s="213">
        <f t="shared" ca="1" si="16"/>
        <v>6682530</v>
      </c>
      <c r="G26" s="213">
        <f t="shared" ca="1" si="16"/>
        <v>6682530</v>
      </c>
      <c r="H26" s="213">
        <f t="shared" ca="1" si="16"/>
        <v>9548330</v>
      </c>
      <c r="I26" s="213">
        <f t="shared" ca="1" si="16"/>
        <v>6682530</v>
      </c>
      <c r="J26" s="213">
        <f t="shared" ca="1" si="16"/>
        <v>10062710</v>
      </c>
      <c r="K26" s="213">
        <f t="shared" ca="1" si="16"/>
        <v>6682530</v>
      </c>
      <c r="L26" s="213">
        <f t="shared" ca="1" si="16"/>
        <v>6682530</v>
      </c>
      <c r="M26" s="213">
        <f t="shared" ca="1" si="16"/>
        <v>6878460</v>
      </c>
      <c r="N26" s="214">
        <f ca="1">SUM(B26:M26)</f>
        <v>97839950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774220</v>
      </c>
      <c r="C27" s="179">
        <f ca="1">IF(C6="",0,ROUND(VLOOKUP(($N$26-1200000-$N$17-$N$16)/12,'2015근로소득간이세액표'!$C$4:$Z$700,$A$27+1)*0.78*O27,-1))</f>
        <v>784270</v>
      </c>
      <c r="D27" s="179">
        <f ca="1">IF(D6="",0,ROUND(VLOOKUP(($N$26-1200000-$N$17-$N$16)/12,'2015근로소득간이세액표'!$C$4:$Z$700,$A$27+1)*0.79*O27,-1))</f>
        <v>794330</v>
      </c>
      <c r="E27" s="179">
        <f ca="1">IF(E6="",0,ROUND(VLOOKUP(($N$26-1200000-$N$17-$N$16)/12,'2015근로소득간이세액표'!$C$4:$Z$700,$A$27+1)*1.1*O27,-1))</f>
        <v>1106030</v>
      </c>
      <c r="F27" s="179">
        <f ca="1">IF(F6="",0,ROUND(VLOOKUP(($N$26-1200000-$N$17-$N$16)/12,'2015근로소득간이세액표'!$C$4:$Z$700,$A$27+1)*1.11*O27,-1))</f>
        <v>1116080</v>
      </c>
      <c r="G27" s="179">
        <f ca="1">IF(G6="",0,ROUND(VLOOKUP(($N$26-1200000-$N$17-$N$16)/12,'2015근로소득간이세액표'!$C$4:$Z$700,$A$27+1)*1.12*O27,-1))</f>
        <v>1126140</v>
      </c>
      <c r="H27" s="179">
        <f ca="1">IF(H6="",0,ROUND(VLOOKUP(($N$26-1200000-$N$17-$N$16)/12,'2015근로소득간이세액표'!$C$4:$Z$700,$A$27+1)*1.13*O27,-1))</f>
        <v>1136190</v>
      </c>
      <c r="I27" s="179">
        <f ca="1">IF(I6="",0,ROUND(VLOOKUP(($N$26-1200000-$N$17-$N$16)/12,'2015근로소득간이세액표'!$C$4:$Z$700,$A$27+1)*1.14*O27,-1))</f>
        <v>1146250</v>
      </c>
      <c r="J27" s="179">
        <f ca="1">IF(J6="",0,ROUND(VLOOKUP(($N$26-1200000-$N$17-$N$16)/12,'2015근로소득간이세액표'!$C$4:$Z$700,$A$27+1)*1.15*O27,-1))</f>
        <v>1156300</v>
      </c>
      <c r="K27" s="179">
        <f ca="1">IF(K6="",0,ROUND(VLOOKUP(($N$26-1200000-$N$17-$N$16)/12,'2015근로소득간이세액표'!$C$4:$Z$700,$A$27+1)*1.16*O27,-1))</f>
        <v>1166360</v>
      </c>
      <c r="L27" s="179">
        <f ca="1">IF(L6="",0,ROUND(VLOOKUP(($N$26-1200000-$N$17-$N$16)/12,'2015근로소득간이세액표'!$C$4:$Z$700,$A$27+1)*1.17*O27,-1))</f>
        <v>1176410</v>
      </c>
      <c r="M27" s="179">
        <f ca="1">IF(M6="",0,ROUND(VLOOKUP(($N$26-1200000-$N$17-$N$16)/12,'2015근로소득간이세액표'!$C$4:$Z$700,$A$27+1)*1.18*O27,-1))</f>
        <v>1186470</v>
      </c>
      <c r="N27" s="179">
        <f t="shared" ref="N27:N28" ca="1" si="17">SUM(B27:M27)</f>
        <v>12669050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77420</v>
      </c>
      <c r="C28" s="179">
        <f t="shared" ca="1" si="18"/>
        <v>78430</v>
      </c>
      <c r="D28" s="179">
        <f t="shared" ca="1" si="18"/>
        <v>79430</v>
      </c>
      <c r="E28" s="179">
        <f t="shared" ca="1" si="18"/>
        <v>110600</v>
      </c>
      <c r="F28" s="179">
        <f t="shared" ca="1" si="18"/>
        <v>111610</v>
      </c>
      <c r="G28" s="179">
        <f t="shared" ca="1" si="18"/>
        <v>112610</v>
      </c>
      <c r="H28" s="179">
        <f t="shared" ca="1" si="18"/>
        <v>113620</v>
      </c>
      <c r="I28" s="179">
        <f t="shared" ca="1" si="18"/>
        <v>114630</v>
      </c>
      <c r="J28" s="179">
        <f ca="1">IF(J$6="","",ROUND(J27*0.1,-1))</f>
        <v>115630</v>
      </c>
      <c r="K28" s="179">
        <f t="shared" ref="K28:M28" ca="1" si="19">IF(K$6="","",ROUND(K27*0.1,-1))</f>
        <v>116640</v>
      </c>
      <c r="L28" s="179">
        <f t="shared" ca="1" si="19"/>
        <v>117640</v>
      </c>
      <c r="M28" s="179">
        <f t="shared" ca="1" si="19"/>
        <v>118650</v>
      </c>
      <c r="N28" s="179">
        <f t="shared" ca="1" si="17"/>
        <v>1266910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IF(B4="","",IF(B6="","",IF($D$1-YEAR('2025'!$I$1)&gt;0,"",IF(AND($D$1-YEAR('2025'!$I$1)=0,B3-MONTH('2025'!$I$1)&gt;=1),"",'2037'!M29))))</f>
        <v>664400</v>
      </c>
      <c r="C29" s="179">
        <f ca="1">IF(C4="","",IF(C6="","",IF($D$1-YEAR('2025'!$I$1)&gt;0,"",IF(AND($D$1-YEAR('2025'!$I$1)=0,C3-MONTH('2025'!$I$1)&gt;=1),"",B29))))</f>
        <v>664400</v>
      </c>
      <c r="D29" s="179">
        <f ca="1">IF(D4="","",IF(D6="","",IF($D$1-YEAR('2025'!$I$1)&gt;0,"",IF(AND($D$1-YEAR('2025'!$I$1)=0,D3-MONTH('2025'!$I$1)&gt;=1),"",C29))))</f>
        <v>664400</v>
      </c>
      <c r="E29" s="179">
        <f ca="1">IF(E4="","",IF(E6="","",IF($D$1-YEAR('2025'!$I$1)&gt;0,"",IF(AND($D$1-YEAR('2025'!$I$1)=0,E3-MONTH('2025'!$I$1)&gt;=1),"",D29))))</f>
        <v>664400</v>
      </c>
      <c r="F29" s="179">
        <f ca="1">IF(F4="","",IF(F$6="","",IF($D$1-YEAR('2025'!$I$1)&gt;0,"",IF(AND($D$1-YEAR('2025'!$I$1)=0,F3-MONTH('2025'!$I$1)&gt;=1),"",VLOOKUP(F$4,집계표!$AK$5:$HA$47,$N$1*3+$N$1-1+4)))))</f>
        <v>700640</v>
      </c>
      <c r="G29" s="179">
        <f ca="1">IF(G6="",0,IF($D$1-YEAR('2025'!$I$1)&gt;0,"",IF(AND($D$1-YEAR('2025'!$I$1)=0,G3-MONTH('2025'!$I$1)&gt;=1),"",F29)))</f>
        <v>700640</v>
      </c>
      <c r="H29" s="179">
        <f ca="1">IF(H6="",0,IF($D$1-YEAR('2025'!$I$1)&gt;0,"",IF(AND($D$1-YEAR('2025'!$I$1)=0,H3-MONTH('2025'!$I$1)&gt;=1),"",G29)))</f>
        <v>700640</v>
      </c>
      <c r="I29" s="179">
        <f ca="1">IF(I6="",0,IF($D$1-YEAR('2025'!$I$1)&gt;0,"",IF(AND($D$1-YEAR('2025'!$I$1)=0,I3-MONTH('2025'!$I$1)&gt;=1),"",H29)))</f>
        <v>700640</v>
      </c>
      <c r="J29" s="179">
        <f ca="1">IF(J6="",0,IF($D$1-YEAR('2025'!$I$1)&gt;0,"",IF(AND($D$1-YEAR('2025'!$I$1)=0,J3-MONTH('2025'!$I$1)&gt;=1),"",I29)))</f>
        <v>700640</v>
      </c>
      <c r="K29" s="179">
        <f ca="1">IF(K6="",0,IF($D$1-YEAR('2025'!$I$1)&gt;0,"",IF(AND($D$1-YEAR('2025'!$I$1)=0,K3-MONTH('2025'!$I$1)&gt;=1),"",J29)))</f>
        <v>700640</v>
      </c>
      <c r="L29" s="179">
        <f ca="1">IF(L6="",0,IF($D$1-YEAR('2025'!$I$1)&gt;0,"",IF(AND($D$1-YEAR('2025'!$I$1)=0,L3-MONTH('2025'!$I$1)&gt;=1),"",K29)))</f>
        <v>700640</v>
      </c>
      <c r="M29" s="179">
        <f ca="1">IF(M6="",0,IF($D$1-YEAR('2025'!$I$1)&gt;0,"",IF(AND($D$1-YEAR('2025'!$I$1)=0,M3-MONTH('2025'!$I$1)&gt;=1),"",L29)))</f>
        <v>700640</v>
      </c>
      <c r="N29" s="211">
        <f t="shared" ca="1" si="2"/>
        <v>8262720</v>
      </c>
    </row>
    <row r="30" spans="1:20" ht="9.75" customHeight="1">
      <c r="A30" s="182" t="s">
        <v>58</v>
      </c>
      <c r="B30" s="179">
        <f ca="1">IF(B6="","",'2037'!M30)</f>
        <v>286610</v>
      </c>
      <c r="C30" s="179">
        <f ca="1">IF(C6="","",B30)</f>
        <v>286610</v>
      </c>
      <c r="D30" s="179">
        <f ca="1">IF(D6="","",C30)</f>
        <v>286610</v>
      </c>
      <c r="E30" s="857">
        <f ca="1">IF(E6="","",VLOOKUP(E$4,집계표!$AK$5:$HA$47,$N$1*4))</f>
        <v>302250</v>
      </c>
      <c r="F30" s="179">
        <f ca="1">IF(F6="","",E30)</f>
        <v>302250</v>
      </c>
      <c r="G30" s="179">
        <f t="shared" ref="G30:M30" ca="1" si="20">IF(G6="","",F30)</f>
        <v>302250</v>
      </c>
      <c r="H30" s="179">
        <f t="shared" ca="1" si="20"/>
        <v>302250</v>
      </c>
      <c r="I30" s="179">
        <f t="shared" ca="1" si="20"/>
        <v>302250</v>
      </c>
      <c r="J30" s="179">
        <f t="shared" ca="1" si="20"/>
        <v>302250</v>
      </c>
      <c r="K30" s="179">
        <f t="shared" ca="1" si="20"/>
        <v>302250</v>
      </c>
      <c r="L30" s="179">
        <f t="shared" ca="1" si="20"/>
        <v>302250</v>
      </c>
      <c r="M30" s="179">
        <f t="shared" ca="1" si="20"/>
        <v>302250</v>
      </c>
      <c r="N30" s="211">
        <f t="shared" ca="1" si="2"/>
        <v>3580080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29380</v>
      </c>
      <c r="C31" s="179">
        <f t="shared" ca="1" si="21"/>
        <v>29380</v>
      </c>
      <c r="D31" s="179">
        <f t="shared" ca="1" si="21"/>
        <v>29380</v>
      </c>
      <c r="E31" s="179">
        <f t="shared" ca="1" si="21"/>
        <v>30980</v>
      </c>
      <c r="F31" s="179">
        <f t="shared" ca="1" si="21"/>
        <v>30980</v>
      </c>
      <c r="G31" s="179">
        <f t="shared" ca="1" si="21"/>
        <v>30980</v>
      </c>
      <c r="H31" s="179">
        <f t="shared" ca="1" si="21"/>
        <v>30980</v>
      </c>
      <c r="I31" s="179">
        <f t="shared" ca="1" si="21"/>
        <v>30980</v>
      </c>
      <c r="J31" s="179">
        <f ca="1">IF(J$6="","",ROUND(IF(J4="","",J30*10.25%),-1))</f>
        <v>30980</v>
      </c>
      <c r="K31" s="179">
        <f t="shared" ref="K31:M31" ca="1" si="22">IF(K$6="","",ROUND(IF(K4="","",K30*10.25%),-1))</f>
        <v>30980</v>
      </c>
      <c r="L31" s="179">
        <f t="shared" ca="1" si="22"/>
        <v>30980</v>
      </c>
      <c r="M31" s="179">
        <f t="shared" ca="1" si="22"/>
        <v>30980</v>
      </c>
      <c r="N31" s="211">
        <f t="shared" ca="1" si="2"/>
        <v>366960</v>
      </c>
    </row>
    <row r="32" spans="1:20" ht="9.75" customHeight="1">
      <c r="A32" s="597" t="str">
        <f>'2037'!A32</f>
        <v>교직원공제비</v>
      </c>
      <c r="B32" s="621">
        <f ca="1">IF(B$6="","",'2037'!B32)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'2037'!A33</f>
        <v>급식비</v>
      </c>
      <c r="B33" s="621">
        <f ca="1">IF(B$6="","",'2037'!B33)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IF(B$6="",0,'2037'!M34)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IF(B$6="",0,'2037'!M38)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IF(B$6="",0,'2037'!M39)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2152670</v>
      </c>
      <c r="C40" s="216">
        <f t="shared" ca="1" si="28"/>
        <v>2163730</v>
      </c>
      <c r="D40" s="216">
        <f t="shared" ca="1" si="28"/>
        <v>2174790</v>
      </c>
      <c r="E40" s="216">
        <f t="shared" ca="1" si="28"/>
        <v>2534900</v>
      </c>
      <c r="F40" s="216">
        <f t="shared" ca="1" si="28"/>
        <v>2582200</v>
      </c>
      <c r="G40" s="216">
        <f t="shared" ca="1" si="28"/>
        <v>2593260</v>
      </c>
      <c r="H40" s="216">
        <f t="shared" ca="1" si="28"/>
        <v>2604320</v>
      </c>
      <c r="I40" s="216">
        <f t="shared" ca="1" si="28"/>
        <v>2615390</v>
      </c>
      <c r="J40" s="216">
        <f ca="1">IF(J26="","",SUM(J27:J39))</f>
        <v>2626440</v>
      </c>
      <c r="K40" s="216">
        <f t="shared" ref="K40:M40" ca="1" si="29">IF(K26="","",SUM(K27:K39))</f>
        <v>2637510</v>
      </c>
      <c r="L40" s="216">
        <f t="shared" ca="1" si="29"/>
        <v>2648560</v>
      </c>
      <c r="M40" s="216">
        <f t="shared" ca="1" si="29"/>
        <v>2659630</v>
      </c>
      <c r="N40" s="216">
        <f ca="1">SUM(B40:M40)</f>
        <v>29993400</v>
      </c>
    </row>
    <row r="41" spans="1:14" ht="9.75" customHeight="1">
      <c r="A41" s="183" t="s">
        <v>79</v>
      </c>
      <c r="B41" s="184">
        <f ca="1">ROUND((B26-B40),-1)</f>
        <v>6932880</v>
      </c>
      <c r="C41" s="184">
        <f t="shared" ref="C41:M41" ca="1" si="30">ROUND((C26-C40),-1)</f>
        <v>7477190</v>
      </c>
      <c r="D41" s="184">
        <f t="shared" ca="1" si="30"/>
        <v>10354010</v>
      </c>
      <c r="E41" s="184">
        <f t="shared" ca="1" si="30"/>
        <v>4147630</v>
      </c>
      <c r="F41" s="184">
        <f t="shared" ca="1" si="30"/>
        <v>4100330</v>
      </c>
      <c r="G41" s="184">
        <f t="shared" ca="1" si="30"/>
        <v>4089270</v>
      </c>
      <c r="H41" s="184">
        <f t="shared" ca="1" si="30"/>
        <v>6944010</v>
      </c>
      <c r="I41" s="184">
        <f t="shared" ca="1" si="30"/>
        <v>4067140</v>
      </c>
      <c r="J41" s="184">
        <f t="shared" ca="1" si="30"/>
        <v>7436270</v>
      </c>
      <c r="K41" s="184">
        <f t="shared" ca="1" si="30"/>
        <v>4045020</v>
      </c>
      <c r="L41" s="184">
        <f t="shared" ca="1" si="30"/>
        <v>4033970</v>
      </c>
      <c r="M41" s="184">
        <f t="shared" ca="1" si="30"/>
        <v>4218830</v>
      </c>
      <c r="N41" s="184">
        <f ca="1">SUM(B41:M41)</f>
        <v>67846550</v>
      </c>
    </row>
    <row r="42" spans="1:14" ht="9.75" customHeight="1">
      <c r="A42" s="217" t="str">
        <f>'2037'!A42</f>
        <v>12)지출내용입력1</v>
      </c>
      <c r="B42" s="211">
        <f>'2037'!M42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'2037'!A43</f>
        <v>지출내용입력2</v>
      </c>
      <c r="B43" s="211">
        <f>'2037'!M43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'2037'!A44</f>
        <v>지출내용입력3</v>
      </c>
      <c r="B44" s="211">
        <f>'2037'!M44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'2037'!A45</f>
        <v>지출내용입력4</v>
      </c>
      <c r="B45" s="211">
        <f>'2037'!M45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'2037'!A46</f>
        <v>지출내용입력5</v>
      </c>
      <c r="B46" s="211">
        <f>'2037'!M46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'2037'!A47</f>
        <v>지출내용입력6</v>
      </c>
      <c r="B47" s="211">
        <f>'2037'!M47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'2037'!A48</f>
        <v>지출내용입력7</v>
      </c>
      <c r="B48" s="211">
        <f>'2037'!M48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'2037'!A49</f>
        <v>지출내용입력8</v>
      </c>
      <c r="B49" s="211">
        <f>'2037'!M49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'2037'!A50</f>
        <v>지출내용입력9</v>
      </c>
      <c r="B50" s="211">
        <f>'2037'!M50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'2037'!A51</f>
        <v>지출내용입력10</v>
      </c>
      <c r="B51" s="211">
        <f>'2037'!M51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6932780</v>
      </c>
      <c r="C53" s="188">
        <f t="shared" ca="1" si="33"/>
        <v>7477090</v>
      </c>
      <c r="D53" s="188">
        <f t="shared" ca="1" si="33"/>
        <v>10353910</v>
      </c>
      <c r="E53" s="188">
        <f t="shared" ca="1" si="33"/>
        <v>4147530</v>
      </c>
      <c r="F53" s="188">
        <f t="shared" ca="1" si="33"/>
        <v>4100230</v>
      </c>
      <c r="G53" s="188">
        <f t="shared" ca="1" si="33"/>
        <v>4089170</v>
      </c>
      <c r="H53" s="188">
        <f t="shared" ca="1" si="33"/>
        <v>6943910</v>
      </c>
      <c r="I53" s="188">
        <f t="shared" ca="1" si="33"/>
        <v>4067040</v>
      </c>
      <c r="J53" s="188">
        <f t="shared" ca="1" si="33"/>
        <v>7436170</v>
      </c>
      <c r="K53" s="188">
        <f t="shared" ca="1" si="33"/>
        <v>4044920</v>
      </c>
      <c r="L53" s="188">
        <f t="shared" ca="1" si="33"/>
        <v>4033870</v>
      </c>
      <c r="M53" s="188">
        <f t="shared" ca="1" si="33"/>
        <v>4218730</v>
      </c>
      <c r="N53" s="188">
        <f t="shared" ca="1" si="33"/>
        <v>67845350</v>
      </c>
    </row>
    <row r="55" spans="1:14" ht="18">
      <c r="A55" s="1232" t="str">
        <f ca="1">D1</f>
        <v>2038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1345256</v>
      </c>
      <c r="C57" s="688">
        <f ca="1">IF(C6="",0,VLOOKUP(C26-C17-100000,'2015 근로소득 간이세액표'!$C$4:$N$845,1+$M$55)*1.1)</f>
        <v>1525040.0000000002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741785.00000000012</v>
      </c>
      <c r="F57" s="688">
        <f ca="1">IF(F6="",0,VLOOKUP(F26-F17-100000,'2015 근로소득 간이세액표'!$C$4:$N$845,1+$M$55)*1.1)</f>
        <v>741785.00000000012</v>
      </c>
      <c r="G57" s="688">
        <f ca="1">IF(G6="",0,VLOOKUP(G26-G17-100000,'2015 근로소득 간이세액표'!$C$4:$N$845,1+$M$55)*1.1)</f>
        <v>741785.00000000012</v>
      </c>
      <c r="H57" s="688">
        <f ca="1">IF(H6="",0,VLOOKUP(H26-H17-100000,'2015 근로소득 간이세액표'!$C$4:$N$845,1+$M$55)*1.1)</f>
        <v>1487497.0000000002</v>
      </c>
      <c r="I57" s="688">
        <f ca="1">IF(I6="",0,VLOOKUP(I26-I17-100000,'2015 근로소득 간이세액표'!$C$4:$N$845,1+$M$55)*1.1)</f>
        <v>741785.00000000012</v>
      </c>
      <c r="J57" s="688">
        <f ca="1">IF(J6="",0,VLOOKUP(J26-J17-100000,'2015 근로소득 간이세액표'!$C$4:$N$845,1+$M$55)*1.1)</f>
        <v>1682692.0000000002</v>
      </c>
      <c r="K57" s="688">
        <f ca="1">IF(K6="",0,VLOOKUP(K26-K17-100000,'2015 근로소득 간이세액표'!$C$4:$N$845,1+$M$55)*1.1)</f>
        <v>741785.00000000012</v>
      </c>
      <c r="L57" s="688">
        <f ca="1">IF(L6="",0,VLOOKUP(L26-L17-100000,'2015 근로소득 간이세액표'!$C$4:$N$845,1+$M$55)*1.1)</f>
        <v>741785.00000000012</v>
      </c>
      <c r="M57" s="688">
        <f ca="1">IF(M6="",0,VLOOKUP(M26-M17-100000,'2015 근로소득 간이세액표'!$C$4:$N$845,1+$M$55)*1.1)</f>
        <v>786687.00000000012</v>
      </c>
      <c r="N57" s="689">
        <f ca="1">SUM(B57:M57)</f>
        <v>12994366</v>
      </c>
    </row>
    <row r="58" spans="1:14" ht="10" customHeight="1">
      <c r="A58" s="687" t="s">
        <v>295</v>
      </c>
      <c r="B58" s="689">
        <f t="shared" ref="B58:M58" ca="1" si="34">IF(B6="",0,B27+B28)</f>
        <v>851640</v>
      </c>
      <c r="C58" s="689">
        <f t="shared" ca="1" si="34"/>
        <v>862700</v>
      </c>
      <c r="D58" s="689">
        <f t="shared" ca="1" si="34"/>
        <v>873760</v>
      </c>
      <c r="E58" s="689">
        <f t="shared" ca="1" si="34"/>
        <v>1216630</v>
      </c>
      <c r="F58" s="689">
        <f t="shared" ca="1" si="34"/>
        <v>1227690</v>
      </c>
      <c r="G58" s="689">
        <f t="shared" ca="1" si="34"/>
        <v>1238750</v>
      </c>
      <c r="H58" s="689">
        <f t="shared" ca="1" si="34"/>
        <v>1249810</v>
      </c>
      <c r="I58" s="689">
        <f t="shared" ca="1" si="34"/>
        <v>1260880</v>
      </c>
      <c r="J58" s="689">
        <f t="shared" ca="1" si="34"/>
        <v>1271930</v>
      </c>
      <c r="K58" s="689">
        <f t="shared" ca="1" si="34"/>
        <v>1283000</v>
      </c>
      <c r="L58" s="689">
        <f t="shared" ca="1" si="34"/>
        <v>1294050</v>
      </c>
      <c r="M58" s="689">
        <f t="shared" ca="1" si="34"/>
        <v>1305120</v>
      </c>
      <c r="N58" s="689">
        <f ca="1">SUM(B58:M58)</f>
        <v>13935960</v>
      </c>
    </row>
    <row r="59" spans="1:14" ht="10" customHeight="1">
      <c r="A59" s="680" t="s">
        <v>546</v>
      </c>
      <c r="B59" s="684">
        <f ca="1">B57-B58</f>
        <v>493616</v>
      </c>
      <c r="C59" s="684">
        <f t="shared" ref="C59:N59" ca="1" si="35">C57-C58</f>
        <v>662340.00000000023</v>
      </c>
      <c r="D59" s="684">
        <f t="shared" ca="1" si="35"/>
        <v>842724.00000000023</v>
      </c>
      <c r="E59" s="684">
        <f t="shared" ca="1" si="35"/>
        <v>-474844.99999999988</v>
      </c>
      <c r="F59" s="684">
        <f t="shared" ca="1" si="35"/>
        <v>-485904.99999999988</v>
      </c>
      <c r="G59" s="684">
        <f t="shared" ca="1" si="35"/>
        <v>-496964.99999999988</v>
      </c>
      <c r="H59" s="684">
        <f t="shared" ca="1" si="35"/>
        <v>237687.00000000023</v>
      </c>
      <c r="I59" s="684">
        <f t="shared" ca="1" si="35"/>
        <v>-519094.99999999988</v>
      </c>
      <c r="J59" s="684">
        <f t="shared" ca="1" si="35"/>
        <v>410762.00000000023</v>
      </c>
      <c r="K59" s="684">
        <f t="shared" ca="1" si="35"/>
        <v>-541214.99999999988</v>
      </c>
      <c r="L59" s="684">
        <f t="shared" ca="1" si="35"/>
        <v>-552264.99999999988</v>
      </c>
      <c r="M59" s="684">
        <f t="shared" ca="1" si="35"/>
        <v>-518432.99999999988</v>
      </c>
      <c r="N59" s="684">
        <f t="shared" ca="1" si="35"/>
        <v>-941594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-941594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GVuPfMSfsudLdxkuiaHDzDpKQN34A+H4WCOSqoZROm4BOvM1SmT8/9f4Y3+tL7a4cUVO7dmJJWadXG5DTg1CWg==" saltValue="GPAgaEKveEp5b8vO2pi4R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76" priority="8">
      <formula>$E$2="y"</formula>
    </cfRule>
    <cfRule type="expression" dxfId="375" priority="9">
      <formula>$D$2="Y"</formula>
    </cfRule>
    <cfRule type="expression" dxfId="374" priority="10">
      <formula>$F$2="y"</formula>
    </cfRule>
  </conditionalFormatting>
  <conditionalFormatting sqref="B27:M27">
    <cfRule type="expression" dxfId="373" priority="1">
      <formula>$F$2="y"</formula>
    </cfRule>
  </conditionalFormatting>
  <conditionalFormatting sqref="D16">
    <cfRule type="expression" dxfId="372" priority="26">
      <formula>$E$2="y"</formula>
    </cfRule>
    <cfRule type="expression" dxfId="371" priority="27">
      <formula>$E$2="y"</formula>
    </cfRule>
    <cfRule type="expression" dxfId="370" priority="28">
      <formula>$F$2="y"</formula>
    </cfRule>
  </conditionalFormatting>
  <conditionalFormatting sqref="D18">
    <cfRule type="expression" dxfId="369" priority="23">
      <formula>$E$2="y"</formula>
    </cfRule>
    <cfRule type="expression" dxfId="368" priority="24">
      <formula>$E$2="y"</formula>
    </cfRule>
    <cfRule type="expression" dxfId="367" priority="25">
      <formula>$F$2="y"</formula>
    </cfRule>
  </conditionalFormatting>
  <conditionalFormatting sqref="J12:K12">
    <cfRule type="expression" dxfId="366" priority="5">
      <formula>$E$2="y"</formula>
    </cfRule>
    <cfRule type="expression" dxfId="365" priority="6">
      <formula>$D$2="Y"</formula>
    </cfRule>
    <cfRule type="expression" dxfId="364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2099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00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01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04" r:id="rId6" name="Drop Down 8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D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2039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집계표!Q119</f>
        <v>2</v>
      </c>
      <c r="M1" s="627">
        <f>집계표!Q122</f>
        <v>1</v>
      </c>
      <c r="N1" s="618">
        <v>15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집계표!AZ53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IF('2038'!M4&gt;=50,50,IF(AND('2038'!M4=50,M$3=$N$5),"",IF(B3=$N$5,'2038'!M4+1,'2038'!M4)))</f>
        <v>26</v>
      </c>
      <c r="C4" s="176">
        <f>IF(B4&gt;=50,50,IF(AND(B4=50,C$3=$N$5),50,IF(C$3=$N$5,B4+1,B4)))</f>
        <v>26</v>
      </c>
      <c r="D4" s="176">
        <f t="shared" ref="D4:M4" si="0">IF(C4&gt;=50,50,IF(AND(C4=50,D$3=$N$5),50,IF(D$3=$N$5,C4+1,C4)))</f>
        <v>27</v>
      </c>
      <c r="E4" s="176">
        <f t="shared" si="0"/>
        <v>27</v>
      </c>
      <c r="F4" s="176">
        <f t="shared" si="0"/>
        <v>27</v>
      </c>
      <c r="G4" s="176">
        <f t="shared" si="0"/>
        <v>27</v>
      </c>
      <c r="H4" s="176">
        <f t="shared" si="0"/>
        <v>27</v>
      </c>
      <c r="I4" s="176">
        <f t="shared" si="0"/>
        <v>27</v>
      </c>
      <c r="J4" s="176">
        <f t="shared" si="0"/>
        <v>27</v>
      </c>
      <c r="K4" s="176">
        <f t="shared" si="0"/>
        <v>27</v>
      </c>
      <c r="L4" s="176">
        <f t="shared" si="0"/>
        <v>27</v>
      </c>
      <c r="M4" s="176">
        <f t="shared" si="0"/>
        <v>27</v>
      </c>
      <c r="N4" s="202" t="s">
        <v>124</v>
      </c>
    </row>
    <row r="5" spans="1:14" ht="9.75" customHeight="1">
      <c r="A5" s="208" t="s">
        <v>134</v>
      </c>
      <c r="B5" s="356">
        <f>IF(B$3=$N$5,'2038'!M5+1,'2038'!M5)</f>
        <v>16</v>
      </c>
      <c r="C5" s="209">
        <f>IF(C$3=$N$5,B5+1,B5)</f>
        <v>16</v>
      </c>
      <c r="D5" s="209">
        <f t="shared" ref="D5:M5" si="1">IF(D$3=$N$5,C5+1,C5)</f>
        <v>17</v>
      </c>
      <c r="E5" s="209">
        <f t="shared" si="1"/>
        <v>17</v>
      </c>
      <c r="F5" s="209">
        <f t="shared" si="1"/>
        <v>17</v>
      </c>
      <c r="G5" s="209">
        <f t="shared" si="1"/>
        <v>17</v>
      </c>
      <c r="H5" s="209">
        <f t="shared" si="1"/>
        <v>17</v>
      </c>
      <c r="I5" s="209">
        <f t="shared" si="1"/>
        <v>17</v>
      </c>
      <c r="J5" s="209">
        <f t="shared" si="1"/>
        <v>17</v>
      </c>
      <c r="K5" s="209">
        <f t="shared" si="1"/>
        <v>17</v>
      </c>
      <c r="L5" s="209">
        <f t="shared" si="1"/>
        <v>17</v>
      </c>
      <c r="M5" s="209">
        <f t="shared" si="1"/>
        <v>17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5874900</v>
      </c>
      <c r="C6" s="211">
        <f ca="1">IF($D$1-YEAR($B$1)&gt;0,"",IF(AND($D$1-YEAR($B$1)=0,C3-MONTH($B$1)&gt;=1),"",VLOOKUP(C4,gibon40!$D$4:$AT$47,$N$1,1)))</f>
        <v>5874900</v>
      </c>
      <c r="D6" s="211">
        <f ca="1">IF($D$1-YEAR($B$1)&gt;0,"",IF(AND($D$1-YEAR($B$1)=0,D3-MONTH($B$1)&gt;=1),"",VLOOKUP(D4,gibon40!$D$4:$AT$47,$N$1,1)))</f>
        <v>6065700</v>
      </c>
      <c r="E6" s="211">
        <f ca="1">IF($D$1-YEAR($B$1)&gt;0,"",IF(AND($D$1-YEAR($B$1)=0,E3-MONTH($B$1)&gt;=1),"",VLOOKUP(E4,gibon40!$D$4:$AT$47,$N$1,1)))</f>
        <v>6065700</v>
      </c>
      <c r="F6" s="211">
        <f ca="1">IF($D$1-YEAR($B$1)&gt;0,"",IF(AND($D$1-YEAR($B$1)=0,F3-MONTH($B$1)&gt;=1),"",VLOOKUP(F4,gibon40!$D$4:$AT$47,$N$1,1)))</f>
        <v>6065700</v>
      </c>
      <c r="G6" s="211">
        <f ca="1">IF($D$1-YEAR($B$1)&gt;0,"",IF(AND($D$1-YEAR($B$1)=0,G3-MONTH($B$1)&gt;=1),"",VLOOKUP(G4,gibon40!$D$4:$AT$47,$N$1,1)))</f>
        <v>6065700</v>
      </c>
      <c r="H6" s="211">
        <f ca="1">IF($D$1-YEAR($B$1)&gt;0,"",IF(AND($D$1-YEAR($B$1)=0,H3-MONTH($B$1)&gt;=1),"",VLOOKUP(H4,gibon40!$D$4:$AT$47,$N$1,1)))</f>
        <v>6065700</v>
      </c>
      <c r="I6" s="211">
        <f ca="1">IF($D$1-YEAR($B$1)&gt;0,"",IF(AND($D$1-YEAR($B$1)=0,I3-MONTH($B$1)&gt;=1),"",VLOOKUP(I4,gibon40!$D$4:$AT$47,$N$1,1)))</f>
        <v>6065700</v>
      </c>
      <c r="J6" s="211">
        <f ca="1">IF($D$1-YEAR($B$1)&gt;0,"",IF(AND($D$1-YEAR($B$1)=0,J3-MONTH($B$1)&gt;=1),"",VLOOKUP(J4,gibon40!$D$4:$AT$47,$N$1,1)))</f>
        <v>6065700</v>
      </c>
      <c r="K6" s="211">
        <f ca="1">IF($D$1-YEAR($B$1)&gt;0,"",IF(AND($D$1-YEAR($B$1)=0,K3-MONTH($B$1)&gt;=1),"",VLOOKUP(K4,gibon40!$D$4:$AT$47,$N$1,1)))</f>
        <v>6065700</v>
      </c>
      <c r="L6" s="211">
        <f ca="1">IF($D$1-YEAR($B$1)&gt;0,"",IF(AND($D$1-YEAR($B$1)=0,L3-MONTH($B$1)&gt;=1),"",VLOOKUP(L4,gibon40!$D$4:$AT$47,$N$1,1)))</f>
        <v>6065700</v>
      </c>
      <c r="M6" s="211">
        <f ca="1">IF($D$1-YEAR($B$1)&gt;0,"",IF(AND($D$1-YEAR($B$1)=0,M3-MONTH($B$1)&gt;=1),"",VLOOKUP(M4,gibon40!$D$4:$AT$47,$N$1,1)))</f>
        <v>6065700</v>
      </c>
      <c r="N6" s="211">
        <f t="shared" ref="N6:N52" ca="1" si="2">SUM(B6:M6)</f>
        <v>72406800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2937450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3032850</v>
      </c>
      <c r="I7" s="180"/>
      <c r="J7" s="180"/>
      <c r="K7" s="180"/>
      <c r="L7" s="180"/>
      <c r="M7" s="180"/>
      <c r="N7" s="211">
        <f t="shared" ca="1" si="2"/>
        <v>5970300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80000</v>
      </c>
      <c r="C8" s="179">
        <f t="shared" ref="C8:M8" ca="1" si="3">IF(C4="","",IF(C6="","",IF(C5&gt;=20,100000,IF(C5&gt;=15,80000,IF(C5&gt;=10,60000,IF(C5&gt;=5,50000,30000))))))</f>
        <v>80000</v>
      </c>
      <c r="D8" s="179">
        <f t="shared" ca="1" si="3"/>
        <v>80000</v>
      </c>
      <c r="E8" s="179">
        <f t="shared" ca="1" si="3"/>
        <v>80000</v>
      </c>
      <c r="F8" s="179">
        <f t="shared" ca="1" si="3"/>
        <v>80000</v>
      </c>
      <c r="G8" s="179">
        <f t="shared" ca="1" si="3"/>
        <v>80000</v>
      </c>
      <c r="H8" s="179">
        <f t="shared" ca="1" si="3"/>
        <v>80000</v>
      </c>
      <c r="I8" s="179">
        <f t="shared" ca="1" si="3"/>
        <v>80000</v>
      </c>
      <c r="J8" s="179">
        <f t="shared" ca="1" si="3"/>
        <v>80000</v>
      </c>
      <c r="K8" s="179">
        <f t="shared" ca="1" si="3"/>
        <v>80000</v>
      </c>
      <c r="L8" s="179">
        <f t="shared" ca="1" si="3"/>
        <v>80000</v>
      </c>
      <c r="M8" s="179">
        <f t="shared" ca="1" si="3"/>
        <v>80000</v>
      </c>
      <c r="N8" s="211">
        <f t="shared" ca="1" si="2"/>
        <v>960000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6126320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6126320</v>
      </c>
    </row>
    <row r="11" spans="1:14" ht="9.75" customHeight="1">
      <c r="A11" s="178" t="s">
        <v>63</v>
      </c>
      <c r="B11" s="179">
        <f ca="1">IF(B$6="",0,'2038'!M11)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3524940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3639420</v>
      </c>
      <c r="L12" s="179"/>
      <c r="M12" s="179"/>
      <c r="N12" s="211">
        <f t="shared" ca="1" si="2"/>
        <v>7164360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IF(B$6="",0,'2038'!M15)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IF(B$6="",0,'2038'!M16)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IF(B$6="",0,'2038'!M18)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IF(B$6="",0,'2038'!M19)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66940</v>
      </c>
      <c r="E21" s="179">
        <f ca="1">IF(D4="","",IF(E$6="","",ROUND(VLOOKUP(E4,gibon40!$D$51:$AV$100,$N$1+1)*10*15/15,-1)))</f>
        <v>200830</v>
      </c>
      <c r="F21" s="179">
        <f ca="1">IF(E4="","",IF(F$6="","",ROUND(VLOOKUP(F4,gibon40!$D$51:$AV$100,$N$1+1)*10*15/15,-1)))</f>
        <v>200830</v>
      </c>
      <c r="G21" s="179">
        <f ca="1">IF(F4="","",IF(G$6="","",ROUND(VLOOKUP(G4,gibon40!$D$51:$AV$100,$N$1+1)*10*15/15,-1)))</f>
        <v>200830</v>
      </c>
      <c r="H21" s="179">
        <f ca="1">IF(G4="","",IF(H$6="","",ROUND(VLOOKUP(H4,gibon40!$D$51:$AV$100,$N$1+1)*10*15/15,-1)))</f>
        <v>200830</v>
      </c>
      <c r="I21" s="179">
        <f ca="1">IF(H4="","",IF(I$6="","",ROUND(VLOOKUP(I4,gibon40!$D$51:$AV$100,$N$1+1)*10*15/15,-1)))</f>
        <v>200830</v>
      </c>
      <c r="J21" s="179">
        <f ca="1">IF(I4="","",IF(J$6="","",ROUND(VLOOKUP(J4,gibon40!$D$51:$AV$100,$N$1+1)*7*15/15,-1)))</f>
        <v>140580</v>
      </c>
      <c r="K21" s="179">
        <f ca="1">IF(J4="","",IF(K$6="","",ROUND(VLOOKUP(K4,gibon40!$D$51:$AV$100,$N$1+1)*10*15/15,-1)))</f>
        <v>200830</v>
      </c>
      <c r="L21" s="179">
        <f ca="1">IF(K4="","",IF(L$6="","",ROUND(VLOOKUP(L4,gibon40!$D$51:$AV$100,$N$1+1)*10*15/15,-1)))</f>
        <v>200830</v>
      </c>
      <c r="M21" s="179">
        <f ca="1">IF(L4="","",IF(M$6="","",ROUND(VLOOKUP(M4,gibon40!$D$51:$AV$100,$N$1+1)*10*15/15*2,-1)))</f>
        <v>401660</v>
      </c>
      <c r="N21" s="211">
        <f t="shared" ca="1" si="2"/>
        <v>2014990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IF(B$6="",0,'2038'!M23)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IF(B$6="",0,'2038'!M24)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'2038'!A25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13092290</v>
      </c>
      <c r="C26" s="213">
        <f t="shared" ref="C26:M26" ca="1" si="16">ROUNDDOWN(SUM(C6:C25),-1)</f>
        <v>6629900</v>
      </c>
      <c r="D26" s="213">
        <f t="shared" ca="1" si="16"/>
        <v>13013960</v>
      </c>
      <c r="E26" s="213">
        <f t="shared" ca="1" si="16"/>
        <v>7021530</v>
      </c>
      <c r="F26" s="213">
        <f t="shared" ca="1" si="16"/>
        <v>7021530</v>
      </c>
      <c r="G26" s="213">
        <f t="shared" ca="1" si="16"/>
        <v>7021530</v>
      </c>
      <c r="H26" s="213">
        <f t="shared" ca="1" si="16"/>
        <v>10054380</v>
      </c>
      <c r="I26" s="213">
        <f t="shared" ca="1" si="16"/>
        <v>7021530</v>
      </c>
      <c r="J26" s="213">
        <f t="shared" ca="1" si="16"/>
        <v>6961280</v>
      </c>
      <c r="K26" s="213">
        <f t="shared" ca="1" si="16"/>
        <v>10660950</v>
      </c>
      <c r="L26" s="213">
        <f t="shared" ca="1" si="16"/>
        <v>7021530</v>
      </c>
      <c r="M26" s="213">
        <f t="shared" ca="1" si="16"/>
        <v>7222360</v>
      </c>
      <c r="N26" s="214">
        <f ca="1">SUM(B26:M26)</f>
        <v>102742770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844380</v>
      </c>
      <c r="C27" s="179">
        <f ca="1">IF(C6="",0,ROUND(VLOOKUP(($N$26-1200000-$N$17-$N$16)/12,'2015근로소득간이세액표'!$C$4:$Z$700,$A$27+1)*0.78*O27,-1))</f>
        <v>855350</v>
      </c>
      <c r="D27" s="179">
        <f ca="1">IF(D6="",0,ROUND(VLOOKUP(($N$26-1200000-$N$17-$N$16)/12,'2015근로소득간이세액표'!$C$4:$Z$700,$A$27+1)*0.79*O27,-1))</f>
        <v>866310</v>
      </c>
      <c r="E27" s="179">
        <f ca="1">IF(E6="",0,ROUND(VLOOKUP(($N$26-1200000-$N$17-$N$16)/12,'2015근로소득간이세액표'!$C$4:$Z$700,$A$27+1)*1.1*O27,-1))</f>
        <v>1206260</v>
      </c>
      <c r="F27" s="179">
        <f ca="1">IF(F6="",0,ROUND(VLOOKUP(($N$26-1200000-$N$17-$N$16)/12,'2015근로소득간이세액표'!$C$4:$Z$700,$A$27+1)*1.11*O27,-1))</f>
        <v>1217230</v>
      </c>
      <c r="G27" s="179">
        <f ca="1">IF(G6="",0,ROUND(VLOOKUP(($N$26-1200000-$N$17-$N$16)/12,'2015근로소득간이세액표'!$C$4:$Z$700,$A$27+1)*1.12*O27,-1))</f>
        <v>1228190</v>
      </c>
      <c r="H27" s="179">
        <f ca="1">IF(H6="",0,ROUND(VLOOKUP(($N$26-1200000-$N$17-$N$16)/12,'2015근로소득간이세액표'!$C$4:$Z$700,$A$27+1)*1.13*O27,-1))</f>
        <v>1239160</v>
      </c>
      <c r="I27" s="179">
        <f ca="1">IF(I6="",0,ROUND(VLOOKUP(($N$26-1200000-$N$17-$N$16)/12,'2015근로소득간이세액표'!$C$4:$Z$700,$A$27+1)*1.14*O27,-1))</f>
        <v>1250120</v>
      </c>
      <c r="J27" s="179">
        <f ca="1">IF(J6="",0,ROUND(VLOOKUP(($N$26-1200000-$N$17-$N$16)/12,'2015근로소득간이세액표'!$C$4:$Z$700,$A$27+1)*1.15*O27,-1))</f>
        <v>1261090</v>
      </c>
      <c r="K27" s="179">
        <f ca="1">IF(K6="",0,ROUND(VLOOKUP(($N$26-1200000-$N$17-$N$16)/12,'2015근로소득간이세액표'!$C$4:$Z$700,$A$27+1)*1.16*O27,-1))</f>
        <v>1272060</v>
      </c>
      <c r="L27" s="179">
        <f ca="1">IF(L6="",0,ROUND(VLOOKUP(($N$26-1200000-$N$17-$N$16)/12,'2015근로소득간이세액표'!$C$4:$Z$700,$A$27+1)*1.17*O27,-1))</f>
        <v>1283020</v>
      </c>
      <c r="M27" s="179">
        <f ca="1">IF(M6="",0,ROUND(VLOOKUP(($N$26-1200000-$N$17-$N$16)/12,'2015근로소득간이세액표'!$C$4:$Z$700,$A$27+1)*1.18*O27,-1))</f>
        <v>1293990</v>
      </c>
      <c r="N27" s="179">
        <f t="shared" ref="N27:N28" ca="1" si="17">SUM(B27:M27)</f>
        <v>13817160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84440</v>
      </c>
      <c r="C28" s="179">
        <f t="shared" ca="1" si="18"/>
        <v>85540</v>
      </c>
      <c r="D28" s="179">
        <f t="shared" ca="1" si="18"/>
        <v>86630</v>
      </c>
      <c r="E28" s="179">
        <f t="shared" ca="1" si="18"/>
        <v>120630</v>
      </c>
      <c r="F28" s="179">
        <f t="shared" ca="1" si="18"/>
        <v>121720</v>
      </c>
      <c r="G28" s="179">
        <f t="shared" ca="1" si="18"/>
        <v>122820</v>
      </c>
      <c r="H28" s="179">
        <f t="shared" ca="1" si="18"/>
        <v>123920</v>
      </c>
      <c r="I28" s="179">
        <f t="shared" ca="1" si="18"/>
        <v>125010</v>
      </c>
      <c r="J28" s="179">
        <f ca="1">IF(J$6="","",ROUND(J27*0.1,-1))</f>
        <v>126110</v>
      </c>
      <c r="K28" s="179">
        <f t="shared" ref="K28:M28" ca="1" si="19">IF(K$6="","",ROUND(K27*0.1,-1))</f>
        <v>127210</v>
      </c>
      <c r="L28" s="179">
        <f t="shared" ca="1" si="19"/>
        <v>128300</v>
      </c>
      <c r="M28" s="179">
        <f t="shared" ca="1" si="19"/>
        <v>129400</v>
      </c>
      <c r="N28" s="179">
        <f t="shared" ca="1" si="17"/>
        <v>1381730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IF(B4="","",IF(B6="","",IF($D$1-YEAR('2025'!$I$1)&gt;0,"",IF(AND($D$1-YEAR('2025'!$I$1)=0,B3-MONTH('2025'!$I$1)&gt;=1),"",'2038'!M29))))</f>
        <v>700640</v>
      </c>
      <c r="C29" s="179">
        <f ca="1">IF(C4="","",IF(C6="","",IF($D$1-YEAR('2025'!$I$1)&gt;0,"",IF(AND($D$1-YEAR('2025'!$I$1)=0,C3-MONTH('2025'!$I$1)&gt;=1),"",B29))))</f>
        <v>700640</v>
      </c>
      <c r="D29" s="179">
        <f ca="1">IF(D4="","",IF(D6="","",IF($D$1-YEAR('2025'!$I$1)&gt;0,"",IF(AND($D$1-YEAR('2025'!$I$1)=0,D3-MONTH('2025'!$I$1)&gt;=1),"",C29))))</f>
        <v>700640</v>
      </c>
      <c r="E29" s="179">
        <f ca="1">IF(E4="","",IF(E6="","",IF($D$1-YEAR('2025'!$I$1)&gt;0,"",IF(AND($D$1-YEAR('2025'!$I$1)=0,E3-MONTH('2025'!$I$1)&gt;=1),"",D29))))</f>
        <v>700640</v>
      </c>
      <c r="F29" s="179">
        <f ca="1">IF(F4="","",IF(F$6="","",IF($D$1-YEAR('2025'!$I$1)&gt;0,"",IF(AND($D$1-YEAR('2025'!$I$1)=0,F3-MONTH('2025'!$I$1)&gt;=1),"",VLOOKUP(F$4,집계표!$AK$5:$HA$47,$N$1*3+$N$1-1+4)))))</f>
        <v>738020</v>
      </c>
      <c r="G29" s="179">
        <f ca="1">IF(G6="",0,IF($D$1-YEAR('2025'!$I$1)&gt;0,"",IF(AND($D$1-YEAR('2025'!$I$1)=0,G3-MONTH('2025'!$I$1)&gt;=1),"",F29)))</f>
        <v>738020</v>
      </c>
      <c r="H29" s="179">
        <f ca="1">IF(H6="",0,IF($D$1-YEAR('2025'!$I$1)&gt;0,"",IF(AND($D$1-YEAR('2025'!$I$1)=0,H3-MONTH('2025'!$I$1)&gt;=1),"",G29)))</f>
        <v>738020</v>
      </c>
      <c r="I29" s="179">
        <f ca="1">IF(I6="",0,IF($D$1-YEAR('2025'!$I$1)&gt;0,"",IF(AND($D$1-YEAR('2025'!$I$1)=0,I3-MONTH('2025'!$I$1)&gt;=1),"",H29)))</f>
        <v>738020</v>
      </c>
      <c r="J29" s="179">
        <f ca="1">IF(J6="",0,IF($D$1-YEAR('2025'!$I$1)&gt;0,"",IF(AND($D$1-YEAR('2025'!$I$1)=0,J3-MONTH('2025'!$I$1)&gt;=1),"",I29)))</f>
        <v>738020</v>
      </c>
      <c r="K29" s="179">
        <f ca="1">IF(K6="",0,IF($D$1-YEAR('2025'!$I$1)&gt;0,"",IF(AND($D$1-YEAR('2025'!$I$1)=0,K3-MONTH('2025'!$I$1)&gt;=1),"",J29)))</f>
        <v>738020</v>
      </c>
      <c r="L29" s="179">
        <f ca="1">IF(L6="",0,IF($D$1-YEAR('2025'!$I$1)&gt;0,"",IF(AND($D$1-YEAR('2025'!$I$1)=0,L3-MONTH('2025'!$I$1)&gt;=1),"",K29)))</f>
        <v>738020</v>
      </c>
      <c r="M29" s="179">
        <f ca="1">IF(M6="",0,IF($D$1-YEAR('2025'!$I$1)&gt;0,"",IF(AND($D$1-YEAR('2025'!$I$1)=0,M3-MONTH('2025'!$I$1)&gt;=1),"",L29)))</f>
        <v>738020</v>
      </c>
      <c r="N29" s="211">
        <f t="shared" ca="1" si="2"/>
        <v>8706720</v>
      </c>
    </row>
    <row r="30" spans="1:20" ht="9.75" customHeight="1">
      <c r="A30" s="182" t="s">
        <v>58</v>
      </c>
      <c r="B30" s="179">
        <f ca="1">IF(B6="","",'2038'!M30)</f>
        <v>302250</v>
      </c>
      <c r="C30" s="179">
        <f ca="1">IF(C6="","",B30)</f>
        <v>302250</v>
      </c>
      <c r="D30" s="179">
        <f ca="1">IF(D6="","",C30)</f>
        <v>302250</v>
      </c>
      <c r="E30" s="857">
        <f ca="1">IF(E6="","",VLOOKUP(E$4,집계표!$AK$5:$HA$47,$N$1*4))</f>
        <v>318370</v>
      </c>
      <c r="F30" s="179">
        <f ca="1">IF(F6="","",E30)</f>
        <v>318370</v>
      </c>
      <c r="G30" s="179">
        <f t="shared" ref="G30:M30" ca="1" si="20">IF(G6="","",F30)</f>
        <v>318370</v>
      </c>
      <c r="H30" s="179">
        <f t="shared" ca="1" si="20"/>
        <v>318370</v>
      </c>
      <c r="I30" s="179">
        <f t="shared" ca="1" si="20"/>
        <v>318370</v>
      </c>
      <c r="J30" s="179">
        <f t="shared" ca="1" si="20"/>
        <v>318370</v>
      </c>
      <c r="K30" s="179">
        <f t="shared" ca="1" si="20"/>
        <v>318370</v>
      </c>
      <c r="L30" s="179">
        <f t="shared" ca="1" si="20"/>
        <v>318370</v>
      </c>
      <c r="M30" s="179">
        <f t="shared" ca="1" si="20"/>
        <v>318370</v>
      </c>
      <c r="N30" s="211">
        <f t="shared" ca="1" si="2"/>
        <v>3772080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30980</v>
      </c>
      <c r="C31" s="179">
        <f t="shared" ca="1" si="21"/>
        <v>30980</v>
      </c>
      <c r="D31" s="179">
        <f t="shared" ca="1" si="21"/>
        <v>30980</v>
      </c>
      <c r="E31" s="179">
        <f t="shared" ca="1" si="21"/>
        <v>32630</v>
      </c>
      <c r="F31" s="179">
        <f t="shared" ca="1" si="21"/>
        <v>32630</v>
      </c>
      <c r="G31" s="179">
        <f t="shared" ca="1" si="21"/>
        <v>32630</v>
      </c>
      <c r="H31" s="179">
        <f t="shared" ca="1" si="21"/>
        <v>32630</v>
      </c>
      <c r="I31" s="179">
        <f t="shared" ca="1" si="21"/>
        <v>32630</v>
      </c>
      <c r="J31" s="179">
        <f ca="1">IF(J$6="","",ROUND(IF(J4="","",J30*10.25%),-1))</f>
        <v>32630</v>
      </c>
      <c r="K31" s="179">
        <f t="shared" ref="K31:M31" ca="1" si="22">IF(K$6="","",ROUND(IF(K4="","",K30*10.25%),-1))</f>
        <v>32630</v>
      </c>
      <c r="L31" s="179">
        <f t="shared" ca="1" si="22"/>
        <v>32630</v>
      </c>
      <c r="M31" s="179">
        <f t="shared" ca="1" si="22"/>
        <v>32630</v>
      </c>
      <c r="N31" s="211">
        <f t="shared" ca="1" si="2"/>
        <v>386610</v>
      </c>
    </row>
    <row r="32" spans="1:20" ht="9.75" customHeight="1">
      <c r="A32" s="597" t="str">
        <f>'2038'!A32</f>
        <v>교직원공제비</v>
      </c>
      <c r="B32" s="621">
        <f ca="1">IF(B$6="","",'2038'!B32)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'2038'!A33</f>
        <v>급식비</v>
      </c>
      <c r="B33" s="621">
        <f ca="1">IF(B$6="","",'2038'!B33)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IF(B$6="",0,'2038'!M34)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IF(B$6="",0,'2038'!M38)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IF(B$6="",0,'2038'!M39)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2283330</v>
      </c>
      <c r="C40" s="216">
        <f t="shared" ca="1" si="28"/>
        <v>2295400</v>
      </c>
      <c r="D40" s="216">
        <f t="shared" ca="1" si="28"/>
        <v>2307450</v>
      </c>
      <c r="E40" s="216">
        <f t="shared" ca="1" si="28"/>
        <v>2699170</v>
      </c>
      <c r="F40" s="216">
        <f t="shared" ca="1" si="28"/>
        <v>2748610</v>
      </c>
      <c r="G40" s="216">
        <f t="shared" ca="1" si="28"/>
        <v>2760670</v>
      </c>
      <c r="H40" s="216">
        <f t="shared" ca="1" si="28"/>
        <v>2772740</v>
      </c>
      <c r="I40" s="216">
        <f t="shared" ca="1" si="28"/>
        <v>2784790</v>
      </c>
      <c r="J40" s="216">
        <f ca="1">IF(J26="","",SUM(J27:J39))</f>
        <v>2796860</v>
      </c>
      <c r="K40" s="216">
        <f t="shared" ref="K40:M40" ca="1" si="29">IF(K26="","",SUM(K27:K39))</f>
        <v>2808930</v>
      </c>
      <c r="L40" s="216">
        <f t="shared" ca="1" si="29"/>
        <v>2820980</v>
      </c>
      <c r="M40" s="216">
        <f t="shared" ca="1" si="29"/>
        <v>2833050</v>
      </c>
      <c r="N40" s="216">
        <f ca="1">SUM(B40:M40)</f>
        <v>31911980</v>
      </c>
    </row>
    <row r="41" spans="1:14" ht="9.75" customHeight="1">
      <c r="A41" s="183" t="s">
        <v>79</v>
      </c>
      <c r="B41" s="184">
        <f ca="1">ROUND((B26-B40),-1)</f>
        <v>10808960</v>
      </c>
      <c r="C41" s="184">
        <f t="shared" ref="C41:M41" ca="1" si="30">ROUND((C26-C40),-1)</f>
        <v>4334500</v>
      </c>
      <c r="D41" s="184">
        <f t="shared" ca="1" si="30"/>
        <v>10706510</v>
      </c>
      <c r="E41" s="184">
        <f t="shared" ca="1" si="30"/>
        <v>4322360</v>
      </c>
      <c r="F41" s="184">
        <f t="shared" ca="1" si="30"/>
        <v>4272920</v>
      </c>
      <c r="G41" s="184">
        <f t="shared" ca="1" si="30"/>
        <v>4260860</v>
      </c>
      <c r="H41" s="184">
        <f t="shared" ca="1" si="30"/>
        <v>7281640</v>
      </c>
      <c r="I41" s="184">
        <f t="shared" ca="1" si="30"/>
        <v>4236740</v>
      </c>
      <c r="J41" s="184">
        <f t="shared" ca="1" si="30"/>
        <v>4164420</v>
      </c>
      <c r="K41" s="184">
        <f t="shared" ca="1" si="30"/>
        <v>7852020</v>
      </c>
      <c r="L41" s="184">
        <f t="shared" ca="1" si="30"/>
        <v>4200550</v>
      </c>
      <c r="M41" s="184">
        <f t="shared" ca="1" si="30"/>
        <v>4389310</v>
      </c>
      <c r="N41" s="184">
        <f ca="1">SUM(B41:M41)</f>
        <v>70830790</v>
      </c>
    </row>
    <row r="42" spans="1:14" ht="9.75" customHeight="1">
      <c r="A42" s="217" t="str">
        <f>'2038'!A42</f>
        <v>12)지출내용입력1</v>
      </c>
      <c r="B42" s="211">
        <f>'2038'!M42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'2038'!A43</f>
        <v>지출내용입력2</v>
      </c>
      <c r="B43" s="211">
        <f>'2038'!M43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'2038'!A44</f>
        <v>지출내용입력3</v>
      </c>
      <c r="B44" s="211">
        <f>'2038'!M44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'2038'!A45</f>
        <v>지출내용입력4</v>
      </c>
      <c r="B45" s="211">
        <f>'2038'!M45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'2038'!A46</f>
        <v>지출내용입력5</v>
      </c>
      <c r="B46" s="211">
        <f>'2038'!M46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'2038'!A47</f>
        <v>지출내용입력6</v>
      </c>
      <c r="B47" s="211">
        <f>'2038'!M47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'2038'!A48</f>
        <v>지출내용입력7</v>
      </c>
      <c r="B48" s="211">
        <f>'2038'!M48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'2038'!A49</f>
        <v>지출내용입력8</v>
      </c>
      <c r="B49" s="211">
        <f>'2038'!M49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'2038'!A50</f>
        <v>지출내용입력9</v>
      </c>
      <c r="B50" s="211">
        <f>'2038'!M50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'2038'!A51</f>
        <v>지출내용입력10</v>
      </c>
      <c r="B51" s="211">
        <f>'2038'!M51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10808860</v>
      </c>
      <c r="C53" s="188">
        <f t="shared" ca="1" si="33"/>
        <v>4334400</v>
      </c>
      <c r="D53" s="188">
        <f t="shared" ca="1" si="33"/>
        <v>10706410</v>
      </c>
      <c r="E53" s="188">
        <f t="shared" ca="1" si="33"/>
        <v>4322260</v>
      </c>
      <c r="F53" s="188">
        <f t="shared" ca="1" si="33"/>
        <v>4272820</v>
      </c>
      <c r="G53" s="188">
        <f t="shared" ca="1" si="33"/>
        <v>4260760</v>
      </c>
      <c r="H53" s="188">
        <f t="shared" ca="1" si="33"/>
        <v>7281540</v>
      </c>
      <c r="I53" s="188">
        <f t="shared" ca="1" si="33"/>
        <v>4236640</v>
      </c>
      <c r="J53" s="188">
        <f t="shared" ca="1" si="33"/>
        <v>4164320</v>
      </c>
      <c r="K53" s="188">
        <f t="shared" ca="1" si="33"/>
        <v>7851920</v>
      </c>
      <c r="L53" s="188">
        <f t="shared" ca="1" si="33"/>
        <v>4200450</v>
      </c>
      <c r="M53" s="188">
        <f t="shared" ca="1" si="33"/>
        <v>4389210</v>
      </c>
      <c r="N53" s="188">
        <f t="shared" ca="1" si="33"/>
        <v>70829590</v>
      </c>
    </row>
    <row r="55" spans="1:14" ht="18">
      <c r="A55" s="1232" t="str">
        <f ca="1">D1</f>
        <v>2039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726814.00000000012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826606.00000000012</v>
      </c>
      <c r="F57" s="688">
        <f ca="1">IF(F6="",0,VLOOKUP(F26-F17-100000,'2015 근로소득 간이세액표'!$C$4:$N$845,1+$M$55)*1.1)</f>
        <v>826606.00000000012</v>
      </c>
      <c r="G57" s="688">
        <f ca="1">IF(G6="",0,VLOOKUP(G26-G17-100000,'2015 근로소득 간이세액표'!$C$4:$N$845,1+$M$55)*1.1)</f>
        <v>826606.00000000012</v>
      </c>
      <c r="H57" s="688">
        <f ca="1">IF(H6="",0,VLOOKUP(H26-H17-100000,'2015 근로소득 간이세액표'!$C$4:$N$845,1+$M$55)*1.1)</f>
        <v>1675190.0000000002</v>
      </c>
      <c r="I57" s="688">
        <f ca="1">IF(I6="",0,VLOOKUP(I26-I17-100000,'2015 근로소득 간이세액표'!$C$4:$N$845,1+$M$55)*1.1)</f>
        <v>826606.00000000012</v>
      </c>
      <c r="J57" s="688">
        <f ca="1">IF(J6="",0,VLOOKUP(J26-J17-100000,'2015 근로소득 간이세액표'!$C$4:$N$845,1+$M$55)*1.1)</f>
        <v>811635.00000000012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826606.00000000012</v>
      </c>
      <c r="M57" s="688">
        <f ca="1">IF(M6="",0,VLOOKUP(M26-M17-100000,'2015 근로소득 간이세액표'!$C$4:$N$845,1+$M$55)*1.1)</f>
        <v>876502.00000000012</v>
      </c>
      <c r="N57" s="689">
        <f ca="1">SUM(B57:M57)</f>
        <v>13372623.000000002</v>
      </c>
    </row>
    <row r="58" spans="1:14" ht="10" customHeight="1">
      <c r="A58" s="687" t="s">
        <v>295</v>
      </c>
      <c r="B58" s="689">
        <f t="shared" ref="B58:M58" ca="1" si="34">IF(B6="",0,B27+B28)</f>
        <v>928820</v>
      </c>
      <c r="C58" s="689">
        <f t="shared" ca="1" si="34"/>
        <v>940890</v>
      </c>
      <c r="D58" s="689">
        <f t="shared" ca="1" si="34"/>
        <v>952940</v>
      </c>
      <c r="E58" s="689">
        <f t="shared" ca="1" si="34"/>
        <v>1326890</v>
      </c>
      <c r="F58" s="689">
        <f t="shared" ca="1" si="34"/>
        <v>1338950</v>
      </c>
      <c r="G58" s="689">
        <f t="shared" ca="1" si="34"/>
        <v>1351010</v>
      </c>
      <c r="H58" s="689">
        <f t="shared" ca="1" si="34"/>
        <v>1363080</v>
      </c>
      <c r="I58" s="689">
        <f t="shared" ca="1" si="34"/>
        <v>1375130</v>
      </c>
      <c r="J58" s="689">
        <f t="shared" ca="1" si="34"/>
        <v>1387200</v>
      </c>
      <c r="K58" s="689">
        <f t="shared" ca="1" si="34"/>
        <v>1399270</v>
      </c>
      <c r="L58" s="689">
        <f t="shared" ca="1" si="34"/>
        <v>1411320</v>
      </c>
      <c r="M58" s="689">
        <f t="shared" ca="1" si="34"/>
        <v>1423390</v>
      </c>
      <c r="N58" s="689">
        <f ca="1">SUM(B58:M58)</f>
        <v>15198890</v>
      </c>
    </row>
    <row r="59" spans="1:14" ht="10" customHeight="1">
      <c r="A59" s="680" t="s">
        <v>546</v>
      </c>
      <c r="B59" s="684">
        <f ca="1">B57-B58</f>
        <v>787664.00000000023</v>
      </c>
      <c r="C59" s="684">
        <f t="shared" ref="C59:N59" ca="1" si="35">C57-C58</f>
        <v>-214075.99999999988</v>
      </c>
      <c r="D59" s="684">
        <f t="shared" ca="1" si="35"/>
        <v>763544.00000000023</v>
      </c>
      <c r="E59" s="684">
        <f t="shared" ca="1" si="35"/>
        <v>-500283.99999999988</v>
      </c>
      <c r="F59" s="684">
        <f t="shared" ca="1" si="35"/>
        <v>-512343.99999999988</v>
      </c>
      <c r="G59" s="684">
        <f t="shared" ca="1" si="35"/>
        <v>-524403.99999999988</v>
      </c>
      <c r="H59" s="684">
        <f t="shared" ca="1" si="35"/>
        <v>312110.00000000023</v>
      </c>
      <c r="I59" s="684">
        <f t="shared" ca="1" si="35"/>
        <v>-548523.99999999988</v>
      </c>
      <c r="J59" s="684">
        <f t="shared" ca="1" si="35"/>
        <v>-575564.99999999988</v>
      </c>
      <c r="K59" s="684">
        <f t="shared" ca="1" si="35"/>
        <v>317214.00000000023</v>
      </c>
      <c r="L59" s="684">
        <f t="shared" ca="1" si="35"/>
        <v>-584713.99999999988</v>
      </c>
      <c r="M59" s="684">
        <f t="shared" ca="1" si="35"/>
        <v>-546887.99999999988</v>
      </c>
      <c r="N59" s="684">
        <f t="shared" ca="1" si="35"/>
        <v>-1826266.9999999981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-1826266.9999999981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6mv5JN43NT12AaqKHSx9VxPx1rHLCr6dnSNm/2+PF4xTljfd/9yS2uIzEWnJfnOuaIkRIJ06JTl8yxlp5wrn2w==" saltValue="Ph3q1Wm1+Wxe6rSrFQdFh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63" priority="8">
      <formula>$E$2="y"</formula>
    </cfRule>
    <cfRule type="expression" dxfId="362" priority="9">
      <formula>$D$2="Y"</formula>
    </cfRule>
    <cfRule type="expression" dxfId="361" priority="10">
      <formula>$F$2="y"</formula>
    </cfRule>
  </conditionalFormatting>
  <conditionalFormatting sqref="B27:M27">
    <cfRule type="expression" dxfId="360" priority="1">
      <formula>$F$2="y"</formula>
    </cfRule>
  </conditionalFormatting>
  <conditionalFormatting sqref="D16">
    <cfRule type="expression" dxfId="359" priority="26">
      <formula>$E$2="y"</formula>
    </cfRule>
    <cfRule type="expression" dxfId="358" priority="27">
      <formula>$E$2="y"</formula>
    </cfRule>
    <cfRule type="expression" dxfId="357" priority="28">
      <formula>$F$2="y"</formula>
    </cfRule>
  </conditionalFormatting>
  <conditionalFormatting sqref="D18">
    <cfRule type="expression" dxfId="356" priority="23">
      <formula>$E$2="y"</formula>
    </cfRule>
    <cfRule type="expression" dxfId="355" priority="24">
      <formula>$E$2="y"</formula>
    </cfRule>
    <cfRule type="expression" dxfId="354" priority="25">
      <formula>$F$2="y"</formula>
    </cfRule>
  </conditionalFormatting>
  <conditionalFormatting sqref="J12:K12">
    <cfRule type="expression" dxfId="353" priority="5">
      <formula>$E$2="y"</formula>
    </cfRule>
    <cfRule type="expression" dxfId="352" priority="6">
      <formula>$D$2="Y"</formula>
    </cfRule>
    <cfRule type="expression" dxfId="351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23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24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25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27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E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2040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집계표!R119</f>
        <v>2</v>
      </c>
      <c r="M1" s="627">
        <f>집계표!R122</f>
        <v>1</v>
      </c>
      <c r="N1" s="618">
        <v>16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집계표!BA53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IF('2039'!M4&gt;=50,50,IF(AND('2039'!M4=50,M$3=$N$5),"",IF(B3=$N$5,'2039'!M4+1,'2039'!M4)))</f>
        <v>27</v>
      </c>
      <c r="C4" s="176">
        <f>IF(B4&gt;=50,50,IF(AND(B4=50,C$3=$N$5),50,IF(C$3=$N$5,B4+1,B4)))</f>
        <v>27</v>
      </c>
      <c r="D4" s="176">
        <f t="shared" ref="D4:M4" si="0">IF(C4&gt;=50,50,IF(AND(C4=50,D$3=$N$5),50,IF(D$3=$N$5,C4+1,C4)))</f>
        <v>28</v>
      </c>
      <c r="E4" s="176">
        <f t="shared" si="0"/>
        <v>28</v>
      </c>
      <c r="F4" s="176">
        <f t="shared" si="0"/>
        <v>28</v>
      </c>
      <c r="G4" s="176">
        <f t="shared" si="0"/>
        <v>28</v>
      </c>
      <c r="H4" s="176">
        <f t="shared" si="0"/>
        <v>28</v>
      </c>
      <c r="I4" s="176">
        <f t="shared" si="0"/>
        <v>28</v>
      </c>
      <c r="J4" s="176">
        <f t="shared" si="0"/>
        <v>28</v>
      </c>
      <c r="K4" s="176">
        <f t="shared" si="0"/>
        <v>28</v>
      </c>
      <c r="L4" s="176">
        <f t="shared" si="0"/>
        <v>28</v>
      </c>
      <c r="M4" s="176">
        <f t="shared" si="0"/>
        <v>28</v>
      </c>
      <c r="N4" s="202" t="s">
        <v>124</v>
      </c>
    </row>
    <row r="5" spans="1:14" ht="9.75" customHeight="1">
      <c r="A5" s="208" t="s">
        <v>134</v>
      </c>
      <c r="B5" s="356">
        <f>IF(B$3=$N$5,'2039'!M5+1,'2039'!M5)</f>
        <v>17</v>
      </c>
      <c r="C5" s="209">
        <f>IF(C$3=$N$5,B5+1,B5)</f>
        <v>17</v>
      </c>
      <c r="D5" s="209">
        <f t="shared" ref="D5:M5" si="1">IF(D$3=$N$5,C5+1,C5)</f>
        <v>18</v>
      </c>
      <c r="E5" s="209">
        <f t="shared" si="1"/>
        <v>18</v>
      </c>
      <c r="F5" s="209">
        <f t="shared" si="1"/>
        <v>18</v>
      </c>
      <c r="G5" s="209">
        <f t="shared" si="1"/>
        <v>18</v>
      </c>
      <c r="H5" s="209">
        <f t="shared" si="1"/>
        <v>18</v>
      </c>
      <c r="I5" s="209">
        <f t="shared" si="1"/>
        <v>18</v>
      </c>
      <c r="J5" s="209">
        <f t="shared" si="1"/>
        <v>18</v>
      </c>
      <c r="K5" s="209">
        <f t="shared" si="1"/>
        <v>18</v>
      </c>
      <c r="L5" s="209">
        <f t="shared" si="1"/>
        <v>18</v>
      </c>
      <c r="M5" s="209">
        <f t="shared" si="1"/>
        <v>18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6217300</v>
      </c>
      <c r="C6" s="211">
        <f ca="1">IF($D$1-YEAR($B$1)&gt;0,"",IF(AND($D$1-YEAR($B$1)=0,C3-MONTH($B$1)&gt;=1),"",VLOOKUP(C4,gibon40!$D$4:$AT$47,$N$1,1)))</f>
        <v>6217300</v>
      </c>
      <c r="D6" s="211">
        <f ca="1">IF($D$1-YEAR($B$1)&gt;0,"",IF(AND($D$1-YEAR($B$1)=0,D3-MONTH($B$1)&gt;=1),"",VLOOKUP(D4,gibon40!$D$4:$AT$47,$N$1,1)))</f>
        <v>6412300</v>
      </c>
      <c r="E6" s="211">
        <f ca="1">IF($D$1-YEAR($B$1)&gt;0,"",IF(AND($D$1-YEAR($B$1)=0,E3-MONTH($B$1)&gt;=1),"",VLOOKUP(E4,gibon40!$D$4:$AT$47,$N$1,1)))</f>
        <v>6412300</v>
      </c>
      <c r="F6" s="211">
        <f ca="1">IF($D$1-YEAR($B$1)&gt;0,"",IF(AND($D$1-YEAR($B$1)=0,F3-MONTH($B$1)&gt;=1),"",VLOOKUP(F4,gibon40!$D$4:$AT$47,$N$1,1)))</f>
        <v>6412300</v>
      </c>
      <c r="G6" s="211">
        <f ca="1">IF($D$1-YEAR($B$1)&gt;0,"",IF(AND($D$1-YEAR($B$1)=0,G3-MONTH($B$1)&gt;=1),"",VLOOKUP(G4,gibon40!$D$4:$AT$47,$N$1,1)))</f>
        <v>6412300</v>
      </c>
      <c r="H6" s="211">
        <f ca="1">IF($D$1-YEAR($B$1)&gt;0,"",IF(AND($D$1-YEAR($B$1)=0,H3-MONTH($B$1)&gt;=1),"",VLOOKUP(H4,gibon40!$D$4:$AT$47,$N$1,1)))</f>
        <v>6412300</v>
      </c>
      <c r="I6" s="211">
        <f ca="1">IF($D$1-YEAR($B$1)&gt;0,"",IF(AND($D$1-YEAR($B$1)=0,I3-MONTH($B$1)&gt;=1),"",VLOOKUP(I4,gibon40!$D$4:$AT$47,$N$1,1)))</f>
        <v>6412300</v>
      </c>
      <c r="J6" s="211">
        <f ca="1">IF($D$1-YEAR($B$1)&gt;0,"",IF(AND($D$1-YEAR($B$1)=0,J3-MONTH($B$1)&gt;=1),"",VLOOKUP(J4,gibon40!$D$4:$AT$47,$N$1,1)))</f>
        <v>6412300</v>
      </c>
      <c r="K6" s="211">
        <f ca="1">IF($D$1-YEAR($B$1)&gt;0,"",IF(AND($D$1-YEAR($B$1)=0,K3-MONTH($B$1)&gt;=1),"",VLOOKUP(K4,gibon40!$D$4:$AT$47,$N$1,1)))</f>
        <v>6412300</v>
      </c>
      <c r="L6" s="211">
        <f ca="1">IF($D$1-YEAR($B$1)&gt;0,"",IF(AND($D$1-YEAR($B$1)=0,L3-MONTH($B$1)&gt;=1),"",VLOOKUP(L4,gibon40!$D$4:$AT$47,$N$1,1)))</f>
        <v>6412300</v>
      </c>
      <c r="M6" s="211">
        <f ca="1">IF($D$1-YEAR($B$1)&gt;0,"",IF(AND($D$1-YEAR($B$1)=0,M3-MONTH($B$1)&gt;=1),"",VLOOKUP(M4,gibon40!$D$4:$AT$47,$N$1,1)))</f>
        <v>6412300</v>
      </c>
      <c r="N6" s="211">
        <f t="shared" ref="N6:N52" ca="1" si="2">SUM(B6:M6)</f>
        <v>76557600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3108650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3206150</v>
      </c>
      <c r="I7" s="180"/>
      <c r="J7" s="180"/>
      <c r="K7" s="180"/>
      <c r="L7" s="180"/>
      <c r="M7" s="180"/>
      <c r="N7" s="211">
        <f t="shared" ca="1" si="2"/>
        <v>6314800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80000</v>
      </c>
      <c r="C8" s="179">
        <f t="shared" ref="C8:M8" ca="1" si="3">IF(C4="","",IF(C6="","",IF(C5&gt;=20,100000,IF(C5&gt;=15,80000,IF(C5&gt;=10,60000,IF(C5&gt;=5,50000,30000))))))</f>
        <v>80000</v>
      </c>
      <c r="D8" s="179">
        <f t="shared" ca="1" si="3"/>
        <v>80000</v>
      </c>
      <c r="E8" s="179">
        <f t="shared" ca="1" si="3"/>
        <v>80000</v>
      </c>
      <c r="F8" s="179">
        <f t="shared" ca="1" si="3"/>
        <v>80000</v>
      </c>
      <c r="G8" s="179">
        <f t="shared" ca="1" si="3"/>
        <v>80000</v>
      </c>
      <c r="H8" s="179">
        <f t="shared" ca="1" si="3"/>
        <v>80000</v>
      </c>
      <c r="I8" s="179">
        <f t="shared" ca="1" si="3"/>
        <v>80000</v>
      </c>
      <c r="J8" s="179">
        <f t="shared" ca="1" si="3"/>
        <v>80000</v>
      </c>
      <c r="K8" s="179">
        <f t="shared" ca="1" si="3"/>
        <v>80000</v>
      </c>
      <c r="L8" s="179">
        <f t="shared" ca="1" si="3"/>
        <v>80000</v>
      </c>
      <c r="M8" s="179">
        <f t="shared" ca="1" si="3"/>
        <v>80000</v>
      </c>
      <c r="N8" s="211">
        <f t="shared" ca="1" si="2"/>
        <v>960000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6279490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6279490</v>
      </c>
    </row>
    <row r="11" spans="1:14" ht="9.75" customHeight="1">
      <c r="A11" s="178" t="s">
        <v>63</v>
      </c>
      <c r="B11" s="179">
        <f ca="1">IF(B$6="",0,'2039'!M11)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3730380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3847380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7577760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IF(B$6="",0,'2039'!M15)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IF(B$6="",0,'2039'!M16)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IF(B$6="",0,'2039'!M18)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IF(B$6="",0,'2039'!M19)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68620</v>
      </c>
      <c r="E21" s="179">
        <f ca="1">IF(D4="","",IF(E$6="","",ROUND(VLOOKUP(E4,gibon40!$D$51:$AV$100,$N$1+1)*10*15/15,-1)))</f>
        <v>205850</v>
      </c>
      <c r="F21" s="179">
        <f ca="1">IF(E4="","",IF(F$6="","",ROUND(VLOOKUP(F4,gibon40!$D$51:$AV$100,$N$1+1)*10*15/15,-1)))</f>
        <v>205850</v>
      </c>
      <c r="G21" s="179">
        <f ca="1">IF(F4="","",IF(G$6="","",ROUND(VLOOKUP(G4,gibon40!$D$51:$AV$100,$N$1+1)*10*15/15,-1)))</f>
        <v>205850</v>
      </c>
      <c r="H21" s="179">
        <f ca="1">IF(G4="","",IF(H$6="","",ROUND(VLOOKUP(H4,gibon40!$D$51:$AV$100,$N$1+1)*10*15/15,-1)))</f>
        <v>205850</v>
      </c>
      <c r="I21" s="179">
        <f ca="1">IF(H4="","",IF(I$6="","",ROUND(VLOOKUP(I4,gibon40!$D$51:$AV$100,$N$1+1)*10*15/15,-1)))</f>
        <v>205850</v>
      </c>
      <c r="J21" s="179">
        <f ca="1">IF(I4="","",IF(J$6="","",ROUND(VLOOKUP(J4,gibon40!$D$51:$AV$100,$N$1+1)*7*15/15,-1)))</f>
        <v>144100</v>
      </c>
      <c r="K21" s="179">
        <f ca="1">IF(J4="","",IF(K$6="","",ROUND(VLOOKUP(K4,gibon40!$D$51:$AV$100,$N$1+1)*10*15/15,-1)))</f>
        <v>205850</v>
      </c>
      <c r="L21" s="179">
        <f ca="1">IF(K4="","",IF(L$6="","",ROUND(VLOOKUP(L4,gibon40!$D$51:$AV$100,$N$1+1)*10*15/15,-1)))</f>
        <v>205850</v>
      </c>
      <c r="M21" s="179">
        <f ca="1">IF(L4="","",IF(M$6="","",ROUND(VLOOKUP(M4,gibon40!$D$51:$AV$100,$N$1+1)*10*15/15*2,-1)))</f>
        <v>411700</v>
      </c>
      <c r="N21" s="211">
        <f t="shared" ca="1" si="2"/>
        <v>2065370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IF(B$6="",0,'2039'!M23)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IF(B$6="",0,'2039'!M24)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'2039'!A25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10080950</v>
      </c>
      <c r="C26" s="213">
        <f t="shared" ref="C26:M26" ca="1" si="16">ROUNDDOWN(SUM(C6:C25),-1)</f>
        <v>10702680</v>
      </c>
      <c r="D26" s="213">
        <f t="shared" ca="1" si="16"/>
        <v>13515410</v>
      </c>
      <c r="E26" s="213">
        <f t="shared" ca="1" si="16"/>
        <v>7373150</v>
      </c>
      <c r="F26" s="213">
        <f t="shared" ca="1" si="16"/>
        <v>7373150</v>
      </c>
      <c r="G26" s="213">
        <f t="shared" ca="1" si="16"/>
        <v>7373150</v>
      </c>
      <c r="H26" s="213">
        <f t="shared" ca="1" si="16"/>
        <v>10579300</v>
      </c>
      <c r="I26" s="213">
        <f t="shared" ca="1" si="16"/>
        <v>7373150</v>
      </c>
      <c r="J26" s="213">
        <f t="shared" ca="1" si="16"/>
        <v>11158780</v>
      </c>
      <c r="K26" s="213">
        <f t="shared" ca="1" si="16"/>
        <v>7373150</v>
      </c>
      <c r="L26" s="213">
        <f t="shared" ca="1" si="16"/>
        <v>7373150</v>
      </c>
      <c r="M26" s="213">
        <f t="shared" ca="1" si="16"/>
        <v>7579000</v>
      </c>
      <c r="N26" s="214">
        <f ca="1">SUM(B26:M26)</f>
        <v>107855020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923660</v>
      </c>
      <c r="C27" s="179">
        <f ca="1">IF(C6="",0,ROUND(VLOOKUP(($N$26-1200000-$N$17-$N$16)/12,'2015근로소득간이세액표'!$C$4:$Z$700,$A$27+1)*0.78*O27,-1))</f>
        <v>935660</v>
      </c>
      <c r="D27" s="179">
        <f ca="1">IF(D6="",0,ROUND(VLOOKUP(($N$26-1200000-$N$17-$N$16)/12,'2015근로소득간이세액표'!$C$4:$Z$700,$A$27+1)*0.79*O27,-1))</f>
        <v>947650</v>
      </c>
      <c r="E27" s="179">
        <f ca="1">IF(E6="",0,ROUND(VLOOKUP(($N$26-1200000-$N$17-$N$16)/12,'2015근로소득간이세액표'!$C$4:$Z$700,$A$27+1)*1.1*O27,-1))</f>
        <v>1319520</v>
      </c>
      <c r="F27" s="179">
        <f ca="1">IF(F6="",0,ROUND(VLOOKUP(($N$26-1200000-$N$17-$N$16)/12,'2015근로소득간이세액표'!$C$4:$Z$700,$A$27+1)*1.11*O27,-1))</f>
        <v>1331510</v>
      </c>
      <c r="G27" s="179">
        <f ca="1">IF(G6="",0,ROUND(VLOOKUP(($N$26-1200000-$N$17-$N$16)/12,'2015근로소득간이세액표'!$C$4:$Z$700,$A$27+1)*1.12*O27,-1))</f>
        <v>1343510</v>
      </c>
      <c r="H27" s="179">
        <f ca="1">IF(H6="",0,ROUND(VLOOKUP(($N$26-1200000-$N$17-$N$16)/12,'2015근로소득간이세액표'!$C$4:$Z$700,$A$27+1)*1.13*O27,-1))</f>
        <v>1355500</v>
      </c>
      <c r="I27" s="179">
        <f ca="1">IF(I6="",0,ROUND(VLOOKUP(($N$26-1200000-$N$17-$N$16)/12,'2015근로소득간이세액표'!$C$4:$Z$700,$A$27+1)*1.14*O27,-1))</f>
        <v>1367500</v>
      </c>
      <c r="J27" s="179">
        <f ca="1">IF(J6="",0,ROUND(VLOOKUP(($N$26-1200000-$N$17-$N$16)/12,'2015근로소득간이세액표'!$C$4:$Z$700,$A$27+1)*1.15*O27,-1))</f>
        <v>1379490</v>
      </c>
      <c r="K27" s="179">
        <f ca="1">IF(K6="",0,ROUND(VLOOKUP(($N$26-1200000-$N$17-$N$16)/12,'2015근로소득간이세액표'!$C$4:$Z$700,$A$27+1)*1.16*O27,-1))</f>
        <v>1391490</v>
      </c>
      <c r="L27" s="179">
        <f ca="1">IF(L6="",0,ROUND(VLOOKUP(($N$26-1200000-$N$17-$N$16)/12,'2015근로소득간이세액표'!$C$4:$Z$700,$A$27+1)*1.17*O27,-1))</f>
        <v>1403490</v>
      </c>
      <c r="M27" s="179">
        <f ca="1">IF(M6="",0,ROUND(VLOOKUP(($N$26-1200000-$N$17-$N$16)/12,'2015근로소득간이세액표'!$C$4:$Z$700,$A$27+1)*1.18*O27,-1))</f>
        <v>1415480</v>
      </c>
      <c r="N27" s="179">
        <f t="shared" ref="N27:N28" ca="1" si="17">SUM(B27:M27)</f>
        <v>15114460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92370</v>
      </c>
      <c r="C28" s="179">
        <f t="shared" ca="1" si="18"/>
        <v>93570</v>
      </c>
      <c r="D28" s="179">
        <f t="shared" ca="1" si="18"/>
        <v>94770</v>
      </c>
      <c r="E28" s="179">
        <f t="shared" ca="1" si="18"/>
        <v>131950</v>
      </c>
      <c r="F28" s="179">
        <f t="shared" ca="1" si="18"/>
        <v>133150</v>
      </c>
      <c r="G28" s="179">
        <f t="shared" ca="1" si="18"/>
        <v>134350</v>
      </c>
      <c r="H28" s="179">
        <f t="shared" ca="1" si="18"/>
        <v>135550</v>
      </c>
      <c r="I28" s="179">
        <f t="shared" ca="1" si="18"/>
        <v>136750</v>
      </c>
      <c r="J28" s="179">
        <f ca="1">IF(J$6="","",ROUND(J27*0.1,-1))</f>
        <v>137950</v>
      </c>
      <c r="K28" s="179">
        <f t="shared" ref="K28:M28" ca="1" si="19">IF(K$6="","",ROUND(K27*0.1,-1))</f>
        <v>139150</v>
      </c>
      <c r="L28" s="179">
        <f t="shared" ca="1" si="19"/>
        <v>140350</v>
      </c>
      <c r="M28" s="179">
        <f t="shared" ca="1" si="19"/>
        <v>141550</v>
      </c>
      <c r="N28" s="179">
        <f t="shared" ca="1" si="17"/>
        <v>1511460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IF(B4="","",IF(B6="","",IF($D$1-YEAR('2025'!$I$1)&gt;0,"",IF(AND($D$1-YEAR('2025'!$I$1)=0,B3-MONTH('2025'!$I$1)&gt;=1),"",'2039'!M29))))</f>
        <v>738020</v>
      </c>
      <c r="C29" s="179">
        <f ca="1">IF(C4="","",IF(C6="","",IF($D$1-YEAR('2025'!$I$1)&gt;0,"",IF(AND($D$1-YEAR('2025'!$I$1)=0,C3-MONTH('2025'!$I$1)&gt;=1),"",B29))))</f>
        <v>738020</v>
      </c>
      <c r="D29" s="179">
        <f ca="1">IF(D4="","",IF(D6="","",IF($D$1-YEAR('2025'!$I$1)&gt;0,"",IF(AND($D$1-YEAR('2025'!$I$1)=0,D3-MONTH('2025'!$I$1)&gt;=1),"",C29))))</f>
        <v>738020</v>
      </c>
      <c r="E29" s="179">
        <f ca="1">IF(E4="","",IF(E6="","",IF($D$1-YEAR('2025'!$I$1)&gt;0,"",IF(AND($D$1-YEAR('2025'!$I$1)=0,E3-MONTH('2025'!$I$1)&gt;=1),"",D29))))</f>
        <v>738020</v>
      </c>
      <c r="F29" s="179">
        <f ca="1">IF(F4="","",IF(F$6="","",IF($D$1-YEAR('2025'!$I$1)&gt;0,"",IF(AND($D$1-YEAR('2025'!$I$1)=0,F3-MONTH('2025'!$I$1)&gt;=1),"",VLOOKUP(F$4,집계표!$AK$5:$HA$47,$N$1*3+$N$1-1+4)))))</f>
        <v>776740</v>
      </c>
      <c r="G29" s="179">
        <f ca="1">IF(G6="",0,IF($D$1-YEAR('2025'!$I$1)&gt;0,"",IF(AND($D$1-YEAR('2025'!$I$1)=0,G3-MONTH('2025'!$I$1)&gt;=1),"",F29)))</f>
        <v>776740</v>
      </c>
      <c r="H29" s="179">
        <f ca="1">IF(H6="",0,IF($D$1-YEAR('2025'!$I$1)&gt;0,"",IF(AND($D$1-YEAR('2025'!$I$1)=0,H3-MONTH('2025'!$I$1)&gt;=1),"",G29)))</f>
        <v>776740</v>
      </c>
      <c r="I29" s="179">
        <f ca="1">IF(I6="",0,IF($D$1-YEAR('2025'!$I$1)&gt;0,"",IF(AND($D$1-YEAR('2025'!$I$1)=0,I3-MONTH('2025'!$I$1)&gt;=1),"",H29)))</f>
        <v>776740</v>
      </c>
      <c r="J29" s="179">
        <f ca="1">IF(J6="",0,IF($D$1-YEAR('2025'!$I$1)&gt;0,"",IF(AND($D$1-YEAR('2025'!$I$1)=0,J3-MONTH('2025'!$I$1)&gt;=1),"",I29)))</f>
        <v>776740</v>
      </c>
      <c r="K29" s="179">
        <f ca="1">IF(K6="",0,IF($D$1-YEAR('2025'!$I$1)&gt;0,"",IF(AND($D$1-YEAR('2025'!$I$1)=0,K3-MONTH('2025'!$I$1)&gt;=1),"",J29)))</f>
        <v>776740</v>
      </c>
      <c r="L29" s="179">
        <f ca="1">IF(L6="",0,IF($D$1-YEAR('2025'!$I$1)&gt;0,"",IF(AND($D$1-YEAR('2025'!$I$1)=0,L3-MONTH('2025'!$I$1)&gt;=1),"",K29)))</f>
        <v>776740</v>
      </c>
      <c r="M29" s="179">
        <f ca="1">IF(M6="",0,IF($D$1-YEAR('2025'!$I$1)&gt;0,"",IF(AND($D$1-YEAR('2025'!$I$1)=0,M3-MONTH('2025'!$I$1)&gt;=1),"",L29)))</f>
        <v>776740</v>
      </c>
      <c r="N29" s="211">
        <f t="shared" ca="1" si="2"/>
        <v>9166000</v>
      </c>
    </row>
    <row r="30" spans="1:20" ht="9.75" customHeight="1">
      <c r="A30" s="182" t="s">
        <v>58</v>
      </c>
      <c r="B30" s="179">
        <f ca="1">IF(B6="","",'2039'!M30)</f>
        <v>318370</v>
      </c>
      <c r="C30" s="179">
        <f ca="1">IF(C6="","",B30)</f>
        <v>318370</v>
      </c>
      <c r="D30" s="179">
        <f ca="1">IF(D6="","",C30)</f>
        <v>318370</v>
      </c>
      <c r="E30" s="857">
        <f ca="1">IF(E6="","",VLOOKUP(E$4,집계표!$AK$5:$HA$47,$N$1*4))</f>
        <v>335070</v>
      </c>
      <c r="F30" s="179">
        <f ca="1">IF(F6="","",E30)</f>
        <v>335070</v>
      </c>
      <c r="G30" s="179">
        <f t="shared" ref="G30:M30" ca="1" si="20">IF(G6="","",F30)</f>
        <v>335070</v>
      </c>
      <c r="H30" s="179">
        <f t="shared" ca="1" si="20"/>
        <v>335070</v>
      </c>
      <c r="I30" s="179">
        <f t="shared" ca="1" si="20"/>
        <v>335070</v>
      </c>
      <c r="J30" s="179">
        <f t="shared" ca="1" si="20"/>
        <v>335070</v>
      </c>
      <c r="K30" s="179">
        <f t="shared" ca="1" si="20"/>
        <v>335070</v>
      </c>
      <c r="L30" s="179">
        <f t="shared" ca="1" si="20"/>
        <v>335070</v>
      </c>
      <c r="M30" s="179">
        <f t="shared" ca="1" si="20"/>
        <v>335070</v>
      </c>
      <c r="N30" s="211">
        <f t="shared" ca="1" si="2"/>
        <v>3970740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32630</v>
      </c>
      <c r="C31" s="179">
        <f t="shared" ca="1" si="21"/>
        <v>32630</v>
      </c>
      <c r="D31" s="179">
        <f t="shared" ca="1" si="21"/>
        <v>32630</v>
      </c>
      <c r="E31" s="179">
        <f t="shared" ca="1" si="21"/>
        <v>34340</v>
      </c>
      <c r="F31" s="179">
        <f t="shared" ca="1" si="21"/>
        <v>34340</v>
      </c>
      <c r="G31" s="179">
        <f t="shared" ca="1" si="21"/>
        <v>34340</v>
      </c>
      <c r="H31" s="179">
        <f t="shared" ca="1" si="21"/>
        <v>34340</v>
      </c>
      <c r="I31" s="179">
        <f t="shared" ca="1" si="21"/>
        <v>34340</v>
      </c>
      <c r="J31" s="179">
        <f ca="1">IF(J$6="","",ROUND(IF(J4="","",J30*10.25%),-1))</f>
        <v>34340</v>
      </c>
      <c r="K31" s="179">
        <f t="shared" ref="K31:M31" ca="1" si="22">IF(K$6="","",ROUND(IF(K4="","",K30*10.25%),-1))</f>
        <v>34340</v>
      </c>
      <c r="L31" s="179">
        <f t="shared" ca="1" si="22"/>
        <v>34340</v>
      </c>
      <c r="M31" s="179">
        <f t="shared" ca="1" si="22"/>
        <v>34340</v>
      </c>
      <c r="N31" s="211">
        <f t="shared" ca="1" si="2"/>
        <v>406950</v>
      </c>
    </row>
    <row r="32" spans="1:20" ht="9.75" customHeight="1">
      <c r="A32" s="597" t="str">
        <f>'2039'!A32</f>
        <v>교직원공제비</v>
      </c>
      <c r="B32" s="621">
        <f ca="1">IF(B$6="","",'2039'!B32)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'2039'!A33</f>
        <v>급식비</v>
      </c>
      <c r="B33" s="621">
        <f ca="1">IF(B$6="","",'2039'!B33)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IF(B$6="",0,'2039'!M34)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IF(B$6="",0,'2039'!M38)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IF(B$6="",0,'2039'!M39)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2425690</v>
      </c>
      <c r="C40" s="216">
        <f t="shared" ca="1" si="28"/>
        <v>2438890</v>
      </c>
      <c r="D40" s="216">
        <f t="shared" ca="1" si="28"/>
        <v>2452080</v>
      </c>
      <c r="E40" s="216">
        <f t="shared" ca="1" si="28"/>
        <v>2879540</v>
      </c>
      <c r="F40" s="216">
        <f t="shared" ca="1" si="28"/>
        <v>2931450</v>
      </c>
      <c r="G40" s="216">
        <f t="shared" ca="1" si="28"/>
        <v>2944650</v>
      </c>
      <c r="H40" s="216">
        <f t="shared" ca="1" si="28"/>
        <v>2957840</v>
      </c>
      <c r="I40" s="216">
        <f t="shared" ca="1" si="28"/>
        <v>2971040</v>
      </c>
      <c r="J40" s="216">
        <f ca="1">IF(J26="","",SUM(J27:J39))</f>
        <v>2984230</v>
      </c>
      <c r="K40" s="216">
        <f t="shared" ref="K40:M40" ca="1" si="29">IF(K26="","",SUM(K27:K39))</f>
        <v>2997430</v>
      </c>
      <c r="L40" s="216">
        <f t="shared" ca="1" si="29"/>
        <v>3010630</v>
      </c>
      <c r="M40" s="216">
        <f t="shared" ca="1" si="29"/>
        <v>3023820</v>
      </c>
      <c r="N40" s="216">
        <f ca="1">SUM(B40:M40)</f>
        <v>34017290</v>
      </c>
    </row>
    <row r="41" spans="1:14" ht="9.75" customHeight="1">
      <c r="A41" s="183" t="s">
        <v>79</v>
      </c>
      <c r="B41" s="184">
        <f ca="1">ROUND((B26-B40),-1)</f>
        <v>7655260</v>
      </c>
      <c r="C41" s="184">
        <f t="shared" ref="C41:M41" ca="1" si="30">ROUND((C26-C40),-1)</f>
        <v>8263790</v>
      </c>
      <c r="D41" s="184">
        <f t="shared" ca="1" si="30"/>
        <v>11063330</v>
      </c>
      <c r="E41" s="184">
        <f t="shared" ca="1" si="30"/>
        <v>4493610</v>
      </c>
      <c r="F41" s="184">
        <f t="shared" ca="1" si="30"/>
        <v>4441700</v>
      </c>
      <c r="G41" s="184">
        <f t="shared" ca="1" si="30"/>
        <v>4428500</v>
      </c>
      <c r="H41" s="184">
        <f t="shared" ca="1" si="30"/>
        <v>7621460</v>
      </c>
      <c r="I41" s="184">
        <f t="shared" ca="1" si="30"/>
        <v>4402110</v>
      </c>
      <c r="J41" s="184">
        <f t="shared" ca="1" si="30"/>
        <v>8174550</v>
      </c>
      <c r="K41" s="184">
        <f t="shared" ca="1" si="30"/>
        <v>4375720</v>
      </c>
      <c r="L41" s="184">
        <f t="shared" ca="1" si="30"/>
        <v>4362520</v>
      </c>
      <c r="M41" s="184">
        <f t="shared" ca="1" si="30"/>
        <v>4555180</v>
      </c>
      <c r="N41" s="184">
        <f ca="1">SUM(B41:M41)</f>
        <v>73837730</v>
      </c>
    </row>
    <row r="42" spans="1:14" ht="9.75" customHeight="1">
      <c r="A42" s="217" t="str">
        <f>'2039'!A42</f>
        <v>12)지출내용입력1</v>
      </c>
      <c r="B42" s="211">
        <f>'2039'!M42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'2039'!A43</f>
        <v>지출내용입력2</v>
      </c>
      <c r="B43" s="211">
        <f>'2039'!M43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'2039'!A44</f>
        <v>지출내용입력3</v>
      </c>
      <c r="B44" s="211">
        <f>'2039'!M44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'2039'!A45</f>
        <v>지출내용입력4</v>
      </c>
      <c r="B45" s="211">
        <f>'2039'!M45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'2039'!A46</f>
        <v>지출내용입력5</v>
      </c>
      <c r="B46" s="211">
        <f>'2039'!M46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'2039'!A47</f>
        <v>지출내용입력6</v>
      </c>
      <c r="B47" s="211">
        <f>'2039'!M47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'2039'!A48</f>
        <v>지출내용입력7</v>
      </c>
      <c r="B48" s="211">
        <f>'2039'!M48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'2039'!A49</f>
        <v>지출내용입력8</v>
      </c>
      <c r="B49" s="211">
        <f>'2039'!M49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'2039'!A50</f>
        <v>지출내용입력9</v>
      </c>
      <c r="B50" s="211">
        <f>'2039'!M50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'2039'!A51</f>
        <v>지출내용입력10</v>
      </c>
      <c r="B51" s="211">
        <f>'2039'!M51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7655160</v>
      </c>
      <c r="C53" s="188">
        <f t="shared" ca="1" si="33"/>
        <v>8263690</v>
      </c>
      <c r="D53" s="188">
        <f t="shared" ca="1" si="33"/>
        <v>11063230</v>
      </c>
      <c r="E53" s="188">
        <f t="shared" ca="1" si="33"/>
        <v>4493510</v>
      </c>
      <c r="F53" s="188">
        <f t="shared" ca="1" si="33"/>
        <v>4441600</v>
      </c>
      <c r="G53" s="188">
        <f t="shared" ca="1" si="33"/>
        <v>4428400</v>
      </c>
      <c r="H53" s="188">
        <f t="shared" ca="1" si="33"/>
        <v>7621360</v>
      </c>
      <c r="I53" s="188">
        <f t="shared" ca="1" si="33"/>
        <v>4402010</v>
      </c>
      <c r="J53" s="188">
        <f t="shared" ca="1" si="33"/>
        <v>8174450</v>
      </c>
      <c r="K53" s="188">
        <f t="shared" ca="1" si="33"/>
        <v>4375620</v>
      </c>
      <c r="L53" s="188">
        <f t="shared" ca="1" si="33"/>
        <v>4362420</v>
      </c>
      <c r="M53" s="188">
        <f t="shared" ca="1" si="33"/>
        <v>4555080</v>
      </c>
      <c r="N53" s="188">
        <f t="shared" ca="1" si="33"/>
        <v>73836530</v>
      </c>
    </row>
    <row r="55" spans="1:14" ht="18">
      <c r="A55" s="1232" t="str">
        <f ca="1">D1</f>
        <v>2040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1690205.0000000002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911427.00000000012</v>
      </c>
      <c r="F57" s="688">
        <f ca="1">IF(F6="",0,VLOOKUP(F26-F17-100000,'2015 근로소득 간이세액표'!$C$4:$N$845,1+$M$55)*1.1)</f>
        <v>911427.00000000012</v>
      </c>
      <c r="G57" s="688">
        <f ca="1">IF(G6="",0,VLOOKUP(G26-G17-100000,'2015 근로소득 간이세액표'!$C$4:$N$845,1+$M$55)*1.1)</f>
        <v>911427.00000000012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911427.00000000012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911427.00000000012</v>
      </c>
      <c r="L57" s="688">
        <f ca="1">IF(L6="",0,VLOOKUP(L26-L17-100000,'2015 근로소득 간이세액표'!$C$4:$N$845,1+$M$55)*1.1)</f>
        <v>911427.00000000012</v>
      </c>
      <c r="M57" s="688">
        <f ca="1">IF(M6="",0,VLOOKUP(M26-M17-100000,'2015 근로소득 간이세액표'!$C$4:$N$845,1+$M$55)*1.1)</f>
        <v>961323.00000000012</v>
      </c>
      <c r="N57" s="689">
        <f ca="1">SUM(B57:M57)</f>
        <v>14986026.000000002</v>
      </c>
    </row>
    <row r="58" spans="1:14" ht="10" customHeight="1">
      <c r="A58" s="687" t="s">
        <v>295</v>
      </c>
      <c r="B58" s="689">
        <f t="shared" ref="B58:M58" ca="1" si="34">IF(B6="",0,B27+B28)</f>
        <v>1016030</v>
      </c>
      <c r="C58" s="689">
        <f t="shared" ca="1" si="34"/>
        <v>1029230</v>
      </c>
      <c r="D58" s="689">
        <f t="shared" ca="1" si="34"/>
        <v>1042420</v>
      </c>
      <c r="E58" s="689">
        <f t="shared" ca="1" si="34"/>
        <v>1451470</v>
      </c>
      <c r="F58" s="689">
        <f t="shared" ca="1" si="34"/>
        <v>1464660</v>
      </c>
      <c r="G58" s="689">
        <f t="shared" ca="1" si="34"/>
        <v>1477860</v>
      </c>
      <c r="H58" s="689">
        <f t="shared" ca="1" si="34"/>
        <v>1491050</v>
      </c>
      <c r="I58" s="689">
        <f t="shared" ca="1" si="34"/>
        <v>1504250</v>
      </c>
      <c r="J58" s="689">
        <f t="shared" ca="1" si="34"/>
        <v>1517440</v>
      </c>
      <c r="K58" s="689">
        <f t="shared" ca="1" si="34"/>
        <v>1530640</v>
      </c>
      <c r="L58" s="689">
        <f t="shared" ca="1" si="34"/>
        <v>1543840</v>
      </c>
      <c r="M58" s="689">
        <f t="shared" ca="1" si="34"/>
        <v>1557030</v>
      </c>
      <c r="N58" s="689">
        <f ca="1">SUM(B58:M58)</f>
        <v>16625920</v>
      </c>
    </row>
    <row r="59" spans="1:14" ht="10" customHeight="1">
      <c r="A59" s="680" t="s">
        <v>546</v>
      </c>
      <c r="B59" s="684">
        <f ca="1">B57-B58</f>
        <v>674175.00000000023</v>
      </c>
      <c r="C59" s="684">
        <f t="shared" ref="C59:N59" ca="1" si="35">C57-C58</f>
        <v>687254.00000000023</v>
      </c>
      <c r="D59" s="684">
        <f t="shared" ca="1" si="35"/>
        <v>674064.00000000023</v>
      </c>
      <c r="E59" s="684">
        <f t="shared" ca="1" si="35"/>
        <v>-540042.99999999988</v>
      </c>
      <c r="F59" s="684">
        <f t="shared" ca="1" si="35"/>
        <v>-553232.99999999988</v>
      </c>
      <c r="G59" s="684">
        <f t="shared" ca="1" si="35"/>
        <v>-566432.99999999988</v>
      </c>
      <c r="H59" s="684">
        <f t="shared" ca="1" si="35"/>
        <v>225434.00000000023</v>
      </c>
      <c r="I59" s="684">
        <f t="shared" ca="1" si="35"/>
        <v>-592822.99999999988</v>
      </c>
      <c r="J59" s="684">
        <f t="shared" ca="1" si="35"/>
        <v>199044.00000000023</v>
      </c>
      <c r="K59" s="684">
        <f t="shared" ca="1" si="35"/>
        <v>-619212.99999999988</v>
      </c>
      <c r="L59" s="684">
        <f t="shared" ca="1" si="35"/>
        <v>-632412.99999999988</v>
      </c>
      <c r="M59" s="684">
        <f t="shared" ca="1" si="35"/>
        <v>-595706.99999999988</v>
      </c>
      <c r="N59" s="684">
        <f t="shared" ca="1" si="35"/>
        <v>-1639893.9999999981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-1639893.9999999981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dfu0p3tZT2QumRUN8tGJfyWrEcDCVXNh9sYadE+40cE0Tvw/KVyNR3+aJ2qP6hz3N3Phx4+AbfPyqEjH1TQ0OA==" saltValue="ItkqUR1FScnTT9fLS8Qgj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50" priority="8">
      <formula>$E$2="y"</formula>
    </cfRule>
    <cfRule type="expression" dxfId="349" priority="9">
      <formula>$D$2="Y"</formula>
    </cfRule>
    <cfRule type="expression" dxfId="348" priority="10">
      <formula>$F$2="y"</formula>
    </cfRule>
  </conditionalFormatting>
  <conditionalFormatting sqref="B27:M27">
    <cfRule type="expression" dxfId="347" priority="1">
      <formula>$F$2="y"</formula>
    </cfRule>
  </conditionalFormatting>
  <conditionalFormatting sqref="D16">
    <cfRule type="expression" dxfId="346" priority="26">
      <formula>$E$2="y"</formula>
    </cfRule>
    <cfRule type="expression" dxfId="345" priority="27">
      <formula>$E$2="y"</formula>
    </cfRule>
    <cfRule type="expression" dxfId="344" priority="28">
      <formula>$F$2="y"</formula>
    </cfRule>
  </conditionalFormatting>
  <conditionalFormatting sqref="D18">
    <cfRule type="expression" dxfId="343" priority="23">
      <formula>$E$2="y"</formula>
    </cfRule>
    <cfRule type="expression" dxfId="342" priority="24">
      <formula>$E$2="y"</formula>
    </cfRule>
    <cfRule type="expression" dxfId="341" priority="25">
      <formula>$F$2="y"</formula>
    </cfRule>
  </conditionalFormatting>
  <conditionalFormatting sqref="J12:K12">
    <cfRule type="expression" dxfId="340" priority="5">
      <formula>$E$2="y"</formula>
    </cfRule>
    <cfRule type="expression" dxfId="339" priority="6">
      <formula>$D$2="Y"</formula>
    </cfRule>
    <cfRule type="expression" dxfId="338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4147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48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49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53" r:id="rId6" name="Drop Down 9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F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2041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집계표!S119</f>
        <v>2</v>
      </c>
      <c r="M1" s="627">
        <f>집계표!S122</f>
        <v>1</v>
      </c>
      <c r="N1" s="618">
        <v>17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집계표!BB53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IF('2040'!M4&gt;=50,50,IF(AND('2040'!M4=50,M$3=$N$5),"",IF(B3=$N$5,'2040'!M4+1,'2040'!M4)))</f>
        <v>28</v>
      </c>
      <c r="C4" s="176">
        <f>IF(B4&gt;=50,50,IF(AND(B4=50,C$3=$N$5),50,IF(C$3=$N$5,B4+1,B4)))</f>
        <v>28</v>
      </c>
      <c r="D4" s="176">
        <f t="shared" ref="D4:M4" si="0">IF(C4&gt;=50,50,IF(AND(C4=50,D$3=$N$5),50,IF(D$3=$N$5,C4+1,C4)))</f>
        <v>29</v>
      </c>
      <c r="E4" s="176">
        <f t="shared" si="0"/>
        <v>29</v>
      </c>
      <c r="F4" s="176">
        <f t="shared" si="0"/>
        <v>29</v>
      </c>
      <c r="G4" s="176">
        <f t="shared" si="0"/>
        <v>29</v>
      </c>
      <c r="H4" s="176">
        <f t="shared" si="0"/>
        <v>29</v>
      </c>
      <c r="I4" s="176">
        <f t="shared" si="0"/>
        <v>29</v>
      </c>
      <c r="J4" s="176">
        <f t="shared" si="0"/>
        <v>29</v>
      </c>
      <c r="K4" s="176">
        <f t="shared" si="0"/>
        <v>29</v>
      </c>
      <c r="L4" s="176">
        <f t="shared" si="0"/>
        <v>29</v>
      </c>
      <c r="M4" s="176">
        <f t="shared" si="0"/>
        <v>29</v>
      </c>
      <c r="N4" s="202" t="s">
        <v>124</v>
      </c>
    </row>
    <row r="5" spans="1:14" ht="9.75" customHeight="1">
      <c r="A5" s="208" t="s">
        <v>134</v>
      </c>
      <c r="B5" s="356">
        <f>IF(B$3=$N$5,'2040'!M5+1,'2040'!M5)</f>
        <v>18</v>
      </c>
      <c r="C5" s="209">
        <f>IF(C$3=$N$5,B5+1,B5)</f>
        <v>18</v>
      </c>
      <c r="D5" s="209">
        <f t="shared" ref="D5:M5" si="1">IF(D$3=$N$5,C5+1,C5)</f>
        <v>19</v>
      </c>
      <c r="E5" s="209">
        <f t="shared" si="1"/>
        <v>19</v>
      </c>
      <c r="F5" s="209">
        <f t="shared" si="1"/>
        <v>19</v>
      </c>
      <c r="G5" s="209">
        <f t="shared" si="1"/>
        <v>19</v>
      </c>
      <c r="H5" s="209">
        <f t="shared" si="1"/>
        <v>19</v>
      </c>
      <c r="I5" s="209">
        <f t="shared" si="1"/>
        <v>19</v>
      </c>
      <c r="J5" s="209">
        <f t="shared" si="1"/>
        <v>19</v>
      </c>
      <c r="K5" s="209">
        <f t="shared" si="1"/>
        <v>19</v>
      </c>
      <c r="L5" s="209">
        <f t="shared" si="1"/>
        <v>19</v>
      </c>
      <c r="M5" s="209">
        <f t="shared" si="1"/>
        <v>19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6572600</v>
      </c>
      <c r="C6" s="211">
        <f ca="1">IF($D$1-YEAR($B$1)&gt;0,"",IF(AND($D$1-YEAR($B$1)=0,C3-MONTH($B$1)&gt;=1),"",VLOOKUP(C4,gibon40!$D$4:$AT$47,$N$1,1)))</f>
        <v>6572600</v>
      </c>
      <c r="D6" s="211">
        <f ca="1">IF($D$1-YEAR($B$1)&gt;0,"",IF(AND($D$1-YEAR($B$1)=0,D3-MONTH($B$1)&gt;=1),"",VLOOKUP(D4,gibon40!$D$4:$AT$47,$N$1,1)))</f>
        <v>6781100</v>
      </c>
      <c r="E6" s="211">
        <f ca="1">IF($D$1-YEAR($B$1)&gt;0,"",IF(AND($D$1-YEAR($B$1)=0,E3-MONTH($B$1)&gt;=1),"",VLOOKUP(E4,gibon40!$D$4:$AT$47,$N$1,1)))</f>
        <v>6781100</v>
      </c>
      <c r="F6" s="211">
        <f ca="1">IF($D$1-YEAR($B$1)&gt;0,"",IF(AND($D$1-YEAR($B$1)=0,F3-MONTH($B$1)&gt;=1),"",VLOOKUP(F4,gibon40!$D$4:$AT$47,$N$1,1)))</f>
        <v>6781100</v>
      </c>
      <c r="G6" s="211">
        <f ca="1">IF($D$1-YEAR($B$1)&gt;0,"",IF(AND($D$1-YEAR($B$1)=0,G3-MONTH($B$1)&gt;=1),"",VLOOKUP(G4,gibon40!$D$4:$AT$47,$N$1,1)))</f>
        <v>6781100</v>
      </c>
      <c r="H6" s="211">
        <f ca="1">IF($D$1-YEAR($B$1)&gt;0,"",IF(AND($D$1-YEAR($B$1)=0,H3-MONTH($B$1)&gt;=1),"",VLOOKUP(H4,gibon40!$D$4:$AT$47,$N$1,1)))</f>
        <v>6781100</v>
      </c>
      <c r="I6" s="211">
        <f ca="1">IF($D$1-YEAR($B$1)&gt;0,"",IF(AND($D$1-YEAR($B$1)=0,I3-MONTH($B$1)&gt;=1),"",VLOOKUP(I4,gibon40!$D$4:$AT$47,$N$1,1)))</f>
        <v>6781100</v>
      </c>
      <c r="J6" s="211">
        <f ca="1">IF($D$1-YEAR($B$1)&gt;0,"",IF(AND($D$1-YEAR($B$1)=0,J3-MONTH($B$1)&gt;=1),"",VLOOKUP(J4,gibon40!$D$4:$AT$47,$N$1,1)))</f>
        <v>6781100</v>
      </c>
      <c r="K6" s="211">
        <f ca="1">IF($D$1-YEAR($B$1)&gt;0,"",IF(AND($D$1-YEAR($B$1)=0,K3-MONTH($B$1)&gt;=1),"",VLOOKUP(K4,gibon40!$D$4:$AT$47,$N$1,1)))</f>
        <v>6781100</v>
      </c>
      <c r="L6" s="211">
        <f ca="1">IF($D$1-YEAR($B$1)&gt;0,"",IF(AND($D$1-YEAR($B$1)=0,L3-MONTH($B$1)&gt;=1),"",VLOOKUP(L4,gibon40!$D$4:$AT$47,$N$1,1)))</f>
        <v>6781100</v>
      </c>
      <c r="M6" s="211">
        <f ca="1">IF($D$1-YEAR($B$1)&gt;0,"",IF(AND($D$1-YEAR($B$1)=0,M3-MONTH($B$1)&gt;=1),"",VLOOKUP(M4,gibon40!$D$4:$AT$47,$N$1,1)))</f>
        <v>6781100</v>
      </c>
      <c r="N6" s="211">
        <f t="shared" ref="N6:N52" ca="1" si="2">SUM(B6:M6)</f>
        <v>80956200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3286300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3390550</v>
      </c>
      <c r="I7" s="180"/>
      <c r="J7" s="180"/>
      <c r="K7" s="180"/>
      <c r="L7" s="180"/>
      <c r="M7" s="180"/>
      <c r="N7" s="211">
        <f t="shared" ca="1" si="2"/>
        <v>6676850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80000</v>
      </c>
      <c r="C8" s="179">
        <f t="shared" ref="C8:M8" ca="1" si="3">IF(C4="","",IF(C6="","",IF(C5&gt;=20,100000,IF(C5&gt;=15,80000,IF(C5&gt;=10,60000,IF(C5&gt;=5,50000,30000))))))</f>
        <v>80000</v>
      </c>
      <c r="D8" s="179">
        <f t="shared" ca="1" si="3"/>
        <v>80000</v>
      </c>
      <c r="E8" s="179">
        <f t="shared" ca="1" si="3"/>
        <v>80000</v>
      </c>
      <c r="F8" s="179">
        <f t="shared" ca="1" si="3"/>
        <v>80000</v>
      </c>
      <c r="G8" s="179">
        <f t="shared" ca="1" si="3"/>
        <v>80000</v>
      </c>
      <c r="H8" s="179">
        <f t="shared" ca="1" si="3"/>
        <v>80000</v>
      </c>
      <c r="I8" s="179">
        <f t="shared" ca="1" si="3"/>
        <v>80000</v>
      </c>
      <c r="J8" s="179">
        <f t="shared" ca="1" si="3"/>
        <v>80000</v>
      </c>
      <c r="K8" s="179">
        <f t="shared" ca="1" si="3"/>
        <v>80000</v>
      </c>
      <c r="L8" s="179">
        <f t="shared" ca="1" si="3"/>
        <v>80000</v>
      </c>
      <c r="M8" s="179">
        <f t="shared" ca="1" si="3"/>
        <v>80000</v>
      </c>
      <c r="N8" s="211">
        <f t="shared" ca="1" si="2"/>
        <v>960000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6436510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6436510</v>
      </c>
    </row>
    <row r="11" spans="1:14" ht="9.75" customHeight="1">
      <c r="A11" s="178" t="s">
        <v>63</v>
      </c>
      <c r="B11" s="179">
        <f ca="1">IF(B$6="",0,'2030'!M11)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3943560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4068660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8012220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IF(B$6="",0,'2040'!M15)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IF(B$6="",0,'2040'!M16)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IF(B$6="",0,'2040'!M18)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IF(B$6="",0,'2040'!M19)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70330</v>
      </c>
      <c r="E21" s="179">
        <f ca="1">IF(D4="","",IF(E$6="","",ROUND(VLOOKUP(E4,gibon40!$D$51:$AV$100,$N$1+1)*10*15/15,-1)))</f>
        <v>211000</v>
      </c>
      <c r="F21" s="179">
        <f ca="1">IF(E4="","",IF(F$6="","",ROUND(VLOOKUP(F4,gibon40!$D$51:$AV$100,$N$1+1)*10*15/15,-1)))</f>
        <v>211000</v>
      </c>
      <c r="G21" s="179">
        <f ca="1">IF(F4="","",IF(G$6="","",ROUND(VLOOKUP(G4,gibon40!$D$51:$AV$100,$N$1+1)*10*15/15,-1)))</f>
        <v>211000</v>
      </c>
      <c r="H21" s="179">
        <f ca="1">IF(G4="","",IF(H$6="","",ROUND(VLOOKUP(H4,gibon40!$D$51:$AV$100,$N$1+1)*10*15/15,-1)))</f>
        <v>211000</v>
      </c>
      <c r="I21" s="179">
        <f ca="1">IF(H4="","",IF(I$6="","",ROUND(VLOOKUP(I4,gibon40!$D$51:$AV$100,$N$1+1)*10*15/15,-1)))</f>
        <v>211000</v>
      </c>
      <c r="J21" s="179">
        <f ca="1">IF(I4="","",IF(J$6="","",ROUND(VLOOKUP(J4,gibon40!$D$51:$AV$100,$N$1+1)*7*15/15,-1)))</f>
        <v>147700</v>
      </c>
      <c r="K21" s="179">
        <f ca="1">IF(J4="","",IF(K$6="","",ROUND(VLOOKUP(K4,gibon40!$D$51:$AV$100,$N$1+1)*10*15/15,-1)))</f>
        <v>211000</v>
      </c>
      <c r="L21" s="179">
        <f ca="1">IF(K4="","",IF(L$6="","",ROUND(VLOOKUP(L4,gibon40!$D$51:$AV$100,$N$1+1)*10*15/15,-1)))</f>
        <v>211000</v>
      </c>
      <c r="M21" s="179">
        <f ca="1">IF(L4="","",IF(M$6="","",ROUND(VLOOKUP(M4,gibon40!$D$51:$AV$100,$N$1+1)*10*15/15*2,-1)))</f>
        <v>422000</v>
      </c>
      <c r="N21" s="211">
        <f t="shared" ca="1" si="2"/>
        <v>2117030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IF(B$6="",0,'2040'!M23)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IF(B$6="",0,'2040'!M24)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'2040'!A25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10613900</v>
      </c>
      <c r="C26" s="213">
        <f t="shared" ref="C26:M26" ca="1" si="16">ROUNDDOWN(SUM(C6:C25),-1)</f>
        <v>11271160</v>
      </c>
      <c r="D26" s="213">
        <f t="shared" ca="1" si="16"/>
        <v>14042940</v>
      </c>
      <c r="E26" s="213">
        <f t="shared" ca="1" si="16"/>
        <v>7747100</v>
      </c>
      <c r="F26" s="213">
        <f t="shared" ca="1" si="16"/>
        <v>7747100</v>
      </c>
      <c r="G26" s="213">
        <f t="shared" ca="1" si="16"/>
        <v>7747100</v>
      </c>
      <c r="H26" s="213">
        <f t="shared" ca="1" si="16"/>
        <v>11137650</v>
      </c>
      <c r="I26" s="213">
        <f t="shared" ca="1" si="16"/>
        <v>7747100</v>
      </c>
      <c r="J26" s="213">
        <f t="shared" ca="1" si="16"/>
        <v>11752460</v>
      </c>
      <c r="K26" s="213">
        <f t="shared" ca="1" si="16"/>
        <v>7747100</v>
      </c>
      <c r="L26" s="213">
        <f t="shared" ca="1" si="16"/>
        <v>7747100</v>
      </c>
      <c r="M26" s="213">
        <f t="shared" ca="1" si="16"/>
        <v>7958100</v>
      </c>
      <c r="N26" s="214">
        <f ca="1">SUM(B26:M26)</f>
        <v>113258810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1009720</v>
      </c>
      <c r="C27" s="179">
        <f ca="1">IF(C6="",0,ROUND(VLOOKUP(($N$26-1200000-$N$17-$N$16)/12,'2015근로소득간이세액표'!$C$4:$Z$700,$A$27+1)*0.78*O27,-1))</f>
        <v>1022830</v>
      </c>
      <c r="D27" s="179">
        <f ca="1">IF(D6="",0,ROUND(VLOOKUP(($N$26-1200000-$N$17-$N$16)/12,'2015근로소득간이세액표'!$C$4:$Z$700,$A$27+1)*0.79*O27,-1))</f>
        <v>1035940</v>
      </c>
      <c r="E27" s="179">
        <f ca="1">IF(E6="",0,ROUND(VLOOKUP(($N$26-1200000-$N$17-$N$16)/12,'2015근로소득간이세액표'!$C$4:$Z$700,$A$27+1)*1.1*O27,-1))</f>
        <v>1442450</v>
      </c>
      <c r="F27" s="179">
        <f ca="1">IF(F6="",0,ROUND(VLOOKUP(($N$26-1200000-$N$17-$N$16)/12,'2015근로소득간이세액표'!$C$4:$Z$700,$A$27+1)*1.11*O27,-1))</f>
        <v>1455570</v>
      </c>
      <c r="G27" s="179">
        <f ca="1">IF(G6="",0,ROUND(VLOOKUP(($N$26-1200000-$N$17-$N$16)/12,'2015근로소득간이세액표'!$C$4:$Z$700,$A$27+1)*1.12*O27,-1))</f>
        <v>1468680</v>
      </c>
      <c r="H27" s="179">
        <f ca="1">IF(H6="",0,ROUND(VLOOKUP(($N$26-1200000-$N$17-$N$16)/12,'2015근로소득간이세액표'!$C$4:$Z$700,$A$27+1)*1.13*O27,-1))</f>
        <v>1481790</v>
      </c>
      <c r="I27" s="179">
        <f ca="1">IF(I6="",0,ROUND(VLOOKUP(($N$26-1200000-$N$17-$N$16)/12,'2015근로소득간이세액표'!$C$4:$Z$700,$A$27+1)*1.14*O27,-1))</f>
        <v>1494900</v>
      </c>
      <c r="J27" s="179">
        <f ca="1">IF(J6="",0,ROUND(VLOOKUP(($N$26-1200000-$N$17-$N$16)/12,'2015근로소득간이세액표'!$C$4:$Z$700,$A$27+1)*1.15*O27,-1))</f>
        <v>1508020</v>
      </c>
      <c r="K27" s="179">
        <f ca="1">IF(K6="",0,ROUND(VLOOKUP(($N$26-1200000-$N$17-$N$16)/12,'2015근로소득간이세액표'!$C$4:$Z$700,$A$27+1)*1.16*O27,-1))</f>
        <v>1521130</v>
      </c>
      <c r="L27" s="179">
        <f ca="1">IF(L6="",0,ROUND(VLOOKUP(($N$26-1200000-$N$17-$N$16)/12,'2015근로소득간이세액표'!$C$4:$Z$700,$A$27+1)*1.17*O27,-1))</f>
        <v>1534240</v>
      </c>
      <c r="M27" s="179">
        <f ca="1">IF(M6="",0,ROUND(VLOOKUP(($N$26-1200000-$N$17-$N$16)/12,'2015근로소득간이세액표'!$C$4:$Z$700,$A$27+1)*1.18*O27,-1))</f>
        <v>1547360</v>
      </c>
      <c r="N27" s="179">
        <f t="shared" ref="N27:N28" ca="1" si="17">SUM(B27:M27)</f>
        <v>16522630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100970</v>
      </c>
      <c r="C28" s="179">
        <f t="shared" ca="1" si="18"/>
        <v>102280</v>
      </c>
      <c r="D28" s="179">
        <f t="shared" ca="1" si="18"/>
        <v>103590</v>
      </c>
      <c r="E28" s="179">
        <f t="shared" ca="1" si="18"/>
        <v>144250</v>
      </c>
      <c r="F28" s="179">
        <f t="shared" ca="1" si="18"/>
        <v>145560</v>
      </c>
      <c r="G28" s="179">
        <f t="shared" ca="1" si="18"/>
        <v>146870</v>
      </c>
      <c r="H28" s="179">
        <f t="shared" ca="1" si="18"/>
        <v>148180</v>
      </c>
      <c r="I28" s="179">
        <f t="shared" ca="1" si="18"/>
        <v>149490</v>
      </c>
      <c r="J28" s="179">
        <f ca="1">IF(J$6="","",ROUND(J27*0.1,-1))</f>
        <v>150800</v>
      </c>
      <c r="K28" s="179">
        <f t="shared" ref="K28:M28" ca="1" si="19">IF(K$6="","",ROUND(K27*0.1,-1))</f>
        <v>152110</v>
      </c>
      <c r="L28" s="179">
        <f t="shared" ca="1" si="19"/>
        <v>153420</v>
      </c>
      <c r="M28" s="179">
        <f t="shared" ca="1" si="19"/>
        <v>154740</v>
      </c>
      <c r="N28" s="179">
        <f t="shared" ca="1" si="17"/>
        <v>1652260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IF(B4="","",IF(B6="","",IF($D$1-YEAR('2025'!$I$1)&gt;0,"",IF(AND($D$1-YEAR('2025'!$I$1)=0,B3-MONTH('2025'!$I$1)&gt;=1),"",'2040'!M29))))</f>
        <v>776740</v>
      </c>
      <c r="C29" s="179">
        <f ca="1">IF(C4="","",IF(C6="","",IF($D$1-YEAR('2025'!$I$1)&gt;0,"",IF(AND($D$1-YEAR('2025'!$I$1)=0,C3-MONTH('2025'!$I$1)&gt;=1),"",B29))))</f>
        <v>776740</v>
      </c>
      <c r="D29" s="179">
        <f ca="1">IF(D4="","",IF(D6="","",IF($D$1-YEAR('2025'!$I$1)&gt;0,"",IF(AND($D$1-YEAR('2025'!$I$1)=0,D3-MONTH('2025'!$I$1)&gt;=1),"",C29))))</f>
        <v>776740</v>
      </c>
      <c r="E29" s="179">
        <f ca="1">IF(E4="","",IF(E6="","",IF($D$1-YEAR('2025'!$I$1)&gt;0,"",IF(AND($D$1-YEAR('2025'!$I$1)=0,E3-MONTH('2025'!$I$1)&gt;=1),"",D29))))</f>
        <v>776740</v>
      </c>
      <c r="F29" s="179">
        <f ca="1">IF(F4="","",IF(F$6="","",IF($D$1-YEAR('2025'!$I$1)&gt;0,"",IF(AND($D$1-YEAR('2025'!$I$1)=0,F3-MONTH('2025'!$I$1)&gt;=1),"",VLOOKUP(F$4,집계표!$AK$5:$HA$47,$N$1*3+$N$1-1+4)))))</f>
        <v>818600</v>
      </c>
      <c r="G29" s="179">
        <f ca="1">IF(G6="",0,IF($D$1-YEAR('2025'!$I$1)&gt;0,"",IF(AND($D$1-YEAR('2025'!$I$1)=0,G3-MONTH('2025'!$I$1)&gt;=1),"",F29)))</f>
        <v>818600</v>
      </c>
      <c r="H29" s="179">
        <f ca="1">IF(H6="",0,IF($D$1-YEAR('2025'!$I$1)&gt;0,"",IF(AND($D$1-YEAR('2025'!$I$1)=0,H3-MONTH('2025'!$I$1)&gt;=1),"",G29)))</f>
        <v>818600</v>
      </c>
      <c r="I29" s="179">
        <f ca="1">IF(I6="",0,IF($D$1-YEAR('2025'!$I$1)&gt;0,"",IF(AND($D$1-YEAR('2025'!$I$1)=0,I3-MONTH('2025'!$I$1)&gt;=1),"",H29)))</f>
        <v>818600</v>
      </c>
      <c r="J29" s="179">
        <f ca="1">IF(J6="",0,IF($D$1-YEAR('2025'!$I$1)&gt;0,"",IF(AND($D$1-YEAR('2025'!$I$1)=0,J3-MONTH('2025'!$I$1)&gt;=1),"",I29)))</f>
        <v>818600</v>
      </c>
      <c r="K29" s="179">
        <f ca="1">IF(K6="",0,IF($D$1-YEAR('2025'!$I$1)&gt;0,"",IF(AND($D$1-YEAR('2025'!$I$1)=0,K3-MONTH('2025'!$I$1)&gt;=1),"",J29)))</f>
        <v>818600</v>
      </c>
      <c r="L29" s="179">
        <f ca="1">IF(L6="",0,IF($D$1-YEAR('2025'!$I$1)&gt;0,"",IF(AND($D$1-YEAR('2025'!$I$1)=0,L3-MONTH('2025'!$I$1)&gt;=1),"",K29)))</f>
        <v>818600</v>
      </c>
      <c r="M29" s="179">
        <f ca="1">IF(M6="",0,IF($D$1-YEAR('2025'!$I$1)&gt;0,"",IF(AND($D$1-YEAR('2025'!$I$1)=0,M3-MONTH('2025'!$I$1)&gt;=1),"",L29)))</f>
        <v>818600</v>
      </c>
      <c r="N29" s="211">
        <f t="shared" ca="1" si="2"/>
        <v>9655760</v>
      </c>
    </row>
    <row r="30" spans="1:20" ht="9.75" customHeight="1">
      <c r="A30" s="182" t="s">
        <v>58</v>
      </c>
      <c r="B30" s="179">
        <f ca="1">IF(B6="","",'2040'!M30)</f>
        <v>335070</v>
      </c>
      <c r="C30" s="179">
        <f ca="1">IF(C6="","",B30)</f>
        <v>335070</v>
      </c>
      <c r="D30" s="179">
        <f ca="1">IF(D6="","",C30)</f>
        <v>335070</v>
      </c>
      <c r="E30" s="857">
        <f ca="1">IF(E6="","",VLOOKUP(E$4,집계표!$AK$5:$HA$47,$N$1*4))</f>
        <v>353130</v>
      </c>
      <c r="F30" s="179">
        <f ca="1">IF(F6="","",E30)</f>
        <v>353130</v>
      </c>
      <c r="G30" s="179">
        <f t="shared" ref="G30:M30" ca="1" si="20">IF(G6="","",F30)</f>
        <v>353130</v>
      </c>
      <c r="H30" s="179">
        <f t="shared" ca="1" si="20"/>
        <v>353130</v>
      </c>
      <c r="I30" s="179">
        <f t="shared" ca="1" si="20"/>
        <v>353130</v>
      </c>
      <c r="J30" s="179">
        <f t="shared" ca="1" si="20"/>
        <v>353130</v>
      </c>
      <c r="K30" s="179">
        <f t="shared" ca="1" si="20"/>
        <v>353130</v>
      </c>
      <c r="L30" s="179">
        <f t="shared" ca="1" si="20"/>
        <v>353130</v>
      </c>
      <c r="M30" s="179">
        <f t="shared" ca="1" si="20"/>
        <v>353130</v>
      </c>
      <c r="N30" s="211">
        <f t="shared" ca="1" si="2"/>
        <v>4183380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34340</v>
      </c>
      <c r="C31" s="179">
        <f t="shared" ca="1" si="21"/>
        <v>34340</v>
      </c>
      <c r="D31" s="179">
        <f t="shared" ca="1" si="21"/>
        <v>34340</v>
      </c>
      <c r="E31" s="179">
        <f t="shared" ca="1" si="21"/>
        <v>36200</v>
      </c>
      <c r="F31" s="179">
        <f t="shared" ca="1" si="21"/>
        <v>36200</v>
      </c>
      <c r="G31" s="179">
        <f t="shared" ca="1" si="21"/>
        <v>36200</v>
      </c>
      <c r="H31" s="179">
        <f t="shared" ca="1" si="21"/>
        <v>36200</v>
      </c>
      <c r="I31" s="179">
        <f t="shared" ca="1" si="21"/>
        <v>36200</v>
      </c>
      <c r="J31" s="179">
        <f ca="1">IF(J$6="","",ROUND(IF(J4="","",J30*10.25%),-1))</f>
        <v>36200</v>
      </c>
      <c r="K31" s="179">
        <f t="shared" ref="K31:M31" ca="1" si="22">IF(K$6="","",ROUND(IF(K4="","",K30*10.25%),-1))</f>
        <v>36200</v>
      </c>
      <c r="L31" s="179">
        <f t="shared" ca="1" si="22"/>
        <v>36200</v>
      </c>
      <c r="M31" s="179">
        <f t="shared" ca="1" si="22"/>
        <v>36200</v>
      </c>
      <c r="N31" s="211">
        <f t="shared" ca="1" si="2"/>
        <v>428820</v>
      </c>
    </row>
    <row r="32" spans="1:20" ht="9.75" customHeight="1">
      <c r="A32" s="597" t="str">
        <f>'2040'!A32</f>
        <v>교직원공제비</v>
      </c>
      <c r="B32" s="621">
        <f ca="1">IF(B$6="","",'2040'!B32)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'2040'!A33</f>
        <v>급식비</v>
      </c>
      <c r="B33" s="621">
        <f ca="1">IF(B$6="","",'2040'!B33)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IF(B$6="",0,'2040'!M34)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IF(B$6="",0,'2040'!M38)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IF(B$6="",0,'2040'!M39)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2577480</v>
      </c>
      <c r="C40" s="216">
        <f t="shared" ca="1" si="28"/>
        <v>2591900</v>
      </c>
      <c r="D40" s="216">
        <f t="shared" ca="1" si="28"/>
        <v>2606320</v>
      </c>
      <c r="E40" s="216">
        <f t="shared" ca="1" si="28"/>
        <v>3073410</v>
      </c>
      <c r="F40" s="216">
        <f t="shared" ca="1" si="28"/>
        <v>3129700</v>
      </c>
      <c r="G40" s="216">
        <f t="shared" ca="1" si="28"/>
        <v>3144120</v>
      </c>
      <c r="H40" s="216">
        <f t="shared" ca="1" si="28"/>
        <v>3158540</v>
      </c>
      <c r="I40" s="216">
        <f t="shared" ca="1" si="28"/>
        <v>3172960</v>
      </c>
      <c r="J40" s="216">
        <f ca="1">IF(J26="","",SUM(J27:J39))</f>
        <v>3187390</v>
      </c>
      <c r="K40" s="216">
        <f t="shared" ref="K40:M40" ca="1" si="29">IF(K26="","",SUM(K27:K39))</f>
        <v>3201810</v>
      </c>
      <c r="L40" s="216">
        <f t="shared" ca="1" si="29"/>
        <v>3216230</v>
      </c>
      <c r="M40" s="216">
        <f t="shared" ca="1" si="29"/>
        <v>3230670</v>
      </c>
      <c r="N40" s="216">
        <f ca="1">SUM(B40:M40)</f>
        <v>36290530</v>
      </c>
    </row>
    <row r="41" spans="1:14" ht="9.75" customHeight="1">
      <c r="A41" s="183" t="s">
        <v>79</v>
      </c>
      <c r="B41" s="184">
        <f ca="1">ROUND((B26-B40),-1)</f>
        <v>8036420</v>
      </c>
      <c r="C41" s="184">
        <f t="shared" ref="C41:M41" ca="1" si="30">ROUND((C26-C40),-1)</f>
        <v>8679260</v>
      </c>
      <c r="D41" s="184">
        <f t="shared" ca="1" si="30"/>
        <v>11436620</v>
      </c>
      <c r="E41" s="184">
        <f t="shared" ca="1" si="30"/>
        <v>4673690</v>
      </c>
      <c r="F41" s="184">
        <f t="shared" ca="1" si="30"/>
        <v>4617400</v>
      </c>
      <c r="G41" s="184">
        <f t="shared" ca="1" si="30"/>
        <v>4602980</v>
      </c>
      <c r="H41" s="184">
        <f t="shared" ca="1" si="30"/>
        <v>7979110</v>
      </c>
      <c r="I41" s="184">
        <f t="shared" ca="1" si="30"/>
        <v>4574140</v>
      </c>
      <c r="J41" s="184">
        <f t="shared" ca="1" si="30"/>
        <v>8565070</v>
      </c>
      <c r="K41" s="184">
        <f t="shared" ca="1" si="30"/>
        <v>4545290</v>
      </c>
      <c r="L41" s="184">
        <f t="shared" ca="1" si="30"/>
        <v>4530870</v>
      </c>
      <c r="M41" s="184">
        <f t="shared" ca="1" si="30"/>
        <v>4727430</v>
      </c>
      <c r="N41" s="184">
        <f ca="1">SUM(B41:M41)</f>
        <v>76968280</v>
      </c>
    </row>
    <row r="42" spans="1:14" ht="9.75" customHeight="1">
      <c r="A42" s="217" t="str">
        <f>'2040'!A42</f>
        <v>12)지출내용입력1</v>
      </c>
      <c r="B42" s="211">
        <f>'2040'!M42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'2040'!A43</f>
        <v>지출내용입력2</v>
      </c>
      <c r="B43" s="211">
        <f>'2040'!M43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'2040'!A44</f>
        <v>지출내용입력3</v>
      </c>
      <c r="B44" s="211">
        <f>'2040'!M44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'2040'!A45</f>
        <v>지출내용입력4</v>
      </c>
      <c r="B45" s="211">
        <f>'2040'!M45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'2040'!A46</f>
        <v>지출내용입력5</v>
      </c>
      <c r="B46" s="211">
        <f>'2040'!M46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'2040'!A47</f>
        <v>지출내용입력6</v>
      </c>
      <c r="B47" s="211">
        <f>'2040'!M47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'2040'!A48</f>
        <v>지출내용입력7</v>
      </c>
      <c r="B48" s="211">
        <f>'2040'!M48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'2040'!A49</f>
        <v>지출내용입력8</v>
      </c>
      <c r="B49" s="211">
        <f>'2040'!M49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'2040'!A50</f>
        <v>지출내용입력9</v>
      </c>
      <c r="B50" s="211">
        <f>'2040'!M50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'2040'!A51</f>
        <v>지출내용입력10</v>
      </c>
      <c r="B51" s="211">
        <f>'2040'!M51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8036320</v>
      </c>
      <c r="C53" s="188">
        <f t="shared" ca="1" si="33"/>
        <v>8679160</v>
      </c>
      <c r="D53" s="188">
        <f t="shared" ca="1" si="33"/>
        <v>11436520</v>
      </c>
      <c r="E53" s="188">
        <f t="shared" ca="1" si="33"/>
        <v>4673590</v>
      </c>
      <c r="F53" s="188">
        <f t="shared" ca="1" si="33"/>
        <v>4617300</v>
      </c>
      <c r="G53" s="188">
        <f t="shared" ca="1" si="33"/>
        <v>4602880</v>
      </c>
      <c r="H53" s="188">
        <f t="shared" ca="1" si="33"/>
        <v>7979010</v>
      </c>
      <c r="I53" s="188">
        <f t="shared" ca="1" si="33"/>
        <v>4574040</v>
      </c>
      <c r="J53" s="188">
        <f t="shared" ca="1" si="33"/>
        <v>8564970</v>
      </c>
      <c r="K53" s="188">
        <f t="shared" ca="1" si="33"/>
        <v>4545190</v>
      </c>
      <c r="L53" s="188">
        <f t="shared" ca="1" si="33"/>
        <v>4530770</v>
      </c>
      <c r="M53" s="188">
        <f t="shared" ca="1" si="33"/>
        <v>4727330</v>
      </c>
      <c r="N53" s="188">
        <f t="shared" ca="1" si="33"/>
        <v>76967080</v>
      </c>
    </row>
    <row r="55" spans="1:14" ht="18">
      <c r="A55" s="1232" t="str">
        <f ca="1">D1</f>
        <v>2041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1006236.0000000001</v>
      </c>
      <c r="F57" s="688">
        <f ca="1">IF(F6="",0,VLOOKUP(F26-F17-100000,'2015 근로소득 간이세액표'!$C$4:$N$845,1+$M$55)*1.1)</f>
        <v>1006236.0000000001</v>
      </c>
      <c r="G57" s="688">
        <f ca="1">IF(G6="",0,VLOOKUP(G26-G17-100000,'2015 근로소득 간이세액표'!$C$4:$N$845,1+$M$55)*1.1)</f>
        <v>1006236.0000000001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1006236.0000000001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1006236.0000000001</v>
      </c>
      <c r="L57" s="688">
        <f ca="1">IF(L6="",0,VLOOKUP(L26-L17-100000,'2015 근로소득 간이세액표'!$C$4:$N$845,1+$M$55)*1.1)</f>
        <v>1006236.0000000001</v>
      </c>
      <c r="M57" s="688">
        <f ca="1">IF(M6="",0,VLOOKUP(M26-M17-100000,'2015 근로소득 간이세액표'!$C$4:$N$845,1+$M$55)*1.1)</f>
        <v>1056132</v>
      </c>
      <c r="N57" s="689">
        <f ca="1">SUM(B57:M57)</f>
        <v>15675968.000000002</v>
      </c>
    </row>
    <row r="58" spans="1:14" ht="10" customHeight="1">
      <c r="A58" s="687" t="s">
        <v>295</v>
      </c>
      <c r="B58" s="689">
        <f t="shared" ref="B58:M58" ca="1" si="34">IF(B6="",0,B27+B28)</f>
        <v>1110690</v>
      </c>
      <c r="C58" s="689">
        <f t="shared" ca="1" si="34"/>
        <v>1125110</v>
      </c>
      <c r="D58" s="689">
        <f t="shared" ca="1" si="34"/>
        <v>1139530</v>
      </c>
      <c r="E58" s="689">
        <f t="shared" ca="1" si="34"/>
        <v>1586700</v>
      </c>
      <c r="F58" s="689">
        <f t="shared" ca="1" si="34"/>
        <v>1601130</v>
      </c>
      <c r="G58" s="689">
        <f t="shared" ca="1" si="34"/>
        <v>1615550</v>
      </c>
      <c r="H58" s="689">
        <f t="shared" ca="1" si="34"/>
        <v>1629970</v>
      </c>
      <c r="I58" s="689">
        <f t="shared" ca="1" si="34"/>
        <v>1644390</v>
      </c>
      <c r="J58" s="689">
        <f t="shared" ca="1" si="34"/>
        <v>1658820</v>
      </c>
      <c r="K58" s="689">
        <f t="shared" ca="1" si="34"/>
        <v>1673240</v>
      </c>
      <c r="L58" s="689">
        <f t="shared" ca="1" si="34"/>
        <v>1687660</v>
      </c>
      <c r="M58" s="689">
        <f t="shared" ca="1" si="34"/>
        <v>1702100</v>
      </c>
      <c r="N58" s="689">
        <f ca="1">SUM(B58:M58)</f>
        <v>18174890</v>
      </c>
    </row>
    <row r="59" spans="1:14" ht="10" customHeight="1">
      <c r="A59" s="680" t="s">
        <v>546</v>
      </c>
      <c r="B59" s="684">
        <f ca="1">B57-B58</f>
        <v>605794.00000000023</v>
      </c>
      <c r="C59" s="684">
        <f t="shared" ref="C59:N59" ca="1" si="35">C57-C58</f>
        <v>591374.00000000023</v>
      </c>
      <c r="D59" s="684">
        <f t="shared" ca="1" si="35"/>
        <v>576954.00000000023</v>
      </c>
      <c r="E59" s="684">
        <f t="shared" ca="1" si="35"/>
        <v>-580463.99999999988</v>
      </c>
      <c r="F59" s="684">
        <f t="shared" ca="1" si="35"/>
        <v>-594893.99999999988</v>
      </c>
      <c r="G59" s="684">
        <f t="shared" ca="1" si="35"/>
        <v>-609313.99999999988</v>
      </c>
      <c r="H59" s="684">
        <f t="shared" ca="1" si="35"/>
        <v>86514.000000000233</v>
      </c>
      <c r="I59" s="684">
        <f t="shared" ca="1" si="35"/>
        <v>-638153.99999999988</v>
      </c>
      <c r="J59" s="684">
        <f t="shared" ca="1" si="35"/>
        <v>57664.000000000233</v>
      </c>
      <c r="K59" s="684">
        <f t="shared" ca="1" si="35"/>
        <v>-667003.99999999988</v>
      </c>
      <c r="L59" s="684">
        <f t="shared" ca="1" si="35"/>
        <v>-681423.99999999988</v>
      </c>
      <c r="M59" s="684">
        <f t="shared" ca="1" si="35"/>
        <v>-645968</v>
      </c>
      <c r="N59" s="684">
        <f t="shared" ca="1" si="35"/>
        <v>-2498921.9999999981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-2498921.9999999981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/j69h15h2pDiBI9/nTpCFwL54AyDkXSPW7ivJQkjzw0icOxBMBt8F/4jThlud3ZkcbOqVtYu/4piHaz+mEHzJg==" saltValue="RVfg/y53SrtAAgq8W773R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37" priority="8">
      <formula>$E$2="y"</formula>
    </cfRule>
    <cfRule type="expression" dxfId="336" priority="9">
      <formula>$D$2="Y"</formula>
    </cfRule>
    <cfRule type="expression" dxfId="335" priority="10">
      <formula>$F$2="y"</formula>
    </cfRule>
  </conditionalFormatting>
  <conditionalFormatting sqref="B27:M27">
    <cfRule type="expression" dxfId="334" priority="1">
      <formula>$F$2="y"</formula>
    </cfRule>
  </conditionalFormatting>
  <conditionalFormatting sqref="D16">
    <cfRule type="expression" dxfId="333" priority="26">
      <formula>$E$2="y"</formula>
    </cfRule>
    <cfRule type="expression" dxfId="332" priority="27">
      <formula>$E$2="y"</formula>
    </cfRule>
    <cfRule type="expression" dxfId="331" priority="28">
      <formula>$F$2="y"</formula>
    </cfRule>
  </conditionalFormatting>
  <conditionalFormatting sqref="D18">
    <cfRule type="expression" dxfId="330" priority="23">
      <formula>$E$2="y"</formula>
    </cfRule>
    <cfRule type="expression" dxfId="329" priority="24">
      <formula>$E$2="y"</formula>
    </cfRule>
    <cfRule type="expression" dxfId="328" priority="25">
      <formula>$F$2="y"</formula>
    </cfRule>
  </conditionalFormatting>
  <conditionalFormatting sqref="J12:K12">
    <cfRule type="expression" dxfId="327" priority="5">
      <formula>$E$2="y"</formula>
    </cfRule>
    <cfRule type="expression" dxfId="326" priority="6">
      <formula>$D$2="Y"</formula>
    </cfRule>
    <cfRule type="expression" dxfId="325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5171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72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73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75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0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2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2042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집계표!T119</f>
        <v>2</v>
      </c>
      <c r="M1" s="627">
        <f>집계표!T122</f>
        <v>1</v>
      </c>
      <c r="N1" s="618">
        <v>18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집계표!BC53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IF('2041'!M4&gt;=50,50,IF(AND('2041'!M4=50,M$3=$N$5),"",IF(B3=$N$5,'2041'!M4+1,'2041'!M4)))</f>
        <v>29</v>
      </c>
      <c r="C4" s="176">
        <f>IF(B4&gt;=50,50,IF(AND(B4=50,C$3=$N$5),50,IF(C$3=$N$5,B4+1,B4)))</f>
        <v>29</v>
      </c>
      <c r="D4" s="176">
        <f t="shared" ref="D4:M4" si="0">IF(C4&gt;=50,50,IF(AND(C4=50,D$3=$N$5),50,IF(D$3=$N$5,C4+1,C4)))</f>
        <v>30</v>
      </c>
      <c r="E4" s="176">
        <f t="shared" si="0"/>
        <v>30</v>
      </c>
      <c r="F4" s="176">
        <f t="shared" si="0"/>
        <v>30</v>
      </c>
      <c r="G4" s="176">
        <f t="shared" si="0"/>
        <v>30</v>
      </c>
      <c r="H4" s="176">
        <f t="shared" si="0"/>
        <v>30</v>
      </c>
      <c r="I4" s="176">
        <f t="shared" si="0"/>
        <v>30</v>
      </c>
      <c r="J4" s="176">
        <f t="shared" si="0"/>
        <v>30</v>
      </c>
      <c r="K4" s="176">
        <f t="shared" si="0"/>
        <v>30</v>
      </c>
      <c r="L4" s="176">
        <f t="shared" si="0"/>
        <v>30</v>
      </c>
      <c r="M4" s="176">
        <f t="shared" si="0"/>
        <v>30</v>
      </c>
      <c r="N4" s="202" t="s">
        <v>124</v>
      </c>
    </row>
    <row r="5" spans="1:14" ht="9.75" customHeight="1">
      <c r="A5" s="208" t="s">
        <v>134</v>
      </c>
      <c r="B5" s="356">
        <f>IF(B$3=$N$5,'2041'!M5+1,'2041'!M5)</f>
        <v>19</v>
      </c>
      <c r="C5" s="209">
        <f>IF(C$3=$N$5,B5+1,B5)</f>
        <v>19</v>
      </c>
      <c r="D5" s="209">
        <f t="shared" ref="D5:M5" si="1">IF(D$3=$N$5,C5+1,C5)</f>
        <v>20</v>
      </c>
      <c r="E5" s="209">
        <f t="shared" si="1"/>
        <v>20</v>
      </c>
      <c r="F5" s="209">
        <f t="shared" si="1"/>
        <v>20</v>
      </c>
      <c r="G5" s="209">
        <f t="shared" si="1"/>
        <v>20</v>
      </c>
      <c r="H5" s="209">
        <f t="shared" si="1"/>
        <v>20</v>
      </c>
      <c r="I5" s="209">
        <f t="shared" si="1"/>
        <v>20</v>
      </c>
      <c r="J5" s="209">
        <f t="shared" si="1"/>
        <v>20</v>
      </c>
      <c r="K5" s="209">
        <f t="shared" si="1"/>
        <v>20</v>
      </c>
      <c r="L5" s="209">
        <f t="shared" si="1"/>
        <v>20</v>
      </c>
      <c r="M5" s="209">
        <f t="shared" si="1"/>
        <v>20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6950600</v>
      </c>
      <c r="C6" s="211">
        <f ca="1">IF($D$1-YEAR($B$1)&gt;0,"",IF(AND($D$1-YEAR($B$1)=0,C3-MONTH($B$1)&gt;=1),"",VLOOKUP(C4,gibon40!$D$4:$AT$47,$N$1,1)))</f>
        <v>6950600</v>
      </c>
      <c r="D6" s="211">
        <f ca="1">IF($D$1-YEAR($B$1)&gt;0,"",IF(AND($D$1-YEAR($B$1)=0,D3-MONTH($B$1)&gt;=1),"",VLOOKUP(D4,gibon40!$D$4:$AT$47,$N$1,1)))</f>
        <v>7165400</v>
      </c>
      <c r="E6" s="211">
        <f ca="1">IF($D$1-YEAR($B$1)&gt;0,"",IF(AND($D$1-YEAR($B$1)=0,E3-MONTH($B$1)&gt;=1),"",VLOOKUP(E4,gibon40!$D$4:$AT$47,$N$1,1)))</f>
        <v>7165400</v>
      </c>
      <c r="F6" s="211">
        <f ca="1">IF($D$1-YEAR($B$1)&gt;0,"",IF(AND($D$1-YEAR($B$1)=0,F3-MONTH($B$1)&gt;=1),"",VLOOKUP(F4,gibon40!$D$4:$AT$47,$N$1,1)))</f>
        <v>7165400</v>
      </c>
      <c r="G6" s="211">
        <f ca="1">IF($D$1-YEAR($B$1)&gt;0,"",IF(AND($D$1-YEAR($B$1)=0,G3-MONTH($B$1)&gt;=1),"",VLOOKUP(G4,gibon40!$D$4:$AT$47,$N$1,1)))</f>
        <v>7165400</v>
      </c>
      <c r="H6" s="211">
        <f ca="1">IF($D$1-YEAR($B$1)&gt;0,"",IF(AND($D$1-YEAR($B$1)=0,H3-MONTH($B$1)&gt;=1),"",VLOOKUP(H4,gibon40!$D$4:$AT$47,$N$1,1)))</f>
        <v>7165400</v>
      </c>
      <c r="I6" s="211">
        <f ca="1">IF($D$1-YEAR($B$1)&gt;0,"",IF(AND($D$1-YEAR($B$1)=0,I3-MONTH($B$1)&gt;=1),"",VLOOKUP(I4,gibon40!$D$4:$AT$47,$N$1,1)))</f>
        <v>7165400</v>
      </c>
      <c r="J6" s="211">
        <f ca="1">IF($D$1-YEAR($B$1)&gt;0,"",IF(AND($D$1-YEAR($B$1)=0,J3-MONTH($B$1)&gt;=1),"",VLOOKUP(J4,gibon40!$D$4:$AT$47,$N$1,1)))</f>
        <v>7165400</v>
      </c>
      <c r="K6" s="211">
        <f ca="1">IF($D$1-YEAR($B$1)&gt;0,"",IF(AND($D$1-YEAR($B$1)=0,K3-MONTH($B$1)&gt;=1),"",VLOOKUP(K4,gibon40!$D$4:$AT$47,$N$1,1)))</f>
        <v>7165400</v>
      </c>
      <c r="L6" s="211">
        <f ca="1">IF($D$1-YEAR($B$1)&gt;0,"",IF(AND($D$1-YEAR($B$1)=0,L3-MONTH($B$1)&gt;=1),"",VLOOKUP(L4,gibon40!$D$4:$AT$47,$N$1,1)))</f>
        <v>7165400</v>
      </c>
      <c r="M6" s="211">
        <f ca="1">IF($D$1-YEAR($B$1)&gt;0,"",IF(AND($D$1-YEAR($B$1)=0,M3-MONTH($B$1)&gt;=1),"",VLOOKUP(M4,gibon40!$D$4:$AT$47,$N$1,1)))</f>
        <v>7165400</v>
      </c>
      <c r="N6" s="211">
        <f t="shared" ref="N6:N52" ca="1" si="2">SUM(B6:M6)</f>
        <v>85555200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3475300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3582700</v>
      </c>
      <c r="I7" s="180"/>
      <c r="J7" s="180"/>
      <c r="K7" s="180"/>
      <c r="L7" s="180"/>
      <c r="M7" s="180"/>
      <c r="N7" s="211">
        <f t="shared" ca="1" si="2"/>
        <v>7058000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80000</v>
      </c>
      <c r="C8" s="179">
        <f t="shared" ref="C8:M8" ca="1" si="3">IF(C4="","",IF(C6="","",IF(C5&gt;=20,100000,IF(C5&gt;=15,80000,IF(C5&gt;=10,60000,IF(C5&gt;=5,50000,30000))))))</f>
        <v>80000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1160000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10000</v>
      </c>
      <c r="E9" s="179">
        <f t="shared" ca="1" si="4"/>
        <v>10000</v>
      </c>
      <c r="F9" s="179">
        <f t="shared" ca="1" si="4"/>
        <v>10000</v>
      </c>
      <c r="G9" s="179">
        <f t="shared" ca="1" si="4"/>
        <v>10000</v>
      </c>
      <c r="H9" s="179">
        <f t="shared" ca="1" si="4"/>
        <v>10000</v>
      </c>
      <c r="I9" s="179">
        <f t="shared" ca="1" si="4"/>
        <v>10000</v>
      </c>
      <c r="J9" s="179">
        <f t="shared" ca="1" si="4"/>
        <v>10000</v>
      </c>
      <c r="K9" s="179">
        <f t="shared" ca="1" si="4"/>
        <v>10000</v>
      </c>
      <c r="L9" s="179">
        <f t="shared" ca="1" si="4"/>
        <v>10000</v>
      </c>
      <c r="M9" s="179">
        <f t="shared" ca="1" si="4"/>
        <v>10000</v>
      </c>
      <c r="N9" s="211">
        <f t="shared" ca="1" si="2"/>
        <v>100000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6597370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6597370</v>
      </c>
    </row>
    <row r="11" spans="1:14" ht="9.75" customHeight="1">
      <c r="A11" s="178" t="s">
        <v>63</v>
      </c>
      <c r="B11" s="179">
        <f ca="1">IF(B$6="",0,'2041'!M11)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4170360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4299240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8469600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IF(B$6="",0,'2041'!M15)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IF(B$6="",0,'2041'!M16)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IF(B$6="",0,'2041'!M18)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IF(B$6="",0,'2041'!M19)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77390</v>
      </c>
      <c r="E21" s="179">
        <f ca="1">IF(D4="","",IF(E$6="","",ROUND(VLOOKUP(E4,gibon40!$D$51:$AV$100,$N$1+1)*10*15/15,-1)))</f>
        <v>232170</v>
      </c>
      <c r="F21" s="179">
        <f ca="1">IF(E4="","",IF(F$6="","",ROUND(VLOOKUP(F4,gibon40!$D$51:$AV$100,$N$1+1)*10*15/15,-1)))</f>
        <v>232170</v>
      </c>
      <c r="G21" s="179">
        <f ca="1">IF(F4="","",IF(G$6="","",ROUND(VLOOKUP(G4,gibon40!$D$51:$AV$100,$N$1+1)*10*15/15,-1)))</f>
        <v>232170</v>
      </c>
      <c r="H21" s="179">
        <f ca="1">IF(G4="","",IF(H$6="","",ROUND(VLOOKUP(H4,gibon40!$D$51:$AV$100,$N$1+1)*10*15/15,-1)))</f>
        <v>232170</v>
      </c>
      <c r="I21" s="179">
        <f ca="1">IF(H4="","",IF(I$6="","",ROUND(VLOOKUP(I4,gibon40!$D$51:$AV$100,$N$1+1)*10*15/15,-1)))</f>
        <v>232170</v>
      </c>
      <c r="J21" s="179">
        <f ca="1">IF(I4="","",IF(J$6="","",ROUND(VLOOKUP(J4,gibon40!$D$51:$AV$100,$N$1+1)*7*15/15,-1)))</f>
        <v>162520</v>
      </c>
      <c r="K21" s="179">
        <f ca="1">IF(J4="","",IF(K$6="","",ROUND(VLOOKUP(K4,gibon40!$D$51:$AV$100,$N$1+1)*10*15/15,-1)))</f>
        <v>232170</v>
      </c>
      <c r="L21" s="179">
        <f ca="1">IF(K4="","",IF(L$6="","",ROUND(VLOOKUP(L4,gibon40!$D$51:$AV$100,$N$1+1)*10*15/15,-1)))</f>
        <v>232170</v>
      </c>
      <c r="M21" s="179">
        <f ca="1">IF(L4="","",IF(M$6="","",ROUND(VLOOKUP(M4,gibon40!$D$51:$AV$100,$N$1+1)*10*15/15*2,-1)))</f>
        <v>464340</v>
      </c>
      <c r="N21" s="211">
        <f t="shared" ca="1" si="2"/>
        <v>2329440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IF(B$6="",0,'2041'!M23)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IF(B$6="",0,'2041'!M24)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'2041'!A25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15351260</v>
      </c>
      <c r="C26" s="213">
        <f t="shared" ref="C26:M26" ca="1" si="16">ROUNDDOWN(SUM(C6:C25),-1)</f>
        <v>7705600</v>
      </c>
      <c r="D26" s="213">
        <f t="shared" ca="1" si="16"/>
        <v>14625160</v>
      </c>
      <c r="E26" s="213">
        <f t="shared" ca="1" si="16"/>
        <v>8182570</v>
      </c>
      <c r="F26" s="213">
        <f t="shared" ca="1" si="16"/>
        <v>8182570</v>
      </c>
      <c r="G26" s="213">
        <f t="shared" ca="1" si="16"/>
        <v>8182570</v>
      </c>
      <c r="H26" s="213">
        <f t="shared" ca="1" si="16"/>
        <v>11765270</v>
      </c>
      <c r="I26" s="213">
        <f t="shared" ca="1" si="16"/>
        <v>8182570</v>
      </c>
      <c r="J26" s="213">
        <f t="shared" ca="1" si="16"/>
        <v>12412160</v>
      </c>
      <c r="K26" s="213">
        <f t="shared" ca="1" si="16"/>
        <v>8182570</v>
      </c>
      <c r="L26" s="213">
        <f t="shared" ca="1" si="16"/>
        <v>8182570</v>
      </c>
      <c r="M26" s="213">
        <f t="shared" ca="1" si="16"/>
        <v>8414740</v>
      </c>
      <c r="N26" s="214">
        <f ca="1">SUM(B26:M26)</f>
        <v>119369610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1146350</v>
      </c>
      <c r="C27" s="179">
        <f ca="1">IF(C6="",0,ROUND(VLOOKUP(($N$26-1200000-$N$17-$N$16)/12,'2015근로소득간이세액표'!$C$4:$Z$700,$A$27+1)*0.78*O27,-1))</f>
        <v>1161240</v>
      </c>
      <c r="D27" s="179">
        <f ca="1">IF(D6="",0,ROUND(VLOOKUP(($N$26-1200000-$N$17-$N$16)/12,'2015근로소득간이세액표'!$C$4:$Z$700,$A$27+1)*0.79*O27,-1))</f>
        <v>1176130</v>
      </c>
      <c r="E27" s="179">
        <f ca="1">IF(E6="",0,ROUND(VLOOKUP(($N$26-1200000-$N$17-$N$16)/12,'2015근로소득간이세액표'!$C$4:$Z$700,$A$27+1)*1.1*O27,-1))</f>
        <v>1637650</v>
      </c>
      <c r="F27" s="179">
        <f ca="1">IF(F6="",0,ROUND(VLOOKUP(($N$26-1200000-$N$17-$N$16)/12,'2015근로소득간이세액표'!$C$4:$Z$700,$A$27+1)*1.11*O27,-1))</f>
        <v>1652530</v>
      </c>
      <c r="G27" s="179">
        <f ca="1">IF(G6="",0,ROUND(VLOOKUP(($N$26-1200000-$N$17-$N$16)/12,'2015근로소득간이세액표'!$C$4:$Z$700,$A$27+1)*1.12*O27,-1))</f>
        <v>1667420</v>
      </c>
      <c r="H27" s="179">
        <f ca="1">IF(H6="",0,ROUND(VLOOKUP(($N$26-1200000-$N$17-$N$16)/12,'2015근로소득간이세액표'!$C$4:$Z$700,$A$27+1)*1.13*O27,-1))</f>
        <v>1682310</v>
      </c>
      <c r="I27" s="179">
        <f ca="1">IF(I6="",0,ROUND(VLOOKUP(($N$26-1200000-$N$17-$N$16)/12,'2015근로소득간이세액표'!$C$4:$Z$700,$A$27+1)*1.14*O27,-1))</f>
        <v>1697200</v>
      </c>
      <c r="J27" s="179">
        <f ca="1">IF(J6="",0,ROUND(VLOOKUP(($N$26-1200000-$N$17-$N$16)/12,'2015근로소득간이세액표'!$C$4:$Z$700,$A$27+1)*1.15*O27,-1))</f>
        <v>1712090</v>
      </c>
      <c r="K27" s="179">
        <f ca="1">IF(K6="",0,ROUND(VLOOKUP(($N$26-1200000-$N$17-$N$16)/12,'2015근로소득간이세액표'!$C$4:$Z$700,$A$27+1)*1.16*O27,-1))</f>
        <v>1726970</v>
      </c>
      <c r="L27" s="179">
        <f ca="1">IF(L6="",0,ROUND(VLOOKUP(($N$26-1200000-$N$17-$N$16)/12,'2015근로소득간이세액표'!$C$4:$Z$700,$A$27+1)*1.17*O27,-1))</f>
        <v>1741860</v>
      </c>
      <c r="M27" s="179">
        <f ca="1">IF(M6="",0,ROUND(VLOOKUP(($N$26-1200000-$N$17-$N$16)/12,'2015근로소득간이세액표'!$C$4:$Z$700,$A$27+1)*1.18*O27,-1))</f>
        <v>1756750</v>
      </c>
      <c r="N27" s="179">
        <f t="shared" ref="N27:N28" ca="1" si="17">SUM(B27:M27)</f>
        <v>18758500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114640</v>
      </c>
      <c r="C28" s="179">
        <f t="shared" ca="1" si="18"/>
        <v>116120</v>
      </c>
      <c r="D28" s="179">
        <f t="shared" ca="1" si="18"/>
        <v>117610</v>
      </c>
      <c r="E28" s="179">
        <f t="shared" ca="1" si="18"/>
        <v>163770</v>
      </c>
      <c r="F28" s="179">
        <f t="shared" ca="1" si="18"/>
        <v>165250</v>
      </c>
      <c r="G28" s="179">
        <f t="shared" ca="1" si="18"/>
        <v>166740</v>
      </c>
      <c r="H28" s="179">
        <f t="shared" ca="1" si="18"/>
        <v>168230</v>
      </c>
      <c r="I28" s="179">
        <f t="shared" ca="1" si="18"/>
        <v>169720</v>
      </c>
      <c r="J28" s="179">
        <f ca="1">IF(J$6="","",ROUND(J27*0.1,-1))</f>
        <v>171210</v>
      </c>
      <c r="K28" s="179">
        <f t="shared" ref="K28:M28" ca="1" si="19">IF(K$6="","",ROUND(K27*0.1,-1))</f>
        <v>172700</v>
      </c>
      <c r="L28" s="179">
        <f t="shared" ca="1" si="19"/>
        <v>174190</v>
      </c>
      <c r="M28" s="179">
        <f t="shared" ca="1" si="19"/>
        <v>175680</v>
      </c>
      <c r="N28" s="179">
        <f t="shared" ca="1" si="17"/>
        <v>1875860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IF(B4="","",IF(B6="","",IF($D$1-YEAR('2025'!$I$1)&gt;0,"",IF(AND($D$1-YEAR('2025'!$I$1)=0,B3-MONTH('2025'!$I$1)&gt;=1),"",'2041'!M29))))</f>
        <v>818600</v>
      </c>
      <c r="C29" s="179">
        <f ca="1">IF(C4="","",IF(C6="","",IF($D$1-YEAR('2025'!$I$1)&gt;0,"",IF(AND($D$1-YEAR('2025'!$I$1)=0,C3-MONTH('2025'!$I$1)&gt;=1),"",B29))))</f>
        <v>818600</v>
      </c>
      <c r="D29" s="179">
        <f ca="1">IF(D4="","",IF(D6="","",IF($D$1-YEAR('2025'!$I$1)&gt;0,"",IF(AND($D$1-YEAR('2025'!$I$1)=0,D3-MONTH('2025'!$I$1)&gt;=1),"",C29))))</f>
        <v>818600</v>
      </c>
      <c r="E29" s="179">
        <f ca="1">IF(E4="","",IF(E6="","",IF($D$1-YEAR('2025'!$I$1)&gt;0,"",IF(AND($D$1-YEAR('2025'!$I$1)=0,E3-MONTH('2025'!$I$1)&gt;=1),"",D29))))</f>
        <v>818600</v>
      </c>
      <c r="F29" s="179">
        <f ca="1">IF(F4="","",IF(F$6="","",IF($D$1-YEAR('2025'!$I$1)&gt;0,"",IF(AND($D$1-YEAR('2025'!$I$1)=0,F3-MONTH('2025'!$I$1)&gt;=1),"",VLOOKUP(F$4,집계표!$AK$5:$HA$47,$N$1*3+$N$1-1+4)))))</f>
        <v>864230</v>
      </c>
      <c r="G29" s="179">
        <f ca="1">IF(G6="",0,IF($D$1-YEAR('2025'!$I$1)&gt;0,"",IF(AND($D$1-YEAR('2025'!$I$1)=0,G3-MONTH('2025'!$I$1)&gt;=1),"",F29)))</f>
        <v>864230</v>
      </c>
      <c r="H29" s="179">
        <f ca="1">IF(H6="",0,IF($D$1-YEAR('2025'!$I$1)&gt;0,"",IF(AND($D$1-YEAR('2025'!$I$1)=0,H3-MONTH('2025'!$I$1)&gt;=1),"",G29)))</f>
        <v>864230</v>
      </c>
      <c r="I29" s="179">
        <f ca="1">IF(I6="",0,IF($D$1-YEAR('2025'!$I$1)&gt;0,"",IF(AND($D$1-YEAR('2025'!$I$1)=0,I3-MONTH('2025'!$I$1)&gt;=1),"",H29)))</f>
        <v>864230</v>
      </c>
      <c r="J29" s="179">
        <f ca="1">IF(J6="",0,IF($D$1-YEAR('2025'!$I$1)&gt;0,"",IF(AND($D$1-YEAR('2025'!$I$1)=0,J3-MONTH('2025'!$I$1)&gt;=1),"",I29)))</f>
        <v>864230</v>
      </c>
      <c r="K29" s="179">
        <f ca="1">IF(K6="",0,IF($D$1-YEAR('2025'!$I$1)&gt;0,"",IF(AND($D$1-YEAR('2025'!$I$1)=0,K3-MONTH('2025'!$I$1)&gt;=1),"",J29)))</f>
        <v>864230</v>
      </c>
      <c r="L29" s="179">
        <f ca="1">IF(L6="",0,IF($D$1-YEAR('2025'!$I$1)&gt;0,"",IF(AND($D$1-YEAR('2025'!$I$1)=0,L3-MONTH('2025'!$I$1)&gt;=1),"",K29)))</f>
        <v>864230</v>
      </c>
      <c r="M29" s="179">
        <f ca="1">IF(M6="",0,IF($D$1-YEAR('2025'!$I$1)&gt;0,"",IF(AND($D$1-YEAR('2025'!$I$1)=0,M3-MONTH('2025'!$I$1)&gt;=1),"",L29)))</f>
        <v>864230</v>
      </c>
      <c r="N29" s="211">
        <f t="shared" ca="1" si="2"/>
        <v>10188240</v>
      </c>
    </row>
    <row r="30" spans="1:20" ht="9.75" customHeight="1">
      <c r="A30" s="182" t="s">
        <v>58</v>
      </c>
      <c r="B30" s="179">
        <f ca="1">IF(B6="","",'2041'!M30)</f>
        <v>353130</v>
      </c>
      <c r="C30" s="179">
        <f ca="1">IF(C6="","",B30)</f>
        <v>353130</v>
      </c>
      <c r="D30" s="179">
        <f ca="1">IF(D6="","",C30)</f>
        <v>353130</v>
      </c>
      <c r="E30" s="857">
        <f ca="1">IF(E6="","",VLOOKUP(E$4,집계표!$AK$5:$HA$47,$N$1*4))</f>
        <v>372820</v>
      </c>
      <c r="F30" s="179">
        <f ca="1">IF(F6="","",E30)</f>
        <v>372820</v>
      </c>
      <c r="G30" s="179">
        <f t="shared" ref="G30:M30" ca="1" si="20">IF(G6="","",F30)</f>
        <v>372820</v>
      </c>
      <c r="H30" s="179">
        <f t="shared" ca="1" si="20"/>
        <v>372820</v>
      </c>
      <c r="I30" s="179">
        <f t="shared" ca="1" si="20"/>
        <v>372820</v>
      </c>
      <c r="J30" s="179">
        <f t="shared" ca="1" si="20"/>
        <v>372820</v>
      </c>
      <c r="K30" s="179">
        <f t="shared" ca="1" si="20"/>
        <v>372820</v>
      </c>
      <c r="L30" s="179">
        <f t="shared" ca="1" si="20"/>
        <v>372820</v>
      </c>
      <c r="M30" s="179">
        <f t="shared" ca="1" si="20"/>
        <v>372820</v>
      </c>
      <c r="N30" s="211">
        <f t="shared" ca="1" si="2"/>
        <v>4414770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36200</v>
      </c>
      <c r="C31" s="179">
        <f t="shared" ca="1" si="21"/>
        <v>36200</v>
      </c>
      <c r="D31" s="179">
        <f t="shared" ca="1" si="21"/>
        <v>36200</v>
      </c>
      <c r="E31" s="179">
        <f t="shared" ca="1" si="21"/>
        <v>38210</v>
      </c>
      <c r="F31" s="179">
        <f t="shared" ca="1" si="21"/>
        <v>38210</v>
      </c>
      <c r="G31" s="179">
        <f t="shared" ca="1" si="21"/>
        <v>38210</v>
      </c>
      <c r="H31" s="179">
        <f t="shared" ca="1" si="21"/>
        <v>38210</v>
      </c>
      <c r="I31" s="179">
        <f t="shared" ca="1" si="21"/>
        <v>38210</v>
      </c>
      <c r="J31" s="179">
        <f ca="1">IF(J$6="","",ROUND(IF(J4="","",J30*10.25%),-1))</f>
        <v>38210</v>
      </c>
      <c r="K31" s="179">
        <f t="shared" ref="K31:M31" ca="1" si="22">IF(K$6="","",ROUND(IF(K4="","",K30*10.25%),-1))</f>
        <v>38210</v>
      </c>
      <c r="L31" s="179">
        <f t="shared" ca="1" si="22"/>
        <v>38210</v>
      </c>
      <c r="M31" s="179">
        <f t="shared" ca="1" si="22"/>
        <v>38210</v>
      </c>
      <c r="N31" s="211">
        <f t="shared" ca="1" si="2"/>
        <v>452490</v>
      </c>
    </row>
    <row r="32" spans="1:20" ht="9.75" customHeight="1">
      <c r="A32" s="597" t="str">
        <f>'2041'!A32</f>
        <v>교직원공제비</v>
      </c>
      <c r="B32" s="621">
        <f ca="1">IF(B$6="","",'2041'!B32)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'2041'!A33</f>
        <v>급식비</v>
      </c>
      <c r="B33" s="621">
        <f ca="1">IF(B$6="","",'2041'!B33)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IF(B$6="",0,'2041'!M34)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IF(B$6="",0,'2041'!M38)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IF(B$6="",0,'2041'!M39)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2789560</v>
      </c>
      <c r="C40" s="216">
        <f t="shared" ca="1" si="28"/>
        <v>2805930</v>
      </c>
      <c r="D40" s="216">
        <f t="shared" ca="1" si="28"/>
        <v>2822310</v>
      </c>
      <c r="E40" s="216">
        <f t="shared" ca="1" si="28"/>
        <v>3351690</v>
      </c>
      <c r="F40" s="216">
        <f t="shared" ca="1" si="28"/>
        <v>3413680</v>
      </c>
      <c r="G40" s="216">
        <f t="shared" ca="1" si="28"/>
        <v>3430060</v>
      </c>
      <c r="H40" s="216">
        <f t="shared" ca="1" si="28"/>
        <v>3446440</v>
      </c>
      <c r="I40" s="216">
        <f t="shared" ca="1" si="28"/>
        <v>3462820</v>
      </c>
      <c r="J40" s="216">
        <f ca="1">IF(J26="","",SUM(J27:J39))</f>
        <v>3479200</v>
      </c>
      <c r="K40" s="216">
        <f t="shared" ref="K40:M40" ca="1" si="29">IF(K26="","",SUM(K27:K39))</f>
        <v>3495570</v>
      </c>
      <c r="L40" s="216">
        <f t="shared" ca="1" si="29"/>
        <v>3511950</v>
      </c>
      <c r="M40" s="216">
        <f t="shared" ca="1" si="29"/>
        <v>3528330</v>
      </c>
      <c r="N40" s="216">
        <f ca="1">SUM(B40:M40)</f>
        <v>39537540</v>
      </c>
    </row>
    <row r="41" spans="1:14" ht="9.75" customHeight="1">
      <c r="A41" s="183" t="s">
        <v>79</v>
      </c>
      <c r="B41" s="184">
        <f ca="1">ROUND((B26-B40),-1)</f>
        <v>12561700</v>
      </c>
      <c r="C41" s="184">
        <f t="shared" ref="C41:M41" ca="1" si="30">ROUND((C26-C40),-1)</f>
        <v>4899670</v>
      </c>
      <c r="D41" s="184">
        <f t="shared" ca="1" si="30"/>
        <v>11802850</v>
      </c>
      <c r="E41" s="184">
        <f t="shared" ca="1" si="30"/>
        <v>4830880</v>
      </c>
      <c r="F41" s="184">
        <f t="shared" ca="1" si="30"/>
        <v>4768890</v>
      </c>
      <c r="G41" s="184">
        <f t="shared" ca="1" si="30"/>
        <v>4752510</v>
      </c>
      <c r="H41" s="184">
        <f t="shared" ca="1" si="30"/>
        <v>8318830</v>
      </c>
      <c r="I41" s="184">
        <f t="shared" ca="1" si="30"/>
        <v>4719750</v>
      </c>
      <c r="J41" s="184">
        <f t="shared" ca="1" si="30"/>
        <v>8932960</v>
      </c>
      <c r="K41" s="184">
        <f t="shared" ca="1" si="30"/>
        <v>4687000</v>
      </c>
      <c r="L41" s="184">
        <f t="shared" ca="1" si="30"/>
        <v>4670620</v>
      </c>
      <c r="M41" s="184">
        <f t="shared" ca="1" si="30"/>
        <v>4886410</v>
      </c>
      <c r="N41" s="184">
        <f ca="1">SUM(B41:M41)</f>
        <v>79832070</v>
      </c>
    </row>
    <row r="42" spans="1:14" ht="9.75" customHeight="1">
      <c r="A42" s="217" t="str">
        <f>'2041'!A42</f>
        <v>12)지출내용입력1</v>
      </c>
      <c r="B42" s="211">
        <f>'2041'!M42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'2041'!A43</f>
        <v>지출내용입력2</v>
      </c>
      <c r="B43" s="211">
        <f>'2041'!M43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'2041'!A44</f>
        <v>지출내용입력3</v>
      </c>
      <c r="B44" s="211">
        <f>'2041'!M44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'2041'!A45</f>
        <v>지출내용입력4</v>
      </c>
      <c r="B45" s="211">
        <f>'2041'!M45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'2041'!A46</f>
        <v>지출내용입력5</v>
      </c>
      <c r="B46" s="211">
        <f>'2041'!M46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'2041'!A47</f>
        <v>지출내용입력6</v>
      </c>
      <c r="B47" s="211">
        <f>'2041'!M47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'2041'!A48</f>
        <v>지출내용입력7</v>
      </c>
      <c r="B48" s="211">
        <f>'2041'!M48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'2041'!A49</f>
        <v>지출내용입력8</v>
      </c>
      <c r="B49" s="211">
        <f>'2041'!M49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'2041'!A50</f>
        <v>지출내용입력9</v>
      </c>
      <c r="B50" s="211">
        <f>'2041'!M50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'2041'!A51</f>
        <v>지출내용입력10</v>
      </c>
      <c r="B51" s="211">
        <f>'2041'!M51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12561600</v>
      </c>
      <c r="C53" s="188">
        <f t="shared" ca="1" si="33"/>
        <v>4899570</v>
      </c>
      <c r="D53" s="188">
        <f t="shared" ca="1" si="33"/>
        <v>11802750</v>
      </c>
      <c r="E53" s="188">
        <f t="shared" ca="1" si="33"/>
        <v>4830780</v>
      </c>
      <c r="F53" s="188">
        <f t="shared" ca="1" si="33"/>
        <v>4768790</v>
      </c>
      <c r="G53" s="188">
        <f t="shared" ca="1" si="33"/>
        <v>4752410</v>
      </c>
      <c r="H53" s="188">
        <f t="shared" ca="1" si="33"/>
        <v>8318730</v>
      </c>
      <c r="I53" s="188">
        <f t="shared" ca="1" si="33"/>
        <v>4719650</v>
      </c>
      <c r="J53" s="188">
        <f t="shared" ca="1" si="33"/>
        <v>8932860</v>
      </c>
      <c r="K53" s="188">
        <f t="shared" ca="1" si="33"/>
        <v>4686900</v>
      </c>
      <c r="L53" s="188">
        <f t="shared" ca="1" si="33"/>
        <v>4670520</v>
      </c>
      <c r="M53" s="188">
        <f t="shared" ca="1" si="33"/>
        <v>4886310</v>
      </c>
      <c r="N53" s="188">
        <f t="shared" ca="1" si="33"/>
        <v>79830870</v>
      </c>
    </row>
    <row r="55" spans="1:14" ht="18">
      <c r="A55" s="1232" t="str">
        <f ca="1">D1</f>
        <v>2042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996248.00000000012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1116005</v>
      </c>
      <c r="F57" s="688">
        <f ca="1">IF(F6="",0,VLOOKUP(F26-F17-100000,'2015 근로소득 간이세액표'!$C$4:$N$845,1+$M$55)*1.1)</f>
        <v>1116005</v>
      </c>
      <c r="G57" s="688">
        <f ca="1">IF(G6="",0,VLOOKUP(G26-G17-100000,'2015 근로소득 간이세액표'!$C$4:$N$845,1+$M$55)*1.1)</f>
        <v>1116005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1116005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1116005</v>
      </c>
      <c r="L57" s="688">
        <f ca="1">IF(L6="",0,VLOOKUP(L26-L17-100000,'2015 근로소득 간이세액표'!$C$4:$N$845,1+$M$55)*1.1)</f>
        <v>1116005</v>
      </c>
      <c r="M57" s="688">
        <f ca="1">IF(M6="",0,VLOOKUP(M26-M17-100000,'2015 근로소득 간이세액표'!$C$4:$N$845,1+$M$55)*1.1)</f>
        <v>1170884</v>
      </c>
      <c r="N57" s="689">
        <f ca="1">SUM(B57:M57)</f>
        <v>15729098.000000002</v>
      </c>
    </row>
    <row r="58" spans="1:14" ht="10" customHeight="1">
      <c r="A58" s="687" t="s">
        <v>295</v>
      </c>
      <c r="B58" s="689">
        <f t="shared" ref="B58:M58" ca="1" si="34">IF(B6="",0,B27+B28)</f>
        <v>1260990</v>
      </c>
      <c r="C58" s="689">
        <f t="shared" ca="1" si="34"/>
        <v>1277360</v>
      </c>
      <c r="D58" s="689">
        <f t="shared" ca="1" si="34"/>
        <v>1293740</v>
      </c>
      <c r="E58" s="689">
        <f t="shared" ca="1" si="34"/>
        <v>1801420</v>
      </c>
      <c r="F58" s="689">
        <f t="shared" ca="1" si="34"/>
        <v>1817780</v>
      </c>
      <c r="G58" s="689">
        <f t="shared" ca="1" si="34"/>
        <v>1834160</v>
      </c>
      <c r="H58" s="689">
        <f t="shared" ca="1" si="34"/>
        <v>1850540</v>
      </c>
      <c r="I58" s="689">
        <f t="shared" ca="1" si="34"/>
        <v>1866920</v>
      </c>
      <c r="J58" s="689">
        <f t="shared" ca="1" si="34"/>
        <v>1883300</v>
      </c>
      <c r="K58" s="689">
        <f t="shared" ca="1" si="34"/>
        <v>1899670</v>
      </c>
      <c r="L58" s="689">
        <f t="shared" ca="1" si="34"/>
        <v>1916050</v>
      </c>
      <c r="M58" s="689">
        <f t="shared" ca="1" si="34"/>
        <v>1932430</v>
      </c>
      <c r="N58" s="689">
        <f ca="1">SUM(B58:M58)</f>
        <v>20634360</v>
      </c>
    </row>
    <row r="59" spans="1:14" ht="10" customHeight="1">
      <c r="A59" s="680" t="s">
        <v>546</v>
      </c>
      <c r="B59" s="684">
        <f ca="1">B57-B58</f>
        <v>455494.00000000023</v>
      </c>
      <c r="C59" s="684">
        <f t="shared" ref="C59:N59" ca="1" si="35">C57-C58</f>
        <v>-281111.99999999988</v>
      </c>
      <c r="D59" s="684">
        <f t="shared" ca="1" si="35"/>
        <v>422744.00000000023</v>
      </c>
      <c r="E59" s="684">
        <f t="shared" ca="1" si="35"/>
        <v>-685415</v>
      </c>
      <c r="F59" s="684">
        <f t="shared" ca="1" si="35"/>
        <v>-701775</v>
      </c>
      <c r="G59" s="684">
        <f t="shared" ca="1" si="35"/>
        <v>-718155</v>
      </c>
      <c r="H59" s="684">
        <f t="shared" ca="1" si="35"/>
        <v>-134055.99999999977</v>
      </c>
      <c r="I59" s="684">
        <f t="shared" ca="1" si="35"/>
        <v>-750915</v>
      </c>
      <c r="J59" s="684">
        <f t="shared" ca="1" si="35"/>
        <v>-166815.99999999977</v>
      </c>
      <c r="K59" s="684">
        <f t="shared" ca="1" si="35"/>
        <v>-783665</v>
      </c>
      <c r="L59" s="684">
        <f t="shared" ca="1" si="35"/>
        <v>-800045</v>
      </c>
      <c r="M59" s="684">
        <f t="shared" ca="1" si="35"/>
        <v>-761546</v>
      </c>
      <c r="N59" s="684">
        <f t="shared" ca="1" si="35"/>
        <v>-4905261.9999999981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-4905261.9999999981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WvqNFyUsEA9gDC0w8tLzAZuDVtcIPDMLs/FxIgHaa8rQmii65mQssSbNPVe/6NeF9vuhC14L6H2lwUdR73959w==" saltValue="pTlu90W3dGJoThe6+B35l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24" priority="8">
      <formula>$E$2="y"</formula>
    </cfRule>
    <cfRule type="expression" dxfId="323" priority="9">
      <formula>$D$2="Y"</formula>
    </cfRule>
    <cfRule type="expression" dxfId="322" priority="10">
      <formula>$F$2="y"</formula>
    </cfRule>
  </conditionalFormatting>
  <conditionalFormatting sqref="B27:M27">
    <cfRule type="expression" dxfId="321" priority="1">
      <formula>$F$2="y"</formula>
    </cfRule>
  </conditionalFormatting>
  <conditionalFormatting sqref="D16">
    <cfRule type="expression" dxfId="320" priority="26">
      <formula>$E$2="y"</formula>
    </cfRule>
    <cfRule type="expression" dxfId="319" priority="27">
      <formula>$E$2="y"</formula>
    </cfRule>
    <cfRule type="expression" dxfId="318" priority="28">
      <formula>$F$2="y"</formula>
    </cfRule>
  </conditionalFormatting>
  <conditionalFormatting sqref="D18">
    <cfRule type="expression" dxfId="317" priority="23">
      <formula>$E$2="y"</formula>
    </cfRule>
    <cfRule type="expression" dxfId="316" priority="24">
      <formula>$E$2="y"</formula>
    </cfRule>
    <cfRule type="expression" dxfId="315" priority="25">
      <formula>$F$2="y"</formula>
    </cfRule>
  </conditionalFormatting>
  <conditionalFormatting sqref="J12:K12">
    <cfRule type="expression" dxfId="314" priority="5">
      <formula>$E$2="y"</formula>
    </cfRule>
    <cfRule type="expression" dxfId="313" priority="6">
      <formula>$D$2="Y"</formula>
    </cfRule>
    <cfRule type="expression" dxfId="312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6195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96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97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99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1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3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2043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집계표!U119</f>
        <v>2</v>
      </c>
      <c r="M1" s="627">
        <f>집계표!U122</f>
        <v>1</v>
      </c>
      <c r="N1" s="618">
        <v>19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집계표!BD53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IF('2042'!M4&gt;=50,50,IF(AND('2042'!M4=50,M$3=$N$5),"",IF(B3=$N$5,'2042'!M4+1,'2042'!M4)))</f>
        <v>30</v>
      </c>
      <c r="C4" s="176">
        <f>IF(B4&gt;=50,50,IF(AND(B4=50,C$3=$N$5),50,IF(C$3=$N$5,B4+1,B4)))</f>
        <v>30</v>
      </c>
      <c r="D4" s="176">
        <f t="shared" ref="D4:M4" si="0">IF(C4&gt;=50,50,IF(AND(C4=50,D$3=$N$5),50,IF(D$3=$N$5,C4+1,C4)))</f>
        <v>31</v>
      </c>
      <c r="E4" s="176">
        <f t="shared" si="0"/>
        <v>31</v>
      </c>
      <c r="F4" s="176">
        <f t="shared" si="0"/>
        <v>31</v>
      </c>
      <c r="G4" s="176">
        <f t="shared" si="0"/>
        <v>31</v>
      </c>
      <c r="H4" s="176">
        <f t="shared" si="0"/>
        <v>31</v>
      </c>
      <c r="I4" s="176">
        <f t="shared" si="0"/>
        <v>31</v>
      </c>
      <c r="J4" s="176">
        <f t="shared" si="0"/>
        <v>31</v>
      </c>
      <c r="K4" s="176">
        <f t="shared" si="0"/>
        <v>31</v>
      </c>
      <c r="L4" s="176">
        <f t="shared" si="0"/>
        <v>31</v>
      </c>
      <c r="M4" s="176">
        <f t="shared" si="0"/>
        <v>31</v>
      </c>
      <c r="N4" s="202" t="s">
        <v>124</v>
      </c>
    </row>
    <row r="5" spans="1:14" ht="9.75" customHeight="1">
      <c r="A5" s="208" t="s">
        <v>134</v>
      </c>
      <c r="B5" s="356">
        <f>IF(B$3=$N$5,'2042'!M5+1,'2042'!M5)</f>
        <v>20</v>
      </c>
      <c r="C5" s="209">
        <f>IF(C$3=$N$5,B5+1,B5)</f>
        <v>20</v>
      </c>
      <c r="D5" s="209">
        <f t="shared" ref="D5:M5" si="1">IF(D$3=$N$5,C5+1,C5)</f>
        <v>21</v>
      </c>
      <c r="E5" s="209">
        <f t="shared" si="1"/>
        <v>21</v>
      </c>
      <c r="F5" s="209">
        <f t="shared" si="1"/>
        <v>21</v>
      </c>
      <c r="G5" s="209">
        <f t="shared" si="1"/>
        <v>21</v>
      </c>
      <c r="H5" s="209">
        <f t="shared" si="1"/>
        <v>21</v>
      </c>
      <c r="I5" s="209">
        <f t="shared" si="1"/>
        <v>21</v>
      </c>
      <c r="J5" s="209">
        <f t="shared" si="1"/>
        <v>21</v>
      </c>
      <c r="K5" s="209">
        <f t="shared" si="1"/>
        <v>21</v>
      </c>
      <c r="L5" s="209">
        <f t="shared" si="1"/>
        <v>21</v>
      </c>
      <c r="M5" s="209">
        <f t="shared" si="1"/>
        <v>21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7344500</v>
      </c>
      <c r="C6" s="211">
        <f ca="1">IF($D$1-YEAR($B$1)&gt;0,"",IF(AND($D$1-YEAR($B$1)=0,C3-MONTH($B$1)&gt;=1),"",VLOOKUP(C4,gibon40!$D$4:$AT$47,$N$1,1)))</f>
        <v>7344500</v>
      </c>
      <c r="D6" s="211">
        <f ca="1">IF($D$1-YEAR($B$1)&gt;0,"",IF(AND($D$1-YEAR($B$1)=0,D3-MONTH($B$1)&gt;=1),"",VLOOKUP(D4,gibon40!$D$4:$AT$47,$N$1,1)))</f>
        <v>7564100</v>
      </c>
      <c r="E6" s="211">
        <f ca="1">IF($D$1-YEAR($B$1)&gt;0,"",IF(AND($D$1-YEAR($B$1)=0,E3-MONTH($B$1)&gt;=1),"",VLOOKUP(E4,gibon40!$D$4:$AT$47,$N$1,1)))</f>
        <v>7564100</v>
      </c>
      <c r="F6" s="211">
        <f ca="1">IF($D$1-YEAR($B$1)&gt;0,"",IF(AND($D$1-YEAR($B$1)=0,F3-MONTH($B$1)&gt;=1),"",VLOOKUP(F4,gibon40!$D$4:$AT$47,$N$1,1)))</f>
        <v>7564100</v>
      </c>
      <c r="G6" s="211">
        <f ca="1">IF($D$1-YEAR($B$1)&gt;0,"",IF(AND($D$1-YEAR($B$1)=0,G3-MONTH($B$1)&gt;=1),"",VLOOKUP(G4,gibon40!$D$4:$AT$47,$N$1,1)))</f>
        <v>7564100</v>
      </c>
      <c r="H6" s="211">
        <f ca="1">IF($D$1-YEAR($B$1)&gt;0,"",IF(AND($D$1-YEAR($B$1)=0,H3-MONTH($B$1)&gt;=1),"",VLOOKUP(H4,gibon40!$D$4:$AT$47,$N$1,1)))</f>
        <v>7564100</v>
      </c>
      <c r="I6" s="211">
        <f ca="1">IF($D$1-YEAR($B$1)&gt;0,"",IF(AND($D$1-YEAR($B$1)=0,I3-MONTH($B$1)&gt;=1),"",VLOOKUP(I4,gibon40!$D$4:$AT$47,$N$1,1)))</f>
        <v>7564100</v>
      </c>
      <c r="J6" s="211">
        <f ca="1">IF($D$1-YEAR($B$1)&gt;0,"",IF(AND($D$1-YEAR($B$1)=0,J3-MONTH($B$1)&gt;=1),"",VLOOKUP(J4,gibon40!$D$4:$AT$47,$N$1,1)))</f>
        <v>7564100</v>
      </c>
      <c r="K6" s="211">
        <f ca="1">IF($D$1-YEAR($B$1)&gt;0,"",IF(AND($D$1-YEAR($B$1)=0,K3-MONTH($B$1)&gt;=1),"",VLOOKUP(K4,gibon40!$D$4:$AT$47,$N$1,1)))</f>
        <v>7564100</v>
      </c>
      <c r="L6" s="211">
        <f ca="1">IF($D$1-YEAR($B$1)&gt;0,"",IF(AND($D$1-YEAR($B$1)=0,L3-MONTH($B$1)&gt;=1),"",VLOOKUP(L4,gibon40!$D$4:$AT$47,$N$1,1)))</f>
        <v>7564100</v>
      </c>
      <c r="M6" s="211">
        <f ca="1">IF($D$1-YEAR($B$1)&gt;0,"",IF(AND($D$1-YEAR($B$1)=0,M3-MONTH($B$1)&gt;=1),"",VLOOKUP(M4,gibon40!$D$4:$AT$47,$N$1,1)))</f>
        <v>7564100</v>
      </c>
      <c r="N6" s="211">
        <f t="shared" ref="N6:N52" ca="1" si="2">SUM(B6:M6)</f>
        <v>90330000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3672250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3782050</v>
      </c>
      <c r="I7" s="180"/>
      <c r="J7" s="180"/>
      <c r="K7" s="180"/>
      <c r="L7" s="180"/>
      <c r="M7" s="180"/>
      <c r="N7" s="211">
        <f t="shared" ca="1" si="2"/>
        <v>7454300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10000</v>
      </c>
      <c r="C9" s="179">
        <f t="shared" ref="C9:M9" ca="1" si="4">IF(C4="","",IF(C6="","",IF(AND(C5&gt;=20,C5&lt;25),10000,IF(C5&gt;=25,30000,0))))</f>
        <v>10000</v>
      </c>
      <c r="D9" s="179">
        <f t="shared" ca="1" si="4"/>
        <v>10000</v>
      </c>
      <c r="E9" s="179">
        <f t="shared" ca="1" si="4"/>
        <v>10000</v>
      </c>
      <c r="F9" s="179">
        <f t="shared" ca="1" si="4"/>
        <v>10000</v>
      </c>
      <c r="G9" s="179">
        <f t="shared" ca="1" si="4"/>
        <v>10000</v>
      </c>
      <c r="H9" s="179">
        <f t="shared" ca="1" si="4"/>
        <v>10000</v>
      </c>
      <c r="I9" s="179">
        <f t="shared" ca="1" si="4"/>
        <v>10000</v>
      </c>
      <c r="J9" s="179">
        <f t="shared" ca="1" si="4"/>
        <v>10000</v>
      </c>
      <c r="K9" s="179">
        <f t="shared" ca="1" si="4"/>
        <v>10000</v>
      </c>
      <c r="L9" s="179">
        <f t="shared" ca="1" si="4"/>
        <v>10000</v>
      </c>
      <c r="M9" s="179">
        <f t="shared" ca="1" si="4"/>
        <v>10000</v>
      </c>
      <c r="N9" s="211">
        <f t="shared" ca="1" si="2"/>
        <v>120000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6762300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6762300</v>
      </c>
    </row>
    <row r="11" spans="1:14" ht="9.75" customHeight="1">
      <c r="A11" s="178" t="s">
        <v>63</v>
      </c>
      <c r="B11" s="179">
        <f ca="1">IF(B$6="",0,'2042'!M11)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4406700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4538460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8945160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IF(B$6="",0,'2042'!M15)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IF(B$6="",0,'2042'!M16)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IF(B$6="",0,'2042'!M18)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IF(B$6="",0,'2042'!M19)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79320</v>
      </c>
      <c r="E21" s="179">
        <f ca="1">IF(D4="","",IF(E$6="","",ROUND(VLOOKUP(E4,gibon40!$D$51:$AV$100,$N$1+1)*10*15/15,-1)))</f>
        <v>237970</v>
      </c>
      <c r="F21" s="179">
        <f ca="1">IF(E4="","",IF(F$6="","",ROUND(VLOOKUP(F4,gibon40!$D$51:$AV$100,$N$1+1)*10*15/15,-1)))</f>
        <v>237970</v>
      </c>
      <c r="G21" s="179">
        <f ca="1">IF(F4="","",IF(G$6="","",ROUND(VLOOKUP(G4,gibon40!$D$51:$AV$100,$N$1+1)*10*15/15,-1)))</f>
        <v>237970</v>
      </c>
      <c r="H21" s="179">
        <f ca="1">IF(G4="","",IF(H$6="","",ROUND(VLOOKUP(H4,gibon40!$D$51:$AV$100,$N$1+1)*10*15/15,-1)))</f>
        <v>237970</v>
      </c>
      <c r="I21" s="179">
        <f ca="1">IF(H4="","",IF(I$6="","",ROUND(VLOOKUP(I4,gibon40!$D$51:$AV$100,$N$1+1)*10*15/15,-1)))</f>
        <v>237970</v>
      </c>
      <c r="J21" s="179">
        <f ca="1">IF(I4="","",IF(J$6="","",ROUND(VLOOKUP(J4,gibon40!$D$51:$AV$100,$N$1+1)*7*15/15,-1)))</f>
        <v>166580</v>
      </c>
      <c r="K21" s="179">
        <f ca="1">IF(J4="","",IF(K$6="","",ROUND(VLOOKUP(K4,gibon40!$D$51:$AV$100,$N$1+1)*10*15/15,-1)))</f>
        <v>237970</v>
      </c>
      <c r="L21" s="179">
        <f ca="1">IF(K4="","",IF(L$6="","",ROUND(VLOOKUP(L4,gibon40!$D$51:$AV$100,$N$1+1)*10*15/15,-1)))</f>
        <v>237970</v>
      </c>
      <c r="M21" s="179">
        <f ca="1">IF(L4="","",IF(M$6="","",ROUND(VLOOKUP(M4,gibon40!$D$51:$AV$100,$N$1+1)*10*15/15*2,-1)))</f>
        <v>475940</v>
      </c>
      <c r="N21" s="211">
        <f t="shared" ca="1" si="2"/>
        <v>2387630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IF(B$6="",0,'2042'!M23)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IF(B$6="",0,'2042'!M24)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'2042'!A25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11801750</v>
      </c>
      <c r="C26" s="213">
        <f t="shared" ref="C26:M26" ca="1" si="16">ROUNDDOWN(SUM(C6:C25),-1)</f>
        <v>12536200</v>
      </c>
      <c r="D26" s="213">
        <f t="shared" ca="1" si="16"/>
        <v>15190720</v>
      </c>
      <c r="E26" s="213">
        <f t="shared" ca="1" si="16"/>
        <v>8587070</v>
      </c>
      <c r="F26" s="213">
        <f t="shared" ca="1" si="16"/>
        <v>8587070</v>
      </c>
      <c r="G26" s="213">
        <f t="shared" ca="1" si="16"/>
        <v>8587070</v>
      </c>
      <c r="H26" s="213">
        <f t="shared" ca="1" si="16"/>
        <v>12369120</v>
      </c>
      <c r="I26" s="213">
        <f t="shared" ca="1" si="16"/>
        <v>8587070</v>
      </c>
      <c r="J26" s="213">
        <f t="shared" ca="1" si="16"/>
        <v>13054140</v>
      </c>
      <c r="K26" s="213">
        <f t="shared" ca="1" si="16"/>
        <v>8587070</v>
      </c>
      <c r="L26" s="213">
        <f t="shared" ca="1" si="16"/>
        <v>8587070</v>
      </c>
      <c r="M26" s="213">
        <f t="shared" ca="1" si="16"/>
        <v>8825040</v>
      </c>
      <c r="N26" s="214">
        <f ca="1">SUM(B26:M26)</f>
        <v>125299390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IF(B4="","",IF(B6="","",IF($D$1-YEAR('2025'!$I$1)&gt;0,"",IF(AND($D$1-YEAR('2025'!$I$1)=0,B3-MONTH('2025'!$I$1)&gt;=1),"",'2042'!M29))))</f>
        <v>864230</v>
      </c>
      <c r="C29" s="179">
        <f ca="1">IF(C4="","",IF(C6="","",IF($D$1-YEAR('2025'!$I$1)&gt;0,"",IF(AND($D$1-YEAR('2025'!$I$1)=0,C3-MONTH('2025'!$I$1)&gt;=1),"",B29))))</f>
        <v>864230</v>
      </c>
      <c r="D29" s="179">
        <f ca="1">IF(D4="","",IF(D6="","",IF($D$1-YEAR('2025'!$I$1)&gt;0,"",IF(AND($D$1-YEAR('2025'!$I$1)=0,D3-MONTH('2025'!$I$1)&gt;=1),"",C29))))</f>
        <v>864230</v>
      </c>
      <c r="E29" s="179">
        <f ca="1">IF(E4="","",IF(E6="","",IF($D$1-YEAR('2025'!$I$1)&gt;0,"",IF(AND($D$1-YEAR('2025'!$I$1)=0,E3-MONTH('2025'!$I$1)&gt;=1),"",D29))))</f>
        <v>864230</v>
      </c>
      <c r="F29" s="179">
        <f ca="1">IF(F4="","",IF(F$6="","",IF($D$1-YEAR('2025'!$I$1)&gt;0,"",IF(AND($D$1-YEAR('2025'!$I$1)=0,F3-MONTH('2025'!$I$1)&gt;=1),"",VLOOKUP(F$4,집계표!$AK$5:$HA$47,$N$1*3+$N$1-1+4)))))</f>
        <v>911330</v>
      </c>
      <c r="G29" s="179">
        <f ca="1">IF(G6="",0,IF($D$1-YEAR('2025'!$I$1)&gt;0,"",IF(AND($D$1-YEAR('2025'!$I$1)=0,G3-MONTH('2025'!$I$1)&gt;=1),"",F29)))</f>
        <v>911330</v>
      </c>
      <c r="H29" s="179">
        <f ca="1">IF(H6="",0,IF($D$1-YEAR('2025'!$I$1)&gt;0,"",IF(AND($D$1-YEAR('2025'!$I$1)=0,H3-MONTH('2025'!$I$1)&gt;=1),"",G29)))</f>
        <v>911330</v>
      </c>
      <c r="I29" s="179">
        <f ca="1">IF(I6="",0,IF($D$1-YEAR('2025'!$I$1)&gt;0,"",IF(AND($D$1-YEAR('2025'!$I$1)=0,I3-MONTH('2025'!$I$1)&gt;=1),"",H29)))</f>
        <v>911330</v>
      </c>
      <c r="J29" s="179">
        <f ca="1">IF(J6="",0,IF($D$1-YEAR('2025'!$I$1)&gt;0,"",IF(AND($D$1-YEAR('2025'!$I$1)=0,J3-MONTH('2025'!$I$1)&gt;=1),"",I29)))</f>
        <v>911330</v>
      </c>
      <c r="K29" s="179">
        <f ca="1">IF(K6="",0,IF($D$1-YEAR('2025'!$I$1)&gt;0,"",IF(AND($D$1-YEAR('2025'!$I$1)=0,K3-MONTH('2025'!$I$1)&gt;=1),"",J29)))</f>
        <v>911330</v>
      </c>
      <c r="L29" s="179">
        <f ca="1">IF(L6="",0,IF($D$1-YEAR('2025'!$I$1)&gt;0,"",IF(AND($D$1-YEAR('2025'!$I$1)=0,L3-MONTH('2025'!$I$1)&gt;=1),"",K29)))</f>
        <v>911330</v>
      </c>
      <c r="M29" s="179">
        <f ca="1">IF(M6="",0,IF($D$1-YEAR('2025'!$I$1)&gt;0,"",IF(AND($D$1-YEAR('2025'!$I$1)=0,M3-MONTH('2025'!$I$1)&gt;=1),"",L29)))</f>
        <v>911330</v>
      </c>
      <c r="N29" s="211">
        <f t="shared" ca="1" si="2"/>
        <v>10747560</v>
      </c>
    </row>
    <row r="30" spans="1:20" ht="9.75" customHeight="1">
      <c r="A30" s="182" t="s">
        <v>58</v>
      </c>
      <c r="B30" s="179">
        <f ca="1">IF(B6="","",'2042'!M30)</f>
        <v>372820</v>
      </c>
      <c r="C30" s="179">
        <f ca="1">IF(C6="","",B30)</f>
        <v>372820</v>
      </c>
      <c r="D30" s="179">
        <f ca="1">IF(D6="","",C30)</f>
        <v>372820</v>
      </c>
      <c r="E30" s="857">
        <f ca="1">IF(E6="","",VLOOKUP(E$4,집계표!$AK$5:$HA$47,$N$1*4))</f>
        <v>393130</v>
      </c>
      <c r="F30" s="179">
        <f ca="1">IF(F6="","",E30)</f>
        <v>393130</v>
      </c>
      <c r="G30" s="179">
        <f t="shared" ref="G30:M30" ca="1" si="20">IF(G6="","",F30)</f>
        <v>393130</v>
      </c>
      <c r="H30" s="179">
        <f t="shared" ca="1" si="20"/>
        <v>393130</v>
      </c>
      <c r="I30" s="179">
        <f t="shared" ca="1" si="20"/>
        <v>393130</v>
      </c>
      <c r="J30" s="179">
        <f t="shared" ca="1" si="20"/>
        <v>393130</v>
      </c>
      <c r="K30" s="179">
        <f t="shared" ca="1" si="20"/>
        <v>393130</v>
      </c>
      <c r="L30" s="179">
        <f t="shared" ca="1" si="20"/>
        <v>393130</v>
      </c>
      <c r="M30" s="179">
        <f t="shared" ca="1" si="20"/>
        <v>393130</v>
      </c>
      <c r="N30" s="211">
        <f t="shared" ca="1" si="2"/>
        <v>4656630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38210</v>
      </c>
      <c r="C31" s="179">
        <f t="shared" ca="1" si="21"/>
        <v>38210</v>
      </c>
      <c r="D31" s="179">
        <f t="shared" ca="1" si="21"/>
        <v>38210</v>
      </c>
      <c r="E31" s="179">
        <f t="shared" ca="1" si="21"/>
        <v>40300</v>
      </c>
      <c r="F31" s="179">
        <f t="shared" ca="1" si="21"/>
        <v>40300</v>
      </c>
      <c r="G31" s="179">
        <f t="shared" ca="1" si="21"/>
        <v>40300</v>
      </c>
      <c r="H31" s="179">
        <f t="shared" ca="1" si="21"/>
        <v>40300</v>
      </c>
      <c r="I31" s="179">
        <f t="shared" ca="1" si="21"/>
        <v>40300</v>
      </c>
      <c r="J31" s="179">
        <f ca="1">IF(J$6="","",ROUND(IF(J4="","",J30*10.25%),-1))</f>
        <v>40300</v>
      </c>
      <c r="K31" s="179">
        <f t="shared" ref="K31:M31" ca="1" si="22">IF(K$6="","",ROUND(IF(K4="","",K30*10.25%),-1))</f>
        <v>40300</v>
      </c>
      <c r="L31" s="179">
        <f t="shared" ca="1" si="22"/>
        <v>40300</v>
      </c>
      <c r="M31" s="179">
        <f t="shared" ca="1" si="22"/>
        <v>40300</v>
      </c>
      <c r="N31" s="211">
        <f t="shared" ca="1" si="2"/>
        <v>477330</v>
      </c>
    </row>
    <row r="32" spans="1:20" ht="9.75" customHeight="1">
      <c r="A32" s="597" t="str">
        <f>'2042'!A32</f>
        <v>교직원공제비</v>
      </c>
      <c r="B32" s="621">
        <f ca="1">IF(B$6="","",'2042'!B32)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'2042'!A33</f>
        <v>급식비</v>
      </c>
      <c r="B33" s="621">
        <f ca="1">IF(B$6="","",'2042'!B33)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IF(B$6="",0,'2042'!M34)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IF(B$6="",0,'2042'!M38)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IF(B$6="",0,'2042'!M39)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2917590</v>
      </c>
      <c r="C40" s="216">
        <f t="shared" ca="1" si="28"/>
        <v>2934750</v>
      </c>
      <c r="D40" s="216">
        <f t="shared" ca="1" si="28"/>
        <v>2951930</v>
      </c>
      <c r="E40" s="216">
        <f t="shared" ca="1" si="28"/>
        <v>3506430</v>
      </c>
      <c r="F40" s="216">
        <f t="shared" ca="1" si="28"/>
        <v>3570700</v>
      </c>
      <c r="G40" s="216">
        <f t="shared" ca="1" si="28"/>
        <v>3587860</v>
      </c>
      <c r="H40" s="216">
        <f t="shared" ca="1" si="28"/>
        <v>3605030</v>
      </c>
      <c r="I40" s="216">
        <f t="shared" ca="1" si="28"/>
        <v>3622190</v>
      </c>
      <c r="J40" s="216">
        <f ca="1">IF(J26="","",SUM(J27:J39))</f>
        <v>3639360</v>
      </c>
      <c r="K40" s="216">
        <f t="shared" ref="K40:M40" ca="1" si="29">IF(K26="","",SUM(K27:K39))</f>
        <v>3656520</v>
      </c>
      <c r="L40" s="216">
        <f t="shared" ca="1" si="29"/>
        <v>3673680</v>
      </c>
      <c r="M40" s="216">
        <f t="shared" ca="1" si="29"/>
        <v>3690850</v>
      </c>
      <c r="N40" s="216">
        <f ca="1">SUM(B40:M40)</f>
        <v>41356890</v>
      </c>
    </row>
    <row r="41" spans="1:14" ht="9.75" customHeight="1">
      <c r="A41" s="183" t="s">
        <v>79</v>
      </c>
      <c r="B41" s="184">
        <f ca="1">ROUND((B26-B40),-1)</f>
        <v>8884160</v>
      </c>
      <c r="C41" s="184">
        <f t="shared" ref="C41:M41" ca="1" si="30">ROUND((C26-C40),-1)</f>
        <v>9601450</v>
      </c>
      <c r="D41" s="184">
        <f t="shared" ca="1" si="30"/>
        <v>12238790</v>
      </c>
      <c r="E41" s="184">
        <f t="shared" ca="1" si="30"/>
        <v>5080640</v>
      </c>
      <c r="F41" s="184">
        <f t="shared" ca="1" si="30"/>
        <v>5016370</v>
      </c>
      <c r="G41" s="184">
        <f t="shared" ca="1" si="30"/>
        <v>4999210</v>
      </c>
      <c r="H41" s="184">
        <f t="shared" ca="1" si="30"/>
        <v>8764090</v>
      </c>
      <c r="I41" s="184">
        <f t="shared" ca="1" si="30"/>
        <v>4964880</v>
      </c>
      <c r="J41" s="184">
        <f t="shared" ca="1" si="30"/>
        <v>9414780</v>
      </c>
      <c r="K41" s="184">
        <f t="shared" ca="1" si="30"/>
        <v>4930550</v>
      </c>
      <c r="L41" s="184">
        <f t="shared" ca="1" si="30"/>
        <v>4913390</v>
      </c>
      <c r="M41" s="184">
        <f t="shared" ca="1" si="30"/>
        <v>5134190</v>
      </c>
      <c r="N41" s="184">
        <f ca="1">SUM(B41:M41)</f>
        <v>83942500</v>
      </c>
    </row>
    <row r="42" spans="1:14" ht="9.75" customHeight="1">
      <c r="A42" s="217" t="str">
        <f>'2042'!A42</f>
        <v>12)지출내용입력1</v>
      </c>
      <c r="B42" s="211">
        <f>'2042'!M42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'2042'!A43</f>
        <v>지출내용입력2</v>
      </c>
      <c r="B43" s="211">
        <f>'2042'!M43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'2042'!A44</f>
        <v>지출내용입력3</v>
      </c>
      <c r="B44" s="211">
        <f>'2042'!M44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'2042'!A45</f>
        <v>지출내용입력4</v>
      </c>
      <c r="B45" s="211">
        <f>'2042'!M45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'2042'!A46</f>
        <v>지출내용입력5</v>
      </c>
      <c r="B46" s="211">
        <f>'2042'!M46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'2042'!A47</f>
        <v>지출내용입력6</v>
      </c>
      <c r="B47" s="211">
        <f>'2042'!M47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'2042'!A48</f>
        <v>지출내용입력7</v>
      </c>
      <c r="B48" s="211">
        <f>'2042'!M48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'2042'!A49</f>
        <v>지출내용입력8</v>
      </c>
      <c r="B49" s="211">
        <f>'2042'!M49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'2042'!A50</f>
        <v>지출내용입력9</v>
      </c>
      <c r="B50" s="211">
        <f>'2042'!M50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'2042'!A51</f>
        <v>지출내용입력10</v>
      </c>
      <c r="B51" s="211">
        <f>'2042'!M51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8884060</v>
      </c>
      <c r="C53" s="188">
        <f t="shared" ca="1" si="33"/>
        <v>9601350</v>
      </c>
      <c r="D53" s="188">
        <f t="shared" ca="1" si="33"/>
        <v>12238690</v>
      </c>
      <c r="E53" s="188">
        <f t="shared" ca="1" si="33"/>
        <v>5080540</v>
      </c>
      <c r="F53" s="188">
        <f t="shared" ca="1" si="33"/>
        <v>5016270</v>
      </c>
      <c r="G53" s="188">
        <f t="shared" ca="1" si="33"/>
        <v>4999110</v>
      </c>
      <c r="H53" s="188">
        <f t="shared" ca="1" si="33"/>
        <v>8763990</v>
      </c>
      <c r="I53" s="188">
        <f t="shared" ca="1" si="33"/>
        <v>4964780</v>
      </c>
      <c r="J53" s="188">
        <f t="shared" ca="1" si="33"/>
        <v>9414680</v>
      </c>
      <c r="K53" s="188">
        <f t="shared" ca="1" si="33"/>
        <v>4930450</v>
      </c>
      <c r="L53" s="188">
        <f t="shared" ca="1" si="33"/>
        <v>4913290</v>
      </c>
      <c r="M53" s="188">
        <f t="shared" ca="1" si="33"/>
        <v>5134090</v>
      </c>
      <c r="N53" s="188">
        <f t="shared" ca="1" si="33"/>
        <v>83941300</v>
      </c>
    </row>
    <row r="55" spans="1:14" ht="18">
      <c r="A55" s="1232" t="str">
        <f ca="1">D1</f>
        <v>2043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1216556</v>
      </c>
      <c r="F57" s="688">
        <f ca="1">IF(F6="",0,VLOOKUP(F26-F17-100000,'2015 근로소득 간이세액표'!$C$4:$N$845,1+$M$55)*1.1)</f>
        <v>1216556</v>
      </c>
      <c r="G57" s="688">
        <f ca="1">IF(G6="",0,VLOOKUP(G26-G17-100000,'2015 근로소득 간이세액표'!$C$4:$N$845,1+$M$55)*1.1)</f>
        <v>1216556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1216556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1216556</v>
      </c>
      <c r="L57" s="688">
        <f ca="1">IF(L6="",0,VLOOKUP(L26-L17-100000,'2015 근로소득 간이세액표'!$C$4:$N$845,1+$M$55)*1.1)</f>
        <v>1216556</v>
      </c>
      <c r="M57" s="688">
        <f ca="1">IF(M6="",0,VLOOKUP(M26-M17-100000,'2015 근로소득 간이세액표'!$C$4:$N$845,1+$M$55)*1.1)</f>
        <v>1278332</v>
      </c>
      <c r="N57" s="689">
        <f ca="1">SUM(B57:M57)</f>
        <v>17160088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-671574</v>
      </c>
      <c r="F59" s="684">
        <f t="shared" ca="1" si="35"/>
        <v>-688744</v>
      </c>
      <c r="G59" s="684">
        <f t="shared" ca="1" si="35"/>
        <v>-705904</v>
      </c>
      <c r="H59" s="684">
        <f t="shared" ca="1" si="35"/>
        <v>-223145.99999999977</v>
      </c>
      <c r="I59" s="684">
        <f t="shared" ca="1" si="35"/>
        <v>-740234</v>
      </c>
      <c r="J59" s="684">
        <f t="shared" ca="1" si="35"/>
        <v>-257475.99999999977</v>
      </c>
      <c r="K59" s="684">
        <f t="shared" ca="1" si="35"/>
        <v>-774564</v>
      </c>
      <c r="L59" s="684">
        <f t="shared" ca="1" si="35"/>
        <v>-791724</v>
      </c>
      <c r="M59" s="684">
        <f t="shared" ca="1" si="35"/>
        <v>-747118</v>
      </c>
      <c r="N59" s="684">
        <f t="shared" ca="1" si="35"/>
        <v>-4467602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-4467602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W06qhhz8vOTgp7D1TrBLGxx8P0IyP5o74MFFUW4BhGT5r01A4EuRbh3F0UP/FcIjODwvfy8fREdD0+rIwaxPbA==" saltValue="7rzHaEWOeMeBFND4JjyaM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11" priority="8">
      <formula>$E$2="y"</formula>
    </cfRule>
    <cfRule type="expression" dxfId="310" priority="9">
      <formula>$D$2="Y"</formula>
    </cfRule>
    <cfRule type="expression" dxfId="309" priority="10">
      <formula>$F$2="y"</formula>
    </cfRule>
  </conditionalFormatting>
  <conditionalFormatting sqref="B27:M27">
    <cfRule type="expression" dxfId="308" priority="1">
      <formula>$F$2="y"</formula>
    </cfRule>
  </conditionalFormatting>
  <conditionalFormatting sqref="D16">
    <cfRule type="expression" dxfId="307" priority="26">
      <formula>$E$2="y"</formula>
    </cfRule>
    <cfRule type="expression" dxfId="306" priority="27">
      <formula>$E$2="y"</formula>
    </cfRule>
    <cfRule type="expression" dxfId="305" priority="28">
      <formula>$F$2="y"</formula>
    </cfRule>
  </conditionalFormatting>
  <conditionalFormatting sqref="D18">
    <cfRule type="expression" dxfId="304" priority="23">
      <formula>$E$2="y"</formula>
    </cfRule>
    <cfRule type="expression" dxfId="303" priority="24">
      <formula>$E$2="y"</formula>
    </cfRule>
    <cfRule type="expression" dxfId="302" priority="25">
      <formula>$F$2="y"</formula>
    </cfRule>
  </conditionalFormatting>
  <conditionalFormatting sqref="J12:K12">
    <cfRule type="expression" dxfId="301" priority="5">
      <formula>$E$2="y"</formula>
    </cfRule>
    <cfRule type="expression" dxfId="300" priority="6">
      <formula>$D$2="Y"</formula>
    </cfRule>
    <cfRule type="expression" dxfId="299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7219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20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21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23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2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2044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집계표!V119</f>
        <v>2</v>
      </c>
      <c r="M1" s="627">
        <f>집계표!V122</f>
        <v>1</v>
      </c>
      <c r="N1" s="618">
        <v>20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집계표!BE53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IF('2043'!M4&gt;=50,50,IF(AND('2043'!M4=50,M$3=$N$5),"",IF(B3=$N$5,'2043'!M4+1,'2043'!M4)))</f>
        <v>31</v>
      </c>
      <c r="C4" s="176">
        <f>IF(B4&gt;=50,50,IF(AND(B4=50,C$3=$N$5),50,IF(C$3=$N$5,B4+1,B4)))</f>
        <v>31</v>
      </c>
      <c r="D4" s="176">
        <f t="shared" ref="D4:M4" si="0">IF(C4&gt;=50,50,IF(AND(C4=50,D$3=$N$5),50,IF(D$3=$N$5,C4+1,C4)))</f>
        <v>32</v>
      </c>
      <c r="E4" s="176">
        <f t="shared" si="0"/>
        <v>32</v>
      </c>
      <c r="F4" s="176">
        <f t="shared" si="0"/>
        <v>32</v>
      </c>
      <c r="G4" s="176">
        <f t="shared" si="0"/>
        <v>32</v>
      </c>
      <c r="H4" s="176">
        <f t="shared" si="0"/>
        <v>32</v>
      </c>
      <c r="I4" s="176">
        <f t="shared" si="0"/>
        <v>32</v>
      </c>
      <c r="J4" s="176">
        <f t="shared" si="0"/>
        <v>32</v>
      </c>
      <c r="K4" s="176">
        <f t="shared" si="0"/>
        <v>32</v>
      </c>
      <c r="L4" s="176">
        <f t="shared" si="0"/>
        <v>32</v>
      </c>
      <c r="M4" s="176">
        <f t="shared" si="0"/>
        <v>32</v>
      </c>
      <c r="N4" s="202" t="s">
        <v>124</v>
      </c>
    </row>
    <row r="5" spans="1:14" ht="9.75" customHeight="1">
      <c r="A5" s="208" t="s">
        <v>134</v>
      </c>
      <c r="B5" s="356">
        <f>IF(B$3=$N$5,'2043'!M5+1,'2043'!M5)</f>
        <v>21</v>
      </c>
      <c r="C5" s="209">
        <f>IF(C$3=$N$5,B5+1,B5)</f>
        <v>21</v>
      </c>
      <c r="D5" s="209">
        <f t="shared" ref="D5:M5" si="1">IF(D$3=$N$5,C5+1,C5)</f>
        <v>22</v>
      </c>
      <c r="E5" s="209">
        <f t="shared" si="1"/>
        <v>22</v>
      </c>
      <c r="F5" s="209">
        <f t="shared" si="1"/>
        <v>22</v>
      </c>
      <c r="G5" s="209">
        <f t="shared" si="1"/>
        <v>22</v>
      </c>
      <c r="H5" s="209">
        <f t="shared" si="1"/>
        <v>22</v>
      </c>
      <c r="I5" s="209">
        <f t="shared" si="1"/>
        <v>22</v>
      </c>
      <c r="J5" s="209">
        <f t="shared" si="1"/>
        <v>22</v>
      </c>
      <c r="K5" s="209">
        <f t="shared" si="1"/>
        <v>22</v>
      </c>
      <c r="L5" s="209">
        <f t="shared" si="1"/>
        <v>22</v>
      </c>
      <c r="M5" s="209">
        <f t="shared" si="1"/>
        <v>22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7753200</v>
      </c>
      <c r="C6" s="211">
        <f ca="1">IF($D$1-YEAR($B$1)&gt;0,"",IF(AND($D$1-YEAR($B$1)=0,C3-MONTH($B$1)&gt;=1),"",VLOOKUP(C4,gibon40!$D$4:$AT$47,$N$1,1)))</f>
        <v>7753200</v>
      </c>
      <c r="D6" s="211">
        <f ca="1">IF($D$1-YEAR($B$1)&gt;0,"",IF(AND($D$1-YEAR($B$1)=0,D3-MONTH($B$1)&gt;=1),"",VLOOKUP(D4,gibon40!$D$4:$AT$47,$N$1,1)))</f>
        <v>7978100</v>
      </c>
      <c r="E6" s="211">
        <f ca="1">IF($D$1-YEAR($B$1)&gt;0,"",IF(AND($D$1-YEAR($B$1)=0,E3-MONTH($B$1)&gt;=1),"",VLOOKUP(E4,gibon40!$D$4:$AT$47,$N$1,1)))</f>
        <v>7978100</v>
      </c>
      <c r="F6" s="211">
        <f ca="1">IF($D$1-YEAR($B$1)&gt;0,"",IF(AND($D$1-YEAR($B$1)=0,F3-MONTH($B$1)&gt;=1),"",VLOOKUP(F4,gibon40!$D$4:$AT$47,$N$1,1)))</f>
        <v>7978100</v>
      </c>
      <c r="G6" s="211">
        <f ca="1">IF($D$1-YEAR($B$1)&gt;0,"",IF(AND($D$1-YEAR($B$1)=0,G3-MONTH($B$1)&gt;=1),"",VLOOKUP(G4,gibon40!$D$4:$AT$47,$N$1,1)))</f>
        <v>7978100</v>
      </c>
      <c r="H6" s="211">
        <f ca="1">IF($D$1-YEAR($B$1)&gt;0,"",IF(AND($D$1-YEAR($B$1)=0,H3-MONTH($B$1)&gt;=1),"",VLOOKUP(H4,gibon40!$D$4:$AT$47,$N$1,1)))</f>
        <v>7978100</v>
      </c>
      <c r="I6" s="211">
        <f ca="1">IF($D$1-YEAR($B$1)&gt;0,"",IF(AND($D$1-YEAR($B$1)=0,I3-MONTH($B$1)&gt;=1),"",VLOOKUP(I4,gibon40!$D$4:$AT$47,$N$1,1)))</f>
        <v>7978100</v>
      </c>
      <c r="J6" s="211">
        <f ca="1">IF($D$1-YEAR($B$1)&gt;0,"",IF(AND($D$1-YEAR($B$1)=0,J3-MONTH($B$1)&gt;=1),"",VLOOKUP(J4,gibon40!$D$4:$AT$47,$N$1,1)))</f>
        <v>7978100</v>
      </c>
      <c r="K6" s="211">
        <f ca="1">IF($D$1-YEAR($B$1)&gt;0,"",IF(AND($D$1-YEAR($B$1)=0,K3-MONTH($B$1)&gt;=1),"",VLOOKUP(K4,gibon40!$D$4:$AT$47,$N$1,1)))</f>
        <v>7978100</v>
      </c>
      <c r="L6" s="211">
        <f ca="1">IF($D$1-YEAR($B$1)&gt;0,"",IF(AND($D$1-YEAR($B$1)=0,L3-MONTH($B$1)&gt;=1),"",VLOOKUP(L4,gibon40!$D$4:$AT$47,$N$1,1)))</f>
        <v>7978100</v>
      </c>
      <c r="M6" s="211">
        <f ca="1">IF($D$1-YEAR($B$1)&gt;0,"",IF(AND($D$1-YEAR($B$1)=0,M3-MONTH($B$1)&gt;=1),"",VLOOKUP(M4,gibon40!$D$4:$AT$47,$N$1,1)))</f>
        <v>7978100</v>
      </c>
      <c r="N6" s="211">
        <f t="shared" ref="N6:N52" ca="1" si="2">SUM(B6:M6)</f>
        <v>95287400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3876600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3989050</v>
      </c>
      <c r="I7" s="180"/>
      <c r="J7" s="180"/>
      <c r="K7" s="180"/>
      <c r="L7" s="180"/>
      <c r="M7" s="180"/>
      <c r="N7" s="211">
        <f t="shared" ca="1" si="2"/>
        <v>7865650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10000</v>
      </c>
      <c r="C9" s="179">
        <f t="shared" ref="C9:M9" ca="1" si="4">IF(C4="","",IF(C6="","",IF(AND(C5&gt;=20,C5&lt;25),10000,IF(C5&gt;=25,30000,0))))</f>
        <v>10000</v>
      </c>
      <c r="D9" s="179">
        <f t="shared" ca="1" si="4"/>
        <v>10000</v>
      </c>
      <c r="E9" s="179">
        <f t="shared" ca="1" si="4"/>
        <v>10000</v>
      </c>
      <c r="F9" s="179">
        <f t="shared" ca="1" si="4"/>
        <v>10000</v>
      </c>
      <c r="G9" s="179">
        <f t="shared" ca="1" si="4"/>
        <v>10000</v>
      </c>
      <c r="H9" s="179">
        <f t="shared" ca="1" si="4"/>
        <v>10000</v>
      </c>
      <c r="I9" s="179">
        <f t="shared" ca="1" si="4"/>
        <v>10000</v>
      </c>
      <c r="J9" s="179">
        <f t="shared" ca="1" si="4"/>
        <v>10000</v>
      </c>
      <c r="K9" s="179">
        <f t="shared" ca="1" si="4"/>
        <v>10000</v>
      </c>
      <c r="L9" s="179">
        <f t="shared" ca="1" si="4"/>
        <v>10000</v>
      </c>
      <c r="M9" s="179">
        <f t="shared" ca="1" si="4"/>
        <v>10000</v>
      </c>
      <c r="N9" s="211">
        <f t="shared" ca="1" si="2"/>
        <v>120000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6931390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6931390</v>
      </c>
    </row>
    <row r="11" spans="1:14" ht="9.75" customHeight="1">
      <c r="A11" s="178" t="s">
        <v>63</v>
      </c>
      <c r="B11" s="179">
        <f ca="1">IF(B$6="",0,'2043'!M11)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4651920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4786860</v>
      </c>
      <c r="L12" s="179"/>
      <c r="M12" s="179"/>
      <c r="N12" s="211">
        <f t="shared" ca="1" si="2"/>
        <v>9438780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IF(B$6="",0,'2043'!M15)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IF(B$6="",0,'2043'!M16)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IF(B$6="",0,'2043'!M18)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IF(B$6="",0,'2043'!M19)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81310</v>
      </c>
      <c r="E21" s="179">
        <f ca="1">IF(D4="","",IF(E$6="","",ROUND(VLOOKUP(E4,gibon40!$D$51:$AV$100,$N$1+1)*10*15/15,-1)))</f>
        <v>243920</v>
      </c>
      <c r="F21" s="179">
        <f ca="1">IF(E4="","",IF(F$6="","",ROUND(VLOOKUP(F4,gibon40!$D$51:$AV$100,$N$1+1)*10*15/15,-1)))</f>
        <v>243920</v>
      </c>
      <c r="G21" s="179">
        <f ca="1">IF(F4="","",IF(G$6="","",ROUND(VLOOKUP(G4,gibon40!$D$51:$AV$100,$N$1+1)*10*15/15,-1)))</f>
        <v>243920</v>
      </c>
      <c r="H21" s="179">
        <f ca="1">IF(G4="","",IF(H$6="","",ROUND(VLOOKUP(H4,gibon40!$D$51:$AV$100,$N$1+1)*10*15/15,-1)))</f>
        <v>243920</v>
      </c>
      <c r="I21" s="179">
        <f ca="1">IF(H4="","",IF(I$6="","",ROUND(VLOOKUP(I4,gibon40!$D$51:$AV$100,$N$1+1)*10*15/15,-1)))</f>
        <v>243920</v>
      </c>
      <c r="J21" s="179">
        <f ca="1">IF(I4="","",IF(J$6="","",ROUND(VLOOKUP(J4,gibon40!$D$51:$AV$100,$N$1+1)*7*15/15,-1)))</f>
        <v>170740</v>
      </c>
      <c r="K21" s="179">
        <f ca="1">IF(J4="","",IF(K$6="","",ROUND(VLOOKUP(K4,gibon40!$D$51:$AV$100,$N$1+1)*10*15/15,-1)))</f>
        <v>243920</v>
      </c>
      <c r="L21" s="179">
        <f ca="1">IF(K4="","",IF(L$6="","",ROUND(VLOOKUP(L4,gibon40!$D$51:$AV$100,$N$1+1)*10*15/15,-1)))</f>
        <v>243920</v>
      </c>
      <c r="M21" s="179">
        <f ca="1">IF(L4="","",IF(M$6="","",ROUND(VLOOKUP(M4,gibon40!$D$51:$AV$100,$N$1+1)*10*15/15*2,-1)))</f>
        <v>487840</v>
      </c>
      <c r="N21" s="211">
        <f t="shared" ca="1" si="2"/>
        <v>2447330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IF(B$6="",0,'2043'!M23)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IF(B$6="",0,'2043'!M24)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'2043'!A25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17066720</v>
      </c>
      <c r="C26" s="213">
        <f t="shared" ref="C26:M26" ca="1" si="16">ROUNDDOWN(SUM(C6:C25),-1)</f>
        <v>8538200</v>
      </c>
      <c r="D26" s="213">
        <f t="shared" ca="1" si="16"/>
        <v>15775800</v>
      </c>
      <c r="E26" s="213">
        <f t="shared" ca="1" si="16"/>
        <v>9007020</v>
      </c>
      <c r="F26" s="213">
        <f t="shared" ca="1" si="16"/>
        <v>9007020</v>
      </c>
      <c r="G26" s="213">
        <f t="shared" ca="1" si="16"/>
        <v>9007020</v>
      </c>
      <c r="H26" s="213">
        <f t="shared" ca="1" si="16"/>
        <v>12996070</v>
      </c>
      <c r="I26" s="213">
        <f t="shared" ca="1" si="16"/>
        <v>9007020</v>
      </c>
      <c r="J26" s="213">
        <f t="shared" ca="1" si="16"/>
        <v>8933840</v>
      </c>
      <c r="K26" s="213">
        <f t="shared" ca="1" si="16"/>
        <v>13793880</v>
      </c>
      <c r="L26" s="213">
        <f t="shared" ca="1" si="16"/>
        <v>9007020</v>
      </c>
      <c r="M26" s="213">
        <f t="shared" ca="1" si="16"/>
        <v>9250940</v>
      </c>
      <c r="N26" s="214">
        <f ca="1">SUM(B26:M26)</f>
        <v>131390550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IF(B4="","",IF(B6="","",IF($D$1-YEAR('2025'!$I$1)&gt;0,"",IF(AND($D$1-YEAR('2025'!$I$1)=0,B3-MONTH('2025'!$I$1)&gt;=1),"",'2043'!M29))))</f>
        <v>911330</v>
      </c>
      <c r="C29" s="179">
        <f ca="1">IF(C4="","",IF(C6="","",IF($D$1-YEAR('2025'!$I$1)&gt;0,"",IF(AND($D$1-YEAR('2025'!$I$1)=0,C3-MONTH('2025'!$I$1)&gt;=1),"",B29))))</f>
        <v>911330</v>
      </c>
      <c r="D29" s="179">
        <f ca="1">IF(D4="","",IF(D6="","",IF($D$1-YEAR('2025'!$I$1)&gt;0,"",IF(AND($D$1-YEAR('2025'!$I$1)=0,D3-MONTH('2025'!$I$1)&gt;=1),"",C29))))</f>
        <v>911330</v>
      </c>
      <c r="E29" s="179">
        <f ca="1">IF(E4="","",IF(E6="","",IF($D$1-YEAR('2025'!$I$1)&gt;0,"",IF(AND($D$1-YEAR('2025'!$I$1)=0,E3-MONTH('2025'!$I$1)&gt;=1),"",D29))))</f>
        <v>911330</v>
      </c>
      <c r="F29" s="179">
        <f ca="1">IF(F4="","",IF(F$6="","",IF($D$1-YEAR('2025'!$I$1)&gt;0,"",IF(AND($D$1-YEAR('2025'!$I$1)=0,F3-MONTH('2025'!$I$1)&gt;=1),"",VLOOKUP(F$4,집계표!$AK$5:$HA$47,$N$1*3+$N$1-1+4)))))</f>
        <v>957510</v>
      </c>
      <c r="G29" s="179">
        <f ca="1">IF(G6="",0,IF($D$1-YEAR('2025'!$I$1)&gt;0,"",IF(AND($D$1-YEAR('2025'!$I$1)=0,G3-MONTH('2025'!$I$1)&gt;=1),"",F29)))</f>
        <v>957510</v>
      </c>
      <c r="H29" s="179">
        <f ca="1">IF(H6="",0,IF($D$1-YEAR('2025'!$I$1)&gt;0,"",IF(AND($D$1-YEAR('2025'!$I$1)=0,H3-MONTH('2025'!$I$1)&gt;=1),"",G29)))</f>
        <v>957510</v>
      </c>
      <c r="I29" s="179">
        <f ca="1">IF(I6="",0,IF($D$1-YEAR('2025'!$I$1)&gt;0,"",IF(AND($D$1-YEAR('2025'!$I$1)=0,I3-MONTH('2025'!$I$1)&gt;=1),"",H29)))</f>
        <v>957510</v>
      </c>
      <c r="J29" s="179">
        <f ca="1">IF(J6="",0,IF($D$1-YEAR('2025'!$I$1)&gt;0,"",IF(AND($D$1-YEAR('2025'!$I$1)=0,J3-MONTH('2025'!$I$1)&gt;=1),"",I29)))</f>
        <v>957510</v>
      </c>
      <c r="K29" s="179">
        <f ca="1">IF(K6="",0,IF($D$1-YEAR('2025'!$I$1)&gt;0,"",IF(AND($D$1-YEAR('2025'!$I$1)=0,K3-MONTH('2025'!$I$1)&gt;=1),"",J29)))</f>
        <v>957510</v>
      </c>
      <c r="L29" s="179">
        <f ca="1">IF(L6="",0,IF($D$1-YEAR('2025'!$I$1)&gt;0,"",IF(AND($D$1-YEAR('2025'!$I$1)=0,L3-MONTH('2025'!$I$1)&gt;=1),"",K29)))</f>
        <v>957510</v>
      </c>
      <c r="M29" s="179">
        <f ca="1">IF(M6="",0,IF($D$1-YEAR('2025'!$I$1)&gt;0,"",IF(AND($D$1-YEAR('2025'!$I$1)=0,M3-MONTH('2025'!$I$1)&gt;=1),"",L29)))</f>
        <v>957510</v>
      </c>
      <c r="N29" s="211">
        <f t="shared" ca="1" si="2"/>
        <v>11305400</v>
      </c>
    </row>
    <row r="30" spans="1:20" ht="9.75" customHeight="1">
      <c r="A30" s="182" t="s">
        <v>58</v>
      </c>
      <c r="B30" s="179">
        <f ca="1">IF(B6="","",'2043'!M30)</f>
        <v>393130</v>
      </c>
      <c r="C30" s="179">
        <f ca="1">IF(C6="","",B30)</f>
        <v>393130</v>
      </c>
      <c r="D30" s="179">
        <f ca="1">IF(D6="","",C30)</f>
        <v>393130</v>
      </c>
      <c r="E30" s="857">
        <f ca="1">IF(E6="","",VLOOKUP(E$4,집계표!$AK$5:$HA$47,$N$1*4))</f>
        <v>413050</v>
      </c>
      <c r="F30" s="179">
        <f ca="1">IF(F6="","",E30)</f>
        <v>413050</v>
      </c>
      <c r="G30" s="179">
        <f t="shared" ref="G30:M30" ca="1" si="20">IF(G6="","",F30)</f>
        <v>413050</v>
      </c>
      <c r="H30" s="179">
        <f t="shared" ca="1" si="20"/>
        <v>413050</v>
      </c>
      <c r="I30" s="179">
        <f t="shared" ca="1" si="20"/>
        <v>413050</v>
      </c>
      <c r="J30" s="179">
        <f t="shared" ca="1" si="20"/>
        <v>413050</v>
      </c>
      <c r="K30" s="179">
        <f t="shared" ca="1" si="20"/>
        <v>413050</v>
      </c>
      <c r="L30" s="179">
        <f t="shared" ca="1" si="20"/>
        <v>413050</v>
      </c>
      <c r="M30" s="179">
        <f t="shared" ca="1" si="20"/>
        <v>413050</v>
      </c>
      <c r="N30" s="211">
        <f t="shared" ca="1" si="2"/>
        <v>4896840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40300</v>
      </c>
      <c r="C31" s="179">
        <f t="shared" ca="1" si="21"/>
        <v>40300</v>
      </c>
      <c r="D31" s="179">
        <f t="shared" ca="1" si="21"/>
        <v>40300</v>
      </c>
      <c r="E31" s="179">
        <f t="shared" ca="1" si="21"/>
        <v>42340</v>
      </c>
      <c r="F31" s="179">
        <f t="shared" ca="1" si="21"/>
        <v>42340</v>
      </c>
      <c r="G31" s="179">
        <f t="shared" ca="1" si="21"/>
        <v>42340</v>
      </c>
      <c r="H31" s="179">
        <f t="shared" ca="1" si="21"/>
        <v>42340</v>
      </c>
      <c r="I31" s="179">
        <f t="shared" ca="1" si="21"/>
        <v>42340</v>
      </c>
      <c r="J31" s="179">
        <f ca="1">IF(J$6="","",ROUND(IF(J4="","",J30*10.25%),-1))</f>
        <v>42340</v>
      </c>
      <c r="K31" s="179">
        <f t="shared" ref="K31:M31" ca="1" si="22">IF(K$6="","",ROUND(IF(K4="","",K30*10.25%),-1))</f>
        <v>42340</v>
      </c>
      <c r="L31" s="179">
        <f t="shared" ca="1" si="22"/>
        <v>42340</v>
      </c>
      <c r="M31" s="179">
        <f t="shared" ca="1" si="22"/>
        <v>42340</v>
      </c>
      <c r="N31" s="211">
        <f t="shared" ca="1" si="2"/>
        <v>501960</v>
      </c>
    </row>
    <row r="32" spans="1:20" ht="9.75" customHeight="1">
      <c r="A32" s="597" t="str">
        <f>'2043'!A32</f>
        <v>교직원공제비</v>
      </c>
      <c r="B32" s="621">
        <f ca="1">IF(B$6="","",'2043'!B32)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'2043'!A33</f>
        <v>급식비</v>
      </c>
      <c r="B33" s="621">
        <f ca="1">IF(B$6="","",'2043'!B33)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IF(B$6="",0,'2043'!M34)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IF(B$6="",0,'2043'!M38)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IF(B$6="",0,'2043'!M39)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2987090</v>
      </c>
      <c r="C40" s="216">
        <f t="shared" ca="1" si="28"/>
        <v>3004250</v>
      </c>
      <c r="D40" s="216">
        <f t="shared" ca="1" si="28"/>
        <v>3021430</v>
      </c>
      <c r="E40" s="216">
        <f t="shared" ca="1" si="28"/>
        <v>3575490</v>
      </c>
      <c r="F40" s="216">
        <f t="shared" ca="1" si="28"/>
        <v>3638840</v>
      </c>
      <c r="G40" s="216">
        <f t="shared" ca="1" si="28"/>
        <v>3656000</v>
      </c>
      <c r="H40" s="216">
        <f t="shared" ca="1" si="28"/>
        <v>3673170</v>
      </c>
      <c r="I40" s="216">
        <f t="shared" ca="1" si="28"/>
        <v>3690330</v>
      </c>
      <c r="J40" s="216">
        <f ca="1">IF(J26="","",SUM(J27:J39))</f>
        <v>3707500</v>
      </c>
      <c r="K40" s="216">
        <f t="shared" ref="K40:M40" ca="1" si="29">IF(K26="","",SUM(K27:K39))</f>
        <v>3724660</v>
      </c>
      <c r="L40" s="216">
        <f t="shared" ca="1" si="29"/>
        <v>3741820</v>
      </c>
      <c r="M40" s="216">
        <f t="shared" ca="1" si="29"/>
        <v>3758990</v>
      </c>
      <c r="N40" s="216">
        <f ca="1">SUM(B40:M40)</f>
        <v>42179570</v>
      </c>
    </row>
    <row r="41" spans="1:14" ht="9.75" customHeight="1">
      <c r="A41" s="183" t="s">
        <v>79</v>
      </c>
      <c r="B41" s="184">
        <f ca="1">ROUND((B26-B40),-1)</f>
        <v>14079630</v>
      </c>
      <c r="C41" s="184">
        <f t="shared" ref="C41:M41" ca="1" si="30">ROUND((C26-C40),-1)</f>
        <v>5533950</v>
      </c>
      <c r="D41" s="184">
        <f t="shared" ca="1" si="30"/>
        <v>12754370</v>
      </c>
      <c r="E41" s="184">
        <f t="shared" ca="1" si="30"/>
        <v>5431530</v>
      </c>
      <c r="F41" s="184">
        <f t="shared" ca="1" si="30"/>
        <v>5368180</v>
      </c>
      <c r="G41" s="184">
        <f t="shared" ca="1" si="30"/>
        <v>5351020</v>
      </c>
      <c r="H41" s="184">
        <f t="shared" ca="1" si="30"/>
        <v>9322900</v>
      </c>
      <c r="I41" s="184">
        <f t="shared" ca="1" si="30"/>
        <v>5316690</v>
      </c>
      <c r="J41" s="184">
        <f t="shared" ca="1" si="30"/>
        <v>5226340</v>
      </c>
      <c r="K41" s="184">
        <f t="shared" ca="1" si="30"/>
        <v>10069220</v>
      </c>
      <c r="L41" s="184">
        <f t="shared" ca="1" si="30"/>
        <v>5265200</v>
      </c>
      <c r="M41" s="184">
        <f t="shared" ca="1" si="30"/>
        <v>5491950</v>
      </c>
      <c r="N41" s="184">
        <f ca="1">SUM(B41:M41)</f>
        <v>89210980</v>
      </c>
    </row>
    <row r="42" spans="1:14" ht="9.75" customHeight="1">
      <c r="A42" s="217" t="str">
        <f>'2043'!A42</f>
        <v>12)지출내용입력1</v>
      </c>
      <c r="B42" s="211">
        <f>'2043'!M42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'2043'!A43</f>
        <v>지출내용입력2</v>
      </c>
      <c r="B43" s="211">
        <f>'2043'!M43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'2043'!A44</f>
        <v>지출내용입력3</v>
      </c>
      <c r="B44" s="211">
        <f>'2043'!M44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'2043'!A45</f>
        <v>지출내용입력4</v>
      </c>
      <c r="B45" s="211">
        <f>'2043'!M45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'2043'!A46</f>
        <v>지출내용입력5</v>
      </c>
      <c r="B46" s="211">
        <f>'2043'!M46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'2043'!A47</f>
        <v>지출내용입력6</v>
      </c>
      <c r="B47" s="211">
        <f>'2043'!M47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'2043'!A48</f>
        <v>지출내용입력7</v>
      </c>
      <c r="B48" s="211">
        <f>'2043'!M48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'2043'!A49</f>
        <v>지출내용입력8</v>
      </c>
      <c r="B49" s="211">
        <f>'2043'!M49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'2043'!A50</f>
        <v>지출내용입력9</v>
      </c>
      <c r="B50" s="211">
        <f>'2043'!M50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'2043'!A51</f>
        <v>지출내용입력10</v>
      </c>
      <c r="B51" s="211">
        <f>'2043'!M51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14079530</v>
      </c>
      <c r="C53" s="188">
        <f t="shared" ca="1" si="33"/>
        <v>5533850</v>
      </c>
      <c r="D53" s="188">
        <f t="shared" ca="1" si="33"/>
        <v>12754270</v>
      </c>
      <c r="E53" s="188">
        <f t="shared" ca="1" si="33"/>
        <v>5431430</v>
      </c>
      <c r="F53" s="188">
        <f t="shared" ca="1" si="33"/>
        <v>5368080</v>
      </c>
      <c r="G53" s="188">
        <f t="shared" ca="1" si="33"/>
        <v>5350920</v>
      </c>
      <c r="H53" s="188">
        <f t="shared" ca="1" si="33"/>
        <v>9322800</v>
      </c>
      <c r="I53" s="188">
        <f t="shared" ca="1" si="33"/>
        <v>5316590</v>
      </c>
      <c r="J53" s="188">
        <f t="shared" ca="1" si="33"/>
        <v>5226240</v>
      </c>
      <c r="K53" s="188">
        <f t="shared" ca="1" si="33"/>
        <v>10069120</v>
      </c>
      <c r="L53" s="188">
        <f t="shared" ca="1" si="33"/>
        <v>5265100</v>
      </c>
      <c r="M53" s="188">
        <f t="shared" ca="1" si="33"/>
        <v>5491850</v>
      </c>
      <c r="N53" s="188">
        <f t="shared" ca="1" si="33"/>
        <v>89209780</v>
      </c>
    </row>
    <row r="55" spans="1:14" ht="18">
      <c r="A55" s="1232" t="str">
        <f ca="1">D1</f>
        <v>2044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1201112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1324664</v>
      </c>
      <c r="F57" s="688">
        <f ca="1">IF(F6="",0,VLOOKUP(F26-F17-100000,'2015 근로소득 간이세액표'!$C$4:$N$845,1+$M$55)*1.1)</f>
        <v>1324664</v>
      </c>
      <c r="G57" s="688">
        <f ca="1">IF(G6="",0,VLOOKUP(G26-G17-100000,'2015 근로소득 간이세액표'!$C$4:$N$845,1+$M$55)*1.1)</f>
        <v>1324664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1324664</v>
      </c>
      <c r="J57" s="688">
        <f ca="1">IF(J6="",0,VLOOKUP(J26-J17-100000,'2015 근로소득 간이세액표'!$C$4:$N$845,1+$M$55)*1.1)</f>
        <v>1304072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1324664</v>
      </c>
      <c r="M57" s="688">
        <f ca="1">IF(M6="",0,VLOOKUP(M26-M17-100000,'2015 근로소득 간이세액표'!$C$4:$N$845,1+$M$55)*1.1)</f>
        <v>1386440</v>
      </c>
      <c r="N57" s="689">
        <f ca="1">SUM(B57:M57)</f>
        <v>17380880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-137738</v>
      </c>
      <c r="D59" s="684">
        <f t="shared" ca="1" si="35"/>
        <v>360454.00000000023</v>
      </c>
      <c r="E59" s="684">
        <f t="shared" ca="1" si="35"/>
        <v>-563466</v>
      </c>
      <c r="F59" s="684">
        <f t="shared" ca="1" si="35"/>
        <v>-580636</v>
      </c>
      <c r="G59" s="684">
        <f t="shared" ca="1" si="35"/>
        <v>-597796</v>
      </c>
      <c r="H59" s="684">
        <f t="shared" ca="1" si="35"/>
        <v>-223145.99999999977</v>
      </c>
      <c r="I59" s="684">
        <f t="shared" ca="1" si="35"/>
        <v>-632126</v>
      </c>
      <c r="J59" s="684">
        <f t="shared" ca="1" si="35"/>
        <v>-669888</v>
      </c>
      <c r="K59" s="684">
        <f t="shared" ca="1" si="35"/>
        <v>-274635.99999999977</v>
      </c>
      <c r="L59" s="684">
        <f t="shared" ca="1" si="35"/>
        <v>-683616</v>
      </c>
      <c r="M59" s="684">
        <f t="shared" ca="1" si="35"/>
        <v>-639010</v>
      </c>
      <c r="N59" s="684">
        <f t="shared" ca="1" si="35"/>
        <v>-4246810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-4246810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d1BEnLGMCuzvQM8p/tNeZpw/tJc94vXqKqNXKfBanaFr5m8yGR8uA6oSbNO/QmQcI2By/aFIcE3gBJEqMWGnpQ==" saltValue="Stb1pLnafNYpN8N5twaWR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98" priority="8">
      <formula>$E$2="y"</formula>
    </cfRule>
    <cfRule type="expression" dxfId="297" priority="9">
      <formula>$D$2="Y"</formula>
    </cfRule>
    <cfRule type="expression" dxfId="296" priority="10">
      <formula>$F$2="y"</formula>
    </cfRule>
  </conditionalFormatting>
  <conditionalFormatting sqref="B27:M27">
    <cfRule type="expression" dxfId="295" priority="1">
      <formula>$F$2="y"</formula>
    </cfRule>
  </conditionalFormatting>
  <conditionalFormatting sqref="D16">
    <cfRule type="expression" dxfId="294" priority="26">
      <formula>$E$2="y"</formula>
    </cfRule>
    <cfRule type="expression" dxfId="293" priority="27">
      <formula>$E$2="y"</formula>
    </cfRule>
    <cfRule type="expression" dxfId="292" priority="28">
      <formula>$F$2="y"</formula>
    </cfRule>
  </conditionalFormatting>
  <conditionalFormatting sqref="D18">
    <cfRule type="expression" dxfId="291" priority="23">
      <formula>$E$2="y"</formula>
    </cfRule>
    <cfRule type="expression" dxfId="290" priority="24">
      <formula>$E$2="y"</formula>
    </cfRule>
    <cfRule type="expression" dxfId="289" priority="25">
      <formula>$F$2="y"</formula>
    </cfRule>
  </conditionalFormatting>
  <conditionalFormatting sqref="J12:K12">
    <cfRule type="expression" dxfId="288" priority="5">
      <formula>$E$2="y"</formula>
    </cfRule>
    <cfRule type="expression" dxfId="287" priority="6">
      <formula>$D$2="Y"</formula>
    </cfRule>
    <cfRule type="expression" dxfId="286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8243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44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45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47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3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5"/>
  <dimension ref="A1:T60"/>
  <sheetViews>
    <sheetView showGridLines="0"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2045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집계표!W119</f>
        <v>2</v>
      </c>
      <c r="M1" s="627">
        <f>집계표!W122</f>
        <v>1</v>
      </c>
      <c r="N1" s="618">
        <v>21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집계표!BF53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IF('2044'!M4&gt;=50,50,IF(AND('2044'!M4=50,M$3=$N$5),"",IF(B3=$N$5,'2044'!M4+1,'2044'!M4)))</f>
        <v>32</v>
      </c>
      <c r="C4" s="176">
        <f>IF(B4&gt;=50,50,IF(AND(B4=50,C$3=$N$5),50,IF(C$3=$N$5,B4+1,B4)))</f>
        <v>32</v>
      </c>
      <c r="D4" s="176">
        <f t="shared" ref="D4:M4" si="0">IF(C4&gt;=50,50,IF(AND(C4=50,D$3=$N$5),50,IF(D$3=$N$5,C4+1,C4)))</f>
        <v>33</v>
      </c>
      <c r="E4" s="176">
        <f t="shared" si="0"/>
        <v>33</v>
      </c>
      <c r="F4" s="176">
        <f t="shared" si="0"/>
        <v>33</v>
      </c>
      <c r="G4" s="176">
        <f t="shared" si="0"/>
        <v>33</v>
      </c>
      <c r="H4" s="176">
        <f t="shared" si="0"/>
        <v>33</v>
      </c>
      <c r="I4" s="176">
        <f t="shared" si="0"/>
        <v>33</v>
      </c>
      <c r="J4" s="176">
        <f t="shared" si="0"/>
        <v>33</v>
      </c>
      <c r="K4" s="176">
        <f t="shared" si="0"/>
        <v>33</v>
      </c>
      <c r="L4" s="176">
        <f t="shared" si="0"/>
        <v>33</v>
      </c>
      <c r="M4" s="176">
        <f t="shared" si="0"/>
        <v>33</v>
      </c>
      <c r="N4" s="202" t="s">
        <v>124</v>
      </c>
    </row>
    <row r="5" spans="1:14" ht="9.75" customHeight="1">
      <c r="A5" s="208" t="s">
        <v>134</v>
      </c>
      <c r="B5" s="356">
        <f>IF(B$3=$N$5,'2044'!M5+1,'2044'!M5)</f>
        <v>22</v>
      </c>
      <c r="C5" s="209">
        <f>IF(C$3=$N$5,B5+1,B5)</f>
        <v>22</v>
      </c>
      <c r="D5" s="209">
        <f t="shared" ref="D5:M5" si="1">IF(D$3=$N$5,C5+1,C5)</f>
        <v>23</v>
      </c>
      <c r="E5" s="209">
        <f t="shared" si="1"/>
        <v>23</v>
      </c>
      <c r="F5" s="209">
        <f t="shared" si="1"/>
        <v>23</v>
      </c>
      <c r="G5" s="209">
        <f t="shared" si="1"/>
        <v>23</v>
      </c>
      <c r="H5" s="209">
        <f t="shared" si="1"/>
        <v>23</v>
      </c>
      <c r="I5" s="209">
        <f t="shared" si="1"/>
        <v>23</v>
      </c>
      <c r="J5" s="209">
        <f t="shared" si="1"/>
        <v>23</v>
      </c>
      <c r="K5" s="209">
        <f t="shared" si="1"/>
        <v>23</v>
      </c>
      <c r="L5" s="209">
        <f t="shared" si="1"/>
        <v>23</v>
      </c>
      <c r="M5" s="209">
        <f t="shared" si="1"/>
        <v>23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8177600</v>
      </c>
      <c r="C6" s="211">
        <f ca="1">IF($D$1-YEAR($B$1)&gt;0,"",IF(AND($D$1-YEAR($B$1)=0,C3-MONTH($B$1)&gt;=1),"",VLOOKUP(C4,gibon40!$D$4:$AT$47,$N$1,1)))</f>
        <v>8177600</v>
      </c>
      <c r="D6" s="211">
        <f ca="1">IF($D$1-YEAR($B$1)&gt;0,"",IF(AND($D$1-YEAR($B$1)=0,D3-MONTH($B$1)&gt;=1),"",VLOOKUP(D4,gibon40!$D$4:$AT$47,$N$1,1)))</f>
        <v>8411600</v>
      </c>
      <c r="E6" s="211">
        <f ca="1">IF($D$1-YEAR($B$1)&gt;0,"",IF(AND($D$1-YEAR($B$1)=0,E3-MONTH($B$1)&gt;=1),"",VLOOKUP(E4,gibon40!$D$4:$AT$47,$N$1,1)))</f>
        <v>8411600</v>
      </c>
      <c r="F6" s="211">
        <f ca="1">IF($D$1-YEAR($B$1)&gt;0,"",IF(AND($D$1-YEAR($B$1)=0,F3-MONTH($B$1)&gt;=1),"",VLOOKUP(F4,gibon40!$D$4:$AT$47,$N$1,1)))</f>
        <v>8411600</v>
      </c>
      <c r="G6" s="211">
        <f ca="1">IF($D$1-YEAR($B$1)&gt;0,"",IF(AND($D$1-YEAR($B$1)=0,G3-MONTH($B$1)&gt;=1),"",VLOOKUP(G4,gibon40!$D$4:$AT$47,$N$1,1)))</f>
        <v>8411600</v>
      </c>
      <c r="H6" s="211">
        <f ca="1">IF($D$1-YEAR($B$1)&gt;0,"",IF(AND($D$1-YEAR($B$1)=0,H3-MONTH($B$1)&gt;=1),"",VLOOKUP(H4,gibon40!$D$4:$AT$47,$N$1,1)))</f>
        <v>8411600</v>
      </c>
      <c r="I6" s="211">
        <f ca="1">IF($D$1-YEAR($B$1)&gt;0,"",IF(AND($D$1-YEAR($B$1)=0,I3-MONTH($B$1)&gt;=1),"",VLOOKUP(I4,gibon40!$D$4:$AT$47,$N$1,1)))</f>
        <v>8411600</v>
      </c>
      <c r="J6" s="211">
        <f ca="1">IF($D$1-YEAR($B$1)&gt;0,"",IF(AND($D$1-YEAR($B$1)=0,J3-MONTH($B$1)&gt;=1),"",VLOOKUP(J4,gibon40!$D$4:$AT$47,$N$1,1)))</f>
        <v>8411600</v>
      </c>
      <c r="K6" s="211">
        <f ca="1">IF($D$1-YEAR($B$1)&gt;0,"",IF(AND($D$1-YEAR($B$1)=0,K3-MONTH($B$1)&gt;=1),"",VLOOKUP(K4,gibon40!$D$4:$AT$47,$N$1,1)))</f>
        <v>8411600</v>
      </c>
      <c r="L6" s="211">
        <f ca="1">IF($D$1-YEAR($B$1)&gt;0,"",IF(AND($D$1-YEAR($B$1)=0,L3-MONTH($B$1)&gt;=1),"",VLOOKUP(L4,gibon40!$D$4:$AT$47,$N$1,1)))</f>
        <v>8411600</v>
      </c>
      <c r="M6" s="211">
        <f ca="1">IF($D$1-YEAR($B$1)&gt;0,"",IF(AND($D$1-YEAR($B$1)=0,M3-MONTH($B$1)&gt;=1),"",VLOOKUP(M4,gibon40!$D$4:$AT$47,$N$1,1)))</f>
        <v>8411600</v>
      </c>
      <c r="N6" s="211">
        <f t="shared" ref="N6:N52" ca="1" si="2">SUM(B6:M6)</f>
        <v>100471200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4088800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4205800</v>
      </c>
      <c r="I7" s="180"/>
      <c r="J7" s="180"/>
      <c r="K7" s="180"/>
      <c r="L7" s="180"/>
      <c r="M7" s="180"/>
      <c r="N7" s="211">
        <f t="shared" ca="1" si="2"/>
        <v>8294600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10000</v>
      </c>
      <c r="C9" s="179">
        <f t="shared" ref="C9:M9" ca="1" si="4">IF(C4="","",IF(C6="","",IF(AND(C5&gt;=20,C5&lt;25),10000,IF(C5&gt;=25,30000,0))))</f>
        <v>10000</v>
      </c>
      <c r="D9" s="179">
        <f t="shared" ca="1" si="4"/>
        <v>10000</v>
      </c>
      <c r="E9" s="179">
        <f t="shared" ca="1" si="4"/>
        <v>10000</v>
      </c>
      <c r="F9" s="179">
        <f t="shared" ca="1" si="4"/>
        <v>10000</v>
      </c>
      <c r="G9" s="179">
        <f t="shared" ca="1" si="4"/>
        <v>10000</v>
      </c>
      <c r="H9" s="179">
        <f t="shared" ca="1" si="4"/>
        <v>10000</v>
      </c>
      <c r="I9" s="179">
        <f t="shared" ca="1" si="4"/>
        <v>10000</v>
      </c>
      <c r="J9" s="179">
        <f t="shared" ca="1" si="4"/>
        <v>10000</v>
      </c>
      <c r="K9" s="179">
        <f t="shared" ca="1" si="4"/>
        <v>10000</v>
      </c>
      <c r="L9" s="179">
        <f t="shared" ca="1" si="4"/>
        <v>10000</v>
      </c>
      <c r="M9" s="179">
        <f t="shared" ca="1" si="4"/>
        <v>10000</v>
      </c>
      <c r="N9" s="211">
        <f t="shared" ca="1" si="2"/>
        <v>120000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7104650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7104650</v>
      </c>
    </row>
    <row r="11" spans="1:14" ht="9.75" customHeight="1">
      <c r="A11" s="178" t="s">
        <v>63</v>
      </c>
      <c r="B11" s="179">
        <f ca="1">IF(B$6="",0,'2044'!M11)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4906560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5046960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9953520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IF(B$6="",0,'2044'!M15)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IF(B$6="",0,'2044'!M16)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IF(B$6="",0,'2044'!M18)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IF(B$6="",0,'2044'!M19)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83340</v>
      </c>
      <c r="E21" s="179">
        <f ca="1">IF(D4="","",IF(E$6="","",ROUND(VLOOKUP(E4,gibon40!$D$51:$AV$100,$N$1+1)*10*15/15,-1)))</f>
        <v>250020</v>
      </c>
      <c r="F21" s="179">
        <f ca="1">IF(E4="","",IF(F$6="","",ROUND(VLOOKUP(F4,gibon40!$D$51:$AV$100,$N$1+1)*10*15/15,-1)))</f>
        <v>250020</v>
      </c>
      <c r="G21" s="179">
        <f ca="1">IF(F4="","",IF(G$6="","",ROUND(VLOOKUP(G4,gibon40!$D$51:$AV$100,$N$1+1)*10*15/15,-1)))</f>
        <v>250020</v>
      </c>
      <c r="H21" s="179">
        <f ca="1">IF(G4="","",IF(H$6="","",ROUND(VLOOKUP(H4,gibon40!$D$51:$AV$100,$N$1+1)*10*15/15,-1)))</f>
        <v>250020</v>
      </c>
      <c r="I21" s="179">
        <f ca="1">IF(H4="","",IF(I$6="","",ROUND(VLOOKUP(I4,gibon40!$D$51:$AV$100,$N$1+1)*10*15/15,-1)))</f>
        <v>250020</v>
      </c>
      <c r="J21" s="179">
        <f ca="1">IF(I4="","",IF(J$6="","",ROUND(VLOOKUP(J4,gibon40!$D$51:$AV$100,$N$1+1)*7*15/15,-1)))</f>
        <v>175010</v>
      </c>
      <c r="K21" s="179">
        <f ca="1">IF(J4="","",IF(K$6="","",ROUND(VLOOKUP(K4,gibon40!$D$51:$AV$100,$N$1+1)*10*15/15,-1)))</f>
        <v>250020</v>
      </c>
      <c r="L21" s="179">
        <f ca="1">IF(K4="","",IF(L$6="","",ROUND(VLOOKUP(L4,gibon40!$D$51:$AV$100,$N$1+1)*10*15/15,-1)))</f>
        <v>250020</v>
      </c>
      <c r="M21" s="179">
        <f ca="1">IF(L4="","",IF(M$6="","",ROUND(VLOOKUP(M4,gibon40!$D$51:$AV$100,$N$1+1)*10*15/15*2,-1)))</f>
        <v>500040</v>
      </c>
      <c r="N21" s="211">
        <f t="shared" ca="1" si="2"/>
        <v>2508530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IF(B$6="",0,'2044'!M23)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IF(B$6="",0,'2044'!M24)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'2044'!A25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13051400</v>
      </c>
      <c r="C26" s="213">
        <f t="shared" ref="C26:M26" ca="1" si="16">ROUNDDOWN(SUM(C6:C25),-1)</f>
        <v>13869160</v>
      </c>
      <c r="D26" s="213">
        <f t="shared" ca="1" si="16"/>
        <v>16384590</v>
      </c>
      <c r="E26" s="213">
        <f t="shared" ca="1" si="16"/>
        <v>9446620</v>
      </c>
      <c r="F26" s="213">
        <f t="shared" ca="1" si="16"/>
        <v>9446620</v>
      </c>
      <c r="G26" s="213">
        <f t="shared" ca="1" si="16"/>
        <v>9446620</v>
      </c>
      <c r="H26" s="213">
        <f t="shared" ca="1" si="16"/>
        <v>13652420</v>
      </c>
      <c r="I26" s="213">
        <f t="shared" ca="1" si="16"/>
        <v>9446620</v>
      </c>
      <c r="J26" s="213">
        <f t="shared" ca="1" si="16"/>
        <v>14418570</v>
      </c>
      <c r="K26" s="213">
        <f t="shared" ca="1" si="16"/>
        <v>9446620</v>
      </c>
      <c r="L26" s="213">
        <f t="shared" ca="1" si="16"/>
        <v>9446620</v>
      </c>
      <c r="M26" s="213">
        <f t="shared" ca="1" si="16"/>
        <v>9696640</v>
      </c>
      <c r="N26" s="214">
        <f ca="1">SUM(B26:M26)</f>
        <v>137752500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IF(B4="","",IF(B6="","",IF($D$1-YEAR('2025'!$I$1)&gt;0,"",IF(AND($D$1-YEAR('2025'!$I$1)=0,B3-MONTH('2025'!$I$1)&gt;=1),"",'2044'!M29))))</f>
        <v>957510</v>
      </c>
      <c r="C29" s="179">
        <f ca="1">IF(C4="","",IF(C6="","",IF($D$1-YEAR('2025'!$I$1)&gt;0,"",IF(AND($D$1-YEAR('2025'!$I$1)=0,C3-MONTH('2025'!$I$1)&gt;=1),"",B29))))</f>
        <v>957510</v>
      </c>
      <c r="D29" s="179">
        <f ca="1">IF(D4="","",IF(D6="","",IF($D$1-YEAR('2025'!$I$1)&gt;0,"",IF(AND($D$1-YEAR('2025'!$I$1)=0,D3-MONTH('2025'!$I$1)&gt;=1),"",C29))))</f>
        <v>957510</v>
      </c>
      <c r="E29" s="179">
        <f ca="1">IF(E4="","",IF(E6="","",IF($D$1-YEAR('2025'!$I$1)&gt;0,"",IF(AND($D$1-YEAR('2025'!$I$1)=0,E3-MONTH('2025'!$I$1)&gt;=1),"",D29))))</f>
        <v>957510</v>
      </c>
      <c r="F29" s="179">
        <f ca="1">IF(F4="","",IF(F$6="","",IF($D$1-YEAR('2025'!$I$1)&gt;0,"",IF(AND($D$1-YEAR('2025'!$I$1)=0,F3-MONTH('2025'!$I$1)&gt;=1),"",VLOOKUP(F$4,집계표!$AK$5:$HA$47,$N$1*3+$N$1-1+4)))))</f>
        <v>1007170</v>
      </c>
      <c r="G29" s="179">
        <f ca="1">IF(G6="",0,IF($D$1-YEAR('2025'!$I$1)&gt;0,"",IF(AND($D$1-YEAR('2025'!$I$1)=0,G3-MONTH('2025'!$I$1)&gt;=1),"",F29)))</f>
        <v>1007170</v>
      </c>
      <c r="H29" s="179">
        <f ca="1">IF(H6="",0,IF($D$1-YEAR('2025'!$I$1)&gt;0,"",IF(AND($D$1-YEAR('2025'!$I$1)=0,H3-MONTH('2025'!$I$1)&gt;=1),"",G29)))</f>
        <v>1007170</v>
      </c>
      <c r="I29" s="179">
        <f ca="1">IF(I6="",0,IF($D$1-YEAR('2025'!$I$1)&gt;0,"",IF(AND($D$1-YEAR('2025'!$I$1)=0,I3-MONTH('2025'!$I$1)&gt;=1),"",H29)))</f>
        <v>1007170</v>
      </c>
      <c r="J29" s="179">
        <f ca="1">IF(J6="",0,IF($D$1-YEAR('2025'!$I$1)&gt;0,"",IF(AND($D$1-YEAR('2025'!$I$1)=0,J3-MONTH('2025'!$I$1)&gt;=1),"",I29)))</f>
        <v>1007170</v>
      </c>
      <c r="K29" s="179">
        <f ca="1">IF(K6="",0,IF($D$1-YEAR('2025'!$I$1)&gt;0,"",IF(AND($D$1-YEAR('2025'!$I$1)=0,K3-MONTH('2025'!$I$1)&gt;=1),"",J29)))</f>
        <v>1007170</v>
      </c>
      <c r="L29" s="179">
        <f ca="1">IF(L6="",0,IF($D$1-YEAR('2025'!$I$1)&gt;0,"",IF(AND($D$1-YEAR('2025'!$I$1)=0,L3-MONTH('2025'!$I$1)&gt;=1),"",K29)))</f>
        <v>1007170</v>
      </c>
      <c r="M29" s="179">
        <f ca="1">IF(M6="",0,IF($D$1-YEAR('2025'!$I$1)&gt;0,"",IF(AND($D$1-YEAR('2025'!$I$1)=0,M3-MONTH('2025'!$I$1)&gt;=1),"",L29)))</f>
        <v>1007170</v>
      </c>
      <c r="N29" s="211">
        <f t="shared" ca="1" si="2"/>
        <v>11887400</v>
      </c>
    </row>
    <row r="30" spans="1:20" ht="9.75" customHeight="1">
      <c r="A30" s="182" t="s">
        <v>58</v>
      </c>
      <c r="B30" s="179">
        <f ca="1">IF(B6="","",'2044'!M30)</f>
        <v>413050</v>
      </c>
      <c r="C30" s="179">
        <f ca="1">IF(C6="","",B30)</f>
        <v>413050</v>
      </c>
      <c r="D30" s="179">
        <f ca="1">IF(D6="","",C30)</f>
        <v>413050</v>
      </c>
      <c r="E30" s="857">
        <f ca="1">IF(E6="","",VLOOKUP(E$4,집계표!$AK$5:$HA$47,$N$1*4))</f>
        <v>434480</v>
      </c>
      <c r="F30" s="179">
        <f ca="1">IF(F6="","",E30)</f>
        <v>434480</v>
      </c>
      <c r="G30" s="179">
        <f t="shared" ref="G30:M30" ca="1" si="20">IF(G6="","",F30)</f>
        <v>434480</v>
      </c>
      <c r="H30" s="179">
        <f t="shared" ca="1" si="20"/>
        <v>434480</v>
      </c>
      <c r="I30" s="179">
        <f t="shared" ca="1" si="20"/>
        <v>434480</v>
      </c>
      <c r="J30" s="179">
        <f t="shared" ca="1" si="20"/>
        <v>434480</v>
      </c>
      <c r="K30" s="179">
        <f t="shared" ca="1" si="20"/>
        <v>434480</v>
      </c>
      <c r="L30" s="179">
        <f t="shared" ca="1" si="20"/>
        <v>434480</v>
      </c>
      <c r="M30" s="179">
        <f t="shared" ca="1" si="20"/>
        <v>434480</v>
      </c>
      <c r="N30" s="211">
        <f t="shared" ca="1" si="2"/>
        <v>5149470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42340</v>
      </c>
      <c r="C31" s="179">
        <f t="shared" ca="1" si="21"/>
        <v>42340</v>
      </c>
      <c r="D31" s="179">
        <f t="shared" ca="1" si="21"/>
        <v>42340</v>
      </c>
      <c r="E31" s="179">
        <f t="shared" ca="1" si="21"/>
        <v>44530</v>
      </c>
      <c r="F31" s="179">
        <f t="shared" ca="1" si="21"/>
        <v>44530</v>
      </c>
      <c r="G31" s="179">
        <f t="shared" ca="1" si="21"/>
        <v>44530</v>
      </c>
      <c r="H31" s="179">
        <f t="shared" ca="1" si="21"/>
        <v>44530</v>
      </c>
      <c r="I31" s="179">
        <f t="shared" ca="1" si="21"/>
        <v>44530</v>
      </c>
      <c r="J31" s="179">
        <f ca="1">IF(J$6="","",ROUND(IF(J4="","",J30*10.25%),-1))</f>
        <v>44530</v>
      </c>
      <c r="K31" s="179">
        <f t="shared" ref="K31:M31" ca="1" si="22">IF(K$6="","",ROUND(IF(K4="","",K30*10.25%),-1))</f>
        <v>44530</v>
      </c>
      <c r="L31" s="179">
        <f t="shared" ca="1" si="22"/>
        <v>44530</v>
      </c>
      <c r="M31" s="179">
        <f t="shared" ca="1" si="22"/>
        <v>44530</v>
      </c>
      <c r="N31" s="211">
        <f t="shared" ca="1" si="2"/>
        <v>527790</v>
      </c>
    </row>
    <row r="32" spans="1:20" ht="9.75" customHeight="1">
      <c r="A32" s="597" t="str">
        <f>'2044'!A32</f>
        <v>교직원공제비</v>
      </c>
      <c r="B32" s="621">
        <f ca="1">IF(B$6="","",'2044'!B32)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'2044'!A33</f>
        <v>급식비</v>
      </c>
      <c r="B33" s="621">
        <f ca="1">IF(B$6="","",'2044'!B33)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IF(B$6="",0,'2044'!M34)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IF(B$6="",0,'2044'!M38)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IF(B$6="",0,'2044'!M39)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3055230</v>
      </c>
      <c r="C40" s="216">
        <f t="shared" ca="1" si="28"/>
        <v>3072390</v>
      </c>
      <c r="D40" s="216">
        <f t="shared" ca="1" si="28"/>
        <v>3089570</v>
      </c>
      <c r="E40" s="216">
        <f t="shared" ca="1" si="28"/>
        <v>3645290</v>
      </c>
      <c r="F40" s="216">
        <f t="shared" ca="1" si="28"/>
        <v>3712120</v>
      </c>
      <c r="G40" s="216">
        <f t="shared" ca="1" si="28"/>
        <v>3729280</v>
      </c>
      <c r="H40" s="216">
        <f t="shared" ca="1" si="28"/>
        <v>3746450</v>
      </c>
      <c r="I40" s="216">
        <f t="shared" ca="1" si="28"/>
        <v>3763610</v>
      </c>
      <c r="J40" s="216">
        <f ca="1">IF(J26="","",SUM(J27:J39))</f>
        <v>3780780</v>
      </c>
      <c r="K40" s="216">
        <f t="shared" ref="K40:M40" ca="1" si="29">IF(K26="","",SUM(K27:K39))</f>
        <v>3797940</v>
      </c>
      <c r="L40" s="216">
        <f t="shared" ca="1" si="29"/>
        <v>3815100</v>
      </c>
      <c r="M40" s="216">
        <f t="shared" ca="1" si="29"/>
        <v>3832270</v>
      </c>
      <c r="N40" s="216">
        <f ca="1">SUM(B40:M40)</f>
        <v>43040030</v>
      </c>
    </row>
    <row r="41" spans="1:14" ht="9.75" customHeight="1">
      <c r="A41" s="183" t="s">
        <v>79</v>
      </c>
      <c r="B41" s="184">
        <f ca="1">ROUND((B26-B40),-1)</f>
        <v>9996170</v>
      </c>
      <c r="C41" s="184">
        <f t="shared" ref="C41:M41" ca="1" si="30">ROUND((C26-C40),-1)</f>
        <v>10796770</v>
      </c>
      <c r="D41" s="184">
        <f t="shared" ca="1" si="30"/>
        <v>13295020</v>
      </c>
      <c r="E41" s="184">
        <f t="shared" ca="1" si="30"/>
        <v>5801330</v>
      </c>
      <c r="F41" s="184">
        <f t="shared" ca="1" si="30"/>
        <v>5734500</v>
      </c>
      <c r="G41" s="184">
        <f t="shared" ca="1" si="30"/>
        <v>5717340</v>
      </c>
      <c r="H41" s="184">
        <f t="shared" ca="1" si="30"/>
        <v>9905970</v>
      </c>
      <c r="I41" s="184">
        <f t="shared" ca="1" si="30"/>
        <v>5683010</v>
      </c>
      <c r="J41" s="184">
        <f t="shared" ca="1" si="30"/>
        <v>10637790</v>
      </c>
      <c r="K41" s="184">
        <f t="shared" ca="1" si="30"/>
        <v>5648680</v>
      </c>
      <c r="L41" s="184">
        <f t="shared" ca="1" si="30"/>
        <v>5631520</v>
      </c>
      <c r="M41" s="184">
        <f t="shared" ca="1" si="30"/>
        <v>5864370</v>
      </c>
      <c r="N41" s="184">
        <f ca="1">SUM(B41:M41)</f>
        <v>94712470</v>
      </c>
    </row>
    <row r="42" spans="1:14" ht="9.75" customHeight="1">
      <c r="A42" s="217" t="str">
        <f>'2044'!A42</f>
        <v>12)지출내용입력1</v>
      </c>
      <c r="B42" s="211">
        <f>'2044'!M42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'2044'!A43</f>
        <v>지출내용입력2</v>
      </c>
      <c r="B43" s="211">
        <f>'2044'!M43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'2044'!A44</f>
        <v>지출내용입력3</v>
      </c>
      <c r="B44" s="211">
        <f>'2044'!M44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'2044'!A45</f>
        <v>지출내용입력4</v>
      </c>
      <c r="B45" s="211">
        <f>'2044'!M45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'2044'!A46</f>
        <v>지출내용입력5</v>
      </c>
      <c r="B46" s="211">
        <f>'2044'!M46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'2044'!A47</f>
        <v>지출내용입력6</v>
      </c>
      <c r="B47" s="211">
        <f>'2044'!M47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'2044'!A48</f>
        <v>지출내용입력7</v>
      </c>
      <c r="B48" s="211">
        <f>'2044'!M48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'2044'!A49</f>
        <v>지출내용입력8</v>
      </c>
      <c r="B49" s="211">
        <f>'2044'!M49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'2044'!A50</f>
        <v>지출내용입력9</v>
      </c>
      <c r="B50" s="211">
        <f>'2044'!M50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'2044'!A51</f>
        <v>지출내용입력10</v>
      </c>
      <c r="B51" s="211">
        <f>'2044'!M51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9996070</v>
      </c>
      <c r="C53" s="188">
        <f t="shared" ca="1" si="33"/>
        <v>10796670</v>
      </c>
      <c r="D53" s="188">
        <f t="shared" ca="1" si="33"/>
        <v>13294920</v>
      </c>
      <c r="E53" s="188">
        <f t="shared" ca="1" si="33"/>
        <v>5801230</v>
      </c>
      <c r="F53" s="188">
        <f t="shared" ca="1" si="33"/>
        <v>5734400</v>
      </c>
      <c r="G53" s="188">
        <f t="shared" ca="1" si="33"/>
        <v>5717240</v>
      </c>
      <c r="H53" s="188">
        <f t="shared" ca="1" si="33"/>
        <v>9905870</v>
      </c>
      <c r="I53" s="188">
        <f t="shared" ca="1" si="33"/>
        <v>5682910</v>
      </c>
      <c r="J53" s="188">
        <f t="shared" ca="1" si="33"/>
        <v>10637690</v>
      </c>
      <c r="K53" s="188">
        <f t="shared" ca="1" si="33"/>
        <v>5648580</v>
      </c>
      <c r="L53" s="188">
        <f t="shared" ca="1" si="33"/>
        <v>5631420</v>
      </c>
      <c r="M53" s="188">
        <f t="shared" ca="1" si="33"/>
        <v>5864270</v>
      </c>
      <c r="N53" s="188">
        <f t="shared" ca="1" si="33"/>
        <v>94711270</v>
      </c>
    </row>
    <row r="55" spans="1:14" ht="18">
      <c r="A55" s="1232" t="str">
        <f ca="1">D1</f>
        <v>2045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1449965.0000000002</v>
      </c>
      <c r="F57" s="688">
        <f ca="1">IF(F6="",0,VLOOKUP(F26-F17-100000,'2015 근로소득 간이세액표'!$C$4:$N$845,1+$M$55)*1.1)</f>
        <v>1449965.0000000002</v>
      </c>
      <c r="G57" s="688">
        <f ca="1">IF(G6="",0,VLOOKUP(G26-G17-100000,'2015 근로소득 간이세액표'!$C$4:$N$845,1+$M$55)*1.1)</f>
        <v>1449965.0000000002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1449965.0000000002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1449965.0000000002</v>
      </c>
      <c r="L57" s="688">
        <f ca="1">IF(L6="",0,VLOOKUP(L26-L17-100000,'2015 근로소득 간이세액표'!$C$4:$N$845,1+$M$55)*1.1)</f>
        <v>1449965.0000000002</v>
      </c>
      <c r="M57" s="688">
        <f ca="1">IF(M6="",0,VLOOKUP(M26-M17-100000,'2015 근로소득 간이세액표'!$C$4:$N$845,1+$M$55)*1.1)</f>
        <v>1540055.0000000002</v>
      </c>
      <c r="N57" s="689">
        <f ca="1">SUM(B57:M57)</f>
        <v>18822265.000000004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-438164.99999999977</v>
      </c>
      <c r="F59" s="684">
        <f t="shared" ca="1" si="35"/>
        <v>-455334.99999999977</v>
      </c>
      <c r="G59" s="684">
        <f t="shared" ca="1" si="35"/>
        <v>-472494.99999999977</v>
      </c>
      <c r="H59" s="684">
        <f t="shared" ca="1" si="35"/>
        <v>-223145.99999999977</v>
      </c>
      <c r="I59" s="684">
        <f t="shared" ca="1" si="35"/>
        <v>-506824.99999999977</v>
      </c>
      <c r="J59" s="684">
        <f t="shared" ca="1" si="35"/>
        <v>-257475.99999999977</v>
      </c>
      <c r="K59" s="684">
        <f t="shared" ca="1" si="35"/>
        <v>-541154.99999999977</v>
      </c>
      <c r="L59" s="684">
        <f t="shared" ca="1" si="35"/>
        <v>-558314.99999999977</v>
      </c>
      <c r="M59" s="684">
        <f t="shared" ca="1" si="35"/>
        <v>-485394.99999999977</v>
      </c>
      <c r="N59" s="684">
        <f t="shared" ca="1" si="35"/>
        <v>-2805424.9999999963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-2805424.9999999963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GjrE1BNLQVSKUjsEFm/hMMSyFFRLMsQmLN21goEnld4AikPesv00c1oMXKb8HhrchXuDT4VbPdnxy7697+y8tg==" saltValue="sq3ODUBYoZkam7f7sujSA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85" priority="8">
      <formula>$E$2="y"</formula>
    </cfRule>
    <cfRule type="expression" dxfId="284" priority="9">
      <formula>$D$2="Y"</formula>
    </cfRule>
    <cfRule type="expression" dxfId="283" priority="10">
      <formula>$F$2="y"</formula>
    </cfRule>
  </conditionalFormatting>
  <conditionalFormatting sqref="B27:M27">
    <cfRule type="expression" dxfId="282" priority="1">
      <formula>$F$2="y"</formula>
    </cfRule>
  </conditionalFormatting>
  <conditionalFormatting sqref="D16">
    <cfRule type="expression" dxfId="281" priority="26">
      <formula>$E$2="y"</formula>
    </cfRule>
    <cfRule type="expression" dxfId="280" priority="27">
      <formula>$E$2="y"</formula>
    </cfRule>
    <cfRule type="expression" dxfId="279" priority="28">
      <formula>$F$2="y"</formula>
    </cfRule>
  </conditionalFormatting>
  <conditionalFormatting sqref="D18">
    <cfRule type="expression" dxfId="278" priority="23">
      <formula>$E$2="y"</formula>
    </cfRule>
    <cfRule type="expression" dxfId="277" priority="24">
      <formula>$E$2="y"</formula>
    </cfRule>
    <cfRule type="expression" dxfId="276" priority="25">
      <formula>$F$2="y"</formula>
    </cfRule>
  </conditionalFormatting>
  <conditionalFormatting sqref="J12:K12">
    <cfRule type="expression" dxfId="275" priority="5">
      <formula>$E$2="y"</formula>
    </cfRule>
    <cfRule type="expression" dxfId="274" priority="6">
      <formula>$D$2="Y"</formula>
    </cfRule>
    <cfRule type="expression" dxfId="273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9267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68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69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71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4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6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2046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집계표!X119</f>
        <v>2</v>
      </c>
      <c r="M1" s="627">
        <f>집계표!X122</f>
        <v>1</v>
      </c>
      <c r="N1" s="618">
        <v>22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집계표!BG53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IF('2045'!M4&gt;=50,50,IF(AND('2045'!M4=50,M$3=$N$5),"",IF(B3=$N$5,'2045'!M4+1,'2045'!M4)))</f>
        <v>33</v>
      </c>
      <c r="C4" s="176">
        <f>IF(B4&gt;=50,50,IF(AND(B4=50,C$3=$N$5),50,IF(C$3=$N$5,B4+1,B4)))</f>
        <v>33</v>
      </c>
      <c r="D4" s="176">
        <f t="shared" ref="D4:M4" si="0">IF(C4&gt;=50,50,IF(AND(C4=50,D$3=$N$5),50,IF(D$3=$N$5,C4+1,C4)))</f>
        <v>34</v>
      </c>
      <c r="E4" s="176">
        <f t="shared" si="0"/>
        <v>34</v>
      </c>
      <c r="F4" s="176">
        <f t="shared" si="0"/>
        <v>34</v>
      </c>
      <c r="G4" s="176">
        <f t="shared" si="0"/>
        <v>34</v>
      </c>
      <c r="H4" s="176">
        <f t="shared" si="0"/>
        <v>34</v>
      </c>
      <c r="I4" s="176">
        <f t="shared" si="0"/>
        <v>34</v>
      </c>
      <c r="J4" s="176">
        <f t="shared" si="0"/>
        <v>34</v>
      </c>
      <c r="K4" s="176">
        <f t="shared" si="0"/>
        <v>34</v>
      </c>
      <c r="L4" s="176">
        <f t="shared" si="0"/>
        <v>34</v>
      </c>
      <c r="M4" s="176">
        <f t="shared" si="0"/>
        <v>34</v>
      </c>
      <c r="N4" s="202" t="s">
        <v>124</v>
      </c>
    </row>
    <row r="5" spans="1:14" ht="9.75" customHeight="1">
      <c r="A5" s="208" t="s">
        <v>134</v>
      </c>
      <c r="B5" s="356">
        <f>IF(B$3=$N$5,'2045'!M5+1,'2045'!M5)</f>
        <v>23</v>
      </c>
      <c r="C5" s="209">
        <f>IF(C$3=$N$5,B5+1,B5)</f>
        <v>23</v>
      </c>
      <c r="D5" s="209">
        <f t="shared" ref="D5:M5" si="1">IF(D$3=$N$5,C5+1,C5)</f>
        <v>24</v>
      </c>
      <c r="E5" s="209">
        <f t="shared" si="1"/>
        <v>24</v>
      </c>
      <c r="F5" s="209">
        <f t="shared" si="1"/>
        <v>24</v>
      </c>
      <c r="G5" s="209">
        <f t="shared" si="1"/>
        <v>24</v>
      </c>
      <c r="H5" s="209">
        <f t="shared" si="1"/>
        <v>24</v>
      </c>
      <c r="I5" s="209">
        <f t="shared" si="1"/>
        <v>24</v>
      </c>
      <c r="J5" s="209">
        <f t="shared" si="1"/>
        <v>24</v>
      </c>
      <c r="K5" s="209">
        <f t="shared" si="1"/>
        <v>24</v>
      </c>
      <c r="L5" s="209">
        <f t="shared" si="1"/>
        <v>24</v>
      </c>
      <c r="M5" s="209">
        <f t="shared" si="1"/>
        <v>24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8621900</v>
      </c>
      <c r="C6" s="211">
        <f ca="1">IF($D$1-YEAR($B$1)&gt;0,"",IF(AND($D$1-YEAR($B$1)=0,C3-MONTH($B$1)&gt;=1),"",VLOOKUP(C4,gibon40!$D$4:$AT$47,$N$1,1)))</f>
        <v>8621900</v>
      </c>
      <c r="D6" s="211">
        <f ca="1">IF($D$1-YEAR($B$1)&gt;0,"",IF(AND($D$1-YEAR($B$1)=0,D3-MONTH($B$1)&gt;=1),"",VLOOKUP(D4,gibon40!$D$4:$AT$47,$N$1,1)))</f>
        <v>8861000</v>
      </c>
      <c r="E6" s="211">
        <f ca="1">IF($D$1-YEAR($B$1)&gt;0,"",IF(AND($D$1-YEAR($B$1)=0,E3-MONTH($B$1)&gt;=1),"",VLOOKUP(E4,gibon40!$D$4:$AT$47,$N$1,1)))</f>
        <v>8861000</v>
      </c>
      <c r="F6" s="211">
        <f ca="1">IF($D$1-YEAR($B$1)&gt;0,"",IF(AND($D$1-YEAR($B$1)=0,F3-MONTH($B$1)&gt;=1),"",VLOOKUP(F4,gibon40!$D$4:$AT$47,$N$1,1)))</f>
        <v>8861000</v>
      </c>
      <c r="G6" s="211">
        <f ca="1">IF($D$1-YEAR($B$1)&gt;0,"",IF(AND($D$1-YEAR($B$1)=0,G3-MONTH($B$1)&gt;=1),"",VLOOKUP(G4,gibon40!$D$4:$AT$47,$N$1,1)))</f>
        <v>8861000</v>
      </c>
      <c r="H6" s="211">
        <f ca="1">IF($D$1-YEAR($B$1)&gt;0,"",IF(AND($D$1-YEAR($B$1)=0,H3-MONTH($B$1)&gt;=1),"",VLOOKUP(H4,gibon40!$D$4:$AT$47,$N$1,1)))</f>
        <v>8861000</v>
      </c>
      <c r="I6" s="211">
        <f ca="1">IF($D$1-YEAR($B$1)&gt;0,"",IF(AND($D$1-YEAR($B$1)=0,I3-MONTH($B$1)&gt;=1),"",VLOOKUP(I4,gibon40!$D$4:$AT$47,$N$1,1)))</f>
        <v>8861000</v>
      </c>
      <c r="J6" s="211">
        <f ca="1">IF($D$1-YEAR($B$1)&gt;0,"",IF(AND($D$1-YEAR($B$1)=0,J3-MONTH($B$1)&gt;=1),"",VLOOKUP(J4,gibon40!$D$4:$AT$47,$N$1,1)))</f>
        <v>8861000</v>
      </c>
      <c r="K6" s="211">
        <f ca="1">IF($D$1-YEAR($B$1)&gt;0,"",IF(AND($D$1-YEAR($B$1)=0,K3-MONTH($B$1)&gt;=1),"",VLOOKUP(K4,gibon40!$D$4:$AT$47,$N$1,1)))</f>
        <v>8861000</v>
      </c>
      <c r="L6" s="211">
        <f ca="1">IF($D$1-YEAR($B$1)&gt;0,"",IF(AND($D$1-YEAR($B$1)=0,L3-MONTH($B$1)&gt;=1),"",VLOOKUP(L4,gibon40!$D$4:$AT$47,$N$1,1)))</f>
        <v>8861000</v>
      </c>
      <c r="M6" s="211">
        <f ca="1">IF($D$1-YEAR($B$1)&gt;0,"",IF(AND($D$1-YEAR($B$1)=0,M3-MONTH($B$1)&gt;=1),"",VLOOKUP(M4,gibon40!$D$4:$AT$47,$N$1,1)))</f>
        <v>8861000</v>
      </c>
      <c r="N6" s="211">
        <f t="shared" ref="N6:N52" ca="1" si="2">SUM(B6:M6)</f>
        <v>105853800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4310950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4430500</v>
      </c>
      <c r="I7" s="180"/>
      <c r="J7" s="180"/>
      <c r="K7" s="180"/>
      <c r="L7" s="180"/>
      <c r="M7" s="180"/>
      <c r="N7" s="211">
        <f t="shared" ca="1" si="2"/>
        <v>8741450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10000</v>
      </c>
      <c r="C9" s="179">
        <f t="shared" ref="C9:M9" ca="1" si="4">IF(C4="","",IF(C6="","",IF(AND(C5&gt;=20,C5&lt;25),10000,IF(C5&gt;=25,30000,0))))</f>
        <v>10000</v>
      </c>
      <c r="D9" s="179">
        <f t="shared" ca="1" si="4"/>
        <v>10000</v>
      </c>
      <c r="E9" s="179">
        <f t="shared" ca="1" si="4"/>
        <v>10000</v>
      </c>
      <c r="F9" s="179">
        <f t="shared" ca="1" si="4"/>
        <v>10000</v>
      </c>
      <c r="G9" s="179">
        <f t="shared" ca="1" si="4"/>
        <v>10000</v>
      </c>
      <c r="H9" s="179">
        <f t="shared" ca="1" si="4"/>
        <v>10000</v>
      </c>
      <c r="I9" s="179">
        <f t="shared" ca="1" si="4"/>
        <v>10000</v>
      </c>
      <c r="J9" s="179">
        <f t="shared" ca="1" si="4"/>
        <v>10000</v>
      </c>
      <c r="K9" s="179">
        <f t="shared" ca="1" si="4"/>
        <v>10000</v>
      </c>
      <c r="L9" s="179">
        <f t="shared" ca="1" si="4"/>
        <v>10000</v>
      </c>
      <c r="M9" s="179">
        <f t="shared" ca="1" si="4"/>
        <v>10000</v>
      </c>
      <c r="N9" s="211">
        <f t="shared" ca="1" si="2"/>
        <v>120000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7282300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7282300</v>
      </c>
    </row>
    <row r="11" spans="1:14" ht="9.75" customHeight="1">
      <c r="A11" s="178" t="s">
        <v>63</v>
      </c>
      <c r="B11" s="179">
        <f ca="1">IF(B$6="",0,'2045'!M11)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5173140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5316600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10489740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IF(B$6="",0,'2045'!M15)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IF(B$6="",0,'2045'!M16)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IF(B$6="",0,'2045'!M18)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IF(B$6="",0,'2045'!M19)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85420</v>
      </c>
      <c r="E21" s="179">
        <f ca="1">IF(D4="","",IF(E$6="","",ROUND(VLOOKUP(E4,gibon40!$D$51:$AV$100,$N$1+1)*10*15/15,-1)))</f>
        <v>256270</v>
      </c>
      <c r="F21" s="179">
        <f ca="1">IF(E4="","",IF(F$6="","",ROUND(VLOOKUP(F4,gibon40!$D$51:$AV$100,$N$1+1)*10*15/15,-1)))</f>
        <v>256270</v>
      </c>
      <c r="G21" s="179">
        <f ca="1">IF(F4="","",IF(G$6="","",ROUND(VLOOKUP(G4,gibon40!$D$51:$AV$100,$N$1+1)*10*15/15,-1)))</f>
        <v>256270</v>
      </c>
      <c r="H21" s="179">
        <f ca="1">IF(G4="","",IF(H$6="","",ROUND(VLOOKUP(H4,gibon40!$D$51:$AV$100,$N$1+1)*10*15/15,-1)))</f>
        <v>256270</v>
      </c>
      <c r="I21" s="179">
        <f ca="1">IF(H4="","",IF(I$6="","",ROUND(VLOOKUP(I4,gibon40!$D$51:$AV$100,$N$1+1)*10*15/15,-1)))</f>
        <v>256270</v>
      </c>
      <c r="J21" s="179">
        <f ca="1">IF(I4="","",IF(J$6="","",ROUND(VLOOKUP(J4,gibon40!$D$51:$AV$100,$N$1+1)*7*15/15,-1)))</f>
        <v>179390</v>
      </c>
      <c r="K21" s="179">
        <f ca="1">IF(J4="","",IF(K$6="","",ROUND(VLOOKUP(K4,gibon40!$D$51:$AV$100,$N$1+1)*10*15/15,-1)))</f>
        <v>256270</v>
      </c>
      <c r="L21" s="179">
        <f ca="1">IF(K4="","",IF(L$6="","",ROUND(VLOOKUP(L4,gibon40!$D$51:$AV$100,$N$1+1)*10*15/15,-1)))</f>
        <v>256270</v>
      </c>
      <c r="M21" s="179">
        <f ca="1">IF(L4="","",IF(M$6="","",ROUND(VLOOKUP(M4,gibon40!$D$51:$AV$100,$N$1+1)*10*15/15*2,-1)))</f>
        <v>512530</v>
      </c>
      <c r="N21" s="211">
        <f t="shared" ca="1" si="2"/>
        <v>2571230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IF(B$6="",0,'2045'!M23)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IF(B$6="",0,'2045'!M24)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'2045'!A25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13717850</v>
      </c>
      <c r="C26" s="213">
        <f t="shared" ref="C26:M26" ca="1" si="16">ROUNDDOWN(SUM(C6:C25),-1)</f>
        <v>14580040</v>
      </c>
      <c r="D26" s="213">
        <f t="shared" ca="1" si="16"/>
        <v>17013720</v>
      </c>
      <c r="E26" s="213">
        <f t="shared" ca="1" si="16"/>
        <v>9902270</v>
      </c>
      <c r="F26" s="213">
        <f t="shared" ca="1" si="16"/>
        <v>9902270</v>
      </c>
      <c r="G26" s="213">
        <f t="shared" ca="1" si="16"/>
        <v>9902270</v>
      </c>
      <c r="H26" s="213">
        <f t="shared" ca="1" si="16"/>
        <v>14332770</v>
      </c>
      <c r="I26" s="213">
        <f t="shared" ca="1" si="16"/>
        <v>9902270</v>
      </c>
      <c r="J26" s="213">
        <f t="shared" ca="1" si="16"/>
        <v>15141990</v>
      </c>
      <c r="K26" s="213">
        <f t="shared" ca="1" si="16"/>
        <v>9902270</v>
      </c>
      <c r="L26" s="213">
        <f t="shared" ca="1" si="16"/>
        <v>9902270</v>
      </c>
      <c r="M26" s="213">
        <f t="shared" ca="1" si="16"/>
        <v>10158530</v>
      </c>
      <c r="N26" s="214">
        <f ca="1">SUM(B26:M26)</f>
        <v>144358520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IF(B4="","",IF(B6="","",IF($D$1-YEAR('2025'!$I$1)&gt;0,"",IF(AND($D$1-YEAR('2025'!$I$1)=0,B3-MONTH('2025'!$I$1)&gt;=1),"",'2045'!M29))))</f>
        <v>1007170</v>
      </c>
      <c r="C29" s="179">
        <f ca="1">IF(C4="","",IF(C6="","",IF($D$1-YEAR('2025'!$I$1)&gt;0,"",IF(AND($D$1-YEAR('2025'!$I$1)=0,C3-MONTH('2025'!$I$1)&gt;=1),"",B29))))</f>
        <v>1007170</v>
      </c>
      <c r="D29" s="179">
        <f ca="1">IF(D4="","",IF(D6="","",IF($D$1-YEAR('2025'!$I$1)&gt;0,"",IF(AND($D$1-YEAR('2025'!$I$1)=0,D3-MONTH('2025'!$I$1)&gt;=1),"",C29))))</f>
        <v>1007170</v>
      </c>
      <c r="E29" s="179">
        <f ca="1">IF(E4="","",IF(E6="","",IF($D$1-YEAR('2025'!$I$1)&gt;0,"",IF(AND($D$1-YEAR('2025'!$I$1)=0,E3-MONTH('2025'!$I$1)&gt;=1),"",D29))))</f>
        <v>1007170</v>
      </c>
      <c r="F29" s="179">
        <f ca="1">IF(F4="","",IF(F$6="","",IF($D$1-YEAR('2025'!$I$1)&gt;0,"",IF(AND($D$1-YEAR('2025'!$I$1)=0,F3-MONTH('2025'!$I$1)&gt;=1),"",VLOOKUP(F$4,집계표!$AK$5:$HA$47,$N$1*3+$N$1-1+4)))))</f>
        <v>1056540</v>
      </c>
      <c r="G29" s="179">
        <f ca="1">IF(G6="",0,IF($D$1-YEAR('2025'!$I$1)&gt;0,"",IF(AND($D$1-YEAR('2025'!$I$1)=0,G3-MONTH('2025'!$I$1)&gt;=1),"",F29)))</f>
        <v>1056540</v>
      </c>
      <c r="H29" s="179">
        <f ca="1">IF(H6="",0,IF($D$1-YEAR('2025'!$I$1)&gt;0,"",IF(AND($D$1-YEAR('2025'!$I$1)=0,H3-MONTH('2025'!$I$1)&gt;=1),"",G29)))</f>
        <v>1056540</v>
      </c>
      <c r="I29" s="179">
        <f ca="1">IF(I6="",0,IF($D$1-YEAR('2025'!$I$1)&gt;0,"",IF(AND($D$1-YEAR('2025'!$I$1)=0,I3-MONTH('2025'!$I$1)&gt;=1),"",H29)))</f>
        <v>1056540</v>
      </c>
      <c r="J29" s="179">
        <f ca="1">IF(J6="",0,IF($D$1-YEAR('2025'!$I$1)&gt;0,"",IF(AND($D$1-YEAR('2025'!$I$1)=0,J3-MONTH('2025'!$I$1)&gt;=1),"",I29)))</f>
        <v>1056540</v>
      </c>
      <c r="K29" s="179">
        <f ca="1">IF(K6="",0,IF($D$1-YEAR('2025'!$I$1)&gt;0,"",IF(AND($D$1-YEAR('2025'!$I$1)=0,K3-MONTH('2025'!$I$1)&gt;=1),"",J29)))</f>
        <v>1056540</v>
      </c>
      <c r="L29" s="179">
        <f ca="1">IF(L6="",0,IF($D$1-YEAR('2025'!$I$1)&gt;0,"",IF(AND($D$1-YEAR('2025'!$I$1)=0,L3-MONTH('2025'!$I$1)&gt;=1),"",K29)))</f>
        <v>1056540</v>
      </c>
      <c r="M29" s="179">
        <f ca="1">IF(M6="",0,IF($D$1-YEAR('2025'!$I$1)&gt;0,"",IF(AND($D$1-YEAR('2025'!$I$1)=0,M3-MONTH('2025'!$I$1)&gt;=1),"",L29)))</f>
        <v>1056540</v>
      </c>
      <c r="N29" s="211">
        <f t="shared" ca="1" si="2"/>
        <v>12481000</v>
      </c>
    </row>
    <row r="30" spans="1:20" ht="9.75" customHeight="1">
      <c r="A30" s="182" t="s">
        <v>58</v>
      </c>
      <c r="B30" s="179">
        <f ca="1">IF(B6="","",'2045'!M30)</f>
        <v>434480</v>
      </c>
      <c r="C30" s="179">
        <f ca="1">IF(C6="","",B30)</f>
        <v>434480</v>
      </c>
      <c r="D30" s="179">
        <f ca="1">IF(D6="","",C30)</f>
        <v>434480</v>
      </c>
      <c r="E30" s="857">
        <f ca="1">IF(E6="","",VLOOKUP(E$4,집계표!$AK$5:$HA$47,$N$1*4))</f>
        <v>455770</v>
      </c>
      <c r="F30" s="179">
        <f ca="1">IF(F6="","",E30)</f>
        <v>455770</v>
      </c>
      <c r="G30" s="179">
        <f t="shared" ref="G30:M30" ca="1" si="20">IF(G6="","",F30)</f>
        <v>455770</v>
      </c>
      <c r="H30" s="179">
        <f t="shared" ca="1" si="20"/>
        <v>455770</v>
      </c>
      <c r="I30" s="179">
        <f t="shared" ca="1" si="20"/>
        <v>455770</v>
      </c>
      <c r="J30" s="179">
        <f t="shared" ca="1" si="20"/>
        <v>455770</v>
      </c>
      <c r="K30" s="179">
        <f t="shared" ca="1" si="20"/>
        <v>455770</v>
      </c>
      <c r="L30" s="179">
        <f t="shared" ca="1" si="20"/>
        <v>455770</v>
      </c>
      <c r="M30" s="179">
        <f t="shared" ca="1" si="20"/>
        <v>455770</v>
      </c>
      <c r="N30" s="211">
        <f t="shared" ca="1" si="2"/>
        <v>5405370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44530</v>
      </c>
      <c r="C31" s="179">
        <f t="shared" ca="1" si="21"/>
        <v>44530</v>
      </c>
      <c r="D31" s="179">
        <f t="shared" ca="1" si="21"/>
        <v>44530</v>
      </c>
      <c r="E31" s="179">
        <f t="shared" ca="1" si="21"/>
        <v>46720</v>
      </c>
      <c r="F31" s="179">
        <f t="shared" ca="1" si="21"/>
        <v>46720</v>
      </c>
      <c r="G31" s="179">
        <f t="shared" ca="1" si="21"/>
        <v>46720</v>
      </c>
      <c r="H31" s="179">
        <f t="shared" ca="1" si="21"/>
        <v>46720</v>
      </c>
      <c r="I31" s="179">
        <f t="shared" ca="1" si="21"/>
        <v>46720</v>
      </c>
      <c r="J31" s="179">
        <f ca="1">IF(J$6="","",ROUND(IF(J4="","",J30*10.25%),-1))</f>
        <v>46720</v>
      </c>
      <c r="K31" s="179">
        <f t="shared" ref="K31:M31" ca="1" si="22">IF(K$6="","",ROUND(IF(K4="","",K30*10.25%),-1))</f>
        <v>46720</v>
      </c>
      <c r="L31" s="179">
        <f t="shared" ca="1" si="22"/>
        <v>46720</v>
      </c>
      <c r="M31" s="179">
        <f t="shared" ca="1" si="22"/>
        <v>46720</v>
      </c>
      <c r="N31" s="211">
        <f t="shared" ca="1" si="2"/>
        <v>554070</v>
      </c>
    </row>
    <row r="32" spans="1:20" ht="9.75" customHeight="1">
      <c r="A32" s="597" t="str">
        <f>'2045'!A32</f>
        <v>교직원공제비</v>
      </c>
      <c r="B32" s="621">
        <f ca="1">IF(B$6="","",'2045'!B32)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'2045'!A33</f>
        <v>급식비</v>
      </c>
      <c r="B33" s="621">
        <f ca="1">IF(B$6="","",'2045'!B33)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IF(B$6="",0,'2045'!M34)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IF(B$6="",0,'2045'!M38)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IF(B$6="",0,'2045'!M39)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3128510</v>
      </c>
      <c r="C40" s="216">
        <f t="shared" ca="1" si="28"/>
        <v>3145670</v>
      </c>
      <c r="D40" s="216">
        <f t="shared" ca="1" si="28"/>
        <v>3162850</v>
      </c>
      <c r="E40" s="216">
        <f t="shared" ca="1" si="28"/>
        <v>3718430</v>
      </c>
      <c r="F40" s="216">
        <f t="shared" ca="1" si="28"/>
        <v>3784970</v>
      </c>
      <c r="G40" s="216">
        <f t="shared" ca="1" si="28"/>
        <v>3802130</v>
      </c>
      <c r="H40" s="216">
        <f t="shared" ca="1" si="28"/>
        <v>3819300</v>
      </c>
      <c r="I40" s="216">
        <f t="shared" ca="1" si="28"/>
        <v>3836460</v>
      </c>
      <c r="J40" s="216">
        <f ca="1">IF(J26="","",SUM(J27:J39))</f>
        <v>3853630</v>
      </c>
      <c r="K40" s="216">
        <f t="shared" ref="K40:M40" ca="1" si="29">IF(K26="","",SUM(K27:K39))</f>
        <v>3870790</v>
      </c>
      <c r="L40" s="216">
        <f t="shared" ca="1" si="29"/>
        <v>3887950</v>
      </c>
      <c r="M40" s="216">
        <f t="shared" ca="1" si="29"/>
        <v>3905120</v>
      </c>
      <c r="N40" s="216">
        <f ca="1">SUM(B40:M40)</f>
        <v>43915810</v>
      </c>
    </row>
    <row r="41" spans="1:14" ht="9.75" customHeight="1">
      <c r="A41" s="183" t="s">
        <v>79</v>
      </c>
      <c r="B41" s="184">
        <f ca="1">ROUND((B26-B40),-1)</f>
        <v>10589340</v>
      </c>
      <c r="C41" s="184">
        <f t="shared" ref="C41:M41" ca="1" si="30">ROUND((C26-C40),-1)</f>
        <v>11434370</v>
      </c>
      <c r="D41" s="184">
        <f t="shared" ca="1" si="30"/>
        <v>13850870</v>
      </c>
      <c r="E41" s="184">
        <f t="shared" ca="1" si="30"/>
        <v>6183840</v>
      </c>
      <c r="F41" s="184">
        <f t="shared" ca="1" si="30"/>
        <v>6117300</v>
      </c>
      <c r="G41" s="184">
        <f t="shared" ca="1" si="30"/>
        <v>6100140</v>
      </c>
      <c r="H41" s="184">
        <f t="shared" ca="1" si="30"/>
        <v>10513470</v>
      </c>
      <c r="I41" s="184">
        <f t="shared" ca="1" si="30"/>
        <v>6065810</v>
      </c>
      <c r="J41" s="184">
        <f t="shared" ca="1" si="30"/>
        <v>11288360</v>
      </c>
      <c r="K41" s="184">
        <f t="shared" ca="1" si="30"/>
        <v>6031480</v>
      </c>
      <c r="L41" s="184">
        <f t="shared" ca="1" si="30"/>
        <v>6014320</v>
      </c>
      <c r="M41" s="184">
        <f t="shared" ca="1" si="30"/>
        <v>6253410</v>
      </c>
      <c r="N41" s="184">
        <f ca="1">SUM(B41:M41)</f>
        <v>100442710</v>
      </c>
    </row>
    <row r="42" spans="1:14" ht="9.75" customHeight="1">
      <c r="A42" s="217" t="str">
        <f>'2045'!A42</f>
        <v>12)지출내용입력1</v>
      </c>
      <c r="B42" s="211">
        <f>'2045'!M42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'2045'!A43</f>
        <v>지출내용입력2</v>
      </c>
      <c r="B43" s="211">
        <f>'2045'!M43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'2045'!A44</f>
        <v>지출내용입력3</v>
      </c>
      <c r="B44" s="211">
        <f>'2045'!M44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'2045'!A45</f>
        <v>지출내용입력4</v>
      </c>
      <c r="B45" s="211">
        <f>'2045'!M45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'2045'!A46</f>
        <v>지출내용입력5</v>
      </c>
      <c r="B46" s="211">
        <f>'2045'!M46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'2045'!A47</f>
        <v>지출내용입력6</v>
      </c>
      <c r="B47" s="211">
        <f>'2045'!M47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'2045'!A48</f>
        <v>지출내용입력7</v>
      </c>
      <c r="B48" s="211">
        <f>'2045'!M48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'2045'!A49</f>
        <v>지출내용입력8</v>
      </c>
      <c r="B49" s="211">
        <f>'2045'!M49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'2045'!A50</f>
        <v>지출내용입력9</v>
      </c>
      <c r="B50" s="211">
        <f>'2045'!M50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'2045'!A51</f>
        <v>지출내용입력10</v>
      </c>
      <c r="B51" s="211">
        <f>'2045'!M51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10589240</v>
      </c>
      <c r="C53" s="188">
        <f t="shared" ca="1" si="33"/>
        <v>11434270</v>
      </c>
      <c r="D53" s="188">
        <f t="shared" ca="1" si="33"/>
        <v>13850770</v>
      </c>
      <c r="E53" s="188">
        <f t="shared" ca="1" si="33"/>
        <v>6183740</v>
      </c>
      <c r="F53" s="188">
        <f t="shared" ca="1" si="33"/>
        <v>6117200</v>
      </c>
      <c r="G53" s="188">
        <f t="shared" ca="1" si="33"/>
        <v>6100040</v>
      </c>
      <c r="H53" s="188">
        <f t="shared" ca="1" si="33"/>
        <v>10513370</v>
      </c>
      <c r="I53" s="188">
        <f t="shared" ca="1" si="33"/>
        <v>6065710</v>
      </c>
      <c r="J53" s="188">
        <f t="shared" ca="1" si="33"/>
        <v>11288260</v>
      </c>
      <c r="K53" s="188">
        <f t="shared" ca="1" si="33"/>
        <v>6031380</v>
      </c>
      <c r="L53" s="188">
        <f t="shared" ca="1" si="33"/>
        <v>6014220</v>
      </c>
      <c r="M53" s="188">
        <f t="shared" ca="1" si="33"/>
        <v>6253310</v>
      </c>
      <c r="N53" s="188">
        <f t="shared" ca="1" si="33"/>
        <v>100441510</v>
      </c>
    </row>
    <row r="55" spans="1:14" ht="18">
      <c r="A55" s="1232" t="str">
        <f ca="1">D1</f>
        <v>2046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1622632.0000000002</v>
      </c>
      <c r="F57" s="688">
        <f ca="1">IF(F6="",0,VLOOKUP(F26-F17-100000,'2015 근로소득 간이세액표'!$C$4:$N$845,1+$M$55)*1.1)</f>
        <v>1622632.0000000002</v>
      </c>
      <c r="G57" s="688">
        <f ca="1">IF(G6="",0,VLOOKUP(G26-G17-100000,'2015 근로소득 간이세액표'!$C$4:$N$845,1+$M$55)*1.1)</f>
        <v>1622632.0000000002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1622632.0000000002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1622632.0000000002</v>
      </c>
      <c r="L57" s="688">
        <f ca="1">IF(L6="",0,VLOOKUP(L26-L17-100000,'2015 근로소득 간이세액표'!$C$4:$N$845,1+$M$55)*1.1)</f>
        <v>1622632.0000000002</v>
      </c>
      <c r="M57" s="688">
        <f ca="1">IF(M6="",0,VLOOKUP(M26-M17-100000,'2015 근로소득 간이세액표'!$C$4:$N$845,1+$M$55)*1.1)</f>
        <v>1712722.0000000002</v>
      </c>
      <c r="N57" s="689">
        <f ca="1">SUM(B57:M57)</f>
        <v>20030934.000000004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-265497.99999999977</v>
      </c>
      <c r="F59" s="684">
        <f t="shared" ca="1" si="35"/>
        <v>-282667.99999999977</v>
      </c>
      <c r="G59" s="684">
        <f t="shared" ca="1" si="35"/>
        <v>-299827.99999999977</v>
      </c>
      <c r="H59" s="684">
        <f t="shared" ca="1" si="35"/>
        <v>-223145.99999999977</v>
      </c>
      <c r="I59" s="684">
        <f t="shared" ca="1" si="35"/>
        <v>-334157.99999999977</v>
      </c>
      <c r="J59" s="684">
        <f t="shared" ca="1" si="35"/>
        <v>-257475.99999999977</v>
      </c>
      <c r="K59" s="684">
        <f t="shared" ca="1" si="35"/>
        <v>-368487.99999999977</v>
      </c>
      <c r="L59" s="684">
        <f t="shared" ca="1" si="35"/>
        <v>-385647.99999999977</v>
      </c>
      <c r="M59" s="684">
        <f t="shared" ca="1" si="35"/>
        <v>-312727.99999999977</v>
      </c>
      <c r="N59" s="684">
        <f t="shared" ca="1" si="35"/>
        <v>-1596755.9999999963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-1596755.9999999963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NRvmg8NCEZ1MDHJMM8fkLuS6ALk0YXc3ESHUDjTXM5YiMbamXz/zOFzcHSSP7Em9j7n8VhfyUznzUw9yknV8fw==" saltValue="RuwlEzSq8bsr/eMrflYNl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72" priority="8">
      <formula>$E$2="y"</formula>
    </cfRule>
    <cfRule type="expression" dxfId="271" priority="9">
      <formula>$D$2="Y"</formula>
    </cfRule>
    <cfRule type="expression" dxfId="270" priority="10">
      <formula>$F$2="y"</formula>
    </cfRule>
  </conditionalFormatting>
  <conditionalFormatting sqref="B27:M27">
    <cfRule type="expression" dxfId="269" priority="1">
      <formula>$F$2="y"</formula>
    </cfRule>
  </conditionalFormatting>
  <conditionalFormatting sqref="D16">
    <cfRule type="expression" dxfId="268" priority="26">
      <formula>$E$2="y"</formula>
    </cfRule>
    <cfRule type="expression" dxfId="267" priority="27">
      <formula>$E$2="y"</formula>
    </cfRule>
    <cfRule type="expression" dxfId="266" priority="28">
      <formula>$F$2="y"</formula>
    </cfRule>
  </conditionalFormatting>
  <conditionalFormatting sqref="D18">
    <cfRule type="expression" dxfId="265" priority="23">
      <formula>$E$2="y"</formula>
    </cfRule>
    <cfRule type="expression" dxfId="264" priority="24">
      <formula>$E$2="y"</formula>
    </cfRule>
    <cfRule type="expression" dxfId="263" priority="25">
      <formula>$F$2="y"</formula>
    </cfRule>
  </conditionalFormatting>
  <conditionalFormatting sqref="J12:K12">
    <cfRule type="expression" dxfId="262" priority="5">
      <formula>$E$2="y"</formula>
    </cfRule>
    <cfRule type="expression" dxfId="261" priority="6">
      <formula>$D$2="Y"</formula>
    </cfRule>
    <cfRule type="expression" dxfId="260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0293" r:id="rId3" name="Drop Down 5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94" r:id="rId4" name="Drop Down 6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95" r:id="rId5" name="Drop Down 7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97" r:id="rId6" name="Drop Down 9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5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7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2047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집계표!Y119</f>
        <v>2</v>
      </c>
      <c r="M1" s="627">
        <f>집계표!Y122</f>
        <v>1</v>
      </c>
      <c r="N1" s="618">
        <v>23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집계표!BH53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IF('2046'!M4&gt;=50,50,IF(AND('2046'!M4=50,M$3=$N$5),"",IF(B3=$N$5,'2046'!M4+1,'2046'!M4)))</f>
        <v>34</v>
      </c>
      <c r="C4" s="176">
        <f>IF(B4&gt;=50,50,IF(AND(B4=50,C$3=$N$5),50,IF(C$3=$N$5,B4+1,B4)))</f>
        <v>34</v>
      </c>
      <c r="D4" s="176">
        <f t="shared" ref="D4:M4" si="0">IF(C4&gt;=50,50,IF(AND(C4=50,D$3=$N$5),50,IF(D$3=$N$5,C4+1,C4)))</f>
        <v>35</v>
      </c>
      <c r="E4" s="176">
        <f t="shared" si="0"/>
        <v>35</v>
      </c>
      <c r="F4" s="176">
        <f t="shared" si="0"/>
        <v>35</v>
      </c>
      <c r="G4" s="176">
        <f t="shared" si="0"/>
        <v>35</v>
      </c>
      <c r="H4" s="176">
        <f t="shared" si="0"/>
        <v>35</v>
      </c>
      <c r="I4" s="176">
        <f t="shared" si="0"/>
        <v>35</v>
      </c>
      <c r="J4" s="176">
        <f t="shared" si="0"/>
        <v>35</v>
      </c>
      <c r="K4" s="176">
        <f t="shared" si="0"/>
        <v>35</v>
      </c>
      <c r="L4" s="176">
        <f t="shared" si="0"/>
        <v>35</v>
      </c>
      <c r="M4" s="176">
        <f t="shared" si="0"/>
        <v>35</v>
      </c>
      <c r="N4" s="202" t="s">
        <v>124</v>
      </c>
    </row>
    <row r="5" spans="1:14" ht="9.75" customHeight="1">
      <c r="A5" s="208" t="s">
        <v>134</v>
      </c>
      <c r="B5" s="356">
        <f>IF(B$3=$N$5,'2046'!M5+1,'2046'!M5)</f>
        <v>24</v>
      </c>
      <c r="C5" s="209">
        <f>IF(C$3=$N$5,B5+1,B5)</f>
        <v>24</v>
      </c>
      <c r="D5" s="209">
        <f t="shared" ref="D5:M5" si="1">IF(D$3=$N$5,C5+1,C5)</f>
        <v>25</v>
      </c>
      <c r="E5" s="209">
        <f t="shared" si="1"/>
        <v>25</v>
      </c>
      <c r="F5" s="209">
        <f t="shared" si="1"/>
        <v>25</v>
      </c>
      <c r="G5" s="209">
        <f t="shared" si="1"/>
        <v>25</v>
      </c>
      <c r="H5" s="209">
        <f t="shared" si="1"/>
        <v>25</v>
      </c>
      <c r="I5" s="209">
        <f t="shared" si="1"/>
        <v>25</v>
      </c>
      <c r="J5" s="209">
        <f t="shared" si="1"/>
        <v>25</v>
      </c>
      <c r="K5" s="209">
        <f t="shared" si="1"/>
        <v>25</v>
      </c>
      <c r="L5" s="209">
        <f t="shared" si="1"/>
        <v>25</v>
      </c>
      <c r="M5" s="209">
        <f t="shared" si="1"/>
        <v>25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9082500</v>
      </c>
      <c r="C6" s="211">
        <f ca="1">IF($D$1-YEAR($B$1)&gt;0,"",IF(AND($D$1-YEAR($B$1)=0,C3-MONTH($B$1)&gt;=1),"",VLOOKUP(C4,gibon40!$D$4:$AT$47,$N$1,1)))</f>
        <v>9082500</v>
      </c>
      <c r="D6" s="211">
        <f ca="1">IF($D$1-YEAR($B$1)&gt;0,"",IF(AND($D$1-YEAR($B$1)=0,D3-MONTH($B$1)&gt;=1),"",VLOOKUP(D4,gibon40!$D$4:$AT$47,$N$1,1)))</f>
        <v>9327800</v>
      </c>
      <c r="E6" s="211">
        <f ca="1">IF($D$1-YEAR($B$1)&gt;0,"",IF(AND($D$1-YEAR($B$1)=0,E3-MONTH($B$1)&gt;=1),"",VLOOKUP(E4,gibon40!$D$4:$AT$47,$N$1,1)))</f>
        <v>9327800</v>
      </c>
      <c r="F6" s="211">
        <f ca="1">IF($D$1-YEAR($B$1)&gt;0,"",IF(AND($D$1-YEAR($B$1)=0,F3-MONTH($B$1)&gt;=1),"",VLOOKUP(F4,gibon40!$D$4:$AT$47,$N$1,1)))</f>
        <v>9327800</v>
      </c>
      <c r="G6" s="211">
        <f ca="1">IF($D$1-YEAR($B$1)&gt;0,"",IF(AND($D$1-YEAR($B$1)=0,G3-MONTH($B$1)&gt;=1),"",VLOOKUP(G4,gibon40!$D$4:$AT$47,$N$1,1)))</f>
        <v>9327800</v>
      </c>
      <c r="H6" s="211">
        <f ca="1">IF($D$1-YEAR($B$1)&gt;0,"",IF(AND($D$1-YEAR($B$1)=0,H3-MONTH($B$1)&gt;=1),"",VLOOKUP(H4,gibon40!$D$4:$AT$47,$N$1,1)))</f>
        <v>9327800</v>
      </c>
      <c r="I6" s="211">
        <f ca="1">IF($D$1-YEAR($B$1)&gt;0,"",IF(AND($D$1-YEAR($B$1)=0,I3-MONTH($B$1)&gt;=1),"",VLOOKUP(I4,gibon40!$D$4:$AT$47,$N$1,1)))</f>
        <v>9327800</v>
      </c>
      <c r="J6" s="211">
        <f ca="1">IF($D$1-YEAR($B$1)&gt;0,"",IF(AND($D$1-YEAR($B$1)=0,J3-MONTH($B$1)&gt;=1),"",VLOOKUP(J4,gibon40!$D$4:$AT$47,$N$1,1)))</f>
        <v>9327800</v>
      </c>
      <c r="K6" s="211">
        <f ca="1">IF($D$1-YEAR($B$1)&gt;0,"",IF(AND($D$1-YEAR($B$1)=0,K3-MONTH($B$1)&gt;=1),"",VLOOKUP(K4,gibon40!$D$4:$AT$47,$N$1,1)))</f>
        <v>9327800</v>
      </c>
      <c r="L6" s="211">
        <f ca="1">IF($D$1-YEAR($B$1)&gt;0,"",IF(AND($D$1-YEAR($B$1)=0,L3-MONTH($B$1)&gt;=1),"",VLOOKUP(L4,gibon40!$D$4:$AT$47,$N$1,1)))</f>
        <v>9327800</v>
      </c>
      <c r="M6" s="211">
        <f ca="1">IF($D$1-YEAR($B$1)&gt;0,"",IF(AND($D$1-YEAR($B$1)=0,M3-MONTH($B$1)&gt;=1),"",VLOOKUP(M4,gibon40!$D$4:$AT$47,$N$1,1)))</f>
        <v>9327800</v>
      </c>
      <c r="N6" s="211">
        <f t="shared" ref="N6:N52" ca="1" si="2">SUM(B6:M6)</f>
        <v>111443000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4541250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4663900</v>
      </c>
      <c r="I7" s="180"/>
      <c r="J7" s="180"/>
      <c r="K7" s="180"/>
      <c r="L7" s="180"/>
      <c r="M7" s="180"/>
      <c r="N7" s="211">
        <f t="shared" ca="1" si="2"/>
        <v>9205150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10000</v>
      </c>
      <c r="C9" s="179">
        <f t="shared" ref="C9:M9" ca="1" si="4">IF(C4="","",IF(C6="","",IF(AND(C5&gt;=20,C5&lt;25),10000,IF(C5&gt;=25,30000,0))))</f>
        <v>10000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320000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7464330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7464330</v>
      </c>
    </row>
    <row r="11" spans="1:14" ht="9.75" customHeight="1">
      <c r="A11" s="178" t="s">
        <v>63</v>
      </c>
      <c r="B11" s="179">
        <f ca="1">IF(B$6="",0,'2046'!M11)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5449500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5596680</v>
      </c>
      <c r="L12" s="179"/>
      <c r="M12" s="179"/>
      <c r="N12" s="211">
        <f t="shared" ca="1" si="2"/>
        <v>11046180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IF(B$6="",0,'2046'!M15)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IF(B$6="",0,'2046'!M16)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IF(B$6="",0,'2046'!M18)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IF(B$6="",0,'2046'!M19)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87560</v>
      </c>
      <c r="E21" s="179">
        <f ca="1">IF(D4="","",IF(E$6="","",ROUND(VLOOKUP(E4,gibon40!$D$51:$AV$100,$N$1+1)*10*15/15,-1)))</f>
        <v>262670</v>
      </c>
      <c r="F21" s="179">
        <f ca="1">IF(E4="","",IF(F$6="","",ROUND(VLOOKUP(F4,gibon40!$D$51:$AV$100,$N$1+1)*10*15/15,-1)))</f>
        <v>262670</v>
      </c>
      <c r="G21" s="179">
        <f ca="1">IF(F4="","",IF(G$6="","",ROUND(VLOOKUP(G4,gibon40!$D$51:$AV$100,$N$1+1)*10*15/15,-1)))</f>
        <v>262670</v>
      </c>
      <c r="H21" s="179">
        <f ca="1">IF(G4="","",IF(H$6="","",ROUND(VLOOKUP(H4,gibon40!$D$51:$AV$100,$N$1+1)*10*15/15,-1)))</f>
        <v>262670</v>
      </c>
      <c r="I21" s="179">
        <f ca="1">IF(H4="","",IF(I$6="","",ROUND(VLOOKUP(I4,gibon40!$D$51:$AV$100,$N$1+1)*10*15/15,-1)))</f>
        <v>262670</v>
      </c>
      <c r="J21" s="179">
        <f ca="1">IF(I4="","",IF(J$6="","",ROUND(VLOOKUP(J4,gibon40!$D$51:$AV$100,$N$1+1)*7*15/15,-1)))</f>
        <v>183870</v>
      </c>
      <c r="K21" s="179">
        <f ca="1">IF(J4="","",IF(K$6="","",ROUND(VLOOKUP(K4,gibon40!$D$51:$AV$100,$N$1+1)*10*15/15,-1)))</f>
        <v>262670</v>
      </c>
      <c r="L21" s="179">
        <f ca="1">IF(K4="","",IF(L$6="","",ROUND(VLOOKUP(L4,gibon40!$D$51:$AV$100,$N$1+1)*10*15/15,-1)))</f>
        <v>262670</v>
      </c>
      <c r="M21" s="179">
        <f ca="1">IF(L4="","",IF(M$6="","",ROUND(VLOOKUP(M4,gibon40!$D$51:$AV$100,$N$1+1)*10*15/15*2,-1)))</f>
        <v>525350</v>
      </c>
      <c r="N21" s="211">
        <f t="shared" ca="1" si="2"/>
        <v>2635470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IF(B$6="",0,'2046'!M23)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IF(B$6="",0,'2046'!M24)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'2046'!A25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19858250</v>
      </c>
      <c r="C26" s="213">
        <f t="shared" ref="C26:M26" ca="1" si="16">ROUNDDOWN(SUM(C6:C25),-1)</f>
        <v>9867500</v>
      </c>
      <c r="D26" s="213">
        <f t="shared" ca="1" si="16"/>
        <v>17684690</v>
      </c>
      <c r="E26" s="213">
        <f t="shared" ca="1" si="16"/>
        <v>10395470</v>
      </c>
      <c r="F26" s="213">
        <f t="shared" ca="1" si="16"/>
        <v>10395470</v>
      </c>
      <c r="G26" s="213">
        <f t="shared" ca="1" si="16"/>
        <v>10395470</v>
      </c>
      <c r="H26" s="213">
        <f t="shared" ca="1" si="16"/>
        <v>15059370</v>
      </c>
      <c r="I26" s="213">
        <f t="shared" ca="1" si="16"/>
        <v>10395470</v>
      </c>
      <c r="J26" s="213">
        <f t="shared" ca="1" si="16"/>
        <v>10316670</v>
      </c>
      <c r="K26" s="213">
        <f t="shared" ca="1" si="16"/>
        <v>15992150</v>
      </c>
      <c r="L26" s="213">
        <f t="shared" ca="1" si="16"/>
        <v>10395470</v>
      </c>
      <c r="M26" s="213">
        <f t="shared" ca="1" si="16"/>
        <v>10658150</v>
      </c>
      <c r="N26" s="214">
        <f ca="1">SUM(B26:M26)</f>
        <v>151414130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IF(B4="","",IF(B6="","",IF($D$1-YEAR('2025'!$I$1)&gt;0,"",IF(AND($D$1-YEAR('2025'!$I$1)=0,B3-MONTH('2025'!$I$1)&gt;=1),"",'2046'!M29))))</f>
        <v>1056540</v>
      </c>
      <c r="C29" s="179">
        <f ca="1">IF(C4="","",IF(C6="","",IF($D$1-YEAR('2025'!$I$1)&gt;0,"",IF(AND($D$1-YEAR('2025'!$I$1)=0,C3-MONTH('2025'!$I$1)&gt;=1),"",B29))))</f>
        <v>1056540</v>
      </c>
      <c r="D29" s="179">
        <f ca="1">IF(D4="","",IF(D6="","",IF($D$1-YEAR('2025'!$I$1)&gt;0,"",IF(AND($D$1-YEAR('2025'!$I$1)=0,D3-MONTH('2025'!$I$1)&gt;=1),"",C29))))</f>
        <v>1056540</v>
      </c>
      <c r="E29" s="179">
        <f ca="1">IF(E4="","",IF(E6="","",IF($D$1-YEAR('2025'!$I$1)&gt;0,"",IF(AND($D$1-YEAR('2025'!$I$1)=0,E3-MONTH('2025'!$I$1)&gt;=1),"",D29))))</f>
        <v>1056540</v>
      </c>
      <c r="F29" s="179">
        <f ca="1">IF(F4="","",IF(F$6="","",IF($D$1-YEAR('2025'!$I$1)&gt;0,"",IF(AND($D$1-YEAR('2025'!$I$1)=0,F3-MONTH('2025'!$I$1)&gt;=1),"",VLOOKUP(F$4,집계표!$AK$5:$HA$47,$N$1*3+$N$1-1+4)))))</f>
        <v>1108110</v>
      </c>
      <c r="G29" s="179">
        <f ca="1">IF(G6="",0,IF($D$1-YEAR('2025'!$I$1)&gt;0,"",IF(AND($D$1-YEAR('2025'!$I$1)=0,G3-MONTH('2025'!$I$1)&gt;=1),"",F29)))</f>
        <v>1108110</v>
      </c>
      <c r="H29" s="179">
        <f ca="1">IF(H6="",0,IF($D$1-YEAR('2025'!$I$1)&gt;0,"",IF(AND($D$1-YEAR('2025'!$I$1)=0,H3-MONTH('2025'!$I$1)&gt;=1),"",G29)))</f>
        <v>1108110</v>
      </c>
      <c r="I29" s="179">
        <f ca="1">IF(I6="",0,IF($D$1-YEAR('2025'!$I$1)&gt;0,"",IF(AND($D$1-YEAR('2025'!$I$1)=0,I3-MONTH('2025'!$I$1)&gt;=1),"",H29)))</f>
        <v>1108110</v>
      </c>
      <c r="J29" s="179">
        <f ca="1">IF(J6="",0,IF($D$1-YEAR('2025'!$I$1)&gt;0,"",IF(AND($D$1-YEAR('2025'!$I$1)=0,J3-MONTH('2025'!$I$1)&gt;=1),"",I29)))</f>
        <v>1108110</v>
      </c>
      <c r="K29" s="179">
        <f ca="1">IF(K6="",0,IF($D$1-YEAR('2025'!$I$1)&gt;0,"",IF(AND($D$1-YEAR('2025'!$I$1)=0,K3-MONTH('2025'!$I$1)&gt;=1),"",J29)))</f>
        <v>1108110</v>
      </c>
      <c r="L29" s="179">
        <f ca="1">IF(L6="",0,IF($D$1-YEAR('2025'!$I$1)&gt;0,"",IF(AND($D$1-YEAR('2025'!$I$1)=0,L3-MONTH('2025'!$I$1)&gt;=1),"",K29)))</f>
        <v>1108110</v>
      </c>
      <c r="M29" s="179">
        <f ca="1">IF(M6="",0,IF($D$1-YEAR('2025'!$I$1)&gt;0,"",IF(AND($D$1-YEAR('2025'!$I$1)=0,M3-MONTH('2025'!$I$1)&gt;=1),"",L29)))</f>
        <v>1108110</v>
      </c>
      <c r="N29" s="211">
        <f t="shared" ca="1" si="2"/>
        <v>13091040</v>
      </c>
    </row>
    <row r="30" spans="1:20" ht="9.75" customHeight="1">
      <c r="A30" s="182" t="s">
        <v>58</v>
      </c>
      <c r="B30" s="179">
        <f ca="1">IF(B6="","",'2046'!M30)</f>
        <v>455770</v>
      </c>
      <c r="C30" s="179">
        <f ca="1">IF(C6="","",B30)</f>
        <v>455770</v>
      </c>
      <c r="D30" s="179">
        <f ca="1">IF(D6="","",C30)</f>
        <v>455770</v>
      </c>
      <c r="E30" s="857">
        <f ca="1">IF(E6="","",VLOOKUP(E$4,집계표!$AK$5:$HA$47,$N$1*4))</f>
        <v>478020</v>
      </c>
      <c r="F30" s="179">
        <f ca="1">IF(F6="","",E30)</f>
        <v>478020</v>
      </c>
      <c r="G30" s="179">
        <f t="shared" ref="G30:M30" ca="1" si="20">IF(G6="","",F30)</f>
        <v>478020</v>
      </c>
      <c r="H30" s="179">
        <f t="shared" ca="1" si="20"/>
        <v>478020</v>
      </c>
      <c r="I30" s="179">
        <f t="shared" ca="1" si="20"/>
        <v>478020</v>
      </c>
      <c r="J30" s="179">
        <f t="shared" ca="1" si="20"/>
        <v>478020</v>
      </c>
      <c r="K30" s="179">
        <f t="shared" ca="1" si="20"/>
        <v>478020</v>
      </c>
      <c r="L30" s="179">
        <f t="shared" ca="1" si="20"/>
        <v>478020</v>
      </c>
      <c r="M30" s="179">
        <f t="shared" ca="1" si="20"/>
        <v>478020</v>
      </c>
      <c r="N30" s="211">
        <f t="shared" ca="1" si="2"/>
        <v>5669490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46720</v>
      </c>
      <c r="C31" s="179">
        <f t="shared" ca="1" si="21"/>
        <v>46720</v>
      </c>
      <c r="D31" s="179">
        <f t="shared" ca="1" si="21"/>
        <v>46720</v>
      </c>
      <c r="E31" s="179">
        <f t="shared" ca="1" si="21"/>
        <v>49000</v>
      </c>
      <c r="F31" s="179">
        <f t="shared" ca="1" si="21"/>
        <v>49000</v>
      </c>
      <c r="G31" s="179">
        <f t="shared" ca="1" si="21"/>
        <v>49000</v>
      </c>
      <c r="H31" s="179">
        <f t="shared" ca="1" si="21"/>
        <v>49000</v>
      </c>
      <c r="I31" s="179">
        <f t="shared" ca="1" si="21"/>
        <v>49000</v>
      </c>
      <c r="J31" s="179">
        <f ca="1">IF(J$6="","",ROUND(IF(J4="","",J30*10.25%),-1))</f>
        <v>49000</v>
      </c>
      <c r="K31" s="179">
        <f t="shared" ref="K31:M31" ca="1" si="22">IF(K$6="","",ROUND(IF(K4="","",K30*10.25%),-1))</f>
        <v>49000</v>
      </c>
      <c r="L31" s="179">
        <f t="shared" ca="1" si="22"/>
        <v>49000</v>
      </c>
      <c r="M31" s="179">
        <f t="shared" ca="1" si="22"/>
        <v>49000</v>
      </c>
      <c r="N31" s="211">
        <f t="shared" ca="1" si="2"/>
        <v>581160</v>
      </c>
    </row>
    <row r="32" spans="1:20" ht="9.75" customHeight="1">
      <c r="A32" s="597" t="str">
        <f>'2046'!A32</f>
        <v>교직원공제비</v>
      </c>
      <c r="B32" s="621">
        <f ca="1">IF(B$6="","",'2046'!B32)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'2046'!A33</f>
        <v>급식비</v>
      </c>
      <c r="B33" s="621">
        <f ca="1">IF(B$6="","",'2046'!B33)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IF(B$6="",0,'2046'!M34)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IF(B$6="",0,'2046'!M38)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IF(B$6="",0,'2046'!M39)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3201360</v>
      </c>
      <c r="C40" s="216">
        <f t="shared" ca="1" si="28"/>
        <v>3218520</v>
      </c>
      <c r="D40" s="216">
        <f t="shared" ca="1" si="28"/>
        <v>3235700</v>
      </c>
      <c r="E40" s="216">
        <f t="shared" ca="1" si="28"/>
        <v>3792330</v>
      </c>
      <c r="F40" s="216">
        <f t="shared" ca="1" si="28"/>
        <v>3861070</v>
      </c>
      <c r="G40" s="216">
        <f t="shared" ca="1" si="28"/>
        <v>3878230</v>
      </c>
      <c r="H40" s="216">
        <f t="shared" ca="1" si="28"/>
        <v>3895400</v>
      </c>
      <c r="I40" s="216">
        <f t="shared" ca="1" si="28"/>
        <v>3912560</v>
      </c>
      <c r="J40" s="216">
        <f ca="1">IF(J26="","",SUM(J27:J39))</f>
        <v>3929730</v>
      </c>
      <c r="K40" s="216">
        <f t="shared" ref="K40:M40" ca="1" si="29">IF(K26="","",SUM(K27:K39))</f>
        <v>3946890</v>
      </c>
      <c r="L40" s="216">
        <f t="shared" ca="1" si="29"/>
        <v>3964050</v>
      </c>
      <c r="M40" s="216">
        <f t="shared" ca="1" si="29"/>
        <v>3981220</v>
      </c>
      <c r="N40" s="216">
        <f ca="1">SUM(B40:M40)</f>
        <v>44817060</v>
      </c>
    </row>
    <row r="41" spans="1:14" ht="9.75" customHeight="1">
      <c r="A41" s="183" t="s">
        <v>79</v>
      </c>
      <c r="B41" s="184">
        <f ca="1">ROUND((B26-B40),-1)</f>
        <v>16656890</v>
      </c>
      <c r="C41" s="184">
        <f t="shared" ref="C41:M41" ca="1" si="30">ROUND((C26-C40),-1)</f>
        <v>6648980</v>
      </c>
      <c r="D41" s="184">
        <f t="shared" ca="1" si="30"/>
        <v>14448990</v>
      </c>
      <c r="E41" s="184">
        <f t="shared" ca="1" si="30"/>
        <v>6603140</v>
      </c>
      <c r="F41" s="184">
        <f t="shared" ca="1" si="30"/>
        <v>6534400</v>
      </c>
      <c r="G41" s="184">
        <f t="shared" ca="1" si="30"/>
        <v>6517240</v>
      </c>
      <c r="H41" s="184">
        <f t="shared" ca="1" si="30"/>
        <v>11163970</v>
      </c>
      <c r="I41" s="184">
        <f t="shared" ca="1" si="30"/>
        <v>6482910</v>
      </c>
      <c r="J41" s="184">
        <f t="shared" ca="1" si="30"/>
        <v>6386940</v>
      </c>
      <c r="K41" s="184">
        <f t="shared" ca="1" si="30"/>
        <v>12045260</v>
      </c>
      <c r="L41" s="184">
        <f t="shared" ca="1" si="30"/>
        <v>6431420</v>
      </c>
      <c r="M41" s="184">
        <f t="shared" ca="1" si="30"/>
        <v>6676930</v>
      </c>
      <c r="N41" s="184">
        <f ca="1">SUM(B41:M41)</f>
        <v>106597070</v>
      </c>
    </row>
    <row r="42" spans="1:14" ht="9.75" customHeight="1">
      <c r="A42" s="217" t="str">
        <f>'2046'!A42</f>
        <v>12)지출내용입력1</v>
      </c>
      <c r="B42" s="211">
        <f>'2046'!M42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'2046'!A43</f>
        <v>지출내용입력2</v>
      </c>
      <c r="B43" s="211">
        <f>'2046'!M43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'2046'!A44</f>
        <v>지출내용입력3</v>
      </c>
      <c r="B44" s="211">
        <f>'2046'!M44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'2046'!A45</f>
        <v>지출내용입력4</v>
      </c>
      <c r="B45" s="211">
        <f>'2046'!M45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'2046'!A46</f>
        <v>지출내용입력5</v>
      </c>
      <c r="B46" s="211">
        <f>'2046'!M46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'2046'!A47</f>
        <v>지출내용입력6</v>
      </c>
      <c r="B47" s="211">
        <f>'2046'!M47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'2046'!A48</f>
        <v>지출내용입력7</v>
      </c>
      <c r="B48" s="211">
        <f>'2046'!M48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'2046'!A49</f>
        <v>지출내용입력8</v>
      </c>
      <c r="B49" s="211">
        <f>'2046'!M49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'2046'!A50</f>
        <v>지출내용입력9</v>
      </c>
      <c r="B50" s="211">
        <f>'2046'!M50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'2046'!A51</f>
        <v>지출내용입력10</v>
      </c>
      <c r="B51" s="211">
        <f>'2046'!M51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16656790</v>
      </c>
      <c r="C53" s="188">
        <f t="shared" ca="1" si="33"/>
        <v>6648880</v>
      </c>
      <c r="D53" s="188">
        <f t="shared" ca="1" si="33"/>
        <v>14448890</v>
      </c>
      <c r="E53" s="188">
        <f t="shared" ca="1" si="33"/>
        <v>6603040</v>
      </c>
      <c r="F53" s="188">
        <f t="shared" ca="1" si="33"/>
        <v>6534300</v>
      </c>
      <c r="G53" s="188">
        <f t="shared" ca="1" si="33"/>
        <v>6517140</v>
      </c>
      <c r="H53" s="188">
        <f t="shared" ca="1" si="33"/>
        <v>11163870</v>
      </c>
      <c r="I53" s="188">
        <f t="shared" ca="1" si="33"/>
        <v>6482810</v>
      </c>
      <c r="J53" s="188">
        <f t="shared" ca="1" si="33"/>
        <v>6386840</v>
      </c>
      <c r="K53" s="188">
        <f t="shared" ca="1" si="33"/>
        <v>12045160</v>
      </c>
      <c r="L53" s="188">
        <f t="shared" ca="1" si="33"/>
        <v>6431320</v>
      </c>
      <c r="M53" s="188">
        <f t="shared" ca="1" si="33"/>
        <v>6676830</v>
      </c>
      <c r="N53" s="188">
        <f t="shared" ca="1" si="33"/>
        <v>106595870</v>
      </c>
    </row>
    <row r="55" spans="1:14" ht="18">
      <c r="A55" s="1232" t="str">
        <f ca="1">D1</f>
        <v>2047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1607617.0000000002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20488941.000000004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268767.00000000023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-1138748.9999999963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-1138748.9999999963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HdgIsqLA9K/Ksiu3LHMtzd3lOQfKzEphG4aLUgLsVb7mL8VNvxgq5920PaDEJNuREWBOctwVUK5GaQY0bexNPw==" saltValue="RayE6bLp1ACsS6bJqFGVy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59" priority="8">
      <formula>$E$2="y"</formula>
    </cfRule>
    <cfRule type="expression" dxfId="258" priority="9">
      <formula>$D$2="Y"</formula>
    </cfRule>
    <cfRule type="expression" dxfId="257" priority="10">
      <formula>$F$2="y"</formula>
    </cfRule>
  </conditionalFormatting>
  <conditionalFormatting sqref="B27:M27">
    <cfRule type="expression" dxfId="256" priority="1">
      <formula>$F$2="y"</formula>
    </cfRule>
  </conditionalFormatting>
  <conditionalFormatting sqref="D16">
    <cfRule type="expression" dxfId="255" priority="26">
      <formula>$E$2="y"</formula>
    </cfRule>
    <cfRule type="expression" dxfId="254" priority="27">
      <formula>$E$2="y"</formula>
    </cfRule>
    <cfRule type="expression" dxfId="253" priority="28">
      <formula>$F$2="y"</formula>
    </cfRule>
  </conditionalFormatting>
  <conditionalFormatting sqref="D18">
    <cfRule type="expression" dxfId="252" priority="23">
      <formula>$E$2="y"</formula>
    </cfRule>
    <cfRule type="expression" dxfId="251" priority="24">
      <formula>$E$2="y"</formula>
    </cfRule>
    <cfRule type="expression" dxfId="250" priority="25">
      <formula>$F$2="y"</formula>
    </cfRule>
  </conditionalFormatting>
  <conditionalFormatting sqref="J12:K12">
    <cfRule type="expression" dxfId="249" priority="5">
      <formula>$E$2="y"</formula>
    </cfRule>
    <cfRule type="expression" dxfId="248" priority="6">
      <formula>$D$2="Y"</formula>
    </cfRule>
    <cfRule type="expression" dxfId="247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1315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16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17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19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6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8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2048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집계표!Z119</f>
        <v>2</v>
      </c>
      <c r="M1" s="627">
        <f>집계표!Z122</f>
        <v>1</v>
      </c>
      <c r="N1" s="618">
        <v>24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집계표!BI53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IF('2047'!M4&gt;=50,50,IF(AND('2047'!M4=50,M$3=$N$5),"",IF(B3=$N$5,'2047'!M4+1,'2047'!M4)))</f>
        <v>35</v>
      </c>
      <c r="C4" s="176">
        <f>IF(B4&gt;=50,50,IF(AND(B4=50,C$3=$N$5),50,IF(C$3=$N$5,B4+1,B4)))</f>
        <v>35</v>
      </c>
      <c r="D4" s="176">
        <f t="shared" ref="D4:M4" si="0">IF(C4&gt;=50,50,IF(AND(C4=50,D$3=$N$5),50,IF(D$3=$N$5,C4+1,C4)))</f>
        <v>36</v>
      </c>
      <c r="E4" s="176">
        <f t="shared" si="0"/>
        <v>36</v>
      </c>
      <c r="F4" s="176">
        <f t="shared" si="0"/>
        <v>36</v>
      </c>
      <c r="G4" s="176">
        <f t="shared" si="0"/>
        <v>36</v>
      </c>
      <c r="H4" s="176">
        <f t="shared" si="0"/>
        <v>36</v>
      </c>
      <c r="I4" s="176">
        <f t="shared" si="0"/>
        <v>36</v>
      </c>
      <c r="J4" s="176">
        <f t="shared" si="0"/>
        <v>36</v>
      </c>
      <c r="K4" s="176">
        <f t="shared" si="0"/>
        <v>36</v>
      </c>
      <c r="L4" s="176">
        <f t="shared" si="0"/>
        <v>36</v>
      </c>
      <c r="M4" s="176">
        <f t="shared" si="0"/>
        <v>36</v>
      </c>
      <c r="N4" s="202" t="s">
        <v>124</v>
      </c>
    </row>
    <row r="5" spans="1:14" ht="9.75" customHeight="1">
      <c r="A5" s="208" t="s">
        <v>134</v>
      </c>
      <c r="B5" s="356">
        <f>IF(B$3=$N$5,'2047'!M5+1,'2047'!M5)</f>
        <v>25</v>
      </c>
      <c r="C5" s="209">
        <f>IF(C$3=$N$5,B5+1,B5)</f>
        <v>25</v>
      </c>
      <c r="D5" s="209">
        <f t="shared" ref="D5:M5" si="1">IF(D$3=$N$5,C5+1,C5)</f>
        <v>26</v>
      </c>
      <c r="E5" s="209">
        <f t="shared" si="1"/>
        <v>26</v>
      </c>
      <c r="F5" s="209">
        <f t="shared" si="1"/>
        <v>26</v>
      </c>
      <c r="G5" s="209">
        <f t="shared" si="1"/>
        <v>26</v>
      </c>
      <c r="H5" s="209">
        <f t="shared" si="1"/>
        <v>26</v>
      </c>
      <c r="I5" s="209">
        <f t="shared" si="1"/>
        <v>26</v>
      </c>
      <c r="J5" s="209">
        <f t="shared" si="1"/>
        <v>26</v>
      </c>
      <c r="K5" s="209">
        <f t="shared" si="1"/>
        <v>26</v>
      </c>
      <c r="L5" s="209">
        <f t="shared" si="1"/>
        <v>26</v>
      </c>
      <c r="M5" s="209">
        <f t="shared" si="1"/>
        <v>26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9561000</v>
      </c>
      <c r="C6" s="211">
        <f ca="1">IF($D$1-YEAR($B$1)&gt;0,"",IF(AND($D$1-YEAR($B$1)=0,C3-MONTH($B$1)&gt;=1),"",VLOOKUP(C4,gibon40!$D$4:$AT$47,$N$1,1)))</f>
        <v>9561000</v>
      </c>
      <c r="D6" s="211">
        <f ca="1">IF($D$1-YEAR($B$1)&gt;0,"",IF(AND($D$1-YEAR($B$1)=0,D3-MONTH($B$1)&gt;=1),"",VLOOKUP(D4,gibon40!$D$4:$AT$47,$N$1,1)))</f>
        <v>9811300</v>
      </c>
      <c r="E6" s="211">
        <f ca="1">IF($D$1-YEAR($B$1)&gt;0,"",IF(AND($D$1-YEAR($B$1)=0,E3-MONTH($B$1)&gt;=1),"",VLOOKUP(E4,gibon40!$D$4:$AT$47,$N$1,1)))</f>
        <v>9811300</v>
      </c>
      <c r="F6" s="211">
        <f ca="1">IF($D$1-YEAR($B$1)&gt;0,"",IF(AND($D$1-YEAR($B$1)=0,F3-MONTH($B$1)&gt;=1),"",VLOOKUP(F4,gibon40!$D$4:$AT$47,$N$1,1)))</f>
        <v>9811300</v>
      </c>
      <c r="G6" s="211">
        <f ca="1">IF($D$1-YEAR($B$1)&gt;0,"",IF(AND($D$1-YEAR($B$1)=0,G3-MONTH($B$1)&gt;=1),"",VLOOKUP(G4,gibon40!$D$4:$AT$47,$N$1,1)))</f>
        <v>9811300</v>
      </c>
      <c r="H6" s="211">
        <f ca="1">IF($D$1-YEAR($B$1)&gt;0,"",IF(AND($D$1-YEAR($B$1)=0,H3-MONTH($B$1)&gt;=1),"",VLOOKUP(H4,gibon40!$D$4:$AT$47,$N$1,1)))</f>
        <v>9811300</v>
      </c>
      <c r="I6" s="211">
        <f ca="1">IF($D$1-YEAR($B$1)&gt;0,"",IF(AND($D$1-YEAR($B$1)=0,I3-MONTH($B$1)&gt;=1),"",VLOOKUP(I4,gibon40!$D$4:$AT$47,$N$1,1)))</f>
        <v>9811300</v>
      </c>
      <c r="J6" s="211">
        <f ca="1">IF($D$1-YEAR($B$1)&gt;0,"",IF(AND($D$1-YEAR($B$1)=0,J3-MONTH($B$1)&gt;=1),"",VLOOKUP(J4,gibon40!$D$4:$AT$47,$N$1,1)))</f>
        <v>9811300</v>
      </c>
      <c r="K6" s="211">
        <f ca="1">IF($D$1-YEAR($B$1)&gt;0,"",IF(AND($D$1-YEAR($B$1)=0,K3-MONTH($B$1)&gt;=1),"",VLOOKUP(K4,gibon40!$D$4:$AT$47,$N$1,1)))</f>
        <v>9811300</v>
      </c>
      <c r="L6" s="211">
        <f ca="1">IF($D$1-YEAR($B$1)&gt;0,"",IF(AND($D$1-YEAR($B$1)=0,L3-MONTH($B$1)&gt;=1),"",VLOOKUP(L4,gibon40!$D$4:$AT$47,$N$1,1)))</f>
        <v>9811300</v>
      </c>
      <c r="M6" s="211">
        <f ca="1">IF($D$1-YEAR($B$1)&gt;0,"",IF(AND($D$1-YEAR($B$1)=0,M3-MONTH($B$1)&gt;=1),"",VLOOKUP(M4,gibon40!$D$4:$AT$47,$N$1,1)))</f>
        <v>9811300</v>
      </c>
      <c r="N6" s="211">
        <f t="shared" ref="N6:N52" ca="1" si="2">SUM(B6:M6)</f>
        <v>117235000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4780500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4905650</v>
      </c>
      <c r="I7" s="180"/>
      <c r="J7" s="180"/>
      <c r="K7" s="180"/>
      <c r="L7" s="180"/>
      <c r="M7" s="180"/>
      <c r="N7" s="211">
        <f t="shared" ca="1" si="2"/>
        <v>9686150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7650950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7650950</v>
      </c>
    </row>
    <row r="11" spans="1:14" ht="9.75" customHeight="1">
      <c r="A11" s="178" t="s">
        <v>63</v>
      </c>
      <c r="B11" s="179">
        <f ca="1">IF(B$6="",0,'2047'!M11)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5736600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5886780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11623380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IF(B$6="",0,'2047'!M15)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IF(B$6="",0,'2047'!M16)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IF(B$6="",0,'2047'!M18)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IF(B$6="",0,'2047'!M19)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89750</v>
      </c>
      <c r="E21" s="179">
        <f ca="1">IF(D4="","",IF(E$6="","",ROUND(VLOOKUP(E4,gibon40!$D$51:$AV$100,$N$1+1)*10*15/15,-1)))</f>
        <v>269240</v>
      </c>
      <c r="F21" s="179">
        <f ca="1">IF(E4="","",IF(F$6="","",ROUND(VLOOKUP(F4,gibon40!$D$51:$AV$100,$N$1+1)*10*15/15,-1)))</f>
        <v>269240</v>
      </c>
      <c r="G21" s="179">
        <f ca="1">IF(F4="","",IF(G$6="","",ROUND(VLOOKUP(G4,gibon40!$D$51:$AV$100,$N$1+1)*10*15/15,-1)))</f>
        <v>269240</v>
      </c>
      <c r="H21" s="179">
        <f ca="1">IF(G4="","",IF(H$6="","",ROUND(VLOOKUP(H4,gibon40!$D$51:$AV$100,$N$1+1)*10*15/15,-1)))</f>
        <v>269240</v>
      </c>
      <c r="I21" s="179">
        <f ca="1">IF(H4="","",IF(I$6="","",ROUND(VLOOKUP(I4,gibon40!$D$51:$AV$100,$N$1+1)*10*15/15,-1)))</f>
        <v>269240</v>
      </c>
      <c r="J21" s="179">
        <f ca="1">IF(I4="","",IF(J$6="","",ROUND(VLOOKUP(J4,gibon40!$D$51:$AV$100,$N$1+1)*7*15/15,-1)))</f>
        <v>188470</v>
      </c>
      <c r="K21" s="179">
        <f ca="1">IF(J4="","",IF(K$6="","",ROUND(VLOOKUP(K4,gibon40!$D$51:$AV$100,$N$1+1)*10*15/15,-1)))</f>
        <v>269240</v>
      </c>
      <c r="L21" s="179">
        <f ca="1">IF(K4="","",IF(L$6="","",ROUND(VLOOKUP(L4,gibon40!$D$51:$AV$100,$N$1+1)*10*15/15,-1)))</f>
        <v>269240</v>
      </c>
      <c r="M21" s="179">
        <f ca="1">IF(L4="","",IF(M$6="","",ROUND(VLOOKUP(M4,gibon40!$D$51:$AV$100,$N$1+1)*10*15/15*2,-1)))</f>
        <v>538480</v>
      </c>
      <c r="N21" s="211">
        <f t="shared" ca="1" si="2"/>
        <v>2701380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IF(B$6="",0,'2047'!M23)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IF(B$6="",0,'2047'!M24)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'2047'!A25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15146500</v>
      </c>
      <c r="C26" s="213">
        <f t="shared" ref="C26:M26" ca="1" si="16">ROUNDDOWN(SUM(C6:C25),-1)</f>
        <v>16102600</v>
      </c>
      <c r="D26" s="213">
        <f t="shared" ca="1" si="16"/>
        <v>18357000</v>
      </c>
      <c r="E26" s="213">
        <f t="shared" ca="1" si="16"/>
        <v>10885540</v>
      </c>
      <c r="F26" s="213">
        <f t="shared" ca="1" si="16"/>
        <v>10885540</v>
      </c>
      <c r="G26" s="213">
        <f t="shared" ca="1" si="16"/>
        <v>10885540</v>
      </c>
      <c r="H26" s="213">
        <f t="shared" ca="1" si="16"/>
        <v>15791190</v>
      </c>
      <c r="I26" s="213">
        <f t="shared" ca="1" si="16"/>
        <v>10885540</v>
      </c>
      <c r="J26" s="213">
        <f t="shared" ca="1" si="16"/>
        <v>16691550</v>
      </c>
      <c r="K26" s="213">
        <f t="shared" ca="1" si="16"/>
        <v>10885540</v>
      </c>
      <c r="L26" s="213">
        <f t="shared" ca="1" si="16"/>
        <v>10885540</v>
      </c>
      <c r="M26" s="213">
        <f t="shared" ca="1" si="16"/>
        <v>11154780</v>
      </c>
      <c r="N26" s="214">
        <f ca="1">SUM(B26:M26)</f>
        <v>158556860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IF(B4="","",IF(B6="","",IF($D$1-YEAR('2025'!$I$1)&gt;0,"",IF(AND($D$1-YEAR('2025'!$I$1)=0,B3-MONTH('2025'!$I$1)&gt;=1),"",'2047'!M29))))</f>
        <v>1108110</v>
      </c>
      <c r="C29" s="179">
        <f ca="1">IF(C4="","",IF(C6="","",IF($D$1-YEAR('2025'!$I$1)&gt;0,"",IF(AND($D$1-YEAR('2025'!$I$1)=0,C3-MONTH('2025'!$I$1)&gt;=1),"",B29))))</f>
        <v>1108110</v>
      </c>
      <c r="D29" s="179">
        <f ca="1">IF(D4="","",IF(D6="","",IF($D$1-YEAR('2025'!$I$1)&gt;0,"",IF(AND($D$1-YEAR('2025'!$I$1)=0,D3-MONTH('2025'!$I$1)&gt;=1),"",C29))))</f>
        <v>1108110</v>
      </c>
      <c r="E29" s="179">
        <f ca="1">IF(E4="","",IF(E6="","",IF($D$1-YEAR('2025'!$I$1)&gt;0,"",IF(AND($D$1-YEAR('2025'!$I$1)=0,E3-MONTH('2025'!$I$1)&gt;=1),"",D29))))</f>
        <v>1108110</v>
      </c>
      <c r="F29" s="179">
        <f ca="1">IF(F4="","",IF(F$6="","",IF($D$1-YEAR('2025'!$I$1)&gt;0,"",IF(AND($D$1-YEAR('2025'!$I$1)=0,F3-MONTH('2025'!$I$1)&gt;=1),"",VLOOKUP(F$4,집계표!$AK$5:$HA$47,$N$1*3+$N$1-1+4)))))</f>
        <v>1161120</v>
      </c>
      <c r="G29" s="179">
        <f ca="1">IF(G6="",0,IF($D$1-YEAR('2025'!$I$1)&gt;0,"",IF(AND($D$1-YEAR('2025'!$I$1)=0,G3-MONTH('2025'!$I$1)&gt;=1),"",F29)))</f>
        <v>1161120</v>
      </c>
      <c r="H29" s="179">
        <f ca="1">IF(H6="",0,IF($D$1-YEAR('2025'!$I$1)&gt;0,"",IF(AND($D$1-YEAR('2025'!$I$1)=0,H3-MONTH('2025'!$I$1)&gt;=1),"",G29)))</f>
        <v>1161120</v>
      </c>
      <c r="I29" s="179">
        <f ca="1">IF(I6="",0,IF($D$1-YEAR('2025'!$I$1)&gt;0,"",IF(AND($D$1-YEAR('2025'!$I$1)=0,I3-MONTH('2025'!$I$1)&gt;=1),"",H29)))</f>
        <v>1161120</v>
      </c>
      <c r="J29" s="179">
        <f ca="1">IF(J6="",0,IF($D$1-YEAR('2025'!$I$1)&gt;0,"",IF(AND($D$1-YEAR('2025'!$I$1)=0,J3-MONTH('2025'!$I$1)&gt;=1),"",I29)))</f>
        <v>1161120</v>
      </c>
      <c r="K29" s="179">
        <f ca="1">IF(K6="",0,IF($D$1-YEAR('2025'!$I$1)&gt;0,"",IF(AND($D$1-YEAR('2025'!$I$1)=0,K3-MONTH('2025'!$I$1)&gt;=1),"",J29)))</f>
        <v>1161120</v>
      </c>
      <c r="L29" s="179">
        <f ca="1">IF(L6="",0,IF($D$1-YEAR('2025'!$I$1)&gt;0,"",IF(AND($D$1-YEAR('2025'!$I$1)=0,L3-MONTH('2025'!$I$1)&gt;=1),"",K29)))</f>
        <v>1161120</v>
      </c>
      <c r="M29" s="179">
        <f ca="1">IF(M6="",0,IF($D$1-YEAR('2025'!$I$1)&gt;0,"",IF(AND($D$1-YEAR('2025'!$I$1)=0,M3-MONTH('2025'!$I$1)&gt;=1),"",L29)))</f>
        <v>1161120</v>
      </c>
      <c r="N29" s="211">
        <f t="shared" ca="1" si="2"/>
        <v>13721400</v>
      </c>
    </row>
    <row r="30" spans="1:20" ht="9.75" customHeight="1">
      <c r="A30" s="182" t="s">
        <v>58</v>
      </c>
      <c r="B30" s="179">
        <f ca="1">IF(B6="","",'2047'!M30)</f>
        <v>478020</v>
      </c>
      <c r="C30" s="179">
        <f ca="1">IF(C6="","",B30)</f>
        <v>478020</v>
      </c>
      <c r="D30" s="179">
        <f ca="1">IF(D6="","",C30)</f>
        <v>478020</v>
      </c>
      <c r="E30" s="857">
        <f ca="1">IF(E6="","",VLOOKUP(E$4,집계표!$AK$5:$HA$47,$N$1*4))</f>
        <v>500890</v>
      </c>
      <c r="F30" s="179">
        <f ca="1">IF(F6="","",E30)</f>
        <v>500890</v>
      </c>
      <c r="G30" s="179">
        <f t="shared" ref="G30:M30" ca="1" si="20">IF(G6="","",F30)</f>
        <v>500890</v>
      </c>
      <c r="H30" s="179">
        <f t="shared" ca="1" si="20"/>
        <v>500890</v>
      </c>
      <c r="I30" s="179">
        <f t="shared" ca="1" si="20"/>
        <v>500890</v>
      </c>
      <c r="J30" s="179">
        <f t="shared" ca="1" si="20"/>
        <v>500890</v>
      </c>
      <c r="K30" s="179">
        <f t="shared" ca="1" si="20"/>
        <v>500890</v>
      </c>
      <c r="L30" s="179">
        <f t="shared" ca="1" si="20"/>
        <v>500890</v>
      </c>
      <c r="M30" s="179">
        <f t="shared" ca="1" si="20"/>
        <v>500890</v>
      </c>
      <c r="N30" s="211">
        <f t="shared" ca="1" si="2"/>
        <v>5942070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49000</v>
      </c>
      <c r="C31" s="179">
        <f t="shared" ca="1" si="21"/>
        <v>49000</v>
      </c>
      <c r="D31" s="179">
        <f t="shared" ca="1" si="21"/>
        <v>49000</v>
      </c>
      <c r="E31" s="179">
        <f t="shared" ca="1" si="21"/>
        <v>51340</v>
      </c>
      <c r="F31" s="179">
        <f t="shared" ca="1" si="21"/>
        <v>51340</v>
      </c>
      <c r="G31" s="179">
        <f t="shared" ca="1" si="21"/>
        <v>51340</v>
      </c>
      <c r="H31" s="179">
        <f t="shared" ca="1" si="21"/>
        <v>51340</v>
      </c>
      <c r="I31" s="179">
        <f t="shared" ca="1" si="21"/>
        <v>51340</v>
      </c>
      <c r="J31" s="179">
        <f ca="1">IF(J$6="","",ROUND(IF(J4="","",J30*10.25%),-1))</f>
        <v>51340</v>
      </c>
      <c r="K31" s="179">
        <f t="shared" ref="K31:M31" ca="1" si="22">IF(K$6="","",ROUND(IF(K4="","",K30*10.25%),-1))</f>
        <v>51340</v>
      </c>
      <c r="L31" s="179">
        <f t="shared" ca="1" si="22"/>
        <v>51340</v>
      </c>
      <c r="M31" s="179">
        <f t="shared" ca="1" si="22"/>
        <v>51340</v>
      </c>
      <c r="N31" s="211">
        <f t="shared" ca="1" si="2"/>
        <v>609060</v>
      </c>
    </row>
    <row r="32" spans="1:20" ht="9.75" customHeight="1">
      <c r="A32" s="597" t="str">
        <f>'2047'!A32</f>
        <v>교직원공제비</v>
      </c>
      <c r="B32" s="621">
        <f ca="1">IF(B$6="","",'2047'!B32)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'2047'!A33</f>
        <v>급식비</v>
      </c>
      <c r="B33" s="621">
        <f ca="1">IF(B$6="","",'2047'!B33)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IF(B$6="",0,'2047'!M34)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IF(B$6="",0,'2047'!M38)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IF(B$6="",0,'2047'!M39)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3277460</v>
      </c>
      <c r="C40" s="216">
        <f t="shared" ca="1" si="28"/>
        <v>3294620</v>
      </c>
      <c r="D40" s="216">
        <f t="shared" ca="1" si="28"/>
        <v>3311800</v>
      </c>
      <c r="E40" s="216">
        <f t="shared" ca="1" si="28"/>
        <v>3869110</v>
      </c>
      <c r="F40" s="216">
        <f t="shared" ca="1" si="28"/>
        <v>3939290</v>
      </c>
      <c r="G40" s="216">
        <f t="shared" ca="1" si="28"/>
        <v>3956450</v>
      </c>
      <c r="H40" s="216">
        <f t="shared" ca="1" si="28"/>
        <v>3973620</v>
      </c>
      <c r="I40" s="216">
        <f t="shared" ca="1" si="28"/>
        <v>3990780</v>
      </c>
      <c r="J40" s="216">
        <f ca="1">IF(J26="","",SUM(J27:J39))</f>
        <v>4007950</v>
      </c>
      <c r="K40" s="216">
        <f t="shared" ref="K40:M40" ca="1" si="29">IF(K26="","",SUM(K27:K39))</f>
        <v>4025110</v>
      </c>
      <c r="L40" s="216">
        <f t="shared" ca="1" si="29"/>
        <v>4042270</v>
      </c>
      <c r="M40" s="216">
        <f t="shared" ca="1" si="29"/>
        <v>4059440</v>
      </c>
      <c r="N40" s="216">
        <f ca="1">SUM(B40:M40)</f>
        <v>45747900</v>
      </c>
    </row>
    <row r="41" spans="1:14" ht="9.75" customHeight="1">
      <c r="A41" s="183" t="s">
        <v>79</v>
      </c>
      <c r="B41" s="184">
        <f ca="1">ROUND((B26-B40),-1)</f>
        <v>11869040</v>
      </c>
      <c r="C41" s="184">
        <f t="shared" ref="C41:M41" ca="1" si="30">ROUND((C26-C40),-1)</f>
        <v>12807980</v>
      </c>
      <c r="D41" s="184">
        <f t="shared" ca="1" si="30"/>
        <v>15045200</v>
      </c>
      <c r="E41" s="184">
        <f t="shared" ca="1" si="30"/>
        <v>7016430</v>
      </c>
      <c r="F41" s="184">
        <f t="shared" ca="1" si="30"/>
        <v>6946250</v>
      </c>
      <c r="G41" s="184">
        <f t="shared" ca="1" si="30"/>
        <v>6929090</v>
      </c>
      <c r="H41" s="184">
        <f t="shared" ca="1" si="30"/>
        <v>11817570</v>
      </c>
      <c r="I41" s="184">
        <f t="shared" ca="1" si="30"/>
        <v>6894760</v>
      </c>
      <c r="J41" s="184">
        <f t="shared" ca="1" si="30"/>
        <v>12683600</v>
      </c>
      <c r="K41" s="184">
        <f t="shared" ca="1" si="30"/>
        <v>6860430</v>
      </c>
      <c r="L41" s="184">
        <f t="shared" ca="1" si="30"/>
        <v>6843270</v>
      </c>
      <c r="M41" s="184">
        <f t="shared" ca="1" si="30"/>
        <v>7095340</v>
      </c>
      <c r="N41" s="184">
        <f ca="1">SUM(B41:M41)</f>
        <v>112808960</v>
      </c>
    </row>
    <row r="42" spans="1:14" ht="9.75" customHeight="1">
      <c r="A42" s="217" t="str">
        <f>'2047'!A42</f>
        <v>12)지출내용입력1</v>
      </c>
      <c r="B42" s="211">
        <f>'2047'!M42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'2047'!A43</f>
        <v>지출내용입력2</v>
      </c>
      <c r="B43" s="211">
        <f>'2047'!M43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'2047'!A44</f>
        <v>지출내용입력3</v>
      </c>
      <c r="B44" s="211">
        <f>'2047'!M44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'2047'!A45</f>
        <v>지출내용입력4</v>
      </c>
      <c r="B45" s="211">
        <f>'2047'!M45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'2047'!A46</f>
        <v>지출내용입력5</v>
      </c>
      <c r="B46" s="211">
        <f>'2047'!M46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'2047'!A47</f>
        <v>지출내용입력6</v>
      </c>
      <c r="B47" s="211">
        <f>'2047'!M47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'2047'!A48</f>
        <v>지출내용입력7</v>
      </c>
      <c r="B48" s="211">
        <f>'2047'!M48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'2047'!A49</f>
        <v>지출내용입력8</v>
      </c>
      <c r="B49" s="211">
        <f>'2047'!M49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'2047'!A50</f>
        <v>지출내용입력9</v>
      </c>
      <c r="B50" s="211">
        <f>'2047'!M50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'2047'!A51</f>
        <v>지출내용입력10</v>
      </c>
      <c r="B51" s="211">
        <f>'2047'!M51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11868940</v>
      </c>
      <c r="C53" s="188">
        <f t="shared" ca="1" si="33"/>
        <v>12807880</v>
      </c>
      <c r="D53" s="188">
        <f t="shared" ca="1" si="33"/>
        <v>15045100</v>
      </c>
      <c r="E53" s="188">
        <f t="shared" ca="1" si="33"/>
        <v>7016330</v>
      </c>
      <c r="F53" s="188">
        <f t="shared" ca="1" si="33"/>
        <v>6946150</v>
      </c>
      <c r="G53" s="188">
        <f t="shared" ca="1" si="33"/>
        <v>6928990</v>
      </c>
      <c r="H53" s="188">
        <f t="shared" ca="1" si="33"/>
        <v>11817470</v>
      </c>
      <c r="I53" s="188">
        <f t="shared" ca="1" si="33"/>
        <v>6894660</v>
      </c>
      <c r="J53" s="188">
        <f t="shared" ca="1" si="33"/>
        <v>12683500</v>
      </c>
      <c r="K53" s="188">
        <f t="shared" ca="1" si="33"/>
        <v>6860330</v>
      </c>
      <c r="L53" s="188">
        <f t="shared" ca="1" si="33"/>
        <v>6843170</v>
      </c>
      <c r="M53" s="188">
        <f t="shared" ca="1" si="33"/>
        <v>7095240</v>
      </c>
      <c r="N53" s="188">
        <f t="shared" ca="1" si="33"/>
        <v>112807760</v>
      </c>
    </row>
    <row r="55" spans="1:14" ht="18">
      <c r="A55" s="1232" t="str">
        <f ca="1">D1</f>
        <v>2048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lBOddn765dCwIdXwwAje6izfSKZ8UsEd8bUO2fs59oNefpFLi0DvNz6nWUapsnG6Du9PiaZLt/Jk6lpReHJFFg==" saltValue="dcOFPI26+2PuZAXYKqPX7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46" priority="8">
      <formula>$E$2="y"</formula>
    </cfRule>
    <cfRule type="expression" dxfId="245" priority="9">
      <formula>$D$2="Y"</formula>
    </cfRule>
    <cfRule type="expression" dxfId="244" priority="10">
      <formula>$F$2="y"</formula>
    </cfRule>
  </conditionalFormatting>
  <conditionalFormatting sqref="B27:M27">
    <cfRule type="expression" dxfId="243" priority="1">
      <formula>$F$2="y"</formula>
    </cfRule>
  </conditionalFormatting>
  <conditionalFormatting sqref="D16">
    <cfRule type="expression" dxfId="242" priority="26">
      <formula>$E$2="y"</formula>
    </cfRule>
    <cfRule type="expression" dxfId="241" priority="27">
      <formula>$E$2="y"</formula>
    </cfRule>
    <cfRule type="expression" dxfId="240" priority="28">
      <formula>$F$2="y"</formula>
    </cfRule>
  </conditionalFormatting>
  <conditionalFormatting sqref="D18">
    <cfRule type="expression" dxfId="239" priority="23">
      <formula>$E$2="y"</formula>
    </cfRule>
    <cfRule type="expression" dxfId="238" priority="24">
      <formula>$E$2="y"</formula>
    </cfRule>
    <cfRule type="expression" dxfId="237" priority="25">
      <formula>$F$2="y"</formula>
    </cfRule>
  </conditionalFormatting>
  <conditionalFormatting sqref="J12:K12">
    <cfRule type="expression" dxfId="236" priority="5">
      <formula>$E$2="y"</formula>
    </cfRule>
    <cfRule type="expression" dxfId="235" priority="6">
      <formula>$D$2="Y"</formula>
    </cfRule>
    <cfRule type="expression" dxfId="234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2337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38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39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41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7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9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2049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집계표!AA119</f>
        <v>2</v>
      </c>
      <c r="M1" s="627">
        <f>집계표!AA122</f>
        <v>1</v>
      </c>
      <c r="N1" s="618">
        <v>25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집계표!BJ53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IF('2048'!M4&gt;=50,50,IF(AND('2048'!M4=50,M$3=$N$5),"",IF(B3=$N$5,'2048'!M4+1,'2048'!M4)))</f>
        <v>36</v>
      </c>
      <c r="C4" s="176">
        <f>IF(B4&gt;=50,50,IF(AND(B4=50,C$3=$N$5),50,IF(C$3=$N$5,B4+1,B4)))</f>
        <v>36</v>
      </c>
      <c r="D4" s="176">
        <f t="shared" ref="D4:M4" si="0">IF(C4&gt;=50,50,IF(AND(C4=50,D$3=$N$5),50,IF(D$3=$N$5,C4+1,C4)))</f>
        <v>37</v>
      </c>
      <c r="E4" s="176">
        <f t="shared" si="0"/>
        <v>37</v>
      </c>
      <c r="F4" s="176">
        <f t="shared" si="0"/>
        <v>37</v>
      </c>
      <c r="G4" s="176">
        <f t="shared" si="0"/>
        <v>37</v>
      </c>
      <c r="H4" s="176">
        <f t="shared" si="0"/>
        <v>37</v>
      </c>
      <c r="I4" s="176">
        <f t="shared" si="0"/>
        <v>37</v>
      </c>
      <c r="J4" s="176">
        <f t="shared" si="0"/>
        <v>37</v>
      </c>
      <c r="K4" s="176">
        <f t="shared" si="0"/>
        <v>37</v>
      </c>
      <c r="L4" s="176">
        <f t="shared" si="0"/>
        <v>37</v>
      </c>
      <c r="M4" s="176">
        <f t="shared" si="0"/>
        <v>37</v>
      </c>
      <c r="N4" s="202" t="s">
        <v>124</v>
      </c>
    </row>
    <row r="5" spans="1:14" ht="9.75" customHeight="1">
      <c r="A5" s="208" t="s">
        <v>134</v>
      </c>
      <c r="B5" s="356">
        <f>IF(B$3=$N$5,'2048'!M5+1,'2048'!M5)</f>
        <v>26</v>
      </c>
      <c r="C5" s="209">
        <f>IF(C$3=$N$5,B5+1,B5)</f>
        <v>26</v>
      </c>
      <c r="D5" s="209">
        <f t="shared" ref="D5:M5" si="1">IF(D$3=$N$5,C5+1,C5)</f>
        <v>27</v>
      </c>
      <c r="E5" s="209">
        <f t="shared" si="1"/>
        <v>27</v>
      </c>
      <c r="F5" s="209">
        <f t="shared" si="1"/>
        <v>27</v>
      </c>
      <c r="G5" s="209">
        <f t="shared" si="1"/>
        <v>27</v>
      </c>
      <c r="H5" s="209">
        <f t="shared" si="1"/>
        <v>27</v>
      </c>
      <c r="I5" s="209">
        <f t="shared" si="1"/>
        <v>27</v>
      </c>
      <c r="J5" s="209">
        <f t="shared" si="1"/>
        <v>27</v>
      </c>
      <c r="K5" s="209">
        <f t="shared" si="1"/>
        <v>27</v>
      </c>
      <c r="L5" s="209">
        <f t="shared" si="1"/>
        <v>27</v>
      </c>
      <c r="M5" s="209">
        <f t="shared" si="1"/>
        <v>27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10056600</v>
      </c>
      <c r="C6" s="211">
        <f ca="1">IF($D$1-YEAR($B$1)&gt;0,"",IF(AND($D$1-YEAR($B$1)=0,C3-MONTH($B$1)&gt;=1),"",VLOOKUP(C4,gibon40!$D$4:$AT$47,$N$1,1)))</f>
        <v>10056600</v>
      </c>
      <c r="D6" s="211">
        <f ca="1">IF($D$1-YEAR($B$1)&gt;0,"",IF(AND($D$1-YEAR($B$1)=0,D3-MONTH($B$1)&gt;=1),"",VLOOKUP(D4,gibon40!$D$4:$AT$47,$N$1,1)))</f>
        <v>10280100</v>
      </c>
      <c r="E6" s="211">
        <f ca="1">IF($D$1-YEAR($B$1)&gt;0,"",IF(AND($D$1-YEAR($B$1)=0,E3-MONTH($B$1)&gt;=1),"",VLOOKUP(E4,gibon40!$D$4:$AT$47,$N$1,1)))</f>
        <v>10280100</v>
      </c>
      <c r="F6" s="211">
        <f ca="1">IF($D$1-YEAR($B$1)&gt;0,"",IF(AND($D$1-YEAR($B$1)=0,F3-MONTH($B$1)&gt;=1),"",VLOOKUP(F4,gibon40!$D$4:$AT$47,$N$1,1)))</f>
        <v>10280100</v>
      </c>
      <c r="G6" s="211">
        <f ca="1">IF($D$1-YEAR($B$1)&gt;0,"",IF(AND($D$1-YEAR($B$1)=0,G3-MONTH($B$1)&gt;=1),"",VLOOKUP(G4,gibon40!$D$4:$AT$47,$N$1,1)))</f>
        <v>10280100</v>
      </c>
      <c r="H6" s="211">
        <f ca="1">IF($D$1-YEAR($B$1)&gt;0,"",IF(AND($D$1-YEAR($B$1)=0,H3-MONTH($B$1)&gt;=1),"",VLOOKUP(H4,gibon40!$D$4:$AT$47,$N$1,1)))</f>
        <v>10280100</v>
      </c>
      <c r="I6" s="211">
        <f ca="1">IF($D$1-YEAR($B$1)&gt;0,"",IF(AND($D$1-YEAR($B$1)=0,I3-MONTH($B$1)&gt;=1),"",VLOOKUP(I4,gibon40!$D$4:$AT$47,$N$1,1)))</f>
        <v>10280100</v>
      </c>
      <c r="J6" s="211">
        <f ca="1">IF($D$1-YEAR($B$1)&gt;0,"",IF(AND($D$1-YEAR($B$1)=0,J3-MONTH($B$1)&gt;=1),"",VLOOKUP(J4,gibon40!$D$4:$AT$47,$N$1,1)))</f>
        <v>10280100</v>
      </c>
      <c r="K6" s="211">
        <f ca="1">IF($D$1-YEAR($B$1)&gt;0,"",IF(AND($D$1-YEAR($B$1)=0,K3-MONTH($B$1)&gt;=1),"",VLOOKUP(K4,gibon40!$D$4:$AT$47,$N$1,1)))</f>
        <v>10280100</v>
      </c>
      <c r="L6" s="211">
        <f ca="1">IF($D$1-YEAR($B$1)&gt;0,"",IF(AND($D$1-YEAR($B$1)=0,L3-MONTH($B$1)&gt;=1),"",VLOOKUP(L4,gibon40!$D$4:$AT$47,$N$1,1)))</f>
        <v>10280100</v>
      </c>
      <c r="M6" s="211">
        <f ca="1">IF($D$1-YEAR($B$1)&gt;0,"",IF(AND($D$1-YEAR($B$1)=0,M3-MONTH($B$1)&gt;=1),"",VLOOKUP(M4,gibon40!$D$4:$AT$47,$N$1,1)))</f>
        <v>10280100</v>
      </c>
      <c r="N6" s="211">
        <f t="shared" ref="N6:N52" ca="1" si="2">SUM(B6:M6)</f>
        <v>122914200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5028300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5140050</v>
      </c>
      <c r="I7" s="180"/>
      <c r="J7" s="180"/>
      <c r="K7" s="180"/>
      <c r="L7" s="180"/>
      <c r="M7" s="180"/>
      <c r="N7" s="211">
        <f t="shared" ca="1" si="2"/>
        <v>10168350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7842280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7842280</v>
      </c>
    </row>
    <row r="11" spans="1:14" ht="9.75" customHeight="1">
      <c r="A11" s="178" t="s">
        <v>63</v>
      </c>
      <c r="B11" s="179">
        <f ca="1">IF(B$6="",0,'2048'!M11)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6033960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6168060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12202020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IF(B$6="",0,'2048'!M15)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IF(B$6="",0,'2048'!M16)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IF(B$6="",0,'2048'!M18)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IF(B$6="",0,'2048'!M19)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91990</v>
      </c>
      <c r="E21" s="179">
        <f ca="1">IF(D4="","",IF(E$6="","",ROUND(VLOOKUP(E4,gibon40!$D$51:$AV$100,$N$1+1)*10*15/15,-1)))</f>
        <v>275970</v>
      </c>
      <c r="F21" s="179">
        <f ca="1">IF(E4="","",IF(F$6="","",ROUND(VLOOKUP(F4,gibon40!$D$51:$AV$100,$N$1+1)*10*15/15,-1)))</f>
        <v>275970</v>
      </c>
      <c r="G21" s="179">
        <f ca="1">IF(F4="","",IF(G$6="","",ROUND(VLOOKUP(G4,gibon40!$D$51:$AV$100,$N$1+1)*10*15/15,-1)))</f>
        <v>275970</v>
      </c>
      <c r="H21" s="179">
        <f ca="1">IF(G4="","",IF(H$6="","",ROUND(VLOOKUP(H4,gibon40!$D$51:$AV$100,$N$1+1)*10*15/15,-1)))</f>
        <v>275970</v>
      </c>
      <c r="I21" s="179">
        <f ca="1">IF(H4="","",IF(I$6="","",ROUND(VLOOKUP(I4,gibon40!$D$51:$AV$100,$N$1+1)*10*15/15,-1)))</f>
        <v>275970</v>
      </c>
      <c r="J21" s="179">
        <f ca="1">IF(I4="","",IF(J$6="","",ROUND(VLOOKUP(J4,gibon40!$D$51:$AV$100,$N$1+1)*7*15/15,-1)))</f>
        <v>193180</v>
      </c>
      <c r="K21" s="179">
        <f ca="1">IF(J4="","",IF(K$6="","",ROUND(VLOOKUP(K4,gibon40!$D$51:$AV$100,$N$1+1)*10*15/15,-1)))</f>
        <v>275970</v>
      </c>
      <c r="L21" s="179">
        <f ca="1">IF(K4="","",IF(L$6="","",ROUND(VLOOKUP(L4,gibon40!$D$51:$AV$100,$N$1+1)*10*15/15,-1)))</f>
        <v>275970</v>
      </c>
      <c r="M21" s="179">
        <f ca="1">IF(L4="","",IF(M$6="","",ROUND(VLOOKUP(M4,gibon40!$D$51:$AV$100,$N$1+1)*10*15/15*2,-1)))</f>
        <v>551940</v>
      </c>
      <c r="N21" s="211">
        <f t="shared" ca="1" si="2"/>
        <v>2768900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IF(B$6="",0,'2048'!M23)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IF(B$6="",0,'2048'!M24)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'2048'!A25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15889900</v>
      </c>
      <c r="C26" s="213">
        <f t="shared" ref="C26:M26" ca="1" si="16">ROUNDDOWN(SUM(C6:C25),-1)</f>
        <v>16895560</v>
      </c>
      <c r="D26" s="213">
        <f t="shared" ca="1" si="16"/>
        <v>19019370</v>
      </c>
      <c r="E26" s="213">
        <f t="shared" ca="1" si="16"/>
        <v>11361070</v>
      </c>
      <c r="F26" s="213">
        <f t="shared" ca="1" si="16"/>
        <v>11361070</v>
      </c>
      <c r="G26" s="213">
        <f t="shared" ca="1" si="16"/>
        <v>11361070</v>
      </c>
      <c r="H26" s="213">
        <f t="shared" ca="1" si="16"/>
        <v>16501120</v>
      </c>
      <c r="I26" s="213">
        <f t="shared" ca="1" si="16"/>
        <v>11361070</v>
      </c>
      <c r="J26" s="213">
        <f t="shared" ca="1" si="16"/>
        <v>17446340</v>
      </c>
      <c r="K26" s="213">
        <f t="shared" ca="1" si="16"/>
        <v>11361070</v>
      </c>
      <c r="L26" s="213">
        <f t="shared" ca="1" si="16"/>
        <v>11361070</v>
      </c>
      <c r="M26" s="213">
        <f t="shared" ca="1" si="16"/>
        <v>11637040</v>
      </c>
      <c r="N26" s="214">
        <f ca="1">SUM(B26:M26)</f>
        <v>165555750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IF(B4="","",IF(B6="","",IF($D$1-YEAR('2025'!$I$1)&gt;0,"",IF(AND($D$1-YEAR('2025'!$I$1)=0,B3-MONTH('2025'!$I$1)&gt;=1),"",'2048'!M29))))</f>
        <v>1161120</v>
      </c>
      <c r="C29" s="179">
        <f ca="1">IF(C4="","",IF(C6="","",IF($D$1-YEAR('2025'!$I$1)&gt;0,"",IF(AND($D$1-YEAR('2025'!$I$1)=0,C3-MONTH('2025'!$I$1)&gt;=1),"",B29))))</f>
        <v>1161120</v>
      </c>
      <c r="D29" s="179">
        <f ca="1">IF(D4="","",IF(D6="","",IF($D$1-YEAR('2025'!$I$1)&gt;0,"",IF(AND($D$1-YEAR('2025'!$I$1)=0,D3-MONTH('2025'!$I$1)&gt;=1),"",C29))))</f>
        <v>1161120</v>
      </c>
      <c r="E29" s="179">
        <f ca="1">IF(E4="","",IF(E6="","",IF($D$1-YEAR('2025'!$I$1)&gt;0,"",IF(AND($D$1-YEAR('2025'!$I$1)=0,E3-MONTH('2025'!$I$1)&gt;=1),"",D29))))</f>
        <v>1161120</v>
      </c>
      <c r="F29" s="179">
        <f ca="1">IF(F4="","",IF(F$6="","",IF($D$1-YEAR('2025'!$I$1)&gt;0,"",IF(AND($D$1-YEAR('2025'!$I$1)=0,F3-MONTH('2025'!$I$1)&gt;=1),"",VLOOKUP(F$4,집계표!$AK$5:$HA$47,$N$1*3+$N$1-1+4)))))</f>
        <v>1210850</v>
      </c>
      <c r="G29" s="179">
        <f ca="1">IF(G6="",0,IF($D$1-YEAR('2025'!$I$1)&gt;0,"",IF(AND($D$1-YEAR('2025'!$I$1)=0,G3-MONTH('2025'!$I$1)&gt;=1),"",F29)))</f>
        <v>1210850</v>
      </c>
      <c r="H29" s="179">
        <f ca="1">IF(H6="",0,IF($D$1-YEAR('2025'!$I$1)&gt;0,"",IF(AND($D$1-YEAR('2025'!$I$1)=0,H3-MONTH('2025'!$I$1)&gt;=1),"",G29)))</f>
        <v>1210850</v>
      </c>
      <c r="I29" s="179">
        <f ca="1">IF(I6="",0,IF($D$1-YEAR('2025'!$I$1)&gt;0,"",IF(AND($D$1-YEAR('2025'!$I$1)=0,I3-MONTH('2025'!$I$1)&gt;=1),"",H29)))</f>
        <v>1210850</v>
      </c>
      <c r="J29" s="179">
        <f ca="1">IF(J6="",0,IF($D$1-YEAR('2025'!$I$1)&gt;0,"",IF(AND($D$1-YEAR('2025'!$I$1)=0,J3-MONTH('2025'!$I$1)&gt;=1),"",I29)))</f>
        <v>1210850</v>
      </c>
      <c r="K29" s="179">
        <f ca="1">IF(K6="",0,IF($D$1-YEAR('2025'!$I$1)&gt;0,"",IF(AND($D$1-YEAR('2025'!$I$1)=0,K3-MONTH('2025'!$I$1)&gt;=1),"",J29)))</f>
        <v>1210850</v>
      </c>
      <c r="L29" s="179">
        <f ca="1">IF(L6="",0,IF($D$1-YEAR('2025'!$I$1)&gt;0,"",IF(AND($D$1-YEAR('2025'!$I$1)=0,L3-MONTH('2025'!$I$1)&gt;=1),"",K29)))</f>
        <v>1210850</v>
      </c>
      <c r="M29" s="179">
        <f ca="1">IF(M6="",0,IF($D$1-YEAR('2025'!$I$1)&gt;0,"",IF(AND($D$1-YEAR('2025'!$I$1)=0,M3-MONTH('2025'!$I$1)&gt;=1),"",L29)))</f>
        <v>1210850</v>
      </c>
      <c r="N29" s="211">
        <f t="shared" ca="1" si="2"/>
        <v>14331280</v>
      </c>
    </row>
    <row r="30" spans="1:20" ht="9.75" customHeight="1">
      <c r="A30" s="182" t="s">
        <v>58</v>
      </c>
      <c r="B30" s="179">
        <f ca="1">IF(B6="","",'2048'!M30)</f>
        <v>500890</v>
      </c>
      <c r="C30" s="179">
        <f ca="1">IF(C6="","",B30)</f>
        <v>500890</v>
      </c>
      <c r="D30" s="179">
        <f ca="1">IF(D6="","",C30)</f>
        <v>500890</v>
      </c>
      <c r="E30" s="857">
        <f ca="1">IF(E6="","",VLOOKUP(E$4,집계표!$AK$5:$HA$47,$N$1*4))</f>
        <v>522340</v>
      </c>
      <c r="F30" s="179">
        <f ca="1">IF(F6="","",E30)</f>
        <v>522340</v>
      </c>
      <c r="G30" s="179">
        <f t="shared" ref="G30:M30" ca="1" si="20">IF(G6="","",F30)</f>
        <v>522340</v>
      </c>
      <c r="H30" s="179">
        <f t="shared" ca="1" si="20"/>
        <v>522340</v>
      </c>
      <c r="I30" s="179">
        <f t="shared" ca="1" si="20"/>
        <v>522340</v>
      </c>
      <c r="J30" s="179">
        <f t="shared" ca="1" si="20"/>
        <v>522340</v>
      </c>
      <c r="K30" s="179">
        <f t="shared" ca="1" si="20"/>
        <v>522340</v>
      </c>
      <c r="L30" s="179">
        <f t="shared" ca="1" si="20"/>
        <v>522340</v>
      </c>
      <c r="M30" s="179">
        <f t="shared" ca="1" si="20"/>
        <v>522340</v>
      </c>
      <c r="N30" s="211">
        <f t="shared" ca="1" si="2"/>
        <v>6203730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51340</v>
      </c>
      <c r="C31" s="179">
        <f t="shared" ca="1" si="21"/>
        <v>51340</v>
      </c>
      <c r="D31" s="179">
        <f t="shared" ca="1" si="21"/>
        <v>51340</v>
      </c>
      <c r="E31" s="179">
        <f t="shared" ca="1" si="21"/>
        <v>53540</v>
      </c>
      <c r="F31" s="179">
        <f t="shared" ca="1" si="21"/>
        <v>53540</v>
      </c>
      <c r="G31" s="179">
        <f t="shared" ca="1" si="21"/>
        <v>53540</v>
      </c>
      <c r="H31" s="179">
        <f t="shared" ca="1" si="21"/>
        <v>53540</v>
      </c>
      <c r="I31" s="179">
        <f t="shared" ca="1" si="21"/>
        <v>53540</v>
      </c>
      <c r="J31" s="179">
        <f ca="1">IF(J$6="","",ROUND(IF(J4="","",J30*10.25%),-1))</f>
        <v>53540</v>
      </c>
      <c r="K31" s="179">
        <f t="shared" ref="K31:M31" ca="1" si="22">IF(K$6="","",ROUND(IF(K4="","",K30*10.25%),-1))</f>
        <v>53540</v>
      </c>
      <c r="L31" s="179">
        <f t="shared" ca="1" si="22"/>
        <v>53540</v>
      </c>
      <c r="M31" s="179">
        <f t="shared" ca="1" si="22"/>
        <v>53540</v>
      </c>
      <c r="N31" s="211">
        <f t="shared" ca="1" si="2"/>
        <v>635880</v>
      </c>
    </row>
    <row r="32" spans="1:20" ht="9.75" customHeight="1">
      <c r="A32" s="597" t="str">
        <f>'2048'!A32</f>
        <v>교직원공제비</v>
      </c>
      <c r="B32" s="621">
        <f ca="1">IF(B$6="","",'2048'!B32)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'2048'!A33</f>
        <v>급식비</v>
      </c>
      <c r="B33" s="621">
        <f ca="1">IF(B$6="","",'2048'!B33)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IF(B$6="",0,'2048'!M34)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IF(B$6="",0,'2048'!M38)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IF(B$6="",0,'2048'!M39)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3355680</v>
      </c>
      <c r="C40" s="216">
        <f t="shared" ca="1" si="28"/>
        <v>3372840</v>
      </c>
      <c r="D40" s="216">
        <f t="shared" ca="1" si="28"/>
        <v>3390020</v>
      </c>
      <c r="E40" s="216">
        <f t="shared" ca="1" si="28"/>
        <v>3945770</v>
      </c>
      <c r="F40" s="216">
        <f t="shared" ca="1" si="28"/>
        <v>4012670</v>
      </c>
      <c r="G40" s="216">
        <f t="shared" ca="1" si="28"/>
        <v>4029830</v>
      </c>
      <c r="H40" s="216">
        <f t="shared" ca="1" si="28"/>
        <v>4047000</v>
      </c>
      <c r="I40" s="216">
        <f t="shared" ca="1" si="28"/>
        <v>4064160</v>
      </c>
      <c r="J40" s="216">
        <f ca="1">IF(J26="","",SUM(J27:J39))</f>
        <v>4081330</v>
      </c>
      <c r="K40" s="216">
        <f t="shared" ref="K40:M40" ca="1" si="29">IF(K26="","",SUM(K27:K39))</f>
        <v>4098490</v>
      </c>
      <c r="L40" s="216">
        <f t="shared" ca="1" si="29"/>
        <v>4115650</v>
      </c>
      <c r="M40" s="216">
        <f t="shared" ca="1" si="29"/>
        <v>4132820</v>
      </c>
      <c r="N40" s="216">
        <f ca="1">SUM(B40:M40)</f>
        <v>46646260</v>
      </c>
    </row>
    <row r="41" spans="1:14" ht="9.75" customHeight="1">
      <c r="A41" s="183" t="s">
        <v>79</v>
      </c>
      <c r="B41" s="184">
        <f ca="1">ROUND((B26-B40),-1)</f>
        <v>12534220</v>
      </c>
      <c r="C41" s="184">
        <f t="shared" ref="C41:M41" ca="1" si="30">ROUND((C26-C40),-1)</f>
        <v>13522720</v>
      </c>
      <c r="D41" s="184">
        <f t="shared" ca="1" si="30"/>
        <v>15629350</v>
      </c>
      <c r="E41" s="184">
        <f t="shared" ca="1" si="30"/>
        <v>7415300</v>
      </c>
      <c r="F41" s="184">
        <f t="shared" ca="1" si="30"/>
        <v>7348400</v>
      </c>
      <c r="G41" s="184">
        <f t="shared" ca="1" si="30"/>
        <v>7331240</v>
      </c>
      <c r="H41" s="184">
        <f t="shared" ca="1" si="30"/>
        <v>12454120</v>
      </c>
      <c r="I41" s="184">
        <f t="shared" ca="1" si="30"/>
        <v>7296910</v>
      </c>
      <c r="J41" s="184">
        <f t="shared" ca="1" si="30"/>
        <v>13365010</v>
      </c>
      <c r="K41" s="184">
        <f t="shared" ca="1" si="30"/>
        <v>7262580</v>
      </c>
      <c r="L41" s="184">
        <f t="shared" ca="1" si="30"/>
        <v>7245420</v>
      </c>
      <c r="M41" s="184">
        <f t="shared" ca="1" si="30"/>
        <v>7504220</v>
      </c>
      <c r="N41" s="184">
        <f ca="1">SUM(B41:M41)</f>
        <v>118909490</v>
      </c>
    </row>
    <row r="42" spans="1:14" ht="9.75" customHeight="1">
      <c r="A42" s="217" t="str">
        <f>'2048'!A42</f>
        <v>12)지출내용입력1</v>
      </c>
      <c r="B42" s="211">
        <f>'2048'!M42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'2048'!A43</f>
        <v>지출내용입력2</v>
      </c>
      <c r="B43" s="211">
        <f>'2048'!M43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'2048'!A44</f>
        <v>지출내용입력3</v>
      </c>
      <c r="B44" s="211">
        <f>'2048'!M44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'2048'!A45</f>
        <v>지출내용입력4</v>
      </c>
      <c r="B45" s="211">
        <f>'2048'!M45</f>
        <v>0</v>
      </c>
      <c r="C45" s="211">
        <f>B45</f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'2048'!A46</f>
        <v>지출내용입력5</v>
      </c>
      <c r="B46" s="211">
        <f>'2048'!M46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'2048'!A47</f>
        <v>지출내용입력6</v>
      </c>
      <c r="B47" s="211">
        <f>'2048'!M47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'2048'!A48</f>
        <v>지출내용입력7</v>
      </c>
      <c r="B48" s="211">
        <f>'2048'!M48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'2048'!A49</f>
        <v>지출내용입력8</v>
      </c>
      <c r="B49" s="211">
        <f>'2048'!M49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'2048'!A50</f>
        <v>지출내용입력9</v>
      </c>
      <c r="B50" s="211">
        <f>'2048'!M50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'2048'!A51</f>
        <v>지출내용입력10</v>
      </c>
      <c r="B51" s="211">
        <f>'2048'!M51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12534120</v>
      </c>
      <c r="C53" s="188">
        <f t="shared" ca="1" si="33"/>
        <v>13522620</v>
      </c>
      <c r="D53" s="188">
        <f t="shared" ca="1" si="33"/>
        <v>15629250</v>
      </c>
      <c r="E53" s="188">
        <f t="shared" ca="1" si="33"/>
        <v>7415200</v>
      </c>
      <c r="F53" s="188">
        <f t="shared" ca="1" si="33"/>
        <v>7348300</v>
      </c>
      <c r="G53" s="188">
        <f t="shared" ca="1" si="33"/>
        <v>7331140</v>
      </c>
      <c r="H53" s="188">
        <f t="shared" ca="1" si="33"/>
        <v>12454020</v>
      </c>
      <c r="I53" s="188">
        <f t="shared" ca="1" si="33"/>
        <v>7296810</v>
      </c>
      <c r="J53" s="188">
        <f t="shared" ca="1" si="33"/>
        <v>13364910</v>
      </c>
      <c r="K53" s="188">
        <f t="shared" ca="1" si="33"/>
        <v>7262480</v>
      </c>
      <c r="L53" s="188">
        <f t="shared" ca="1" si="33"/>
        <v>7245320</v>
      </c>
      <c r="M53" s="188">
        <f t="shared" ca="1" si="33"/>
        <v>7504120</v>
      </c>
      <c r="N53" s="188">
        <f t="shared" ca="1" si="33"/>
        <v>118908290</v>
      </c>
    </row>
    <row r="55" spans="1:14" ht="18">
      <c r="A55" s="1232" t="str">
        <f ca="1">D1</f>
        <v>2049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dql7lIQCz9SzxFKzVRyMi+e0KMFDaNCcqEbZ3UcthfJjVJbkjSk8DVp5HwdRFLyYZLpu9K7dH21j8vvsTVB3tg==" saltValue="+PEQwM5L8BRJ8h9Da5GWu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33" priority="8">
      <formula>$E$2="y"</formula>
    </cfRule>
    <cfRule type="expression" dxfId="232" priority="9">
      <formula>$D$2="Y"</formula>
    </cfRule>
    <cfRule type="expression" dxfId="231" priority="10">
      <formula>$F$2="y"</formula>
    </cfRule>
  </conditionalFormatting>
  <conditionalFormatting sqref="B27:M27">
    <cfRule type="expression" dxfId="230" priority="1">
      <formula>$F$2="y"</formula>
    </cfRule>
  </conditionalFormatting>
  <conditionalFormatting sqref="D16">
    <cfRule type="expression" dxfId="229" priority="26">
      <formula>$E$2="y"</formula>
    </cfRule>
    <cfRule type="expression" dxfId="228" priority="27">
      <formula>$E$2="y"</formula>
    </cfRule>
    <cfRule type="expression" dxfId="227" priority="28">
      <formula>$F$2="y"</formula>
    </cfRule>
  </conditionalFormatting>
  <conditionalFormatting sqref="D18">
    <cfRule type="expression" dxfId="226" priority="23">
      <formula>$E$2="y"</formula>
    </cfRule>
    <cfRule type="expression" dxfId="225" priority="24">
      <formula>$E$2="y"</formula>
    </cfRule>
    <cfRule type="expression" dxfId="224" priority="25">
      <formula>$F$2="y"</formula>
    </cfRule>
  </conditionalFormatting>
  <conditionalFormatting sqref="J12:K12">
    <cfRule type="expression" dxfId="223" priority="5">
      <formula>$E$2="y"</formula>
    </cfRule>
    <cfRule type="expression" dxfId="222" priority="6">
      <formula>$D$2="Y"</formula>
    </cfRule>
    <cfRule type="expression" dxfId="221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61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62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63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65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8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0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2050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집계표!AB119</f>
        <v>2</v>
      </c>
      <c r="M1" s="627">
        <f>집계표!AB122</f>
        <v>1</v>
      </c>
      <c r="N1" s="618">
        <v>26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집계표!BK53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IF('2049'!M4&gt;=50,50,IF(AND('2049'!M4=50,M$3=$N$5),"",IF(B3=$N$5,'2049'!M4+1,'2049'!M4)))</f>
        <v>37</v>
      </c>
      <c r="C4" s="176">
        <f>IF(B4&gt;=50,50,IF(AND(B4=50,C$3=$N$5),50,IF(C$3=$N$5,B4+1,B4)))</f>
        <v>37</v>
      </c>
      <c r="D4" s="176">
        <f t="shared" ref="D4:M4" si="0">IF(C4&gt;=50,50,IF(AND(C4=50,D$3=$N$5),50,IF(D$3=$N$5,C4+1,C4)))</f>
        <v>38</v>
      </c>
      <c r="E4" s="176">
        <f t="shared" si="0"/>
        <v>38</v>
      </c>
      <c r="F4" s="176">
        <f t="shared" si="0"/>
        <v>38</v>
      </c>
      <c r="G4" s="176">
        <f t="shared" si="0"/>
        <v>38</v>
      </c>
      <c r="H4" s="176">
        <f t="shared" si="0"/>
        <v>38</v>
      </c>
      <c r="I4" s="176">
        <f t="shared" si="0"/>
        <v>38</v>
      </c>
      <c r="J4" s="176">
        <f t="shared" si="0"/>
        <v>38</v>
      </c>
      <c r="K4" s="176">
        <f t="shared" si="0"/>
        <v>38</v>
      </c>
      <c r="L4" s="176">
        <f t="shared" si="0"/>
        <v>38</v>
      </c>
      <c r="M4" s="176">
        <f t="shared" si="0"/>
        <v>38</v>
      </c>
      <c r="N4" s="202" t="s">
        <v>124</v>
      </c>
    </row>
    <row r="5" spans="1:14" ht="9.75" customHeight="1">
      <c r="A5" s="208" t="s">
        <v>134</v>
      </c>
      <c r="B5" s="356">
        <f>IF(B$3=$N$5,'2049'!M5+1,'2049'!M5)</f>
        <v>27</v>
      </c>
      <c r="C5" s="209">
        <f>IF(C$3=$N$5,B5+1,B5)</f>
        <v>27</v>
      </c>
      <c r="D5" s="209">
        <f t="shared" ref="D5:M5" si="1">IF(D$3=$N$5,C5+1,C5)</f>
        <v>28</v>
      </c>
      <c r="E5" s="209">
        <f t="shared" si="1"/>
        <v>28</v>
      </c>
      <c r="F5" s="209">
        <f t="shared" si="1"/>
        <v>28</v>
      </c>
      <c r="G5" s="209">
        <f t="shared" si="1"/>
        <v>28</v>
      </c>
      <c r="H5" s="209">
        <f t="shared" si="1"/>
        <v>28</v>
      </c>
      <c r="I5" s="209">
        <f t="shared" si="1"/>
        <v>28</v>
      </c>
      <c r="J5" s="209">
        <f t="shared" si="1"/>
        <v>28</v>
      </c>
      <c r="K5" s="209">
        <f t="shared" si="1"/>
        <v>28</v>
      </c>
      <c r="L5" s="209">
        <f t="shared" si="1"/>
        <v>28</v>
      </c>
      <c r="M5" s="209">
        <f t="shared" si="1"/>
        <v>28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10537100</v>
      </c>
      <c r="C6" s="211">
        <f ca="1">IF($D$1-YEAR($B$1)&gt;0,"",IF(AND($D$1-YEAR($B$1)=0,C3-MONTH($B$1)&gt;=1),"",VLOOKUP(C4,gibon40!$D$4:$AT$47,$N$1,1)))</f>
        <v>10537100</v>
      </c>
      <c r="D6" s="211">
        <f ca="1">IF($D$1-YEAR($B$1)&gt;0,"",IF(AND($D$1-YEAR($B$1)=0,D3-MONTH($B$1)&gt;=1),"",VLOOKUP(D4,gibon40!$D$4:$AT$47,$N$1,1)))</f>
        <v>10766300</v>
      </c>
      <c r="E6" s="211">
        <f ca="1">IF($D$1-YEAR($B$1)&gt;0,"",IF(AND($D$1-YEAR($B$1)=0,E3-MONTH($B$1)&gt;=1),"",VLOOKUP(E4,gibon40!$D$4:$AT$47,$N$1,1)))</f>
        <v>10766300</v>
      </c>
      <c r="F6" s="211">
        <f ca="1">IF($D$1-YEAR($B$1)&gt;0,"",IF(AND($D$1-YEAR($B$1)=0,F3-MONTH($B$1)&gt;=1),"",VLOOKUP(F4,gibon40!$D$4:$AT$47,$N$1,1)))</f>
        <v>10766300</v>
      </c>
      <c r="G6" s="211">
        <f ca="1">IF($D$1-YEAR($B$1)&gt;0,"",IF(AND($D$1-YEAR($B$1)=0,G3-MONTH($B$1)&gt;=1),"",VLOOKUP(G4,gibon40!$D$4:$AT$47,$N$1,1)))</f>
        <v>10766300</v>
      </c>
      <c r="H6" s="211">
        <f ca="1">IF($D$1-YEAR($B$1)&gt;0,"",IF(AND($D$1-YEAR($B$1)=0,H3-MONTH($B$1)&gt;=1),"",VLOOKUP(H4,gibon40!$D$4:$AT$47,$N$1,1)))</f>
        <v>10766300</v>
      </c>
      <c r="I6" s="211">
        <f ca="1">IF($D$1-YEAR($B$1)&gt;0,"",IF(AND($D$1-YEAR($B$1)=0,I3-MONTH($B$1)&gt;=1),"",VLOOKUP(I4,gibon40!$D$4:$AT$47,$N$1,1)))</f>
        <v>10766300</v>
      </c>
      <c r="J6" s="211">
        <f ca="1">IF($D$1-YEAR($B$1)&gt;0,"",IF(AND($D$1-YEAR($B$1)=0,J3-MONTH($B$1)&gt;=1),"",VLOOKUP(J4,gibon40!$D$4:$AT$47,$N$1,1)))</f>
        <v>10766300</v>
      </c>
      <c r="K6" s="211">
        <f ca="1">IF($D$1-YEAR($B$1)&gt;0,"",IF(AND($D$1-YEAR($B$1)=0,K3-MONTH($B$1)&gt;=1),"",VLOOKUP(K4,gibon40!$D$4:$AT$47,$N$1,1)))</f>
        <v>10766300</v>
      </c>
      <c r="L6" s="211">
        <f ca="1">IF($D$1-YEAR($B$1)&gt;0,"",IF(AND($D$1-YEAR($B$1)=0,L3-MONTH($B$1)&gt;=1),"",VLOOKUP(L4,gibon40!$D$4:$AT$47,$N$1,1)))</f>
        <v>10766300</v>
      </c>
      <c r="M6" s="211">
        <f ca="1">IF($D$1-YEAR($B$1)&gt;0,"",IF(AND($D$1-YEAR($B$1)=0,M3-MONTH($B$1)&gt;=1),"",VLOOKUP(M4,gibon40!$D$4:$AT$47,$N$1,1)))</f>
        <v>10766300</v>
      </c>
      <c r="N6" s="211">
        <f t="shared" ref="N6:N52" ca="1" si="2">SUM(B6:M6)</f>
        <v>128737200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5268550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5383150</v>
      </c>
      <c r="I7" s="180"/>
      <c r="J7" s="180"/>
      <c r="K7" s="180"/>
      <c r="L7" s="180"/>
      <c r="M7" s="180"/>
      <c r="N7" s="211">
        <f t="shared" ca="1" si="2"/>
        <v>10651700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8038310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8038310</v>
      </c>
    </row>
    <row r="11" spans="1:14" ht="9.75" customHeight="1">
      <c r="A11" s="178" t="s">
        <v>63</v>
      </c>
      <c r="B11" s="179">
        <f ca="1">IF(B$6="",0,'2049'!M11)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6322260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6459780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12782040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IF(B$6="",0,'2049'!M15)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IF(B$6="",0,'2049'!M16)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IF(B$6="",0,'2049'!M18)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IF(B$6="",0,'2049'!M19)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94290</v>
      </c>
      <c r="E21" s="179">
        <f ca="1">IF(D4="","",IF(E$6="","",ROUND(VLOOKUP(E4,gibon40!$D$51:$AV$100,$N$1+1)*10*15/15,-1)))</f>
        <v>282870</v>
      </c>
      <c r="F21" s="179">
        <f ca="1">IF(E4="","",IF(F$6="","",ROUND(VLOOKUP(F4,gibon40!$D$51:$AV$100,$N$1+1)*10*15/15,-1)))</f>
        <v>282870</v>
      </c>
      <c r="G21" s="179">
        <f ca="1">IF(F4="","",IF(G$6="","",ROUND(VLOOKUP(G4,gibon40!$D$51:$AV$100,$N$1+1)*10*15/15,-1)))</f>
        <v>282870</v>
      </c>
      <c r="H21" s="179">
        <f ca="1">IF(G4="","",IF(H$6="","",ROUND(VLOOKUP(H4,gibon40!$D$51:$AV$100,$N$1+1)*10*15/15,-1)))</f>
        <v>282870</v>
      </c>
      <c r="I21" s="179">
        <f ca="1">IF(H4="","",IF(I$6="","",ROUND(VLOOKUP(I4,gibon40!$D$51:$AV$100,$N$1+1)*10*15/15,-1)))</f>
        <v>282870</v>
      </c>
      <c r="J21" s="179">
        <f ca="1">IF(I4="","",IF(J$6="","",ROUND(VLOOKUP(J4,gibon40!$D$51:$AV$100,$N$1+1)*7*15/15,-1)))</f>
        <v>198010</v>
      </c>
      <c r="K21" s="179">
        <f ca="1">IF(J4="","",IF(K$6="","",ROUND(VLOOKUP(K4,gibon40!$D$51:$AV$100,$N$1+1)*10*15/15,-1)))</f>
        <v>282870</v>
      </c>
      <c r="L21" s="179">
        <f ca="1">IF(K4="","",IF(L$6="","",ROUND(VLOOKUP(L4,gibon40!$D$51:$AV$100,$N$1+1)*10*15/15,-1)))</f>
        <v>282870</v>
      </c>
      <c r="M21" s="179">
        <f ca="1">IF(L4="","",IF(M$6="","",ROUND(VLOOKUP(M4,gibon40!$D$51:$AV$100,$N$1+1)*10*15/15*2,-1)))</f>
        <v>565740</v>
      </c>
      <c r="N21" s="211">
        <f t="shared" ca="1" si="2"/>
        <v>2838130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IF(B$6="",0,'2049'!M23)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IF(B$6="",0,'2049'!M24)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'2049'!A25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22932910</v>
      </c>
      <c r="C26" s="213">
        <f t="shared" ref="C26:M26" ca="1" si="16">ROUNDDOWN(SUM(C6:C25),-1)</f>
        <v>11342100</v>
      </c>
      <c r="D26" s="213">
        <f t="shared" ca="1" si="16"/>
        <v>19703900</v>
      </c>
      <c r="E26" s="213">
        <f t="shared" ca="1" si="16"/>
        <v>11854170</v>
      </c>
      <c r="F26" s="213">
        <f t="shared" ca="1" si="16"/>
        <v>11854170</v>
      </c>
      <c r="G26" s="213">
        <f t="shared" ca="1" si="16"/>
        <v>11854170</v>
      </c>
      <c r="H26" s="213">
        <f t="shared" ca="1" si="16"/>
        <v>17237320</v>
      </c>
      <c r="I26" s="213">
        <f t="shared" ca="1" si="16"/>
        <v>11854170</v>
      </c>
      <c r="J26" s="213">
        <f t="shared" ca="1" si="16"/>
        <v>18229090</v>
      </c>
      <c r="K26" s="213">
        <f t="shared" ca="1" si="16"/>
        <v>11854170</v>
      </c>
      <c r="L26" s="213">
        <f t="shared" ca="1" si="16"/>
        <v>11854170</v>
      </c>
      <c r="M26" s="213">
        <f t="shared" ca="1" si="16"/>
        <v>12137040</v>
      </c>
      <c r="N26" s="214">
        <f ca="1">SUM(B26:M26)</f>
        <v>172707380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IF(B4="","",IF(B6="","",IF($D$1-YEAR('2025'!$I$1)&gt;0,"",IF(AND($D$1-YEAR('2025'!$I$1)=0,B3-MONTH('2025'!$I$1)&gt;=1),"",'2049'!M29))))</f>
        <v>1210850</v>
      </c>
      <c r="C29" s="179">
        <f ca="1">IF(C4="","",IF(C6="","",IF($D$1-YEAR('2025'!$I$1)&gt;0,"",IF(AND($D$1-YEAR('2025'!$I$1)=0,C3-MONTH('2025'!$I$1)&gt;=1),"",B29))))</f>
        <v>1210850</v>
      </c>
      <c r="D29" s="179">
        <f ca="1">IF(D4="","",IF(D6="","",IF($D$1-YEAR('2025'!$I$1)&gt;0,"",IF(AND($D$1-YEAR('2025'!$I$1)=0,D3-MONTH('2025'!$I$1)&gt;=1),"",C29))))</f>
        <v>1210850</v>
      </c>
      <c r="E29" s="179">
        <f ca="1">IF(E4="","",IF(E6="","",IF($D$1-YEAR('2025'!$I$1)&gt;0,"",IF(AND($D$1-YEAR('2025'!$I$1)=0,E3-MONTH('2025'!$I$1)&gt;=1),"",D29))))</f>
        <v>1210850</v>
      </c>
      <c r="F29" s="179">
        <f ca="1">IF(F4="","",IF(F$6="","",IF($D$1-YEAR('2025'!$I$1)&gt;0,"",IF(AND($D$1-YEAR('2025'!$I$1)=0,F3-MONTH('2025'!$I$1)&gt;=1),"",VLOOKUP(F$4,집계표!$AK$5:$HA$47,$N$1*3+$N$1-1+4)))))</f>
        <v>1264820</v>
      </c>
      <c r="G29" s="179">
        <f ca="1">IF(G6="",0,IF($D$1-YEAR('2025'!$I$1)&gt;0,"",IF(AND($D$1-YEAR('2025'!$I$1)=0,G3-MONTH('2025'!$I$1)&gt;=1),"",F29)))</f>
        <v>1264820</v>
      </c>
      <c r="H29" s="179">
        <f ca="1">IF(H6="",0,IF($D$1-YEAR('2025'!$I$1)&gt;0,"",IF(AND($D$1-YEAR('2025'!$I$1)=0,H3-MONTH('2025'!$I$1)&gt;=1),"",G29)))</f>
        <v>1264820</v>
      </c>
      <c r="I29" s="179">
        <f ca="1">IF(I6="",0,IF($D$1-YEAR('2025'!$I$1)&gt;0,"",IF(AND($D$1-YEAR('2025'!$I$1)=0,I3-MONTH('2025'!$I$1)&gt;=1),"",H29)))</f>
        <v>1264820</v>
      </c>
      <c r="J29" s="179">
        <f ca="1">IF(J6="",0,IF($D$1-YEAR('2025'!$I$1)&gt;0,"",IF(AND($D$1-YEAR('2025'!$I$1)=0,J3-MONTH('2025'!$I$1)&gt;=1),"",I29)))</f>
        <v>1264820</v>
      </c>
      <c r="K29" s="179">
        <f ca="1">IF(K6="",0,IF($D$1-YEAR('2025'!$I$1)&gt;0,"",IF(AND($D$1-YEAR('2025'!$I$1)=0,K3-MONTH('2025'!$I$1)&gt;=1),"",J29)))</f>
        <v>1264820</v>
      </c>
      <c r="L29" s="179">
        <f ca="1">IF(L6="",0,IF($D$1-YEAR('2025'!$I$1)&gt;0,"",IF(AND($D$1-YEAR('2025'!$I$1)=0,L3-MONTH('2025'!$I$1)&gt;=1),"",K29)))</f>
        <v>1264820</v>
      </c>
      <c r="M29" s="179">
        <f ca="1">IF(M6="",0,IF($D$1-YEAR('2025'!$I$1)&gt;0,"",IF(AND($D$1-YEAR('2025'!$I$1)=0,M3-MONTH('2025'!$I$1)&gt;=1),"",L29)))</f>
        <v>1264820</v>
      </c>
      <c r="N29" s="211">
        <f t="shared" ca="1" si="2"/>
        <v>14961960</v>
      </c>
    </row>
    <row r="30" spans="1:20" ht="9.75" customHeight="1">
      <c r="A30" s="182" t="s">
        <v>58</v>
      </c>
      <c r="B30" s="179">
        <f ca="1">IF(B6="","",'2049'!M30)</f>
        <v>522340</v>
      </c>
      <c r="C30" s="179">
        <f ca="1">IF(C6="","",B30)</f>
        <v>522340</v>
      </c>
      <c r="D30" s="179">
        <f ca="1">IF(D6="","",C30)</f>
        <v>522340</v>
      </c>
      <c r="E30" s="857">
        <f ca="1">IF(E6="","",VLOOKUP(E$4,집계표!$AK$5:$HA$47,$N$1*4))</f>
        <v>545620</v>
      </c>
      <c r="F30" s="179">
        <f ca="1">IF(F6="","",E30)</f>
        <v>545620</v>
      </c>
      <c r="G30" s="179">
        <f t="shared" ref="G30:M30" ca="1" si="20">IF(G6="","",F30)</f>
        <v>545620</v>
      </c>
      <c r="H30" s="179">
        <f t="shared" ca="1" si="20"/>
        <v>545620</v>
      </c>
      <c r="I30" s="179">
        <f t="shared" ca="1" si="20"/>
        <v>545620</v>
      </c>
      <c r="J30" s="179">
        <f t="shared" ca="1" si="20"/>
        <v>545620</v>
      </c>
      <c r="K30" s="179">
        <f t="shared" ca="1" si="20"/>
        <v>545620</v>
      </c>
      <c r="L30" s="179">
        <f t="shared" ca="1" si="20"/>
        <v>545620</v>
      </c>
      <c r="M30" s="179">
        <f t="shared" ca="1" si="20"/>
        <v>545620</v>
      </c>
      <c r="N30" s="211">
        <f t="shared" ca="1" si="2"/>
        <v>6477600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53540</v>
      </c>
      <c r="C31" s="179">
        <f t="shared" ca="1" si="21"/>
        <v>53540</v>
      </c>
      <c r="D31" s="179">
        <f t="shared" ca="1" si="21"/>
        <v>53540</v>
      </c>
      <c r="E31" s="179">
        <f t="shared" ca="1" si="21"/>
        <v>55930</v>
      </c>
      <c r="F31" s="179">
        <f t="shared" ca="1" si="21"/>
        <v>55930</v>
      </c>
      <c r="G31" s="179">
        <f t="shared" ca="1" si="21"/>
        <v>55930</v>
      </c>
      <c r="H31" s="179">
        <f t="shared" ca="1" si="21"/>
        <v>55930</v>
      </c>
      <c r="I31" s="179">
        <f t="shared" ca="1" si="21"/>
        <v>55930</v>
      </c>
      <c r="J31" s="179">
        <f ca="1">IF(J$6="","",ROUND(IF(J4="","",J30*10.25%),-1))</f>
        <v>55930</v>
      </c>
      <c r="K31" s="179">
        <f t="shared" ref="K31:M31" ca="1" si="22">IF(K$6="","",ROUND(IF(K4="","",K30*10.25%),-1))</f>
        <v>55930</v>
      </c>
      <c r="L31" s="179">
        <f t="shared" ca="1" si="22"/>
        <v>55930</v>
      </c>
      <c r="M31" s="179">
        <f t="shared" ca="1" si="22"/>
        <v>55930</v>
      </c>
      <c r="N31" s="211">
        <f t="shared" ca="1" si="2"/>
        <v>663990</v>
      </c>
    </row>
    <row r="32" spans="1:20" ht="9.75" customHeight="1">
      <c r="A32" s="597" t="str">
        <f>'2049'!A32</f>
        <v>교직원공제비</v>
      </c>
      <c r="B32" s="621">
        <f ca="1">IF(B$6="","",'2049'!B32)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'2049'!A33</f>
        <v>급식비</v>
      </c>
      <c r="B33" s="621">
        <f ca="1">IF(B$6="","",'2049'!B33)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IF(B$6="",0,'2049'!M34)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IF(B$6="",0,'2049'!M38)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IF(B$6="",0,'2049'!M39)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3429060</v>
      </c>
      <c r="C40" s="216">
        <f t="shared" ca="1" si="28"/>
        <v>3446220</v>
      </c>
      <c r="D40" s="216">
        <f t="shared" ca="1" si="28"/>
        <v>3463400</v>
      </c>
      <c r="E40" s="216">
        <f t="shared" ca="1" si="28"/>
        <v>4021170</v>
      </c>
      <c r="F40" s="216">
        <f t="shared" ca="1" si="28"/>
        <v>4092310</v>
      </c>
      <c r="G40" s="216">
        <f t="shared" ca="1" si="28"/>
        <v>4109470</v>
      </c>
      <c r="H40" s="216">
        <f t="shared" ca="1" si="28"/>
        <v>4126640</v>
      </c>
      <c r="I40" s="216">
        <f t="shared" ca="1" si="28"/>
        <v>4143800</v>
      </c>
      <c r="J40" s="216">
        <f ca="1">IF(J26="","",SUM(J27:J39))</f>
        <v>4160970</v>
      </c>
      <c r="K40" s="216">
        <f t="shared" ref="K40:M40" ca="1" si="29">IF(K26="","",SUM(K27:K39))</f>
        <v>4178130</v>
      </c>
      <c r="L40" s="216">
        <f t="shared" ca="1" si="29"/>
        <v>4195290</v>
      </c>
      <c r="M40" s="216">
        <f t="shared" ca="1" si="29"/>
        <v>4212460</v>
      </c>
      <c r="N40" s="216">
        <f ca="1">SUM(B40:M40)</f>
        <v>47578920</v>
      </c>
    </row>
    <row r="41" spans="1:14" ht="9.75" customHeight="1">
      <c r="A41" s="183" t="s">
        <v>79</v>
      </c>
      <c r="B41" s="184">
        <f ca="1">ROUND((B26-B40),-1)</f>
        <v>19503850</v>
      </c>
      <c r="C41" s="184">
        <f t="shared" ref="C41:M41" ca="1" si="30">ROUND((C26-C40),-1)</f>
        <v>7895880</v>
      </c>
      <c r="D41" s="184">
        <f t="shared" ca="1" si="30"/>
        <v>16240500</v>
      </c>
      <c r="E41" s="184">
        <f t="shared" ca="1" si="30"/>
        <v>7833000</v>
      </c>
      <c r="F41" s="184">
        <f t="shared" ca="1" si="30"/>
        <v>7761860</v>
      </c>
      <c r="G41" s="184">
        <f t="shared" ca="1" si="30"/>
        <v>7744700</v>
      </c>
      <c r="H41" s="184">
        <f t="shared" ca="1" si="30"/>
        <v>13110680</v>
      </c>
      <c r="I41" s="184">
        <f t="shared" ca="1" si="30"/>
        <v>7710370</v>
      </c>
      <c r="J41" s="184">
        <f t="shared" ca="1" si="30"/>
        <v>14068120</v>
      </c>
      <c r="K41" s="184">
        <f t="shared" ca="1" si="30"/>
        <v>7676040</v>
      </c>
      <c r="L41" s="184">
        <f t="shared" ca="1" si="30"/>
        <v>7658880</v>
      </c>
      <c r="M41" s="184">
        <f t="shared" ca="1" si="30"/>
        <v>7924580</v>
      </c>
      <c r="N41" s="184">
        <f ca="1">SUM(B41:M41)</f>
        <v>125128460</v>
      </c>
    </row>
    <row r="42" spans="1:14" ht="9.75" customHeight="1">
      <c r="A42" s="217" t="str">
        <f>'2049'!A42</f>
        <v>12)지출내용입력1</v>
      </c>
      <c r="B42" s="211">
        <f>'2049'!M42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'2049'!A43</f>
        <v>지출내용입력2</v>
      </c>
      <c r="B43" s="211">
        <f>'2049'!M43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'2049'!A44</f>
        <v>지출내용입력3</v>
      </c>
      <c r="B44" s="211">
        <f>'2049'!M44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'2049'!A45</f>
        <v>지출내용입력4</v>
      </c>
      <c r="B45" s="211">
        <f>'2049'!M45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'2049'!A46</f>
        <v>지출내용입력5</v>
      </c>
      <c r="B46" s="211">
        <f>'2049'!M46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'2049'!A47</f>
        <v>지출내용입력6</v>
      </c>
      <c r="B47" s="211">
        <f>'2049'!M47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'2049'!A48</f>
        <v>지출내용입력7</v>
      </c>
      <c r="B48" s="211">
        <f>'2049'!M48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'2049'!A49</f>
        <v>지출내용입력8</v>
      </c>
      <c r="B49" s="211">
        <f>'2049'!M49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'2049'!A50</f>
        <v>지출내용입력9</v>
      </c>
      <c r="B50" s="211">
        <f>'2049'!M50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'2049'!A51</f>
        <v>지출내용입력10</v>
      </c>
      <c r="B51" s="211">
        <f>'2049'!M51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19503750</v>
      </c>
      <c r="C53" s="188">
        <f t="shared" ca="1" si="33"/>
        <v>7895780</v>
      </c>
      <c r="D53" s="188">
        <f t="shared" ca="1" si="33"/>
        <v>16240400</v>
      </c>
      <c r="E53" s="188">
        <f t="shared" ca="1" si="33"/>
        <v>7832900</v>
      </c>
      <c r="F53" s="188">
        <f t="shared" ca="1" si="33"/>
        <v>7761760</v>
      </c>
      <c r="G53" s="188">
        <f t="shared" ca="1" si="33"/>
        <v>7744600</v>
      </c>
      <c r="H53" s="188">
        <f t="shared" ca="1" si="33"/>
        <v>13110580</v>
      </c>
      <c r="I53" s="188">
        <f t="shared" ca="1" si="33"/>
        <v>7710270</v>
      </c>
      <c r="J53" s="188">
        <f t="shared" ca="1" si="33"/>
        <v>14068020</v>
      </c>
      <c r="K53" s="188">
        <f t="shared" ca="1" si="33"/>
        <v>7675940</v>
      </c>
      <c r="L53" s="188">
        <f t="shared" ca="1" si="33"/>
        <v>7658780</v>
      </c>
      <c r="M53" s="188">
        <f t="shared" ca="1" si="33"/>
        <v>7924480</v>
      </c>
      <c r="N53" s="188">
        <f t="shared" ca="1" si="33"/>
        <v>125127260</v>
      </c>
    </row>
    <row r="55" spans="1:14" ht="18">
      <c r="A55" s="1232" t="str">
        <f ca="1">D1</f>
        <v>2050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yX7FSR1X7x1Nl7m780Z/GylUzdur6uocUWjfI0YkdJPzRbvGltej8X3I9X+hrxE7Gsy0h3Vl0shFu2UO+ga+EQ==" saltValue="EuEeGok5onCRkxVhLIvL9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20" priority="8">
      <formula>$E$2="y"</formula>
    </cfRule>
    <cfRule type="expression" dxfId="219" priority="9">
      <formula>$D$2="Y"</formula>
    </cfRule>
    <cfRule type="expression" dxfId="218" priority="10">
      <formula>$F$2="y"</formula>
    </cfRule>
  </conditionalFormatting>
  <conditionalFormatting sqref="B27:M27">
    <cfRule type="expression" dxfId="217" priority="1">
      <formula>$F$2="y"</formula>
    </cfRule>
  </conditionalFormatting>
  <conditionalFormatting sqref="D16">
    <cfRule type="expression" dxfId="216" priority="26">
      <formula>$E$2="y"</formula>
    </cfRule>
    <cfRule type="expression" dxfId="215" priority="27">
      <formula>$E$2="y"</formula>
    </cfRule>
    <cfRule type="expression" dxfId="214" priority="28">
      <formula>$F$2="y"</formula>
    </cfRule>
  </conditionalFormatting>
  <conditionalFormatting sqref="D18">
    <cfRule type="expression" dxfId="213" priority="23">
      <formula>$E$2="y"</formula>
    </cfRule>
    <cfRule type="expression" dxfId="212" priority="24">
      <formula>$E$2="y"</formula>
    </cfRule>
    <cfRule type="expression" dxfId="211" priority="25">
      <formula>$F$2="y"</formula>
    </cfRule>
  </conditionalFormatting>
  <conditionalFormatting sqref="J12:K12">
    <cfRule type="expression" dxfId="210" priority="5">
      <formula>$E$2="y"</formula>
    </cfRule>
    <cfRule type="expression" dxfId="209" priority="6">
      <formula>$D$2="Y"</formula>
    </cfRule>
    <cfRule type="expression" dxfId="208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4385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86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87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89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29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1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2051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집계표!AC119</f>
        <v>2</v>
      </c>
      <c r="M1" s="627">
        <f>집계표!AC122</f>
        <v>1</v>
      </c>
      <c r="N1" s="618">
        <v>27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집계표!BL53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IF('2050'!M4&gt;=50,50,IF(AND('2050'!M4=50,M$3=$N$5),"",IF(B3=$N$5,'2050'!M4+1,'2050'!M4)))</f>
        <v>38</v>
      </c>
      <c r="C4" s="176">
        <f>IF(B4&gt;=50,50,IF(AND(B4=50,C$3=$N$5),50,IF(C$3=$N$5,B4+1,B4)))</f>
        <v>38</v>
      </c>
      <c r="D4" s="176">
        <f t="shared" ref="D4:M4" si="0">IF(C4&gt;=50,50,IF(AND(C4=50,D$3=$N$5),50,IF(D$3=$N$5,C4+1,C4)))</f>
        <v>39</v>
      </c>
      <c r="E4" s="176">
        <f t="shared" si="0"/>
        <v>39</v>
      </c>
      <c r="F4" s="176">
        <f t="shared" si="0"/>
        <v>39</v>
      </c>
      <c r="G4" s="176">
        <f t="shared" si="0"/>
        <v>39</v>
      </c>
      <c r="H4" s="176">
        <f t="shared" si="0"/>
        <v>39</v>
      </c>
      <c r="I4" s="176">
        <f t="shared" si="0"/>
        <v>39</v>
      </c>
      <c r="J4" s="176">
        <f t="shared" si="0"/>
        <v>39</v>
      </c>
      <c r="K4" s="176">
        <f t="shared" si="0"/>
        <v>39</v>
      </c>
      <c r="L4" s="176">
        <f t="shared" si="0"/>
        <v>39</v>
      </c>
      <c r="M4" s="176">
        <f t="shared" si="0"/>
        <v>39</v>
      </c>
      <c r="N4" s="202" t="s">
        <v>124</v>
      </c>
    </row>
    <row r="5" spans="1:14" ht="9.75" customHeight="1">
      <c r="A5" s="208" t="s">
        <v>134</v>
      </c>
      <c r="B5" s="356">
        <f>IF(B$3=$N$5,'2050'!M5+1,'2050'!M5)</f>
        <v>28</v>
      </c>
      <c r="C5" s="209">
        <f>IF(C$3=$N$5,B5+1,B5)</f>
        <v>28</v>
      </c>
      <c r="D5" s="209">
        <f t="shared" ref="D5:M5" si="1">IF(D$3=$N$5,C5+1,C5)</f>
        <v>29</v>
      </c>
      <c r="E5" s="209">
        <f t="shared" si="1"/>
        <v>29</v>
      </c>
      <c r="F5" s="209">
        <f t="shared" si="1"/>
        <v>29</v>
      </c>
      <c r="G5" s="209">
        <f t="shared" si="1"/>
        <v>29</v>
      </c>
      <c r="H5" s="209">
        <f t="shared" si="1"/>
        <v>29</v>
      </c>
      <c r="I5" s="209">
        <f t="shared" si="1"/>
        <v>29</v>
      </c>
      <c r="J5" s="209">
        <f t="shared" si="1"/>
        <v>29</v>
      </c>
      <c r="K5" s="209">
        <f t="shared" si="1"/>
        <v>29</v>
      </c>
      <c r="L5" s="209">
        <f t="shared" si="1"/>
        <v>29</v>
      </c>
      <c r="M5" s="209">
        <f t="shared" si="1"/>
        <v>29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11035500</v>
      </c>
      <c r="C6" s="211">
        <f ca="1">IF($D$1-YEAR($B$1)&gt;0,"",IF(AND($D$1-YEAR($B$1)=0,C3-MONTH($B$1)&gt;=1),"",VLOOKUP(C4,gibon40!$D$4:$AT$47,$N$1,1)))</f>
        <v>11035500</v>
      </c>
      <c r="D6" s="211">
        <f ca="1">IF($D$1-YEAR($B$1)&gt;0,"",IF(AND($D$1-YEAR($B$1)=0,D3-MONTH($B$1)&gt;=1),"",VLOOKUP(D4,gibon40!$D$4:$AT$47,$N$1,1)))</f>
        <v>11271500</v>
      </c>
      <c r="E6" s="211">
        <f ca="1">IF($D$1-YEAR($B$1)&gt;0,"",IF(AND($D$1-YEAR($B$1)=0,E3-MONTH($B$1)&gt;=1),"",VLOOKUP(E4,gibon40!$D$4:$AT$47,$N$1,1)))</f>
        <v>11271500</v>
      </c>
      <c r="F6" s="211">
        <f ca="1">IF($D$1-YEAR($B$1)&gt;0,"",IF(AND($D$1-YEAR($B$1)=0,F3-MONTH($B$1)&gt;=1),"",VLOOKUP(F4,gibon40!$D$4:$AT$47,$N$1,1)))</f>
        <v>11271500</v>
      </c>
      <c r="G6" s="211">
        <f ca="1">IF($D$1-YEAR($B$1)&gt;0,"",IF(AND($D$1-YEAR($B$1)=0,G3-MONTH($B$1)&gt;=1),"",VLOOKUP(G4,gibon40!$D$4:$AT$47,$N$1,1)))</f>
        <v>11271500</v>
      </c>
      <c r="H6" s="211">
        <f ca="1">IF($D$1-YEAR($B$1)&gt;0,"",IF(AND($D$1-YEAR($B$1)=0,H3-MONTH($B$1)&gt;=1),"",VLOOKUP(H4,gibon40!$D$4:$AT$47,$N$1,1)))</f>
        <v>11271500</v>
      </c>
      <c r="I6" s="211">
        <f ca="1">IF($D$1-YEAR($B$1)&gt;0,"",IF(AND($D$1-YEAR($B$1)=0,I3-MONTH($B$1)&gt;=1),"",VLOOKUP(I4,gibon40!$D$4:$AT$47,$N$1,1)))</f>
        <v>11271500</v>
      </c>
      <c r="J6" s="211">
        <f ca="1">IF($D$1-YEAR($B$1)&gt;0,"",IF(AND($D$1-YEAR($B$1)=0,J3-MONTH($B$1)&gt;=1),"",VLOOKUP(J4,gibon40!$D$4:$AT$47,$N$1,1)))</f>
        <v>11271500</v>
      </c>
      <c r="K6" s="211">
        <f ca="1">IF($D$1-YEAR($B$1)&gt;0,"",IF(AND($D$1-YEAR($B$1)=0,K3-MONTH($B$1)&gt;=1),"",VLOOKUP(K4,gibon40!$D$4:$AT$47,$N$1,1)))</f>
        <v>11271500</v>
      </c>
      <c r="L6" s="211">
        <f ca="1">IF($D$1-YEAR($B$1)&gt;0,"",IF(AND($D$1-YEAR($B$1)=0,L3-MONTH($B$1)&gt;=1),"",VLOOKUP(L4,gibon40!$D$4:$AT$47,$N$1,1)))</f>
        <v>11271500</v>
      </c>
      <c r="M6" s="211">
        <f ca="1">IF($D$1-YEAR($B$1)&gt;0,"",IF(AND($D$1-YEAR($B$1)=0,M3-MONTH($B$1)&gt;=1),"",VLOOKUP(M4,gibon40!$D$4:$AT$47,$N$1,1)))</f>
        <v>11271500</v>
      </c>
      <c r="N6" s="211">
        <f t="shared" ref="N6:N52" ca="1" si="2">SUM(B6:M6)</f>
        <v>134786000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5517750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5635750</v>
      </c>
      <c r="I7" s="180"/>
      <c r="J7" s="180"/>
      <c r="K7" s="180"/>
      <c r="L7" s="180"/>
      <c r="M7" s="180"/>
      <c r="N7" s="211">
        <f t="shared" ca="1" si="2"/>
        <v>11153500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8239260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8239260</v>
      </c>
    </row>
    <row r="11" spans="1:14" ht="9.75" customHeight="1">
      <c r="A11" s="178" t="s">
        <v>63</v>
      </c>
      <c r="B11" s="179">
        <f ca="1">IF(B$6="",0,'2050'!M11)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6621300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6762900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13384200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IF(B$6="",0,'2050'!M15)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IF(B$6="",0,'2050'!M16)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IF(B$6="",0,'2050'!M18)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IF(B$6="",0,'2050'!M19)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96650</v>
      </c>
      <c r="E21" s="179">
        <f ca="1">IF(D4="","",IF(E$6="","",ROUND(VLOOKUP(E4,gibon40!$D$51:$AV$100,$N$1+1)*10*15/15,-1)))</f>
        <v>289950</v>
      </c>
      <c r="F21" s="179">
        <f ca="1">IF(E4="","",IF(F$6="","",ROUND(VLOOKUP(F4,gibon40!$D$51:$AV$100,$N$1+1)*10*15/15,-1)))</f>
        <v>289950</v>
      </c>
      <c r="G21" s="179">
        <f ca="1">IF(F4="","",IF(G$6="","",ROUND(VLOOKUP(G4,gibon40!$D$51:$AV$100,$N$1+1)*10*15/15,-1)))</f>
        <v>289950</v>
      </c>
      <c r="H21" s="179">
        <f ca="1">IF(G4="","",IF(H$6="","",ROUND(VLOOKUP(H4,gibon40!$D$51:$AV$100,$N$1+1)*10*15/15,-1)))</f>
        <v>289950</v>
      </c>
      <c r="I21" s="179">
        <f ca="1">IF(H4="","",IF(I$6="","",ROUND(VLOOKUP(I4,gibon40!$D$51:$AV$100,$N$1+1)*10*15/15,-1)))</f>
        <v>289950</v>
      </c>
      <c r="J21" s="179">
        <f ca="1">IF(I4="","",IF(J$6="","",ROUND(VLOOKUP(J4,gibon40!$D$51:$AV$100,$N$1+1)*7*15/15,-1)))</f>
        <v>202960</v>
      </c>
      <c r="K21" s="179">
        <f ca="1">IF(J4="","",IF(K$6="","",ROUND(VLOOKUP(K4,gibon40!$D$51:$AV$100,$N$1+1)*10*15/15,-1)))</f>
        <v>289950</v>
      </c>
      <c r="L21" s="179">
        <f ca="1">IF(K4="","",IF(L$6="","",ROUND(VLOOKUP(L4,gibon40!$D$51:$AV$100,$N$1+1)*10*15/15,-1)))</f>
        <v>289950</v>
      </c>
      <c r="M21" s="179">
        <f ca="1">IF(L4="","",IF(M$6="","",ROUND(VLOOKUP(M4,gibon40!$D$51:$AV$100,$N$1+1)*10*15/15*2,-1)))</f>
        <v>579890</v>
      </c>
      <c r="N21" s="211">
        <f t="shared" ca="1" si="2"/>
        <v>2909150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IF(B$6="",0,'2050'!M23)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IF(B$6="",0,'2050'!M24)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'2050'!A25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17358250</v>
      </c>
      <c r="C26" s="213">
        <f t="shared" ref="C26:M26" ca="1" si="16">ROUNDDOWN(SUM(C6:C25),-1)</f>
        <v>18461800</v>
      </c>
      <c r="D26" s="213">
        <f t="shared" ca="1" si="16"/>
        <v>20412410</v>
      </c>
      <c r="E26" s="213">
        <f t="shared" ca="1" si="16"/>
        <v>12366450</v>
      </c>
      <c r="F26" s="213">
        <f t="shared" ca="1" si="16"/>
        <v>12366450</v>
      </c>
      <c r="G26" s="213">
        <f t="shared" ca="1" si="16"/>
        <v>12366450</v>
      </c>
      <c r="H26" s="213">
        <f t="shared" ca="1" si="16"/>
        <v>18002200</v>
      </c>
      <c r="I26" s="213">
        <f t="shared" ca="1" si="16"/>
        <v>12366450</v>
      </c>
      <c r="J26" s="213">
        <f t="shared" ca="1" si="16"/>
        <v>19042360</v>
      </c>
      <c r="K26" s="213">
        <f t="shared" ca="1" si="16"/>
        <v>12366450</v>
      </c>
      <c r="L26" s="213">
        <f t="shared" ca="1" si="16"/>
        <v>12366450</v>
      </c>
      <c r="M26" s="213">
        <f t="shared" ca="1" si="16"/>
        <v>12656390</v>
      </c>
      <c r="N26" s="214">
        <f ca="1">SUM(B26:M26)</f>
        <v>180132110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IF(B4="","",IF(B6="","",IF($D$1-YEAR('2025'!$I$1)&gt;0,"",IF(AND($D$1-YEAR('2025'!$I$1)=0,B3-MONTH('2025'!$I$1)&gt;=1),"",'2050'!M29))))</f>
        <v>1264820</v>
      </c>
      <c r="C29" s="179">
        <f ca="1">IF(C4="","",IF(C6="","",IF($D$1-YEAR('2025'!$I$1)&gt;0,"",IF(AND($D$1-YEAR('2025'!$I$1)=0,C3-MONTH('2025'!$I$1)&gt;=1),"",B29))))</f>
        <v>1264820</v>
      </c>
      <c r="D29" s="179">
        <f ca="1">IF(D4="","",IF(D6="","",IF($D$1-YEAR('2025'!$I$1)&gt;0,"",IF(AND($D$1-YEAR('2025'!$I$1)=0,D3-MONTH('2025'!$I$1)&gt;=1),"",C29))))</f>
        <v>1264820</v>
      </c>
      <c r="E29" s="179">
        <f ca="1">IF(E4="","",IF(E6="","",IF($D$1-YEAR('2025'!$I$1)&gt;0,"",IF(AND($D$1-YEAR('2025'!$I$1)=0,E3-MONTH('2025'!$I$1)&gt;=1),"",D29))))</f>
        <v>1264820</v>
      </c>
      <c r="F29" s="179">
        <f ca="1">IF(F4="","",IF(F$6="","",IF($D$1-YEAR('2025'!$I$1)&gt;0,"",IF(AND($D$1-YEAR('2025'!$I$1)=0,F3-MONTH('2025'!$I$1)&gt;=1),"",VLOOKUP(F$4,집계표!$AK$5:$HA$47,$N$1*3+$N$1-1+4)))))</f>
        <v>1319180</v>
      </c>
      <c r="G29" s="179">
        <f ca="1">IF(G6="",0,IF($D$1-YEAR('2025'!$I$1)&gt;0,"",IF(AND($D$1-YEAR('2025'!$I$1)=0,G3-MONTH('2025'!$I$1)&gt;=1),"",F29)))</f>
        <v>1319180</v>
      </c>
      <c r="H29" s="179">
        <f ca="1">IF(H6="",0,IF($D$1-YEAR('2025'!$I$1)&gt;0,"",IF(AND($D$1-YEAR('2025'!$I$1)=0,H3-MONTH('2025'!$I$1)&gt;=1),"",G29)))</f>
        <v>1319180</v>
      </c>
      <c r="I29" s="179">
        <f ca="1">IF(I6="",0,IF($D$1-YEAR('2025'!$I$1)&gt;0,"",IF(AND($D$1-YEAR('2025'!$I$1)=0,I3-MONTH('2025'!$I$1)&gt;=1),"",H29)))</f>
        <v>1319180</v>
      </c>
      <c r="J29" s="179">
        <f ca="1">IF(J6="",0,IF($D$1-YEAR('2025'!$I$1)&gt;0,"",IF(AND($D$1-YEAR('2025'!$I$1)=0,J3-MONTH('2025'!$I$1)&gt;=1),"",I29)))</f>
        <v>1319180</v>
      </c>
      <c r="K29" s="179">
        <f ca="1">IF(K6="",0,IF($D$1-YEAR('2025'!$I$1)&gt;0,"",IF(AND($D$1-YEAR('2025'!$I$1)=0,K3-MONTH('2025'!$I$1)&gt;=1),"",J29)))</f>
        <v>1319180</v>
      </c>
      <c r="L29" s="179">
        <f ca="1">IF(L6="",0,IF($D$1-YEAR('2025'!$I$1)&gt;0,"",IF(AND($D$1-YEAR('2025'!$I$1)=0,L3-MONTH('2025'!$I$1)&gt;=1),"",K29)))</f>
        <v>1319180</v>
      </c>
      <c r="M29" s="179">
        <f ca="1">IF(M6="",0,IF($D$1-YEAR('2025'!$I$1)&gt;0,"",IF(AND($D$1-YEAR('2025'!$I$1)=0,M3-MONTH('2025'!$I$1)&gt;=1),"",L29)))</f>
        <v>1319180</v>
      </c>
      <c r="N29" s="211">
        <f t="shared" ca="1" si="2"/>
        <v>15612720</v>
      </c>
    </row>
    <row r="30" spans="1:20" ht="9.75" customHeight="1">
      <c r="A30" s="182" t="s">
        <v>58</v>
      </c>
      <c r="B30" s="179">
        <f ca="1">IF(B6="","",'2050'!M30)</f>
        <v>545620</v>
      </c>
      <c r="C30" s="179">
        <f ca="1">IF(C6="","",B30)</f>
        <v>545620</v>
      </c>
      <c r="D30" s="179">
        <f ca="1">IF(D6="","",C30)</f>
        <v>545620</v>
      </c>
      <c r="E30" s="857">
        <f ca="1">IF(E6="","",VLOOKUP(E$4,집계표!$AK$5:$HA$47,$N$1*4))</f>
        <v>569070</v>
      </c>
      <c r="F30" s="179">
        <f ca="1">IF(F6="","",E30)</f>
        <v>569070</v>
      </c>
      <c r="G30" s="179">
        <f t="shared" ref="G30:M30" ca="1" si="20">IF(G6="","",F30)</f>
        <v>569070</v>
      </c>
      <c r="H30" s="179">
        <f t="shared" ca="1" si="20"/>
        <v>569070</v>
      </c>
      <c r="I30" s="179">
        <f t="shared" ca="1" si="20"/>
        <v>569070</v>
      </c>
      <c r="J30" s="179">
        <f t="shared" ca="1" si="20"/>
        <v>569070</v>
      </c>
      <c r="K30" s="179">
        <f t="shared" ca="1" si="20"/>
        <v>569070</v>
      </c>
      <c r="L30" s="179">
        <f t="shared" ca="1" si="20"/>
        <v>569070</v>
      </c>
      <c r="M30" s="179">
        <f t="shared" ca="1" si="20"/>
        <v>569070</v>
      </c>
      <c r="N30" s="211">
        <f t="shared" ca="1" si="2"/>
        <v>6758490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55930</v>
      </c>
      <c r="C31" s="179">
        <f t="shared" ca="1" si="21"/>
        <v>55930</v>
      </c>
      <c r="D31" s="179">
        <f t="shared" ca="1" si="21"/>
        <v>55930</v>
      </c>
      <c r="E31" s="179">
        <f t="shared" ca="1" si="21"/>
        <v>58330</v>
      </c>
      <c r="F31" s="179">
        <f t="shared" ca="1" si="21"/>
        <v>58330</v>
      </c>
      <c r="G31" s="179">
        <f t="shared" ca="1" si="21"/>
        <v>58330</v>
      </c>
      <c r="H31" s="179">
        <f t="shared" ca="1" si="21"/>
        <v>58330</v>
      </c>
      <c r="I31" s="179">
        <f t="shared" ca="1" si="21"/>
        <v>58330</v>
      </c>
      <c r="J31" s="179">
        <f ca="1">IF(J$6="","",ROUND(IF(J4="","",J30*10.25%),-1))</f>
        <v>58330</v>
      </c>
      <c r="K31" s="179">
        <f t="shared" ref="K31:M31" ca="1" si="22">IF(K$6="","",ROUND(IF(K4="","",K30*10.25%),-1))</f>
        <v>58330</v>
      </c>
      <c r="L31" s="179">
        <f t="shared" ca="1" si="22"/>
        <v>58330</v>
      </c>
      <c r="M31" s="179">
        <f t="shared" ca="1" si="22"/>
        <v>58330</v>
      </c>
      <c r="N31" s="211">
        <f t="shared" ca="1" si="2"/>
        <v>692760</v>
      </c>
    </row>
    <row r="32" spans="1:20" ht="9.75" customHeight="1">
      <c r="A32" s="597" t="str">
        <f>'2050'!A32</f>
        <v>교직원공제비</v>
      </c>
      <c r="B32" s="621">
        <f ca="1">IF(B$6="","",'2050'!B32)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'2050'!A33</f>
        <v>급식비</v>
      </c>
      <c r="B33" s="621">
        <f ca="1">IF(B$6="","",'2050'!B33)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IF(B$6="",0,'2050'!M34)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IF(B$6="",0,'2050'!M38)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IF(B$6="",0,'2050'!M39)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3508700</v>
      </c>
      <c r="C40" s="216">
        <f t="shared" ca="1" si="28"/>
        <v>3525860</v>
      </c>
      <c r="D40" s="216">
        <f t="shared" ca="1" si="28"/>
        <v>3543040</v>
      </c>
      <c r="E40" s="216">
        <f t="shared" ca="1" si="28"/>
        <v>4100990</v>
      </c>
      <c r="F40" s="216">
        <f t="shared" ca="1" si="28"/>
        <v>4172520</v>
      </c>
      <c r="G40" s="216">
        <f t="shared" ca="1" si="28"/>
        <v>4189680</v>
      </c>
      <c r="H40" s="216">
        <f t="shared" ca="1" si="28"/>
        <v>4206850</v>
      </c>
      <c r="I40" s="216">
        <f t="shared" ca="1" si="28"/>
        <v>4224010</v>
      </c>
      <c r="J40" s="216">
        <f ca="1">IF(J26="","",SUM(J27:J39))</f>
        <v>4241180</v>
      </c>
      <c r="K40" s="216">
        <f t="shared" ref="K40:M40" ca="1" si="29">IF(K26="","",SUM(K27:K39))</f>
        <v>4258340</v>
      </c>
      <c r="L40" s="216">
        <f t="shared" ca="1" si="29"/>
        <v>4275500</v>
      </c>
      <c r="M40" s="216">
        <f t="shared" ca="1" si="29"/>
        <v>4292670</v>
      </c>
      <c r="N40" s="216">
        <f ca="1">SUM(B40:M40)</f>
        <v>48539340</v>
      </c>
    </row>
    <row r="41" spans="1:14" ht="9.75" customHeight="1">
      <c r="A41" s="183" t="s">
        <v>79</v>
      </c>
      <c r="B41" s="184">
        <f ca="1">ROUND((B26-B40),-1)</f>
        <v>13849550</v>
      </c>
      <c r="C41" s="184">
        <f t="shared" ref="C41:M41" ca="1" si="30">ROUND((C26-C40),-1)</f>
        <v>14935940</v>
      </c>
      <c r="D41" s="184">
        <f t="shared" ca="1" si="30"/>
        <v>16869370</v>
      </c>
      <c r="E41" s="184">
        <f t="shared" ca="1" si="30"/>
        <v>8265460</v>
      </c>
      <c r="F41" s="184">
        <f t="shared" ca="1" si="30"/>
        <v>8193930</v>
      </c>
      <c r="G41" s="184">
        <f t="shared" ca="1" si="30"/>
        <v>8176770</v>
      </c>
      <c r="H41" s="184">
        <f t="shared" ca="1" si="30"/>
        <v>13795350</v>
      </c>
      <c r="I41" s="184">
        <f t="shared" ca="1" si="30"/>
        <v>8142440</v>
      </c>
      <c r="J41" s="184">
        <f t="shared" ca="1" si="30"/>
        <v>14801180</v>
      </c>
      <c r="K41" s="184">
        <f t="shared" ca="1" si="30"/>
        <v>8108110</v>
      </c>
      <c r="L41" s="184">
        <f t="shared" ca="1" si="30"/>
        <v>8090950</v>
      </c>
      <c r="M41" s="184">
        <f t="shared" ca="1" si="30"/>
        <v>8363720</v>
      </c>
      <c r="N41" s="184">
        <f ca="1">SUM(B41:M41)</f>
        <v>131592770</v>
      </c>
    </row>
    <row r="42" spans="1:14" ht="9.75" customHeight="1">
      <c r="A42" s="217" t="str">
        <f>'2050'!A42</f>
        <v>12)지출내용입력1</v>
      </c>
      <c r="B42" s="211">
        <f>'2050'!M42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'2050'!A43</f>
        <v>지출내용입력2</v>
      </c>
      <c r="B43" s="211">
        <f>'2050'!M43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'2050'!A44</f>
        <v>지출내용입력3</v>
      </c>
      <c r="B44" s="211">
        <f>'2050'!M44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'2050'!A45</f>
        <v>지출내용입력4</v>
      </c>
      <c r="B45" s="211">
        <f>'2050'!M45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'2050'!A46</f>
        <v>지출내용입력5</v>
      </c>
      <c r="B46" s="211">
        <f>'2050'!M46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'2050'!A47</f>
        <v>지출내용입력6</v>
      </c>
      <c r="B47" s="211">
        <f>'2050'!M47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'2050'!A48</f>
        <v>지출내용입력7</v>
      </c>
      <c r="B48" s="211">
        <f>'2050'!M48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'2050'!A49</f>
        <v>지출내용입력8</v>
      </c>
      <c r="B49" s="211">
        <f>'2050'!M49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'2050'!A50</f>
        <v>지출내용입력9</v>
      </c>
      <c r="B50" s="211">
        <f>'2050'!M50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'2050'!A51</f>
        <v>지출내용입력10</v>
      </c>
      <c r="B51" s="211">
        <f>'2050'!M51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13849450</v>
      </c>
      <c r="C53" s="188">
        <f t="shared" ca="1" si="33"/>
        <v>14935840</v>
      </c>
      <c r="D53" s="188">
        <f t="shared" ca="1" si="33"/>
        <v>16869270</v>
      </c>
      <c r="E53" s="188">
        <f t="shared" ca="1" si="33"/>
        <v>8265360</v>
      </c>
      <c r="F53" s="188">
        <f t="shared" ca="1" si="33"/>
        <v>8193830</v>
      </c>
      <c r="G53" s="188">
        <f t="shared" ca="1" si="33"/>
        <v>8176670</v>
      </c>
      <c r="H53" s="188">
        <f t="shared" ca="1" si="33"/>
        <v>13795250</v>
      </c>
      <c r="I53" s="188">
        <f t="shared" ca="1" si="33"/>
        <v>8142340</v>
      </c>
      <c r="J53" s="188">
        <f t="shared" ca="1" si="33"/>
        <v>14801080</v>
      </c>
      <c r="K53" s="188">
        <f t="shared" ca="1" si="33"/>
        <v>8108010</v>
      </c>
      <c r="L53" s="188">
        <f t="shared" ca="1" si="33"/>
        <v>8090850</v>
      </c>
      <c r="M53" s="188">
        <f t="shared" ca="1" si="33"/>
        <v>8363620</v>
      </c>
      <c r="N53" s="188">
        <f t="shared" ca="1" si="33"/>
        <v>131591570</v>
      </c>
    </row>
    <row r="55" spans="1:14" ht="18">
      <c r="A55" s="1232" t="str">
        <f ca="1">D1</f>
        <v>2051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pu4etY6LmDr/pHOe9fgjmedZMz8HYFANL2szGk2n49d3mIELcl8h67FdLB4et6rZ3tf9sPPMO+H/6HydiMA/JA==" saltValue="nfxiGKKTJNqs87uXDp2yR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07" priority="8">
      <formula>$E$2="y"</formula>
    </cfRule>
    <cfRule type="expression" dxfId="206" priority="9">
      <formula>$D$2="Y"</formula>
    </cfRule>
    <cfRule type="expression" dxfId="205" priority="10">
      <formula>$F$2="y"</formula>
    </cfRule>
  </conditionalFormatting>
  <conditionalFormatting sqref="B27:M27">
    <cfRule type="expression" dxfId="204" priority="1">
      <formula>$F$2="y"</formula>
    </cfRule>
  </conditionalFormatting>
  <conditionalFormatting sqref="D16">
    <cfRule type="expression" dxfId="203" priority="26">
      <formula>$E$2="y"</formula>
    </cfRule>
    <cfRule type="expression" dxfId="202" priority="27">
      <formula>$E$2="y"</formula>
    </cfRule>
    <cfRule type="expression" dxfId="201" priority="28">
      <formula>$F$2="y"</formula>
    </cfRule>
  </conditionalFormatting>
  <conditionalFormatting sqref="D18">
    <cfRule type="expression" dxfId="200" priority="23">
      <formula>$E$2="y"</formula>
    </cfRule>
    <cfRule type="expression" dxfId="199" priority="24">
      <formula>$E$2="y"</formula>
    </cfRule>
    <cfRule type="expression" dxfId="198" priority="25">
      <formula>$F$2="y"</formula>
    </cfRule>
  </conditionalFormatting>
  <conditionalFormatting sqref="J12:K12">
    <cfRule type="expression" dxfId="197" priority="5">
      <formula>$E$2="y"</formula>
    </cfRule>
    <cfRule type="expression" dxfId="196" priority="6">
      <formula>$D$2="Y"</formula>
    </cfRule>
    <cfRule type="expression" dxfId="195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5409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10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11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13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A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2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2052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집계표!AD119</f>
        <v>2</v>
      </c>
      <c r="M1" s="627">
        <f>집계표!AD122</f>
        <v>1</v>
      </c>
      <c r="N1" s="618">
        <v>28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집계표!BM53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IF('2051'!M4&gt;=50,50,IF(AND('2051'!M4=50,M$3=$N$5),"",IF(B3=$N$5,'2051'!M4+1,'2051'!M4)))</f>
        <v>39</v>
      </c>
      <c r="C4" s="176">
        <f>IF(B4&gt;=50,50,IF(AND(B4=50,C$3=$N$5),50,IF(C$3=$N$5,B4+1,B4)))</f>
        <v>39</v>
      </c>
      <c r="D4" s="176">
        <f t="shared" ref="D4:M4" si="0">IF(C4&gt;=50,50,IF(AND(C4=50,D$3=$N$5),50,IF(D$3=$N$5,C4+1,C4)))</f>
        <v>40</v>
      </c>
      <c r="E4" s="176">
        <f t="shared" si="0"/>
        <v>40</v>
      </c>
      <c r="F4" s="176">
        <f t="shared" si="0"/>
        <v>40</v>
      </c>
      <c r="G4" s="176">
        <f t="shared" si="0"/>
        <v>40</v>
      </c>
      <c r="H4" s="176">
        <f t="shared" si="0"/>
        <v>40</v>
      </c>
      <c r="I4" s="176">
        <f t="shared" si="0"/>
        <v>40</v>
      </c>
      <c r="J4" s="176">
        <f t="shared" si="0"/>
        <v>40</v>
      </c>
      <c r="K4" s="176">
        <f t="shared" si="0"/>
        <v>40</v>
      </c>
      <c r="L4" s="176">
        <f t="shared" si="0"/>
        <v>40</v>
      </c>
      <c r="M4" s="176">
        <f t="shared" si="0"/>
        <v>40</v>
      </c>
      <c r="N4" s="202" t="s">
        <v>124</v>
      </c>
    </row>
    <row r="5" spans="1:14" ht="9.75" customHeight="1">
      <c r="A5" s="208" t="s">
        <v>134</v>
      </c>
      <c r="B5" s="356">
        <f>IF(B$3=$N$5,'2051'!M5+1,'2051'!M5)</f>
        <v>29</v>
      </c>
      <c r="C5" s="209">
        <f>IF(C$3=$N$5,B5+1,B5)</f>
        <v>29</v>
      </c>
      <c r="D5" s="209">
        <f t="shared" ref="D5:M5" si="1">IF(D$3=$N$5,C5+1,C5)</f>
        <v>30</v>
      </c>
      <c r="E5" s="209">
        <f t="shared" si="1"/>
        <v>30</v>
      </c>
      <c r="F5" s="209">
        <f t="shared" si="1"/>
        <v>30</v>
      </c>
      <c r="G5" s="209">
        <f t="shared" si="1"/>
        <v>30</v>
      </c>
      <c r="H5" s="209">
        <f t="shared" si="1"/>
        <v>30</v>
      </c>
      <c r="I5" s="209">
        <f t="shared" si="1"/>
        <v>30</v>
      </c>
      <c r="J5" s="209">
        <f t="shared" si="1"/>
        <v>30</v>
      </c>
      <c r="K5" s="209">
        <f t="shared" si="1"/>
        <v>30</v>
      </c>
      <c r="L5" s="209">
        <f t="shared" si="1"/>
        <v>30</v>
      </c>
      <c r="M5" s="209">
        <f t="shared" si="1"/>
        <v>30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11553300</v>
      </c>
      <c r="C6" s="211">
        <f ca="1">IF($D$1-YEAR($B$1)&gt;0,"",IF(AND($D$1-YEAR($B$1)=0,C3-MONTH($B$1)&gt;=1),"",VLOOKUP(C4,gibon40!$D$4:$AT$47,$N$1,1)))</f>
        <v>11553300</v>
      </c>
      <c r="D6" s="211">
        <f ca="1">IF($D$1-YEAR($B$1)&gt;0,"",IF(AND($D$1-YEAR($B$1)=0,D3-MONTH($B$1)&gt;=1),"",VLOOKUP(D4,gibon40!$D$4:$AT$47,$N$1,1)))</f>
        <v>11792500</v>
      </c>
      <c r="E6" s="211">
        <f ca="1">IF($D$1-YEAR($B$1)&gt;0,"",IF(AND($D$1-YEAR($B$1)=0,E3-MONTH($B$1)&gt;=1),"",VLOOKUP(E4,gibon40!$D$4:$AT$47,$N$1,1)))</f>
        <v>11792500</v>
      </c>
      <c r="F6" s="211">
        <f ca="1">IF($D$1-YEAR($B$1)&gt;0,"",IF(AND($D$1-YEAR($B$1)=0,F3-MONTH($B$1)&gt;=1),"",VLOOKUP(F4,gibon40!$D$4:$AT$47,$N$1,1)))</f>
        <v>11792500</v>
      </c>
      <c r="G6" s="211">
        <f ca="1">IF($D$1-YEAR($B$1)&gt;0,"",IF(AND($D$1-YEAR($B$1)=0,G3-MONTH($B$1)&gt;=1),"",VLOOKUP(G4,gibon40!$D$4:$AT$47,$N$1,1)))</f>
        <v>11792500</v>
      </c>
      <c r="H6" s="211">
        <f ca="1">IF($D$1-YEAR($B$1)&gt;0,"",IF(AND($D$1-YEAR($B$1)=0,H3-MONTH($B$1)&gt;=1),"",VLOOKUP(H4,gibon40!$D$4:$AT$47,$N$1,1)))</f>
        <v>11792500</v>
      </c>
      <c r="I6" s="211">
        <f ca="1">IF($D$1-YEAR($B$1)&gt;0,"",IF(AND($D$1-YEAR($B$1)=0,I3-MONTH($B$1)&gt;=1),"",VLOOKUP(I4,gibon40!$D$4:$AT$47,$N$1,1)))</f>
        <v>11792500</v>
      </c>
      <c r="J6" s="211">
        <f ca="1">IF($D$1-YEAR($B$1)&gt;0,"",IF(AND($D$1-YEAR($B$1)=0,J3-MONTH($B$1)&gt;=1),"",VLOOKUP(J4,gibon40!$D$4:$AT$47,$N$1,1)))</f>
        <v>11792500</v>
      </c>
      <c r="K6" s="211">
        <f ca="1">IF($D$1-YEAR($B$1)&gt;0,"",IF(AND($D$1-YEAR($B$1)=0,K3-MONTH($B$1)&gt;=1),"",VLOOKUP(K4,gibon40!$D$4:$AT$47,$N$1,1)))</f>
        <v>11792500</v>
      </c>
      <c r="L6" s="211">
        <f ca="1">IF($D$1-YEAR($B$1)&gt;0,"",IF(AND($D$1-YEAR($B$1)=0,L3-MONTH($B$1)&gt;=1),"",VLOOKUP(L4,gibon40!$D$4:$AT$47,$N$1,1)))</f>
        <v>11792500</v>
      </c>
      <c r="M6" s="211">
        <f ca="1">IF($D$1-YEAR($B$1)&gt;0,"",IF(AND($D$1-YEAR($B$1)=0,M3-MONTH($B$1)&gt;=1),"",VLOOKUP(M4,gibon40!$D$4:$AT$47,$N$1,1)))</f>
        <v>11792500</v>
      </c>
      <c r="N6" s="211">
        <f t="shared" ref="N6:N52" ca="1" si="2">SUM(B6:M6)</f>
        <v>141031600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5776650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5896250</v>
      </c>
      <c r="I7" s="180"/>
      <c r="J7" s="180"/>
      <c r="K7" s="180"/>
      <c r="L7" s="180"/>
      <c r="M7" s="180"/>
      <c r="N7" s="211">
        <f t="shared" ca="1" si="2"/>
        <v>11672900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8445230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8445230</v>
      </c>
    </row>
    <row r="11" spans="1:14" ht="9.75" customHeight="1">
      <c r="A11" s="178" t="s">
        <v>63</v>
      </c>
      <c r="B11" s="179">
        <f ca="1">IF(B$6="",0,'2051'!M11)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6931980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7075500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14007480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IF(B$6="",0,'2051'!M15)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IF(B$6="",0,'2051'!M16)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IF(B$6="",0,'2051'!M18)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IF(B$6="",0,'2051'!M19)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99060</v>
      </c>
      <c r="E21" s="179">
        <f ca="1">IF(D4="","",IF(E$6="","",ROUND(VLOOKUP(E4,gibon40!$D$51:$AV$100,$N$1+1)*10*15/15,-1)))</f>
        <v>297190</v>
      </c>
      <c r="F21" s="179">
        <f ca="1">IF(E4="","",IF(F$6="","",ROUND(VLOOKUP(F4,gibon40!$D$51:$AV$100,$N$1+1)*10*15/15,-1)))</f>
        <v>297190</v>
      </c>
      <c r="G21" s="179">
        <f ca="1">IF(F4="","",IF(G$6="","",ROUND(VLOOKUP(G4,gibon40!$D$51:$AV$100,$N$1+1)*10*15/15,-1)))</f>
        <v>297190</v>
      </c>
      <c r="H21" s="179">
        <f ca="1">IF(G4="","",IF(H$6="","",ROUND(VLOOKUP(H4,gibon40!$D$51:$AV$100,$N$1+1)*10*15/15,-1)))</f>
        <v>297190</v>
      </c>
      <c r="I21" s="179">
        <f ca="1">IF(H4="","",IF(I$6="","",ROUND(VLOOKUP(I4,gibon40!$D$51:$AV$100,$N$1+1)*10*15/15,-1)))</f>
        <v>297190</v>
      </c>
      <c r="J21" s="179">
        <f ca="1">IF(I4="","",IF(J$6="","",ROUND(VLOOKUP(J4,gibon40!$D$51:$AV$100,$N$1+1)*7*15/15,-1)))</f>
        <v>208040</v>
      </c>
      <c r="K21" s="179">
        <f ca="1">IF(J4="","",IF(K$6="","",ROUND(VLOOKUP(K4,gibon40!$D$51:$AV$100,$N$1+1)*10*15/15,-1)))</f>
        <v>297190</v>
      </c>
      <c r="L21" s="179">
        <f ca="1">IF(K4="","",IF(L$6="","",ROUND(VLOOKUP(L4,gibon40!$D$51:$AV$100,$N$1+1)*10*15/15,-1)))</f>
        <v>297190</v>
      </c>
      <c r="M21" s="179">
        <f ca="1">IF(L4="","",IF(M$6="","",ROUND(VLOOKUP(M4,gibon40!$D$51:$AV$100,$N$1+1)*10*15/15*2,-1)))</f>
        <v>594390</v>
      </c>
      <c r="N21" s="211">
        <f t="shared" ca="1" si="2"/>
        <v>2981820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IF(B$6="",0,'2051'!M23)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IF(B$6="",0,'2051'!M24)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'2051'!A25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18134950</v>
      </c>
      <c r="C26" s="213">
        <f t="shared" ref="C26:M26" ca="1" si="16">ROUNDDOWN(SUM(C6:C25),-1)</f>
        <v>19290280</v>
      </c>
      <c r="D26" s="213">
        <f t="shared" ca="1" si="16"/>
        <v>21141790</v>
      </c>
      <c r="E26" s="213">
        <f t="shared" ca="1" si="16"/>
        <v>12894690</v>
      </c>
      <c r="F26" s="213">
        <f t="shared" ca="1" si="16"/>
        <v>12894690</v>
      </c>
      <c r="G26" s="213">
        <f t="shared" ca="1" si="16"/>
        <v>12894690</v>
      </c>
      <c r="H26" s="213">
        <f t="shared" ca="1" si="16"/>
        <v>18790940</v>
      </c>
      <c r="I26" s="213">
        <f t="shared" ca="1" si="16"/>
        <v>12894690</v>
      </c>
      <c r="J26" s="213">
        <f t="shared" ca="1" si="16"/>
        <v>19881040</v>
      </c>
      <c r="K26" s="213">
        <f t="shared" ca="1" si="16"/>
        <v>12894690</v>
      </c>
      <c r="L26" s="213">
        <f t="shared" ca="1" si="16"/>
        <v>12894690</v>
      </c>
      <c r="M26" s="213">
        <f t="shared" ca="1" si="16"/>
        <v>13191890</v>
      </c>
      <c r="N26" s="214">
        <f ca="1">SUM(B26:M26)</f>
        <v>187799030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IF(B4="","",IF(B6="","",IF($D$1-YEAR('2025'!$I$1)&gt;0,"",IF(AND($D$1-YEAR('2025'!$I$1)=0,B3-MONTH('2025'!$I$1)&gt;=1),"",'2051'!M29))))</f>
        <v>1319180</v>
      </c>
      <c r="C29" s="179">
        <f ca="1">IF(C4="","",IF(C6="","",IF($D$1-YEAR('2025'!$I$1)&gt;0,"",IF(AND($D$1-YEAR('2025'!$I$1)=0,C3-MONTH('2025'!$I$1)&gt;=1),"",B29))))</f>
        <v>1319180</v>
      </c>
      <c r="D29" s="179">
        <f ca="1">IF(D4="","",IF(D6="","",IF($D$1-YEAR('2025'!$I$1)&gt;0,"",IF(AND($D$1-YEAR('2025'!$I$1)=0,D3-MONTH('2025'!$I$1)&gt;=1),"",C29))))</f>
        <v>1319180</v>
      </c>
      <c r="E29" s="179">
        <f ca="1">IF(E4="","",IF(E6="","",IF($D$1-YEAR('2025'!$I$1)&gt;0,"",IF(AND($D$1-YEAR('2025'!$I$1)=0,E3-MONTH('2025'!$I$1)&gt;=1),"",D29))))</f>
        <v>1319180</v>
      </c>
      <c r="F29" s="179">
        <f ca="1">IF(F4="","",IF(F$6="","",IF($D$1-YEAR('2025'!$I$1)&gt;0,"",IF(AND($D$1-YEAR('2025'!$I$1)=0,F3-MONTH('2025'!$I$1)&gt;=1),"",VLOOKUP(F$4,집계표!$AK$5:$HA$47,$N$1*3+$N$1-1+4)))))</f>
        <v>1374200</v>
      </c>
      <c r="G29" s="179">
        <f ca="1">IF(G6="",0,IF($D$1-YEAR('2025'!$I$1)&gt;0,"",IF(AND($D$1-YEAR('2025'!$I$1)=0,G3-MONTH('2025'!$I$1)&gt;=1),"",F29)))</f>
        <v>1374200</v>
      </c>
      <c r="H29" s="179">
        <f ca="1">IF(H6="",0,IF($D$1-YEAR('2025'!$I$1)&gt;0,"",IF(AND($D$1-YEAR('2025'!$I$1)=0,H3-MONTH('2025'!$I$1)&gt;=1),"",G29)))</f>
        <v>1374200</v>
      </c>
      <c r="I29" s="179">
        <f ca="1">IF(I6="",0,IF($D$1-YEAR('2025'!$I$1)&gt;0,"",IF(AND($D$1-YEAR('2025'!$I$1)=0,I3-MONTH('2025'!$I$1)&gt;=1),"",H29)))</f>
        <v>1374200</v>
      </c>
      <c r="J29" s="179">
        <f ca="1">IF(J6="",0,IF($D$1-YEAR('2025'!$I$1)&gt;0,"",IF(AND($D$1-YEAR('2025'!$I$1)=0,J3-MONTH('2025'!$I$1)&gt;=1),"",I29)))</f>
        <v>1374200</v>
      </c>
      <c r="K29" s="179">
        <f ca="1">IF(K6="",0,IF($D$1-YEAR('2025'!$I$1)&gt;0,"",IF(AND($D$1-YEAR('2025'!$I$1)=0,K3-MONTH('2025'!$I$1)&gt;=1),"",J29)))</f>
        <v>1374200</v>
      </c>
      <c r="L29" s="179">
        <f ca="1">IF(L6="",0,IF($D$1-YEAR('2025'!$I$1)&gt;0,"",IF(AND($D$1-YEAR('2025'!$I$1)=0,L3-MONTH('2025'!$I$1)&gt;=1),"",K29)))</f>
        <v>1374200</v>
      </c>
      <c r="M29" s="179">
        <f ca="1">IF(M6="",0,IF($D$1-YEAR('2025'!$I$1)&gt;0,"",IF(AND($D$1-YEAR('2025'!$I$1)=0,M3-MONTH('2025'!$I$1)&gt;=1),"",L29)))</f>
        <v>1374200</v>
      </c>
      <c r="N29" s="211">
        <f t="shared" ca="1" si="2"/>
        <v>16270320</v>
      </c>
    </row>
    <row r="30" spans="1:20" ht="9.75" customHeight="1">
      <c r="A30" s="182" t="s">
        <v>58</v>
      </c>
      <c r="B30" s="179">
        <f ca="1">IF(B6="","",'2051'!M30)</f>
        <v>569070</v>
      </c>
      <c r="C30" s="179">
        <f ca="1">IF(C6="","",B30)</f>
        <v>569070</v>
      </c>
      <c r="D30" s="179">
        <f ca="1">IF(D6="","",C30)</f>
        <v>569070</v>
      </c>
      <c r="E30" s="857">
        <f ca="1">IF(E6="","",VLOOKUP(E$4,집계표!$AK$5:$HA$47,$N$1*4))</f>
        <v>592810</v>
      </c>
      <c r="F30" s="179">
        <f ca="1">IF(F6="","",E30)</f>
        <v>592810</v>
      </c>
      <c r="G30" s="179">
        <f t="shared" ref="G30:M30" ca="1" si="20">IF(G6="","",F30)</f>
        <v>592810</v>
      </c>
      <c r="H30" s="179">
        <f t="shared" ca="1" si="20"/>
        <v>592810</v>
      </c>
      <c r="I30" s="179">
        <f t="shared" ca="1" si="20"/>
        <v>592810</v>
      </c>
      <c r="J30" s="179">
        <f t="shared" ca="1" si="20"/>
        <v>592810</v>
      </c>
      <c r="K30" s="179">
        <f t="shared" ca="1" si="20"/>
        <v>592810</v>
      </c>
      <c r="L30" s="179">
        <f t="shared" ca="1" si="20"/>
        <v>592810</v>
      </c>
      <c r="M30" s="179">
        <f t="shared" ca="1" si="20"/>
        <v>592810</v>
      </c>
      <c r="N30" s="211">
        <f t="shared" ca="1" si="2"/>
        <v>7042500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58330</v>
      </c>
      <c r="C31" s="179">
        <f t="shared" ca="1" si="21"/>
        <v>58330</v>
      </c>
      <c r="D31" s="179">
        <f t="shared" ca="1" si="21"/>
        <v>58330</v>
      </c>
      <c r="E31" s="179">
        <f t="shared" ca="1" si="21"/>
        <v>60760</v>
      </c>
      <c r="F31" s="179">
        <f t="shared" ca="1" si="21"/>
        <v>60760</v>
      </c>
      <c r="G31" s="179">
        <f t="shared" ca="1" si="21"/>
        <v>60760</v>
      </c>
      <c r="H31" s="179">
        <f t="shared" ca="1" si="21"/>
        <v>60760</v>
      </c>
      <c r="I31" s="179">
        <f t="shared" ca="1" si="21"/>
        <v>60760</v>
      </c>
      <c r="J31" s="179">
        <f ca="1">IF(J$6="","",ROUND(IF(J4="","",J30*10.25%),-1))</f>
        <v>60760</v>
      </c>
      <c r="K31" s="179">
        <f t="shared" ref="K31:M31" ca="1" si="22">IF(K$6="","",ROUND(IF(K4="","",K30*10.25%),-1))</f>
        <v>60760</v>
      </c>
      <c r="L31" s="179">
        <f t="shared" ca="1" si="22"/>
        <v>60760</v>
      </c>
      <c r="M31" s="179">
        <f t="shared" ca="1" si="22"/>
        <v>60760</v>
      </c>
      <c r="N31" s="211">
        <f t="shared" ca="1" si="2"/>
        <v>721830</v>
      </c>
    </row>
    <row r="32" spans="1:20" ht="9.75" customHeight="1">
      <c r="A32" s="597" t="str">
        <f>'2051'!A32</f>
        <v>교직원공제비</v>
      </c>
      <c r="B32" s="621">
        <f ca="1">IF(B$6="","",'2051'!B32)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'2051'!A33</f>
        <v>급식비</v>
      </c>
      <c r="B33" s="621">
        <f ca="1">IF(B$6="","",'2051'!B33)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IF(B$6="",0,'2051'!M34)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IF(B$6="",0,'2051'!M38)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IF(B$6="",0,'2051'!M39)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3588910</v>
      </c>
      <c r="C40" s="216">
        <f t="shared" ca="1" si="28"/>
        <v>3606070</v>
      </c>
      <c r="D40" s="216">
        <f t="shared" ca="1" si="28"/>
        <v>3623250</v>
      </c>
      <c r="E40" s="216">
        <f t="shared" ca="1" si="28"/>
        <v>4181520</v>
      </c>
      <c r="F40" s="216">
        <f t="shared" ca="1" si="28"/>
        <v>4253710</v>
      </c>
      <c r="G40" s="216">
        <f t="shared" ca="1" si="28"/>
        <v>4270870</v>
      </c>
      <c r="H40" s="216">
        <f t="shared" ca="1" si="28"/>
        <v>4288040</v>
      </c>
      <c r="I40" s="216">
        <f t="shared" ca="1" si="28"/>
        <v>4305200</v>
      </c>
      <c r="J40" s="216">
        <f ca="1">IF(J26="","",SUM(J27:J39))</f>
        <v>4322370</v>
      </c>
      <c r="K40" s="216">
        <f t="shared" ref="K40:M40" ca="1" si="29">IF(K26="","",SUM(K27:K39))</f>
        <v>4339530</v>
      </c>
      <c r="L40" s="216">
        <f t="shared" ca="1" si="29"/>
        <v>4356690</v>
      </c>
      <c r="M40" s="216">
        <f t="shared" ca="1" si="29"/>
        <v>4373860</v>
      </c>
      <c r="N40" s="216">
        <f ca="1">SUM(B40:M40)</f>
        <v>49510020</v>
      </c>
    </row>
    <row r="41" spans="1:14" ht="9.75" customHeight="1">
      <c r="A41" s="183" t="s">
        <v>79</v>
      </c>
      <c r="B41" s="184">
        <f ca="1">ROUND((B26-B40),-1)</f>
        <v>14546040</v>
      </c>
      <c r="C41" s="184">
        <f t="shared" ref="C41:M41" ca="1" si="30">ROUND((C26-C40),-1)</f>
        <v>15684210</v>
      </c>
      <c r="D41" s="184">
        <f t="shared" ca="1" si="30"/>
        <v>17518540</v>
      </c>
      <c r="E41" s="184">
        <f t="shared" ca="1" si="30"/>
        <v>8713170</v>
      </c>
      <c r="F41" s="184">
        <f t="shared" ca="1" si="30"/>
        <v>8640980</v>
      </c>
      <c r="G41" s="184">
        <f t="shared" ca="1" si="30"/>
        <v>8623820</v>
      </c>
      <c r="H41" s="184">
        <f t="shared" ca="1" si="30"/>
        <v>14502900</v>
      </c>
      <c r="I41" s="184">
        <f t="shared" ca="1" si="30"/>
        <v>8589490</v>
      </c>
      <c r="J41" s="184">
        <f t="shared" ca="1" si="30"/>
        <v>15558670</v>
      </c>
      <c r="K41" s="184">
        <f t="shared" ca="1" si="30"/>
        <v>8555160</v>
      </c>
      <c r="L41" s="184">
        <f t="shared" ca="1" si="30"/>
        <v>8538000</v>
      </c>
      <c r="M41" s="184">
        <f t="shared" ca="1" si="30"/>
        <v>8818030</v>
      </c>
      <c r="N41" s="184">
        <f ca="1">SUM(B41:M41)</f>
        <v>138289010</v>
      </c>
    </row>
    <row r="42" spans="1:14" ht="9.75" customHeight="1">
      <c r="A42" s="217" t="str">
        <f>'2051'!A42</f>
        <v>12)지출내용입력1</v>
      </c>
      <c r="B42" s="211">
        <f>'2051'!M42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'2051'!A43</f>
        <v>지출내용입력2</v>
      </c>
      <c r="B43" s="211">
        <f>'2051'!M43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'2051'!A44</f>
        <v>지출내용입력3</v>
      </c>
      <c r="B44" s="211">
        <f>'2051'!M44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'2051'!A45</f>
        <v>지출내용입력4</v>
      </c>
      <c r="B45" s="211">
        <f>'2051'!M45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'2051'!A46</f>
        <v>지출내용입력5</v>
      </c>
      <c r="B46" s="211">
        <f>'2051'!M46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'2051'!A47</f>
        <v>지출내용입력6</v>
      </c>
      <c r="B47" s="211">
        <f>'2051'!M47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'2051'!A48</f>
        <v>지출내용입력7</v>
      </c>
      <c r="B48" s="211">
        <f>'2051'!M48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'2051'!A49</f>
        <v>지출내용입력8</v>
      </c>
      <c r="B49" s="211">
        <f>'2051'!M49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'2051'!A50</f>
        <v>지출내용입력9</v>
      </c>
      <c r="B50" s="211">
        <f>'2051'!M50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'2051'!A51</f>
        <v>지출내용입력10</v>
      </c>
      <c r="B51" s="211">
        <f>'2051'!M51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14545940</v>
      </c>
      <c r="C53" s="188">
        <f t="shared" ca="1" si="33"/>
        <v>15684110</v>
      </c>
      <c r="D53" s="188">
        <f t="shared" ca="1" si="33"/>
        <v>17518440</v>
      </c>
      <c r="E53" s="188">
        <f t="shared" ca="1" si="33"/>
        <v>8713070</v>
      </c>
      <c r="F53" s="188">
        <f t="shared" ca="1" si="33"/>
        <v>8640880</v>
      </c>
      <c r="G53" s="188">
        <f t="shared" ca="1" si="33"/>
        <v>8623720</v>
      </c>
      <c r="H53" s="188">
        <f t="shared" ca="1" si="33"/>
        <v>14502800</v>
      </c>
      <c r="I53" s="188">
        <f t="shared" ca="1" si="33"/>
        <v>8589390</v>
      </c>
      <c r="J53" s="188">
        <f t="shared" ca="1" si="33"/>
        <v>15558570</v>
      </c>
      <c r="K53" s="188">
        <f t="shared" ca="1" si="33"/>
        <v>8555060</v>
      </c>
      <c r="L53" s="188">
        <f t="shared" ca="1" si="33"/>
        <v>8537900</v>
      </c>
      <c r="M53" s="188">
        <f t="shared" ca="1" si="33"/>
        <v>8817930</v>
      </c>
      <c r="N53" s="188">
        <f t="shared" ca="1" si="33"/>
        <v>138287810</v>
      </c>
    </row>
    <row r="55" spans="1:14" ht="18">
      <c r="A55" s="1232" t="str">
        <f ca="1">D1</f>
        <v>2052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fsqmRkzDglNDKXjEcXeynN9+YgWO5aHijoWb0HuNuIGC3gQOR/HXthRPFksHK6SkKKCcUKtYB/i/yT6EpShdEA==" saltValue="uEZid5xeAGu2VjcEklcZr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94" priority="8">
      <formula>$E$2="y"</formula>
    </cfRule>
    <cfRule type="expression" dxfId="193" priority="9">
      <formula>$D$2="Y"</formula>
    </cfRule>
    <cfRule type="expression" dxfId="192" priority="10">
      <formula>$F$2="y"</formula>
    </cfRule>
  </conditionalFormatting>
  <conditionalFormatting sqref="B27:M27">
    <cfRule type="expression" dxfId="191" priority="1">
      <formula>$F$2="y"</formula>
    </cfRule>
  </conditionalFormatting>
  <conditionalFormatting sqref="D16">
    <cfRule type="expression" dxfId="190" priority="26">
      <formula>$E$2="y"</formula>
    </cfRule>
    <cfRule type="expression" dxfId="189" priority="27">
      <formula>$E$2="y"</formula>
    </cfRule>
    <cfRule type="expression" dxfId="188" priority="28">
      <formula>$F$2="y"</formula>
    </cfRule>
  </conditionalFormatting>
  <conditionalFormatting sqref="D18">
    <cfRule type="expression" dxfId="187" priority="23">
      <formula>$E$2="y"</formula>
    </cfRule>
    <cfRule type="expression" dxfId="186" priority="24">
      <formula>$E$2="y"</formula>
    </cfRule>
    <cfRule type="expression" dxfId="185" priority="25">
      <formula>$F$2="y"</formula>
    </cfRule>
  </conditionalFormatting>
  <conditionalFormatting sqref="J12:K12">
    <cfRule type="expression" dxfId="184" priority="5">
      <formula>$E$2="y"</formula>
    </cfRule>
    <cfRule type="expression" dxfId="183" priority="6">
      <formula>$D$2="Y"</formula>
    </cfRule>
    <cfRule type="expression" dxfId="182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6433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34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35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37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B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3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2053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집계표!AE119</f>
        <v>2</v>
      </c>
      <c r="M1" s="627">
        <f>집계표!AE122</f>
        <v>1</v>
      </c>
      <c r="N1" s="618">
        <v>29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집계표!BN53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IF('2052'!M4&gt;=50,50,IF(AND('2052'!M4=50,M$3=$N$5),"",IF(B3=$N$5,'2052'!M4+1,'2052'!M4)))</f>
        <v>40</v>
      </c>
      <c r="C4" s="176">
        <f>IF(B4&gt;=50,50,IF(AND(B4=50,C$3=$N$5),50,IF(C$3=$N$5,B4+1,B4)))</f>
        <v>40</v>
      </c>
      <c r="D4" s="176">
        <f t="shared" ref="D4:M4" si="0">IF(C4&gt;=50,50,IF(AND(C4=50,D$3=$N$5),50,IF(D$3=$N$5,C4+1,C4)))</f>
        <v>41</v>
      </c>
      <c r="E4" s="176">
        <f t="shared" si="0"/>
        <v>41</v>
      </c>
      <c r="F4" s="176">
        <f t="shared" si="0"/>
        <v>41</v>
      </c>
      <c r="G4" s="176">
        <f t="shared" si="0"/>
        <v>41</v>
      </c>
      <c r="H4" s="176">
        <f t="shared" si="0"/>
        <v>41</v>
      </c>
      <c r="I4" s="176">
        <f t="shared" si="0"/>
        <v>41</v>
      </c>
      <c r="J4" s="176">
        <f t="shared" si="0"/>
        <v>41</v>
      </c>
      <c r="K4" s="176">
        <f t="shared" si="0"/>
        <v>41</v>
      </c>
      <c r="L4" s="176">
        <f t="shared" si="0"/>
        <v>41</v>
      </c>
      <c r="M4" s="176">
        <f t="shared" si="0"/>
        <v>41</v>
      </c>
      <c r="N4" s="202" t="s">
        <v>124</v>
      </c>
    </row>
    <row r="5" spans="1:14" ht="9.75" customHeight="1">
      <c r="A5" s="208" t="s">
        <v>134</v>
      </c>
      <c r="B5" s="356">
        <f>IF(B$3=$N$5,'2052'!M5+1,'2052'!M5)</f>
        <v>30</v>
      </c>
      <c r="C5" s="209">
        <f>IF(C$3=$N$5,B5+1,B5)</f>
        <v>30</v>
      </c>
      <c r="D5" s="209">
        <f t="shared" ref="D5:M5" si="1">IF(D$3=$N$5,C5+1,C5)</f>
        <v>31</v>
      </c>
      <c r="E5" s="209">
        <f t="shared" si="1"/>
        <v>31</v>
      </c>
      <c r="F5" s="209">
        <f t="shared" si="1"/>
        <v>31</v>
      </c>
      <c r="G5" s="209">
        <f t="shared" si="1"/>
        <v>31</v>
      </c>
      <c r="H5" s="209">
        <f t="shared" si="1"/>
        <v>31</v>
      </c>
      <c r="I5" s="209">
        <f t="shared" si="1"/>
        <v>31</v>
      </c>
      <c r="J5" s="209">
        <f t="shared" si="1"/>
        <v>31</v>
      </c>
      <c r="K5" s="209">
        <f t="shared" si="1"/>
        <v>31</v>
      </c>
      <c r="L5" s="209">
        <f t="shared" si="1"/>
        <v>31</v>
      </c>
      <c r="M5" s="209">
        <f t="shared" si="1"/>
        <v>31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12087300</v>
      </c>
      <c r="C6" s="211">
        <f ca="1">IF($D$1-YEAR($B$1)&gt;0,"",IF(AND($D$1-YEAR($B$1)=0,C3-MONTH($B$1)&gt;=1),"",VLOOKUP(C4,gibon40!$D$4:$AT$47,$N$1,1)))</f>
        <v>12087300</v>
      </c>
      <c r="D6" s="211">
        <f ca="1">IF($D$1-YEAR($B$1)&gt;0,"",IF(AND($D$1-YEAR($B$1)=0,D3-MONTH($B$1)&gt;=1),"",VLOOKUP(D4,gibon40!$D$4:$AT$47,$N$1,1)))</f>
        <v>12245200</v>
      </c>
      <c r="E6" s="211">
        <f ca="1">IF($D$1-YEAR($B$1)&gt;0,"",IF(AND($D$1-YEAR($B$1)=0,E3-MONTH($B$1)&gt;=1),"",VLOOKUP(E4,gibon40!$D$4:$AT$47,$N$1,1)))</f>
        <v>12245200</v>
      </c>
      <c r="F6" s="211">
        <f ca="1">IF($D$1-YEAR($B$1)&gt;0,"",IF(AND($D$1-YEAR($B$1)=0,F3-MONTH($B$1)&gt;=1),"",VLOOKUP(F4,gibon40!$D$4:$AT$47,$N$1,1)))</f>
        <v>12245200</v>
      </c>
      <c r="G6" s="211">
        <f ca="1">IF($D$1-YEAR($B$1)&gt;0,"",IF(AND($D$1-YEAR($B$1)=0,G3-MONTH($B$1)&gt;=1),"",VLOOKUP(G4,gibon40!$D$4:$AT$47,$N$1,1)))</f>
        <v>12245200</v>
      </c>
      <c r="H6" s="211">
        <f ca="1">IF($D$1-YEAR($B$1)&gt;0,"",IF(AND($D$1-YEAR($B$1)=0,H3-MONTH($B$1)&gt;=1),"",VLOOKUP(H4,gibon40!$D$4:$AT$47,$N$1,1)))</f>
        <v>12245200</v>
      </c>
      <c r="I6" s="211">
        <f ca="1">IF($D$1-YEAR($B$1)&gt;0,"",IF(AND($D$1-YEAR($B$1)=0,I3-MONTH($B$1)&gt;=1),"",VLOOKUP(I4,gibon40!$D$4:$AT$47,$N$1,1)))</f>
        <v>12245200</v>
      </c>
      <c r="J6" s="211">
        <f ca="1">IF($D$1-YEAR($B$1)&gt;0,"",IF(AND($D$1-YEAR($B$1)=0,J3-MONTH($B$1)&gt;=1),"",VLOOKUP(J4,gibon40!$D$4:$AT$47,$N$1,1)))</f>
        <v>12245200</v>
      </c>
      <c r="K6" s="211">
        <f ca="1">IF($D$1-YEAR($B$1)&gt;0,"",IF(AND($D$1-YEAR($B$1)=0,K3-MONTH($B$1)&gt;=1),"",VLOOKUP(K4,gibon40!$D$4:$AT$47,$N$1,1)))</f>
        <v>12245200</v>
      </c>
      <c r="L6" s="211">
        <f ca="1">IF($D$1-YEAR($B$1)&gt;0,"",IF(AND($D$1-YEAR($B$1)=0,L3-MONTH($B$1)&gt;=1),"",VLOOKUP(L4,gibon40!$D$4:$AT$47,$N$1,1)))</f>
        <v>12245200</v>
      </c>
      <c r="M6" s="211">
        <f ca="1">IF($D$1-YEAR($B$1)&gt;0,"",IF(AND($D$1-YEAR($B$1)=0,M3-MONTH($B$1)&gt;=1),"",VLOOKUP(M4,gibon40!$D$4:$AT$47,$N$1,1)))</f>
        <v>12245200</v>
      </c>
      <c r="N6" s="211">
        <f t="shared" ref="N6:N52" ca="1" si="2">SUM(B6:M6)</f>
        <v>146626600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6043650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6122600</v>
      </c>
      <c r="I7" s="180"/>
      <c r="J7" s="180"/>
      <c r="K7" s="180"/>
      <c r="L7" s="180"/>
      <c r="M7" s="180"/>
      <c r="N7" s="211">
        <f t="shared" ca="1" si="2"/>
        <v>12166250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8656330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8656330</v>
      </c>
    </row>
    <row r="11" spans="1:14" ht="9.75" customHeight="1">
      <c r="A11" s="178" t="s">
        <v>63</v>
      </c>
      <c r="B11" s="179">
        <f ca="1">IF(B$6="",0,'2052'!M11)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7252380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7347120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14599500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IF(B$6="",0,'2052'!M15)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IF(B$6="",0,'2052'!M16)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IF(B$6="",0,'2052'!M18)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IF(B$6="",0,'2052'!M19)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원로수당신청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101540</v>
      </c>
      <c r="E21" s="179">
        <f ca="1">IF(D4="","",IF(E$6="","",ROUND(VLOOKUP(E4,gibon40!$D$51:$AV$100,$N$1+1)*10*15/15,-1)))</f>
        <v>304620</v>
      </c>
      <c r="F21" s="179">
        <f ca="1">IF(E4="","",IF(F$6="","",ROUND(VLOOKUP(F4,gibon40!$D$51:$AV$100,$N$1+1)*10*15/15,-1)))</f>
        <v>304620</v>
      </c>
      <c r="G21" s="179">
        <f ca="1">IF(F4="","",IF(G$6="","",ROUND(VLOOKUP(G4,gibon40!$D$51:$AV$100,$N$1+1)*10*15/15,-1)))</f>
        <v>304620</v>
      </c>
      <c r="H21" s="179">
        <f ca="1">IF(G4="","",IF(H$6="","",ROUND(VLOOKUP(H4,gibon40!$D$51:$AV$100,$N$1+1)*10*15/15,-1)))</f>
        <v>304620</v>
      </c>
      <c r="I21" s="179">
        <f ca="1">IF(H4="","",IF(I$6="","",ROUND(VLOOKUP(I4,gibon40!$D$51:$AV$100,$N$1+1)*10*15/15,-1)))</f>
        <v>304620</v>
      </c>
      <c r="J21" s="179">
        <f ca="1">IF(I4="","",IF(J$6="","",ROUND(VLOOKUP(J4,gibon40!$D$51:$AV$100,$N$1+1)*7*15/15,-1)))</f>
        <v>213240</v>
      </c>
      <c r="K21" s="179">
        <f ca="1">IF(J4="","",IF(K$6="","",ROUND(VLOOKUP(K4,gibon40!$D$51:$AV$100,$N$1+1)*10*15/15,-1)))</f>
        <v>304620</v>
      </c>
      <c r="L21" s="179">
        <f ca="1">IF(K4="","",IF(L$6="","",ROUND(VLOOKUP(L4,gibon40!$D$51:$AV$100,$N$1+1)*10*15/15,-1)))</f>
        <v>304620</v>
      </c>
      <c r="M21" s="179">
        <f ca="1">IF(L4="","",IF(M$6="","",ROUND(VLOOKUP(M4,gibon40!$D$51:$AV$100,$N$1+1)*10*15/15*2,-1)))</f>
        <v>609240</v>
      </c>
      <c r="N21" s="211">
        <f t="shared" ca="1" si="2"/>
        <v>3056360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IF(B$6="",0,'2052'!M23)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IF(B$6="",0,'2052'!M24)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'2052'!A25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18935950</v>
      </c>
      <c r="C26" s="213">
        <f t="shared" ref="C26:M26" ca="1" si="16">ROUNDDOWN(SUM(C6:C25),-1)</f>
        <v>20144680</v>
      </c>
      <c r="D26" s="213">
        <f t="shared" ca="1" si="16"/>
        <v>21808070</v>
      </c>
      <c r="E26" s="213">
        <f t="shared" ca="1" si="16"/>
        <v>13354820</v>
      </c>
      <c r="F26" s="213">
        <f t="shared" ca="1" si="16"/>
        <v>13354820</v>
      </c>
      <c r="G26" s="213">
        <f t="shared" ca="1" si="16"/>
        <v>13354820</v>
      </c>
      <c r="H26" s="213">
        <f t="shared" ca="1" si="16"/>
        <v>19477420</v>
      </c>
      <c r="I26" s="213">
        <f t="shared" ca="1" si="16"/>
        <v>13354820</v>
      </c>
      <c r="J26" s="213">
        <f t="shared" ca="1" si="16"/>
        <v>20610560</v>
      </c>
      <c r="K26" s="213">
        <f t="shared" ca="1" si="16"/>
        <v>13354820</v>
      </c>
      <c r="L26" s="213">
        <f t="shared" ca="1" si="16"/>
        <v>13354820</v>
      </c>
      <c r="M26" s="213">
        <f t="shared" ca="1" si="16"/>
        <v>13659440</v>
      </c>
      <c r="N26" s="214">
        <f ca="1">SUM(B26:M26)</f>
        <v>194765040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IF(B4="","",IF(B6="","",IF($D$1-YEAR('2025'!$I$1)&gt;0,"",IF(AND($D$1-YEAR('2025'!$I$1)=0,B3-MONTH('2025'!$I$1)&gt;=1),"",'2052'!M29))))</f>
        <v>1374200</v>
      </c>
      <c r="C29" s="179">
        <f ca="1">IF(C4="","",IF(C6="","",IF($D$1-YEAR('2025'!$I$1)&gt;0,"",IF(AND($D$1-YEAR('2025'!$I$1)=0,C3-MONTH('2025'!$I$1)&gt;=1),"",B29))))</f>
        <v>1374200</v>
      </c>
      <c r="D29" s="179">
        <f ca="1">IF(D4="","",IF(D6="","",IF($D$1-YEAR('2025'!$I$1)&gt;0,"",IF(AND($D$1-YEAR('2025'!$I$1)=0,D3-MONTH('2025'!$I$1)&gt;=1),"",C29))))</f>
        <v>1374200</v>
      </c>
      <c r="E29" s="179">
        <f ca="1">IF(E4="","",IF(E6="","",IF($D$1-YEAR('2025'!$I$1)&gt;0,"",IF(AND($D$1-YEAR('2025'!$I$1)=0,E3-MONTH('2025'!$I$1)&gt;=1),"",D29))))</f>
        <v>1374200</v>
      </c>
      <c r="F29" s="179">
        <f ca="1">IF(F4="","",IF(F$6="","",IF($D$1-YEAR('2025'!$I$1)&gt;0,"",IF(AND($D$1-YEAR('2025'!$I$1)=0,F3-MONTH('2025'!$I$1)&gt;=1),"",VLOOKUP(F$4,집계표!$AK$5:$HA$47,$N$1*3+$N$1-1+4)))))</f>
        <v>1428930</v>
      </c>
      <c r="G29" s="179">
        <f ca="1">IF(G6="",0,IF($D$1-YEAR('2025'!$I$1)&gt;0,"",IF(AND($D$1-YEAR('2025'!$I$1)=0,G3-MONTH('2025'!$I$1)&gt;=1),"",F29)))</f>
        <v>1428930</v>
      </c>
      <c r="H29" s="179">
        <f ca="1">IF(H6="",0,IF($D$1-YEAR('2025'!$I$1)&gt;0,"",IF(AND($D$1-YEAR('2025'!$I$1)=0,H3-MONTH('2025'!$I$1)&gt;=1),"",G29)))</f>
        <v>1428930</v>
      </c>
      <c r="I29" s="179">
        <f ca="1">IF(I6="",0,IF($D$1-YEAR('2025'!$I$1)&gt;0,"",IF(AND($D$1-YEAR('2025'!$I$1)=0,I3-MONTH('2025'!$I$1)&gt;=1),"",H29)))</f>
        <v>1428930</v>
      </c>
      <c r="J29" s="179">
        <f ca="1">IF(J6="",0,IF($D$1-YEAR('2025'!$I$1)&gt;0,"",IF(AND($D$1-YEAR('2025'!$I$1)=0,J3-MONTH('2025'!$I$1)&gt;=1),"",I29)))</f>
        <v>1428930</v>
      </c>
      <c r="K29" s="179">
        <f ca="1">IF(K6="",0,IF($D$1-YEAR('2025'!$I$1)&gt;0,"",IF(AND($D$1-YEAR('2025'!$I$1)=0,K3-MONTH('2025'!$I$1)&gt;=1),"",J29)))</f>
        <v>1428930</v>
      </c>
      <c r="L29" s="179">
        <f ca="1">IF(L6="",0,IF($D$1-YEAR('2025'!$I$1)&gt;0,"",IF(AND($D$1-YEAR('2025'!$I$1)=0,L3-MONTH('2025'!$I$1)&gt;=1),"",K29)))</f>
        <v>1428930</v>
      </c>
      <c r="M29" s="179">
        <f ca="1">IF(M6="",0,IF($D$1-YEAR('2025'!$I$1)&gt;0,"",IF(AND($D$1-YEAR('2025'!$I$1)=0,M3-MONTH('2025'!$I$1)&gt;=1),"",L29)))</f>
        <v>1428930</v>
      </c>
      <c r="N29" s="211">
        <f t="shared" ca="1" si="2"/>
        <v>16928240</v>
      </c>
    </row>
    <row r="30" spans="1:20" ht="9.75" customHeight="1">
      <c r="A30" s="182" t="s">
        <v>58</v>
      </c>
      <c r="B30" s="179">
        <f ca="1">IF(B6="","",'2052'!M30)</f>
        <v>592810</v>
      </c>
      <c r="C30" s="179">
        <f ca="1">IF(C6="","",B30)</f>
        <v>592810</v>
      </c>
      <c r="D30" s="179">
        <f ca="1">IF(D6="","",C30)</f>
        <v>592810</v>
      </c>
      <c r="E30" s="857">
        <f ca="1">IF(E6="","",VLOOKUP(E$4,집계표!$AK$5:$HA$47,$N$1*4))</f>
        <v>616420</v>
      </c>
      <c r="F30" s="179">
        <f ca="1">IF(F6="","",E30)</f>
        <v>616420</v>
      </c>
      <c r="G30" s="179">
        <f t="shared" ref="G30:M30" ca="1" si="20">IF(G6="","",F30)</f>
        <v>616420</v>
      </c>
      <c r="H30" s="179">
        <f t="shared" ca="1" si="20"/>
        <v>616420</v>
      </c>
      <c r="I30" s="179">
        <f t="shared" ca="1" si="20"/>
        <v>616420</v>
      </c>
      <c r="J30" s="179">
        <f t="shared" ca="1" si="20"/>
        <v>616420</v>
      </c>
      <c r="K30" s="179">
        <f t="shared" ca="1" si="20"/>
        <v>616420</v>
      </c>
      <c r="L30" s="179">
        <f t="shared" ca="1" si="20"/>
        <v>616420</v>
      </c>
      <c r="M30" s="179">
        <f t="shared" ca="1" si="20"/>
        <v>616420</v>
      </c>
      <c r="N30" s="211">
        <f t="shared" ca="1" si="2"/>
        <v>7326210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60760</v>
      </c>
      <c r="C31" s="179">
        <f t="shared" ca="1" si="21"/>
        <v>60760</v>
      </c>
      <c r="D31" s="179">
        <f t="shared" ca="1" si="21"/>
        <v>60760</v>
      </c>
      <c r="E31" s="179">
        <f t="shared" ca="1" si="21"/>
        <v>63180</v>
      </c>
      <c r="F31" s="179">
        <f t="shared" ca="1" si="21"/>
        <v>63180</v>
      </c>
      <c r="G31" s="179">
        <f t="shared" ca="1" si="21"/>
        <v>63180</v>
      </c>
      <c r="H31" s="179">
        <f t="shared" ca="1" si="21"/>
        <v>63180</v>
      </c>
      <c r="I31" s="179">
        <f t="shared" ca="1" si="21"/>
        <v>63180</v>
      </c>
      <c r="J31" s="179">
        <f ca="1">IF(J$6="","",ROUND(IF(J4="","",J30*10.25%),-1))</f>
        <v>63180</v>
      </c>
      <c r="K31" s="179">
        <f t="shared" ref="K31:M31" ca="1" si="22">IF(K$6="","",ROUND(IF(K4="","",K30*10.25%),-1))</f>
        <v>63180</v>
      </c>
      <c r="L31" s="179">
        <f t="shared" ca="1" si="22"/>
        <v>63180</v>
      </c>
      <c r="M31" s="179">
        <f t="shared" ca="1" si="22"/>
        <v>63180</v>
      </c>
      <c r="N31" s="211">
        <f t="shared" ca="1" si="2"/>
        <v>750900</v>
      </c>
    </row>
    <row r="32" spans="1:20" ht="9.75" customHeight="1">
      <c r="A32" s="597" t="str">
        <f>'2052'!A32</f>
        <v>교직원공제비</v>
      </c>
      <c r="B32" s="621">
        <f ca="1">IF(B$6="","",'2052'!B32)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'2052'!A33</f>
        <v>급식비</v>
      </c>
      <c r="B33" s="621">
        <f ca="1">IF(B$6="","",'2052'!B33)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IF(B$6="",0,'2052'!M34)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IF(B$6="",0,'2052'!M38)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IF(B$6="",0,'2052'!M39)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3670100</v>
      </c>
      <c r="C40" s="216">
        <f t="shared" ca="1" si="28"/>
        <v>3687260</v>
      </c>
      <c r="D40" s="216">
        <f t="shared" ca="1" si="28"/>
        <v>3704440</v>
      </c>
      <c r="E40" s="216">
        <f t="shared" ca="1" si="28"/>
        <v>4262570</v>
      </c>
      <c r="F40" s="216">
        <f t="shared" ca="1" si="28"/>
        <v>4334470</v>
      </c>
      <c r="G40" s="216">
        <f t="shared" ca="1" si="28"/>
        <v>4351630</v>
      </c>
      <c r="H40" s="216">
        <f t="shared" ca="1" si="28"/>
        <v>4368800</v>
      </c>
      <c r="I40" s="216">
        <f t="shared" ca="1" si="28"/>
        <v>4385960</v>
      </c>
      <c r="J40" s="216">
        <f ca="1">IF(J26="","",SUM(J27:J39))</f>
        <v>4403130</v>
      </c>
      <c r="K40" s="216">
        <f t="shared" ref="K40:M40" ca="1" si="29">IF(K26="","",SUM(K27:K39))</f>
        <v>4420290</v>
      </c>
      <c r="L40" s="216">
        <f t="shared" ca="1" si="29"/>
        <v>4437450</v>
      </c>
      <c r="M40" s="216">
        <f t="shared" ca="1" si="29"/>
        <v>4454620</v>
      </c>
      <c r="N40" s="216">
        <f ca="1">SUM(B40:M40)</f>
        <v>50480720</v>
      </c>
    </row>
    <row r="41" spans="1:14" ht="9.75" customHeight="1">
      <c r="A41" s="183" t="s">
        <v>79</v>
      </c>
      <c r="B41" s="184">
        <f ca="1">ROUND((B26-B40),-1)</f>
        <v>15265850</v>
      </c>
      <c r="C41" s="184">
        <f t="shared" ref="C41:M41" ca="1" si="30">ROUND((C26-C40),-1)</f>
        <v>16457420</v>
      </c>
      <c r="D41" s="184">
        <f t="shared" ca="1" si="30"/>
        <v>18103630</v>
      </c>
      <c r="E41" s="184">
        <f t="shared" ca="1" si="30"/>
        <v>9092250</v>
      </c>
      <c r="F41" s="184">
        <f t="shared" ca="1" si="30"/>
        <v>9020350</v>
      </c>
      <c r="G41" s="184">
        <f t="shared" ca="1" si="30"/>
        <v>9003190</v>
      </c>
      <c r="H41" s="184">
        <f t="shared" ca="1" si="30"/>
        <v>15108620</v>
      </c>
      <c r="I41" s="184">
        <f t="shared" ca="1" si="30"/>
        <v>8968860</v>
      </c>
      <c r="J41" s="184">
        <f t="shared" ca="1" si="30"/>
        <v>16207430</v>
      </c>
      <c r="K41" s="184">
        <f t="shared" ca="1" si="30"/>
        <v>8934530</v>
      </c>
      <c r="L41" s="184">
        <f t="shared" ca="1" si="30"/>
        <v>8917370</v>
      </c>
      <c r="M41" s="184">
        <f t="shared" ca="1" si="30"/>
        <v>9204820</v>
      </c>
      <c r="N41" s="184">
        <f ca="1">SUM(B41:M41)</f>
        <v>144284320</v>
      </c>
    </row>
    <row r="42" spans="1:14" ht="9.75" customHeight="1">
      <c r="A42" s="217" t="str">
        <f>'2052'!A42</f>
        <v>12)지출내용입력1</v>
      </c>
      <c r="B42" s="211">
        <f>'2052'!M42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'2052'!A43</f>
        <v>지출내용입력2</v>
      </c>
      <c r="B43" s="211">
        <f>'2052'!M43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'2052'!A44</f>
        <v>지출내용입력3</v>
      </c>
      <c r="B44" s="211">
        <f>'2052'!M44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'2052'!A45</f>
        <v>지출내용입력4</v>
      </c>
      <c r="B45" s="211">
        <f>'2052'!M45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'2052'!A46</f>
        <v>지출내용입력5</v>
      </c>
      <c r="B46" s="211">
        <f>'2052'!M46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'2052'!A47</f>
        <v>지출내용입력6</v>
      </c>
      <c r="B47" s="211">
        <f>'2052'!M47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'2052'!A48</f>
        <v>지출내용입력7</v>
      </c>
      <c r="B48" s="211">
        <f>'2052'!M48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'2052'!A49</f>
        <v>지출내용입력8</v>
      </c>
      <c r="B49" s="211">
        <f>'2052'!M49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'2052'!A50</f>
        <v>지출내용입력9</v>
      </c>
      <c r="B50" s="211">
        <f>'2052'!M50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'2052'!A51</f>
        <v>지출내용입력10</v>
      </c>
      <c r="B51" s="211">
        <f>'2052'!M51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15265750</v>
      </c>
      <c r="C53" s="188">
        <f t="shared" ca="1" si="33"/>
        <v>16457320</v>
      </c>
      <c r="D53" s="188">
        <f t="shared" ca="1" si="33"/>
        <v>18103530</v>
      </c>
      <c r="E53" s="188">
        <f t="shared" ca="1" si="33"/>
        <v>9092150</v>
      </c>
      <c r="F53" s="188">
        <f t="shared" ca="1" si="33"/>
        <v>9020250</v>
      </c>
      <c r="G53" s="188">
        <f t="shared" ca="1" si="33"/>
        <v>9003090</v>
      </c>
      <c r="H53" s="188">
        <f t="shared" ca="1" si="33"/>
        <v>15108520</v>
      </c>
      <c r="I53" s="188">
        <f t="shared" ca="1" si="33"/>
        <v>8968760</v>
      </c>
      <c r="J53" s="188">
        <f t="shared" ca="1" si="33"/>
        <v>16207330</v>
      </c>
      <c r="K53" s="188">
        <f t="shared" ca="1" si="33"/>
        <v>8934430</v>
      </c>
      <c r="L53" s="188">
        <f t="shared" ca="1" si="33"/>
        <v>8917270</v>
      </c>
      <c r="M53" s="188">
        <f t="shared" ca="1" si="33"/>
        <v>9204720</v>
      </c>
      <c r="N53" s="188">
        <f t="shared" ca="1" si="33"/>
        <v>144283120</v>
      </c>
    </row>
    <row r="55" spans="1:14" ht="18">
      <c r="A55" s="1232" t="str">
        <f ca="1">D1</f>
        <v>2053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pU/pnk7azX5OpPGr+Uch+EqcEUl6Gm2UTr6u0DB4me8tZc7qX176sD+k1+zSag5RwQLlNDkBYtuB6agQH7UzAQ==" saltValue="YNlVy6MTb7wihETTg7ipN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81" priority="8">
      <formula>$E$2="y"</formula>
    </cfRule>
    <cfRule type="expression" dxfId="180" priority="9">
      <formula>$D$2="Y"</formula>
    </cfRule>
    <cfRule type="expression" dxfId="179" priority="10">
      <formula>$F$2="y"</formula>
    </cfRule>
  </conditionalFormatting>
  <conditionalFormatting sqref="B27:M27">
    <cfRule type="expression" dxfId="178" priority="1">
      <formula>$F$2="y"</formula>
    </cfRule>
  </conditionalFormatting>
  <conditionalFormatting sqref="D16">
    <cfRule type="expression" dxfId="177" priority="26">
      <formula>$E$2="y"</formula>
    </cfRule>
    <cfRule type="expression" dxfId="176" priority="27">
      <formula>$E$2="y"</formula>
    </cfRule>
    <cfRule type="expression" dxfId="175" priority="28">
      <formula>$F$2="y"</formula>
    </cfRule>
  </conditionalFormatting>
  <conditionalFormatting sqref="D18">
    <cfRule type="expression" dxfId="174" priority="23">
      <formula>$E$2="y"</formula>
    </cfRule>
    <cfRule type="expression" dxfId="173" priority="24">
      <formula>$E$2="y"</formula>
    </cfRule>
    <cfRule type="expression" dxfId="172" priority="25">
      <formula>$F$2="y"</formula>
    </cfRule>
  </conditionalFormatting>
  <conditionalFormatting sqref="J12:K12">
    <cfRule type="expression" dxfId="171" priority="5">
      <formula>$E$2="y"</formula>
    </cfRule>
    <cfRule type="expression" dxfId="170" priority="6">
      <formula>$D$2="Y"</formula>
    </cfRule>
    <cfRule type="expression" dxfId="169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7457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58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59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61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C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4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2054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집계표!AF119</f>
        <v>2</v>
      </c>
      <c r="M1" s="627">
        <f>집계표!AF122</f>
        <v>1</v>
      </c>
      <c r="N1" s="618">
        <v>30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집계표!BO53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IF('2053'!M4&gt;=50,50,IF(AND('2053'!M4=50,M$3=$N$5),"",IF(B3=$N$5,'2053'!M4+1,'2053'!M4)))</f>
        <v>41</v>
      </c>
      <c r="C4" s="176">
        <f>IF(B4&gt;=50,50,IF(AND(B4=50,C$3=$N$5),50,IF(C$3=$N$5,B4+1,B4)))</f>
        <v>41</v>
      </c>
      <c r="D4" s="176">
        <f t="shared" ref="D4:M4" si="0">IF(C4&gt;=50,50,IF(AND(C4=50,D$3=$N$5),50,IF(D$3=$N$5,C4+1,C4)))</f>
        <v>42</v>
      </c>
      <c r="E4" s="176">
        <f t="shared" si="0"/>
        <v>42</v>
      </c>
      <c r="F4" s="176">
        <f t="shared" si="0"/>
        <v>42</v>
      </c>
      <c r="G4" s="176">
        <f t="shared" si="0"/>
        <v>42</v>
      </c>
      <c r="H4" s="176">
        <f t="shared" si="0"/>
        <v>42</v>
      </c>
      <c r="I4" s="176">
        <f t="shared" si="0"/>
        <v>42</v>
      </c>
      <c r="J4" s="176">
        <f t="shared" si="0"/>
        <v>42</v>
      </c>
      <c r="K4" s="176">
        <f t="shared" si="0"/>
        <v>42</v>
      </c>
      <c r="L4" s="176">
        <f t="shared" si="0"/>
        <v>42</v>
      </c>
      <c r="M4" s="176">
        <f t="shared" si="0"/>
        <v>42</v>
      </c>
      <c r="N4" s="202" t="s">
        <v>124</v>
      </c>
    </row>
    <row r="5" spans="1:14" ht="9.75" customHeight="1">
      <c r="A5" s="208" t="s">
        <v>134</v>
      </c>
      <c r="B5" s="356">
        <f>IF(B$3=$N$5,'2053'!M5+1,'2053'!M5)</f>
        <v>31</v>
      </c>
      <c r="C5" s="209">
        <f>IF(C$3=$N$5,B5+1,B5)</f>
        <v>31</v>
      </c>
      <c r="D5" s="209">
        <f t="shared" ref="D5:M5" si="1">IF(D$3=$N$5,C5+1,C5)</f>
        <v>32</v>
      </c>
      <c r="E5" s="209">
        <f t="shared" si="1"/>
        <v>32</v>
      </c>
      <c r="F5" s="209">
        <f t="shared" si="1"/>
        <v>32</v>
      </c>
      <c r="G5" s="209">
        <f t="shared" si="1"/>
        <v>32</v>
      </c>
      <c r="H5" s="209">
        <f t="shared" si="1"/>
        <v>32</v>
      </c>
      <c r="I5" s="209">
        <f t="shared" si="1"/>
        <v>32</v>
      </c>
      <c r="J5" s="209">
        <f t="shared" si="1"/>
        <v>32</v>
      </c>
      <c r="K5" s="209">
        <f t="shared" si="1"/>
        <v>32</v>
      </c>
      <c r="L5" s="209">
        <f t="shared" si="1"/>
        <v>32</v>
      </c>
      <c r="M5" s="209">
        <f t="shared" si="1"/>
        <v>32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12551300</v>
      </c>
      <c r="C6" s="211">
        <f ca="1">IF($D$1-YEAR($B$1)&gt;0,"",IF(AND($D$1-YEAR($B$1)=0,C3-MONTH($B$1)&gt;=1),"",VLOOKUP(C4,gibon40!$D$4:$AT$47,$N$1,1)))</f>
        <v>12551300</v>
      </c>
      <c r="D6" s="211">
        <f ca="1">IF($D$1-YEAR($B$1)&gt;0,"",IF(AND($D$1-YEAR($B$1)=0,D3-MONTH($B$1)&gt;=1),"",VLOOKUP(D4,gibon40!$D$4:$AT$47,$N$1,1)))</f>
        <v>12713100</v>
      </c>
      <c r="E6" s="211">
        <f ca="1">IF($D$1-YEAR($B$1)&gt;0,"",IF(AND($D$1-YEAR($B$1)=0,E3-MONTH($B$1)&gt;=1),"",VLOOKUP(E4,gibon40!$D$4:$AT$47,$N$1,1)))</f>
        <v>12713100</v>
      </c>
      <c r="F6" s="211">
        <f ca="1">IF($D$1-YEAR($B$1)&gt;0,"",IF(AND($D$1-YEAR($B$1)=0,F3-MONTH($B$1)&gt;=1),"",VLOOKUP(F4,gibon40!$D$4:$AT$47,$N$1,1)))</f>
        <v>12713100</v>
      </c>
      <c r="G6" s="211">
        <f ca="1">IF($D$1-YEAR($B$1)&gt;0,"",IF(AND($D$1-YEAR($B$1)=0,G3-MONTH($B$1)&gt;=1),"",VLOOKUP(G4,gibon40!$D$4:$AT$47,$N$1,1)))</f>
        <v>12713100</v>
      </c>
      <c r="H6" s="211">
        <f ca="1">IF($D$1-YEAR($B$1)&gt;0,"",IF(AND($D$1-YEAR($B$1)=0,H3-MONTH($B$1)&gt;=1),"",VLOOKUP(H4,gibon40!$D$4:$AT$47,$N$1,1)))</f>
        <v>12713100</v>
      </c>
      <c r="I6" s="211">
        <f ca="1">IF($D$1-YEAR($B$1)&gt;0,"",IF(AND($D$1-YEAR($B$1)=0,I3-MONTH($B$1)&gt;=1),"",VLOOKUP(I4,gibon40!$D$4:$AT$47,$N$1,1)))</f>
        <v>12713100</v>
      </c>
      <c r="J6" s="211">
        <f ca="1">IF($D$1-YEAR($B$1)&gt;0,"",IF(AND($D$1-YEAR($B$1)=0,J3-MONTH($B$1)&gt;=1),"",VLOOKUP(J4,gibon40!$D$4:$AT$47,$N$1,1)))</f>
        <v>12713100</v>
      </c>
      <c r="K6" s="211">
        <f ca="1">IF($D$1-YEAR($B$1)&gt;0,"",IF(AND($D$1-YEAR($B$1)=0,K3-MONTH($B$1)&gt;=1),"",VLOOKUP(K4,gibon40!$D$4:$AT$47,$N$1,1)))</f>
        <v>12713100</v>
      </c>
      <c r="L6" s="211">
        <f ca="1">IF($D$1-YEAR($B$1)&gt;0,"",IF(AND($D$1-YEAR($B$1)=0,L3-MONTH($B$1)&gt;=1),"",VLOOKUP(L4,gibon40!$D$4:$AT$47,$N$1,1)))</f>
        <v>12713100</v>
      </c>
      <c r="M6" s="211">
        <f ca="1">IF($D$1-YEAR($B$1)&gt;0,"",IF(AND($D$1-YEAR($B$1)=0,M3-MONTH($B$1)&gt;=1),"",VLOOKUP(M4,gibon40!$D$4:$AT$47,$N$1,1)))</f>
        <v>12713100</v>
      </c>
      <c r="N6" s="211">
        <f t="shared" ref="N6:N52" ca="1" si="2">SUM(B6:M6)</f>
        <v>152233600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6275650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6356550</v>
      </c>
      <c r="I7" s="180"/>
      <c r="J7" s="180"/>
      <c r="K7" s="180"/>
      <c r="L7" s="180"/>
      <c r="M7" s="180"/>
      <c r="N7" s="211">
        <f t="shared" ca="1" si="2"/>
        <v>12632200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8872780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8872780</v>
      </c>
    </row>
    <row r="11" spans="1:14" ht="9.75" customHeight="1">
      <c r="A11" s="178" t="s">
        <v>63</v>
      </c>
      <c r="B11" s="179">
        <f ca="1">IF(B$6="",0,'2053'!M11)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7530780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7627860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15158640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IF(B$6="",0,'2053'!M15)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IF(B$6="",0,'2053'!M16)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IF(B$6="",0,'2053'!M18)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IF(B$6="",0,'2053'!M19)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50000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50000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50000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50000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50000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50000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50000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50000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50000</v>
      </c>
      <c r="N20" s="211">
        <f t="shared" ca="1" si="2"/>
        <v>450000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104080</v>
      </c>
      <c r="E21" s="179">
        <f ca="1">IF(D4="","",IF(E$6="","",ROUND(VLOOKUP(E4,gibon40!$D$51:$AV$100,$N$1+1)*10*15/15,-1)))</f>
        <v>312240</v>
      </c>
      <c r="F21" s="179">
        <f ca="1">IF(E4="","",IF(F$6="","",ROUND(VLOOKUP(F4,gibon40!$D$51:$AV$100,$N$1+1)*10*15/15,-1)))</f>
        <v>312240</v>
      </c>
      <c r="G21" s="179">
        <f ca="1">IF(F4="","",IF(G$6="","",ROUND(VLOOKUP(G4,gibon40!$D$51:$AV$100,$N$1+1)*10*15/15,-1)))</f>
        <v>312240</v>
      </c>
      <c r="H21" s="179">
        <f ca="1">IF(G4="","",IF(H$6="","",ROUND(VLOOKUP(H4,gibon40!$D$51:$AV$100,$N$1+1)*10*15/15,-1)))</f>
        <v>312240</v>
      </c>
      <c r="I21" s="179">
        <f ca="1">IF(H4="","",IF(I$6="","",ROUND(VLOOKUP(I4,gibon40!$D$51:$AV$100,$N$1+1)*10*15/15,-1)))</f>
        <v>312240</v>
      </c>
      <c r="J21" s="179">
        <f ca="1">IF(I4="","",IF(J$6="","",ROUND(VLOOKUP(J4,gibon40!$D$51:$AV$100,$N$1+1)*7*15/15,-1)))</f>
        <v>218570</v>
      </c>
      <c r="K21" s="179">
        <f ca="1">IF(J4="","",IF(K$6="","",ROUND(VLOOKUP(K4,gibon40!$D$51:$AV$100,$N$1+1)*10*15/15,-1)))</f>
        <v>312240</v>
      </c>
      <c r="L21" s="179">
        <f ca="1">IF(K4="","",IF(L$6="","",ROUND(VLOOKUP(L4,gibon40!$D$51:$AV$100,$N$1+1)*10*15/15,-1)))</f>
        <v>312240</v>
      </c>
      <c r="M21" s="179">
        <f ca="1">IF(L4="","",IF(M$6="","",ROUND(VLOOKUP(M4,gibon40!$D$51:$AV$100,$N$1+1)*10*15/15*2,-1)))</f>
        <v>624470</v>
      </c>
      <c r="N21" s="211">
        <f t="shared" ca="1" si="2"/>
        <v>3132800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IF(B$6="",0,'2053'!M23)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IF(B$6="",0,'2053'!M24)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'2053'!A25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19631950</v>
      </c>
      <c r="C26" s="213">
        <f t="shared" ref="C26:M26" ca="1" si="16">ROUNDDOWN(SUM(C6:C25),-1)</f>
        <v>20887080</v>
      </c>
      <c r="D26" s="213">
        <f t="shared" ca="1" si="16"/>
        <v>22494960</v>
      </c>
      <c r="E26" s="213">
        <f t="shared" ca="1" si="16"/>
        <v>13880340</v>
      </c>
      <c r="F26" s="213">
        <f t="shared" ca="1" si="16"/>
        <v>13880340</v>
      </c>
      <c r="G26" s="213">
        <f t="shared" ca="1" si="16"/>
        <v>13880340</v>
      </c>
      <c r="H26" s="213">
        <f t="shared" ca="1" si="16"/>
        <v>20236890</v>
      </c>
      <c r="I26" s="213">
        <f t="shared" ca="1" si="16"/>
        <v>13880340</v>
      </c>
      <c r="J26" s="213">
        <f t="shared" ca="1" si="16"/>
        <v>21414530</v>
      </c>
      <c r="K26" s="213">
        <f t="shared" ca="1" si="16"/>
        <v>13880340</v>
      </c>
      <c r="L26" s="213">
        <f t="shared" ca="1" si="16"/>
        <v>13880340</v>
      </c>
      <c r="M26" s="213">
        <f t="shared" ca="1" si="16"/>
        <v>14192570</v>
      </c>
      <c r="N26" s="214">
        <f ca="1">SUM(B26:M26)</f>
        <v>202140020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IF(B4="","",IF(B6="","",IF($D$1-YEAR('2025'!$I$1)&gt;0,"",IF(AND($D$1-YEAR('2025'!$I$1)=0,B3-MONTH('2025'!$I$1)&gt;=1),"",'2053'!M29))))</f>
        <v>1428930</v>
      </c>
      <c r="C29" s="179">
        <f ca="1">IF(C4="","",IF(C6="","",IF($D$1-YEAR('2025'!$I$1)&gt;0,"",IF(AND($D$1-YEAR('2025'!$I$1)=0,C3-MONTH('2025'!$I$1)&gt;=1),"",B29))))</f>
        <v>1428930</v>
      </c>
      <c r="D29" s="179">
        <f ca="1">IF(D4="","",IF(D6="","",IF($D$1-YEAR('2025'!$I$1)&gt;0,"",IF(AND($D$1-YEAR('2025'!$I$1)=0,D3-MONTH('2025'!$I$1)&gt;=1),"",C29))))</f>
        <v>1428930</v>
      </c>
      <c r="E29" s="179">
        <f ca="1">IF(E4="","",IF(E6="","",IF($D$1-YEAR('2025'!$I$1)&gt;0,"",IF(AND($D$1-YEAR('2025'!$I$1)=0,E3-MONTH('2025'!$I$1)&gt;=1),"",D29))))</f>
        <v>1428930</v>
      </c>
      <c r="F29" s="179">
        <f ca="1">IF(F4="","",IF(F$6="","",IF($D$1-YEAR('2025'!$I$1)&gt;0,"",IF(AND($D$1-YEAR('2025'!$I$1)=0,F3-MONTH('2025'!$I$1)&gt;=1),"",VLOOKUP(F$4,집계표!$AK$5:$HA$47,$N$1*3+$N$1-1+4)))))</f>
        <v>1482180</v>
      </c>
      <c r="G29" s="179">
        <f ca="1">IF(G6="",0,IF($D$1-YEAR('2025'!$I$1)&gt;0,"",IF(AND($D$1-YEAR('2025'!$I$1)=0,G3-MONTH('2025'!$I$1)&gt;=1),"",F29)))</f>
        <v>1482180</v>
      </c>
      <c r="H29" s="179">
        <f ca="1">IF(H6="",0,IF($D$1-YEAR('2025'!$I$1)&gt;0,"",IF(AND($D$1-YEAR('2025'!$I$1)=0,H3-MONTH('2025'!$I$1)&gt;=1),"",G29)))</f>
        <v>1482180</v>
      </c>
      <c r="I29" s="179">
        <f ca="1">IF(I6="",0,IF($D$1-YEAR('2025'!$I$1)&gt;0,"",IF(AND($D$1-YEAR('2025'!$I$1)=0,I3-MONTH('2025'!$I$1)&gt;=1),"",H29)))</f>
        <v>1482180</v>
      </c>
      <c r="J29" s="179">
        <f ca="1">IF(J6="",0,IF($D$1-YEAR('2025'!$I$1)&gt;0,"",IF(AND($D$1-YEAR('2025'!$I$1)=0,J3-MONTH('2025'!$I$1)&gt;=1),"",I29)))</f>
        <v>1482180</v>
      </c>
      <c r="K29" s="179">
        <f ca="1">IF(K6="",0,IF($D$1-YEAR('2025'!$I$1)&gt;0,"",IF(AND($D$1-YEAR('2025'!$I$1)=0,K3-MONTH('2025'!$I$1)&gt;=1),"",J29)))</f>
        <v>1482180</v>
      </c>
      <c r="L29" s="179">
        <f ca="1">IF(L6="",0,IF($D$1-YEAR('2025'!$I$1)&gt;0,"",IF(AND($D$1-YEAR('2025'!$I$1)=0,L3-MONTH('2025'!$I$1)&gt;=1),"",K29)))</f>
        <v>1482180</v>
      </c>
      <c r="M29" s="179">
        <f ca="1">IF(M6="",0,IF($D$1-YEAR('2025'!$I$1)&gt;0,"",IF(AND($D$1-YEAR('2025'!$I$1)=0,M3-MONTH('2025'!$I$1)&gt;=1),"",L29)))</f>
        <v>1482180</v>
      </c>
      <c r="N29" s="211">
        <f t="shared" ca="1" si="2"/>
        <v>17573160</v>
      </c>
    </row>
    <row r="30" spans="1:20" ht="9.75" customHeight="1">
      <c r="A30" s="182" t="s">
        <v>58</v>
      </c>
      <c r="B30" s="179">
        <f ca="1">IF(B6="","",'2053'!M30)</f>
        <v>616420</v>
      </c>
      <c r="C30" s="179">
        <f ca="1">IF(C6="","",B30)</f>
        <v>616420</v>
      </c>
      <c r="D30" s="179">
        <f ca="1">IF(D6="","",C30)</f>
        <v>616420</v>
      </c>
      <c r="E30" s="857">
        <f ca="1">IF(E6="","",VLOOKUP(E$4,집계표!$AK$5:$HA$47,$N$1*4))</f>
        <v>639390</v>
      </c>
      <c r="F30" s="179">
        <f ca="1">IF(F6="","",E30)</f>
        <v>639390</v>
      </c>
      <c r="G30" s="179">
        <f t="shared" ref="G30:M30" ca="1" si="20">IF(G6="","",F30)</f>
        <v>639390</v>
      </c>
      <c r="H30" s="179">
        <f t="shared" ca="1" si="20"/>
        <v>639390</v>
      </c>
      <c r="I30" s="179">
        <f t="shared" ca="1" si="20"/>
        <v>639390</v>
      </c>
      <c r="J30" s="179">
        <f t="shared" ca="1" si="20"/>
        <v>639390</v>
      </c>
      <c r="K30" s="179">
        <f t="shared" ca="1" si="20"/>
        <v>639390</v>
      </c>
      <c r="L30" s="179">
        <f t="shared" ca="1" si="20"/>
        <v>639390</v>
      </c>
      <c r="M30" s="179">
        <f t="shared" ca="1" si="20"/>
        <v>639390</v>
      </c>
      <c r="N30" s="211">
        <f t="shared" ca="1" si="2"/>
        <v>7603770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63180</v>
      </c>
      <c r="C31" s="179">
        <f t="shared" ca="1" si="21"/>
        <v>63180</v>
      </c>
      <c r="D31" s="179">
        <f t="shared" ca="1" si="21"/>
        <v>63180</v>
      </c>
      <c r="E31" s="179">
        <f t="shared" ca="1" si="21"/>
        <v>65540</v>
      </c>
      <c r="F31" s="179">
        <f t="shared" ca="1" si="21"/>
        <v>65540</v>
      </c>
      <c r="G31" s="179">
        <f t="shared" ca="1" si="21"/>
        <v>65540</v>
      </c>
      <c r="H31" s="179">
        <f t="shared" ca="1" si="21"/>
        <v>65540</v>
      </c>
      <c r="I31" s="179">
        <f t="shared" ca="1" si="21"/>
        <v>65540</v>
      </c>
      <c r="J31" s="179">
        <f ca="1">IF(J$6="","",ROUND(IF(J4="","",J30*10.25%),-1))</f>
        <v>65540</v>
      </c>
      <c r="K31" s="179">
        <f t="shared" ref="K31:M31" ca="1" si="22">IF(K$6="","",ROUND(IF(K4="","",K30*10.25%),-1))</f>
        <v>65540</v>
      </c>
      <c r="L31" s="179">
        <f t="shared" ca="1" si="22"/>
        <v>65540</v>
      </c>
      <c r="M31" s="179">
        <f t="shared" ca="1" si="22"/>
        <v>65540</v>
      </c>
      <c r="N31" s="211">
        <f t="shared" ca="1" si="2"/>
        <v>779400</v>
      </c>
    </row>
    <row r="32" spans="1:20" ht="9.75" customHeight="1">
      <c r="A32" s="597" t="str">
        <f>'2053'!A32</f>
        <v>교직원공제비</v>
      </c>
      <c r="B32" s="621">
        <f ca="1">IF(B$6="","",'2053'!B32)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'2053'!A33</f>
        <v>급식비</v>
      </c>
      <c r="B33" s="621">
        <f ca="1">IF(B$6="","",'2053'!B33)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IF(B$6="",0,'2053'!M34)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IF(B$6="",0,'2053'!M38)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IF(B$6="",0,'2053'!M39)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3750860</v>
      </c>
      <c r="C40" s="216">
        <f t="shared" ca="1" si="28"/>
        <v>3768020</v>
      </c>
      <c r="D40" s="216">
        <f t="shared" ca="1" si="28"/>
        <v>3785200</v>
      </c>
      <c r="E40" s="216">
        <f t="shared" ca="1" si="28"/>
        <v>4342630</v>
      </c>
      <c r="F40" s="216">
        <f t="shared" ca="1" si="28"/>
        <v>4413050</v>
      </c>
      <c r="G40" s="216">
        <f t="shared" ca="1" si="28"/>
        <v>4430210</v>
      </c>
      <c r="H40" s="216">
        <f t="shared" ca="1" si="28"/>
        <v>4447380</v>
      </c>
      <c r="I40" s="216">
        <f t="shared" ca="1" si="28"/>
        <v>4464540</v>
      </c>
      <c r="J40" s="216">
        <f ca="1">IF(J26="","",SUM(J27:J39))</f>
        <v>4481710</v>
      </c>
      <c r="K40" s="216">
        <f t="shared" ref="K40:M40" ca="1" si="29">IF(K26="","",SUM(K27:K39))</f>
        <v>4498870</v>
      </c>
      <c r="L40" s="216">
        <f t="shared" ca="1" si="29"/>
        <v>4516030</v>
      </c>
      <c r="M40" s="216">
        <f t="shared" ca="1" si="29"/>
        <v>4533200</v>
      </c>
      <c r="N40" s="216">
        <f ca="1">SUM(B40:M40)</f>
        <v>51431700</v>
      </c>
    </row>
    <row r="41" spans="1:14" ht="9.75" customHeight="1">
      <c r="A41" s="183" t="s">
        <v>79</v>
      </c>
      <c r="B41" s="184">
        <f ca="1">ROUND((B26-B40),-1)</f>
        <v>15881090</v>
      </c>
      <c r="C41" s="184">
        <f t="shared" ref="C41:M41" ca="1" si="30">ROUND((C26-C40),-1)</f>
        <v>17119060</v>
      </c>
      <c r="D41" s="184">
        <f t="shared" ca="1" si="30"/>
        <v>18709760</v>
      </c>
      <c r="E41" s="184">
        <f t="shared" ca="1" si="30"/>
        <v>9537710</v>
      </c>
      <c r="F41" s="184">
        <f t="shared" ca="1" si="30"/>
        <v>9467290</v>
      </c>
      <c r="G41" s="184">
        <f t="shared" ca="1" si="30"/>
        <v>9450130</v>
      </c>
      <c r="H41" s="184">
        <f t="shared" ca="1" si="30"/>
        <v>15789510</v>
      </c>
      <c r="I41" s="184">
        <f t="shared" ca="1" si="30"/>
        <v>9415800</v>
      </c>
      <c r="J41" s="184">
        <f t="shared" ca="1" si="30"/>
        <v>16932820</v>
      </c>
      <c r="K41" s="184">
        <f t="shared" ca="1" si="30"/>
        <v>9381470</v>
      </c>
      <c r="L41" s="184">
        <f t="shared" ca="1" si="30"/>
        <v>9364310</v>
      </c>
      <c r="M41" s="184">
        <f t="shared" ca="1" si="30"/>
        <v>9659370</v>
      </c>
      <c r="N41" s="184">
        <f ca="1">SUM(B41:M41)</f>
        <v>150708320</v>
      </c>
    </row>
    <row r="42" spans="1:14" ht="9.75" customHeight="1">
      <c r="A42" s="217" t="str">
        <f>'2053'!A42</f>
        <v>12)지출내용입력1</v>
      </c>
      <c r="B42" s="211">
        <f>'2053'!M42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'2053'!A43</f>
        <v>지출내용입력2</v>
      </c>
      <c r="B43" s="211">
        <f>'2053'!M43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'2053'!A44</f>
        <v>지출내용입력3</v>
      </c>
      <c r="B44" s="211">
        <f>'2053'!M44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'2053'!A45</f>
        <v>지출내용입력4</v>
      </c>
      <c r="B45" s="211">
        <f>'2053'!M45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'2053'!A46</f>
        <v>지출내용입력5</v>
      </c>
      <c r="B46" s="211">
        <f>'2053'!M46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'2053'!A47</f>
        <v>지출내용입력6</v>
      </c>
      <c r="B47" s="211">
        <f>'2053'!M47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'2053'!A48</f>
        <v>지출내용입력7</v>
      </c>
      <c r="B48" s="211">
        <f>'2053'!M48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'2053'!A49</f>
        <v>지출내용입력8</v>
      </c>
      <c r="B49" s="211">
        <f>'2053'!M49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'2053'!A50</f>
        <v>지출내용입력9</v>
      </c>
      <c r="B50" s="211">
        <f>'2053'!M50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'2053'!A51</f>
        <v>지출내용입력10</v>
      </c>
      <c r="B51" s="211">
        <f>'2053'!M51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15880990</v>
      </c>
      <c r="C53" s="188">
        <f t="shared" ca="1" si="33"/>
        <v>17118960</v>
      </c>
      <c r="D53" s="188">
        <f t="shared" ca="1" si="33"/>
        <v>18709660</v>
      </c>
      <c r="E53" s="188">
        <f t="shared" ca="1" si="33"/>
        <v>9537610</v>
      </c>
      <c r="F53" s="188">
        <f t="shared" ca="1" si="33"/>
        <v>9467190</v>
      </c>
      <c r="G53" s="188">
        <f t="shared" ca="1" si="33"/>
        <v>9450030</v>
      </c>
      <c r="H53" s="188">
        <f t="shared" ca="1" si="33"/>
        <v>15789410</v>
      </c>
      <c r="I53" s="188">
        <f t="shared" ca="1" si="33"/>
        <v>9415700</v>
      </c>
      <c r="J53" s="188">
        <f t="shared" ca="1" si="33"/>
        <v>16932720</v>
      </c>
      <c r="K53" s="188">
        <f t="shared" ca="1" si="33"/>
        <v>9381370</v>
      </c>
      <c r="L53" s="188">
        <f t="shared" ca="1" si="33"/>
        <v>9364210</v>
      </c>
      <c r="M53" s="188">
        <f t="shared" ca="1" si="33"/>
        <v>9659270</v>
      </c>
      <c r="N53" s="188">
        <f t="shared" ca="1" si="33"/>
        <v>150707120</v>
      </c>
    </row>
    <row r="55" spans="1:14" ht="18">
      <c r="A55" s="1232" t="str">
        <f ca="1">D1</f>
        <v>2054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q6/WJlBxpBny+CMUKC58sHhqhlZd/DCPd3zUJxRGuWp4F7Mg0AaQ7CnwZiZ2YVuJMIrmBSPjaDzfyUpSzw9ckA==" saltValue="s435zHJ6+lYv6Zy3IxYoZ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68" priority="8">
      <formula>$E$2="y"</formula>
    </cfRule>
    <cfRule type="expression" dxfId="167" priority="9">
      <formula>$D$2="Y"</formula>
    </cfRule>
    <cfRule type="expression" dxfId="166" priority="10">
      <formula>$F$2="y"</formula>
    </cfRule>
  </conditionalFormatting>
  <conditionalFormatting sqref="B27:M27">
    <cfRule type="expression" dxfId="165" priority="1">
      <formula>$F$2="y"</formula>
    </cfRule>
  </conditionalFormatting>
  <conditionalFormatting sqref="D16">
    <cfRule type="expression" dxfId="164" priority="26">
      <formula>$E$2="y"</formula>
    </cfRule>
    <cfRule type="expression" dxfId="163" priority="27">
      <formula>$E$2="y"</formula>
    </cfRule>
    <cfRule type="expression" dxfId="162" priority="28">
      <formula>$F$2="y"</formula>
    </cfRule>
  </conditionalFormatting>
  <conditionalFormatting sqref="D18">
    <cfRule type="expression" dxfId="161" priority="23">
      <formula>$E$2="y"</formula>
    </cfRule>
    <cfRule type="expression" dxfId="160" priority="24">
      <formula>$E$2="y"</formula>
    </cfRule>
    <cfRule type="expression" dxfId="159" priority="25">
      <formula>$F$2="y"</formula>
    </cfRule>
  </conditionalFormatting>
  <conditionalFormatting sqref="J12:K12">
    <cfRule type="expression" dxfId="158" priority="5">
      <formula>$E$2="y"</formula>
    </cfRule>
    <cfRule type="expression" dxfId="157" priority="6">
      <formula>$D$2="Y"</formula>
    </cfRule>
    <cfRule type="expression" dxfId="156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481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82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83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85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D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5"/>
  <dimension ref="A1:T60"/>
  <sheetViews>
    <sheetView showGridLines="0" showRowColHeaders="0"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2055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집계표!AG119</f>
        <v>2</v>
      </c>
      <c r="M1" s="627">
        <f>집계표!AG122</f>
        <v>1</v>
      </c>
      <c r="N1" s="618">
        <v>31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집계표!BP53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IF('2054'!M4&gt;=50,50,IF(AND('2054'!M4=50,M$3=$N$5),"",IF(B3=$N$5,'2054'!M4+1,'2054'!M4)))</f>
        <v>42</v>
      </c>
      <c r="C4" s="176">
        <f>IF(B4&gt;=50,50,IF(AND(B4=50,C$3=$N$5),50,IF(C$3=$N$5,B4+1,B4)))</f>
        <v>42</v>
      </c>
      <c r="D4" s="176">
        <f t="shared" ref="D4:M4" si="0">IF(C4&gt;=50,50,IF(AND(C4=50,D$3=$N$5),50,IF(D$3=$N$5,C4+1,C4)))</f>
        <v>43</v>
      </c>
      <c r="E4" s="176">
        <f t="shared" si="0"/>
        <v>43</v>
      </c>
      <c r="F4" s="176">
        <f t="shared" si="0"/>
        <v>43</v>
      </c>
      <c r="G4" s="176">
        <f t="shared" si="0"/>
        <v>43</v>
      </c>
      <c r="H4" s="176">
        <f t="shared" si="0"/>
        <v>43</v>
      </c>
      <c r="I4" s="176">
        <f t="shared" si="0"/>
        <v>43</v>
      </c>
      <c r="J4" s="176">
        <f t="shared" si="0"/>
        <v>43</v>
      </c>
      <c r="K4" s="176">
        <f t="shared" si="0"/>
        <v>43</v>
      </c>
      <c r="L4" s="176">
        <f t="shared" si="0"/>
        <v>43</v>
      </c>
      <c r="M4" s="176">
        <f t="shared" si="0"/>
        <v>43</v>
      </c>
      <c r="N4" s="202" t="s">
        <v>124</v>
      </c>
    </row>
    <row r="5" spans="1:14" ht="9.75" customHeight="1">
      <c r="A5" s="208" t="s">
        <v>134</v>
      </c>
      <c r="B5" s="356">
        <f>IF(B$3=$N$5,'2054'!M5+1,'2054'!M5)</f>
        <v>32</v>
      </c>
      <c r="C5" s="209">
        <f>IF(C$3=$N$5,B5+1,B5)</f>
        <v>32</v>
      </c>
      <c r="D5" s="209">
        <f t="shared" ref="D5:M5" si="1">IF(D$3=$N$5,C5+1,C5)</f>
        <v>33</v>
      </c>
      <c r="E5" s="209">
        <f t="shared" si="1"/>
        <v>33</v>
      </c>
      <c r="F5" s="209">
        <f t="shared" si="1"/>
        <v>33</v>
      </c>
      <c r="G5" s="209">
        <f t="shared" si="1"/>
        <v>33</v>
      </c>
      <c r="H5" s="209">
        <f t="shared" si="1"/>
        <v>33</v>
      </c>
      <c r="I5" s="209">
        <f t="shared" si="1"/>
        <v>33</v>
      </c>
      <c r="J5" s="209">
        <f t="shared" si="1"/>
        <v>33</v>
      </c>
      <c r="K5" s="209">
        <f t="shared" si="1"/>
        <v>33</v>
      </c>
      <c r="L5" s="209">
        <f t="shared" si="1"/>
        <v>33</v>
      </c>
      <c r="M5" s="209">
        <f t="shared" si="1"/>
        <v>33</v>
      </c>
      <c r="N5" s="177"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13030800</v>
      </c>
      <c r="C6" s="211">
        <f ca="1">IF($D$1-YEAR($B$1)&gt;0,"",IF(AND($D$1-YEAR($B$1)=0,C3-MONTH($B$1)&gt;=1),"",VLOOKUP(C4,gibon40!$D$4:$AT$47,$N$1,1)))</f>
        <v>13030800</v>
      </c>
      <c r="D6" s="211">
        <f ca="1">IF($D$1-YEAR($B$1)&gt;0,"",IF(AND($D$1-YEAR($B$1)=0,D3-MONTH($B$1)&gt;=1),"",VLOOKUP(D4,gibon40!$D$4:$AT$47,$N$1,1)))</f>
        <v>13196600</v>
      </c>
      <c r="E6" s="211">
        <f ca="1">IF($D$1-YEAR($B$1)&gt;0,"",IF(AND($D$1-YEAR($B$1)=0,E3-MONTH($B$1)&gt;=1),"",VLOOKUP(E4,gibon40!$D$4:$AT$47,$N$1,1)))</f>
        <v>13196600</v>
      </c>
      <c r="F6" s="211">
        <f ca="1">IF($D$1-YEAR($B$1)&gt;0,"",IF(AND($D$1-YEAR($B$1)=0,F3-MONTH($B$1)&gt;=1),"",VLOOKUP(F4,gibon40!$D$4:$AT$47,$N$1,1)))</f>
        <v>13196600</v>
      </c>
      <c r="G6" s="211">
        <f ca="1">IF($D$1-YEAR($B$1)&gt;0,"",IF(AND($D$1-YEAR($B$1)=0,G3-MONTH($B$1)&gt;=1),"",VLOOKUP(G4,gibon40!$D$4:$AT$47,$N$1,1)))</f>
        <v>13196600</v>
      </c>
      <c r="H6" s="211">
        <f ca="1">IF($D$1-YEAR($B$1)&gt;0,"",IF(AND($D$1-YEAR($B$1)=0,H3-MONTH($B$1)&gt;=1),"",VLOOKUP(H4,gibon40!$D$4:$AT$47,$N$1,1)))</f>
        <v>13196600</v>
      </c>
      <c r="I6" s="211">
        <f ca="1">IF($D$1-YEAR($B$1)&gt;0,"",IF(AND($D$1-YEAR($B$1)=0,I3-MONTH($B$1)&gt;=1),"",VLOOKUP(I4,gibon40!$D$4:$AT$47,$N$1,1)))</f>
        <v>13196600</v>
      </c>
      <c r="J6" s="211">
        <f ca="1">IF($D$1-YEAR($B$1)&gt;0,"",IF(AND($D$1-YEAR($B$1)=0,J3-MONTH($B$1)&gt;=1),"",VLOOKUP(J4,gibon40!$D$4:$AT$47,$N$1,1)))</f>
        <v>13196600</v>
      </c>
      <c r="K6" s="211">
        <f ca="1">IF($D$1-YEAR($B$1)&gt;0,"",IF(AND($D$1-YEAR($B$1)=0,K3-MONTH($B$1)&gt;=1),"",VLOOKUP(K4,gibon40!$D$4:$AT$47,$N$1,1)))</f>
        <v>13196600</v>
      </c>
      <c r="L6" s="211">
        <f ca="1">IF($D$1-YEAR($B$1)&gt;0,"",IF(AND($D$1-YEAR($B$1)=0,L3-MONTH($B$1)&gt;=1),"",VLOOKUP(L4,gibon40!$D$4:$AT$47,$N$1,1)))</f>
        <v>13196600</v>
      </c>
      <c r="M6" s="211">
        <f ca="1">IF($D$1-YEAR($B$1)&gt;0,"",IF(AND($D$1-YEAR($B$1)=0,M3-MONTH($B$1)&gt;=1),"",VLOOKUP(M4,gibon40!$D$4:$AT$47,$N$1,1)))</f>
        <v>13196600</v>
      </c>
      <c r="N6" s="211">
        <f t="shared" ref="N6:N52" ca="1" si="2">SUM(B6:M6)</f>
        <v>158027600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6515400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6598300</v>
      </c>
      <c r="I7" s="180"/>
      <c r="J7" s="180"/>
      <c r="K7" s="180"/>
      <c r="L7" s="180"/>
      <c r="M7" s="180"/>
      <c r="N7" s="211">
        <f t="shared" ca="1" si="2"/>
        <v>13113700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9094570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9094570</v>
      </c>
    </row>
    <row r="11" spans="1:14" ht="9.75" customHeight="1">
      <c r="A11" s="178" t="s">
        <v>63</v>
      </c>
      <c r="B11" s="179">
        <f ca="1">IF(B$6="",0,'2054'!M11)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7818480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7917960</v>
      </c>
      <c r="L12" s="179"/>
      <c r="M12" s="179"/>
      <c r="N12" s="211">
        <f t="shared" ca="1" si="2"/>
        <v>15736440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IF(B$6="",0,'2054'!M15)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IF(B$6="",0,'2054'!M16)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IF(B$6="",0,'2054'!M18)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IF(B$6="",0,'2054'!M19)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50000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50000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50000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50000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50000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50000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50000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50000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50000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50000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50000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50000</v>
      </c>
      <c r="N20" s="211">
        <f t="shared" ca="1" si="2"/>
        <v>600000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106680</v>
      </c>
      <c r="E21" s="179">
        <f ca="1">IF(D4="","",IF(E$6="","",ROUND(VLOOKUP(E4,gibon40!$D$51:$AV$100,$N$1+1)*10*15/15,-1)))</f>
        <v>320040</v>
      </c>
      <c r="F21" s="179">
        <f ca="1">IF(E4="","",IF(F$6="","",ROUND(VLOOKUP(F4,gibon40!$D$51:$AV$100,$N$1+1)*10*15/15,-1)))</f>
        <v>320040</v>
      </c>
      <c r="G21" s="179">
        <f ca="1">IF(F4="","",IF(G$6="","",ROUND(VLOOKUP(G4,gibon40!$D$51:$AV$100,$N$1+1)*10*15/15,-1)))</f>
        <v>320040</v>
      </c>
      <c r="H21" s="179">
        <f ca="1">IF(G4="","",IF(H$6="","",ROUND(VLOOKUP(H4,gibon40!$D$51:$AV$100,$N$1+1)*10*15/15,-1)))</f>
        <v>320040</v>
      </c>
      <c r="I21" s="179">
        <f ca="1">IF(H4="","",IF(I$6="","",ROUND(VLOOKUP(I4,gibon40!$D$51:$AV$100,$N$1+1)*10*15/15,-1)))</f>
        <v>320040</v>
      </c>
      <c r="J21" s="179">
        <f ca="1">IF(I4="","",IF(J$6="","",ROUND(VLOOKUP(J4,gibon40!$D$51:$AV$100,$N$1+1)*7*15/15,-1)))</f>
        <v>224030</v>
      </c>
      <c r="K21" s="179">
        <f ca="1">IF(J4="","",IF(K$6="","",ROUND(VLOOKUP(K4,gibon40!$D$51:$AV$100,$N$1+1)*10*15/15,-1)))</f>
        <v>320040</v>
      </c>
      <c r="L21" s="179">
        <f ca="1">IF(K4="","",IF(L$6="","",ROUND(VLOOKUP(L4,gibon40!$D$51:$AV$100,$N$1+1)*10*15/15,-1)))</f>
        <v>320040</v>
      </c>
      <c r="M21" s="179">
        <f ca="1">IF(L4="","",IF(M$6="","",ROUND(VLOOKUP(M4,gibon40!$D$51:$AV$100,$N$1+1)*10*15/15*2,-1)))</f>
        <v>640090</v>
      </c>
      <c r="N21" s="211">
        <f t="shared" ca="1" si="2"/>
        <v>3211080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IF(B$6="",0,'2054'!M23)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IF(B$6="",0,'2054'!M24)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'2054'!A25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28219680</v>
      </c>
      <c r="C26" s="213">
        <f t="shared" ref="C26:M26" ca="1" si="16">ROUNDDOWN(SUM(C6:C25),-1)</f>
        <v>13885800</v>
      </c>
      <c r="D26" s="213">
        <f t="shared" ca="1" si="16"/>
        <v>23252850</v>
      </c>
      <c r="E26" s="213">
        <f t="shared" ca="1" si="16"/>
        <v>14371640</v>
      </c>
      <c r="F26" s="213">
        <f t="shared" ca="1" si="16"/>
        <v>14371640</v>
      </c>
      <c r="G26" s="213">
        <f t="shared" ca="1" si="16"/>
        <v>14371640</v>
      </c>
      <c r="H26" s="213">
        <f t="shared" ca="1" si="16"/>
        <v>20969940</v>
      </c>
      <c r="I26" s="213">
        <f t="shared" ca="1" si="16"/>
        <v>14371640</v>
      </c>
      <c r="J26" s="213">
        <f t="shared" ca="1" si="16"/>
        <v>14275630</v>
      </c>
      <c r="K26" s="213">
        <f t="shared" ca="1" si="16"/>
        <v>22289600</v>
      </c>
      <c r="L26" s="213">
        <f t="shared" ca="1" si="16"/>
        <v>14371640</v>
      </c>
      <c r="M26" s="213">
        <f t="shared" ca="1" si="16"/>
        <v>14691690</v>
      </c>
      <c r="N26" s="214">
        <f ca="1">SUM(B26:M26)</f>
        <v>209443390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IF(B4="","",IF(B6="","",IF($D$1-YEAR('2025'!$I$1)&gt;0,"",IF(AND($D$1-YEAR('2025'!$I$1)=0,B3-MONTH('2025'!$I$1)&gt;=1),"",'2054'!M29))))</f>
        <v>1482180</v>
      </c>
      <c r="C29" s="179">
        <f ca="1">IF(C4="","",IF(C6="","",IF($D$1-YEAR('2025'!$I$1)&gt;0,"",IF(AND($D$1-YEAR('2025'!$I$1)=0,C3-MONTH('2025'!$I$1)&gt;=1),"",B29))))</f>
        <v>1482180</v>
      </c>
      <c r="D29" s="179">
        <f ca="1">IF(D4="","",IF(D6="","",IF($D$1-YEAR('2025'!$I$1)&gt;0,"",IF(AND($D$1-YEAR('2025'!$I$1)=0,D3-MONTH('2025'!$I$1)&gt;=1),"",C29))))</f>
        <v>1482180</v>
      </c>
      <c r="E29" s="179">
        <f ca="1">IF(E4="","",IF(E6="","",IF($D$1-YEAR('2025'!$I$1)&gt;0,"",IF(AND($D$1-YEAR('2025'!$I$1)=0,E3-MONTH('2025'!$I$1)&gt;=1),"",D29))))</f>
        <v>1482180</v>
      </c>
      <c r="F29" s="179">
        <f ca="1">IF(F4="","",IF(F$6="","",IF($D$1-YEAR('2025'!$I$1)&gt;0,"",IF(AND($D$1-YEAR('2025'!$I$1)=0,F3-MONTH('2025'!$I$1)&gt;=1),"",VLOOKUP(F$4,집계표!$AK$5:$HA$47,$N$1*3+$N$1-1+4)))))</f>
        <v>1539100</v>
      </c>
      <c r="G29" s="179">
        <f ca="1">IF(G6="",0,IF($D$1-YEAR('2025'!$I$1)&gt;0,"",IF(AND($D$1-YEAR('2025'!$I$1)=0,G3-MONTH('2025'!$I$1)&gt;=1),"",F29)))</f>
        <v>1539100</v>
      </c>
      <c r="H29" s="179">
        <f ca="1">IF(H6="",0,IF($D$1-YEAR('2025'!$I$1)&gt;0,"",IF(AND($D$1-YEAR('2025'!$I$1)=0,H3-MONTH('2025'!$I$1)&gt;=1),"",G29)))</f>
        <v>1539100</v>
      </c>
      <c r="I29" s="179">
        <f ca="1">IF(I6="",0,IF($D$1-YEAR('2025'!$I$1)&gt;0,"",IF(AND($D$1-YEAR('2025'!$I$1)=0,I3-MONTH('2025'!$I$1)&gt;=1),"",H29)))</f>
        <v>1539100</v>
      </c>
      <c r="J29" s="179">
        <f ca="1">IF(J6="",0,IF($D$1-YEAR('2025'!$I$1)&gt;0,"",IF(AND($D$1-YEAR('2025'!$I$1)=0,J3-MONTH('2025'!$I$1)&gt;=1),"",I29)))</f>
        <v>1539100</v>
      </c>
      <c r="K29" s="179">
        <f ca="1">IF(K6="",0,IF($D$1-YEAR('2025'!$I$1)&gt;0,"",IF(AND($D$1-YEAR('2025'!$I$1)=0,K3-MONTH('2025'!$I$1)&gt;=1),"",J29)))</f>
        <v>1539100</v>
      </c>
      <c r="L29" s="179">
        <f ca="1">IF(L6="",0,IF($D$1-YEAR('2025'!$I$1)&gt;0,"",IF(AND($D$1-YEAR('2025'!$I$1)=0,L3-MONTH('2025'!$I$1)&gt;=1),"",K29)))</f>
        <v>1539100</v>
      </c>
      <c r="M29" s="179">
        <f ca="1">IF(M6="",0,IF($D$1-YEAR('2025'!$I$1)&gt;0,"",IF(AND($D$1-YEAR('2025'!$I$1)=0,M3-MONTH('2025'!$I$1)&gt;=1),"",L29)))</f>
        <v>1539100</v>
      </c>
      <c r="N29" s="211">
        <f t="shared" ca="1" si="2"/>
        <v>18241520</v>
      </c>
    </row>
    <row r="30" spans="1:20" ht="9.75" customHeight="1">
      <c r="A30" s="182" t="s">
        <v>58</v>
      </c>
      <c r="B30" s="179">
        <f ca="1">IF(B6="","",'2054'!M30)</f>
        <v>639390</v>
      </c>
      <c r="C30" s="179">
        <f ca="1">IF(C6="","",B30)</f>
        <v>639390</v>
      </c>
      <c r="D30" s="179">
        <f ca="1">IF(D6="","",C30)</f>
        <v>639390</v>
      </c>
      <c r="E30" s="857">
        <f ca="1">IF(E6="","",VLOOKUP(E$4,집계표!$AK$5:$HA$47,$N$1*4))</f>
        <v>663940</v>
      </c>
      <c r="F30" s="179">
        <f ca="1">IF(F6="","",E30)</f>
        <v>663940</v>
      </c>
      <c r="G30" s="179">
        <f t="shared" ref="G30:M30" ca="1" si="20">IF(G6="","",F30)</f>
        <v>663940</v>
      </c>
      <c r="H30" s="179">
        <f t="shared" ca="1" si="20"/>
        <v>663940</v>
      </c>
      <c r="I30" s="179">
        <f t="shared" ca="1" si="20"/>
        <v>663940</v>
      </c>
      <c r="J30" s="179">
        <f t="shared" ca="1" si="20"/>
        <v>663940</v>
      </c>
      <c r="K30" s="179">
        <f t="shared" ca="1" si="20"/>
        <v>663940</v>
      </c>
      <c r="L30" s="179">
        <f t="shared" ca="1" si="20"/>
        <v>663940</v>
      </c>
      <c r="M30" s="179">
        <f t="shared" ca="1" si="20"/>
        <v>663940</v>
      </c>
      <c r="N30" s="211">
        <f t="shared" ca="1" si="2"/>
        <v>7893630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65540</v>
      </c>
      <c r="C31" s="179">
        <f t="shared" ca="1" si="21"/>
        <v>65540</v>
      </c>
      <c r="D31" s="179">
        <f t="shared" ca="1" si="21"/>
        <v>65540</v>
      </c>
      <c r="E31" s="179">
        <f t="shared" ca="1" si="21"/>
        <v>68050</v>
      </c>
      <c r="F31" s="179">
        <f t="shared" ca="1" si="21"/>
        <v>68050</v>
      </c>
      <c r="G31" s="179">
        <f t="shared" ca="1" si="21"/>
        <v>68050</v>
      </c>
      <c r="H31" s="179">
        <f t="shared" ca="1" si="21"/>
        <v>68050</v>
      </c>
      <c r="I31" s="179">
        <f t="shared" ca="1" si="21"/>
        <v>68050</v>
      </c>
      <c r="J31" s="179">
        <f ca="1">IF(J$6="","",ROUND(IF(J4="","",J30*10.25%),-1))</f>
        <v>68050</v>
      </c>
      <c r="K31" s="179">
        <f t="shared" ref="K31:M31" ca="1" si="22">IF(K$6="","",ROUND(IF(K4="","",K30*10.25%),-1))</f>
        <v>68050</v>
      </c>
      <c r="L31" s="179">
        <f t="shared" ca="1" si="22"/>
        <v>68050</v>
      </c>
      <c r="M31" s="179">
        <f t="shared" ca="1" si="22"/>
        <v>68050</v>
      </c>
      <c r="N31" s="211">
        <f t="shared" ca="1" si="2"/>
        <v>809070</v>
      </c>
    </row>
    <row r="32" spans="1:20" ht="9.75" customHeight="1">
      <c r="A32" s="597" t="str">
        <f>'2054'!A32</f>
        <v>교직원공제비</v>
      </c>
      <c r="B32" s="621">
        <f ca="1">IF(B$6="","",'2054'!B32)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'2054'!A33</f>
        <v>급식비</v>
      </c>
      <c r="B33" s="621">
        <f ca="1">IF(B$6="","",'2054'!B33)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IF(B$6="",0,'2054'!M34)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IF(B$6="",0,'2054'!M38)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IF(B$6="",0,'2054'!M39)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3829440</v>
      </c>
      <c r="C40" s="216">
        <f t="shared" ca="1" si="28"/>
        <v>3846600</v>
      </c>
      <c r="D40" s="216">
        <f t="shared" ca="1" si="28"/>
        <v>3863780</v>
      </c>
      <c r="E40" s="216">
        <f t="shared" ca="1" si="28"/>
        <v>4422940</v>
      </c>
      <c r="F40" s="216">
        <f t="shared" ca="1" si="28"/>
        <v>4497030</v>
      </c>
      <c r="G40" s="216">
        <f t="shared" ca="1" si="28"/>
        <v>4514190</v>
      </c>
      <c r="H40" s="216">
        <f t="shared" ca="1" si="28"/>
        <v>4531360</v>
      </c>
      <c r="I40" s="216">
        <f t="shared" ca="1" si="28"/>
        <v>4548520</v>
      </c>
      <c r="J40" s="216">
        <f ca="1">IF(J26="","",SUM(J27:J39))</f>
        <v>4565690</v>
      </c>
      <c r="K40" s="216">
        <f t="shared" ref="K40:M40" ca="1" si="29">IF(K26="","",SUM(K27:K39))</f>
        <v>4582850</v>
      </c>
      <c r="L40" s="216">
        <f t="shared" ca="1" si="29"/>
        <v>4600010</v>
      </c>
      <c r="M40" s="216">
        <f t="shared" ca="1" si="29"/>
        <v>4617180</v>
      </c>
      <c r="N40" s="216">
        <f ca="1">SUM(B40:M40)</f>
        <v>52419590</v>
      </c>
    </row>
    <row r="41" spans="1:14" ht="9.75" customHeight="1">
      <c r="A41" s="183" t="s">
        <v>79</v>
      </c>
      <c r="B41" s="184">
        <f ca="1">ROUND((B26-B40),-1)</f>
        <v>24390240</v>
      </c>
      <c r="C41" s="184">
        <f t="shared" ref="C41:M41" ca="1" si="30">ROUND((C26-C40),-1)</f>
        <v>10039200</v>
      </c>
      <c r="D41" s="184">
        <f t="shared" ca="1" si="30"/>
        <v>19389070</v>
      </c>
      <c r="E41" s="184">
        <f t="shared" ca="1" si="30"/>
        <v>9948700</v>
      </c>
      <c r="F41" s="184">
        <f t="shared" ca="1" si="30"/>
        <v>9874610</v>
      </c>
      <c r="G41" s="184">
        <f t="shared" ca="1" si="30"/>
        <v>9857450</v>
      </c>
      <c r="H41" s="184">
        <f t="shared" ca="1" si="30"/>
        <v>16438580</v>
      </c>
      <c r="I41" s="184">
        <f t="shared" ca="1" si="30"/>
        <v>9823120</v>
      </c>
      <c r="J41" s="184">
        <f t="shared" ca="1" si="30"/>
        <v>9709940</v>
      </c>
      <c r="K41" s="184">
        <f t="shared" ca="1" si="30"/>
        <v>17706750</v>
      </c>
      <c r="L41" s="184">
        <f t="shared" ca="1" si="30"/>
        <v>9771630</v>
      </c>
      <c r="M41" s="184">
        <f t="shared" ca="1" si="30"/>
        <v>10074510</v>
      </c>
      <c r="N41" s="184">
        <f ca="1">SUM(B41:M41)</f>
        <v>157023800</v>
      </c>
    </row>
    <row r="42" spans="1:14" ht="9.75" customHeight="1">
      <c r="A42" s="217" t="str">
        <f>'2054'!A42</f>
        <v>12)지출내용입력1</v>
      </c>
      <c r="B42" s="211">
        <f>'2054'!M42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'2054'!A43</f>
        <v>지출내용입력2</v>
      </c>
      <c r="B43" s="211">
        <f>'2054'!M43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'2054'!A44</f>
        <v>지출내용입력3</v>
      </c>
      <c r="B44" s="211">
        <f>'2054'!M44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'2054'!A45</f>
        <v>지출내용입력4</v>
      </c>
      <c r="B45" s="211">
        <f>'2054'!M45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'2054'!A46</f>
        <v>지출내용입력5</v>
      </c>
      <c r="B46" s="211">
        <f>'2054'!M46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'2054'!A47</f>
        <v>지출내용입력6</v>
      </c>
      <c r="B47" s="211">
        <f>'2054'!M47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'2054'!A48</f>
        <v>지출내용입력7</v>
      </c>
      <c r="B48" s="211">
        <f>'2054'!M48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'2054'!A49</f>
        <v>지출내용입력8</v>
      </c>
      <c r="B49" s="211">
        <f>'2054'!M49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'2054'!A50</f>
        <v>지출내용입력9</v>
      </c>
      <c r="B50" s="211">
        <f>'2054'!M50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'2054'!A51</f>
        <v>지출내용입력10</v>
      </c>
      <c r="B51" s="211">
        <f>'2054'!M51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24390140</v>
      </c>
      <c r="C53" s="188">
        <f t="shared" ca="1" si="33"/>
        <v>10039100</v>
      </c>
      <c r="D53" s="188">
        <f t="shared" ca="1" si="33"/>
        <v>19388970</v>
      </c>
      <c r="E53" s="188">
        <f t="shared" ca="1" si="33"/>
        <v>9948600</v>
      </c>
      <c r="F53" s="188">
        <f t="shared" ca="1" si="33"/>
        <v>9874510</v>
      </c>
      <c r="G53" s="188">
        <f t="shared" ca="1" si="33"/>
        <v>9857350</v>
      </c>
      <c r="H53" s="188">
        <f t="shared" ca="1" si="33"/>
        <v>16438480</v>
      </c>
      <c r="I53" s="188">
        <f t="shared" ca="1" si="33"/>
        <v>9823020</v>
      </c>
      <c r="J53" s="188">
        <f t="shared" ca="1" si="33"/>
        <v>9709840</v>
      </c>
      <c r="K53" s="188">
        <f t="shared" ca="1" si="33"/>
        <v>17706650</v>
      </c>
      <c r="L53" s="188">
        <f t="shared" ca="1" si="33"/>
        <v>9771530</v>
      </c>
      <c r="M53" s="188">
        <f t="shared" ca="1" si="33"/>
        <v>10074410</v>
      </c>
      <c r="N53" s="188">
        <f t="shared" ca="1" si="33"/>
        <v>157022600</v>
      </c>
    </row>
    <row r="55" spans="1:14" ht="18">
      <c r="A55" s="1232" t="str">
        <f ca="1">D1</f>
        <v>2055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JlHWAwUqroZ5Dke6QtsvYAUQR9iAEzKyxU3qV8YPKgHKXCTocCgXTV7tpJcmC77o6XN8yCik1nq0ia7liA8JTA==" saltValue="+mMVhwjj76onFKQMyin0S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55" priority="8">
      <formula>$E$2="y"</formula>
    </cfRule>
    <cfRule type="expression" dxfId="154" priority="9">
      <formula>$D$2="Y"</formula>
    </cfRule>
    <cfRule type="expression" dxfId="153" priority="10">
      <formula>$F$2="y"</formula>
    </cfRule>
  </conditionalFormatting>
  <conditionalFormatting sqref="B27:M27">
    <cfRule type="expression" dxfId="152" priority="1">
      <formula>$F$2="y"</formula>
    </cfRule>
  </conditionalFormatting>
  <conditionalFormatting sqref="D16">
    <cfRule type="expression" dxfId="151" priority="26">
      <formula>$E$2="y"</formula>
    </cfRule>
    <cfRule type="expression" dxfId="150" priority="27">
      <formula>$E$2="y"</formula>
    </cfRule>
    <cfRule type="expression" dxfId="149" priority="28">
      <formula>$F$2="y"</formula>
    </cfRule>
  </conditionalFormatting>
  <conditionalFormatting sqref="D18">
    <cfRule type="expression" dxfId="148" priority="23">
      <formula>$E$2="y"</formula>
    </cfRule>
    <cfRule type="expression" dxfId="147" priority="24">
      <formula>$E$2="y"</formula>
    </cfRule>
    <cfRule type="expression" dxfId="146" priority="25">
      <formula>$F$2="y"</formula>
    </cfRule>
  </conditionalFormatting>
  <conditionalFormatting sqref="J12:K12">
    <cfRule type="expression" dxfId="145" priority="5">
      <formula>$E$2="y"</formula>
    </cfRule>
    <cfRule type="expression" dxfId="144" priority="6">
      <formula>$D$2="Y"</formula>
    </cfRule>
    <cfRule type="expression" dxfId="143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9505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06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07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09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E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6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2056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집계표!AH119</f>
        <v>2</v>
      </c>
      <c r="M1" s="627">
        <f>집계표!AH122</f>
        <v>1</v>
      </c>
      <c r="N1" s="618">
        <v>32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집계표!BQ53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IF('2055'!M4&gt;=50,50,IF(AND('2055'!M4=50,M$3=$N$5),"",IF(B3=$N$5,'2055'!M4+1,'2055'!M4)))</f>
        <v>43</v>
      </c>
      <c r="C4" s="176">
        <f>IF(B4&gt;=50,50,IF(AND(B4=50,C$3=$N$5),50,IF(C$3=$N$5,B4+1,B4)))</f>
        <v>43</v>
      </c>
      <c r="D4" s="176">
        <f t="shared" ref="D4:M4" si="0">IF(C4&gt;=50,50,IF(AND(C4=50,D$3=$N$5),50,IF(D$3=$N$5,C4+1,C4)))</f>
        <v>44</v>
      </c>
      <c r="E4" s="176">
        <f t="shared" si="0"/>
        <v>44</v>
      </c>
      <c r="F4" s="176">
        <f t="shared" si="0"/>
        <v>44</v>
      </c>
      <c r="G4" s="176">
        <f t="shared" si="0"/>
        <v>44</v>
      </c>
      <c r="H4" s="176">
        <f t="shared" si="0"/>
        <v>44</v>
      </c>
      <c r="I4" s="176">
        <f t="shared" si="0"/>
        <v>44</v>
      </c>
      <c r="J4" s="176">
        <f t="shared" si="0"/>
        <v>44</v>
      </c>
      <c r="K4" s="176">
        <f t="shared" si="0"/>
        <v>44</v>
      </c>
      <c r="L4" s="176">
        <f t="shared" si="0"/>
        <v>44</v>
      </c>
      <c r="M4" s="176">
        <f t="shared" si="0"/>
        <v>44</v>
      </c>
      <c r="N4" s="202" t="s">
        <v>124</v>
      </c>
    </row>
    <row r="5" spans="1:14" ht="9.75" customHeight="1">
      <c r="A5" s="208" t="s">
        <v>134</v>
      </c>
      <c r="B5" s="356">
        <f>IF(B$3=$N$5,'2055'!M5+1,'2055'!M5)</f>
        <v>33</v>
      </c>
      <c r="C5" s="209">
        <f>IF(C$3=$N$5,B5+1,B5)</f>
        <v>33</v>
      </c>
      <c r="D5" s="209">
        <f t="shared" ref="D5:M5" si="1">IF(D$3=$N$5,C5+1,C5)</f>
        <v>34</v>
      </c>
      <c r="E5" s="209">
        <f t="shared" si="1"/>
        <v>34</v>
      </c>
      <c r="F5" s="209">
        <f t="shared" si="1"/>
        <v>34</v>
      </c>
      <c r="G5" s="209">
        <f t="shared" si="1"/>
        <v>34</v>
      </c>
      <c r="H5" s="209">
        <f t="shared" si="1"/>
        <v>34</v>
      </c>
      <c r="I5" s="209">
        <f t="shared" si="1"/>
        <v>34</v>
      </c>
      <c r="J5" s="209">
        <f t="shared" si="1"/>
        <v>34</v>
      </c>
      <c r="K5" s="209">
        <f t="shared" si="1"/>
        <v>34</v>
      </c>
      <c r="L5" s="209">
        <f t="shared" si="1"/>
        <v>34</v>
      </c>
      <c r="M5" s="209">
        <f t="shared" si="1"/>
        <v>34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13526400</v>
      </c>
      <c r="C6" s="211">
        <f ca="1">IF($D$1-YEAR($B$1)&gt;0,"",IF(AND($D$1-YEAR($B$1)=0,C3-MONTH($B$1)&gt;=1),"",VLOOKUP(C4,gibon40!$D$4:$AT$47,$N$1,1)))</f>
        <v>13526400</v>
      </c>
      <c r="D6" s="211">
        <f ca="1">IF($D$1-YEAR($B$1)&gt;0,"",IF(AND($D$1-YEAR($B$1)=0,D3-MONTH($B$1)&gt;=1),"",VLOOKUP(D4,gibon40!$D$4:$AT$47,$N$1,1)))</f>
        <v>13696300</v>
      </c>
      <c r="E6" s="211">
        <f ca="1">IF($D$1-YEAR($B$1)&gt;0,"",IF(AND($D$1-YEAR($B$1)=0,E3-MONTH($B$1)&gt;=1),"",VLOOKUP(E4,gibon40!$D$4:$AT$47,$N$1,1)))</f>
        <v>13696300</v>
      </c>
      <c r="F6" s="211">
        <f ca="1">IF($D$1-YEAR($B$1)&gt;0,"",IF(AND($D$1-YEAR($B$1)=0,F3-MONTH($B$1)&gt;=1),"",VLOOKUP(F4,gibon40!$D$4:$AT$47,$N$1,1)))</f>
        <v>13696300</v>
      </c>
      <c r="G6" s="211">
        <f ca="1">IF($D$1-YEAR($B$1)&gt;0,"",IF(AND($D$1-YEAR($B$1)=0,G3-MONTH($B$1)&gt;=1),"",VLOOKUP(G4,gibon40!$D$4:$AT$47,$N$1,1)))</f>
        <v>13696300</v>
      </c>
      <c r="H6" s="211">
        <f ca="1">IF($D$1-YEAR($B$1)&gt;0,"",IF(AND($D$1-YEAR($B$1)=0,H3-MONTH($B$1)&gt;=1),"",VLOOKUP(H4,gibon40!$D$4:$AT$47,$N$1,1)))</f>
        <v>13696300</v>
      </c>
      <c r="I6" s="211">
        <f ca="1">IF($D$1-YEAR($B$1)&gt;0,"",IF(AND($D$1-YEAR($B$1)=0,I3-MONTH($B$1)&gt;=1),"",VLOOKUP(I4,gibon40!$D$4:$AT$47,$N$1,1)))</f>
        <v>13696300</v>
      </c>
      <c r="J6" s="211">
        <f ca="1">IF($D$1-YEAR($B$1)&gt;0,"",IF(AND($D$1-YEAR($B$1)=0,J3-MONTH($B$1)&gt;=1),"",VLOOKUP(J4,gibon40!$D$4:$AT$47,$N$1,1)))</f>
        <v>13696300</v>
      </c>
      <c r="K6" s="211">
        <f ca="1">IF($D$1-YEAR($B$1)&gt;0,"",IF(AND($D$1-YEAR($B$1)=0,K3-MONTH($B$1)&gt;=1),"",VLOOKUP(K4,gibon40!$D$4:$AT$47,$N$1,1)))</f>
        <v>13696300</v>
      </c>
      <c r="L6" s="211">
        <f ca="1">IF($D$1-YEAR($B$1)&gt;0,"",IF(AND($D$1-YEAR($B$1)=0,L3-MONTH($B$1)&gt;=1),"",VLOOKUP(L4,gibon40!$D$4:$AT$47,$N$1,1)))</f>
        <v>13696300</v>
      </c>
      <c r="M6" s="211">
        <f ca="1">IF($D$1-YEAR($B$1)&gt;0,"",IF(AND($D$1-YEAR($B$1)=0,M3-MONTH($B$1)&gt;=1),"",VLOOKUP(M4,gibon40!$D$4:$AT$47,$N$1,1)))</f>
        <v>13696300</v>
      </c>
      <c r="N6" s="211">
        <f t="shared" ref="N6:N52" ca="1" si="2">SUM(B6:M6)</f>
        <v>164015800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6763200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6848150</v>
      </c>
      <c r="I7" s="180"/>
      <c r="J7" s="180"/>
      <c r="K7" s="180"/>
      <c r="L7" s="180"/>
      <c r="M7" s="180"/>
      <c r="N7" s="211">
        <f t="shared" ca="1" si="2"/>
        <v>13611350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9321920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9321920</v>
      </c>
    </row>
    <row r="11" spans="1:14" ht="9.75" customHeight="1">
      <c r="A11" s="178" t="s">
        <v>63</v>
      </c>
      <c r="B11" s="179">
        <f ca="1">IF(B$6="",0,'2055'!M11)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8115840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8217780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16333620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IF(B$6="",0,'2055'!M15)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IF(B$6="",0,'2055'!M16)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IF(B$6="",0,'2055'!M18)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IF(B$6="",0,'2055'!M19)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50000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50000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50000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50000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50000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50000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50000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50000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50000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50000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50000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50000</v>
      </c>
      <c r="N20" s="211">
        <f t="shared" ca="1" si="2"/>
        <v>600000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109350</v>
      </c>
      <c r="E21" s="179">
        <f ca="1">IF(D4="","",IF(E$6="","",ROUND(VLOOKUP(E4,gibon40!$D$51:$AV$100,$N$1+1)*10*15/15,-1)))</f>
        <v>328050</v>
      </c>
      <c r="F21" s="179">
        <f ca="1">IF(E4="","",IF(F$6="","",ROUND(VLOOKUP(F4,gibon40!$D$51:$AV$100,$N$1+1)*10*15/15,-1)))</f>
        <v>328050</v>
      </c>
      <c r="G21" s="179">
        <f ca="1">IF(F4="","",IF(G$6="","",ROUND(VLOOKUP(G4,gibon40!$D$51:$AV$100,$N$1+1)*10*15/15,-1)))</f>
        <v>328050</v>
      </c>
      <c r="H21" s="179">
        <f ca="1">IF(G4="","",IF(H$6="","",ROUND(VLOOKUP(H4,gibon40!$D$51:$AV$100,$N$1+1)*10*15/15,-1)))</f>
        <v>328050</v>
      </c>
      <c r="I21" s="179">
        <f ca="1">IF(H4="","",IF(I$6="","",ROUND(VLOOKUP(I4,gibon40!$D$51:$AV$100,$N$1+1)*10*15/15,-1)))</f>
        <v>328050</v>
      </c>
      <c r="J21" s="179">
        <f ca="1">IF(I4="","",IF(J$6="","",ROUND(VLOOKUP(J4,gibon40!$D$51:$AV$100,$N$1+1)*7*15/15,-1)))</f>
        <v>229630</v>
      </c>
      <c r="K21" s="179">
        <f ca="1">IF(J4="","",IF(K$6="","",ROUND(VLOOKUP(K4,gibon40!$D$51:$AV$100,$N$1+1)*10*15/15,-1)))</f>
        <v>328050</v>
      </c>
      <c r="L21" s="179">
        <f ca="1">IF(K4="","",IF(L$6="","",ROUND(VLOOKUP(L4,gibon40!$D$51:$AV$100,$N$1+1)*10*15/15,-1)))</f>
        <v>328050</v>
      </c>
      <c r="M21" s="179">
        <f ca="1">IF(L4="","",IF(M$6="","",ROUND(VLOOKUP(M4,gibon40!$D$51:$AV$100,$N$1+1)*10*15/15*2,-1)))</f>
        <v>656090</v>
      </c>
      <c r="N21" s="211">
        <f t="shared" ca="1" si="2"/>
        <v>3291420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IF(B$6="",0,'2055'!M23)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IF(B$6="",0,'2055'!M24)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'2055'!A25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21144600</v>
      </c>
      <c r="C26" s="213">
        <f t="shared" ref="C26:M26" ca="1" si="16">ROUNDDOWN(SUM(C6:C25),-1)</f>
        <v>22497240</v>
      </c>
      <c r="D26" s="213">
        <f t="shared" ca="1" si="16"/>
        <v>23982570</v>
      </c>
      <c r="E26" s="213">
        <f t="shared" ca="1" si="16"/>
        <v>14879350</v>
      </c>
      <c r="F26" s="213">
        <f t="shared" ca="1" si="16"/>
        <v>14879350</v>
      </c>
      <c r="G26" s="213">
        <f t="shared" ca="1" si="16"/>
        <v>14879350</v>
      </c>
      <c r="H26" s="213">
        <f t="shared" ca="1" si="16"/>
        <v>21727500</v>
      </c>
      <c r="I26" s="213">
        <f t="shared" ca="1" si="16"/>
        <v>14879350</v>
      </c>
      <c r="J26" s="213">
        <f t="shared" ca="1" si="16"/>
        <v>22998710</v>
      </c>
      <c r="K26" s="213">
        <f t="shared" ca="1" si="16"/>
        <v>14879350</v>
      </c>
      <c r="L26" s="213">
        <f t="shared" ca="1" si="16"/>
        <v>14879350</v>
      </c>
      <c r="M26" s="213">
        <f t="shared" ca="1" si="16"/>
        <v>15207390</v>
      </c>
      <c r="N26" s="214">
        <f ca="1">SUM(B26:M26)</f>
        <v>216834110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IF(B4="","",IF(B6="","",IF($D$1-YEAR('2025'!$I$1)&gt;0,"",IF(AND($D$1-YEAR('2025'!$I$1)=0,B3-MONTH('2025'!$I$1)&gt;=1),"",'2055'!M29))))</f>
        <v>1539100</v>
      </c>
      <c r="C29" s="179">
        <f ca="1">IF(C4="","",IF(C6="","",IF($D$1-YEAR('2025'!$I$1)&gt;0,"",IF(AND($D$1-YEAR('2025'!$I$1)=0,C3-MONTH('2025'!$I$1)&gt;=1),"",B29))))</f>
        <v>1539100</v>
      </c>
      <c r="D29" s="179">
        <f ca="1">IF(D4="","",IF(D6="","",IF($D$1-YEAR('2025'!$I$1)&gt;0,"",IF(AND($D$1-YEAR('2025'!$I$1)=0,D3-MONTH('2025'!$I$1)&gt;=1),"",C29))))</f>
        <v>1539100</v>
      </c>
      <c r="E29" s="179">
        <f ca="1">IF(E4="","",IF(E6="","",IF($D$1-YEAR('2025'!$I$1)&gt;0,"",IF(AND($D$1-YEAR('2025'!$I$1)=0,E3-MONTH('2025'!$I$1)&gt;=1),"",D29))))</f>
        <v>1539100</v>
      </c>
      <c r="F29" s="179">
        <f ca="1">IF(F4="","",IF(F$6="","",IF($D$1-YEAR('2025'!$I$1)&gt;0,"",IF(AND($D$1-YEAR('2025'!$I$1)=0,F3-MONTH('2025'!$I$1)&gt;=1),"",VLOOKUP(F$4,집계표!$AK$5:$HA$47,$N$1*3+$N$1-1+4)))))</f>
        <v>1592350</v>
      </c>
      <c r="G29" s="179">
        <f ca="1">IF(G6="",0,IF($D$1-YEAR('2025'!$I$1)&gt;0,"",IF(AND($D$1-YEAR('2025'!$I$1)=0,G3-MONTH('2025'!$I$1)&gt;=1),"",F29)))</f>
        <v>1592350</v>
      </c>
      <c r="H29" s="179">
        <f ca="1">IF(H6="",0,IF($D$1-YEAR('2025'!$I$1)&gt;0,"",IF(AND($D$1-YEAR('2025'!$I$1)=0,H3-MONTH('2025'!$I$1)&gt;=1),"",G29)))</f>
        <v>1592350</v>
      </c>
      <c r="I29" s="179">
        <f ca="1">IF(I6="",0,IF($D$1-YEAR('2025'!$I$1)&gt;0,"",IF(AND($D$1-YEAR('2025'!$I$1)=0,I3-MONTH('2025'!$I$1)&gt;=1),"",H29)))</f>
        <v>1592350</v>
      </c>
      <c r="J29" s="179">
        <f ca="1">IF(J6="",0,IF($D$1-YEAR('2025'!$I$1)&gt;0,"",IF(AND($D$1-YEAR('2025'!$I$1)=0,J3-MONTH('2025'!$I$1)&gt;=1),"",I29)))</f>
        <v>1592350</v>
      </c>
      <c r="K29" s="179">
        <f ca="1">IF(K6="",0,IF($D$1-YEAR('2025'!$I$1)&gt;0,"",IF(AND($D$1-YEAR('2025'!$I$1)=0,K3-MONTH('2025'!$I$1)&gt;=1),"",J29)))</f>
        <v>1592350</v>
      </c>
      <c r="L29" s="179">
        <f ca="1">IF(L6="",0,IF($D$1-YEAR('2025'!$I$1)&gt;0,"",IF(AND($D$1-YEAR('2025'!$I$1)=0,L3-MONTH('2025'!$I$1)&gt;=1),"",K29)))</f>
        <v>1592350</v>
      </c>
      <c r="M29" s="179">
        <f ca="1">IF(M6="",0,IF($D$1-YEAR('2025'!$I$1)&gt;0,"",IF(AND($D$1-YEAR('2025'!$I$1)=0,M3-MONTH('2025'!$I$1)&gt;=1),"",L29)))</f>
        <v>1592350</v>
      </c>
      <c r="N29" s="211">
        <f t="shared" ca="1" si="2"/>
        <v>18895200</v>
      </c>
    </row>
    <row r="30" spans="1:20" ht="9.75" customHeight="1">
      <c r="A30" s="182" t="s">
        <v>58</v>
      </c>
      <c r="B30" s="179">
        <f ca="1">IF(B6="","",'2055'!M30)</f>
        <v>663940</v>
      </c>
      <c r="C30" s="179">
        <f ca="1">IF(C6="","",B30)</f>
        <v>663940</v>
      </c>
      <c r="D30" s="179">
        <f ca="1">IF(D6="","",C30)</f>
        <v>663940</v>
      </c>
      <c r="E30" s="857">
        <f ca="1">IF(E6="","",VLOOKUP(E$4,집계표!$AK$5:$HA$47,$N$1*4))</f>
        <v>686920</v>
      </c>
      <c r="F30" s="179">
        <f ca="1">IF(F6="","",E30)</f>
        <v>686920</v>
      </c>
      <c r="G30" s="179">
        <f t="shared" ref="G30:M30" ca="1" si="20">IF(G6="","",F30)</f>
        <v>686920</v>
      </c>
      <c r="H30" s="179">
        <f t="shared" ca="1" si="20"/>
        <v>686920</v>
      </c>
      <c r="I30" s="179">
        <f t="shared" ca="1" si="20"/>
        <v>686920</v>
      </c>
      <c r="J30" s="179">
        <f t="shared" ca="1" si="20"/>
        <v>686920</v>
      </c>
      <c r="K30" s="179">
        <f t="shared" ca="1" si="20"/>
        <v>686920</v>
      </c>
      <c r="L30" s="179">
        <f t="shared" ca="1" si="20"/>
        <v>686920</v>
      </c>
      <c r="M30" s="179">
        <f t="shared" ca="1" si="20"/>
        <v>686920</v>
      </c>
      <c r="N30" s="211">
        <f t="shared" ca="1" si="2"/>
        <v>8174100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68050</v>
      </c>
      <c r="C31" s="179">
        <f t="shared" ca="1" si="21"/>
        <v>68050</v>
      </c>
      <c r="D31" s="179">
        <f t="shared" ca="1" si="21"/>
        <v>68050</v>
      </c>
      <c r="E31" s="179">
        <f t="shared" ca="1" si="21"/>
        <v>70410</v>
      </c>
      <c r="F31" s="179">
        <f t="shared" ca="1" si="21"/>
        <v>70410</v>
      </c>
      <c r="G31" s="179">
        <f t="shared" ca="1" si="21"/>
        <v>70410</v>
      </c>
      <c r="H31" s="179">
        <f t="shared" ca="1" si="21"/>
        <v>70410</v>
      </c>
      <c r="I31" s="179">
        <f t="shared" ca="1" si="21"/>
        <v>70410</v>
      </c>
      <c r="J31" s="179">
        <f ca="1">IF(J$6="","",ROUND(IF(J4="","",J30*10.25%),-1))</f>
        <v>70410</v>
      </c>
      <c r="K31" s="179">
        <f t="shared" ref="K31:M31" ca="1" si="22">IF(K$6="","",ROUND(IF(K4="","",K30*10.25%),-1))</f>
        <v>70410</v>
      </c>
      <c r="L31" s="179">
        <f t="shared" ca="1" si="22"/>
        <v>70410</v>
      </c>
      <c r="M31" s="179">
        <f t="shared" ca="1" si="22"/>
        <v>70410</v>
      </c>
      <c r="N31" s="211">
        <f t="shared" ca="1" si="2"/>
        <v>837840</v>
      </c>
    </row>
    <row r="32" spans="1:20" ht="9.75" customHeight="1">
      <c r="A32" s="597" t="str">
        <f>'2055'!A32</f>
        <v>교직원공제비</v>
      </c>
      <c r="B32" s="621">
        <f ca="1">IF(B$6="","",'2055'!B32)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'2055'!A33</f>
        <v>급식비</v>
      </c>
      <c r="B33" s="621">
        <f ca="1">IF(B$6="","",'2055'!B33)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IF(B$6="",0,'2055'!M34)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IF(B$6="",0,'2055'!M38)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IF(B$6="",0,'2055'!M39)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3913420</v>
      </c>
      <c r="C40" s="216">
        <f t="shared" ca="1" si="28"/>
        <v>3930580</v>
      </c>
      <c r="D40" s="216">
        <f t="shared" ca="1" si="28"/>
        <v>3947760</v>
      </c>
      <c r="E40" s="216">
        <f t="shared" ca="1" si="28"/>
        <v>4505200</v>
      </c>
      <c r="F40" s="216">
        <f t="shared" ca="1" si="28"/>
        <v>4575620</v>
      </c>
      <c r="G40" s="216">
        <f t="shared" ca="1" si="28"/>
        <v>4592780</v>
      </c>
      <c r="H40" s="216">
        <f t="shared" ca="1" si="28"/>
        <v>4609950</v>
      </c>
      <c r="I40" s="216">
        <f t="shared" ca="1" si="28"/>
        <v>4627110</v>
      </c>
      <c r="J40" s="216">
        <f ca="1">IF(J26="","",SUM(J27:J39))</f>
        <v>4644280</v>
      </c>
      <c r="K40" s="216">
        <f t="shared" ref="K40:M40" ca="1" si="29">IF(K26="","",SUM(K27:K39))</f>
        <v>4661440</v>
      </c>
      <c r="L40" s="216">
        <f t="shared" ca="1" si="29"/>
        <v>4678600</v>
      </c>
      <c r="M40" s="216">
        <f t="shared" ca="1" si="29"/>
        <v>4695770</v>
      </c>
      <c r="N40" s="216">
        <f ca="1">SUM(B40:M40)</f>
        <v>53382510</v>
      </c>
    </row>
    <row r="41" spans="1:14" ht="9.75" customHeight="1">
      <c r="A41" s="183" t="s">
        <v>79</v>
      </c>
      <c r="B41" s="184">
        <f ca="1">ROUND((B26-B40),-1)</f>
        <v>17231180</v>
      </c>
      <c r="C41" s="184">
        <f t="shared" ref="C41:M41" ca="1" si="30">ROUND((C26-C40),-1)</f>
        <v>18566660</v>
      </c>
      <c r="D41" s="184">
        <f t="shared" ca="1" si="30"/>
        <v>20034810</v>
      </c>
      <c r="E41" s="184">
        <f t="shared" ca="1" si="30"/>
        <v>10374150</v>
      </c>
      <c r="F41" s="184">
        <f t="shared" ca="1" si="30"/>
        <v>10303730</v>
      </c>
      <c r="G41" s="184">
        <f t="shared" ca="1" si="30"/>
        <v>10286570</v>
      </c>
      <c r="H41" s="184">
        <f t="shared" ca="1" si="30"/>
        <v>17117550</v>
      </c>
      <c r="I41" s="184">
        <f t="shared" ca="1" si="30"/>
        <v>10252240</v>
      </c>
      <c r="J41" s="184">
        <f t="shared" ca="1" si="30"/>
        <v>18354430</v>
      </c>
      <c r="K41" s="184">
        <f t="shared" ca="1" si="30"/>
        <v>10217910</v>
      </c>
      <c r="L41" s="184">
        <f t="shared" ca="1" si="30"/>
        <v>10200750</v>
      </c>
      <c r="M41" s="184">
        <f t="shared" ca="1" si="30"/>
        <v>10511620</v>
      </c>
      <c r="N41" s="184">
        <f ca="1">SUM(B41:M41)</f>
        <v>163451600</v>
      </c>
    </row>
    <row r="42" spans="1:14" ht="9.75" customHeight="1">
      <c r="A42" s="217" t="str">
        <f>'2055'!A42</f>
        <v>12)지출내용입력1</v>
      </c>
      <c r="B42" s="211">
        <f>'2055'!M42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'2055'!A43</f>
        <v>지출내용입력2</v>
      </c>
      <c r="B43" s="211">
        <f>'2055'!M43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'2055'!A44</f>
        <v>지출내용입력3</v>
      </c>
      <c r="B44" s="211">
        <f>'2055'!M44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'2055'!A45</f>
        <v>지출내용입력4</v>
      </c>
      <c r="B45" s="211">
        <f>'2055'!M45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'2055'!A46</f>
        <v>지출내용입력5</v>
      </c>
      <c r="B46" s="211">
        <f>'2055'!M46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'2055'!A47</f>
        <v>지출내용입력6</v>
      </c>
      <c r="B47" s="211">
        <f>'2055'!M47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'2055'!A48</f>
        <v>지출내용입력7</v>
      </c>
      <c r="B48" s="211">
        <f>'2055'!M48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'2055'!A49</f>
        <v>지출내용입력8</v>
      </c>
      <c r="B49" s="211">
        <f>'2055'!M49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'2055'!A50</f>
        <v>지출내용입력9</v>
      </c>
      <c r="B50" s="211">
        <f>'2055'!M50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'2055'!A51</f>
        <v>지출내용입력10</v>
      </c>
      <c r="B51" s="211">
        <f>'2055'!M51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17231080</v>
      </c>
      <c r="C53" s="188">
        <f t="shared" ca="1" si="33"/>
        <v>18566560</v>
      </c>
      <c r="D53" s="188">
        <f t="shared" ca="1" si="33"/>
        <v>20034710</v>
      </c>
      <c r="E53" s="188">
        <f t="shared" ca="1" si="33"/>
        <v>10374050</v>
      </c>
      <c r="F53" s="188">
        <f t="shared" ca="1" si="33"/>
        <v>10303630</v>
      </c>
      <c r="G53" s="188">
        <f t="shared" ca="1" si="33"/>
        <v>10286470</v>
      </c>
      <c r="H53" s="188">
        <f t="shared" ca="1" si="33"/>
        <v>17117450</v>
      </c>
      <c r="I53" s="188">
        <f t="shared" ca="1" si="33"/>
        <v>10252140</v>
      </c>
      <c r="J53" s="188">
        <f t="shared" ca="1" si="33"/>
        <v>18354330</v>
      </c>
      <c r="K53" s="188">
        <f t="shared" ca="1" si="33"/>
        <v>10217810</v>
      </c>
      <c r="L53" s="188">
        <f t="shared" ca="1" si="33"/>
        <v>10200650</v>
      </c>
      <c r="M53" s="188">
        <f t="shared" ca="1" si="33"/>
        <v>10511520</v>
      </c>
      <c r="N53" s="188">
        <f t="shared" ca="1" si="33"/>
        <v>163450400</v>
      </c>
    </row>
    <row r="55" spans="1:14" ht="18">
      <c r="A55" s="1232" t="str">
        <f ca="1">D1</f>
        <v>2056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4lbushaoMcar/74/IbszkFEMtdpvW8tTlS1ztzcQLeLVowP9QBQd2HmnrFiYqkc2RMmR/rMgwXDWx3mfVjE2gg==" saltValue="1EX5GBQsk5ugb+Kw0+BtN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42" priority="8">
      <formula>$E$2="y"</formula>
    </cfRule>
    <cfRule type="expression" dxfId="141" priority="9">
      <formula>$D$2="Y"</formula>
    </cfRule>
    <cfRule type="expression" dxfId="140" priority="10">
      <formula>$F$2="y"</formula>
    </cfRule>
  </conditionalFormatting>
  <conditionalFormatting sqref="B27:M27">
    <cfRule type="expression" dxfId="139" priority="1">
      <formula>$F$2="y"</formula>
    </cfRule>
  </conditionalFormatting>
  <conditionalFormatting sqref="D16">
    <cfRule type="expression" dxfId="138" priority="26">
      <formula>$E$2="y"</formula>
    </cfRule>
    <cfRule type="expression" dxfId="137" priority="27">
      <formula>$E$2="y"</formula>
    </cfRule>
    <cfRule type="expression" dxfId="136" priority="28">
      <formula>$F$2="y"</formula>
    </cfRule>
  </conditionalFormatting>
  <conditionalFormatting sqref="D18">
    <cfRule type="expression" dxfId="135" priority="23">
      <formula>$E$2="y"</formula>
    </cfRule>
    <cfRule type="expression" dxfId="134" priority="24">
      <formula>$E$2="y"</formula>
    </cfRule>
    <cfRule type="expression" dxfId="133" priority="25">
      <formula>$F$2="y"</formula>
    </cfRule>
  </conditionalFormatting>
  <conditionalFormatting sqref="J12:K12">
    <cfRule type="expression" dxfId="132" priority="5">
      <formula>$E$2="y"</formula>
    </cfRule>
    <cfRule type="expression" dxfId="131" priority="6">
      <formula>$D$2="Y"</formula>
    </cfRule>
    <cfRule type="expression" dxfId="130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0529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30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31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33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F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7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2057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집계표!AI119</f>
        <v>2</v>
      </c>
      <c r="M1" s="627">
        <f>집계표!AI122</f>
        <v>1</v>
      </c>
      <c r="N1" s="618">
        <v>33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집계표!BR53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IF('2056'!M4&gt;=50,50,IF(AND('2056'!M4=50,M$3=$N$5),"",IF(B3=$N$5,'2056'!M4+1,'2056'!M4)))</f>
        <v>44</v>
      </c>
      <c r="C4" s="176">
        <f>IF(B4&gt;=50,50,IF(AND(B4=50,C$3=$N$5),50,IF(C$3=$N$5,B4+1,B4)))</f>
        <v>44</v>
      </c>
      <c r="D4" s="176">
        <f t="shared" ref="D4:M4" si="0">IF(C4&gt;=50,50,IF(AND(C4=50,D$3=$N$5),50,IF(D$3=$N$5,C4+1,C4)))</f>
        <v>45</v>
      </c>
      <c r="E4" s="176">
        <f t="shared" si="0"/>
        <v>45</v>
      </c>
      <c r="F4" s="176">
        <f t="shared" si="0"/>
        <v>45</v>
      </c>
      <c r="G4" s="176">
        <f t="shared" si="0"/>
        <v>45</v>
      </c>
      <c r="H4" s="176">
        <f t="shared" si="0"/>
        <v>45</v>
      </c>
      <c r="I4" s="176">
        <f t="shared" si="0"/>
        <v>45</v>
      </c>
      <c r="J4" s="176">
        <f t="shared" si="0"/>
        <v>45</v>
      </c>
      <c r="K4" s="176">
        <f t="shared" si="0"/>
        <v>45</v>
      </c>
      <c r="L4" s="176">
        <f t="shared" si="0"/>
        <v>45</v>
      </c>
      <c r="M4" s="176">
        <f t="shared" si="0"/>
        <v>45</v>
      </c>
      <c r="N4" s="202" t="s">
        <v>124</v>
      </c>
    </row>
    <row r="5" spans="1:14" ht="9.75" customHeight="1">
      <c r="A5" s="208" t="s">
        <v>134</v>
      </c>
      <c r="B5" s="356">
        <f>IF(B$3=$N$5,'2056'!M5+1,'2056'!M5)</f>
        <v>34</v>
      </c>
      <c r="C5" s="209">
        <f>IF(C$3=$N$5,B5+1,B5)</f>
        <v>34</v>
      </c>
      <c r="D5" s="209">
        <f t="shared" ref="D5:M5" si="1">IF(D$3=$N$5,C5+1,C5)</f>
        <v>35</v>
      </c>
      <c r="E5" s="209">
        <f t="shared" si="1"/>
        <v>35</v>
      </c>
      <c r="F5" s="209">
        <f t="shared" si="1"/>
        <v>35</v>
      </c>
      <c r="G5" s="209">
        <f t="shared" si="1"/>
        <v>35</v>
      </c>
      <c r="H5" s="209">
        <f t="shared" si="1"/>
        <v>35</v>
      </c>
      <c r="I5" s="209">
        <f t="shared" si="1"/>
        <v>35</v>
      </c>
      <c r="J5" s="209">
        <f t="shared" si="1"/>
        <v>35</v>
      </c>
      <c r="K5" s="209">
        <f t="shared" si="1"/>
        <v>35</v>
      </c>
      <c r="L5" s="209">
        <f t="shared" si="1"/>
        <v>35</v>
      </c>
      <c r="M5" s="209">
        <f t="shared" si="1"/>
        <v>35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14038500</v>
      </c>
      <c r="C6" s="211">
        <f ca="1">IF($D$1-YEAR($B$1)&gt;0,"",IF(AND($D$1-YEAR($B$1)=0,C3-MONTH($B$1)&gt;=1),"",VLOOKUP(C4,gibon40!$D$4:$AT$47,$N$1,1)))</f>
        <v>14038500</v>
      </c>
      <c r="D6" s="211">
        <f ca="1">IF($D$1-YEAR($B$1)&gt;0,"",IF(AND($D$1-YEAR($B$1)=0,D3-MONTH($B$1)&gt;=1),"",VLOOKUP(D4,gibon40!$D$4:$AT$47,$N$1,1)))</f>
        <v>14212600</v>
      </c>
      <c r="E6" s="211">
        <f ca="1">IF($D$1-YEAR($B$1)&gt;0,"",IF(AND($D$1-YEAR($B$1)=0,E3-MONTH($B$1)&gt;=1),"",VLOOKUP(E4,gibon40!$D$4:$AT$47,$N$1,1)))</f>
        <v>14212600</v>
      </c>
      <c r="F6" s="211">
        <f ca="1">IF($D$1-YEAR($B$1)&gt;0,"",IF(AND($D$1-YEAR($B$1)=0,F3-MONTH($B$1)&gt;=1),"",VLOOKUP(F4,gibon40!$D$4:$AT$47,$N$1,1)))</f>
        <v>14212600</v>
      </c>
      <c r="G6" s="211">
        <f ca="1">IF($D$1-YEAR($B$1)&gt;0,"",IF(AND($D$1-YEAR($B$1)=0,G3-MONTH($B$1)&gt;=1),"",VLOOKUP(G4,gibon40!$D$4:$AT$47,$N$1,1)))</f>
        <v>14212600</v>
      </c>
      <c r="H6" s="211">
        <f ca="1">IF($D$1-YEAR($B$1)&gt;0,"",IF(AND($D$1-YEAR($B$1)=0,H3-MONTH($B$1)&gt;=1),"",VLOOKUP(H4,gibon40!$D$4:$AT$47,$N$1,1)))</f>
        <v>14212600</v>
      </c>
      <c r="I6" s="211">
        <f ca="1">IF($D$1-YEAR($B$1)&gt;0,"",IF(AND($D$1-YEAR($B$1)=0,I3-MONTH($B$1)&gt;=1),"",VLOOKUP(I4,gibon40!$D$4:$AT$47,$N$1,1)))</f>
        <v>14212600</v>
      </c>
      <c r="J6" s="211">
        <f ca="1">IF($D$1-YEAR($B$1)&gt;0,"",IF(AND($D$1-YEAR($B$1)=0,J3-MONTH($B$1)&gt;=1),"",VLOOKUP(J4,gibon40!$D$4:$AT$47,$N$1,1)))</f>
        <v>14212600</v>
      </c>
      <c r="K6" s="211">
        <f ca="1">IF($D$1-YEAR($B$1)&gt;0,"",IF(AND($D$1-YEAR($B$1)=0,K3-MONTH($B$1)&gt;=1),"",VLOOKUP(K4,gibon40!$D$4:$AT$47,$N$1,1)))</f>
        <v>14212600</v>
      </c>
      <c r="L6" s="211">
        <f ca="1">IF($D$1-YEAR($B$1)&gt;0,"",IF(AND($D$1-YEAR($B$1)=0,L3-MONTH($B$1)&gt;=1),"",VLOOKUP(L4,gibon40!$D$4:$AT$47,$N$1,1)))</f>
        <v>14212600</v>
      </c>
      <c r="M6" s="211">
        <f ca="1">IF($D$1-YEAR($B$1)&gt;0,"",IF(AND($D$1-YEAR($B$1)=0,M3-MONTH($B$1)&gt;=1),"",VLOOKUP(M4,gibon40!$D$4:$AT$47,$N$1,1)))</f>
        <v>14212600</v>
      </c>
      <c r="N6" s="211">
        <f t="shared" ref="N6:N52" ca="1" si="2">SUM(B6:M6)</f>
        <v>170203000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7019250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7106300</v>
      </c>
      <c r="I7" s="180"/>
      <c r="J7" s="180"/>
      <c r="K7" s="180"/>
      <c r="L7" s="180"/>
      <c r="M7" s="180"/>
      <c r="N7" s="211">
        <f t="shared" ca="1" si="2"/>
        <v>14125550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9554930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9554930</v>
      </c>
    </row>
    <row r="11" spans="1:14" ht="9.75" customHeight="1">
      <c r="A11" s="178" t="s">
        <v>63</v>
      </c>
      <c r="B11" s="179">
        <f ca="1">IF(B$6="",0,'2056'!M11)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8423100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8527560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16950660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IF(B$6="",0,'2056'!M15)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IF(B$6="",0,'2056'!M16)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IF(B$6="",0,'2056'!M18)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IF(B$6="",0,'2056'!M19)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50000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50000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50000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50000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50000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50000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50000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50000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50000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50000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50000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50000</v>
      </c>
      <c r="N20" s="211">
        <f t="shared" ca="1" si="2"/>
        <v>600000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112080</v>
      </c>
      <c r="E21" s="179">
        <f ca="1">IF(D4="","",IF(E$6="","",ROUND(VLOOKUP(E4,gibon40!$D$51:$AV$100,$N$1+1)*10*15/15,-1)))</f>
        <v>336250</v>
      </c>
      <c r="F21" s="179">
        <f ca="1">IF(E4="","",IF(F$6="","",ROUND(VLOOKUP(F4,gibon40!$D$51:$AV$100,$N$1+1)*10*15/15,-1)))</f>
        <v>336250</v>
      </c>
      <c r="G21" s="179">
        <f ca="1">IF(F4="","",IF(G$6="","",ROUND(VLOOKUP(G4,gibon40!$D$51:$AV$100,$N$1+1)*10*15/15,-1)))</f>
        <v>336250</v>
      </c>
      <c r="H21" s="179">
        <f ca="1">IF(G4="","",IF(H$6="","",ROUND(VLOOKUP(H4,gibon40!$D$51:$AV$100,$N$1+1)*10*15/15,-1)))</f>
        <v>336250</v>
      </c>
      <c r="I21" s="179">
        <f ca="1">IF(H4="","",IF(I$6="","",ROUND(VLOOKUP(I4,gibon40!$D$51:$AV$100,$N$1+1)*10*15/15,-1)))</f>
        <v>336250</v>
      </c>
      <c r="J21" s="179">
        <f ca="1">IF(I4="","",IF(J$6="","",ROUND(VLOOKUP(J4,gibon40!$D$51:$AV$100,$N$1+1)*7*15/15,-1)))</f>
        <v>235370</v>
      </c>
      <c r="K21" s="179">
        <f ca="1">IF(J4="","",IF(K$6="","",ROUND(VLOOKUP(K4,gibon40!$D$51:$AV$100,$N$1+1)*10*15/15,-1)))</f>
        <v>336250</v>
      </c>
      <c r="L21" s="179">
        <f ca="1">IF(K4="","",IF(L$6="","",ROUND(VLOOKUP(L4,gibon40!$D$51:$AV$100,$N$1+1)*10*15/15,-1)))</f>
        <v>336250</v>
      </c>
      <c r="M21" s="179">
        <f ca="1">IF(L4="","",IF(M$6="","",ROUND(VLOOKUP(M4,gibon40!$D$51:$AV$100,$N$1+1)*10*15/15*2,-1)))</f>
        <v>672500</v>
      </c>
      <c r="N21" s="211">
        <f t="shared" ca="1" si="2"/>
        <v>3373700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IF(B$6="",0,'2056'!M23)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IF(B$6="",0,'2056'!M24)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'2056'!A25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21912750</v>
      </c>
      <c r="C26" s="213">
        <f t="shared" ref="C26:M26" ca="1" si="16">ROUNDDOWN(SUM(C6:C25),-1)</f>
        <v>23316600</v>
      </c>
      <c r="D26" s="213">
        <f t="shared" ca="1" si="16"/>
        <v>24734610</v>
      </c>
      <c r="E26" s="213">
        <f t="shared" ca="1" si="16"/>
        <v>15403850</v>
      </c>
      <c r="F26" s="213">
        <f t="shared" ca="1" si="16"/>
        <v>15403850</v>
      </c>
      <c r="G26" s="213">
        <f t="shared" ca="1" si="16"/>
        <v>15403850</v>
      </c>
      <c r="H26" s="213">
        <f t="shared" ca="1" si="16"/>
        <v>22510150</v>
      </c>
      <c r="I26" s="213">
        <f t="shared" ca="1" si="16"/>
        <v>15403850</v>
      </c>
      <c r="J26" s="213">
        <f t="shared" ca="1" si="16"/>
        <v>23830530</v>
      </c>
      <c r="K26" s="213">
        <f t="shared" ca="1" si="16"/>
        <v>15403850</v>
      </c>
      <c r="L26" s="213">
        <f t="shared" ca="1" si="16"/>
        <v>15403850</v>
      </c>
      <c r="M26" s="213">
        <f t="shared" ca="1" si="16"/>
        <v>15740100</v>
      </c>
      <c r="N26" s="214">
        <f ca="1">SUM(B26:M26)</f>
        <v>224467840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IF(B4="","",IF(B6="","",IF($D$1-YEAR('2025'!$I$1)&gt;0,"",IF(AND($D$1-YEAR('2025'!$I$1)=0,B3-MONTH('2025'!$I$1)&gt;=1),"",'2056'!M29))))</f>
        <v>1592350</v>
      </c>
      <c r="C29" s="179">
        <f ca="1">IF(C4="","",IF(C6="","",IF($D$1-YEAR('2025'!$I$1)&gt;0,"",IF(AND($D$1-YEAR('2025'!$I$1)=0,C3-MONTH('2025'!$I$1)&gt;=1),"",B29))))</f>
        <v>1592350</v>
      </c>
      <c r="D29" s="179">
        <f ca="1">IF(D4="","",IF(D6="","",IF($D$1-YEAR('2025'!$I$1)&gt;0,"",IF(AND($D$1-YEAR('2025'!$I$1)=0,D3-MONTH('2025'!$I$1)&gt;=1),"",C29))))</f>
        <v>1592350</v>
      </c>
      <c r="E29" s="179">
        <f ca="1">IF(E4="","",IF(E6="","",IF($D$1-YEAR('2025'!$I$1)&gt;0,"",IF(AND($D$1-YEAR('2025'!$I$1)=0,E3-MONTH('2025'!$I$1)&gt;=1),"",D29))))</f>
        <v>1592350</v>
      </c>
      <c r="F29" s="179">
        <f ca="1">IF(F4="","",IF(F$6="","",IF($D$1-YEAR('2025'!$I$1)&gt;0,"",IF(AND($D$1-YEAR('2025'!$I$1)=0,F3-MONTH('2025'!$I$1)&gt;=1),"",VLOOKUP(F$4,집계표!$AK$5:$HA$47,$N$1*3+$N$1-1+4)))))</f>
        <v>1648030</v>
      </c>
      <c r="G29" s="179">
        <f ca="1">IF(G6="",0,IF($D$1-YEAR('2025'!$I$1)&gt;0,"",IF(AND($D$1-YEAR('2025'!$I$1)=0,G3-MONTH('2025'!$I$1)&gt;=1),"",F29)))</f>
        <v>1648030</v>
      </c>
      <c r="H29" s="179">
        <f ca="1">IF(H6="",0,IF($D$1-YEAR('2025'!$I$1)&gt;0,"",IF(AND($D$1-YEAR('2025'!$I$1)=0,H3-MONTH('2025'!$I$1)&gt;=1),"",G29)))</f>
        <v>1648030</v>
      </c>
      <c r="I29" s="179">
        <f ca="1">IF(I6="",0,IF($D$1-YEAR('2025'!$I$1)&gt;0,"",IF(AND($D$1-YEAR('2025'!$I$1)=0,I3-MONTH('2025'!$I$1)&gt;=1),"",H29)))</f>
        <v>1648030</v>
      </c>
      <c r="J29" s="179">
        <f ca="1">IF(J6="",0,IF($D$1-YEAR('2025'!$I$1)&gt;0,"",IF(AND($D$1-YEAR('2025'!$I$1)=0,J3-MONTH('2025'!$I$1)&gt;=1),"",I29)))</f>
        <v>1648030</v>
      </c>
      <c r="K29" s="179">
        <f ca="1">IF(K6="",0,IF($D$1-YEAR('2025'!$I$1)&gt;0,"",IF(AND($D$1-YEAR('2025'!$I$1)=0,K3-MONTH('2025'!$I$1)&gt;=1),"",J29)))</f>
        <v>1648030</v>
      </c>
      <c r="L29" s="179">
        <f ca="1">IF(L6="",0,IF($D$1-YEAR('2025'!$I$1)&gt;0,"",IF(AND($D$1-YEAR('2025'!$I$1)=0,L3-MONTH('2025'!$I$1)&gt;=1),"",K29)))</f>
        <v>1648030</v>
      </c>
      <c r="M29" s="179">
        <f ca="1">IF(M6="",0,IF($D$1-YEAR('2025'!$I$1)&gt;0,"",IF(AND($D$1-YEAR('2025'!$I$1)=0,M3-MONTH('2025'!$I$1)&gt;=1),"",L29)))</f>
        <v>1648030</v>
      </c>
      <c r="N29" s="211">
        <f t="shared" ca="1" si="2"/>
        <v>19553640</v>
      </c>
    </row>
    <row r="30" spans="1:20" ht="9.75" customHeight="1">
      <c r="A30" s="182" t="s">
        <v>58</v>
      </c>
      <c r="B30" s="179">
        <f ca="1">IF(B6="","",'2056'!M30)</f>
        <v>686920</v>
      </c>
      <c r="C30" s="179">
        <f ca="1">IF(C6="","",B30)</f>
        <v>686920</v>
      </c>
      <c r="D30" s="179">
        <f ca="1">IF(D6="","",C30)</f>
        <v>686920</v>
      </c>
      <c r="E30" s="857">
        <f ca="1">IF(E6="","",VLOOKUP(E$4,집계표!$AK$5:$HA$47,$N$1*4))</f>
        <v>710930</v>
      </c>
      <c r="F30" s="179">
        <f ca="1">IF(F6="","",E30)</f>
        <v>710930</v>
      </c>
      <c r="G30" s="179">
        <f t="shared" ref="G30:M30" ca="1" si="20">IF(G6="","",F30)</f>
        <v>710930</v>
      </c>
      <c r="H30" s="179">
        <f t="shared" ca="1" si="20"/>
        <v>710930</v>
      </c>
      <c r="I30" s="179">
        <f t="shared" ca="1" si="20"/>
        <v>710930</v>
      </c>
      <c r="J30" s="179">
        <f t="shared" ca="1" si="20"/>
        <v>710930</v>
      </c>
      <c r="K30" s="179">
        <f t="shared" ca="1" si="20"/>
        <v>710930</v>
      </c>
      <c r="L30" s="179">
        <f t="shared" ca="1" si="20"/>
        <v>710930</v>
      </c>
      <c r="M30" s="179">
        <f t="shared" ca="1" si="20"/>
        <v>710930</v>
      </c>
      <c r="N30" s="211">
        <f t="shared" ca="1" si="2"/>
        <v>8459130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70410</v>
      </c>
      <c r="C31" s="179">
        <f t="shared" ca="1" si="21"/>
        <v>70410</v>
      </c>
      <c r="D31" s="179">
        <f t="shared" ca="1" si="21"/>
        <v>70410</v>
      </c>
      <c r="E31" s="179">
        <f t="shared" ca="1" si="21"/>
        <v>72870</v>
      </c>
      <c r="F31" s="179">
        <f t="shared" ca="1" si="21"/>
        <v>72870</v>
      </c>
      <c r="G31" s="179">
        <f t="shared" ca="1" si="21"/>
        <v>72870</v>
      </c>
      <c r="H31" s="179">
        <f t="shared" ca="1" si="21"/>
        <v>72870</v>
      </c>
      <c r="I31" s="179">
        <f t="shared" ca="1" si="21"/>
        <v>72870</v>
      </c>
      <c r="J31" s="179">
        <f ca="1">IF(J$6="","",ROUND(IF(J4="","",J30*10.25%),-1))</f>
        <v>72870</v>
      </c>
      <c r="K31" s="179">
        <f t="shared" ref="K31:M31" ca="1" si="22">IF(K$6="","",ROUND(IF(K4="","",K30*10.25%),-1))</f>
        <v>72870</v>
      </c>
      <c r="L31" s="179">
        <f t="shared" ca="1" si="22"/>
        <v>72870</v>
      </c>
      <c r="M31" s="179">
        <f t="shared" ca="1" si="22"/>
        <v>72870</v>
      </c>
      <c r="N31" s="211">
        <f t="shared" ca="1" si="2"/>
        <v>867060</v>
      </c>
    </row>
    <row r="32" spans="1:20" ht="9.75" customHeight="1">
      <c r="A32" s="597" t="str">
        <f>'2056'!A32</f>
        <v>교직원공제비</v>
      </c>
      <c r="B32" s="621">
        <f ca="1">IF(B$6="","",'2056'!B32)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'2056'!A33</f>
        <v>급식비</v>
      </c>
      <c r="B33" s="621">
        <f ca="1">IF(B$6="","",'2056'!B33)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IF(B$6="",0,'2056'!M34)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IF(B$6="",0,'2056'!M38)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IF(B$6="",0,'2056'!M39)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3992010</v>
      </c>
      <c r="C40" s="216">
        <f t="shared" ca="1" si="28"/>
        <v>4009170</v>
      </c>
      <c r="D40" s="216">
        <f t="shared" ca="1" si="28"/>
        <v>4026350</v>
      </c>
      <c r="E40" s="216">
        <f t="shared" ca="1" si="28"/>
        <v>4584920</v>
      </c>
      <c r="F40" s="216">
        <f t="shared" ca="1" si="28"/>
        <v>4657770</v>
      </c>
      <c r="G40" s="216">
        <f t="shared" ca="1" si="28"/>
        <v>4674930</v>
      </c>
      <c r="H40" s="216">
        <f t="shared" ca="1" si="28"/>
        <v>4692100</v>
      </c>
      <c r="I40" s="216">
        <f t="shared" ca="1" si="28"/>
        <v>4709260</v>
      </c>
      <c r="J40" s="216">
        <f ca="1">IF(J26="","",SUM(J27:J39))</f>
        <v>4726430</v>
      </c>
      <c r="K40" s="216">
        <f t="shared" ref="K40:M40" ca="1" si="29">IF(K26="","",SUM(K27:K39))</f>
        <v>4743590</v>
      </c>
      <c r="L40" s="216">
        <f t="shared" ca="1" si="29"/>
        <v>4760750</v>
      </c>
      <c r="M40" s="216">
        <f t="shared" ca="1" si="29"/>
        <v>4777920</v>
      </c>
      <c r="N40" s="216">
        <f ca="1">SUM(B40:M40)</f>
        <v>54355200</v>
      </c>
    </row>
    <row r="41" spans="1:14" ht="9.75" customHeight="1">
      <c r="A41" s="183" t="s">
        <v>79</v>
      </c>
      <c r="B41" s="184">
        <f ca="1">ROUND((B26-B40),-1)</f>
        <v>17920740</v>
      </c>
      <c r="C41" s="184">
        <f t="shared" ref="C41:M41" ca="1" si="30">ROUND((C26-C40),-1)</f>
        <v>19307430</v>
      </c>
      <c r="D41" s="184">
        <f t="shared" ca="1" si="30"/>
        <v>20708260</v>
      </c>
      <c r="E41" s="184">
        <f t="shared" ca="1" si="30"/>
        <v>10818930</v>
      </c>
      <c r="F41" s="184">
        <f t="shared" ca="1" si="30"/>
        <v>10746080</v>
      </c>
      <c r="G41" s="184">
        <f t="shared" ca="1" si="30"/>
        <v>10728920</v>
      </c>
      <c r="H41" s="184">
        <f t="shared" ca="1" si="30"/>
        <v>17818050</v>
      </c>
      <c r="I41" s="184">
        <f t="shared" ca="1" si="30"/>
        <v>10694590</v>
      </c>
      <c r="J41" s="184">
        <f t="shared" ca="1" si="30"/>
        <v>19104100</v>
      </c>
      <c r="K41" s="184">
        <f t="shared" ca="1" si="30"/>
        <v>10660260</v>
      </c>
      <c r="L41" s="184">
        <f t="shared" ca="1" si="30"/>
        <v>10643100</v>
      </c>
      <c r="M41" s="184">
        <f t="shared" ca="1" si="30"/>
        <v>10962180</v>
      </c>
      <c r="N41" s="184">
        <f ca="1">SUM(B41:M41)</f>
        <v>170112640</v>
      </c>
    </row>
    <row r="42" spans="1:14" ht="9.75" customHeight="1">
      <c r="A42" s="217" t="str">
        <f>'2056'!A42</f>
        <v>12)지출내용입력1</v>
      </c>
      <c r="B42" s="211">
        <f>'2056'!M42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'2056'!A43</f>
        <v>지출내용입력2</v>
      </c>
      <c r="B43" s="211">
        <f>'2056'!M43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'2056'!A44</f>
        <v>지출내용입력3</v>
      </c>
      <c r="B44" s="211">
        <f>'2056'!M44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'2056'!A45</f>
        <v>지출내용입력4</v>
      </c>
      <c r="B45" s="211">
        <f>'2056'!M45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'2056'!A46</f>
        <v>지출내용입력5</v>
      </c>
      <c r="B46" s="211">
        <f>'2056'!M46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'2056'!A47</f>
        <v>지출내용입력6</v>
      </c>
      <c r="B47" s="211">
        <f>'2056'!M47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'2056'!A48</f>
        <v>지출내용입력7</v>
      </c>
      <c r="B48" s="211">
        <f>'2056'!M48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'2056'!A49</f>
        <v>지출내용입력8</v>
      </c>
      <c r="B49" s="211">
        <f>'2056'!M49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'2056'!A50</f>
        <v>지출내용입력9</v>
      </c>
      <c r="B50" s="211">
        <f>'2056'!M50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'2056'!A51</f>
        <v>지출내용입력10</v>
      </c>
      <c r="B51" s="211">
        <f>'2056'!M51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17920640</v>
      </c>
      <c r="C53" s="188">
        <f t="shared" ca="1" si="33"/>
        <v>19307330</v>
      </c>
      <c r="D53" s="188">
        <f t="shared" ca="1" si="33"/>
        <v>20708160</v>
      </c>
      <c r="E53" s="188">
        <f t="shared" ca="1" si="33"/>
        <v>10818830</v>
      </c>
      <c r="F53" s="188">
        <f t="shared" ca="1" si="33"/>
        <v>10745980</v>
      </c>
      <c r="G53" s="188">
        <f t="shared" ca="1" si="33"/>
        <v>10728820</v>
      </c>
      <c r="H53" s="188">
        <f t="shared" ca="1" si="33"/>
        <v>17817950</v>
      </c>
      <c r="I53" s="188">
        <f t="shared" ca="1" si="33"/>
        <v>10694490</v>
      </c>
      <c r="J53" s="188">
        <f t="shared" ca="1" si="33"/>
        <v>19104000</v>
      </c>
      <c r="K53" s="188">
        <f t="shared" ca="1" si="33"/>
        <v>10660160</v>
      </c>
      <c r="L53" s="188">
        <f t="shared" ca="1" si="33"/>
        <v>10643000</v>
      </c>
      <c r="M53" s="188">
        <f t="shared" ca="1" si="33"/>
        <v>10962080</v>
      </c>
      <c r="N53" s="188">
        <f t="shared" ca="1" si="33"/>
        <v>170111440</v>
      </c>
    </row>
    <row r="55" spans="1:14" ht="18">
      <c r="A55" s="1232" t="str">
        <f ca="1">D1</f>
        <v>2057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TVRRjINTh9if+N/Ik0el+ObTlv+jQm8nawV71eGlyhSmgrHW2cUpgVEUWYlo1iUepyjEhozQSbxMGUoPPf/vnw==" saltValue="eu+KKaw4Q/G0WyTPkRbkl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29" priority="8">
      <formula>$E$2="y"</formula>
    </cfRule>
    <cfRule type="expression" dxfId="128" priority="9">
      <formula>$D$2="Y"</formula>
    </cfRule>
    <cfRule type="expression" dxfId="127" priority="10">
      <formula>$F$2="y"</formula>
    </cfRule>
  </conditionalFormatting>
  <conditionalFormatting sqref="B27:M27">
    <cfRule type="expression" dxfId="126" priority="1">
      <formula>$F$2="y"</formula>
    </cfRule>
  </conditionalFormatting>
  <conditionalFormatting sqref="D16">
    <cfRule type="expression" dxfId="125" priority="26">
      <formula>$E$2="y"</formula>
    </cfRule>
    <cfRule type="expression" dxfId="124" priority="27">
      <formula>$E$2="y"</formula>
    </cfRule>
    <cfRule type="expression" dxfId="123" priority="28">
      <formula>$F$2="y"</formula>
    </cfRule>
  </conditionalFormatting>
  <conditionalFormatting sqref="D18">
    <cfRule type="expression" dxfId="122" priority="23">
      <formula>$E$2="y"</formula>
    </cfRule>
    <cfRule type="expression" dxfId="121" priority="24">
      <formula>$E$2="y"</formula>
    </cfRule>
    <cfRule type="expression" dxfId="120" priority="25">
      <formula>$F$2="y"</formula>
    </cfRule>
  </conditionalFormatting>
  <conditionalFormatting sqref="J12:K12">
    <cfRule type="expression" dxfId="119" priority="5">
      <formula>$E$2="y"</formula>
    </cfRule>
    <cfRule type="expression" dxfId="118" priority="6">
      <formula>$D$2="Y"</formula>
    </cfRule>
    <cfRule type="expression" dxfId="117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1553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54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55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57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0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8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2058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집계표!AJ119</f>
        <v>2</v>
      </c>
      <c r="M1" s="627">
        <f>집계표!AJ122</f>
        <v>1</v>
      </c>
      <c r="N1" s="618">
        <v>34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집계표!BS53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IF('2057'!M4&gt;=50,50,IF(AND('2057'!M4=50,M$3=$N$5),"",IF(B3=$N$5,'2057'!M4+1,'2057'!M4)))</f>
        <v>45</v>
      </c>
      <c r="C4" s="176">
        <f>IF(B4&gt;=50,50,IF(AND(B4=50,C$3=$N$5),50,IF(C$3=$N$5,B4+1,B4)))</f>
        <v>45</v>
      </c>
      <c r="D4" s="176">
        <f t="shared" ref="D4:M4" si="0">IF(C4&gt;=50,50,IF(AND(C4=50,D$3=$N$5),50,IF(D$3=$N$5,C4+1,C4)))</f>
        <v>46</v>
      </c>
      <c r="E4" s="176">
        <f t="shared" si="0"/>
        <v>46</v>
      </c>
      <c r="F4" s="176">
        <f t="shared" si="0"/>
        <v>46</v>
      </c>
      <c r="G4" s="176">
        <f t="shared" si="0"/>
        <v>46</v>
      </c>
      <c r="H4" s="176">
        <f t="shared" si="0"/>
        <v>46</v>
      </c>
      <c r="I4" s="176">
        <f t="shared" si="0"/>
        <v>46</v>
      </c>
      <c r="J4" s="176">
        <f t="shared" si="0"/>
        <v>46</v>
      </c>
      <c r="K4" s="176">
        <f t="shared" si="0"/>
        <v>46</v>
      </c>
      <c r="L4" s="176">
        <f t="shared" si="0"/>
        <v>46</v>
      </c>
      <c r="M4" s="176">
        <f t="shared" si="0"/>
        <v>46</v>
      </c>
      <c r="N4" s="202" t="s">
        <v>124</v>
      </c>
    </row>
    <row r="5" spans="1:14" ht="9.75" customHeight="1">
      <c r="A5" s="208" t="s">
        <v>134</v>
      </c>
      <c r="B5" s="356">
        <f>IF(B$3=$N$5,'2057'!M5+1,'2057'!M5)</f>
        <v>35</v>
      </c>
      <c r="C5" s="209">
        <f>IF(C$3=$N$5,B5+1,B5)</f>
        <v>35</v>
      </c>
      <c r="D5" s="209">
        <f t="shared" ref="D5:M5" si="1">IF(D$3=$N$5,C5+1,C5)</f>
        <v>36</v>
      </c>
      <c r="E5" s="209">
        <f t="shared" si="1"/>
        <v>36</v>
      </c>
      <c r="F5" s="209">
        <f t="shared" si="1"/>
        <v>36</v>
      </c>
      <c r="G5" s="209">
        <f t="shared" si="1"/>
        <v>36</v>
      </c>
      <c r="H5" s="209">
        <f t="shared" si="1"/>
        <v>36</v>
      </c>
      <c r="I5" s="209">
        <f t="shared" si="1"/>
        <v>36</v>
      </c>
      <c r="J5" s="209">
        <f t="shared" si="1"/>
        <v>36</v>
      </c>
      <c r="K5" s="209">
        <f t="shared" si="1"/>
        <v>36</v>
      </c>
      <c r="L5" s="209">
        <f t="shared" si="1"/>
        <v>36</v>
      </c>
      <c r="M5" s="209">
        <f t="shared" si="1"/>
        <v>36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14568200</v>
      </c>
      <c r="C6" s="211">
        <f ca="1">IF($D$1-YEAR($B$1)&gt;0,"",IF(AND($D$1-YEAR($B$1)=0,C3-MONTH($B$1)&gt;=1),"",VLOOKUP(C4,gibon40!$D$4:$AT$47,$N$1,1)))</f>
        <v>14568200</v>
      </c>
      <c r="D6" s="211">
        <f ca="1">IF($D$1-YEAR($B$1)&gt;0,"",IF(AND($D$1-YEAR($B$1)=0,D3-MONTH($B$1)&gt;=1),"",VLOOKUP(D4,gibon40!$D$4:$AT$47,$N$1,1)))</f>
        <v>14746700</v>
      </c>
      <c r="E6" s="211">
        <f ca="1">IF($D$1-YEAR($B$1)&gt;0,"",IF(AND($D$1-YEAR($B$1)=0,E3-MONTH($B$1)&gt;=1),"",VLOOKUP(E4,gibon40!$D$4:$AT$47,$N$1,1)))</f>
        <v>14746700</v>
      </c>
      <c r="F6" s="211">
        <f ca="1">IF($D$1-YEAR($B$1)&gt;0,"",IF(AND($D$1-YEAR($B$1)=0,F3-MONTH($B$1)&gt;=1),"",VLOOKUP(F4,gibon40!$D$4:$AT$47,$N$1,1)))</f>
        <v>14746700</v>
      </c>
      <c r="G6" s="211">
        <f ca="1">IF($D$1-YEAR($B$1)&gt;0,"",IF(AND($D$1-YEAR($B$1)=0,G3-MONTH($B$1)&gt;=1),"",VLOOKUP(G4,gibon40!$D$4:$AT$47,$N$1,1)))</f>
        <v>14746700</v>
      </c>
      <c r="H6" s="211">
        <f ca="1">IF($D$1-YEAR($B$1)&gt;0,"",IF(AND($D$1-YEAR($B$1)=0,H3-MONTH($B$1)&gt;=1),"",VLOOKUP(H4,gibon40!$D$4:$AT$47,$N$1,1)))</f>
        <v>14746700</v>
      </c>
      <c r="I6" s="211">
        <f ca="1">IF($D$1-YEAR($B$1)&gt;0,"",IF(AND($D$1-YEAR($B$1)=0,I3-MONTH($B$1)&gt;=1),"",VLOOKUP(I4,gibon40!$D$4:$AT$47,$N$1,1)))</f>
        <v>14746700</v>
      </c>
      <c r="J6" s="211">
        <f ca="1">IF($D$1-YEAR($B$1)&gt;0,"",IF(AND($D$1-YEAR($B$1)=0,J3-MONTH($B$1)&gt;=1),"",VLOOKUP(J4,gibon40!$D$4:$AT$47,$N$1,1)))</f>
        <v>14746700</v>
      </c>
      <c r="K6" s="211">
        <f ca="1">IF($D$1-YEAR($B$1)&gt;0,"",IF(AND($D$1-YEAR($B$1)=0,K3-MONTH($B$1)&gt;=1),"",VLOOKUP(K4,gibon40!$D$4:$AT$47,$N$1,1)))</f>
        <v>14746700</v>
      </c>
      <c r="L6" s="211">
        <f ca="1">IF($D$1-YEAR($B$1)&gt;0,"",IF(AND($D$1-YEAR($B$1)=0,L3-MONTH($B$1)&gt;=1),"",VLOOKUP(L4,gibon40!$D$4:$AT$47,$N$1,1)))</f>
        <v>14746700</v>
      </c>
      <c r="M6" s="211">
        <f ca="1">IF($D$1-YEAR($B$1)&gt;0,"",IF(AND($D$1-YEAR($B$1)=0,M3-MONTH($B$1)&gt;=1),"",VLOOKUP(M4,gibon40!$D$4:$AT$47,$N$1,1)))</f>
        <v>14746700</v>
      </c>
      <c r="N6" s="211">
        <f t="shared" ref="N6:N52" ca="1" si="2">SUM(B6:M6)</f>
        <v>176603400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7284100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7373350</v>
      </c>
      <c r="I7" s="180"/>
      <c r="J7" s="180"/>
      <c r="K7" s="180"/>
      <c r="L7" s="180"/>
      <c r="M7" s="180"/>
      <c r="N7" s="211">
        <f t="shared" ca="1" si="2"/>
        <v>14657450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9793820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9793820</v>
      </c>
    </row>
    <row r="11" spans="1:14" ht="9.75" customHeight="1">
      <c r="A11" s="178" t="s">
        <v>63</v>
      </c>
      <c r="B11" s="179">
        <f ca="1">IF(B$6="",0,'2057'!M11)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8740920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8848020</v>
      </c>
      <c r="L12" s="179"/>
      <c r="M12" s="179"/>
      <c r="N12" s="211">
        <f t="shared" ca="1" si="2"/>
        <v>17588940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IF(B$6="",0,'2057'!M15)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IF(B$6="",0,'2057'!M16)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IF(B$6="",0,'2057'!M18)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IF(B$6="",0,'2057'!M19)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50000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50000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50000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50000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50000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50000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50000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50000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50000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50000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50000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50000</v>
      </c>
      <c r="N20" s="211">
        <f t="shared" ca="1" si="2"/>
        <v>600000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114890</v>
      </c>
      <c r="E21" s="179">
        <f ca="1">IF(D4="","",IF(E$6="","",ROUND(VLOOKUP(E4,gibon40!$D$51:$AV$100,$N$1+1)*10*15/15,-1)))</f>
        <v>344660</v>
      </c>
      <c r="F21" s="179">
        <f ca="1">IF(E4="","",IF(F$6="","",ROUND(VLOOKUP(F4,gibon40!$D$51:$AV$100,$N$1+1)*10*15/15,-1)))</f>
        <v>344660</v>
      </c>
      <c r="G21" s="179">
        <f ca="1">IF(F4="","",IF(G$6="","",ROUND(VLOOKUP(G4,gibon40!$D$51:$AV$100,$N$1+1)*10*15/15,-1)))</f>
        <v>344660</v>
      </c>
      <c r="H21" s="179">
        <f ca="1">IF(G4="","",IF(H$6="","",ROUND(VLOOKUP(H4,gibon40!$D$51:$AV$100,$N$1+1)*10*15/15,-1)))</f>
        <v>344660</v>
      </c>
      <c r="I21" s="179">
        <f ca="1">IF(H4="","",IF(I$6="","",ROUND(VLOOKUP(I4,gibon40!$D$51:$AV$100,$N$1+1)*10*15/15,-1)))</f>
        <v>344660</v>
      </c>
      <c r="J21" s="179">
        <f ca="1">IF(I4="","",IF(J$6="","",ROUND(VLOOKUP(J4,gibon40!$D$51:$AV$100,$N$1+1)*7*15/15,-1)))</f>
        <v>241260</v>
      </c>
      <c r="K21" s="179">
        <f ca="1">IF(J4="","",IF(K$6="","",ROUND(VLOOKUP(K4,gibon40!$D$51:$AV$100,$N$1+1)*10*15/15,-1)))</f>
        <v>344660</v>
      </c>
      <c r="L21" s="179">
        <f ca="1">IF(K4="","",IF(L$6="","",ROUND(VLOOKUP(L4,gibon40!$D$51:$AV$100,$N$1+1)*10*15/15,-1)))</f>
        <v>344660</v>
      </c>
      <c r="M21" s="179">
        <f ca="1">IF(L4="","",IF(M$6="","",ROUND(VLOOKUP(M4,gibon40!$D$51:$AV$100,$N$1+1)*10*15/15*2,-1)))</f>
        <v>689310</v>
      </c>
      <c r="N21" s="211">
        <f t="shared" ca="1" si="2"/>
        <v>3458080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IF(B$6="",0,'2057'!M23)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IF(B$6="",0,'2057'!M24)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'2057'!A25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31448220</v>
      </c>
      <c r="C26" s="213">
        <f t="shared" ref="C26:M26" ca="1" si="16">ROUNDDOWN(SUM(C6:C25),-1)</f>
        <v>15423200</v>
      </c>
      <c r="D26" s="213">
        <f t="shared" ca="1" si="16"/>
        <v>25510410</v>
      </c>
      <c r="E26" s="213">
        <f t="shared" ca="1" si="16"/>
        <v>15946360</v>
      </c>
      <c r="F26" s="213">
        <f t="shared" ca="1" si="16"/>
        <v>15946360</v>
      </c>
      <c r="G26" s="213">
        <f t="shared" ca="1" si="16"/>
        <v>15946360</v>
      </c>
      <c r="H26" s="213">
        <f t="shared" ca="1" si="16"/>
        <v>23319710</v>
      </c>
      <c r="I26" s="213">
        <f t="shared" ca="1" si="16"/>
        <v>15946360</v>
      </c>
      <c r="J26" s="213">
        <f t="shared" ca="1" si="16"/>
        <v>15842960</v>
      </c>
      <c r="K26" s="213">
        <f t="shared" ca="1" si="16"/>
        <v>24794380</v>
      </c>
      <c r="L26" s="213">
        <f t="shared" ca="1" si="16"/>
        <v>15946360</v>
      </c>
      <c r="M26" s="213">
        <f t="shared" ca="1" si="16"/>
        <v>16291010</v>
      </c>
      <c r="N26" s="214">
        <f ca="1">SUM(B26:M26)</f>
        <v>232361690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IF(B4="","",IF(B6="","",IF($D$1-YEAR('2025'!$I$1)&gt;0,"",IF(AND($D$1-YEAR('2025'!$I$1)=0,B3-MONTH('2025'!$I$1)&gt;=1),"",'2057'!M29))))</f>
        <v>1648030</v>
      </c>
      <c r="C29" s="179">
        <f ca="1">IF(C4="","",IF(C6="","",IF($D$1-YEAR('2025'!$I$1)&gt;0,"",IF(AND($D$1-YEAR('2025'!$I$1)=0,C3-MONTH('2025'!$I$1)&gt;=1),"",B29))))</f>
        <v>1648030</v>
      </c>
      <c r="D29" s="179">
        <f ca="1">IF(D4="","",IF(D6="","",IF($D$1-YEAR('2025'!$I$1)&gt;0,"",IF(AND($D$1-YEAR('2025'!$I$1)=0,D3-MONTH('2025'!$I$1)&gt;=1),"",C29))))</f>
        <v>1648030</v>
      </c>
      <c r="E29" s="179">
        <f ca="1">IF(E4="","",IF(E6="","",IF($D$1-YEAR('2025'!$I$1)&gt;0,"",IF(AND($D$1-YEAR('2025'!$I$1)=0,E3-MONTH('2025'!$I$1)&gt;=1),"",D29))))</f>
        <v>1648030</v>
      </c>
      <c r="F29" s="179">
        <f ca="1">IF(F4="","",IF(F$6="","",IF($D$1-YEAR('2025'!$I$1)&gt;0,"",IF(AND($D$1-YEAR('2025'!$I$1)=0,F3-MONTH('2025'!$I$1)&gt;=1),"",VLOOKUP(F$4,집계표!$AK$5:$HA$47,$N$1*3+$N$1-1+4)))))</f>
        <v>1707290</v>
      </c>
      <c r="G29" s="179">
        <f ca="1">IF(G6="",0,IF($D$1-YEAR('2025'!$I$1)&gt;0,"",IF(AND($D$1-YEAR('2025'!$I$1)=0,G3-MONTH('2025'!$I$1)&gt;=1),"",F29)))</f>
        <v>1707290</v>
      </c>
      <c r="H29" s="179">
        <f ca="1">IF(H6="",0,IF($D$1-YEAR('2025'!$I$1)&gt;0,"",IF(AND($D$1-YEAR('2025'!$I$1)=0,H3-MONTH('2025'!$I$1)&gt;=1),"",G29)))</f>
        <v>1707290</v>
      </c>
      <c r="I29" s="179">
        <f ca="1">IF(I6="",0,IF($D$1-YEAR('2025'!$I$1)&gt;0,"",IF(AND($D$1-YEAR('2025'!$I$1)=0,I3-MONTH('2025'!$I$1)&gt;=1),"",H29)))</f>
        <v>1707290</v>
      </c>
      <c r="J29" s="179">
        <f ca="1">IF(J6="",0,IF($D$1-YEAR('2025'!$I$1)&gt;0,"",IF(AND($D$1-YEAR('2025'!$I$1)=0,J3-MONTH('2025'!$I$1)&gt;=1),"",I29)))</f>
        <v>1707290</v>
      </c>
      <c r="K29" s="179">
        <f ca="1">IF(K6="",0,IF($D$1-YEAR('2025'!$I$1)&gt;0,"",IF(AND($D$1-YEAR('2025'!$I$1)=0,K3-MONTH('2025'!$I$1)&gt;=1),"",J29)))</f>
        <v>1707290</v>
      </c>
      <c r="L29" s="179">
        <f ca="1">IF(L6="",0,IF($D$1-YEAR('2025'!$I$1)&gt;0,"",IF(AND($D$1-YEAR('2025'!$I$1)=0,L3-MONTH('2025'!$I$1)&gt;=1),"",K29)))</f>
        <v>1707290</v>
      </c>
      <c r="M29" s="179">
        <f ca="1">IF(M6="",0,IF($D$1-YEAR('2025'!$I$1)&gt;0,"",IF(AND($D$1-YEAR('2025'!$I$1)=0,M3-MONTH('2025'!$I$1)&gt;=1),"",L29)))</f>
        <v>1707290</v>
      </c>
      <c r="N29" s="211">
        <f t="shared" ca="1" si="2"/>
        <v>20250440</v>
      </c>
    </row>
    <row r="30" spans="1:20" ht="9.75" customHeight="1">
      <c r="A30" s="182" t="s">
        <v>58</v>
      </c>
      <c r="B30" s="179">
        <f ca="1">IF(B6="","",'2057'!M30)</f>
        <v>710930</v>
      </c>
      <c r="C30" s="179">
        <f ca="1">IF(C6="","",B30)</f>
        <v>710930</v>
      </c>
      <c r="D30" s="179">
        <f ca="1">IF(D6="","",C30)</f>
        <v>710930</v>
      </c>
      <c r="E30" s="857">
        <f ca="1">IF(E6="","",VLOOKUP(E$4,집계표!$AK$5:$HA$47,$N$1*4))</f>
        <v>736500</v>
      </c>
      <c r="F30" s="179">
        <f ca="1">IF(F6="","",E30)</f>
        <v>736500</v>
      </c>
      <c r="G30" s="179">
        <f t="shared" ref="G30:M30" ca="1" si="20">IF(G6="","",F30)</f>
        <v>736500</v>
      </c>
      <c r="H30" s="179">
        <f t="shared" ca="1" si="20"/>
        <v>736500</v>
      </c>
      <c r="I30" s="179">
        <f t="shared" ca="1" si="20"/>
        <v>736500</v>
      </c>
      <c r="J30" s="179">
        <f t="shared" ca="1" si="20"/>
        <v>736500</v>
      </c>
      <c r="K30" s="179">
        <f t="shared" ca="1" si="20"/>
        <v>736500</v>
      </c>
      <c r="L30" s="179">
        <f t="shared" ca="1" si="20"/>
        <v>736500</v>
      </c>
      <c r="M30" s="179">
        <f t="shared" ca="1" si="20"/>
        <v>736500</v>
      </c>
      <c r="N30" s="211">
        <f t="shared" ca="1" si="2"/>
        <v>8761290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72870</v>
      </c>
      <c r="C31" s="179">
        <f t="shared" ca="1" si="21"/>
        <v>72870</v>
      </c>
      <c r="D31" s="179">
        <f t="shared" ca="1" si="21"/>
        <v>72870</v>
      </c>
      <c r="E31" s="179">
        <f t="shared" ca="1" si="21"/>
        <v>75490</v>
      </c>
      <c r="F31" s="179">
        <f t="shared" ca="1" si="21"/>
        <v>75490</v>
      </c>
      <c r="G31" s="179">
        <f t="shared" ca="1" si="21"/>
        <v>75490</v>
      </c>
      <c r="H31" s="179">
        <f t="shared" ca="1" si="21"/>
        <v>75490</v>
      </c>
      <c r="I31" s="179">
        <f t="shared" ca="1" si="21"/>
        <v>75490</v>
      </c>
      <c r="J31" s="179">
        <f ca="1">IF(J$6="","",ROUND(IF(J4="","",J30*10.25%),-1))</f>
        <v>75490</v>
      </c>
      <c r="K31" s="179">
        <f t="shared" ref="K31:M31" ca="1" si="22">IF(K$6="","",ROUND(IF(K4="","",K30*10.25%),-1))</f>
        <v>75490</v>
      </c>
      <c r="L31" s="179">
        <f t="shared" ca="1" si="22"/>
        <v>75490</v>
      </c>
      <c r="M31" s="179">
        <f t="shared" ca="1" si="22"/>
        <v>75490</v>
      </c>
      <c r="N31" s="211">
        <f t="shared" ca="1" si="2"/>
        <v>898020</v>
      </c>
    </row>
    <row r="32" spans="1:20" ht="9.75" customHeight="1">
      <c r="A32" s="597" t="str">
        <f>'2057'!A32</f>
        <v>교직원공제비</v>
      </c>
      <c r="B32" s="621">
        <f ca="1">IF(B$6="","",'2057'!B32)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'2057'!A33</f>
        <v>급식비</v>
      </c>
      <c r="B33" s="621">
        <f ca="1">IF(B$6="","",'2057'!B33)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IF(B$6="",0,'2057'!M34)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IF(B$6="",0,'2057'!M38)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IF(B$6="",0,'2057'!M39)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4074160</v>
      </c>
      <c r="C40" s="216">
        <f t="shared" ca="1" si="28"/>
        <v>4091320</v>
      </c>
      <c r="D40" s="216">
        <f t="shared" ca="1" si="28"/>
        <v>4108500</v>
      </c>
      <c r="E40" s="216">
        <f t="shared" ca="1" si="28"/>
        <v>4668790</v>
      </c>
      <c r="F40" s="216">
        <f t="shared" ca="1" si="28"/>
        <v>4745220</v>
      </c>
      <c r="G40" s="216">
        <f t="shared" ca="1" si="28"/>
        <v>4762380</v>
      </c>
      <c r="H40" s="216">
        <f t="shared" ca="1" si="28"/>
        <v>4779550</v>
      </c>
      <c r="I40" s="216">
        <f t="shared" ca="1" si="28"/>
        <v>4796710</v>
      </c>
      <c r="J40" s="216">
        <f ca="1">IF(J26="","",SUM(J27:J39))</f>
        <v>4813880</v>
      </c>
      <c r="K40" s="216">
        <f t="shared" ref="K40:M40" ca="1" si="29">IF(K26="","",SUM(K27:K39))</f>
        <v>4831040</v>
      </c>
      <c r="L40" s="216">
        <f t="shared" ca="1" si="29"/>
        <v>4848200</v>
      </c>
      <c r="M40" s="216">
        <f t="shared" ca="1" si="29"/>
        <v>4865370</v>
      </c>
      <c r="N40" s="216">
        <f ca="1">SUM(B40:M40)</f>
        <v>55385120</v>
      </c>
    </row>
    <row r="41" spans="1:14" ht="9.75" customHeight="1">
      <c r="A41" s="183" t="s">
        <v>79</v>
      </c>
      <c r="B41" s="184">
        <f ca="1">ROUND((B26-B40),-1)</f>
        <v>27374060</v>
      </c>
      <c r="C41" s="184">
        <f t="shared" ref="C41:M41" ca="1" si="30">ROUND((C26-C40),-1)</f>
        <v>11331880</v>
      </c>
      <c r="D41" s="184">
        <f t="shared" ca="1" si="30"/>
        <v>21401910</v>
      </c>
      <c r="E41" s="184">
        <f t="shared" ca="1" si="30"/>
        <v>11277570</v>
      </c>
      <c r="F41" s="184">
        <f t="shared" ca="1" si="30"/>
        <v>11201140</v>
      </c>
      <c r="G41" s="184">
        <f t="shared" ca="1" si="30"/>
        <v>11183980</v>
      </c>
      <c r="H41" s="184">
        <f t="shared" ca="1" si="30"/>
        <v>18540160</v>
      </c>
      <c r="I41" s="184">
        <f t="shared" ca="1" si="30"/>
        <v>11149650</v>
      </c>
      <c r="J41" s="184">
        <f t="shared" ca="1" si="30"/>
        <v>11029080</v>
      </c>
      <c r="K41" s="184">
        <f t="shared" ca="1" si="30"/>
        <v>19963340</v>
      </c>
      <c r="L41" s="184">
        <f t="shared" ca="1" si="30"/>
        <v>11098160</v>
      </c>
      <c r="M41" s="184">
        <f t="shared" ca="1" si="30"/>
        <v>11425640</v>
      </c>
      <c r="N41" s="184">
        <f ca="1">SUM(B41:M41)</f>
        <v>176976570</v>
      </c>
    </row>
    <row r="42" spans="1:14" ht="9.75" customHeight="1">
      <c r="A42" s="217" t="str">
        <f>'2057'!A42</f>
        <v>12)지출내용입력1</v>
      </c>
      <c r="B42" s="211">
        <f>'2057'!M42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'2057'!A43</f>
        <v>지출내용입력2</v>
      </c>
      <c r="B43" s="211">
        <f>'2057'!M43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'2057'!A44</f>
        <v>지출내용입력3</v>
      </c>
      <c r="B44" s="211">
        <f>'2057'!M44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'2057'!A45</f>
        <v>지출내용입력4</v>
      </c>
      <c r="B45" s="211">
        <f>'2057'!M45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'2057'!A46</f>
        <v>지출내용입력5</v>
      </c>
      <c r="B46" s="211">
        <f>'2057'!M46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'2057'!A47</f>
        <v>지출내용입력6</v>
      </c>
      <c r="B47" s="211">
        <f>'2057'!M47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'2057'!A48</f>
        <v>지출내용입력7</v>
      </c>
      <c r="B48" s="211">
        <f>'2057'!M48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'2057'!A49</f>
        <v>지출내용입력8</v>
      </c>
      <c r="B49" s="211">
        <f>'2057'!M49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'2057'!A50</f>
        <v>지출내용입력9</v>
      </c>
      <c r="B50" s="211">
        <f>'2057'!M50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'2057'!A51</f>
        <v>지출내용입력10</v>
      </c>
      <c r="B51" s="211">
        <f>'2057'!M51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27373960</v>
      </c>
      <c r="C53" s="188">
        <f t="shared" ca="1" si="33"/>
        <v>11331780</v>
      </c>
      <c r="D53" s="188">
        <f t="shared" ca="1" si="33"/>
        <v>21401810</v>
      </c>
      <c r="E53" s="188">
        <f t="shared" ca="1" si="33"/>
        <v>11277470</v>
      </c>
      <c r="F53" s="188">
        <f t="shared" ca="1" si="33"/>
        <v>11201040</v>
      </c>
      <c r="G53" s="188">
        <f t="shared" ca="1" si="33"/>
        <v>11183880</v>
      </c>
      <c r="H53" s="188">
        <f t="shared" ca="1" si="33"/>
        <v>18540060</v>
      </c>
      <c r="I53" s="188">
        <f t="shared" ca="1" si="33"/>
        <v>11149550</v>
      </c>
      <c r="J53" s="188">
        <f t="shared" ca="1" si="33"/>
        <v>11028980</v>
      </c>
      <c r="K53" s="188">
        <f t="shared" ca="1" si="33"/>
        <v>19963240</v>
      </c>
      <c r="L53" s="188">
        <f t="shared" ca="1" si="33"/>
        <v>11098060</v>
      </c>
      <c r="M53" s="188">
        <f t="shared" ca="1" si="33"/>
        <v>11425540</v>
      </c>
      <c r="N53" s="188">
        <f t="shared" ca="1" si="33"/>
        <v>176975370</v>
      </c>
    </row>
    <row r="55" spans="1:14" ht="18">
      <c r="A55" s="1232" t="str">
        <f ca="1">D1</f>
        <v>2058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z3ov/ZG//75Rzx+eQgR48I3wB7PhogNX2ANuq2aXqFPL/KIIUJnPGp4ar7arU5n+jupAMu1bCBbKfAMhB3zu7Q==" saltValue="c2PDt3nzvMsgvcbHufHZ3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16" priority="8">
      <formula>$E$2="y"</formula>
    </cfRule>
    <cfRule type="expression" dxfId="115" priority="9">
      <formula>$D$2="Y"</formula>
    </cfRule>
    <cfRule type="expression" dxfId="114" priority="10">
      <formula>$F$2="y"</formula>
    </cfRule>
  </conditionalFormatting>
  <conditionalFormatting sqref="B27:M27">
    <cfRule type="expression" dxfId="113" priority="1">
      <formula>$F$2="y"</formula>
    </cfRule>
  </conditionalFormatting>
  <conditionalFormatting sqref="D16">
    <cfRule type="expression" dxfId="112" priority="26">
      <formula>$E$2="y"</formula>
    </cfRule>
    <cfRule type="expression" dxfId="111" priority="27">
      <formula>$E$2="y"</formula>
    </cfRule>
    <cfRule type="expression" dxfId="110" priority="28">
      <formula>$F$2="y"</formula>
    </cfRule>
  </conditionalFormatting>
  <conditionalFormatting sqref="D18">
    <cfRule type="expression" dxfId="109" priority="23">
      <formula>$E$2="y"</formula>
    </cfRule>
    <cfRule type="expression" dxfId="108" priority="24">
      <formula>$E$2="y"</formula>
    </cfRule>
    <cfRule type="expression" dxfId="107" priority="25">
      <formula>$F$2="y"</formula>
    </cfRule>
  </conditionalFormatting>
  <conditionalFormatting sqref="J12:K12">
    <cfRule type="expression" dxfId="106" priority="5">
      <formula>$E$2="y"</formula>
    </cfRule>
    <cfRule type="expression" dxfId="105" priority="6">
      <formula>$D$2="Y"</formula>
    </cfRule>
    <cfRule type="expression" dxfId="104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2577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8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9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1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1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9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2059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집계표!AK119</f>
        <v>2</v>
      </c>
      <c r="M1" s="627">
        <f>집계표!AK122</f>
        <v>1</v>
      </c>
      <c r="N1" s="618">
        <v>35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집계표!BT53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IF('2058'!M4&gt;=50,50,IF(AND('2058'!M4=50,M$3=$N$5),"",IF(B3=$N$5,'2058'!M4+1,'2058'!M4)))</f>
        <v>46</v>
      </c>
      <c r="C4" s="176">
        <f>IF(B4&gt;=50,50,IF(AND(B4=50,C$3=$N$5),50,IF(C$3=$N$5,B4+1,B4)))</f>
        <v>46</v>
      </c>
      <c r="D4" s="176">
        <f t="shared" ref="D4:M4" si="0">IF(C4&gt;=50,50,IF(AND(C4=50,D$3=$N$5),50,IF(D$3=$N$5,C4+1,C4)))</f>
        <v>47</v>
      </c>
      <c r="E4" s="176">
        <f t="shared" si="0"/>
        <v>47</v>
      </c>
      <c r="F4" s="176">
        <f t="shared" si="0"/>
        <v>47</v>
      </c>
      <c r="G4" s="176">
        <f t="shared" si="0"/>
        <v>47</v>
      </c>
      <c r="H4" s="176">
        <f t="shared" si="0"/>
        <v>47</v>
      </c>
      <c r="I4" s="176">
        <f t="shared" si="0"/>
        <v>47</v>
      </c>
      <c r="J4" s="176">
        <f t="shared" si="0"/>
        <v>47</v>
      </c>
      <c r="K4" s="176">
        <f t="shared" si="0"/>
        <v>47</v>
      </c>
      <c r="L4" s="176">
        <f t="shared" si="0"/>
        <v>47</v>
      </c>
      <c r="M4" s="176">
        <f t="shared" si="0"/>
        <v>47</v>
      </c>
      <c r="N4" s="202" t="s">
        <v>124</v>
      </c>
    </row>
    <row r="5" spans="1:14" ht="9.75" customHeight="1">
      <c r="A5" s="208" t="s">
        <v>134</v>
      </c>
      <c r="B5" s="356">
        <f>IF(B$3=$N$5,'2058'!M5+1,'2058'!M5)</f>
        <v>36</v>
      </c>
      <c r="C5" s="209">
        <f>IF(C$3=$N$5,B5+1,B5)</f>
        <v>36</v>
      </c>
      <c r="D5" s="209">
        <f t="shared" ref="D5:M5" si="1">IF(D$3=$N$5,C5+1,C5)</f>
        <v>37</v>
      </c>
      <c r="E5" s="209">
        <f t="shared" si="1"/>
        <v>37</v>
      </c>
      <c r="F5" s="209">
        <f t="shared" si="1"/>
        <v>37</v>
      </c>
      <c r="G5" s="209">
        <f t="shared" si="1"/>
        <v>37</v>
      </c>
      <c r="H5" s="209">
        <f t="shared" si="1"/>
        <v>37</v>
      </c>
      <c r="I5" s="209">
        <f t="shared" si="1"/>
        <v>37</v>
      </c>
      <c r="J5" s="209">
        <f t="shared" si="1"/>
        <v>37</v>
      </c>
      <c r="K5" s="209">
        <f t="shared" si="1"/>
        <v>37</v>
      </c>
      <c r="L5" s="209">
        <f t="shared" si="1"/>
        <v>37</v>
      </c>
      <c r="M5" s="209">
        <f t="shared" si="1"/>
        <v>37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15115600</v>
      </c>
      <c r="C6" s="211">
        <f ca="1">IF($D$1-YEAR($B$1)&gt;0,"",IF(AND($D$1-YEAR($B$1)=0,C3-MONTH($B$1)&gt;=1),"",VLOOKUP(C4,gibon40!$D$4:$AT$47,$N$1,1)))</f>
        <v>15115600</v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30231200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7557800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7557800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IF(B$6="",0,'2058'!M11)</f>
        <v>140000</v>
      </c>
      <c r="C11" s="179">
        <f ca="1">IF(C6="","",B11)</f>
        <v>140000</v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280000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9069360</v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9069360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500000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IF(B$6="",0,'2058'!M15)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IF(B$6="",0,'2058'!M16)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10000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120000</v>
      </c>
    </row>
    <row r="18" spans="1:20" ht="9.75" customHeight="1">
      <c r="A18" s="606" t="s">
        <v>286</v>
      </c>
      <c r="B18" s="610">
        <f ca="1">IF(B$6="",0,'2058'!M18)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IF(B$6="",0,'2058'!M19)</f>
        <v>20000</v>
      </c>
      <c r="C19" s="179">
        <f ca="1">IF(C$6="","",B19)</f>
        <v>20000</v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50000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50000</v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100000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IF(B$6="",0,'2058'!M23)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IF(B$6="",0,'2058'!M24)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'2058'!A25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23528400</v>
      </c>
      <c r="C26" s="213">
        <f t="shared" ref="C26:M26" ca="1" si="16">ROUNDDOWN(SUM(C6:C25),-1)</f>
        <v>25039960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48568360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154220</v>
      </c>
      <c r="C27" s="179">
        <f ca="1">IF(C6="",0,ROUND(VLOOKUP(($N$26-1200000-$N$17-$N$16)/12,'2015근로소득간이세액표'!$C$4:$Z$700,$A$27+1)*0.78*O27,-1))</f>
        <v>156220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310440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15420</v>
      </c>
      <c r="C28" s="179">
        <f t="shared" ca="1" si="18"/>
        <v>15620</v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31040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IF(B4="","",IF(B6="","",IF($D$1-YEAR('2025'!$I$1)&gt;0,"",IF(AND($D$1-YEAR('2025'!$I$1)=0,B3-MONTH('2025'!$I$1)&gt;=1),"",'2058'!M29))))</f>
        <v>1707290</v>
      </c>
      <c r="C29" s="179">
        <f ca="1">IF(C4="","",IF(C6="","",IF($D$1-YEAR('2025'!$I$1)&gt;0,"",IF(AND($D$1-YEAR('2025'!$I$1)=0,C3-MONTH('2025'!$I$1)&gt;=1),"",B29))))</f>
        <v>1707290</v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3414580</v>
      </c>
    </row>
    <row r="30" spans="1:20" ht="9.75" customHeight="1">
      <c r="A30" s="182" t="s">
        <v>58</v>
      </c>
      <c r="B30" s="179">
        <f ca="1">IF(B6="","",'2058'!M30)</f>
        <v>736500</v>
      </c>
      <c r="C30" s="179">
        <f ca="1">IF(C6="","",B30)</f>
        <v>736500</v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1473000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75490</v>
      </c>
      <c r="C31" s="179">
        <f t="shared" ca="1" si="21"/>
        <v>75490</v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150980</v>
      </c>
    </row>
    <row r="32" spans="1:20" ht="9.75" customHeight="1">
      <c r="A32" s="597" t="str">
        <f>'2058'!A32</f>
        <v>교직원공제비</v>
      </c>
      <c r="B32" s="621">
        <f ca="1">IF(B$6="","",'2058'!B32)</f>
        <v>0</v>
      </c>
      <c r="C32" s="598">
        <f t="shared" ref="C32:I32" ca="1" si="23">IF(C$6="","",B32)</f>
        <v>0</v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'2058'!A33</f>
        <v>급식비</v>
      </c>
      <c r="B33" s="621">
        <f ca="1">IF(B$6="","",'2058'!B33)</f>
        <v>0</v>
      </c>
      <c r="C33" s="598">
        <f t="shared" ref="C33:I33" ca="1" si="25">IF(C$6="","",B33)</f>
        <v>0</v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IF(B$6="",0,'2058'!M34)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IF(B$6="",0,'2058'!M38)</f>
        <v>300640</v>
      </c>
      <c r="C38" s="179">
        <f t="shared" ref="C38:M39" ca="1" si="27">IF(C$6="",0,B38)</f>
        <v>300640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601280</v>
      </c>
    </row>
    <row r="39" spans="1:14" ht="9.75" customHeight="1">
      <c r="A39" s="182" t="s">
        <v>226</v>
      </c>
      <c r="B39" s="211">
        <f ca="1">IF(B$6="",0,'2058'!M39)</f>
        <v>20000</v>
      </c>
      <c r="C39" s="179">
        <f t="shared" ca="1" si="27"/>
        <v>20000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40000</v>
      </c>
    </row>
    <row r="40" spans="1:14" ht="9.75" customHeight="1">
      <c r="A40" s="215" t="s">
        <v>75</v>
      </c>
      <c r="B40" s="216">
        <f t="shared" ref="B40:I40" ca="1" si="28">IF(B26="","",SUM(B27:B39))</f>
        <v>3009560</v>
      </c>
      <c r="C40" s="216">
        <f t="shared" ca="1" si="28"/>
        <v>3011760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6021320</v>
      </c>
    </row>
    <row r="41" spans="1:14" ht="9.75" customHeight="1">
      <c r="A41" s="183" t="s">
        <v>79</v>
      </c>
      <c r="B41" s="184">
        <f ca="1">ROUND((B26-B40),-1)</f>
        <v>20518840</v>
      </c>
      <c r="C41" s="184">
        <f t="shared" ref="C41:M41" ca="1" si="30">ROUND((C26-C40),-1)</f>
        <v>22028200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42547040</v>
      </c>
    </row>
    <row r="42" spans="1:14" ht="9.75" customHeight="1">
      <c r="A42" s="217" t="str">
        <f>'2058'!A42</f>
        <v>12)지출내용입력1</v>
      </c>
      <c r="B42" s="211">
        <f>'2058'!M42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'2058'!A43</f>
        <v>지출내용입력2</v>
      </c>
      <c r="B43" s="211">
        <f>'2058'!M43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'2058'!A44</f>
        <v>지출내용입력3</v>
      </c>
      <c r="B44" s="211">
        <f>'2058'!M44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'2058'!A45</f>
        <v>지출내용입력4</v>
      </c>
      <c r="B45" s="211">
        <f>'2058'!M45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'2058'!A46</f>
        <v>지출내용입력5</v>
      </c>
      <c r="B46" s="211">
        <f>'2058'!M46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'2058'!A47</f>
        <v>지출내용입력6</v>
      </c>
      <c r="B47" s="211">
        <f>'2058'!M47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'2058'!A48</f>
        <v>지출내용입력7</v>
      </c>
      <c r="B48" s="211">
        <f>'2058'!M48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'2058'!A49</f>
        <v>지출내용입력8</v>
      </c>
      <c r="B49" s="211">
        <f>'2058'!M49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'2058'!A50</f>
        <v>지출내용입력9</v>
      </c>
      <c r="B50" s="211">
        <f>'2058'!M50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'2058'!A51</f>
        <v>지출내용입력10</v>
      </c>
      <c r="B51" s="211">
        <f>'2058'!M51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20518740</v>
      </c>
      <c r="C53" s="188">
        <f t="shared" ca="1" si="33"/>
        <v>22028100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42545840</v>
      </c>
    </row>
    <row r="55" spans="1:14" ht="18">
      <c r="A55" s="1232" t="str">
        <f ca="1">D1</f>
        <v>2059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3432968.0000000005</v>
      </c>
    </row>
    <row r="58" spans="1:14" ht="10" customHeight="1">
      <c r="A58" s="687" t="s">
        <v>295</v>
      </c>
      <c r="B58" s="689">
        <f t="shared" ref="B58:M58" ca="1" si="34">IF(B6="",0,B27+B28)</f>
        <v>169640</v>
      </c>
      <c r="C58" s="689">
        <f t="shared" ca="1" si="34"/>
        <v>171840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341480</v>
      </c>
    </row>
    <row r="59" spans="1:14" ht="10" customHeight="1">
      <c r="A59" s="680" t="s">
        <v>546</v>
      </c>
      <c r="B59" s="684">
        <f ca="1">B57-B58</f>
        <v>1546844.0000000002</v>
      </c>
      <c r="C59" s="684">
        <f t="shared" ref="C59:N59" ca="1" si="35">C57-C58</f>
        <v>1544644.0000000002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3091488.0000000005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3091488.0000000005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많이 준비하셔야 겠네요.</v>
      </c>
      <c r="J60" s="1264"/>
      <c r="K60" s="1264"/>
      <c r="L60" s="1264"/>
      <c r="M60" s="1264"/>
      <c r="N60" s="685"/>
    </row>
  </sheetData>
  <sheetProtection algorithmName="SHA-512" hashValue="lDptmHcg9rCOWhxms2djE3ENLzz5T8Yn1B4aJD3A/GWeCY3Yc4EGe0MM6mSEmUBx9uE+AnP6tEZ+Lo79zee4AA==" saltValue="Awtfkw2f4701+KNFceSXV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03" priority="8">
      <formula>$E$2="y"</formula>
    </cfRule>
    <cfRule type="expression" dxfId="102" priority="9">
      <formula>$D$2="Y"</formula>
    </cfRule>
    <cfRule type="expression" dxfId="101" priority="10">
      <formula>$F$2="y"</formula>
    </cfRule>
  </conditionalFormatting>
  <conditionalFormatting sqref="B27:M27">
    <cfRule type="expression" dxfId="100" priority="1">
      <formula>$F$2="y"</formula>
    </cfRule>
  </conditionalFormatting>
  <conditionalFormatting sqref="D16">
    <cfRule type="expression" dxfId="99" priority="26">
      <formula>$E$2="y"</formula>
    </cfRule>
    <cfRule type="expression" dxfId="98" priority="27">
      <formula>$E$2="y"</formula>
    </cfRule>
    <cfRule type="expression" dxfId="97" priority="28">
      <formula>$F$2="y"</formula>
    </cfRule>
  </conditionalFormatting>
  <conditionalFormatting sqref="D18">
    <cfRule type="expression" dxfId="96" priority="23">
      <formula>$E$2="y"</formula>
    </cfRule>
    <cfRule type="expression" dxfId="95" priority="24">
      <formula>$E$2="y"</formula>
    </cfRule>
    <cfRule type="expression" dxfId="94" priority="25">
      <formula>$F$2="y"</formula>
    </cfRule>
  </conditionalFormatting>
  <conditionalFormatting sqref="J12:K12">
    <cfRule type="expression" dxfId="93" priority="5">
      <formula>$E$2="y"</formula>
    </cfRule>
    <cfRule type="expression" dxfId="92" priority="6">
      <formula>$D$2="Y"</formula>
    </cfRule>
    <cfRule type="expression" dxfId="91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01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2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3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5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2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0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2060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집계표!AL119</f>
        <v>2</v>
      </c>
      <c r="M1" s="627">
        <f>집계표!AL122</f>
        <v>1</v>
      </c>
      <c r="N1" s="618">
        <v>36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집계표!BU53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IF('2059'!M4&gt;=50,50,IF(AND('2059'!M4=50,M$3=$N$5),"",IF(B3=$N$5,'2059'!M4+1,'2059'!M4)))</f>
        <v>47</v>
      </c>
      <c r="C4" s="176">
        <f>IF(B4&gt;=50,50,IF(AND(B4=50,C$3=$N$5),50,IF(C$3=$N$5,B4+1,B4)))</f>
        <v>47</v>
      </c>
      <c r="D4" s="176">
        <f t="shared" ref="D4:M4" si="0">IF(C4&gt;=50,50,IF(AND(C4=50,D$3=$N$5),50,IF(D$3=$N$5,C4+1,C4)))</f>
        <v>48</v>
      </c>
      <c r="E4" s="176">
        <f t="shared" si="0"/>
        <v>48</v>
      </c>
      <c r="F4" s="176">
        <f t="shared" si="0"/>
        <v>48</v>
      </c>
      <c r="G4" s="176">
        <f t="shared" si="0"/>
        <v>48</v>
      </c>
      <c r="H4" s="176">
        <f t="shared" si="0"/>
        <v>48</v>
      </c>
      <c r="I4" s="176">
        <f t="shared" si="0"/>
        <v>48</v>
      </c>
      <c r="J4" s="176">
        <f t="shared" si="0"/>
        <v>48</v>
      </c>
      <c r="K4" s="176">
        <f t="shared" si="0"/>
        <v>48</v>
      </c>
      <c r="L4" s="176">
        <f t="shared" si="0"/>
        <v>48</v>
      </c>
      <c r="M4" s="176">
        <f t="shared" si="0"/>
        <v>48</v>
      </c>
      <c r="N4" s="202" t="s">
        <v>124</v>
      </c>
    </row>
    <row r="5" spans="1:14" ht="9.75" customHeight="1">
      <c r="A5" s="208" t="s">
        <v>134</v>
      </c>
      <c r="B5" s="356">
        <f>IF(B$3=$N$5,'2059'!M5+1,'2059'!M5)</f>
        <v>37</v>
      </c>
      <c r="C5" s="209">
        <f>IF(C$3=$N$5,B5+1,B5)</f>
        <v>37</v>
      </c>
      <c r="D5" s="209">
        <f t="shared" ref="D5:M5" si="1">IF(D$3=$N$5,C5+1,C5)</f>
        <v>38</v>
      </c>
      <c r="E5" s="209">
        <f t="shared" si="1"/>
        <v>38</v>
      </c>
      <c r="F5" s="209">
        <f t="shared" si="1"/>
        <v>38</v>
      </c>
      <c r="G5" s="209">
        <f t="shared" si="1"/>
        <v>38</v>
      </c>
      <c r="H5" s="209">
        <f t="shared" si="1"/>
        <v>38</v>
      </c>
      <c r="I5" s="209">
        <f t="shared" si="1"/>
        <v>38</v>
      </c>
      <c r="J5" s="209">
        <f t="shared" si="1"/>
        <v>38</v>
      </c>
      <c r="K5" s="209">
        <f t="shared" si="1"/>
        <v>38</v>
      </c>
      <c r="L5" s="209">
        <f t="shared" si="1"/>
        <v>38</v>
      </c>
      <c r="M5" s="209">
        <f t="shared" si="1"/>
        <v>38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IF(B$6="",0,'2059'!M11)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IF(B$6="",0,'2059'!M15)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IF(B$6="",0,'2059'!M16)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t="shared" ref="C17:M17" ca="1" si="11">IF(C6="","",IF(C5&lt;5,75000,60000))</f>
        <v/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IF(B$6="",0,'2059'!M18)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IF(B$6="",0,'2059'!M19)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IF(B$6="",0,'2059'!M23)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IF(B$6="",0,'2059'!M24)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'2059'!A25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IF(B4="","",IF(B6="","",IF($D$1-YEAR('2025'!$I$1)&gt;0,"",IF(AND($D$1-YEAR('2025'!$I$1)=0,B3-MONTH('2025'!$I$1)&gt;=1),"",'2059'!M29))))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IF(B6="","",'2059'!M30)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'2059'!A32</f>
        <v>교직원공제비</v>
      </c>
      <c r="B32" s="621" t="str">
        <f ca="1">IF(B$6="","",'2059'!B32)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'2059'!A33</f>
        <v>급식비</v>
      </c>
      <c r="B33" s="621" t="str">
        <f ca="1">IF(B$6="","",'2059'!B33)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IF(B$6="",0,'2059'!M34)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IF(B$6="",0,'2059'!M38)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IF(B$6="",0,'2059'!M39)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'2059'!A42</f>
        <v>12)지출내용입력1</v>
      </c>
      <c r="B42" s="211">
        <f>'2059'!M42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'2059'!A43</f>
        <v>지출내용입력2</v>
      </c>
      <c r="B43" s="211">
        <f>'2059'!M43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'2059'!A44</f>
        <v>지출내용입력3</v>
      </c>
      <c r="B44" s="211">
        <f>'2059'!M44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'2059'!A45</f>
        <v>지출내용입력4</v>
      </c>
      <c r="B45" s="211">
        <f>'2059'!M45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'2059'!A46</f>
        <v>지출내용입력5</v>
      </c>
      <c r="B46" s="211">
        <f>'2059'!M46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'2059'!A47</f>
        <v>지출내용입력6</v>
      </c>
      <c r="B47" s="211">
        <f>'2059'!M47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'2059'!A48</f>
        <v>지출내용입력7</v>
      </c>
      <c r="B48" s="211">
        <f>'2059'!M48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'2059'!A49</f>
        <v>지출내용입력8</v>
      </c>
      <c r="B49" s="211">
        <f>'2059'!M49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'2059'!A50</f>
        <v>지출내용입력9</v>
      </c>
      <c r="B50" s="211">
        <f>'2059'!M50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'2059'!A51</f>
        <v>지출내용입력10</v>
      </c>
      <c r="B51" s="211">
        <f>'2059'!M51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32" t="str">
        <f ca="1">D1</f>
        <v>2060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PDb9ASNFlX4oqtBLhCThuvdI2jxqi+6ZP45F/5aYYdLBNRaok7AZLNw2wBzmprbG5wWqgvLgri1p90qb6gAA4g==" saltValue="4BEUThRI7o/RTM8znChy0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90" priority="8">
      <formula>$E$2="y"</formula>
    </cfRule>
    <cfRule type="expression" dxfId="89" priority="9">
      <formula>$D$2="Y"</formula>
    </cfRule>
    <cfRule type="expression" dxfId="88" priority="10">
      <formula>$F$2="y"</formula>
    </cfRule>
  </conditionalFormatting>
  <conditionalFormatting sqref="B27:M27">
    <cfRule type="expression" dxfId="87" priority="1">
      <formula>$F$2="y"</formula>
    </cfRule>
  </conditionalFormatting>
  <conditionalFormatting sqref="D16">
    <cfRule type="expression" dxfId="86" priority="26">
      <formula>$E$2="y"</formula>
    </cfRule>
    <cfRule type="expression" dxfId="85" priority="27">
      <formula>$E$2="y"</formula>
    </cfRule>
    <cfRule type="expression" dxfId="84" priority="28">
      <formula>$F$2="y"</formula>
    </cfRule>
  </conditionalFormatting>
  <conditionalFormatting sqref="D18">
    <cfRule type="expression" dxfId="83" priority="23">
      <formula>$E$2="y"</formula>
    </cfRule>
    <cfRule type="expression" dxfId="82" priority="24">
      <formula>$E$2="y"</formula>
    </cfRule>
    <cfRule type="expression" dxfId="81" priority="25">
      <formula>$F$2="y"</formula>
    </cfRule>
  </conditionalFormatting>
  <conditionalFormatting sqref="J12:K12">
    <cfRule type="expression" dxfId="80" priority="5">
      <formula>$E$2="y"</formula>
    </cfRule>
    <cfRule type="expression" dxfId="79" priority="6">
      <formula>$D$2="Y"</formula>
    </cfRule>
    <cfRule type="expression" dxfId="78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4625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26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27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29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3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1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2061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집계표!AM119</f>
        <v>2</v>
      </c>
      <c r="M1" s="627">
        <f>집계표!AM122</f>
        <v>1</v>
      </c>
      <c r="N1" s="618">
        <v>37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집계표!BV53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IF('2060'!M4&gt;=50,50,IF(AND('2060'!M4=50,M$3=$N$5),"",IF(B3=$N$5,'2060'!M4+1,'2060'!M4)))</f>
        <v>48</v>
      </c>
      <c r="C4" s="176">
        <f>IF(B4&gt;=50,50,IF(AND(B4=50,C$3=$N$5),50,IF(C$3=$N$5,B4+1,B4)))</f>
        <v>48</v>
      </c>
      <c r="D4" s="176">
        <f t="shared" ref="D4:M4" si="0">IF(C4&gt;=50,50,IF(AND(C4=50,D$3=$N$5),50,IF(D$3=$N$5,C4+1,C4)))</f>
        <v>49</v>
      </c>
      <c r="E4" s="176">
        <f t="shared" si="0"/>
        <v>49</v>
      </c>
      <c r="F4" s="176">
        <f t="shared" si="0"/>
        <v>49</v>
      </c>
      <c r="G4" s="176">
        <f t="shared" si="0"/>
        <v>49</v>
      </c>
      <c r="H4" s="176">
        <f t="shared" si="0"/>
        <v>49</v>
      </c>
      <c r="I4" s="176">
        <f t="shared" si="0"/>
        <v>49</v>
      </c>
      <c r="J4" s="176">
        <f t="shared" si="0"/>
        <v>49</v>
      </c>
      <c r="K4" s="176">
        <f t="shared" si="0"/>
        <v>49</v>
      </c>
      <c r="L4" s="176">
        <f t="shared" si="0"/>
        <v>49</v>
      </c>
      <c r="M4" s="176">
        <f t="shared" si="0"/>
        <v>49</v>
      </c>
      <c r="N4" s="202" t="s">
        <v>124</v>
      </c>
    </row>
    <row r="5" spans="1:14" ht="9.75" customHeight="1">
      <c r="A5" s="208" t="s">
        <v>134</v>
      </c>
      <c r="B5" s="356">
        <f>IF(B$3=$N$5,'2060'!M5+1,'2060'!M5)</f>
        <v>38</v>
      </c>
      <c r="C5" s="209">
        <f>IF(C$3=$N$5,B5+1,B5)</f>
        <v>38</v>
      </c>
      <c r="D5" s="209">
        <f t="shared" ref="D5:M5" si="1">IF(D$3=$N$5,C5+1,C5)</f>
        <v>39</v>
      </c>
      <c r="E5" s="209">
        <f t="shared" si="1"/>
        <v>39</v>
      </c>
      <c r="F5" s="209">
        <f t="shared" si="1"/>
        <v>39</v>
      </c>
      <c r="G5" s="209">
        <f t="shared" si="1"/>
        <v>39</v>
      </c>
      <c r="H5" s="209">
        <f t="shared" si="1"/>
        <v>39</v>
      </c>
      <c r="I5" s="209">
        <f t="shared" si="1"/>
        <v>39</v>
      </c>
      <c r="J5" s="209">
        <f t="shared" si="1"/>
        <v>39</v>
      </c>
      <c r="K5" s="209">
        <f t="shared" si="1"/>
        <v>39</v>
      </c>
      <c r="L5" s="209">
        <f t="shared" si="1"/>
        <v>39</v>
      </c>
      <c r="M5" s="209">
        <f t="shared" si="1"/>
        <v>39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IF(B$6="",0,'2060'!M11)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IF(B$6="",0,'2060'!M15)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IF(B$6="",0,'2060'!M16)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t="shared" ref="C17:M17" ca="1" si="11">IF(C6="","",IF(C5&lt;5,75000,60000))</f>
        <v/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IF(B$6="",0,'2060'!M18)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IF(B$6="",0,'2060'!M19)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IF(B$6="",0,'2060'!M23)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IF(B$6="",0,'2060'!M24)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'2060'!A25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IF(B4="","",IF(B6="","",IF($D$1-YEAR('2025'!$I$1)&gt;0,"",IF(AND($D$1-YEAR('2025'!$I$1)=0,B3-MONTH('2025'!$I$1)&gt;=1),"",'2060'!M29))))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IF(B6="","",'2060'!M30)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'2060'!A32</f>
        <v>교직원공제비</v>
      </c>
      <c r="B32" s="621" t="str">
        <f ca="1">IF(B$6="","",'2060'!B32)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'2060'!A33</f>
        <v>급식비</v>
      </c>
      <c r="B33" s="621" t="str">
        <f ca="1">IF(B$6="","",'2060'!B33)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IF(B$6="",0,'2060'!M34)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IF(B$6="",0,'2060'!M38)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IF(B$6="",0,'2060'!M39)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'2060'!A42</f>
        <v>12)지출내용입력1</v>
      </c>
      <c r="B42" s="211">
        <f>'2060'!M42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'2060'!A43</f>
        <v>지출내용입력2</v>
      </c>
      <c r="B43" s="211">
        <f>'2060'!M43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'2060'!A44</f>
        <v>지출내용입력3</v>
      </c>
      <c r="B44" s="211">
        <f>'2060'!M44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'2060'!A45</f>
        <v>지출내용입력4</v>
      </c>
      <c r="B45" s="211">
        <f>'2060'!M45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'2060'!A46</f>
        <v>지출내용입력5</v>
      </c>
      <c r="B46" s="211">
        <f>'2060'!M46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'2060'!A47</f>
        <v>지출내용입력6</v>
      </c>
      <c r="B47" s="211">
        <f>'2060'!M47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'2060'!A48</f>
        <v>지출내용입력7</v>
      </c>
      <c r="B48" s="211">
        <f>'2060'!M48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'2060'!A49</f>
        <v>지출내용입력8</v>
      </c>
      <c r="B49" s="211">
        <f>'2060'!M49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'2060'!A50</f>
        <v>지출내용입력9</v>
      </c>
      <c r="B50" s="211">
        <f>'2060'!M50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'2060'!A51</f>
        <v>지출내용입력10</v>
      </c>
      <c r="B51" s="211">
        <f>'2060'!M51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32" t="str">
        <f ca="1">D1</f>
        <v>2061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JS/YHaeldqDlmbdNbcwAvuKvM21S6TA+/LVa+0I6fYqX7AFwm7mYJCOPqtq89uPFOosgHz4jt21m50QTdu68mA==" saltValue="K3lohT5GQmWzBv68BVp/C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77" priority="8">
      <formula>$E$2="y"</formula>
    </cfRule>
    <cfRule type="expression" dxfId="76" priority="9">
      <formula>$D$2="Y"</formula>
    </cfRule>
    <cfRule type="expression" dxfId="75" priority="10">
      <formula>$F$2="y"</formula>
    </cfRule>
  </conditionalFormatting>
  <conditionalFormatting sqref="B27:M27">
    <cfRule type="expression" dxfId="74" priority="1">
      <formula>$F$2="y"</formula>
    </cfRule>
  </conditionalFormatting>
  <conditionalFormatting sqref="D16">
    <cfRule type="expression" dxfId="73" priority="26">
      <formula>$E$2="y"</formula>
    </cfRule>
    <cfRule type="expression" dxfId="72" priority="27">
      <formula>$E$2="y"</formula>
    </cfRule>
    <cfRule type="expression" dxfId="71" priority="28">
      <formula>$F$2="y"</formula>
    </cfRule>
  </conditionalFormatting>
  <conditionalFormatting sqref="D18">
    <cfRule type="expression" dxfId="70" priority="23">
      <formula>$E$2="y"</formula>
    </cfRule>
    <cfRule type="expression" dxfId="69" priority="24">
      <formula>$E$2="y"</formula>
    </cfRule>
    <cfRule type="expression" dxfId="68" priority="25">
      <formula>$F$2="y"</formula>
    </cfRule>
  </conditionalFormatting>
  <conditionalFormatting sqref="J12:K12">
    <cfRule type="expression" dxfId="67" priority="5">
      <formula>$E$2="y"</formula>
    </cfRule>
    <cfRule type="expression" dxfId="66" priority="6">
      <formula>$D$2="Y"</formula>
    </cfRule>
    <cfRule type="expression" dxfId="65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5649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50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51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53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4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2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2062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집계표!AN119</f>
        <v>2</v>
      </c>
      <c r="M1" s="627">
        <f>집계표!AN122</f>
        <v>1</v>
      </c>
      <c r="N1" s="618">
        <v>38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집계표!BW53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IF('2061'!M4&gt;=50,50,IF(AND('2061'!M4=50,M$3=$N$5),"",IF(B3=$N$5,'2061'!M4+1,'2061'!M4)))</f>
        <v>49</v>
      </c>
      <c r="C4" s="176">
        <f>IF(B4&gt;=50,50,IF(AND(B4=50,C$3=$N$5),50,IF(C$3=$N$5,B4+1,B4)))</f>
        <v>49</v>
      </c>
      <c r="D4" s="176">
        <f t="shared" ref="D4:M4" si="0">IF(C4&gt;=50,50,IF(AND(C4=50,D$3=$N$5),50,IF(D$3=$N$5,C4+1,C4)))</f>
        <v>50</v>
      </c>
      <c r="E4" s="176">
        <f t="shared" si="0"/>
        <v>50</v>
      </c>
      <c r="F4" s="176">
        <f t="shared" si="0"/>
        <v>50</v>
      </c>
      <c r="G4" s="176">
        <f t="shared" si="0"/>
        <v>50</v>
      </c>
      <c r="H4" s="176">
        <f t="shared" si="0"/>
        <v>50</v>
      </c>
      <c r="I4" s="176">
        <f t="shared" si="0"/>
        <v>50</v>
      </c>
      <c r="J4" s="176">
        <f t="shared" si="0"/>
        <v>50</v>
      </c>
      <c r="K4" s="176">
        <f t="shared" si="0"/>
        <v>50</v>
      </c>
      <c r="L4" s="176">
        <f t="shared" si="0"/>
        <v>50</v>
      </c>
      <c r="M4" s="176">
        <f t="shared" si="0"/>
        <v>50</v>
      </c>
      <c r="N4" s="202" t="s">
        <v>124</v>
      </c>
    </row>
    <row r="5" spans="1:14" ht="9.75" customHeight="1">
      <c r="A5" s="208" t="s">
        <v>134</v>
      </c>
      <c r="B5" s="356">
        <f>IF(B$3=$N$5,'2061'!M5+1,'2061'!M5)</f>
        <v>39</v>
      </c>
      <c r="C5" s="209">
        <f>IF(C$3=$N$5,B5+1,B5)</f>
        <v>39</v>
      </c>
      <c r="D5" s="209">
        <f t="shared" ref="D5:M5" si="1">IF(D$3=$N$5,C5+1,C5)</f>
        <v>40</v>
      </c>
      <c r="E5" s="209">
        <f t="shared" si="1"/>
        <v>40</v>
      </c>
      <c r="F5" s="209">
        <f t="shared" si="1"/>
        <v>40</v>
      </c>
      <c r="G5" s="209">
        <f t="shared" si="1"/>
        <v>40</v>
      </c>
      <c r="H5" s="209">
        <f t="shared" si="1"/>
        <v>40</v>
      </c>
      <c r="I5" s="209">
        <f t="shared" si="1"/>
        <v>40</v>
      </c>
      <c r="J5" s="209">
        <f t="shared" si="1"/>
        <v>40</v>
      </c>
      <c r="K5" s="209">
        <f t="shared" si="1"/>
        <v>40</v>
      </c>
      <c r="L5" s="209">
        <f t="shared" si="1"/>
        <v>40</v>
      </c>
      <c r="M5" s="209">
        <f t="shared" si="1"/>
        <v>40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IF(B$6="",0,'2061'!M11)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IF(B$6="",0,'2061'!M15)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IF(B$6="",0,'2061'!M16)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ca="1">IF(C6="","",IF(C5&lt;5,75000,60000))</f>
        <v/>
      </c>
      <c r="D17" s="179" t="str">
        <f t="shared" ref="D17:M17" ca="1" si="11">IF(D6="","",IF(D5&lt;5,75000,60000))</f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IF(B$6="",0,'2061'!M18)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IF(B$6="",0,'2061'!M19)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IF(B$6="",0,'2061'!M23)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IF(B$6="",0,'2061'!M24)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'2061'!A25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IF(B4="","",IF(B6="","",IF($D$1-YEAR('2025'!$I$1)&gt;0,"",IF(AND($D$1-YEAR('2025'!$I$1)=0,B3-MONTH('2025'!$I$1)&gt;=1),"",'2061'!M29))))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IF(B6="","",'2061'!M30)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'2061'!A32</f>
        <v>교직원공제비</v>
      </c>
      <c r="B32" s="621" t="str">
        <f ca="1">IF(B$6="","",'2061'!B32)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'2061'!A33</f>
        <v>급식비</v>
      </c>
      <c r="B33" s="621" t="str">
        <f ca="1">IF(B$6="","",'2061'!B33)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IF(B$6="",0,'2061'!M34)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IF(B$6="",0,'2061'!M38)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IF(B$6="",0,'2061'!M39)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'2061'!A42</f>
        <v>12)지출내용입력1</v>
      </c>
      <c r="B42" s="211">
        <f>'2061'!M42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'2061'!A43</f>
        <v>지출내용입력2</v>
      </c>
      <c r="B43" s="211">
        <f>'2061'!M43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'2061'!A44</f>
        <v>지출내용입력3</v>
      </c>
      <c r="B44" s="211">
        <f>'2061'!M44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'2061'!A45</f>
        <v>지출내용입력4</v>
      </c>
      <c r="B45" s="211">
        <f>'2061'!M45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'2061'!A46</f>
        <v>지출내용입력5</v>
      </c>
      <c r="B46" s="211">
        <f>'2061'!M46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'2061'!A47</f>
        <v>지출내용입력6</v>
      </c>
      <c r="B47" s="211">
        <f>'2061'!M47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'2061'!A48</f>
        <v>지출내용입력7</v>
      </c>
      <c r="B48" s="211">
        <f>'2061'!M48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'2061'!A49</f>
        <v>지출내용입력8</v>
      </c>
      <c r="B49" s="211">
        <f>'2061'!M49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'2061'!A50</f>
        <v>지출내용입력9</v>
      </c>
      <c r="B50" s="211">
        <f>'2061'!M50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'2061'!A51</f>
        <v>지출내용입력10</v>
      </c>
      <c r="B51" s="211">
        <f>'2061'!M51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32" t="str">
        <f ca="1">D1</f>
        <v>2062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nAUgqQ0USw1VbvEB6TrCHwO9aIkfBDInsThjFok29ltx3N+YC7vsRZS8ikNQq/NPHy9ACs+pwrRHoPD5YEITVg==" saltValue="TIz27/hJNMmfSHcursvq8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64" priority="8">
      <formula>$E$2="y"</formula>
    </cfRule>
    <cfRule type="expression" dxfId="63" priority="9">
      <formula>$D$2="Y"</formula>
    </cfRule>
    <cfRule type="expression" dxfId="62" priority="10">
      <formula>$F$2="y"</formula>
    </cfRule>
  </conditionalFormatting>
  <conditionalFormatting sqref="B27:M27">
    <cfRule type="expression" dxfId="61" priority="1">
      <formula>$F$2="y"</formula>
    </cfRule>
  </conditionalFormatting>
  <conditionalFormatting sqref="D16">
    <cfRule type="expression" dxfId="60" priority="26">
      <formula>$E$2="y"</formula>
    </cfRule>
    <cfRule type="expression" dxfId="59" priority="27">
      <formula>$E$2="y"</formula>
    </cfRule>
    <cfRule type="expression" dxfId="58" priority="28">
      <formula>$F$2="y"</formula>
    </cfRule>
  </conditionalFormatting>
  <conditionalFormatting sqref="D18">
    <cfRule type="expression" dxfId="57" priority="23">
      <formula>$E$2="y"</formula>
    </cfRule>
    <cfRule type="expression" dxfId="56" priority="24">
      <formula>$E$2="y"</formula>
    </cfRule>
    <cfRule type="expression" dxfId="55" priority="25">
      <formula>$F$2="y"</formula>
    </cfRule>
  </conditionalFormatting>
  <conditionalFormatting sqref="J12:K12">
    <cfRule type="expression" dxfId="54" priority="5">
      <formula>$E$2="y"</formula>
    </cfRule>
    <cfRule type="expression" dxfId="53" priority="6">
      <formula>$D$2="Y"</formula>
    </cfRule>
    <cfRule type="expression" dxfId="52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6673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4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5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7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5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3"/>
  <dimension ref="A1:T60"/>
  <sheetViews>
    <sheetView showGridLines="0" showRowColHeaders="0"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2063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집계표!AO119</f>
        <v>2</v>
      </c>
      <c r="M1" s="627">
        <f>집계표!AO122</f>
        <v>1</v>
      </c>
      <c r="N1" s="618">
        <v>39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집계표!BX53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IF('2056'!M4&gt;=57,50,IF(AND('2062'!M4=50,M$3=$N$5),"",IF(B3=$N$5,'2062'!M4+1,'2062'!M4)))</f>
        <v>50</v>
      </c>
      <c r="C4" s="176">
        <f>IF(B4&gt;=50,50,IF(AND(B4=50,C$3=$N$5),50,IF(C$3=$N$5,B4+1,B4)))</f>
        <v>50</v>
      </c>
      <c r="D4" s="176">
        <f t="shared" ref="D4:M4" si="0">IF(C4&gt;=50,50,IF(AND(C4=50,D$3=$N$5),50,IF(D$3=$N$5,C4+1,C4)))</f>
        <v>50</v>
      </c>
      <c r="E4" s="176">
        <f t="shared" si="0"/>
        <v>50</v>
      </c>
      <c r="F4" s="176">
        <f t="shared" si="0"/>
        <v>50</v>
      </c>
      <c r="G4" s="176">
        <f t="shared" si="0"/>
        <v>50</v>
      </c>
      <c r="H4" s="176">
        <f t="shared" si="0"/>
        <v>50</v>
      </c>
      <c r="I4" s="176">
        <f t="shared" si="0"/>
        <v>50</v>
      </c>
      <c r="J4" s="176">
        <f t="shared" si="0"/>
        <v>50</v>
      </c>
      <c r="K4" s="176">
        <f t="shared" si="0"/>
        <v>50</v>
      </c>
      <c r="L4" s="176">
        <f t="shared" si="0"/>
        <v>50</v>
      </c>
      <c r="M4" s="176">
        <f t="shared" si="0"/>
        <v>50</v>
      </c>
      <c r="N4" s="202" t="s">
        <v>124</v>
      </c>
    </row>
    <row r="5" spans="1:14" ht="9.75" customHeight="1">
      <c r="A5" s="208" t="s">
        <v>134</v>
      </c>
      <c r="B5" s="356">
        <f>IF(B$3=$N$5,'2062'!M5+1,'2062'!M5)</f>
        <v>40</v>
      </c>
      <c r="C5" s="209">
        <f>IF(C$3=$N$5,B5+1,B5)</f>
        <v>40</v>
      </c>
      <c r="D5" s="209">
        <f t="shared" ref="D5:M5" si="1">IF(D$3=$N$5,C5+1,C5)</f>
        <v>41</v>
      </c>
      <c r="E5" s="209">
        <f t="shared" si="1"/>
        <v>41</v>
      </c>
      <c r="F5" s="209">
        <f t="shared" si="1"/>
        <v>41</v>
      </c>
      <c r="G5" s="209">
        <f t="shared" si="1"/>
        <v>41</v>
      </c>
      <c r="H5" s="209">
        <f t="shared" si="1"/>
        <v>41</v>
      </c>
      <c r="I5" s="209">
        <f t="shared" si="1"/>
        <v>41</v>
      </c>
      <c r="J5" s="209">
        <f t="shared" si="1"/>
        <v>41</v>
      </c>
      <c r="K5" s="209">
        <f t="shared" si="1"/>
        <v>41</v>
      </c>
      <c r="L5" s="209">
        <f t="shared" si="1"/>
        <v>41</v>
      </c>
      <c r="M5" s="209">
        <f t="shared" si="1"/>
        <v>41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IF(B$6="",0,'2062'!M11)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IF(B$6="",0,'2062'!M15)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IF(B$6="",0,'2062'!M16)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t="shared" ref="C17:M17" ca="1" si="11">IF(C6="","",IF(C5&lt;5,75000,60000))</f>
        <v/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IF(B$6="",0,'2062'!M18)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IF(B$6="",0,'2062'!M19)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628</v>
      </c>
      <c r="B23" s="610">
        <f ca="1">IF(B$6="",0,'2062'!M23)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IF(B$6="",0,'2062'!M24)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'2062'!A25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IF(B4="","",IF(B6="","",IF($D$1-YEAR('2025'!$I$1)&gt;0,"",IF(AND($D$1-YEAR('2025'!$I$1)=0,B3-MONTH('2025'!$I$1)&gt;=1),"",'2062'!M29))))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IF(B6="","",'2062'!M30)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'2062'!A32</f>
        <v>교직원공제비</v>
      </c>
      <c r="B32" s="621" t="str">
        <f ca="1">IF(B$6="","",'2062'!B32)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'2062'!A33</f>
        <v>급식비</v>
      </c>
      <c r="B33" s="621" t="str">
        <f ca="1">IF(B$6="","",'2062'!B33)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IF(B$6="",0,'2062'!M34)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IF(B$6="",0,'2062'!M38)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IF(B$6="",0,'2062'!M39)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'2062'!A42</f>
        <v>12)지출내용입력1</v>
      </c>
      <c r="B42" s="211">
        <f>'2062'!M42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'2062'!A43</f>
        <v>지출내용입력2</v>
      </c>
      <c r="B43" s="211">
        <f>'2062'!M43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'2062'!A44</f>
        <v>지출내용입력3</v>
      </c>
      <c r="B44" s="211">
        <f>'2062'!M44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'2062'!A45</f>
        <v>지출내용입력4</v>
      </c>
      <c r="B45" s="211">
        <f>'2062'!M45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'2062'!A46</f>
        <v>지출내용입력5</v>
      </c>
      <c r="B46" s="211">
        <f>'2062'!M46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'2062'!A47</f>
        <v>지출내용입력6</v>
      </c>
      <c r="B47" s="211">
        <f>'2062'!M47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'2062'!A48</f>
        <v>지출내용입력7</v>
      </c>
      <c r="B48" s="211">
        <f>'2062'!M48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'2062'!A49</f>
        <v>지출내용입력8</v>
      </c>
      <c r="B49" s="211">
        <f>'2062'!M49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'2062'!A50</f>
        <v>지출내용입력9</v>
      </c>
      <c r="B50" s="211">
        <f>'2062'!M50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'2062'!A51</f>
        <v>지출내용입력10</v>
      </c>
      <c r="B51" s="211">
        <f>'2062'!M51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32" t="str">
        <f ca="1">D1</f>
        <v>2063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YewUUcKAS3uBKC3lYyl660GiU/6caLtdn0aSa1XZ6XeZwMavCWYcSDDqhmTeohURoMHJTHDYK9WigD/ejRPLPQ==" saltValue="4qdE+9+NOp9puVefdHriW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51" priority="8">
      <formula>$E$2="y"</formula>
    </cfRule>
    <cfRule type="expression" dxfId="50" priority="9">
      <formula>$D$2="Y"</formula>
    </cfRule>
    <cfRule type="expression" dxfId="49" priority="10">
      <formula>$F$2="y"</formula>
    </cfRule>
  </conditionalFormatting>
  <conditionalFormatting sqref="B27:M27">
    <cfRule type="expression" dxfId="48" priority="1">
      <formula>$F$2="y"</formula>
    </cfRule>
  </conditionalFormatting>
  <conditionalFormatting sqref="D16">
    <cfRule type="expression" dxfId="47" priority="26">
      <formula>$E$2="y"</formula>
    </cfRule>
    <cfRule type="expression" dxfId="46" priority="27">
      <formula>$E$2="y"</formula>
    </cfRule>
    <cfRule type="expression" dxfId="45" priority="28">
      <formula>$F$2="y"</formula>
    </cfRule>
  </conditionalFormatting>
  <conditionalFormatting sqref="D18">
    <cfRule type="expression" dxfId="44" priority="23">
      <formula>$E$2="y"</formula>
    </cfRule>
    <cfRule type="expression" dxfId="43" priority="24">
      <formula>$E$2="y"</formula>
    </cfRule>
    <cfRule type="expression" dxfId="42" priority="25">
      <formula>$F$2="y"</formula>
    </cfRule>
  </conditionalFormatting>
  <conditionalFormatting sqref="J12:K12">
    <cfRule type="expression" dxfId="41" priority="5">
      <formula>$E$2="y"</formula>
    </cfRule>
    <cfRule type="expression" dxfId="40" priority="6">
      <formula>$D$2="Y"</formula>
    </cfRule>
    <cfRule type="expression" dxfId="39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7697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98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99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01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6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4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2064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집계표!AP119</f>
        <v>2</v>
      </c>
      <c r="M1" s="627">
        <f>집계표!AP122</f>
        <v>1</v>
      </c>
      <c r="N1" s="618">
        <v>40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집계표!BY53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IF('2063'!M4&gt;=50,50,IF(AND('2063'!M4=50,M$3=$N$5),"",IF(B3=$N$5,'2063'!M4+1,'2063'!M4)))</f>
        <v>50</v>
      </c>
      <c r="C4" s="176">
        <f>IF(B4&gt;=50,50,IF(AND(B4=50,C$3=$N$5),50,IF(C$3=$N$5,B4+1,B4)))</f>
        <v>50</v>
      </c>
      <c r="D4" s="176">
        <f t="shared" ref="D4:M4" si="0">IF(C4&gt;=50,50,IF(AND(C4=50,D$3=$N$5),50,IF(D$3=$N$5,C4+1,C4)))</f>
        <v>50</v>
      </c>
      <c r="E4" s="176">
        <f t="shared" si="0"/>
        <v>50</v>
      </c>
      <c r="F4" s="176">
        <f t="shared" si="0"/>
        <v>50</v>
      </c>
      <c r="G4" s="176">
        <f t="shared" si="0"/>
        <v>50</v>
      </c>
      <c r="H4" s="176">
        <f t="shared" si="0"/>
        <v>50</v>
      </c>
      <c r="I4" s="176">
        <f t="shared" si="0"/>
        <v>50</v>
      </c>
      <c r="J4" s="176">
        <f t="shared" si="0"/>
        <v>50</v>
      </c>
      <c r="K4" s="176">
        <f t="shared" si="0"/>
        <v>50</v>
      </c>
      <c r="L4" s="176">
        <f t="shared" si="0"/>
        <v>50</v>
      </c>
      <c r="M4" s="176">
        <f t="shared" si="0"/>
        <v>50</v>
      </c>
      <c r="N4" s="202" t="s">
        <v>124</v>
      </c>
    </row>
    <row r="5" spans="1:14" ht="9.75" customHeight="1">
      <c r="A5" s="208" t="s">
        <v>134</v>
      </c>
      <c r="B5" s="356">
        <f>IF(B$3=$N$5,'2063'!M5+1,'2063'!M5)</f>
        <v>41</v>
      </c>
      <c r="C5" s="209">
        <f>IF(C$3=$N$5,B5+1,B5)</f>
        <v>41</v>
      </c>
      <c r="D5" s="209">
        <f t="shared" ref="D5:M5" si="1">IF(D$3=$N$5,C5+1,C5)</f>
        <v>42</v>
      </c>
      <c r="E5" s="209">
        <f t="shared" si="1"/>
        <v>42</v>
      </c>
      <c r="F5" s="209">
        <f t="shared" si="1"/>
        <v>42</v>
      </c>
      <c r="G5" s="209">
        <f t="shared" si="1"/>
        <v>42</v>
      </c>
      <c r="H5" s="209">
        <f t="shared" si="1"/>
        <v>42</v>
      </c>
      <c r="I5" s="209">
        <f t="shared" si="1"/>
        <v>42</v>
      </c>
      <c r="J5" s="209">
        <f t="shared" si="1"/>
        <v>42</v>
      </c>
      <c r="K5" s="209">
        <f t="shared" si="1"/>
        <v>42</v>
      </c>
      <c r="L5" s="209">
        <f t="shared" si="1"/>
        <v>42</v>
      </c>
      <c r="M5" s="209">
        <f t="shared" si="1"/>
        <v>42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IF(B$6="",0,'2063'!M11)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IF(B$6="",0,'2063'!M15)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IF(B$6="",0,'2063'!M16)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t="shared" ref="C17:M17" ca="1" si="11">IF(C6="","",IF(C5&lt;5,75000,60000))</f>
        <v/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IF(B$6="",0,'2063'!M18)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IF(B$6="",0,'2063'!M19)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IF(B$6="",0,'2063'!M23)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IF(B$6="",0,'2063'!M24)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'2063'!A25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IF(B4="","",IF(B6="","",IF($D$1-YEAR('2025'!$I$1)&gt;0,"",IF(AND($D$1-YEAR('2025'!$I$1)=0,B3-MONTH('2025'!$I$1)&gt;=1),"",'2063'!M29))))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IF(B6="","",'2063'!M30)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'2063'!A32</f>
        <v>교직원공제비</v>
      </c>
      <c r="B32" s="621" t="str">
        <f ca="1">IF(B$6="","",'2063'!B32)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'2063'!A33</f>
        <v>급식비</v>
      </c>
      <c r="B33" s="621" t="str">
        <f ca="1">IF(B$6="","",'2063'!B33)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IF(B$6="",0,'2063'!M34)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IF(B$6="",0,'2063'!M38)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IF(B$6="",0,'2063'!M39)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'2063'!A42</f>
        <v>12)지출내용입력1</v>
      </c>
      <c r="B42" s="211">
        <f>'2063'!M42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'2063'!A43</f>
        <v>지출내용입력2</v>
      </c>
      <c r="B43" s="211">
        <f>'2063'!M43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'2063'!A44</f>
        <v>지출내용입력3</v>
      </c>
      <c r="B44" s="211">
        <f>'2063'!M44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'2063'!A45</f>
        <v>지출내용입력4</v>
      </c>
      <c r="B45" s="211">
        <f>'2063'!M45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'2063'!A46</f>
        <v>지출내용입력5</v>
      </c>
      <c r="B46" s="211">
        <f>'2063'!M46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'2063'!A47</f>
        <v>지출내용입력6</v>
      </c>
      <c r="B47" s="211">
        <f>'2063'!M47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'2063'!A48</f>
        <v>지출내용입력7</v>
      </c>
      <c r="B48" s="211">
        <f>'2063'!M48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'2063'!A49</f>
        <v>지출내용입력8</v>
      </c>
      <c r="B49" s="211">
        <f>'2063'!M49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'2063'!A50</f>
        <v>지출내용입력9</v>
      </c>
      <c r="B50" s="211">
        <f>'2063'!M50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'2063'!A51</f>
        <v>지출내용입력10</v>
      </c>
      <c r="B51" s="211">
        <f>'2063'!M51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32" t="str">
        <f ca="1">D1</f>
        <v>2064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DQuYe81eYsnz68gwsUsJQM316yGh4Q1AL00EqEmyDwbcWgY2KOZVE1Zuv/FEoxCFg+VWvS51GSlsPqzsx4eSxQ==" saltValue="OI8r8O9PvzQSB4Wo3xCNo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8" priority="8">
      <formula>$E$2="y"</formula>
    </cfRule>
    <cfRule type="expression" dxfId="37" priority="9">
      <formula>$D$2="Y"</formula>
    </cfRule>
    <cfRule type="expression" dxfId="36" priority="10">
      <formula>$F$2="y"</formula>
    </cfRule>
  </conditionalFormatting>
  <conditionalFormatting sqref="B27:M27">
    <cfRule type="expression" dxfId="35" priority="1">
      <formula>$F$2="y"</formula>
    </cfRule>
  </conditionalFormatting>
  <conditionalFormatting sqref="D16">
    <cfRule type="expression" dxfId="34" priority="26">
      <formula>$E$2="y"</formula>
    </cfRule>
    <cfRule type="expression" dxfId="33" priority="27">
      <formula>$E$2="y"</formula>
    </cfRule>
    <cfRule type="expression" dxfId="32" priority="28">
      <formula>$F$2="y"</formula>
    </cfRule>
  </conditionalFormatting>
  <conditionalFormatting sqref="D18">
    <cfRule type="expression" dxfId="31" priority="23">
      <formula>$E$2="y"</formula>
    </cfRule>
    <cfRule type="expression" dxfId="30" priority="24">
      <formula>$E$2="y"</formula>
    </cfRule>
    <cfRule type="expression" dxfId="29" priority="25">
      <formula>$F$2="y"</formula>
    </cfRule>
  </conditionalFormatting>
  <conditionalFormatting sqref="J12:K12">
    <cfRule type="expression" dxfId="28" priority="5">
      <formula>$E$2="y"</formula>
    </cfRule>
    <cfRule type="expression" dxfId="27" priority="6">
      <formula>$D$2="Y"</formula>
    </cfRule>
    <cfRule type="expression" dxfId="26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8721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22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23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25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7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5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2065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집계표!AQ119</f>
        <v>2</v>
      </c>
      <c r="M1" s="627">
        <f>집계표!AQ122</f>
        <v>1</v>
      </c>
      <c r="N1" s="618">
        <v>41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집계표!BZ53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IF('2064'!M4&gt;=50,50,IF(AND('2064'!M4=50,M$3=$N$5),"",IF(B3=$N$5,'2064'!M4+1,'2064'!M4)))</f>
        <v>50</v>
      </c>
      <c r="C4" s="176">
        <f>IF(B4&gt;=50,50,IF(AND(B4=50,C$3=$N$5),50,IF(C$3=$N$5,B4+1,B4)))</f>
        <v>50</v>
      </c>
      <c r="D4" s="176">
        <f t="shared" ref="D4:M4" si="0">IF(C4&gt;=50,50,IF(AND(C4=50,D$3=$N$5),50,IF(D$3=$N$5,C4+1,C4)))</f>
        <v>50</v>
      </c>
      <c r="E4" s="176">
        <f t="shared" si="0"/>
        <v>50</v>
      </c>
      <c r="F4" s="176">
        <f t="shared" si="0"/>
        <v>50</v>
      </c>
      <c r="G4" s="176">
        <f t="shared" si="0"/>
        <v>50</v>
      </c>
      <c r="H4" s="176">
        <f t="shared" si="0"/>
        <v>50</v>
      </c>
      <c r="I4" s="176">
        <f t="shared" si="0"/>
        <v>50</v>
      </c>
      <c r="J4" s="176">
        <f t="shared" si="0"/>
        <v>50</v>
      </c>
      <c r="K4" s="176">
        <f t="shared" si="0"/>
        <v>50</v>
      </c>
      <c r="L4" s="176">
        <f t="shared" si="0"/>
        <v>50</v>
      </c>
      <c r="M4" s="176">
        <f t="shared" si="0"/>
        <v>50</v>
      </c>
      <c r="N4" s="202" t="s">
        <v>124</v>
      </c>
    </row>
    <row r="5" spans="1:14" ht="9.75" customHeight="1">
      <c r="A5" s="208" t="s">
        <v>134</v>
      </c>
      <c r="B5" s="356">
        <f>IF(B$3=$N$5,'2064'!M5+1,'2064'!M5)</f>
        <v>42</v>
      </c>
      <c r="C5" s="209">
        <f>IF(C$3=$N$5,B5+1,B5)</f>
        <v>42</v>
      </c>
      <c r="D5" s="209">
        <f t="shared" ref="D5:M5" si="1">IF(D$3=$N$5,C5+1,C5)</f>
        <v>43</v>
      </c>
      <c r="E5" s="209">
        <f t="shared" si="1"/>
        <v>43</v>
      </c>
      <c r="F5" s="209">
        <f t="shared" si="1"/>
        <v>43</v>
      </c>
      <c r="G5" s="209">
        <f t="shared" si="1"/>
        <v>43</v>
      </c>
      <c r="H5" s="209">
        <f t="shared" si="1"/>
        <v>43</v>
      </c>
      <c r="I5" s="209">
        <f t="shared" si="1"/>
        <v>43</v>
      </c>
      <c r="J5" s="209">
        <f t="shared" si="1"/>
        <v>43</v>
      </c>
      <c r="K5" s="209">
        <f t="shared" si="1"/>
        <v>43</v>
      </c>
      <c r="L5" s="209">
        <f t="shared" si="1"/>
        <v>43</v>
      </c>
      <c r="M5" s="209">
        <f t="shared" si="1"/>
        <v>43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IF(B$6="",0,'2064'!M11)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IF(B$6="",0,'2064'!M15)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IF(B$6="",0,'2064'!M16)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t="shared" ref="C17:M17" ca="1" si="11">IF(C6="","",IF(C5&lt;5,75000,60000))</f>
        <v/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IF(B$6="",0,'2064'!M18)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IF(B$6="",0,'2064'!M19)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IF(B$6="",0,'2064'!M23)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IF(B$6="",0,'2064'!M24)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'2064'!A25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IF(B4="","",IF(B6="","",IF($D$1-YEAR('2025'!$I$1)&gt;0,"",IF(AND($D$1-YEAR('2025'!$I$1)=0,B3-MONTH('2025'!$I$1)&gt;=1),"",'2054'!M29))))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IF(B6="","",'2064'!M30)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'2064'!A32</f>
        <v>교직원공제비</v>
      </c>
      <c r="B32" s="621" t="str">
        <f ca="1">IF(B$6="","",'2064'!B32)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'2064'!A33</f>
        <v>급식비</v>
      </c>
      <c r="B33" s="621" t="str">
        <f ca="1">IF(B$6="","",'2064'!B33)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IF(B$6="",0,'2064'!M34)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IF(B$6="",0,'2064'!M38)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IF(B$6="",0,'2064'!M39)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'2064'!A42</f>
        <v>12)지출내용입력1</v>
      </c>
      <c r="B42" s="211">
        <f>'2064'!M42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'2064'!A43</f>
        <v>지출내용입력2</v>
      </c>
      <c r="B43" s="211">
        <f>'2064'!M43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'2064'!A44</f>
        <v>지출내용입력3</v>
      </c>
      <c r="B44" s="211">
        <f>'2064'!M44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'2064'!A45</f>
        <v>지출내용입력4</v>
      </c>
      <c r="B45" s="211">
        <f>'2064'!M45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'2064'!A46</f>
        <v>지출내용입력5</v>
      </c>
      <c r="B46" s="211">
        <f>'2064'!M46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'2064'!A47</f>
        <v>지출내용입력6</v>
      </c>
      <c r="B47" s="211">
        <f>'2064'!M47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'2064'!A48</f>
        <v>지출내용입력7</v>
      </c>
      <c r="B48" s="211">
        <f>'2064'!M48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'2064'!A49</f>
        <v>지출내용입력8</v>
      </c>
      <c r="B49" s="211">
        <f>'2064'!M49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'2064'!A50</f>
        <v>지출내용입력9</v>
      </c>
      <c r="B50" s="211">
        <f>'2064'!M50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'2064'!A51</f>
        <v>지출내용입력10</v>
      </c>
      <c r="B51" s="211">
        <f>'2064'!M51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32" t="str">
        <f ca="1">D1</f>
        <v>2065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SnO4aMoBqU445chGLLdDPnvG209DCNHUyEVm4cEOMEcnC9TcV1D27k1ulBPns/K+0xCnOzG/xLW7mfTSnGcP5g==" saltValue="+YyRscUcYj88t1W2756n7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5" priority="8">
      <formula>$E$2="y"</formula>
    </cfRule>
    <cfRule type="expression" dxfId="24" priority="9">
      <formula>$D$2="Y"</formula>
    </cfRule>
    <cfRule type="expression" dxfId="23" priority="10">
      <formula>$F$2="y"</formula>
    </cfRule>
  </conditionalFormatting>
  <conditionalFormatting sqref="B27:M27">
    <cfRule type="expression" dxfId="22" priority="1">
      <formula>$F$2="y"</formula>
    </cfRule>
  </conditionalFormatting>
  <conditionalFormatting sqref="D16">
    <cfRule type="expression" dxfId="21" priority="26">
      <formula>$E$2="y"</formula>
    </cfRule>
    <cfRule type="expression" dxfId="20" priority="27">
      <formula>$E$2="y"</formula>
    </cfRule>
    <cfRule type="expression" dxfId="19" priority="28">
      <formula>$F$2="y"</formula>
    </cfRule>
  </conditionalFormatting>
  <conditionalFormatting sqref="D18">
    <cfRule type="expression" dxfId="18" priority="23">
      <formula>$E$2="y"</formula>
    </cfRule>
    <cfRule type="expression" dxfId="17" priority="24">
      <formula>$E$2="y"</formula>
    </cfRule>
    <cfRule type="expression" dxfId="16" priority="25">
      <formula>$F$2="y"</formula>
    </cfRule>
  </conditionalFormatting>
  <conditionalFormatting sqref="J12:K12">
    <cfRule type="expression" dxfId="15" priority="5">
      <formula>$E$2="y"</formula>
    </cfRule>
    <cfRule type="expression" dxfId="14" priority="6">
      <formula>$D$2="Y"</formula>
    </cfRule>
    <cfRule type="expression" dxfId="13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9745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46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47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49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8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6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2066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집계표!AR119</f>
        <v>2</v>
      </c>
      <c r="M1" s="627">
        <f>집계표!AR122</f>
        <v>1</v>
      </c>
      <c r="N1" s="618">
        <v>42</v>
      </c>
    </row>
    <row r="2" spans="1:14" ht="14.25" customHeight="1">
      <c r="A2" s="206"/>
      <c r="B2" s="1255" t="s">
        <v>642</v>
      </c>
      <c r="C2" s="1255"/>
      <c r="D2" s="198">
        <f>M2</f>
        <v>2.5000000000000001E-2</v>
      </c>
      <c r="E2" s="207"/>
      <c r="F2" s="207"/>
      <c r="G2" s="594" t="s">
        <v>68</v>
      </c>
      <c r="H2" s="629" t="str">
        <f>집계표!CA53</f>
        <v>A</v>
      </c>
      <c r="J2" s="207"/>
      <c r="K2" s="1255" t="s">
        <v>419</v>
      </c>
      <c r="L2" s="1255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IF('2065'!M4&gt;=50,50,IF(AND('2065'!M4=50,M$3=$N$5),"",IF(B3=$N$5,'2065'!M4+1,'2065'!M4)))</f>
        <v>50</v>
      </c>
      <c r="C4" s="176">
        <f>IF(B4&gt;=50,50,IF(AND(B4=50,C$3=$N$5),50,IF(C$3=$N$5,B4+1,B4)))</f>
        <v>50</v>
      </c>
      <c r="D4" s="176">
        <f t="shared" ref="D4:M4" si="0">IF(C4&gt;=50,50,IF(AND(C4=50,D$3=$N$5),50,IF(D$3=$N$5,C4+1,C4)))</f>
        <v>50</v>
      </c>
      <c r="E4" s="176">
        <f t="shared" si="0"/>
        <v>50</v>
      </c>
      <c r="F4" s="176">
        <f t="shared" si="0"/>
        <v>50</v>
      </c>
      <c r="G4" s="176">
        <f t="shared" si="0"/>
        <v>50</v>
      </c>
      <c r="H4" s="176">
        <f t="shared" si="0"/>
        <v>50</v>
      </c>
      <c r="I4" s="176">
        <f t="shared" si="0"/>
        <v>50</v>
      </c>
      <c r="J4" s="176">
        <f t="shared" si="0"/>
        <v>50</v>
      </c>
      <c r="K4" s="176">
        <f t="shared" si="0"/>
        <v>50</v>
      </c>
      <c r="L4" s="176">
        <f t="shared" si="0"/>
        <v>50</v>
      </c>
      <c r="M4" s="176">
        <f t="shared" si="0"/>
        <v>50</v>
      </c>
      <c r="N4" s="202" t="s">
        <v>124</v>
      </c>
    </row>
    <row r="5" spans="1:14" ht="9.75" customHeight="1">
      <c r="A5" s="208" t="s">
        <v>134</v>
      </c>
      <c r="B5" s="356">
        <f>IF(B$3=$N$5,'2065'!M5+1,'2065'!M5)</f>
        <v>43</v>
      </c>
      <c r="C5" s="209">
        <f>IF(C$3=$N$5,B5+1,B5)</f>
        <v>43</v>
      </c>
      <c r="D5" s="209">
        <f t="shared" ref="D5:M5" si="1">IF(D$3=$N$5,C5+1,C5)</f>
        <v>44</v>
      </c>
      <c r="E5" s="209">
        <f t="shared" si="1"/>
        <v>44</v>
      </c>
      <c r="F5" s="209">
        <f t="shared" si="1"/>
        <v>44</v>
      </c>
      <c r="G5" s="209">
        <f t="shared" si="1"/>
        <v>44</v>
      </c>
      <c r="H5" s="209">
        <f t="shared" si="1"/>
        <v>44</v>
      </c>
      <c r="I5" s="209">
        <f t="shared" si="1"/>
        <v>44</v>
      </c>
      <c r="J5" s="209">
        <f t="shared" si="1"/>
        <v>44</v>
      </c>
      <c r="K5" s="209">
        <f t="shared" si="1"/>
        <v>44</v>
      </c>
      <c r="L5" s="209">
        <f t="shared" si="1"/>
        <v>44</v>
      </c>
      <c r="M5" s="209">
        <f t="shared" si="1"/>
        <v>44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IF(B$6="",0,'2065'!M11)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IF(B$6="",0,'2065'!M15)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IF(B$6="",0,'2065'!M16)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t="shared" ref="C17:M17" ca="1" si="11">IF(C6="","",IF(C5&lt;5,75000,60000))</f>
        <v/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IF(B$6="",0,'2065'!M18)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IF(B$6="",0,'2065'!M19)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IF(B$6="",0,'2065'!M23)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IF(B$6="",0,'2065'!M24)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'2065'!A25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IF(B4="","",IF(B6="","",IF($D$1-YEAR('2025'!$I$1)&gt;0,"",IF(AND($D$1-YEAR('2025'!$I$1)=0,B3-MONTH('2025'!$I$1)&gt;=1),"",'2055'!M29))))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IF(B6="","",'2065'!M30)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'2065'!A32</f>
        <v>교직원공제비</v>
      </c>
      <c r="B32" s="621" t="str">
        <f ca="1">IF(B$6="","",'2065'!B32)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'2065'!A33</f>
        <v>급식비</v>
      </c>
      <c r="B33" s="621" t="str">
        <f ca="1">IF(B$6="","",'2065'!B33)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IF(B$6="",0,'2065'!M34)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IF(B$6="",0,'2065'!M38)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IF(B$6="",0,'2065'!M39)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'2065'!A42</f>
        <v>12)지출내용입력1</v>
      </c>
      <c r="B42" s="211">
        <f>'2065'!M42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'2065'!A43</f>
        <v>지출내용입력2</v>
      </c>
      <c r="B43" s="211">
        <f>'2065'!M43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'2065'!A44</f>
        <v>지출내용입력3</v>
      </c>
      <c r="B44" s="211">
        <f>'2065'!M44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'2065'!A45</f>
        <v>지출내용입력4</v>
      </c>
      <c r="B45" s="211">
        <f>'2065'!M45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'2065'!A46</f>
        <v>지출내용입력5</v>
      </c>
      <c r="B46" s="211">
        <f>'2065'!M46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'2065'!A47</f>
        <v>지출내용입력6</v>
      </c>
      <c r="B47" s="211">
        <f>'2065'!M47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'2065'!A48</f>
        <v>지출내용입력7</v>
      </c>
      <c r="B48" s="211">
        <f>'2065'!M48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'2065'!A49</f>
        <v>지출내용입력8</v>
      </c>
      <c r="B49" s="211">
        <f>'2065'!M49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'2065'!A50</f>
        <v>지출내용입력9</v>
      </c>
      <c r="B50" s="211">
        <f>'2065'!M50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'2065'!A51</f>
        <v>지출내용입력10</v>
      </c>
      <c r="B51" s="211">
        <f>'2065'!M51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32" t="str">
        <f ca="1">D1</f>
        <v>2066</v>
      </c>
      <c r="B55" s="1232"/>
      <c r="C55" s="1232"/>
      <c r="D55" s="1232"/>
      <c r="E55" s="1232"/>
      <c r="F55" s="1232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2c9Myxc5ytGsPRK+KW+tW+AWNW6GacMA6xbKC1yqm8650vIipxqCXhLh2SMko0vy7uX8lBs6Mx9u8/Xo3MArow==" saltValue="lBjVIp6SyfnS7iIOj4X24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2" priority="8">
      <formula>$E$2="y"</formula>
    </cfRule>
    <cfRule type="expression" dxfId="11" priority="9">
      <formula>$D$2="Y"</formula>
    </cfRule>
    <cfRule type="expression" dxfId="10" priority="10">
      <formula>$F$2="y"</formula>
    </cfRule>
  </conditionalFormatting>
  <conditionalFormatting sqref="B27:M27">
    <cfRule type="expression" dxfId="9" priority="1">
      <formula>$F$2="y"</formula>
    </cfRule>
  </conditionalFormatting>
  <conditionalFormatting sqref="D16">
    <cfRule type="expression" dxfId="8" priority="26">
      <formula>$E$2="y"</formula>
    </cfRule>
    <cfRule type="expression" dxfId="7" priority="27">
      <formula>$E$2="y"</formula>
    </cfRule>
    <cfRule type="expression" dxfId="6" priority="28">
      <formula>$F$2="y"</formula>
    </cfRule>
  </conditionalFormatting>
  <conditionalFormatting sqref="D18">
    <cfRule type="expression" dxfId="5" priority="23">
      <formula>$E$2="y"</formula>
    </cfRule>
    <cfRule type="expression" dxfId="4" priority="24">
      <formula>$E$2="y"</formula>
    </cfRule>
    <cfRule type="expression" dxfId="3" priority="25">
      <formula>$F$2="y"</formula>
    </cfRule>
  </conditionalFormatting>
  <conditionalFormatting sqref="J12:K12">
    <cfRule type="expression" dxfId="2" priority="5">
      <formula>$E$2="y"</formula>
    </cfRule>
    <cfRule type="expression" dxfId="1" priority="6">
      <formula>$D$2="Y"</formula>
    </cfRule>
    <cfRule type="expression" dxfId="0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0769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0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1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3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9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7">
    <pageSetUpPr fitToPage="1"/>
  </sheetPr>
  <dimension ref="A1:N653"/>
  <sheetViews>
    <sheetView zoomScaleNormal="100" zoomScaleSheetLayoutView="100" workbookViewId="0">
      <pane xSplit="2" ySplit="3" topLeftCell="C4" activePane="bottomRight" state="frozen"/>
      <selection pane="topRight"/>
      <selection pane="bottomLeft"/>
      <selection pane="bottomRight" activeCell="Q292" sqref="Q292"/>
    </sheetView>
  </sheetViews>
  <sheetFormatPr baseColWidth="10" defaultColWidth="9" defaultRowHeight="17"/>
  <cols>
    <col min="1" max="2" width="7" style="33" bestFit="1" customWidth="1"/>
    <col min="3" max="3" width="10.5" style="33" bestFit="1" customWidth="1"/>
    <col min="4" max="14" width="9.5" style="33" bestFit="1" customWidth="1"/>
    <col min="15" max="16384" width="9" style="33"/>
  </cols>
  <sheetData>
    <row r="1" spans="1:14" ht="27">
      <c r="A1" s="1191" t="s">
        <v>384</v>
      </c>
      <c r="B1" s="1192"/>
      <c r="C1" s="1192"/>
      <c r="D1" s="1192"/>
      <c r="E1" s="1192"/>
      <c r="F1" s="1192"/>
      <c r="G1" s="1192"/>
      <c r="H1" s="1192"/>
      <c r="I1" s="1192"/>
      <c r="J1" s="1192"/>
      <c r="K1" s="1192"/>
      <c r="L1" s="1192"/>
      <c r="M1" s="1192"/>
      <c r="N1" s="1193"/>
    </row>
    <row r="2" spans="1:14" ht="40.5" customHeight="1">
      <c r="A2" s="1194" t="s">
        <v>652</v>
      </c>
      <c r="B2" s="1194"/>
      <c r="C2" s="37"/>
      <c r="D2" s="1194" t="s">
        <v>638</v>
      </c>
      <c r="E2" s="1194"/>
      <c r="F2" s="1194"/>
      <c r="G2" s="1194"/>
      <c r="H2" s="1194"/>
      <c r="I2" s="1194"/>
      <c r="J2" s="1194"/>
      <c r="K2" s="1194"/>
      <c r="L2" s="1194"/>
      <c r="M2" s="1194"/>
      <c r="N2" s="1194"/>
    </row>
    <row r="3" spans="1:14" ht="24" customHeight="1">
      <c r="A3" s="37" t="s">
        <v>486</v>
      </c>
      <c r="B3" s="37" t="s">
        <v>472</v>
      </c>
      <c r="C3" s="37" t="s">
        <v>469</v>
      </c>
      <c r="D3" s="37">
        <v>1</v>
      </c>
      <c r="E3" s="37">
        <v>2</v>
      </c>
      <c r="F3" s="37">
        <v>3</v>
      </c>
      <c r="G3" s="37">
        <v>4</v>
      </c>
      <c r="H3" s="37">
        <v>5</v>
      </c>
      <c r="I3" s="37">
        <v>6</v>
      </c>
      <c r="J3" s="37">
        <v>7</v>
      </c>
      <c r="K3" s="37">
        <v>8</v>
      </c>
      <c r="L3" s="37">
        <v>9</v>
      </c>
      <c r="M3" s="37">
        <v>10</v>
      </c>
      <c r="N3" s="37">
        <v>11</v>
      </c>
    </row>
    <row r="4" spans="1:14">
      <c r="A4" s="35">
        <v>770</v>
      </c>
      <c r="B4" s="35">
        <v>775</v>
      </c>
      <c r="C4" s="34">
        <f>A4*1000</f>
        <v>770000</v>
      </c>
      <c r="D4" s="36"/>
      <c r="E4" s="35"/>
      <c r="F4" s="35"/>
      <c r="G4" s="35"/>
      <c r="H4" s="35"/>
      <c r="I4" s="35"/>
      <c r="J4" s="35"/>
      <c r="K4" s="35"/>
      <c r="L4" s="35"/>
      <c r="M4" s="35"/>
      <c r="N4" s="35"/>
    </row>
    <row r="5" spans="1:14">
      <c r="A5" s="35">
        <v>775</v>
      </c>
      <c r="B5" s="35">
        <v>780</v>
      </c>
      <c r="C5" s="34">
        <f t="shared" ref="C5:C67" si="0">A5*1000</f>
        <v>775000</v>
      </c>
      <c r="D5" s="36"/>
      <c r="E5" s="35"/>
      <c r="F5" s="35"/>
      <c r="G5" s="35"/>
      <c r="H5" s="35"/>
      <c r="I5" s="35"/>
      <c r="J5" s="35"/>
      <c r="K5" s="35"/>
      <c r="L5" s="35"/>
      <c r="M5" s="35"/>
      <c r="N5" s="35"/>
    </row>
    <row r="6" spans="1:14">
      <c r="A6" s="35">
        <v>780</v>
      </c>
      <c r="B6" s="35">
        <v>785</v>
      </c>
      <c r="C6" s="34">
        <f t="shared" si="0"/>
        <v>780000</v>
      </c>
      <c r="D6" s="36"/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1:14">
      <c r="A7" s="35">
        <v>785</v>
      </c>
      <c r="B7" s="35">
        <v>790</v>
      </c>
      <c r="C7" s="34">
        <f t="shared" si="0"/>
        <v>785000</v>
      </c>
      <c r="D7" s="36"/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1:14">
      <c r="A8" s="35">
        <v>790</v>
      </c>
      <c r="B8" s="35">
        <v>795</v>
      </c>
      <c r="C8" s="34">
        <f t="shared" si="0"/>
        <v>790000</v>
      </c>
      <c r="D8" s="36"/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1:14">
      <c r="A9" s="35">
        <v>795</v>
      </c>
      <c r="B9" s="35">
        <v>800</v>
      </c>
      <c r="C9" s="34">
        <f t="shared" si="0"/>
        <v>795000</v>
      </c>
      <c r="D9" s="36"/>
      <c r="E9" s="35"/>
      <c r="F9" s="35"/>
      <c r="G9" s="35"/>
      <c r="H9" s="35"/>
      <c r="I9" s="35"/>
      <c r="J9" s="35"/>
      <c r="K9" s="35"/>
      <c r="L9" s="35"/>
      <c r="M9" s="35"/>
      <c r="N9" s="35"/>
    </row>
    <row r="10" spans="1:14">
      <c r="A10" s="35">
        <v>800</v>
      </c>
      <c r="B10" s="35">
        <v>805</v>
      </c>
      <c r="C10" s="34">
        <f t="shared" si="0"/>
        <v>800000</v>
      </c>
      <c r="D10" s="36"/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1:14">
      <c r="A11" s="35">
        <v>805</v>
      </c>
      <c r="B11" s="35">
        <v>810</v>
      </c>
      <c r="C11" s="34">
        <f t="shared" si="0"/>
        <v>805000</v>
      </c>
      <c r="D11" s="36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1:14">
      <c r="A12" s="35">
        <v>810</v>
      </c>
      <c r="B12" s="35">
        <v>815</v>
      </c>
      <c r="C12" s="34">
        <f t="shared" si="0"/>
        <v>810000</v>
      </c>
      <c r="D12" s="36"/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1:14">
      <c r="A13" s="35">
        <v>815</v>
      </c>
      <c r="B13" s="35">
        <v>820</v>
      </c>
      <c r="C13" s="34">
        <f t="shared" si="0"/>
        <v>815000</v>
      </c>
      <c r="D13" s="36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4" spans="1:14">
      <c r="A14" s="35">
        <v>820</v>
      </c>
      <c r="B14" s="35">
        <v>825</v>
      </c>
      <c r="C14" s="34">
        <f t="shared" si="0"/>
        <v>820000</v>
      </c>
      <c r="D14" s="36"/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1:14">
      <c r="A15" s="35">
        <v>825</v>
      </c>
      <c r="B15" s="35">
        <v>830</v>
      </c>
      <c r="C15" s="34">
        <f t="shared" si="0"/>
        <v>825000</v>
      </c>
      <c r="D15" s="36"/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1:14">
      <c r="A16" s="35">
        <v>830</v>
      </c>
      <c r="B16" s="35">
        <v>835</v>
      </c>
      <c r="C16" s="34">
        <f t="shared" si="0"/>
        <v>830000</v>
      </c>
      <c r="D16" s="36"/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1:14">
      <c r="A17" s="35">
        <v>835</v>
      </c>
      <c r="B17" s="35">
        <v>840</v>
      </c>
      <c r="C17" s="34">
        <f t="shared" si="0"/>
        <v>835000</v>
      </c>
      <c r="D17" s="36"/>
      <c r="E17" s="35"/>
      <c r="F17" s="35"/>
      <c r="G17" s="35"/>
      <c r="H17" s="35"/>
      <c r="I17" s="35"/>
      <c r="J17" s="35"/>
      <c r="K17" s="35"/>
      <c r="L17" s="35"/>
      <c r="M17" s="35"/>
      <c r="N17" s="35"/>
    </row>
    <row r="18" spans="1:14">
      <c r="A18" s="35">
        <v>840</v>
      </c>
      <c r="B18" s="35">
        <v>845</v>
      </c>
      <c r="C18" s="34">
        <f t="shared" si="0"/>
        <v>840000</v>
      </c>
      <c r="D18" s="36"/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1:14">
      <c r="A19" s="35">
        <v>845</v>
      </c>
      <c r="B19" s="35">
        <v>850</v>
      </c>
      <c r="C19" s="34">
        <f t="shared" si="0"/>
        <v>845000</v>
      </c>
      <c r="D19" s="36"/>
      <c r="E19" s="35"/>
      <c r="F19" s="35"/>
      <c r="G19" s="35"/>
      <c r="H19" s="35"/>
      <c r="I19" s="35"/>
      <c r="J19" s="35"/>
      <c r="K19" s="35"/>
      <c r="L19" s="35"/>
      <c r="M19" s="35"/>
      <c r="N19" s="35"/>
    </row>
    <row r="20" spans="1:14">
      <c r="A20" s="35">
        <v>850</v>
      </c>
      <c r="B20" s="35">
        <v>855</v>
      </c>
      <c r="C20" s="34">
        <f t="shared" si="0"/>
        <v>850000</v>
      </c>
      <c r="D20" s="36"/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1:14">
      <c r="A21" s="35">
        <v>855</v>
      </c>
      <c r="B21" s="35">
        <v>860</v>
      </c>
      <c r="C21" s="34">
        <f t="shared" si="0"/>
        <v>855000</v>
      </c>
      <c r="D21" s="36"/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1:14">
      <c r="A22" s="35">
        <v>860</v>
      </c>
      <c r="B22" s="35">
        <v>865</v>
      </c>
      <c r="C22" s="34">
        <f t="shared" si="0"/>
        <v>860000</v>
      </c>
      <c r="D22" s="36"/>
      <c r="E22" s="35"/>
      <c r="F22" s="35"/>
      <c r="G22" s="35"/>
      <c r="H22" s="35"/>
      <c r="I22" s="35"/>
      <c r="J22" s="35"/>
      <c r="K22" s="35"/>
      <c r="L22" s="35"/>
      <c r="M22" s="35"/>
      <c r="N22" s="35"/>
    </row>
    <row r="23" spans="1:14">
      <c r="A23" s="35">
        <v>865</v>
      </c>
      <c r="B23" s="35">
        <v>870</v>
      </c>
      <c r="C23" s="34">
        <f t="shared" si="0"/>
        <v>865000</v>
      </c>
      <c r="D23" s="36"/>
      <c r="E23" s="35"/>
      <c r="F23" s="35"/>
      <c r="G23" s="35"/>
      <c r="H23" s="35"/>
      <c r="I23" s="35"/>
      <c r="J23" s="35"/>
      <c r="K23" s="35"/>
      <c r="L23" s="35"/>
      <c r="M23" s="35"/>
      <c r="N23" s="35"/>
    </row>
    <row r="24" spans="1:14">
      <c r="A24" s="35">
        <v>870</v>
      </c>
      <c r="B24" s="35">
        <v>875</v>
      </c>
      <c r="C24" s="34">
        <f t="shared" si="0"/>
        <v>870000</v>
      </c>
      <c r="D24" s="36"/>
      <c r="E24" s="35"/>
      <c r="F24" s="35"/>
      <c r="G24" s="35"/>
      <c r="H24" s="35"/>
      <c r="I24" s="35"/>
      <c r="J24" s="35"/>
      <c r="K24" s="35"/>
      <c r="L24" s="35"/>
      <c r="M24" s="35"/>
      <c r="N24" s="35"/>
    </row>
    <row r="25" spans="1:14">
      <c r="A25" s="35">
        <v>875</v>
      </c>
      <c r="B25" s="35">
        <v>880</v>
      </c>
      <c r="C25" s="34">
        <f t="shared" si="0"/>
        <v>875000</v>
      </c>
      <c r="D25" s="36"/>
      <c r="E25" s="35"/>
      <c r="F25" s="35"/>
      <c r="G25" s="35"/>
      <c r="H25" s="35"/>
      <c r="I25" s="35"/>
      <c r="J25" s="35"/>
      <c r="K25" s="35"/>
      <c r="L25" s="35"/>
      <c r="M25" s="35"/>
      <c r="N25" s="35"/>
    </row>
    <row r="26" spans="1:14">
      <c r="A26" s="35">
        <v>880</v>
      </c>
      <c r="B26" s="35">
        <v>885</v>
      </c>
      <c r="C26" s="34">
        <f t="shared" si="0"/>
        <v>880000</v>
      </c>
      <c r="D26" s="36"/>
      <c r="E26" s="35"/>
      <c r="F26" s="35"/>
      <c r="G26" s="35"/>
      <c r="H26" s="35"/>
      <c r="I26" s="35"/>
      <c r="J26" s="35"/>
      <c r="K26" s="35"/>
      <c r="L26" s="35"/>
      <c r="M26" s="35"/>
      <c r="N26" s="35"/>
    </row>
    <row r="27" spans="1:14">
      <c r="A27" s="35">
        <v>885</v>
      </c>
      <c r="B27" s="35">
        <v>890</v>
      </c>
      <c r="C27" s="34">
        <f t="shared" si="0"/>
        <v>885000</v>
      </c>
      <c r="D27" s="36"/>
      <c r="E27" s="35"/>
      <c r="F27" s="35"/>
      <c r="G27" s="35"/>
      <c r="H27" s="35"/>
      <c r="I27" s="35"/>
      <c r="J27" s="35"/>
      <c r="K27" s="35"/>
      <c r="L27" s="35"/>
      <c r="M27" s="35"/>
      <c r="N27" s="35"/>
    </row>
    <row r="28" spans="1:14">
      <c r="A28" s="35">
        <v>890</v>
      </c>
      <c r="B28" s="35">
        <v>895</v>
      </c>
      <c r="C28" s="34">
        <f t="shared" si="0"/>
        <v>890000</v>
      </c>
      <c r="D28" s="36"/>
      <c r="E28" s="35"/>
      <c r="F28" s="35"/>
      <c r="G28" s="35"/>
      <c r="H28" s="35"/>
      <c r="I28" s="35"/>
      <c r="J28" s="35"/>
      <c r="K28" s="35"/>
      <c r="L28" s="35"/>
      <c r="M28" s="35"/>
      <c r="N28" s="35"/>
    </row>
    <row r="29" spans="1:14">
      <c r="A29" s="35">
        <v>895</v>
      </c>
      <c r="B29" s="35">
        <v>900</v>
      </c>
      <c r="C29" s="34">
        <f t="shared" si="0"/>
        <v>895000</v>
      </c>
      <c r="D29" s="36"/>
      <c r="E29" s="35"/>
      <c r="F29" s="35"/>
      <c r="G29" s="35"/>
      <c r="H29" s="35"/>
      <c r="I29" s="35"/>
      <c r="J29" s="35"/>
      <c r="K29" s="35"/>
      <c r="L29" s="35"/>
      <c r="M29" s="35"/>
      <c r="N29" s="35"/>
    </row>
    <row r="30" spans="1:14">
      <c r="A30" s="35">
        <v>900</v>
      </c>
      <c r="B30" s="35">
        <v>905</v>
      </c>
      <c r="C30" s="34">
        <f t="shared" si="0"/>
        <v>900000</v>
      </c>
      <c r="D30" s="36"/>
      <c r="E30" s="35"/>
      <c r="F30" s="35"/>
      <c r="G30" s="35"/>
      <c r="H30" s="35"/>
      <c r="I30" s="35"/>
      <c r="J30" s="35"/>
      <c r="K30" s="35"/>
      <c r="L30" s="35"/>
      <c r="M30" s="35"/>
      <c r="N30" s="35"/>
    </row>
    <row r="31" spans="1:14">
      <c r="A31" s="35">
        <v>905</v>
      </c>
      <c r="B31" s="35">
        <v>910</v>
      </c>
      <c r="C31" s="34">
        <f t="shared" si="0"/>
        <v>905000</v>
      </c>
      <c r="D31" s="36"/>
      <c r="E31" s="35"/>
      <c r="F31" s="35"/>
      <c r="G31" s="35"/>
      <c r="H31" s="35"/>
      <c r="I31" s="35"/>
      <c r="J31" s="35"/>
      <c r="K31" s="35"/>
      <c r="L31" s="35"/>
      <c r="M31" s="35"/>
      <c r="N31" s="35"/>
    </row>
    <row r="32" spans="1:14">
      <c r="A32" s="35">
        <v>910</v>
      </c>
      <c r="B32" s="35">
        <v>915</v>
      </c>
      <c r="C32" s="34">
        <f t="shared" si="0"/>
        <v>910000</v>
      </c>
      <c r="D32" s="36"/>
      <c r="E32" s="35"/>
      <c r="F32" s="35"/>
      <c r="G32" s="35"/>
      <c r="H32" s="35"/>
      <c r="I32" s="35"/>
      <c r="J32" s="35"/>
      <c r="K32" s="35"/>
      <c r="L32" s="35"/>
      <c r="M32" s="35"/>
      <c r="N32" s="35"/>
    </row>
    <row r="33" spans="1:14">
      <c r="A33" s="35">
        <v>915</v>
      </c>
      <c r="B33" s="35">
        <v>920</v>
      </c>
      <c r="C33" s="34">
        <f t="shared" si="0"/>
        <v>915000</v>
      </c>
      <c r="D33" s="36"/>
      <c r="E33" s="35"/>
      <c r="F33" s="35"/>
      <c r="G33" s="35"/>
      <c r="H33" s="35"/>
      <c r="I33" s="35"/>
      <c r="J33" s="35"/>
      <c r="K33" s="35"/>
      <c r="L33" s="35"/>
      <c r="M33" s="35"/>
      <c r="N33" s="35"/>
    </row>
    <row r="34" spans="1:14">
      <c r="A34" s="35">
        <v>920</v>
      </c>
      <c r="B34" s="35">
        <v>925</v>
      </c>
      <c r="C34" s="34">
        <f t="shared" si="0"/>
        <v>920000</v>
      </c>
      <c r="D34" s="36"/>
      <c r="E34" s="35"/>
      <c r="F34" s="35"/>
      <c r="G34" s="35"/>
      <c r="H34" s="35"/>
      <c r="I34" s="35"/>
      <c r="J34" s="35"/>
      <c r="K34" s="35"/>
      <c r="L34" s="35"/>
      <c r="M34" s="35"/>
      <c r="N34" s="35"/>
    </row>
    <row r="35" spans="1:14">
      <c r="A35" s="35">
        <v>925</v>
      </c>
      <c r="B35" s="35">
        <v>930</v>
      </c>
      <c r="C35" s="34">
        <f t="shared" si="0"/>
        <v>925000</v>
      </c>
      <c r="D35" s="36"/>
      <c r="E35" s="35"/>
      <c r="F35" s="35"/>
      <c r="G35" s="35"/>
      <c r="H35" s="35"/>
      <c r="I35" s="35"/>
      <c r="J35" s="35"/>
      <c r="K35" s="35"/>
      <c r="L35" s="35"/>
      <c r="M35" s="35"/>
      <c r="N35" s="35"/>
    </row>
    <row r="36" spans="1:14">
      <c r="A36" s="35">
        <v>930</v>
      </c>
      <c r="B36" s="35">
        <v>935</v>
      </c>
      <c r="C36" s="34">
        <f t="shared" si="0"/>
        <v>930000</v>
      </c>
      <c r="D36" s="36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14">
      <c r="A37" s="35">
        <v>935</v>
      </c>
      <c r="B37" s="35">
        <v>940</v>
      </c>
      <c r="C37" s="34">
        <f t="shared" si="0"/>
        <v>935000</v>
      </c>
      <c r="D37" s="36"/>
      <c r="E37" s="35"/>
      <c r="F37" s="35"/>
      <c r="G37" s="35"/>
      <c r="H37" s="35"/>
      <c r="I37" s="35"/>
      <c r="J37" s="35"/>
      <c r="K37" s="35"/>
      <c r="L37" s="35"/>
      <c r="M37" s="35"/>
      <c r="N37" s="35"/>
    </row>
    <row r="38" spans="1:14">
      <c r="A38" s="35">
        <v>940</v>
      </c>
      <c r="B38" s="35">
        <v>945</v>
      </c>
      <c r="C38" s="34">
        <f t="shared" si="0"/>
        <v>940000</v>
      </c>
      <c r="D38" s="36"/>
      <c r="E38" s="35"/>
      <c r="F38" s="35"/>
      <c r="G38" s="35"/>
      <c r="H38" s="35"/>
      <c r="I38" s="35"/>
      <c r="J38" s="35"/>
      <c r="K38" s="35"/>
      <c r="L38" s="35"/>
      <c r="M38" s="35"/>
      <c r="N38" s="35"/>
    </row>
    <row r="39" spans="1:14">
      <c r="A39" s="35">
        <v>945</v>
      </c>
      <c r="B39" s="35">
        <v>950</v>
      </c>
      <c r="C39" s="34">
        <f t="shared" si="0"/>
        <v>945000</v>
      </c>
      <c r="D39" s="36"/>
      <c r="E39" s="35"/>
      <c r="F39" s="35"/>
      <c r="G39" s="35"/>
      <c r="H39" s="35"/>
      <c r="I39" s="35"/>
      <c r="J39" s="35"/>
      <c r="K39" s="35"/>
      <c r="L39" s="35"/>
      <c r="M39" s="35"/>
      <c r="N39" s="35"/>
    </row>
    <row r="40" spans="1:14">
      <c r="A40" s="35">
        <v>950</v>
      </c>
      <c r="B40" s="35">
        <v>955</v>
      </c>
      <c r="C40" s="34">
        <f t="shared" si="0"/>
        <v>950000</v>
      </c>
      <c r="D40" s="36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14">
      <c r="A41" s="35">
        <v>955</v>
      </c>
      <c r="B41" s="35">
        <v>960</v>
      </c>
      <c r="C41" s="34">
        <f t="shared" si="0"/>
        <v>955000</v>
      </c>
      <c r="D41" s="36"/>
      <c r="E41" s="35"/>
      <c r="F41" s="35"/>
      <c r="G41" s="35"/>
      <c r="H41" s="35"/>
      <c r="I41" s="35"/>
      <c r="J41" s="35"/>
      <c r="K41" s="35"/>
      <c r="L41" s="35"/>
      <c r="M41" s="35"/>
      <c r="N41" s="35"/>
    </row>
    <row r="42" spans="1:14">
      <c r="A42" s="35">
        <v>960</v>
      </c>
      <c r="B42" s="35">
        <v>965</v>
      </c>
      <c r="C42" s="34">
        <f t="shared" si="0"/>
        <v>960000</v>
      </c>
      <c r="D42" s="36"/>
      <c r="E42" s="35"/>
      <c r="F42" s="35"/>
      <c r="G42" s="35"/>
      <c r="H42" s="35"/>
      <c r="I42" s="35"/>
      <c r="J42" s="35"/>
      <c r="K42" s="35"/>
      <c r="L42" s="35"/>
      <c r="M42" s="35"/>
      <c r="N42" s="35"/>
    </row>
    <row r="43" spans="1:14">
      <c r="A43" s="35">
        <v>965</v>
      </c>
      <c r="B43" s="35">
        <v>970</v>
      </c>
      <c r="C43" s="34">
        <f t="shared" si="0"/>
        <v>965000</v>
      </c>
      <c r="D43" s="36"/>
      <c r="E43" s="35"/>
      <c r="F43" s="35"/>
      <c r="G43" s="35"/>
      <c r="H43" s="35"/>
      <c r="I43" s="35"/>
      <c r="J43" s="35"/>
      <c r="K43" s="35"/>
      <c r="L43" s="35"/>
      <c r="M43" s="35"/>
      <c r="N43" s="35"/>
    </row>
    <row r="44" spans="1:14">
      <c r="A44" s="35">
        <v>970</v>
      </c>
      <c r="B44" s="35">
        <v>975</v>
      </c>
      <c r="C44" s="34">
        <f t="shared" si="0"/>
        <v>970000</v>
      </c>
      <c r="D44" s="36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pans="1:14">
      <c r="A45" s="35">
        <v>975</v>
      </c>
      <c r="B45" s="35">
        <v>980</v>
      </c>
      <c r="C45" s="34">
        <f t="shared" si="0"/>
        <v>975000</v>
      </c>
      <c r="D45" s="36"/>
      <c r="E45" s="35"/>
      <c r="F45" s="35"/>
      <c r="G45" s="35"/>
      <c r="H45" s="35"/>
      <c r="I45" s="35"/>
      <c r="J45" s="35"/>
      <c r="K45" s="35"/>
      <c r="L45" s="35"/>
      <c r="M45" s="35"/>
      <c r="N45" s="35"/>
    </row>
    <row r="46" spans="1:14">
      <c r="A46" s="35">
        <v>980</v>
      </c>
      <c r="B46" s="35">
        <v>985</v>
      </c>
      <c r="C46" s="34">
        <f t="shared" si="0"/>
        <v>980000</v>
      </c>
      <c r="D46" s="36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14">
      <c r="A47" s="35">
        <v>985</v>
      </c>
      <c r="B47" s="35">
        <v>990</v>
      </c>
      <c r="C47" s="34">
        <f t="shared" si="0"/>
        <v>985000</v>
      </c>
      <c r="D47" s="36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1:14">
      <c r="A48" s="35">
        <v>990</v>
      </c>
      <c r="B48" s="35">
        <v>995</v>
      </c>
      <c r="C48" s="34">
        <f t="shared" si="0"/>
        <v>990000</v>
      </c>
      <c r="D48" s="36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1:14">
      <c r="A49" s="35">
        <v>995</v>
      </c>
      <c r="B49" s="34">
        <v>1000</v>
      </c>
      <c r="C49" s="34">
        <f t="shared" si="0"/>
        <v>995000</v>
      </c>
      <c r="D49" s="36"/>
      <c r="E49" s="35"/>
      <c r="F49" s="35"/>
      <c r="G49" s="35"/>
      <c r="H49" s="35"/>
      <c r="I49" s="35"/>
      <c r="J49" s="35"/>
      <c r="K49" s="35"/>
      <c r="L49" s="35"/>
      <c r="M49" s="35"/>
      <c r="N49" s="35"/>
    </row>
    <row r="50" spans="1:14">
      <c r="A50" s="34">
        <v>1000</v>
      </c>
      <c r="B50" s="34">
        <v>1005</v>
      </c>
      <c r="C50" s="34">
        <f t="shared" si="0"/>
        <v>1000000</v>
      </c>
      <c r="D50" s="36"/>
      <c r="E50" s="35"/>
      <c r="F50" s="35"/>
      <c r="G50" s="35"/>
      <c r="H50" s="35"/>
      <c r="I50" s="35"/>
      <c r="J50" s="35"/>
      <c r="K50" s="35"/>
      <c r="L50" s="35"/>
      <c r="M50" s="35"/>
      <c r="N50" s="35"/>
    </row>
    <row r="51" spans="1:14">
      <c r="A51" s="34">
        <v>1005</v>
      </c>
      <c r="B51" s="34">
        <v>1010</v>
      </c>
      <c r="C51" s="34">
        <f t="shared" si="0"/>
        <v>1005000</v>
      </c>
      <c r="D51" s="36"/>
      <c r="E51" s="35"/>
      <c r="F51" s="35"/>
      <c r="G51" s="35"/>
      <c r="H51" s="35"/>
      <c r="I51" s="35"/>
      <c r="J51" s="35"/>
      <c r="K51" s="35"/>
      <c r="L51" s="35"/>
      <c r="M51" s="35"/>
      <c r="N51" s="35"/>
    </row>
    <row r="52" spans="1:14">
      <c r="A52" s="34">
        <v>1010</v>
      </c>
      <c r="B52" s="34">
        <v>1015</v>
      </c>
      <c r="C52" s="34">
        <f t="shared" si="0"/>
        <v>1010000</v>
      </c>
      <c r="D52" s="36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>
      <c r="A53" s="34">
        <v>1015</v>
      </c>
      <c r="B53" s="34">
        <v>1020</v>
      </c>
      <c r="C53" s="34">
        <f t="shared" si="0"/>
        <v>1015000</v>
      </c>
      <c r="D53" s="36"/>
      <c r="E53" s="35"/>
      <c r="F53" s="35"/>
      <c r="G53" s="35"/>
      <c r="H53" s="35"/>
      <c r="I53" s="35"/>
      <c r="J53" s="35"/>
      <c r="K53" s="35"/>
      <c r="L53" s="35"/>
      <c r="M53" s="35"/>
      <c r="N53" s="35"/>
    </row>
    <row r="54" spans="1:14">
      <c r="A54" s="34">
        <v>1020</v>
      </c>
      <c r="B54" s="34">
        <v>1025</v>
      </c>
      <c r="C54" s="34">
        <f t="shared" si="0"/>
        <v>1020000</v>
      </c>
      <c r="D54" s="36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>
      <c r="A55" s="34">
        <v>1025</v>
      </c>
      <c r="B55" s="34">
        <v>1030</v>
      </c>
      <c r="C55" s="34">
        <f t="shared" si="0"/>
        <v>1025000</v>
      </c>
      <c r="D55" s="36"/>
      <c r="E55" s="35"/>
      <c r="F55" s="35"/>
      <c r="G55" s="35"/>
      <c r="H55" s="35"/>
      <c r="I55" s="35"/>
      <c r="J55" s="35"/>
      <c r="K55" s="35"/>
      <c r="L55" s="35"/>
      <c r="M55" s="35"/>
      <c r="N55" s="35"/>
    </row>
    <row r="56" spans="1:14">
      <c r="A56" s="34">
        <v>1030</v>
      </c>
      <c r="B56" s="34">
        <v>1035</v>
      </c>
      <c r="C56" s="34">
        <f t="shared" si="0"/>
        <v>1030000</v>
      </c>
      <c r="D56" s="36"/>
      <c r="E56" s="35"/>
      <c r="F56" s="35"/>
      <c r="G56" s="35"/>
      <c r="H56" s="35"/>
      <c r="I56" s="35"/>
      <c r="J56" s="35"/>
      <c r="K56" s="35"/>
      <c r="L56" s="35"/>
      <c r="M56" s="35"/>
      <c r="N56" s="35"/>
    </row>
    <row r="57" spans="1:14">
      <c r="A57" s="34">
        <v>1035</v>
      </c>
      <c r="B57" s="34">
        <v>1040</v>
      </c>
      <c r="C57" s="34">
        <f t="shared" si="0"/>
        <v>1035000</v>
      </c>
      <c r="D57" s="36"/>
      <c r="E57" s="35"/>
      <c r="F57" s="35"/>
      <c r="G57" s="35"/>
      <c r="H57" s="35"/>
      <c r="I57" s="35"/>
      <c r="J57" s="35"/>
      <c r="K57" s="35"/>
      <c r="L57" s="35"/>
      <c r="M57" s="35"/>
      <c r="N57" s="35"/>
    </row>
    <row r="58" spans="1:14">
      <c r="A58" s="34">
        <v>1040</v>
      </c>
      <c r="B58" s="34">
        <v>1045</v>
      </c>
      <c r="C58" s="34">
        <f t="shared" si="0"/>
        <v>1040000</v>
      </c>
      <c r="D58" s="36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>
      <c r="A59" s="34">
        <v>1045</v>
      </c>
      <c r="B59" s="34">
        <v>1050</v>
      </c>
      <c r="C59" s="34">
        <f t="shared" si="0"/>
        <v>1045000</v>
      </c>
      <c r="D59" s="36"/>
      <c r="E59" s="35"/>
      <c r="F59" s="35"/>
      <c r="G59" s="35"/>
      <c r="H59" s="35"/>
      <c r="I59" s="35"/>
      <c r="J59" s="35"/>
      <c r="K59" s="35"/>
      <c r="L59" s="35"/>
      <c r="M59" s="35"/>
      <c r="N59" s="35"/>
    </row>
    <row r="60" spans="1:14">
      <c r="A60" s="34">
        <v>1050</v>
      </c>
      <c r="B60" s="34">
        <v>1055</v>
      </c>
      <c r="C60" s="34">
        <f t="shared" si="0"/>
        <v>1050000</v>
      </c>
      <c r="D60" s="36"/>
      <c r="E60" s="35"/>
      <c r="F60" s="35"/>
      <c r="G60" s="35"/>
      <c r="H60" s="35"/>
      <c r="I60" s="35"/>
      <c r="J60" s="35"/>
      <c r="K60" s="35"/>
      <c r="L60" s="35"/>
      <c r="M60" s="35"/>
      <c r="N60" s="35"/>
    </row>
    <row r="61" spans="1:14">
      <c r="A61" s="34">
        <v>1055</v>
      </c>
      <c r="B61" s="34">
        <v>1060</v>
      </c>
      <c r="C61" s="34">
        <f t="shared" si="0"/>
        <v>1055000</v>
      </c>
      <c r="D61" s="36"/>
      <c r="E61" s="35"/>
      <c r="F61" s="35"/>
      <c r="G61" s="35"/>
      <c r="H61" s="35"/>
      <c r="I61" s="35"/>
      <c r="J61" s="35"/>
      <c r="K61" s="35"/>
      <c r="L61" s="35"/>
      <c r="M61" s="35"/>
      <c r="N61" s="35"/>
    </row>
    <row r="62" spans="1:14">
      <c r="A62" s="34">
        <v>1060</v>
      </c>
      <c r="B62" s="34">
        <v>1065</v>
      </c>
      <c r="C62" s="34">
        <f t="shared" si="0"/>
        <v>1060000</v>
      </c>
      <c r="D62" s="34">
        <v>1040</v>
      </c>
      <c r="E62" s="35"/>
      <c r="F62" s="35"/>
      <c r="G62" s="35"/>
      <c r="H62" s="35"/>
      <c r="I62" s="35"/>
      <c r="J62" s="35"/>
      <c r="K62" s="35"/>
      <c r="L62" s="35"/>
      <c r="M62" s="35"/>
      <c r="N62" s="35"/>
    </row>
    <row r="63" spans="1:14">
      <c r="A63" s="34">
        <v>1065</v>
      </c>
      <c r="B63" s="34">
        <v>1070</v>
      </c>
      <c r="C63" s="34">
        <f t="shared" si="0"/>
        <v>1065000</v>
      </c>
      <c r="D63" s="34">
        <v>1110</v>
      </c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4" spans="1:14">
      <c r="A64" s="34">
        <v>1070</v>
      </c>
      <c r="B64" s="34">
        <v>1075</v>
      </c>
      <c r="C64" s="34">
        <f t="shared" si="0"/>
        <v>1070000</v>
      </c>
      <c r="D64" s="34">
        <v>1180</v>
      </c>
      <c r="E64" s="35"/>
      <c r="F64" s="35"/>
      <c r="G64" s="35"/>
      <c r="H64" s="35"/>
      <c r="I64" s="35"/>
      <c r="J64" s="35"/>
      <c r="K64" s="35"/>
      <c r="L64" s="35"/>
      <c r="M64" s="35"/>
      <c r="N64" s="35"/>
    </row>
    <row r="65" spans="1:14">
      <c r="A65" s="34">
        <v>1075</v>
      </c>
      <c r="B65" s="34">
        <v>1080</v>
      </c>
      <c r="C65" s="34">
        <f t="shared" si="0"/>
        <v>1075000</v>
      </c>
      <c r="D65" s="34">
        <v>1250</v>
      </c>
      <c r="E65" s="35"/>
      <c r="F65" s="35"/>
      <c r="G65" s="35"/>
      <c r="H65" s="35"/>
      <c r="I65" s="35"/>
      <c r="J65" s="35"/>
      <c r="K65" s="35"/>
      <c r="L65" s="35"/>
      <c r="M65" s="35"/>
      <c r="N65" s="35"/>
    </row>
    <row r="66" spans="1:14">
      <c r="A66" s="34">
        <v>1080</v>
      </c>
      <c r="B66" s="34">
        <v>1085</v>
      </c>
      <c r="C66" s="34">
        <f t="shared" si="0"/>
        <v>1080000</v>
      </c>
      <c r="D66" s="34">
        <v>1320</v>
      </c>
      <c r="E66" s="35"/>
      <c r="F66" s="35"/>
      <c r="G66" s="35"/>
      <c r="H66" s="35"/>
      <c r="I66" s="35"/>
      <c r="J66" s="35"/>
      <c r="K66" s="35"/>
      <c r="L66" s="35"/>
      <c r="M66" s="35"/>
      <c r="N66" s="35"/>
    </row>
    <row r="67" spans="1:14">
      <c r="A67" s="34">
        <v>1085</v>
      </c>
      <c r="B67" s="34">
        <v>1090</v>
      </c>
      <c r="C67" s="34">
        <f t="shared" si="0"/>
        <v>1085000</v>
      </c>
      <c r="D67" s="34">
        <v>1390</v>
      </c>
      <c r="E67" s="35"/>
      <c r="F67" s="35"/>
      <c r="G67" s="35"/>
      <c r="H67" s="35"/>
      <c r="I67" s="35"/>
      <c r="J67" s="35"/>
      <c r="K67" s="35"/>
      <c r="L67" s="35"/>
      <c r="M67" s="35"/>
      <c r="N67" s="35"/>
    </row>
    <row r="68" spans="1:14">
      <c r="A68" s="34">
        <v>1090</v>
      </c>
      <c r="B68" s="34">
        <v>1095</v>
      </c>
      <c r="C68" s="34">
        <f t="shared" ref="C68:C131" si="1">A68*1000</f>
        <v>1090000</v>
      </c>
      <c r="D68" s="34">
        <v>1460</v>
      </c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34">
        <v>1095</v>
      </c>
      <c r="B69" s="34">
        <v>1100</v>
      </c>
      <c r="C69" s="34">
        <f t="shared" si="1"/>
        <v>1095000</v>
      </c>
      <c r="D69" s="34">
        <v>1530</v>
      </c>
      <c r="E69" s="35"/>
      <c r="F69" s="35"/>
      <c r="G69" s="35"/>
      <c r="H69" s="35"/>
      <c r="I69" s="35"/>
      <c r="J69" s="35"/>
      <c r="K69" s="35"/>
      <c r="L69" s="35"/>
      <c r="M69" s="35"/>
      <c r="N69" s="35"/>
    </row>
    <row r="70" spans="1:14">
      <c r="A70" s="34">
        <v>1100</v>
      </c>
      <c r="B70" s="34">
        <v>1105</v>
      </c>
      <c r="C70" s="34">
        <f t="shared" si="1"/>
        <v>1100000</v>
      </c>
      <c r="D70" s="34">
        <v>1600</v>
      </c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34">
        <v>1105</v>
      </c>
      <c r="B71" s="34">
        <v>1110</v>
      </c>
      <c r="C71" s="34">
        <f t="shared" si="1"/>
        <v>1105000</v>
      </c>
      <c r="D71" s="34">
        <v>1670</v>
      </c>
      <c r="E71" s="35"/>
      <c r="F71" s="35"/>
      <c r="G71" s="35"/>
      <c r="H71" s="35"/>
      <c r="I71" s="35"/>
      <c r="J71" s="35"/>
      <c r="K71" s="35"/>
      <c r="L71" s="35"/>
      <c r="M71" s="35"/>
      <c r="N71" s="35"/>
    </row>
    <row r="72" spans="1:14">
      <c r="A72" s="34">
        <v>1110</v>
      </c>
      <c r="B72" s="34">
        <v>1115</v>
      </c>
      <c r="C72" s="34">
        <f t="shared" si="1"/>
        <v>1110000</v>
      </c>
      <c r="D72" s="34">
        <v>1740</v>
      </c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34">
        <v>1115</v>
      </c>
      <c r="B73" s="34">
        <v>1120</v>
      </c>
      <c r="C73" s="34">
        <f t="shared" si="1"/>
        <v>1115000</v>
      </c>
      <c r="D73" s="34">
        <v>1810</v>
      </c>
      <c r="E73" s="35"/>
      <c r="F73" s="35"/>
      <c r="G73" s="35"/>
      <c r="H73" s="35"/>
      <c r="I73" s="35"/>
      <c r="J73" s="35"/>
      <c r="K73" s="35"/>
      <c r="L73" s="35"/>
      <c r="M73" s="35"/>
      <c r="N73" s="35"/>
    </row>
    <row r="74" spans="1:14">
      <c r="A74" s="34">
        <v>1120</v>
      </c>
      <c r="B74" s="34">
        <v>1125</v>
      </c>
      <c r="C74" s="34">
        <f t="shared" si="1"/>
        <v>1120000</v>
      </c>
      <c r="D74" s="34">
        <v>1880</v>
      </c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34">
        <v>1125</v>
      </c>
      <c r="B75" s="34">
        <v>1130</v>
      </c>
      <c r="C75" s="34">
        <f t="shared" si="1"/>
        <v>1125000</v>
      </c>
      <c r="D75" s="34">
        <v>1950</v>
      </c>
      <c r="E75" s="35"/>
      <c r="F75" s="35"/>
      <c r="G75" s="35"/>
      <c r="H75" s="35"/>
      <c r="I75" s="35"/>
      <c r="J75" s="35"/>
      <c r="K75" s="35"/>
      <c r="L75" s="35"/>
      <c r="M75" s="35"/>
      <c r="N75" s="35"/>
    </row>
    <row r="76" spans="1:14">
      <c r="A76" s="34">
        <v>1130</v>
      </c>
      <c r="B76" s="34">
        <v>1135</v>
      </c>
      <c r="C76" s="34">
        <f t="shared" si="1"/>
        <v>1130000</v>
      </c>
      <c r="D76" s="34">
        <v>2020</v>
      </c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34">
        <v>1135</v>
      </c>
      <c r="B77" s="34">
        <v>1140</v>
      </c>
      <c r="C77" s="34">
        <f t="shared" si="1"/>
        <v>1135000</v>
      </c>
      <c r="D77" s="34">
        <v>2090</v>
      </c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34">
        <v>1140</v>
      </c>
      <c r="B78" s="34">
        <v>1145</v>
      </c>
      <c r="C78" s="34">
        <f t="shared" si="1"/>
        <v>1140000</v>
      </c>
      <c r="D78" s="34">
        <v>2160</v>
      </c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34">
        <v>1145</v>
      </c>
      <c r="B79" s="34">
        <v>1150</v>
      </c>
      <c r="C79" s="34">
        <f t="shared" si="1"/>
        <v>1145000</v>
      </c>
      <c r="D79" s="34">
        <v>2230</v>
      </c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34">
        <v>1150</v>
      </c>
      <c r="B80" s="34">
        <v>1155</v>
      </c>
      <c r="C80" s="34">
        <f t="shared" si="1"/>
        <v>1150000</v>
      </c>
      <c r="D80" s="34">
        <v>2300</v>
      </c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34">
        <v>1155</v>
      </c>
      <c r="B81" s="34">
        <v>1160</v>
      </c>
      <c r="C81" s="34">
        <f t="shared" si="1"/>
        <v>1155000</v>
      </c>
      <c r="D81" s="34">
        <v>2370</v>
      </c>
      <c r="E81" s="35"/>
      <c r="F81" s="35"/>
      <c r="G81" s="35"/>
      <c r="H81" s="35"/>
      <c r="I81" s="35"/>
      <c r="J81" s="35"/>
      <c r="K81" s="35"/>
      <c r="L81" s="35"/>
      <c r="M81" s="35"/>
      <c r="N81" s="35"/>
    </row>
    <row r="82" spans="1:14">
      <c r="A82" s="34">
        <v>1160</v>
      </c>
      <c r="B82" s="34">
        <v>1165</v>
      </c>
      <c r="C82" s="34">
        <f t="shared" si="1"/>
        <v>1160000</v>
      </c>
      <c r="D82" s="34">
        <v>2440</v>
      </c>
      <c r="E82" s="35"/>
      <c r="F82" s="35"/>
      <c r="G82" s="35"/>
      <c r="H82" s="35"/>
      <c r="I82" s="35"/>
      <c r="J82" s="35"/>
      <c r="K82" s="35"/>
      <c r="L82" s="35"/>
      <c r="M82" s="35"/>
      <c r="N82" s="35"/>
    </row>
    <row r="83" spans="1:14">
      <c r="A83" s="34">
        <v>1165</v>
      </c>
      <c r="B83" s="34">
        <v>1170</v>
      </c>
      <c r="C83" s="34">
        <f t="shared" si="1"/>
        <v>1165000</v>
      </c>
      <c r="D83" s="34">
        <v>2500</v>
      </c>
      <c r="E83" s="35"/>
      <c r="F83" s="35"/>
      <c r="G83" s="35"/>
      <c r="H83" s="35"/>
      <c r="I83" s="35"/>
      <c r="J83" s="35"/>
      <c r="K83" s="35"/>
      <c r="L83" s="35"/>
      <c r="M83" s="35"/>
      <c r="N83" s="35"/>
    </row>
    <row r="84" spans="1:14">
      <c r="A84" s="34">
        <v>1170</v>
      </c>
      <c r="B84" s="34">
        <v>1175</v>
      </c>
      <c r="C84" s="34">
        <f t="shared" si="1"/>
        <v>1170000</v>
      </c>
      <c r="D84" s="34">
        <v>2570</v>
      </c>
      <c r="E84" s="35"/>
      <c r="F84" s="35"/>
      <c r="G84" s="35"/>
      <c r="H84" s="35"/>
      <c r="I84" s="35"/>
      <c r="J84" s="35"/>
      <c r="K84" s="35"/>
      <c r="L84" s="35"/>
      <c r="M84" s="35"/>
      <c r="N84" s="35"/>
    </row>
    <row r="85" spans="1:14">
      <c r="A85" s="34">
        <v>1175</v>
      </c>
      <c r="B85" s="34">
        <v>1180</v>
      </c>
      <c r="C85" s="34">
        <f t="shared" si="1"/>
        <v>1175000</v>
      </c>
      <c r="D85" s="34">
        <v>2640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</row>
    <row r="86" spans="1:14">
      <c r="A86" s="34">
        <v>1180</v>
      </c>
      <c r="B86" s="34">
        <v>1185</v>
      </c>
      <c r="C86" s="34">
        <f t="shared" si="1"/>
        <v>1180000</v>
      </c>
      <c r="D86" s="34">
        <v>2710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</row>
    <row r="87" spans="1:14">
      <c r="A87" s="34">
        <v>1185</v>
      </c>
      <c r="B87" s="34">
        <v>1190</v>
      </c>
      <c r="C87" s="34">
        <f t="shared" si="1"/>
        <v>1185000</v>
      </c>
      <c r="D87" s="34">
        <v>2780</v>
      </c>
      <c r="E87" s="35"/>
      <c r="F87" s="35"/>
      <c r="G87" s="35"/>
      <c r="H87" s="35"/>
      <c r="I87" s="35"/>
      <c r="J87" s="35"/>
      <c r="K87" s="35"/>
      <c r="L87" s="35"/>
      <c r="M87" s="35"/>
      <c r="N87" s="35"/>
    </row>
    <row r="88" spans="1:14">
      <c r="A88" s="34">
        <v>1190</v>
      </c>
      <c r="B88" s="34">
        <v>1195</v>
      </c>
      <c r="C88" s="34">
        <f t="shared" si="1"/>
        <v>1190000</v>
      </c>
      <c r="D88" s="34">
        <v>2850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</row>
    <row r="89" spans="1:14">
      <c r="A89" s="34">
        <v>1195</v>
      </c>
      <c r="B89" s="34">
        <v>1200</v>
      </c>
      <c r="C89" s="34">
        <f t="shared" si="1"/>
        <v>1195000</v>
      </c>
      <c r="D89" s="34">
        <v>2920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</row>
    <row r="90" spans="1:14">
      <c r="A90" s="34">
        <v>1200</v>
      </c>
      <c r="B90" s="34">
        <v>1205</v>
      </c>
      <c r="C90" s="34">
        <f t="shared" si="1"/>
        <v>1200000</v>
      </c>
      <c r="D90" s="34">
        <v>2990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</row>
    <row r="91" spans="1:14">
      <c r="A91" s="34">
        <v>1205</v>
      </c>
      <c r="B91" s="34">
        <v>1210</v>
      </c>
      <c r="C91" s="34">
        <f t="shared" si="1"/>
        <v>1205000</v>
      </c>
      <c r="D91" s="34">
        <v>3060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</row>
    <row r="92" spans="1:14">
      <c r="A92" s="34">
        <v>1210</v>
      </c>
      <c r="B92" s="34">
        <v>1215</v>
      </c>
      <c r="C92" s="34">
        <f t="shared" si="1"/>
        <v>1210000</v>
      </c>
      <c r="D92" s="34">
        <v>3130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</row>
    <row r="93" spans="1:14">
      <c r="A93" s="34">
        <v>1215</v>
      </c>
      <c r="B93" s="34">
        <v>1220</v>
      </c>
      <c r="C93" s="34">
        <f t="shared" si="1"/>
        <v>1215000</v>
      </c>
      <c r="D93" s="34">
        <v>3200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</row>
    <row r="94" spans="1:14">
      <c r="A94" s="34">
        <v>1220</v>
      </c>
      <c r="B94" s="34">
        <v>1225</v>
      </c>
      <c r="C94" s="34">
        <f t="shared" si="1"/>
        <v>1220000</v>
      </c>
      <c r="D94" s="34">
        <v>3270</v>
      </c>
      <c r="E94" s="35"/>
      <c r="F94" s="35"/>
      <c r="G94" s="35"/>
      <c r="H94" s="35"/>
      <c r="I94" s="35"/>
      <c r="J94" s="35"/>
      <c r="K94" s="35"/>
      <c r="L94" s="35"/>
      <c r="M94" s="35"/>
      <c r="N94" s="35"/>
    </row>
    <row r="95" spans="1:14">
      <c r="A95" s="34">
        <v>1225</v>
      </c>
      <c r="B95" s="34">
        <v>1230</v>
      </c>
      <c r="C95" s="34">
        <f t="shared" si="1"/>
        <v>1225000</v>
      </c>
      <c r="D95" s="34">
        <v>3340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</row>
    <row r="96" spans="1:14">
      <c r="A96" s="34">
        <v>1230</v>
      </c>
      <c r="B96" s="34">
        <v>1235</v>
      </c>
      <c r="C96" s="34">
        <f t="shared" si="1"/>
        <v>1230000</v>
      </c>
      <c r="D96" s="34">
        <v>3410</v>
      </c>
      <c r="E96" s="35"/>
      <c r="F96" s="35"/>
      <c r="G96" s="35"/>
      <c r="H96" s="35"/>
      <c r="I96" s="35"/>
      <c r="J96" s="35"/>
      <c r="K96" s="35"/>
      <c r="L96" s="35"/>
      <c r="M96" s="35"/>
      <c r="N96" s="35"/>
    </row>
    <row r="97" spans="1:14">
      <c r="A97" s="34">
        <v>1235</v>
      </c>
      <c r="B97" s="34">
        <v>1240</v>
      </c>
      <c r="C97" s="34">
        <f t="shared" si="1"/>
        <v>1235000</v>
      </c>
      <c r="D97" s="34">
        <v>3480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</row>
    <row r="98" spans="1:14">
      <c r="A98" s="34">
        <v>1240</v>
      </c>
      <c r="B98" s="34">
        <v>1245</v>
      </c>
      <c r="C98" s="34">
        <f t="shared" si="1"/>
        <v>1240000</v>
      </c>
      <c r="D98" s="34">
        <v>3550</v>
      </c>
      <c r="E98" s="35"/>
      <c r="F98" s="35"/>
      <c r="G98" s="35"/>
      <c r="H98" s="35"/>
      <c r="I98" s="35"/>
      <c r="J98" s="35"/>
      <c r="K98" s="35"/>
      <c r="L98" s="35"/>
      <c r="M98" s="35"/>
      <c r="N98" s="35"/>
    </row>
    <row r="99" spans="1:14">
      <c r="A99" s="34">
        <v>1245</v>
      </c>
      <c r="B99" s="34">
        <v>1250</v>
      </c>
      <c r="C99" s="34">
        <f t="shared" si="1"/>
        <v>1245000</v>
      </c>
      <c r="D99" s="34">
        <v>3620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</row>
    <row r="100" spans="1:14">
      <c r="A100" s="34">
        <v>1250</v>
      </c>
      <c r="B100" s="34">
        <v>1255</v>
      </c>
      <c r="C100" s="34">
        <f t="shared" si="1"/>
        <v>1250000</v>
      </c>
      <c r="D100" s="34">
        <v>3700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</row>
    <row r="101" spans="1:14">
      <c r="A101" s="34">
        <v>1255</v>
      </c>
      <c r="B101" s="34">
        <v>1260</v>
      </c>
      <c r="C101" s="34">
        <f t="shared" si="1"/>
        <v>1255000</v>
      </c>
      <c r="D101" s="34">
        <v>3810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</row>
    <row r="102" spans="1:14">
      <c r="A102" s="34">
        <v>1260</v>
      </c>
      <c r="B102" s="34">
        <v>1265</v>
      </c>
      <c r="C102" s="34">
        <f t="shared" si="1"/>
        <v>1260000</v>
      </c>
      <c r="D102" s="34">
        <v>3910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</row>
    <row r="103" spans="1:14">
      <c r="A103" s="34">
        <v>1265</v>
      </c>
      <c r="B103" s="34">
        <v>1270</v>
      </c>
      <c r="C103" s="34">
        <f t="shared" si="1"/>
        <v>1265000</v>
      </c>
      <c r="D103" s="34">
        <v>4010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</row>
    <row r="104" spans="1:14">
      <c r="A104" s="34">
        <v>1270</v>
      </c>
      <c r="B104" s="34">
        <v>1275</v>
      </c>
      <c r="C104" s="34">
        <f t="shared" si="1"/>
        <v>1270000</v>
      </c>
      <c r="D104" s="34">
        <v>4120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</row>
    <row r="105" spans="1:14">
      <c r="A105" s="34">
        <v>1275</v>
      </c>
      <c r="B105" s="34">
        <v>1280</v>
      </c>
      <c r="C105" s="34">
        <f t="shared" si="1"/>
        <v>1275000</v>
      </c>
      <c r="D105" s="34">
        <v>4220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</row>
    <row r="106" spans="1:14">
      <c r="A106" s="34">
        <v>1280</v>
      </c>
      <c r="B106" s="34">
        <v>1285</v>
      </c>
      <c r="C106" s="34">
        <f t="shared" si="1"/>
        <v>1280000</v>
      </c>
      <c r="D106" s="34">
        <v>4320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</row>
    <row r="107" spans="1:14">
      <c r="A107" s="34">
        <v>1285</v>
      </c>
      <c r="B107" s="34">
        <v>1290</v>
      </c>
      <c r="C107" s="34">
        <f t="shared" si="1"/>
        <v>1285000</v>
      </c>
      <c r="D107" s="34">
        <v>4430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</row>
    <row r="108" spans="1:14">
      <c r="A108" s="34">
        <v>1290</v>
      </c>
      <c r="B108" s="34">
        <v>1295</v>
      </c>
      <c r="C108" s="34">
        <f t="shared" si="1"/>
        <v>1290000</v>
      </c>
      <c r="D108" s="34">
        <v>4530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</row>
    <row r="109" spans="1:14">
      <c r="A109" s="34">
        <v>1295</v>
      </c>
      <c r="B109" s="34">
        <v>1300</v>
      </c>
      <c r="C109" s="34">
        <f t="shared" si="1"/>
        <v>1295000</v>
      </c>
      <c r="D109" s="34">
        <v>4630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</row>
    <row r="110" spans="1:14">
      <c r="A110" s="34">
        <v>1300</v>
      </c>
      <c r="B110" s="34">
        <v>1305</v>
      </c>
      <c r="C110" s="34">
        <f t="shared" si="1"/>
        <v>1300000</v>
      </c>
      <c r="D110" s="34">
        <v>4740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</row>
    <row r="111" spans="1:14">
      <c r="A111" s="34">
        <v>1305</v>
      </c>
      <c r="B111" s="34">
        <v>1310</v>
      </c>
      <c r="C111" s="34">
        <f t="shared" si="1"/>
        <v>1305000</v>
      </c>
      <c r="D111" s="34">
        <v>4840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</row>
    <row r="112" spans="1:14">
      <c r="A112" s="34">
        <v>1310</v>
      </c>
      <c r="B112" s="34">
        <v>1315</v>
      </c>
      <c r="C112" s="34">
        <f t="shared" si="1"/>
        <v>1310000</v>
      </c>
      <c r="D112" s="34">
        <v>4940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</row>
    <row r="113" spans="1:14">
      <c r="A113" s="34">
        <v>1315</v>
      </c>
      <c r="B113" s="34">
        <v>1320</v>
      </c>
      <c r="C113" s="34">
        <f t="shared" si="1"/>
        <v>1315000</v>
      </c>
      <c r="D113" s="34">
        <v>5050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</row>
    <row r="114" spans="1:14">
      <c r="A114" s="34">
        <v>1320</v>
      </c>
      <c r="B114" s="34">
        <v>1325</v>
      </c>
      <c r="C114" s="34">
        <f t="shared" si="1"/>
        <v>1320000</v>
      </c>
      <c r="D114" s="34">
        <v>5150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</row>
    <row r="115" spans="1:14">
      <c r="A115" s="34">
        <v>1325</v>
      </c>
      <c r="B115" s="34">
        <v>1330</v>
      </c>
      <c r="C115" s="34">
        <f t="shared" si="1"/>
        <v>1325000</v>
      </c>
      <c r="D115" s="34">
        <v>5250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</row>
    <row r="116" spans="1:14">
      <c r="A116" s="34">
        <v>1330</v>
      </c>
      <c r="B116" s="34">
        <v>1335</v>
      </c>
      <c r="C116" s="34">
        <f t="shared" si="1"/>
        <v>1330000</v>
      </c>
      <c r="D116" s="34">
        <v>5360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</row>
    <row r="117" spans="1:14">
      <c r="A117" s="34">
        <v>1335</v>
      </c>
      <c r="B117" s="34">
        <v>1340</v>
      </c>
      <c r="C117" s="34">
        <f t="shared" si="1"/>
        <v>1335000</v>
      </c>
      <c r="D117" s="34">
        <v>5460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</row>
    <row r="118" spans="1:14">
      <c r="A118" s="34">
        <v>1340</v>
      </c>
      <c r="B118" s="34">
        <v>1345</v>
      </c>
      <c r="C118" s="34">
        <f t="shared" si="1"/>
        <v>1340000</v>
      </c>
      <c r="D118" s="34">
        <v>5560</v>
      </c>
      <c r="E118" s="34">
        <v>1060</v>
      </c>
      <c r="F118" s="35"/>
      <c r="G118" s="35"/>
      <c r="H118" s="35"/>
      <c r="I118" s="35"/>
      <c r="J118" s="35"/>
      <c r="K118" s="35"/>
      <c r="L118" s="35"/>
      <c r="M118" s="35"/>
      <c r="N118" s="35"/>
    </row>
    <row r="119" spans="1:14">
      <c r="A119" s="34">
        <v>1345</v>
      </c>
      <c r="B119" s="34">
        <v>1350</v>
      </c>
      <c r="C119" s="34">
        <f t="shared" si="1"/>
        <v>1345000</v>
      </c>
      <c r="D119" s="34">
        <v>5670</v>
      </c>
      <c r="E119" s="34">
        <v>1170</v>
      </c>
      <c r="F119" s="35"/>
      <c r="G119" s="35"/>
      <c r="H119" s="35"/>
      <c r="I119" s="35"/>
      <c r="J119" s="35"/>
      <c r="K119" s="35"/>
      <c r="L119" s="35"/>
      <c r="M119" s="35"/>
      <c r="N119" s="35"/>
    </row>
    <row r="120" spans="1:14">
      <c r="A120" s="34">
        <v>1350</v>
      </c>
      <c r="B120" s="34">
        <v>1355</v>
      </c>
      <c r="C120" s="34">
        <f t="shared" si="1"/>
        <v>1350000</v>
      </c>
      <c r="D120" s="34">
        <v>5770</v>
      </c>
      <c r="E120" s="34">
        <v>1270</v>
      </c>
      <c r="F120" s="35"/>
      <c r="G120" s="35"/>
      <c r="H120" s="35"/>
      <c r="I120" s="35"/>
      <c r="J120" s="35"/>
      <c r="K120" s="35"/>
      <c r="L120" s="35"/>
      <c r="M120" s="35"/>
      <c r="N120" s="35"/>
    </row>
    <row r="121" spans="1:14">
      <c r="A121" s="34">
        <v>1355</v>
      </c>
      <c r="B121" s="34">
        <v>1360</v>
      </c>
      <c r="C121" s="34">
        <f t="shared" si="1"/>
        <v>1355000</v>
      </c>
      <c r="D121" s="34">
        <v>5870</v>
      </c>
      <c r="E121" s="34">
        <v>1370</v>
      </c>
      <c r="F121" s="35"/>
      <c r="G121" s="35"/>
      <c r="H121" s="35"/>
      <c r="I121" s="35"/>
      <c r="J121" s="35"/>
      <c r="K121" s="35"/>
      <c r="L121" s="35"/>
      <c r="M121" s="35"/>
      <c r="N121" s="35"/>
    </row>
    <row r="122" spans="1:14">
      <c r="A122" s="34">
        <v>1360</v>
      </c>
      <c r="B122" s="34">
        <v>1365</v>
      </c>
      <c r="C122" s="34">
        <f t="shared" si="1"/>
        <v>1360000</v>
      </c>
      <c r="D122" s="34">
        <v>5980</v>
      </c>
      <c r="E122" s="34">
        <v>1480</v>
      </c>
      <c r="F122" s="35"/>
      <c r="G122" s="35"/>
      <c r="H122" s="35"/>
      <c r="I122" s="35"/>
      <c r="J122" s="35"/>
      <c r="K122" s="35"/>
      <c r="L122" s="35"/>
      <c r="M122" s="35"/>
      <c r="N122" s="35"/>
    </row>
    <row r="123" spans="1:14">
      <c r="A123" s="34">
        <v>1365</v>
      </c>
      <c r="B123" s="34">
        <v>1370</v>
      </c>
      <c r="C123" s="34">
        <f t="shared" si="1"/>
        <v>1365000</v>
      </c>
      <c r="D123" s="34">
        <v>6080</v>
      </c>
      <c r="E123" s="34">
        <v>1580</v>
      </c>
      <c r="F123" s="35"/>
      <c r="G123" s="35"/>
      <c r="H123" s="35"/>
      <c r="I123" s="35"/>
      <c r="J123" s="35"/>
      <c r="K123" s="35"/>
      <c r="L123" s="35"/>
      <c r="M123" s="35"/>
      <c r="N123" s="35"/>
    </row>
    <row r="124" spans="1:14">
      <c r="A124" s="34">
        <v>1370</v>
      </c>
      <c r="B124" s="34">
        <v>1375</v>
      </c>
      <c r="C124" s="34">
        <f t="shared" si="1"/>
        <v>1370000</v>
      </c>
      <c r="D124" s="34">
        <v>6180</v>
      </c>
      <c r="E124" s="34">
        <v>1680</v>
      </c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>
      <c r="A125" s="34">
        <v>1375</v>
      </c>
      <c r="B125" s="34">
        <v>1380</v>
      </c>
      <c r="C125" s="34">
        <f t="shared" si="1"/>
        <v>1375000</v>
      </c>
      <c r="D125" s="34">
        <v>6290</v>
      </c>
      <c r="E125" s="34">
        <v>1790</v>
      </c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>
      <c r="A126" s="34">
        <v>1380</v>
      </c>
      <c r="B126" s="34">
        <v>1385</v>
      </c>
      <c r="C126" s="34">
        <f t="shared" si="1"/>
        <v>1380000</v>
      </c>
      <c r="D126" s="34">
        <v>6390</v>
      </c>
      <c r="E126" s="34">
        <v>1890</v>
      </c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>
      <c r="A127" s="34">
        <v>1385</v>
      </c>
      <c r="B127" s="34">
        <v>1390</v>
      </c>
      <c r="C127" s="34">
        <f t="shared" si="1"/>
        <v>1385000</v>
      </c>
      <c r="D127" s="34">
        <v>6490</v>
      </c>
      <c r="E127" s="34">
        <v>1990</v>
      </c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>
      <c r="A128" s="34">
        <v>1390</v>
      </c>
      <c r="B128" s="34">
        <v>1395</v>
      </c>
      <c r="C128" s="34">
        <f t="shared" si="1"/>
        <v>1390000</v>
      </c>
      <c r="D128" s="34">
        <v>6600</v>
      </c>
      <c r="E128" s="34">
        <v>2100</v>
      </c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>
      <c r="A129" s="34">
        <v>1395</v>
      </c>
      <c r="B129" s="34">
        <v>1400</v>
      </c>
      <c r="C129" s="34">
        <f t="shared" si="1"/>
        <v>1395000</v>
      </c>
      <c r="D129" s="34">
        <v>6700</v>
      </c>
      <c r="E129" s="34">
        <v>2200</v>
      </c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>
      <c r="A130" s="34">
        <v>1400</v>
      </c>
      <c r="B130" s="34">
        <v>1405</v>
      </c>
      <c r="C130" s="34">
        <f t="shared" si="1"/>
        <v>1400000</v>
      </c>
      <c r="D130" s="34">
        <v>6800</v>
      </c>
      <c r="E130" s="34">
        <v>2300</v>
      </c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>
      <c r="A131" s="34">
        <v>1405</v>
      </c>
      <c r="B131" s="34">
        <v>1410</v>
      </c>
      <c r="C131" s="34">
        <f t="shared" si="1"/>
        <v>1405000</v>
      </c>
      <c r="D131" s="34">
        <v>6910</v>
      </c>
      <c r="E131" s="34">
        <v>2410</v>
      </c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>
      <c r="A132" s="34">
        <v>1410</v>
      </c>
      <c r="B132" s="34">
        <v>1415</v>
      </c>
      <c r="C132" s="34">
        <f t="shared" ref="C132:C195" si="2">A132*1000</f>
        <v>1410000</v>
      </c>
      <c r="D132" s="34">
        <v>7010</v>
      </c>
      <c r="E132" s="34">
        <v>2510</v>
      </c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>
      <c r="A133" s="34">
        <v>1415</v>
      </c>
      <c r="B133" s="34">
        <v>1420</v>
      </c>
      <c r="C133" s="34">
        <f t="shared" si="2"/>
        <v>1415000</v>
      </c>
      <c r="D133" s="34">
        <v>7110</v>
      </c>
      <c r="E133" s="34">
        <v>2610</v>
      </c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>
      <c r="A134" s="34">
        <v>1420</v>
      </c>
      <c r="B134" s="34">
        <v>1425</v>
      </c>
      <c r="C134" s="34">
        <f t="shared" si="2"/>
        <v>1420000</v>
      </c>
      <c r="D134" s="34">
        <v>7210</v>
      </c>
      <c r="E134" s="34">
        <v>2710</v>
      </c>
      <c r="F134" s="35"/>
      <c r="G134" s="35"/>
      <c r="H134" s="35"/>
      <c r="I134" s="35"/>
      <c r="J134" s="35"/>
      <c r="K134" s="35"/>
      <c r="L134" s="35"/>
      <c r="M134" s="35"/>
      <c r="N134" s="35"/>
    </row>
    <row r="135" spans="1:14">
      <c r="A135" s="34">
        <v>1425</v>
      </c>
      <c r="B135" s="34">
        <v>1430</v>
      </c>
      <c r="C135" s="34">
        <f t="shared" si="2"/>
        <v>1425000</v>
      </c>
      <c r="D135" s="34">
        <v>7320</v>
      </c>
      <c r="E135" s="34">
        <v>2820</v>
      </c>
      <c r="F135" s="35"/>
      <c r="G135" s="35"/>
      <c r="H135" s="35"/>
      <c r="I135" s="35"/>
      <c r="J135" s="35"/>
      <c r="K135" s="35"/>
      <c r="L135" s="35"/>
      <c r="M135" s="35"/>
      <c r="N135" s="35"/>
    </row>
    <row r="136" spans="1:14">
      <c r="A136" s="34">
        <v>1430</v>
      </c>
      <c r="B136" s="34">
        <v>1435</v>
      </c>
      <c r="C136" s="34">
        <f t="shared" si="2"/>
        <v>1430000</v>
      </c>
      <c r="D136" s="34">
        <v>7420</v>
      </c>
      <c r="E136" s="34">
        <v>2920</v>
      </c>
      <c r="F136" s="35"/>
      <c r="G136" s="35"/>
      <c r="H136" s="35"/>
      <c r="I136" s="35"/>
      <c r="J136" s="35"/>
      <c r="K136" s="35"/>
      <c r="L136" s="35"/>
      <c r="M136" s="35"/>
      <c r="N136" s="35"/>
    </row>
    <row r="137" spans="1:14">
      <c r="A137" s="34">
        <v>1435</v>
      </c>
      <c r="B137" s="34">
        <v>1440</v>
      </c>
      <c r="C137" s="34">
        <f t="shared" si="2"/>
        <v>1435000</v>
      </c>
      <c r="D137" s="34">
        <v>7520</v>
      </c>
      <c r="E137" s="34">
        <v>3020</v>
      </c>
      <c r="F137" s="35"/>
      <c r="G137" s="35"/>
      <c r="H137" s="35"/>
      <c r="I137" s="35"/>
      <c r="J137" s="35"/>
      <c r="K137" s="35"/>
      <c r="L137" s="35"/>
      <c r="M137" s="35"/>
      <c r="N137" s="35"/>
    </row>
    <row r="138" spans="1:14">
      <c r="A138" s="34">
        <v>1440</v>
      </c>
      <c r="B138" s="34">
        <v>1445</v>
      </c>
      <c r="C138" s="34">
        <f t="shared" si="2"/>
        <v>1440000</v>
      </c>
      <c r="D138" s="34">
        <v>7630</v>
      </c>
      <c r="E138" s="34">
        <v>3130</v>
      </c>
      <c r="F138" s="35"/>
      <c r="G138" s="35"/>
      <c r="H138" s="35"/>
      <c r="I138" s="35"/>
      <c r="J138" s="35"/>
      <c r="K138" s="35"/>
      <c r="L138" s="35"/>
      <c r="M138" s="35"/>
      <c r="N138" s="35"/>
    </row>
    <row r="139" spans="1:14">
      <c r="A139" s="34">
        <v>1445</v>
      </c>
      <c r="B139" s="34">
        <v>1450</v>
      </c>
      <c r="C139" s="34">
        <f t="shared" si="2"/>
        <v>1445000</v>
      </c>
      <c r="D139" s="34">
        <v>7730</v>
      </c>
      <c r="E139" s="34">
        <v>3230</v>
      </c>
      <c r="F139" s="35"/>
      <c r="G139" s="35"/>
      <c r="H139" s="35"/>
      <c r="I139" s="35"/>
      <c r="J139" s="35"/>
      <c r="K139" s="35"/>
      <c r="L139" s="35"/>
      <c r="M139" s="35"/>
      <c r="N139" s="35"/>
    </row>
    <row r="140" spans="1:14">
      <c r="A140" s="34">
        <v>1450</v>
      </c>
      <c r="B140" s="34">
        <v>1455</v>
      </c>
      <c r="C140" s="34">
        <f t="shared" si="2"/>
        <v>1450000</v>
      </c>
      <c r="D140" s="34">
        <v>7830</v>
      </c>
      <c r="E140" s="34">
        <v>3330</v>
      </c>
      <c r="F140" s="35"/>
      <c r="G140" s="35"/>
      <c r="H140" s="35"/>
      <c r="I140" s="35"/>
      <c r="J140" s="35"/>
      <c r="K140" s="35"/>
      <c r="L140" s="35"/>
      <c r="M140" s="35"/>
      <c r="N140" s="35"/>
    </row>
    <row r="141" spans="1:14">
      <c r="A141" s="34">
        <v>1455</v>
      </c>
      <c r="B141" s="34">
        <v>1460</v>
      </c>
      <c r="C141" s="34">
        <f t="shared" si="2"/>
        <v>1455000</v>
      </c>
      <c r="D141" s="34">
        <v>7940</v>
      </c>
      <c r="E141" s="34">
        <v>3440</v>
      </c>
      <c r="F141" s="35"/>
      <c r="G141" s="35"/>
      <c r="H141" s="35"/>
      <c r="I141" s="35"/>
      <c r="J141" s="35"/>
      <c r="K141" s="35"/>
      <c r="L141" s="35"/>
      <c r="M141" s="35"/>
      <c r="N141" s="35"/>
    </row>
    <row r="142" spans="1:14">
      <c r="A142" s="34">
        <v>1460</v>
      </c>
      <c r="B142" s="34">
        <v>1465</v>
      </c>
      <c r="C142" s="34">
        <f t="shared" si="2"/>
        <v>1460000</v>
      </c>
      <c r="D142" s="34">
        <v>8040</v>
      </c>
      <c r="E142" s="34">
        <v>3540</v>
      </c>
      <c r="F142" s="35"/>
      <c r="G142" s="35"/>
      <c r="H142" s="35"/>
      <c r="I142" s="35"/>
      <c r="J142" s="35"/>
      <c r="K142" s="35"/>
      <c r="L142" s="35"/>
      <c r="M142" s="35"/>
      <c r="N142" s="35"/>
    </row>
    <row r="143" spans="1:14">
      <c r="A143" s="34">
        <v>1465</v>
      </c>
      <c r="B143" s="34">
        <v>1470</v>
      </c>
      <c r="C143" s="34">
        <f t="shared" si="2"/>
        <v>1465000</v>
      </c>
      <c r="D143" s="34">
        <v>8140</v>
      </c>
      <c r="E143" s="34">
        <v>3640</v>
      </c>
      <c r="F143" s="35"/>
      <c r="G143" s="35"/>
      <c r="H143" s="35"/>
      <c r="I143" s="35"/>
      <c r="J143" s="35"/>
      <c r="K143" s="35"/>
      <c r="L143" s="35"/>
      <c r="M143" s="35"/>
      <c r="N143" s="35"/>
    </row>
    <row r="144" spans="1:14">
      <c r="A144" s="34">
        <v>1470</v>
      </c>
      <c r="B144" s="34">
        <v>1475</v>
      </c>
      <c r="C144" s="34">
        <f t="shared" si="2"/>
        <v>1470000</v>
      </c>
      <c r="D144" s="34">
        <v>8250</v>
      </c>
      <c r="E144" s="34">
        <v>3750</v>
      </c>
      <c r="F144" s="35"/>
      <c r="G144" s="35"/>
      <c r="H144" s="35"/>
      <c r="I144" s="35"/>
      <c r="J144" s="35"/>
      <c r="K144" s="35"/>
      <c r="L144" s="35"/>
      <c r="M144" s="35"/>
      <c r="N144" s="35"/>
    </row>
    <row r="145" spans="1:14">
      <c r="A145" s="34">
        <v>1475</v>
      </c>
      <c r="B145" s="34">
        <v>1480</v>
      </c>
      <c r="C145" s="34">
        <f t="shared" si="2"/>
        <v>1475000</v>
      </c>
      <c r="D145" s="34">
        <v>8350</v>
      </c>
      <c r="E145" s="34">
        <v>3850</v>
      </c>
      <c r="F145" s="35"/>
      <c r="G145" s="35"/>
      <c r="H145" s="35"/>
      <c r="I145" s="35"/>
      <c r="J145" s="35"/>
      <c r="K145" s="35"/>
      <c r="L145" s="35"/>
      <c r="M145" s="35"/>
      <c r="N145" s="35"/>
    </row>
    <row r="146" spans="1:14">
      <c r="A146" s="34">
        <v>1480</v>
      </c>
      <c r="B146" s="34">
        <v>1485</v>
      </c>
      <c r="C146" s="34">
        <f t="shared" si="2"/>
        <v>1480000</v>
      </c>
      <c r="D146" s="34">
        <v>8450</v>
      </c>
      <c r="E146" s="34">
        <v>3950</v>
      </c>
      <c r="F146" s="35"/>
      <c r="G146" s="35"/>
      <c r="H146" s="35"/>
      <c r="I146" s="35"/>
      <c r="J146" s="35"/>
      <c r="K146" s="35"/>
      <c r="L146" s="35"/>
      <c r="M146" s="35"/>
      <c r="N146" s="35"/>
    </row>
    <row r="147" spans="1:14">
      <c r="A147" s="34">
        <v>1485</v>
      </c>
      <c r="B147" s="34">
        <v>1490</v>
      </c>
      <c r="C147" s="34">
        <f t="shared" si="2"/>
        <v>1485000</v>
      </c>
      <c r="D147" s="34">
        <v>8560</v>
      </c>
      <c r="E147" s="34">
        <v>4060</v>
      </c>
      <c r="F147" s="35"/>
      <c r="G147" s="35"/>
      <c r="H147" s="35"/>
      <c r="I147" s="35"/>
      <c r="J147" s="35"/>
      <c r="K147" s="35"/>
      <c r="L147" s="35"/>
      <c r="M147" s="35"/>
      <c r="N147" s="35"/>
    </row>
    <row r="148" spans="1:14">
      <c r="A148" s="34">
        <v>1490</v>
      </c>
      <c r="B148" s="34">
        <v>1495</v>
      </c>
      <c r="C148" s="34">
        <f t="shared" si="2"/>
        <v>1490000</v>
      </c>
      <c r="D148" s="34">
        <v>8660</v>
      </c>
      <c r="E148" s="34">
        <v>4160</v>
      </c>
      <c r="F148" s="35"/>
      <c r="G148" s="35"/>
      <c r="H148" s="35"/>
      <c r="I148" s="35"/>
      <c r="J148" s="35"/>
      <c r="K148" s="35"/>
      <c r="L148" s="35"/>
      <c r="M148" s="35"/>
      <c r="N148" s="35"/>
    </row>
    <row r="149" spans="1:14">
      <c r="A149" s="34">
        <v>1495</v>
      </c>
      <c r="B149" s="34">
        <v>1500</v>
      </c>
      <c r="C149" s="34">
        <f t="shared" si="2"/>
        <v>1495000</v>
      </c>
      <c r="D149" s="34">
        <v>8760</v>
      </c>
      <c r="E149" s="34">
        <v>4260</v>
      </c>
      <c r="F149" s="35"/>
      <c r="G149" s="35"/>
      <c r="H149" s="35"/>
      <c r="I149" s="35"/>
      <c r="J149" s="35"/>
      <c r="K149" s="35"/>
      <c r="L149" s="35"/>
      <c r="M149" s="35"/>
      <c r="N149" s="35"/>
    </row>
    <row r="150" spans="1:14">
      <c r="A150" s="34">
        <v>1500</v>
      </c>
      <c r="B150" s="34">
        <v>1510</v>
      </c>
      <c r="C150" s="34">
        <f t="shared" si="2"/>
        <v>1500000</v>
      </c>
      <c r="D150" s="34">
        <v>8920</v>
      </c>
      <c r="E150" s="34">
        <v>4420</v>
      </c>
      <c r="F150" s="35"/>
      <c r="G150" s="35"/>
      <c r="H150" s="35"/>
      <c r="I150" s="35"/>
      <c r="J150" s="35"/>
      <c r="K150" s="35"/>
      <c r="L150" s="35"/>
      <c r="M150" s="35"/>
      <c r="N150" s="35"/>
    </row>
    <row r="151" spans="1:14">
      <c r="A151" s="34">
        <v>1510</v>
      </c>
      <c r="B151" s="34">
        <v>1520</v>
      </c>
      <c r="C151" s="34">
        <f t="shared" si="2"/>
        <v>1510000</v>
      </c>
      <c r="D151" s="34">
        <v>9120</v>
      </c>
      <c r="E151" s="34">
        <v>4620</v>
      </c>
      <c r="F151" s="35"/>
      <c r="G151" s="35"/>
      <c r="H151" s="35"/>
      <c r="I151" s="35"/>
      <c r="J151" s="35"/>
      <c r="K151" s="35"/>
      <c r="L151" s="35"/>
      <c r="M151" s="35"/>
      <c r="N151" s="35"/>
    </row>
    <row r="152" spans="1:14">
      <c r="A152" s="34">
        <v>1520</v>
      </c>
      <c r="B152" s="34">
        <v>1530</v>
      </c>
      <c r="C152" s="34">
        <f t="shared" si="2"/>
        <v>1520000</v>
      </c>
      <c r="D152" s="34">
        <v>9330</v>
      </c>
      <c r="E152" s="34">
        <v>4830</v>
      </c>
      <c r="F152" s="35"/>
      <c r="G152" s="35"/>
      <c r="H152" s="35"/>
      <c r="I152" s="35"/>
      <c r="J152" s="35"/>
      <c r="K152" s="35"/>
      <c r="L152" s="35"/>
      <c r="M152" s="35"/>
      <c r="N152" s="35"/>
    </row>
    <row r="153" spans="1:14">
      <c r="A153" s="34">
        <v>1530</v>
      </c>
      <c r="B153" s="34">
        <v>1540</v>
      </c>
      <c r="C153" s="34">
        <f t="shared" si="2"/>
        <v>1530000</v>
      </c>
      <c r="D153" s="34">
        <v>9540</v>
      </c>
      <c r="E153" s="34">
        <v>5040</v>
      </c>
      <c r="F153" s="35"/>
      <c r="G153" s="35"/>
      <c r="H153" s="35"/>
      <c r="I153" s="35"/>
      <c r="J153" s="35"/>
      <c r="K153" s="35"/>
      <c r="L153" s="35"/>
      <c r="M153" s="35"/>
      <c r="N153" s="35"/>
    </row>
    <row r="154" spans="1:14">
      <c r="A154" s="34">
        <v>1540</v>
      </c>
      <c r="B154" s="34">
        <v>1550</v>
      </c>
      <c r="C154" s="34">
        <f t="shared" si="2"/>
        <v>1540000</v>
      </c>
      <c r="D154" s="34">
        <v>9740</v>
      </c>
      <c r="E154" s="34">
        <v>5240</v>
      </c>
      <c r="F154" s="35"/>
      <c r="G154" s="35"/>
      <c r="H154" s="35"/>
      <c r="I154" s="35"/>
      <c r="J154" s="35"/>
      <c r="K154" s="35"/>
      <c r="L154" s="35"/>
      <c r="M154" s="35"/>
      <c r="N154" s="35"/>
    </row>
    <row r="155" spans="1:14">
      <c r="A155" s="34">
        <v>1550</v>
      </c>
      <c r="B155" s="34">
        <v>1560</v>
      </c>
      <c r="C155" s="34">
        <f t="shared" si="2"/>
        <v>1550000</v>
      </c>
      <c r="D155" s="34">
        <v>9950</v>
      </c>
      <c r="E155" s="34">
        <v>5450</v>
      </c>
      <c r="F155" s="35"/>
      <c r="G155" s="35"/>
      <c r="H155" s="35"/>
      <c r="I155" s="35"/>
      <c r="J155" s="35"/>
      <c r="K155" s="35"/>
      <c r="L155" s="35"/>
      <c r="M155" s="35"/>
      <c r="N155" s="35"/>
    </row>
    <row r="156" spans="1:14">
      <c r="A156" s="34">
        <v>1560</v>
      </c>
      <c r="B156" s="34">
        <v>1570</v>
      </c>
      <c r="C156" s="34">
        <f t="shared" si="2"/>
        <v>1560000</v>
      </c>
      <c r="D156" s="34">
        <v>10160</v>
      </c>
      <c r="E156" s="34">
        <v>5660</v>
      </c>
      <c r="F156" s="35"/>
      <c r="G156" s="35"/>
      <c r="H156" s="35"/>
      <c r="I156" s="35"/>
      <c r="J156" s="35"/>
      <c r="K156" s="35"/>
      <c r="L156" s="35"/>
      <c r="M156" s="35"/>
      <c r="N156" s="35"/>
    </row>
    <row r="157" spans="1:14">
      <c r="A157" s="34">
        <v>1570</v>
      </c>
      <c r="B157" s="34">
        <v>1580</v>
      </c>
      <c r="C157" s="34">
        <f t="shared" si="2"/>
        <v>1570000</v>
      </c>
      <c r="D157" s="34">
        <v>10360</v>
      </c>
      <c r="E157" s="34">
        <v>5860</v>
      </c>
      <c r="F157" s="35"/>
      <c r="G157" s="35"/>
      <c r="H157" s="35"/>
      <c r="I157" s="35"/>
      <c r="J157" s="35"/>
      <c r="K157" s="35"/>
      <c r="L157" s="35"/>
      <c r="M157" s="35"/>
      <c r="N157" s="35"/>
    </row>
    <row r="158" spans="1:14">
      <c r="A158" s="34">
        <v>1580</v>
      </c>
      <c r="B158" s="34">
        <v>1590</v>
      </c>
      <c r="C158" s="34">
        <f t="shared" si="2"/>
        <v>1580000</v>
      </c>
      <c r="D158" s="34">
        <v>10570</v>
      </c>
      <c r="E158" s="34">
        <v>6070</v>
      </c>
      <c r="F158" s="35"/>
      <c r="G158" s="35"/>
      <c r="H158" s="35"/>
      <c r="I158" s="35"/>
      <c r="J158" s="35"/>
      <c r="K158" s="35"/>
      <c r="L158" s="35"/>
      <c r="M158" s="35"/>
      <c r="N158" s="35"/>
    </row>
    <row r="159" spans="1:14">
      <c r="A159" s="34">
        <v>1590</v>
      </c>
      <c r="B159" s="34">
        <v>1600</v>
      </c>
      <c r="C159" s="34">
        <f t="shared" si="2"/>
        <v>1590000</v>
      </c>
      <c r="D159" s="34">
        <v>10780</v>
      </c>
      <c r="E159" s="34">
        <v>6280</v>
      </c>
      <c r="F159" s="35"/>
      <c r="G159" s="35"/>
      <c r="H159" s="35"/>
      <c r="I159" s="35"/>
      <c r="J159" s="35"/>
      <c r="K159" s="35"/>
      <c r="L159" s="35"/>
      <c r="M159" s="35"/>
      <c r="N159" s="35"/>
    </row>
    <row r="160" spans="1:14">
      <c r="A160" s="34">
        <v>1600</v>
      </c>
      <c r="B160" s="34">
        <v>1610</v>
      </c>
      <c r="C160" s="34">
        <f t="shared" si="2"/>
        <v>1600000</v>
      </c>
      <c r="D160" s="34">
        <v>10980</v>
      </c>
      <c r="E160" s="34">
        <v>6480</v>
      </c>
      <c r="F160" s="35"/>
      <c r="G160" s="35"/>
      <c r="H160" s="35"/>
      <c r="I160" s="35"/>
      <c r="J160" s="35"/>
      <c r="K160" s="35"/>
      <c r="L160" s="35"/>
      <c r="M160" s="35"/>
      <c r="N160" s="35"/>
    </row>
    <row r="161" spans="1:14">
      <c r="A161" s="34">
        <v>1610</v>
      </c>
      <c r="B161" s="34">
        <v>1620</v>
      </c>
      <c r="C161" s="34">
        <f t="shared" si="2"/>
        <v>1610000</v>
      </c>
      <c r="D161" s="34">
        <v>11190</v>
      </c>
      <c r="E161" s="34">
        <v>6690</v>
      </c>
      <c r="F161" s="35"/>
      <c r="G161" s="35"/>
      <c r="H161" s="35"/>
      <c r="I161" s="35"/>
      <c r="J161" s="35"/>
      <c r="K161" s="35"/>
      <c r="L161" s="35"/>
      <c r="M161" s="35"/>
      <c r="N161" s="35"/>
    </row>
    <row r="162" spans="1:14">
      <c r="A162" s="34">
        <v>1620</v>
      </c>
      <c r="B162" s="34">
        <v>1630</v>
      </c>
      <c r="C162" s="34">
        <f t="shared" si="2"/>
        <v>1620000</v>
      </c>
      <c r="D162" s="34">
        <v>11400</v>
      </c>
      <c r="E162" s="34">
        <v>6900</v>
      </c>
      <c r="F162" s="35"/>
      <c r="G162" s="35"/>
      <c r="H162" s="35"/>
      <c r="I162" s="35"/>
      <c r="J162" s="35"/>
      <c r="K162" s="35"/>
      <c r="L162" s="35"/>
      <c r="M162" s="35"/>
      <c r="N162" s="35"/>
    </row>
    <row r="163" spans="1:14">
      <c r="A163" s="34">
        <v>1630</v>
      </c>
      <c r="B163" s="34">
        <v>1640</v>
      </c>
      <c r="C163" s="34">
        <f t="shared" si="2"/>
        <v>1630000</v>
      </c>
      <c r="D163" s="34">
        <v>11600</v>
      </c>
      <c r="E163" s="34">
        <v>7100</v>
      </c>
      <c r="F163" s="35"/>
      <c r="G163" s="35"/>
      <c r="H163" s="35"/>
      <c r="I163" s="35"/>
      <c r="J163" s="35"/>
      <c r="K163" s="35"/>
      <c r="L163" s="35"/>
      <c r="M163" s="35"/>
      <c r="N163" s="35"/>
    </row>
    <row r="164" spans="1:14">
      <c r="A164" s="34">
        <v>1640</v>
      </c>
      <c r="B164" s="34">
        <v>1650</v>
      </c>
      <c r="C164" s="34">
        <f t="shared" si="2"/>
        <v>1640000</v>
      </c>
      <c r="D164" s="34">
        <v>11810</v>
      </c>
      <c r="E164" s="34">
        <v>7310</v>
      </c>
      <c r="F164" s="35"/>
      <c r="G164" s="35"/>
      <c r="H164" s="35"/>
      <c r="I164" s="35"/>
      <c r="J164" s="35"/>
      <c r="K164" s="35"/>
      <c r="L164" s="35"/>
      <c r="M164" s="35"/>
      <c r="N164" s="35"/>
    </row>
    <row r="165" spans="1:14">
      <c r="A165" s="34">
        <v>1650</v>
      </c>
      <c r="B165" s="34">
        <v>1660</v>
      </c>
      <c r="C165" s="34">
        <f t="shared" si="2"/>
        <v>1650000</v>
      </c>
      <c r="D165" s="34">
        <v>12020</v>
      </c>
      <c r="E165" s="34">
        <v>7520</v>
      </c>
      <c r="F165" s="35"/>
      <c r="G165" s="35"/>
      <c r="H165" s="35"/>
      <c r="I165" s="35"/>
      <c r="J165" s="35"/>
      <c r="K165" s="35"/>
      <c r="L165" s="35"/>
      <c r="M165" s="35"/>
      <c r="N165" s="35"/>
    </row>
    <row r="166" spans="1:14">
      <c r="A166" s="34">
        <v>1660</v>
      </c>
      <c r="B166" s="34">
        <v>1670</v>
      </c>
      <c r="C166" s="34">
        <f t="shared" si="2"/>
        <v>1660000</v>
      </c>
      <c r="D166" s="34">
        <v>12220</v>
      </c>
      <c r="E166" s="34">
        <v>7720</v>
      </c>
      <c r="F166" s="35"/>
      <c r="G166" s="35"/>
      <c r="H166" s="35"/>
      <c r="I166" s="35"/>
      <c r="J166" s="35"/>
      <c r="K166" s="35"/>
      <c r="L166" s="35"/>
      <c r="M166" s="35"/>
      <c r="N166" s="35"/>
    </row>
    <row r="167" spans="1:14">
      <c r="A167" s="34">
        <v>1670</v>
      </c>
      <c r="B167" s="34">
        <v>1680</v>
      </c>
      <c r="C167" s="34">
        <f t="shared" si="2"/>
        <v>1670000</v>
      </c>
      <c r="D167" s="34">
        <v>12430</v>
      </c>
      <c r="E167" s="34">
        <v>7930</v>
      </c>
      <c r="F167" s="35"/>
      <c r="G167" s="35"/>
      <c r="H167" s="35"/>
      <c r="I167" s="35"/>
      <c r="J167" s="35"/>
      <c r="K167" s="35"/>
      <c r="L167" s="35"/>
      <c r="M167" s="35"/>
      <c r="N167" s="35"/>
    </row>
    <row r="168" spans="1:14">
      <c r="A168" s="34">
        <v>1680</v>
      </c>
      <c r="B168" s="34">
        <v>1690</v>
      </c>
      <c r="C168" s="34">
        <f t="shared" si="2"/>
        <v>1680000</v>
      </c>
      <c r="D168" s="34">
        <v>12640</v>
      </c>
      <c r="E168" s="34">
        <v>8140</v>
      </c>
      <c r="F168" s="35"/>
      <c r="G168" s="35"/>
      <c r="H168" s="35"/>
      <c r="I168" s="35"/>
      <c r="J168" s="35"/>
      <c r="K168" s="35"/>
      <c r="L168" s="35"/>
      <c r="M168" s="35"/>
      <c r="N168" s="35"/>
    </row>
    <row r="169" spans="1:14">
      <c r="A169" s="34">
        <v>1690</v>
      </c>
      <c r="B169" s="34">
        <v>1700</v>
      </c>
      <c r="C169" s="34">
        <f t="shared" si="2"/>
        <v>1690000</v>
      </c>
      <c r="D169" s="34">
        <v>12840</v>
      </c>
      <c r="E169" s="34">
        <v>8340</v>
      </c>
      <c r="F169" s="35"/>
      <c r="G169" s="35"/>
      <c r="H169" s="35"/>
      <c r="I169" s="35"/>
      <c r="J169" s="35"/>
      <c r="K169" s="35"/>
      <c r="L169" s="35"/>
      <c r="M169" s="35"/>
      <c r="N169" s="35"/>
    </row>
    <row r="170" spans="1:14">
      <c r="A170" s="34">
        <v>1700</v>
      </c>
      <c r="B170" s="34">
        <v>1710</v>
      </c>
      <c r="C170" s="34">
        <f t="shared" si="2"/>
        <v>1700000</v>
      </c>
      <c r="D170" s="34">
        <v>13050</v>
      </c>
      <c r="E170" s="34">
        <v>8550</v>
      </c>
      <c r="F170" s="35"/>
      <c r="G170" s="35"/>
      <c r="H170" s="35"/>
      <c r="I170" s="35"/>
      <c r="J170" s="35"/>
      <c r="K170" s="35"/>
      <c r="L170" s="35"/>
      <c r="M170" s="35"/>
      <c r="N170" s="35"/>
    </row>
    <row r="171" spans="1:14">
      <c r="A171" s="34">
        <v>1710</v>
      </c>
      <c r="B171" s="34">
        <v>1720</v>
      </c>
      <c r="C171" s="34">
        <f t="shared" si="2"/>
        <v>1710000</v>
      </c>
      <c r="D171" s="34">
        <v>13260</v>
      </c>
      <c r="E171" s="34">
        <v>8760</v>
      </c>
      <c r="F171" s="35"/>
      <c r="G171" s="35"/>
      <c r="H171" s="35"/>
      <c r="I171" s="35"/>
      <c r="J171" s="35"/>
      <c r="K171" s="35"/>
      <c r="L171" s="35"/>
      <c r="M171" s="35"/>
      <c r="N171" s="35"/>
    </row>
    <row r="172" spans="1:14">
      <c r="A172" s="34">
        <v>1720</v>
      </c>
      <c r="B172" s="34">
        <v>1730</v>
      </c>
      <c r="C172" s="34">
        <f t="shared" si="2"/>
        <v>1720000</v>
      </c>
      <c r="D172" s="34">
        <v>13460</v>
      </c>
      <c r="E172" s="34">
        <v>8960</v>
      </c>
      <c r="F172" s="34">
        <v>1040</v>
      </c>
      <c r="G172" s="35"/>
      <c r="H172" s="35"/>
      <c r="I172" s="35"/>
      <c r="J172" s="35"/>
      <c r="K172" s="35"/>
      <c r="L172" s="35"/>
      <c r="M172" s="35"/>
      <c r="N172" s="35"/>
    </row>
    <row r="173" spans="1:14">
      <c r="A173" s="34">
        <v>1730</v>
      </c>
      <c r="B173" s="34">
        <v>1740</v>
      </c>
      <c r="C173" s="34">
        <f t="shared" si="2"/>
        <v>1730000</v>
      </c>
      <c r="D173" s="34">
        <v>13670</v>
      </c>
      <c r="E173" s="34">
        <v>9170</v>
      </c>
      <c r="F173" s="34">
        <v>1240</v>
      </c>
      <c r="G173" s="35"/>
      <c r="H173" s="35"/>
      <c r="I173" s="35"/>
      <c r="J173" s="35"/>
      <c r="K173" s="35"/>
      <c r="L173" s="35"/>
      <c r="M173" s="35"/>
      <c r="N173" s="35"/>
    </row>
    <row r="174" spans="1:14">
      <c r="A174" s="34">
        <v>1740</v>
      </c>
      <c r="B174" s="34">
        <v>1750</v>
      </c>
      <c r="C174" s="34">
        <f t="shared" si="2"/>
        <v>1740000</v>
      </c>
      <c r="D174" s="34">
        <v>13880</v>
      </c>
      <c r="E174" s="34">
        <v>9380</v>
      </c>
      <c r="F174" s="34">
        <v>1440</v>
      </c>
      <c r="G174" s="35"/>
      <c r="H174" s="35"/>
      <c r="I174" s="35"/>
      <c r="J174" s="35"/>
      <c r="K174" s="35"/>
      <c r="L174" s="35"/>
      <c r="M174" s="35"/>
      <c r="N174" s="35"/>
    </row>
    <row r="175" spans="1:14">
      <c r="A175" s="34">
        <v>1750</v>
      </c>
      <c r="B175" s="34">
        <v>1760</v>
      </c>
      <c r="C175" s="34">
        <f t="shared" si="2"/>
        <v>1750000</v>
      </c>
      <c r="D175" s="34">
        <v>14080</v>
      </c>
      <c r="E175" s="34">
        <v>9580</v>
      </c>
      <c r="F175" s="34">
        <v>1640</v>
      </c>
      <c r="G175" s="35"/>
      <c r="H175" s="35"/>
      <c r="I175" s="35"/>
      <c r="J175" s="35"/>
      <c r="K175" s="35"/>
      <c r="L175" s="35"/>
      <c r="M175" s="35"/>
      <c r="N175" s="35"/>
    </row>
    <row r="176" spans="1:14">
      <c r="A176" s="34">
        <v>1760</v>
      </c>
      <c r="B176" s="34">
        <v>1770</v>
      </c>
      <c r="C176" s="34">
        <f t="shared" si="2"/>
        <v>1760000</v>
      </c>
      <c r="D176" s="34">
        <v>14290</v>
      </c>
      <c r="E176" s="34">
        <v>9790</v>
      </c>
      <c r="F176" s="34">
        <v>1830</v>
      </c>
      <c r="G176" s="35"/>
      <c r="H176" s="35"/>
      <c r="I176" s="35"/>
      <c r="J176" s="35"/>
      <c r="K176" s="35"/>
      <c r="L176" s="35"/>
      <c r="M176" s="35"/>
      <c r="N176" s="35"/>
    </row>
    <row r="177" spans="1:14">
      <c r="A177" s="34">
        <v>1770</v>
      </c>
      <c r="B177" s="34">
        <v>1780</v>
      </c>
      <c r="C177" s="34">
        <f t="shared" si="2"/>
        <v>1770000</v>
      </c>
      <c r="D177" s="34">
        <v>14500</v>
      </c>
      <c r="E177" s="34">
        <v>10000</v>
      </c>
      <c r="F177" s="34">
        <v>2030</v>
      </c>
      <c r="G177" s="35"/>
      <c r="H177" s="35"/>
      <c r="I177" s="35"/>
      <c r="J177" s="35"/>
      <c r="K177" s="35"/>
      <c r="L177" s="35"/>
      <c r="M177" s="35"/>
      <c r="N177" s="35"/>
    </row>
    <row r="178" spans="1:14">
      <c r="A178" s="34">
        <v>1780</v>
      </c>
      <c r="B178" s="34">
        <v>1790</v>
      </c>
      <c r="C178" s="34">
        <f t="shared" si="2"/>
        <v>1780000</v>
      </c>
      <c r="D178" s="34">
        <v>14700</v>
      </c>
      <c r="E178" s="34">
        <v>10200</v>
      </c>
      <c r="F178" s="34">
        <v>2230</v>
      </c>
      <c r="G178" s="35"/>
      <c r="H178" s="35"/>
      <c r="I178" s="35"/>
      <c r="J178" s="35"/>
      <c r="K178" s="35"/>
      <c r="L178" s="35"/>
      <c r="M178" s="35"/>
      <c r="N178" s="35"/>
    </row>
    <row r="179" spans="1:14">
      <c r="A179" s="34">
        <v>1790</v>
      </c>
      <c r="B179" s="34">
        <v>1800</v>
      </c>
      <c r="C179" s="34">
        <f t="shared" si="2"/>
        <v>1790000</v>
      </c>
      <c r="D179" s="34">
        <v>14910</v>
      </c>
      <c r="E179" s="34">
        <v>10410</v>
      </c>
      <c r="F179" s="34">
        <v>2430</v>
      </c>
      <c r="G179" s="35"/>
      <c r="H179" s="35"/>
      <c r="I179" s="35"/>
      <c r="J179" s="35"/>
      <c r="K179" s="35"/>
      <c r="L179" s="35"/>
      <c r="M179" s="35"/>
      <c r="N179" s="35"/>
    </row>
    <row r="180" spans="1:14">
      <c r="A180" s="34">
        <v>1800</v>
      </c>
      <c r="B180" s="34">
        <v>1810</v>
      </c>
      <c r="C180" s="34">
        <f t="shared" si="2"/>
        <v>1800000</v>
      </c>
      <c r="D180" s="34">
        <v>15110</v>
      </c>
      <c r="E180" s="34">
        <v>10610</v>
      </c>
      <c r="F180" s="34">
        <v>2630</v>
      </c>
      <c r="G180" s="35"/>
      <c r="H180" s="35"/>
      <c r="I180" s="35"/>
      <c r="J180" s="35"/>
      <c r="K180" s="35"/>
      <c r="L180" s="35"/>
      <c r="M180" s="35"/>
      <c r="N180" s="35"/>
    </row>
    <row r="181" spans="1:14">
      <c r="A181" s="34">
        <v>1810</v>
      </c>
      <c r="B181" s="34">
        <v>1820</v>
      </c>
      <c r="C181" s="34">
        <f t="shared" si="2"/>
        <v>1810000</v>
      </c>
      <c r="D181" s="34">
        <v>15320</v>
      </c>
      <c r="E181" s="34">
        <v>10820</v>
      </c>
      <c r="F181" s="34">
        <v>2830</v>
      </c>
      <c r="G181" s="35"/>
      <c r="H181" s="35"/>
      <c r="I181" s="35"/>
      <c r="J181" s="35"/>
      <c r="K181" s="35"/>
      <c r="L181" s="35"/>
      <c r="M181" s="35"/>
      <c r="N181" s="35"/>
    </row>
    <row r="182" spans="1:14">
      <c r="A182" s="34">
        <v>1820</v>
      </c>
      <c r="B182" s="34">
        <v>1830</v>
      </c>
      <c r="C182" s="34">
        <f t="shared" si="2"/>
        <v>1820000</v>
      </c>
      <c r="D182" s="34">
        <v>15530</v>
      </c>
      <c r="E182" s="34">
        <v>11030</v>
      </c>
      <c r="F182" s="34">
        <v>3020</v>
      </c>
      <c r="G182" s="35"/>
      <c r="H182" s="35"/>
      <c r="I182" s="35"/>
      <c r="J182" s="35"/>
      <c r="K182" s="35"/>
      <c r="L182" s="35"/>
      <c r="M182" s="35"/>
      <c r="N182" s="35"/>
    </row>
    <row r="183" spans="1:14">
      <c r="A183" s="34">
        <v>1830</v>
      </c>
      <c r="B183" s="34">
        <v>1840</v>
      </c>
      <c r="C183" s="34">
        <f t="shared" si="2"/>
        <v>1830000</v>
      </c>
      <c r="D183" s="34">
        <v>15730</v>
      </c>
      <c r="E183" s="34">
        <v>11230</v>
      </c>
      <c r="F183" s="34">
        <v>3220</v>
      </c>
      <c r="G183" s="35"/>
      <c r="H183" s="35"/>
      <c r="I183" s="35"/>
      <c r="J183" s="35"/>
      <c r="K183" s="35"/>
      <c r="L183" s="35"/>
      <c r="M183" s="35"/>
      <c r="N183" s="35"/>
    </row>
    <row r="184" spans="1:14">
      <c r="A184" s="34">
        <v>1840</v>
      </c>
      <c r="B184" s="34">
        <v>1850</v>
      </c>
      <c r="C184" s="34">
        <f t="shared" si="2"/>
        <v>1840000</v>
      </c>
      <c r="D184" s="34">
        <v>15940</v>
      </c>
      <c r="E184" s="34">
        <v>11440</v>
      </c>
      <c r="F184" s="34">
        <v>3420</v>
      </c>
      <c r="G184" s="35"/>
      <c r="H184" s="35"/>
      <c r="I184" s="35"/>
      <c r="J184" s="35"/>
      <c r="K184" s="35"/>
      <c r="L184" s="35"/>
      <c r="M184" s="35"/>
      <c r="N184" s="35"/>
    </row>
    <row r="185" spans="1:14">
      <c r="A185" s="34">
        <v>1850</v>
      </c>
      <c r="B185" s="34">
        <v>1860</v>
      </c>
      <c r="C185" s="34">
        <f t="shared" si="2"/>
        <v>1850000</v>
      </c>
      <c r="D185" s="34">
        <v>16150</v>
      </c>
      <c r="E185" s="34">
        <v>11650</v>
      </c>
      <c r="F185" s="34">
        <v>3620</v>
      </c>
      <c r="G185" s="35"/>
      <c r="H185" s="35"/>
      <c r="I185" s="35"/>
      <c r="J185" s="35"/>
      <c r="K185" s="35"/>
      <c r="L185" s="35"/>
      <c r="M185" s="35"/>
      <c r="N185" s="35"/>
    </row>
    <row r="186" spans="1:14">
      <c r="A186" s="34">
        <v>1860</v>
      </c>
      <c r="B186" s="34">
        <v>1870</v>
      </c>
      <c r="C186" s="34">
        <f t="shared" si="2"/>
        <v>1860000</v>
      </c>
      <c r="D186" s="34">
        <v>16350</v>
      </c>
      <c r="E186" s="34">
        <v>11850</v>
      </c>
      <c r="F186" s="34">
        <v>3820</v>
      </c>
      <c r="G186" s="35"/>
      <c r="H186" s="35"/>
      <c r="I186" s="35"/>
      <c r="J186" s="35"/>
      <c r="K186" s="35"/>
      <c r="L186" s="35"/>
      <c r="M186" s="35"/>
      <c r="N186" s="35"/>
    </row>
    <row r="187" spans="1:14">
      <c r="A187" s="34">
        <v>1870</v>
      </c>
      <c r="B187" s="34">
        <v>1880</v>
      </c>
      <c r="C187" s="34">
        <f t="shared" si="2"/>
        <v>1870000</v>
      </c>
      <c r="D187" s="34">
        <v>16560</v>
      </c>
      <c r="E187" s="34">
        <v>12060</v>
      </c>
      <c r="F187" s="34">
        <v>4020</v>
      </c>
      <c r="G187" s="35"/>
      <c r="H187" s="35"/>
      <c r="I187" s="35"/>
      <c r="J187" s="35"/>
      <c r="K187" s="35"/>
      <c r="L187" s="35"/>
      <c r="M187" s="35"/>
      <c r="N187" s="35"/>
    </row>
    <row r="188" spans="1:14">
      <c r="A188" s="34">
        <v>1880</v>
      </c>
      <c r="B188" s="34">
        <v>1890</v>
      </c>
      <c r="C188" s="34">
        <f t="shared" si="2"/>
        <v>1880000</v>
      </c>
      <c r="D188" s="34">
        <v>16770</v>
      </c>
      <c r="E188" s="34">
        <v>12270</v>
      </c>
      <c r="F188" s="34">
        <v>4220</v>
      </c>
      <c r="G188" s="35"/>
      <c r="H188" s="35"/>
      <c r="I188" s="35"/>
      <c r="J188" s="35"/>
      <c r="K188" s="35"/>
      <c r="L188" s="35"/>
      <c r="M188" s="35"/>
      <c r="N188" s="35"/>
    </row>
    <row r="189" spans="1:14">
      <c r="A189" s="34">
        <v>1890</v>
      </c>
      <c r="B189" s="34">
        <v>1900</v>
      </c>
      <c r="C189" s="34">
        <f t="shared" si="2"/>
        <v>1890000</v>
      </c>
      <c r="D189" s="34">
        <v>16970</v>
      </c>
      <c r="E189" s="34">
        <v>12470</v>
      </c>
      <c r="F189" s="34">
        <v>4410</v>
      </c>
      <c r="G189" s="34">
        <v>1040</v>
      </c>
      <c r="H189" s="35"/>
      <c r="I189" s="35"/>
      <c r="J189" s="35"/>
      <c r="K189" s="35"/>
      <c r="L189" s="35"/>
      <c r="M189" s="35"/>
      <c r="N189" s="35"/>
    </row>
    <row r="190" spans="1:14">
      <c r="A190" s="34">
        <v>1900</v>
      </c>
      <c r="B190" s="34">
        <v>1910</v>
      </c>
      <c r="C190" s="34">
        <f t="shared" si="2"/>
        <v>1900000</v>
      </c>
      <c r="D190" s="34">
        <v>17180</v>
      </c>
      <c r="E190" s="34">
        <v>12680</v>
      </c>
      <c r="F190" s="34">
        <v>4610</v>
      </c>
      <c r="G190" s="34">
        <v>1240</v>
      </c>
      <c r="H190" s="35"/>
      <c r="I190" s="35"/>
      <c r="J190" s="35"/>
      <c r="K190" s="35"/>
      <c r="L190" s="35"/>
      <c r="M190" s="35"/>
      <c r="N190" s="35"/>
    </row>
    <row r="191" spans="1:14">
      <c r="A191" s="34">
        <v>1910</v>
      </c>
      <c r="B191" s="34">
        <v>1920</v>
      </c>
      <c r="C191" s="34">
        <f t="shared" si="2"/>
        <v>1910000</v>
      </c>
      <c r="D191" s="34">
        <v>17390</v>
      </c>
      <c r="E191" s="34">
        <v>12890</v>
      </c>
      <c r="F191" s="34">
        <v>4810</v>
      </c>
      <c r="G191" s="34">
        <v>1440</v>
      </c>
      <c r="H191" s="35"/>
      <c r="I191" s="35"/>
      <c r="J191" s="35"/>
      <c r="K191" s="35"/>
      <c r="L191" s="35"/>
      <c r="M191" s="35"/>
      <c r="N191" s="35"/>
    </row>
    <row r="192" spans="1:14">
      <c r="A192" s="34">
        <v>1920</v>
      </c>
      <c r="B192" s="34">
        <v>1930</v>
      </c>
      <c r="C192" s="34">
        <f t="shared" si="2"/>
        <v>1920000</v>
      </c>
      <c r="D192" s="34">
        <v>17590</v>
      </c>
      <c r="E192" s="34">
        <v>13090</v>
      </c>
      <c r="F192" s="34">
        <v>5010</v>
      </c>
      <c r="G192" s="34">
        <v>1630</v>
      </c>
      <c r="H192" s="35"/>
      <c r="I192" s="35"/>
      <c r="J192" s="35"/>
      <c r="K192" s="35"/>
      <c r="L192" s="35"/>
      <c r="M192" s="35"/>
      <c r="N192" s="35"/>
    </row>
    <row r="193" spans="1:14">
      <c r="A193" s="34">
        <v>1930</v>
      </c>
      <c r="B193" s="34">
        <v>1940</v>
      </c>
      <c r="C193" s="34">
        <f t="shared" si="2"/>
        <v>1930000</v>
      </c>
      <c r="D193" s="34">
        <v>17800</v>
      </c>
      <c r="E193" s="34">
        <v>13300</v>
      </c>
      <c r="F193" s="34">
        <v>5210</v>
      </c>
      <c r="G193" s="34">
        <v>1830</v>
      </c>
      <c r="H193" s="35"/>
      <c r="I193" s="35"/>
      <c r="J193" s="35"/>
      <c r="K193" s="35"/>
      <c r="L193" s="35"/>
      <c r="M193" s="35"/>
      <c r="N193" s="35"/>
    </row>
    <row r="194" spans="1:14">
      <c r="A194" s="34">
        <v>1940</v>
      </c>
      <c r="B194" s="34">
        <v>1950</v>
      </c>
      <c r="C194" s="34">
        <f t="shared" si="2"/>
        <v>1940000</v>
      </c>
      <c r="D194" s="34">
        <v>18010</v>
      </c>
      <c r="E194" s="34">
        <v>13510</v>
      </c>
      <c r="F194" s="34">
        <v>5410</v>
      </c>
      <c r="G194" s="34">
        <v>2030</v>
      </c>
      <c r="H194" s="35"/>
      <c r="I194" s="35"/>
      <c r="J194" s="35"/>
      <c r="K194" s="35"/>
      <c r="L194" s="35"/>
      <c r="M194" s="35"/>
      <c r="N194" s="35"/>
    </row>
    <row r="195" spans="1:14">
      <c r="A195" s="34">
        <v>1950</v>
      </c>
      <c r="B195" s="34">
        <v>1960</v>
      </c>
      <c r="C195" s="34">
        <f t="shared" si="2"/>
        <v>1950000</v>
      </c>
      <c r="D195" s="34">
        <v>18210</v>
      </c>
      <c r="E195" s="34">
        <v>13710</v>
      </c>
      <c r="F195" s="34">
        <v>5600</v>
      </c>
      <c r="G195" s="34">
        <v>2230</v>
      </c>
      <c r="H195" s="35"/>
      <c r="I195" s="35"/>
      <c r="J195" s="35"/>
      <c r="K195" s="35"/>
      <c r="L195" s="35"/>
      <c r="M195" s="35"/>
      <c r="N195" s="35"/>
    </row>
    <row r="196" spans="1:14">
      <c r="A196" s="34">
        <v>1960</v>
      </c>
      <c r="B196" s="34">
        <v>1970</v>
      </c>
      <c r="C196" s="34">
        <f t="shared" ref="C196:C259" si="3">A196*1000</f>
        <v>1960000</v>
      </c>
      <c r="D196" s="34">
        <v>18420</v>
      </c>
      <c r="E196" s="34">
        <v>13920</v>
      </c>
      <c r="F196" s="34">
        <v>5800</v>
      </c>
      <c r="G196" s="34">
        <v>2430</v>
      </c>
      <c r="H196" s="35"/>
      <c r="I196" s="35"/>
      <c r="J196" s="35"/>
      <c r="K196" s="35"/>
      <c r="L196" s="35"/>
      <c r="M196" s="35"/>
      <c r="N196" s="35"/>
    </row>
    <row r="197" spans="1:14">
      <c r="A197" s="34">
        <v>1970</v>
      </c>
      <c r="B197" s="34">
        <v>1980</v>
      </c>
      <c r="C197" s="34">
        <f t="shared" si="3"/>
        <v>1970000</v>
      </c>
      <c r="D197" s="34">
        <v>18630</v>
      </c>
      <c r="E197" s="34">
        <v>14130</v>
      </c>
      <c r="F197" s="34">
        <v>6000</v>
      </c>
      <c r="G197" s="34">
        <v>2630</v>
      </c>
      <c r="H197" s="35"/>
      <c r="I197" s="35"/>
      <c r="J197" s="35"/>
      <c r="K197" s="35"/>
      <c r="L197" s="35"/>
      <c r="M197" s="35"/>
      <c r="N197" s="35"/>
    </row>
    <row r="198" spans="1:14">
      <c r="A198" s="34">
        <v>1980</v>
      </c>
      <c r="B198" s="34">
        <v>1990</v>
      </c>
      <c r="C198" s="34">
        <f t="shared" si="3"/>
        <v>1980000</v>
      </c>
      <c r="D198" s="34">
        <v>18880</v>
      </c>
      <c r="E198" s="34">
        <v>14330</v>
      </c>
      <c r="F198" s="34">
        <v>6200</v>
      </c>
      <c r="G198" s="34">
        <v>2820</v>
      </c>
      <c r="H198" s="35"/>
      <c r="I198" s="35"/>
      <c r="J198" s="35"/>
      <c r="K198" s="35"/>
      <c r="L198" s="35"/>
      <c r="M198" s="35"/>
      <c r="N198" s="35"/>
    </row>
    <row r="199" spans="1:14">
      <c r="A199" s="34">
        <v>1990</v>
      </c>
      <c r="B199" s="34">
        <v>2000</v>
      </c>
      <c r="C199" s="34">
        <f t="shared" si="3"/>
        <v>1990000</v>
      </c>
      <c r="D199" s="34">
        <v>19200</v>
      </c>
      <c r="E199" s="34">
        <v>14540</v>
      </c>
      <c r="F199" s="34">
        <v>6400</v>
      </c>
      <c r="G199" s="34">
        <v>3020</v>
      </c>
      <c r="H199" s="35"/>
      <c r="I199" s="35"/>
      <c r="J199" s="35"/>
      <c r="K199" s="35"/>
      <c r="L199" s="35"/>
      <c r="M199" s="35"/>
      <c r="N199" s="35"/>
    </row>
    <row r="200" spans="1:14">
      <c r="A200" s="34">
        <v>2000</v>
      </c>
      <c r="B200" s="34">
        <v>2010</v>
      </c>
      <c r="C200" s="34">
        <f t="shared" si="3"/>
        <v>2000000</v>
      </c>
      <c r="D200" s="34">
        <v>19520</v>
      </c>
      <c r="E200" s="34">
        <v>14750</v>
      </c>
      <c r="F200" s="34">
        <v>6600</v>
      </c>
      <c r="G200" s="34">
        <v>3220</v>
      </c>
      <c r="H200" s="35"/>
      <c r="I200" s="35"/>
      <c r="J200" s="35"/>
      <c r="K200" s="35"/>
      <c r="L200" s="35"/>
      <c r="M200" s="35"/>
      <c r="N200" s="35"/>
    </row>
    <row r="201" spans="1:14">
      <c r="A201" s="34">
        <v>2010</v>
      </c>
      <c r="B201" s="34">
        <v>2020</v>
      </c>
      <c r="C201" s="34">
        <f t="shared" si="3"/>
        <v>2010000</v>
      </c>
      <c r="D201" s="34">
        <v>19850</v>
      </c>
      <c r="E201" s="34">
        <v>14950</v>
      </c>
      <c r="F201" s="34">
        <v>6800</v>
      </c>
      <c r="G201" s="34">
        <v>3420</v>
      </c>
      <c r="H201" s="35"/>
      <c r="I201" s="35"/>
      <c r="J201" s="35"/>
      <c r="K201" s="35"/>
      <c r="L201" s="35"/>
      <c r="M201" s="35"/>
      <c r="N201" s="35"/>
    </row>
    <row r="202" spans="1:14">
      <c r="A202" s="34">
        <v>2020</v>
      </c>
      <c r="B202" s="34">
        <v>2030</v>
      </c>
      <c r="C202" s="34">
        <f t="shared" si="3"/>
        <v>2020000</v>
      </c>
      <c r="D202" s="34">
        <v>20170</v>
      </c>
      <c r="E202" s="34">
        <v>15160</v>
      </c>
      <c r="F202" s="34">
        <v>6990</v>
      </c>
      <c r="G202" s="34">
        <v>3620</v>
      </c>
      <c r="H202" s="35"/>
      <c r="I202" s="35"/>
      <c r="J202" s="35"/>
      <c r="K202" s="35"/>
      <c r="L202" s="35"/>
      <c r="M202" s="35"/>
      <c r="N202" s="35"/>
    </row>
    <row r="203" spans="1:14">
      <c r="A203" s="34">
        <v>2030</v>
      </c>
      <c r="B203" s="34">
        <v>2040</v>
      </c>
      <c r="C203" s="34">
        <f t="shared" si="3"/>
        <v>2030000</v>
      </c>
      <c r="D203" s="34">
        <v>20490</v>
      </c>
      <c r="E203" s="34">
        <v>15370</v>
      </c>
      <c r="F203" s="34">
        <v>7190</v>
      </c>
      <c r="G203" s="34">
        <v>3820</v>
      </c>
      <c r="H203" s="35"/>
      <c r="I203" s="35"/>
      <c r="J203" s="35"/>
      <c r="K203" s="35"/>
      <c r="L203" s="35"/>
      <c r="M203" s="35"/>
      <c r="N203" s="35"/>
    </row>
    <row r="204" spans="1:14">
      <c r="A204" s="34">
        <v>2040</v>
      </c>
      <c r="B204" s="34">
        <v>2050</v>
      </c>
      <c r="C204" s="34">
        <f t="shared" si="3"/>
        <v>2040000</v>
      </c>
      <c r="D204" s="34">
        <v>20810</v>
      </c>
      <c r="E204" s="34">
        <v>15570</v>
      </c>
      <c r="F204" s="34">
        <v>7390</v>
      </c>
      <c r="G204" s="34">
        <v>4020</v>
      </c>
      <c r="H204" s="35"/>
      <c r="I204" s="35"/>
      <c r="J204" s="35"/>
      <c r="K204" s="35"/>
      <c r="L204" s="35"/>
      <c r="M204" s="35"/>
      <c r="N204" s="35"/>
    </row>
    <row r="205" spans="1:14">
      <c r="A205" s="34">
        <v>2050</v>
      </c>
      <c r="B205" s="34">
        <v>2060</v>
      </c>
      <c r="C205" s="34">
        <f t="shared" si="3"/>
        <v>2050000</v>
      </c>
      <c r="D205" s="34">
        <v>21130</v>
      </c>
      <c r="E205" s="34">
        <v>15780</v>
      </c>
      <c r="F205" s="34">
        <v>7590</v>
      </c>
      <c r="G205" s="34">
        <v>4210</v>
      </c>
      <c r="H205" s="35"/>
      <c r="I205" s="35"/>
      <c r="J205" s="35"/>
      <c r="K205" s="35"/>
      <c r="L205" s="35"/>
      <c r="M205" s="35"/>
      <c r="N205" s="35"/>
    </row>
    <row r="206" spans="1:14">
      <c r="A206" s="34">
        <v>2060</v>
      </c>
      <c r="B206" s="34">
        <v>2070</v>
      </c>
      <c r="C206" s="34">
        <f t="shared" si="3"/>
        <v>2060000</v>
      </c>
      <c r="D206" s="34">
        <v>21450</v>
      </c>
      <c r="E206" s="34">
        <v>15990</v>
      </c>
      <c r="F206" s="34">
        <v>7790</v>
      </c>
      <c r="G206" s="34">
        <v>4410</v>
      </c>
      <c r="H206" s="34">
        <v>1040</v>
      </c>
      <c r="I206" s="35"/>
      <c r="J206" s="35"/>
      <c r="K206" s="35"/>
      <c r="L206" s="35"/>
      <c r="M206" s="35"/>
      <c r="N206" s="35"/>
    </row>
    <row r="207" spans="1:14">
      <c r="A207" s="34">
        <v>2070</v>
      </c>
      <c r="B207" s="34">
        <v>2080</v>
      </c>
      <c r="C207" s="34">
        <f t="shared" si="3"/>
        <v>2070000</v>
      </c>
      <c r="D207" s="34">
        <v>21770</v>
      </c>
      <c r="E207" s="34">
        <v>16190</v>
      </c>
      <c r="F207" s="34">
        <v>7990</v>
      </c>
      <c r="G207" s="34">
        <v>4610</v>
      </c>
      <c r="H207" s="34">
        <v>1240</v>
      </c>
      <c r="I207" s="35"/>
      <c r="J207" s="35"/>
      <c r="K207" s="35"/>
      <c r="L207" s="35"/>
      <c r="M207" s="35"/>
      <c r="N207" s="35"/>
    </row>
    <row r="208" spans="1:14">
      <c r="A208" s="34">
        <v>2080</v>
      </c>
      <c r="B208" s="34">
        <v>2090</v>
      </c>
      <c r="C208" s="34">
        <f t="shared" si="3"/>
        <v>2080000</v>
      </c>
      <c r="D208" s="34">
        <v>22090</v>
      </c>
      <c r="E208" s="34">
        <v>16400</v>
      </c>
      <c r="F208" s="34">
        <v>8180</v>
      </c>
      <c r="G208" s="34">
        <v>4810</v>
      </c>
      <c r="H208" s="34">
        <v>1430</v>
      </c>
      <c r="I208" s="35"/>
      <c r="J208" s="35"/>
      <c r="K208" s="35"/>
      <c r="L208" s="35"/>
      <c r="M208" s="35"/>
      <c r="N208" s="35"/>
    </row>
    <row r="209" spans="1:14">
      <c r="A209" s="34">
        <v>2090</v>
      </c>
      <c r="B209" s="34">
        <v>2100</v>
      </c>
      <c r="C209" s="34">
        <f t="shared" si="3"/>
        <v>2090000</v>
      </c>
      <c r="D209" s="34">
        <v>22420</v>
      </c>
      <c r="E209" s="34">
        <v>16600</v>
      </c>
      <c r="F209" s="34">
        <v>8380</v>
      </c>
      <c r="G209" s="34">
        <v>5010</v>
      </c>
      <c r="H209" s="34">
        <v>1630</v>
      </c>
      <c r="I209" s="35"/>
      <c r="J209" s="35"/>
      <c r="K209" s="35"/>
      <c r="L209" s="35"/>
      <c r="M209" s="35"/>
      <c r="N209" s="35"/>
    </row>
    <row r="210" spans="1:14">
      <c r="A210" s="34">
        <v>2100</v>
      </c>
      <c r="B210" s="34">
        <v>2110</v>
      </c>
      <c r="C210" s="34">
        <f t="shared" si="3"/>
        <v>2100000</v>
      </c>
      <c r="D210" s="34">
        <v>22740</v>
      </c>
      <c r="E210" s="34">
        <v>16810</v>
      </c>
      <c r="F210" s="34">
        <v>8580</v>
      </c>
      <c r="G210" s="34">
        <v>5210</v>
      </c>
      <c r="H210" s="34">
        <v>1830</v>
      </c>
      <c r="I210" s="35"/>
      <c r="J210" s="35"/>
      <c r="K210" s="35"/>
      <c r="L210" s="35"/>
      <c r="M210" s="35"/>
      <c r="N210" s="35"/>
    </row>
    <row r="211" spans="1:14">
      <c r="A211" s="34">
        <v>2110</v>
      </c>
      <c r="B211" s="34">
        <v>2120</v>
      </c>
      <c r="C211" s="34">
        <f t="shared" si="3"/>
        <v>2110000</v>
      </c>
      <c r="D211" s="34">
        <v>23060</v>
      </c>
      <c r="E211" s="34">
        <v>17020</v>
      </c>
      <c r="F211" s="34">
        <v>8780</v>
      </c>
      <c r="G211" s="34">
        <v>5400</v>
      </c>
      <c r="H211" s="34">
        <v>2030</v>
      </c>
      <c r="I211" s="35"/>
      <c r="J211" s="35"/>
      <c r="K211" s="35"/>
      <c r="L211" s="35"/>
      <c r="M211" s="35"/>
      <c r="N211" s="35"/>
    </row>
    <row r="212" spans="1:14">
      <c r="A212" s="34">
        <v>2120</v>
      </c>
      <c r="B212" s="34">
        <v>2130</v>
      </c>
      <c r="C212" s="34">
        <f t="shared" si="3"/>
        <v>2120000</v>
      </c>
      <c r="D212" s="34">
        <v>23380</v>
      </c>
      <c r="E212" s="34">
        <v>17220</v>
      </c>
      <c r="F212" s="34">
        <v>8980</v>
      </c>
      <c r="G212" s="34">
        <v>5600</v>
      </c>
      <c r="H212" s="34">
        <v>2230</v>
      </c>
      <c r="I212" s="35"/>
      <c r="J212" s="35"/>
      <c r="K212" s="35"/>
      <c r="L212" s="35"/>
      <c r="M212" s="35"/>
      <c r="N212" s="35"/>
    </row>
    <row r="213" spans="1:14">
      <c r="A213" s="34">
        <v>2130</v>
      </c>
      <c r="B213" s="34">
        <v>2140</v>
      </c>
      <c r="C213" s="34">
        <f t="shared" si="3"/>
        <v>2130000</v>
      </c>
      <c r="D213" s="34">
        <v>23700</v>
      </c>
      <c r="E213" s="34">
        <v>17430</v>
      </c>
      <c r="F213" s="34">
        <v>9180</v>
      </c>
      <c r="G213" s="34">
        <v>5800</v>
      </c>
      <c r="H213" s="34">
        <v>2430</v>
      </c>
      <c r="I213" s="35"/>
      <c r="J213" s="35"/>
      <c r="K213" s="35"/>
      <c r="L213" s="35"/>
      <c r="M213" s="35"/>
      <c r="N213" s="35"/>
    </row>
    <row r="214" spans="1:14">
      <c r="A214" s="34">
        <v>2140</v>
      </c>
      <c r="B214" s="34">
        <v>2150</v>
      </c>
      <c r="C214" s="34">
        <f t="shared" si="3"/>
        <v>2140000</v>
      </c>
      <c r="D214" s="34">
        <v>24020</v>
      </c>
      <c r="E214" s="34">
        <v>17640</v>
      </c>
      <c r="F214" s="34">
        <v>9380</v>
      </c>
      <c r="G214" s="34">
        <v>6000</v>
      </c>
      <c r="H214" s="34">
        <v>2630</v>
      </c>
      <c r="I214" s="35"/>
      <c r="J214" s="35"/>
      <c r="K214" s="35"/>
      <c r="L214" s="35"/>
      <c r="M214" s="35"/>
      <c r="N214" s="35"/>
    </row>
    <row r="215" spans="1:14">
      <c r="A215" s="34">
        <v>2150</v>
      </c>
      <c r="B215" s="34">
        <v>2160</v>
      </c>
      <c r="C215" s="34">
        <f t="shared" si="3"/>
        <v>2150000</v>
      </c>
      <c r="D215" s="34">
        <v>24340</v>
      </c>
      <c r="E215" s="34">
        <v>17840</v>
      </c>
      <c r="F215" s="34">
        <v>9570</v>
      </c>
      <c r="G215" s="34">
        <v>6200</v>
      </c>
      <c r="H215" s="34">
        <v>2820</v>
      </c>
      <c r="I215" s="35"/>
      <c r="J215" s="35"/>
      <c r="K215" s="35"/>
      <c r="L215" s="35"/>
      <c r="M215" s="35"/>
      <c r="N215" s="35"/>
    </row>
    <row r="216" spans="1:14">
      <c r="A216" s="34">
        <v>2160</v>
      </c>
      <c r="B216" s="34">
        <v>2170</v>
      </c>
      <c r="C216" s="34">
        <f t="shared" si="3"/>
        <v>2160000</v>
      </c>
      <c r="D216" s="34">
        <v>24660</v>
      </c>
      <c r="E216" s="34">
        <v>18050</v>
      </c>
      <c r="F216" s="34">
        <v>9770</v>
      </c>
      <c r="G216" s="34">
        <v>6400</v>
      </c>
      <c r="H216" s="34">
        <v>3020</v>
      </c>
      <c r="I216" s="35"/>
      <c r="J216" s="35"/>
      <c r="K216" s="35"/>
      <c r="L216" s="35"/>
      <c r="M216" s="35"/>
      <c r="N216" s="35"/>
    </row>
    <row r="217" spans="1:14">
      <c r="A217" s="34">
        <v>2170</v>
      </c>
      <c r="B217" s="34">
        <v>2180</v>
      </c>
      <c r="C217" s="34">
        <f t="shared" si="3"/>
        <v>2170000</v>
      </c>
      <c r="D217" s="34">
        <v>24990</v>
      </c>
      <c r="E217" s="34">
        <v>18260</v>
      </c>
      <c r="F217" s="34">
        <v>9970</v>
      </c>
      <c r="G217" s="34">
        <v>6600</v>
      </c>
      <c r="H217" s="34">
        <v>3220</v>
      </c>
      <c r="I217" s="35"/>
      <c r="J217" s="35"/>
      <c r="K217" s="35"/>
      <c r="L217" s="35"/>
      <c r="M217" s="35"/>
      <c r="N217" s="35"/>
    </row>
    <row r="218" spans="1:14">
      <c r="A218" s="34">
        <v>2180</v>
      </c>
      <c r="B218" s="34">
        <v>2190</v>
      </c>
      <c r="C218" s="34">
        <f t="shared" si="3"/>
        <v>2180000</v>
      </c>
      <c r="D218" s="34">
        <v>25310</v>
      </c>
      <c r="E218" s="34">
        <v>18460</v>
      </c>
      <c r="F218" s="34">
        <v>10170</v>
      </c>
      <c r="G218" s="34">
        <v>6790</v>
      </c>
      <c r="H218" s="34">
        <v>3420</v>
      </c>
      <c r="I218" s="35"/>
      <c r="J218" s="35"/>
      <c r="K218" s="35"/>
      <c r="L218" s="35"/>
      <c r="M218" s="35"/>
      <c r="N218" s="35"/>
    </row>
    <row r="219" spans="1:14">
      <c r="A219" s="34">
        <v>2190</v>
      </c>
      <c r="B219" s="34">
        <v>2200</v>
      </c>
      <c r="C219" s="34">
        <f t="shared" si="3"/>
        <v>2190000</v>
      </c>
      <c r="D219" s="34">
        <v>25630</v>
      </c>
      <c r="E219" s="34">
        <v>18670</v>
      </c>
      <c r="F219" s="34">
        <v>10370</v>
      </c>
      <c r="G219" s="34">
        <v>6990</v>
      </c>
      <c r="H219" s="34">
        <v>3620</v>
      </c>
      <c r="I219" s="35"/>
      <c r="J219" s="35"/>
      <c r="K219" s="35"/>
      <c r="L219" s="35"/>
      <c r="M219" s="35"/>
      <c r="N219" s="35"/>
    </row>
    <row r="220" spans="1:14">
      <c r="A220" s="34">
        <v>2200</v>
      </c>
      <c r="B220" s="34">
        <v>2210</v>
      </c>
      <c r="C220" s="34">
        <f t="shared" si="3"/>
        <v>2200000</v>
      </c>
      <c r="D220" s="34">
        <v>25950</v>
      </c>
      <c r="E220" s="34">
        <v>18950</v>
      </c>
      <c r="F220" s="34">
        <v>10570</v>
      </c>
      <c r="G220" s="34">
        <v>7190</v>
      </c>
      <c r="H220" s="34">
        <v>3820</v>
      </c>
      <c r="I220" s="35"/>
      <c r="J220" s="35"/>
      <c r="K220" s="35"/>
      <c r="L220" s="35"/>
      <c r="M220" s="35"/>
      <c r="N220" s="35"/>
    </row>
    <row r="221" spans="1:14">
      <c r="A221" s="34">
        <v>2210</v>
      </c>
      <c r="B221" s="34">
        <v>2220</v>
      </c>
      <c r="C221" s="34">
        <f t="shared" si="3"/>
        <v>2210000</v>
      </c>
      <c r="D221" s="34">
        <v>26270</v>
      </c>
      <c r="E221" s="34">
        <v>19270</v>
      </c>
      <c r="F221" s="34">
        <v>10760</v>
      </c>
      <c r="G221" s="34">
        <v>7390</v>
      </c>
      <c r="H221" s="34">
        <v>4010</v>
      </c>
      <c r="I221" s="35"/>
      <c r="J221" s="35"/>
      <c r="K221" s="35"/>
      <c r="L221" s="35"/>
      <c r="M221" s="35"/>
      <c r="N221" s="35"/>
    </row>
    <row r="222" spans="1:14">
      <c r="A222" s="34">
        <v>2220</v>
      </c>
      <c r="B222" s="34">
        <v>2230</v>
      </c>
      <c r="C222" s="34">
        <f t="shared" si="3"/>
        <v>2220000</v>
      </c>
      <c r="D222" s="34">
        <v>26590</v>
      </c>
      <c r="E222" s="34">
        <v>19590</v>
      </c>
      <c r="F222" s="34">
        <v>10960</v>
      </c>
      <c r="G222" s="34">
        <v>7590</v>
      </c>
      <c r="H222" s="34">
        <v>4210</v>
      </c>
      <c r="I222" s="35"/>
      <c r="J222" s="35"/>
      <c r="K222" s="35"/>
      <c r="L222" s="35"/>
      <c r="M222" s="35"/>
      <c r="N222" s="35"/>
    </row>
    <row r="223" spans="1:14">
      <c r="A223" s="34">
        <v>2230</v>
      </c>
      <c r="B223" s="34">
        <v>2240</v>
      </c>
      <c r="C223" s="34">
        <f t="shared" si="3"/>
        <v>2230000</v>
      </c>
      <c r="D223" s="34">
        <v>26910</v>
      </c>
      <c r="E223" s="34">
        <v>19910</v>
      </c>
      <c r="F223" s="34">
        <v>11160</v>
      </c>
      <c r="G223" s="34">
        <v>7790</v>
      </c>
      <c r="H223" s="34">
        <v>4410</v>
      </c>
      <c r="I223" s="34">
        <v>1040</v>
      </c>
      <c r="J223" s="35"/>
      <c r="K223" s="35"/>
      <c r="L223" s="35"/>
      <c r="M223" s="35"/>
      <c r="N223" s="35"/>
    </row>
    <row r="224" spans="1:14">
      <c r="A224" s="34">
        <v>2240</v>
      </c>
      <c r="B224" s="34">
        <v>2250</v>
      </c>
      <c r="C224" s="34">
        <f t="shared" si="3"/>
        <v>2240000</v>
      </c>
      <c r="D224" s="34">
        <v>27240</v>
      </c>
      <c r="E224" s="34">
        <v>20240</v>
      </c>
      <c r="F224" s="34">
        <v>11360</v>
      </c>
      <c r="G224" s="34">
        <v>7980</v>
      </c>
      <c r="H224" s="34">
        <v>4610</v>
      </c>
      <c r="I224" s="34">
        <v>1230</v>
      </c>
      <c r="J224" s="35"/>
      <c r="K224" s="35"/>
      <c r="L224" s="35"/>
      <c r="M224" s="35"/>
      <c r="N224" s="35"/>
    </row>
    <row r="225" spans="1:14">
      <c r="A225" s="34">
        <v>2250</v>
      </c>
      <c r="B225" s="34">
        <v>2260</v>
      </c>
      <c r="C225" s="34">
        <f t="shared" si="3"/>
        <v>2250000</v>
      </c>
      <c r="D225" s="34">
        <v>27560</v>
      </c>
      <c r="E225" s="34">
        <v>20560</v>
      </c>
      <c r="F225" s="34">
        <v>11560</v>
      </c>
      <c r="G225" s="34">
        <v>8180</v>
      </c>
      <c r="H225" s="34">
        <v>4810</v>
      </c>
      <c r="I225" s="34">
        <v>1430</v>
      </c>
      <c r="J225" s="35"/>
      <c r="K225" s="35"/>
      <c r="L225" s="35"/>
      <c r="M225" s="35"/>
      <c r="N225" s="35"/>
    </row>
    <row r="226" spans="1:14">
      <c r="A226" s="34">
        <v>2260</v>
      </c>
      <c r="B226" s="34">
        <v>2270</v>
      </c>
      <c r="C226" s="34">
        <f t="shared" si="3"/>
        <v>2260000</v>
      </c>
      <c r="D226" s="34">
        <v>27880</v>
      </c>
      <c r="E226" s="34">
        <v>20880</v>
      </c>
      <c r="F226" s="34">
        <v>11760</v>
      </c>
      <c r="G226" s="34">
        <v>8380</v>
      </c>
      <c r="H226" s="34">
        <v>5010</v>
      </c>
      <c r="I226" s="34">
        <v>1630</v>
      </c>
      <c r="J226" s="35"/>
      <c r="K226" s="35"/>
      <c r="L226" s="35"/>
      <c r="M226" s="35"/>
      <c r="N226" s="35"/>
    </row>
    <row r="227" spans="1:14">
      <c r="A227" s="34">
        <v>2270</v>
      </c>
      <c r="B227" s="34">
        <v>2280</v>
      </c>
      <c r="C227" s="34">
        <f t="shared" si="3"/>
        <v>2270000</v>
      </c>
      <c r="D227" s="34">
        <v>28200</v>
      </c>
      <c r="E227" s="34">
        <v>21200</v>
      </c>
      <c r="F227" s="34">
        <v>11960</v>
      </c>
      <c r="G227" s="34">
        <v>8580</v>
      </c>
      <c r="H227" s="34">
        <v>5210</v>
      </c>
      <c r="I227" s="34">
        <v>1830</v>
      </c>
      <c r="J227" s="35"/>
      <c r="K227" s="35"/>
      <c r="L227" s="35"/>
      <c r="M227" s="35"/>
      <c r="N227" s="35"/>
    </row>
    <row r="228" spans="1:14">
      <c r="A228" s="34">
        <v>2280</v>
      </c>
      <c r="B228" s="34">
        <v>2290</v>
      </c>
      <c r="C228" s="34">
        <f t="shared" si="3"/>
        <v>2280000</v>
      </c>
      <c r="D228" s="34">
        <v>28520</v>
      </c>
      <c r="E228" s="34">
        <v>21520</v>
      </c>
      <c r="F228" s="34">
        <v>12150</v>
      </c>
      <c r="G228" s="34">
        <v>8780</v>
      </c>
      <c r="H228" s="34">
        <v>5400</v>
      </c>
      <c r="I228" s="34">
        <v>2030</v>
      </c>
      <c r="J228" s="35"/>
      <c r="K228" s="35"/>
      <c r="L228" s="35"/>
      <c r="M228" s="35"/>
      <c r="N228" s="35"/>
    </row>
    <row r="229" spans="1:14">
      <c r="A229" s="34">
        <v>2290</v>
      </c>
      <c r="B229" s="34">
        <v>2300</v>
      </c>
      <c r="C229" s="34">
        <f t="shared" si="3"/>
        <v>2290000</v>
      </c>
      <c r="D229" s="34">
        <v>28840</v>
      </c>
      <c r="E229" s="34">
        <v>21840</v>
      </c>
      <c r="F229" s="34">
        <v>12350</v>
      </c>
      <c r="G229" s="34">
        <v>8980</v>
      </c>
      <c r="H229" s="34">
        <v>5600</v>
      </c>
      <c r="I229" s="34">
        <v>2230</v>
      </c>
      <c r="J229" s="35"/>
      <c r="K229" s="35"/>
      <c r="L229" s="35"/>
      <c r="M229" s="35"/>
      <c r="N229" s="35"/>
    </row>
    <row r="230" spans="1:14">
      <c r="A230" s="34">
        <v>2300</v>
      </c>
      <c r="B230" s="34">
        <v>2310</v>
      </c>
      <c r="C230" s="34">
        <f t="shared" si="3"/>
        <v>2300000</v>
      </c>
      <c r="D230" s="34">
        <v>29160</v>
      </c>
      <c r="E230" s="34">
        <v>22160</v>
      </c>
      <c r="F230" s="34">
        <v>12550</v>
      </c>
      <c r="G230" s="34">
        <v>9180</v>
      </c>
      <c r="H230" s="34">
        <v>5800</v>
      </c>
      <c r="I230" s="34">
        <v>2430</v>
      </c>
      <c r="J230" s="35"/>
      <c r="K230" s="35"/>
      <c r="L230" s="35"/>
      <c r="M230" s="35"/>
      <c r="N230" s="35"/>
    </row>
    <row r="231" spans="1:14">
      <c r="A231" s="34">
        <v>2310</v>
      </c>
      <c r="B231" s="34">
        <v>2320</v>
      </c>
      <c r="C231" s="34">
        <f t="shared" si="3"/>
        <v>2310000</v>
      </c>
      <c r="D231" s="34">
        <v>29480</v>
      </c>
      <c r="E231" s="34">
        <v>22480</v>
      </c>
      <c r="F231" s="34">
        <v>12750</v>
      </c>
      <c r="G231" s="34">
        <v>9370</v>
      </c>
      <c r="H231" s="34">
        <v>6000</v>
      </c>
      <c r="I231" s="34">
        <v>2620</v>
      </c>
      <c r="J231" s="35"/>
      <c r="K231" s="35"/>
      <c r="L231" s="35"/>
      <c r="M231" s="35"/>
      <c r="N231" s="35"/>
    </row>
    <row r="232" spans="1:14">
      <c r="A232" s="34">
        <v>2320</v>
      </c>
      <c r="B232" s="34">
        <v>2330</v>
      </c>
      <c r="C232" s="34">
        <f t="shared" si="3"/>
        <v>2320000</v>
      </c>
      <c r="D232" s="34">
        <v>29810</v>
      </c>
      <c r="E232" s="34">
        <v>22810</v>
      </c>
      <c r="F232" s="34">
        <v>12950</v>
      </c>
      <c r="G232" s="34">
        <v>9570</v>
      </c>
      <c r="H232" s="34">
        <v>6200</v>
      </c>
      <c r="I232" s="34">
        <v>2820</v>
      </c>
      <c r="J232" s="35"/>
      <c r="K232" s="35"/>
      <c r="L232" s="35"/>
      <c r="M232" s="35"/>
      <c r="N232" s="35"/>
    </row>
    <row r="233" spans="1:14">
      <c r="A233" s="34">
        <v>2330</v>
      </c>
      <c r="B233" s="34">
        <v>2340</v>
      </c>
      <c r="C233" s="34">
        <f t="shared" si="3"/>
        <v>2330000</v>
      </c>
      <c r="D233" s="34">
        <v>30130</v>
      </c>
      <c r="E233" s="34">
        <v>23130</v>
      </c>
      <c r="F233" s="34">
        <v>13150</v>
      </c>
      <c r="G233" s="34">
        <v>9770</v>
      </c>
      <c r="H233" s="34">
        <v>6400</v>
      </c>
      <c r="I233" s="34">
        <v>3020</v>
      </c>
      <c r="J233" s="35"/>
      <c r="K233" s="35"/>
      <c r="L233" s="35"/>
      <c r="M233" s="35"/>
      <c r="N233" s="35"/>
    </row>
    <row r="234" spans="1:14">
      <c r="A234" s="34">
        <v>2340</v>
      </c>
      <c r="B234" s="34">
        <v>2350</v>
      </c>
      <c r="C234" s="34">
        <f t="shared" si="3"/>
        <v>2340000</v>
      </c>
      <c r="D234" s="34">
        <v>30450</v>
      </c>
      <c r="E234" s="34">
        <v>23450</v>
      </c>
      <c r="F234" s="34">
        <v>13340</v>
      </c>
      <c r="G234" s="34">
        <v>9970</v>
      </c>
      <c r="H234" s="34">
        <v>6590</v>
      </c>
      <c r="I234" s="34">
        <v>3220</v>
      </c>
      <c r="J234" s="35"/>
      <c r="K234" s="35"/>
      <c r="L234" s="35"/>
      <c r="M234" s="35"/>
      <c r="N234" s="35"/>
    </row>
    <row r="235" spans="1:14">
      <c r="A235" s="34">
        <v>2350</v>
      </c>
      <c r="B235" s="34">
        <v>2360</v>
      </c>
      <c r="C235" s="34">
        <f t="shared" si="3"/>
        <v>2350000</v>
      </c>
      <c r="D235" s="34">
        <v>30770</v>
      </c>
      <c r="E235" s="34">
        <v>23770</v>
      </c>
      <c r="F235" s="34">
        <v>13540</v>
      </c>
      <c r="G235" s="34">
        <v>10170</v>
      </c>
      <c r="H235" s="34">
        <v>6790</v>
      </c>
      <c r="I235" s="34">
        <v>3420</v>
      </c>
      <c r="J235" s="35"/>
      <c r="K235" s="35"/>
      <c r="L235" s="35"/>
      <c r="M235" s="35"/>
      <c r="N235" s="35"/>
    </row>
    <row r="236" spans="1:14">
      <c r="A236" s="34">
        <v>2360</v>
      </c>
      <c r="B236" s="34">
        <v>2370</v>
      </c>
      <c r="C236" s="34">
        <f t="shared" si="3"/>
        <v>2360000</v>
      </c>
      <c r="D236" s="34">
        <v>31090</v>
      </c>
      <c r="E236" s="34">
        <v>24090</v>
      </c>
      <c r="F236" s="34">
        <v>13740</v>
      </c>
      <c r="G236" s="34">
        <v>10370</v>
      </c>
      <c r="H236" s="34">
        <v>6990</v>
      </c>
      <c r="I236" s="34">
        <v>3620</v>
      </c>
      <c r="J236" s="35"/>
      <c r="K236" s="35"/>
      <c r="L236" s="35"/>
      <c r="M236" s="35"/>
      <c r="N236" s="35"/>
    </row>
    <row r="237" spans="1:14">
      <c r="A237" s="34">
        <v>2370</v>
      </c>
      <c r="B237" s="34">
        <v>2380</v>
      </c>
      <c r="C237" s="34">
        <f t="shared" si="3"/>
        <v>2370000</v>
      </c>
      <c r="D237" s="34">
        <v>31410</v>
      </c>
      <c r="E237" s="34">
        <v>24410</v>
      </c>
      <c r="F237" s="34">
        <v>13940</v>
      </c>
      <c r="G237" s="34">
        <v>10560</v>
      </c>
      <c r="H237" s="34">
        <v>7190</v>
      </c>
      <c r="I237" s="34">
        <v>3810</v>
      </c>
      <c r="J237" s="35"/>
      <c r="K237" s="35"/>
      <c r="L237" s="35"/>
      <c r="M237" s="35"/>
      <c r="N237" s="35"/>
    </row>
    <row r="238" spans="1:14">
      <c r="A238" s="34">
        <v>2380</v>
      </c>
      <c r="B238" s="34">
        <v>2390</v>
      </c>
      <c r="C238" s="34">
        <f t="shared" si="3"/>
        <v>2380000</v>
      </c>
      <c r="D238" s="34">
        <v>31970</v>
      </c>
      <c r="E238" s="34">
        <v>24730</v>
      </c>
      <c r="F238" s="34">
        <v>14140</v>
      </c>
      <c r="G238" s="34">
        <v>10760</v>
      </c>
      <c r="H238" s="34">
        <v>7390</v>
      </c>
      <c r="I238" s="34">
        <v>4010</v>
      </c>
      <c r="J238" s="35"/>
      <c r="K238" s="35"/>
      <c r="L238" s="35"/>
      <c r="M238" s="35"/>
      <c r="N238" s="35"/>
    </row>
    <row r="239" spans="1:14">
      <c r="A239" s="34">
        <v>2390</v>
      </c>
      <c r="B239" s="34">
        <v>2400</v>
      </c>
      <c r="C239" s="34">
        <f t="shared" si="3"/>
        <v>2390000</v>
      </c>
      <c r="D239" s="34">
        <v>32770</v>
      </c>
      <c r="E239" s="34">
        <v>25050</v>
      </c>
      <c r="F239" s="34">
        <v>14340</v>
      </c>
      <c r="G239" s="34">
        <v>10960</v>
      </c>
      <c r="H239" s="34">
        <v>7590</v>
      </c>
      <c r="I239" s="34">
        <v>4210</v>
      </c>
      <c r="J239" s="35"/>
      <c r="K239" s="35"/>
      <c r="L239" s="35"/>
      <c r="M239" s="35"/>
      <c r="N239" s="35"/>
    </row>
    <row r="240" spans="1:14">
      <c r="A240" s="34">
        <v>2400</v>
      </c>
      <c r="B240" s="34">
        <v>2410</v>
      </c>
      <c r="C240" s="34">
        <f t="shared" si="3"/>
        <v>2400000</v>
      </c>
      <c r="D240" s="34">
        <v>33570</v>
      </c>
      <c r="E240" s="34">
        <v>25380</v>
      </c>
      <c r="F240" s="34">
        <v>14530</v>
      </c>
      <c r="G240" s="34">
        <v>11160</v>
      </c>
      <c r="H240" s="34">
        <v>7780</v>
      </c>
      <c r="I240" s="34">
        <v>4410</v>
      </c>
      <c r="J240" s="34">
        <v>1030</v>
      </c>
      <c r="K240" s="35"/>
      <c r="L240" s="35"/>
      <c r="M240" s="35"/>
      <c r="N240" s="35"/>
    </row>
    <row r="241" spans="1:14">
      <c r="A241" s="34">
        <v>2410</v>
      </c>
      <c r="B241" s="34">
        <v>2420</v>
      </c>
      <c r="C241" s="34">
        <f t="shared" si="3"/>
        <v>2410000</v>
      </c>
      <c r="D241" s="34">
        <v>34380</v>
      </c>
      <c r="E241" s="34">
        <v>25700</v>
      </c>
      <c r="F241" s="34">
        <v>14730</v>
      </c>
      <c r="G241" s="34">
        <v>11360</v>
      </c>
      <c r="H241" s="34">
        <v>7980</v>
      </c>
      <c r="I241" s="34">
        <v>4610</v>
      </c>
      <c r="J241" s="34">
        <v>1230</v>
      </c>
      <c r="K241" s="35"/>
      <c r="L241" s="35"/>
      <c r="M241" s="35"/>
      <c r="N241" s="35"/>
    </row>
    <row r="242" spans="1:14">
      <c r="A242" s="34">
        <v>2420</v>
      </c>
      <c r="B242" s="34">
        <v>2430</v>
      </c>
      <c r="C242" s="34">
        <f t="shared" si="3"/>
        <v>2420000</v>
      </c>
      <c r="D242" s="34">
        <v>35180</v>
      </c>
      <c r="E242" s="34">
        <v>26020</v>
      </c>
      <c r="F242" s="34">
        <v>14930</v>
      </c>
      <c r="G242" s="34">
        <v>11560</v>
      </c>
      <c r="H242" s="34">
        <v>8180</v>
      </c>
      <c r="I242" s="34">
        <v>4810</v>
      </c>
      <c r="J242" s="34">
        <v>1430</v>
      </c>
      <c r="K242" s="35"/>
      <c r="L242" s="35"/>
      <c r="M242" s="35"/>
      <c r="N242" s="35"/>
    </row>
    <row r="243" spans="1:14">
      <c r="A243" s="34">
        <v>2430</v>
      </c>
      <c r="B243" s="34">
        <v>2440</v>
      </c>
      <c r="C243" s="34">
        <f t="shared" si="3"/>
        <v>2430000</v>
      </c>
      <c r="D243" s="34">
        <v>35980</v>
      </c>
      <c r="E243" s="34">
        <v>26340</v>
      </c>
      <c r="F243" s="34">
        <v>15130</v>
      </c>
      <c r="G243" s="34">
        <v>11760</v>
      </c>
      <c r="H243" s="34">
        <v>8380</v>
      </c>
      <c r="I243" s="34">
        <v>5010</v>
      </c>
      <c r="J243" s="34">
        <v>1630</v>
      </c>
      <c r="K243" s="35"/>
      <c r="L243" s="35"/>
      <c r="M243" s="35"/>
      <c r="N243" s="35"/>
    </row>
    <row r="244" spans="1:14">
      <c r="A244" s="34">
        <v>2440</v>
      </c>
      <c r="B244" s="34">
        <v>2450</v>
      </c>
      <c r="C244" s="34">
        <f t="shared" si="3"/>
        <v>2440000</v>
      </c>
      <c r="D244" s="34">
        <v>36790</v>
      </c>
      <c r="E244" s="34">
        <v>26660</v>
      </c>
      <c r="F244" s="34">
        <v>15330</v>
      </c>
      <c r="G244" s="34">
        <v>11950</v>
      </c>
      <c r="H244" s="34">
        <v>8580</v>
      </c>
      <c r="I244" s="34">
        <v>5200</v>
      </c>
      <c r="J244" s="34">
        <v>1830</v>
      </c>
      <c r="K244" s="35"/>
      <c r="L244" s="35"/>
      <c r="M244" s="35"/>
      <c r="N244" s="35"/>
    </row>
    <row r="245" spans="1:14">
      <c r="A245" s="34">
        <v>2450</v>
      </c>
      <c r="B245" s="34">
        <v>2460</v>
      </c>
      <c r="C245" s="34">
        <f t="shared" si="3"/>
        <v>2450000</v>
      </c>
      <c r="D245" s="34">
        <v>37590</v>
      </c>
      <c r="E245" s="34">
        <v>26980</v>
      </c>
      <c r="F245" s="34">
        <v>15530</v>
      </c>
      <c r="G245" s="34">
        <v>12150</v>
      </c>
      <c r="H245" s="34">
        <v>8780</v>
      </c>
      <c r="I245" s="34">
        <v>5400</v>
      </c>
      <c r="J245" s="34">
        <v>2030</v>
      </c>
      <c r="K245" s="35"/>
      <c r="L245" s="35"/>
      <c r="M245" s="35"/>
      <c r="N245" s="35"/>
    </row>
    <row r="246" spans="1:14">
      <c r="A246" s="34">
        <v>2460</v>
      </c>
      <c r="B246" s="34">
        <v>2470</v>
      </c>
      <c r="C246" s="34">
        <f t="shared" si="3"/>
        <v>2460000</v>
      </c>
      <c r="D246" s="34">
        <v>38390</v>
      </c>
      <c r="E246" s="34">
        <v>27300</v>
      </c>
      <c r="F246" s="34">
        <v>15730</v>
      </c>
      <c r="G246" s="34">
        <v>12350</v>
      </c>
      <c r="H246" s="34">
        <v>8980</v>
      </c>
      <c r="I246" s="34">
        <v>5600</v>
      </c>
      <c r="J246" s="34">
        <v>2230</v>
      </c>
      <c r="K246" s="35"/>
      <c r="L246" s="35"/>
      <c r="M246" s="35"/>
      <c r="N246" s="35"/>
    </row>
    <row r="247" spans="1:14">
      <c r="A247" s="34">
        <v>2470</v>
      </c>
      <c r="B247" s="34">
        <v>2480</v>
      </c>
      <c r="C247" s="34">
        <f t="shared" si="3"/>
        <v>2470000</v>
      </c>
      <c r="D247" s="34">
        <v>39200</v>
      </c>
      <c r="E247" s="34">
        <v>27630</v>
      </c>
      <c r="F247" s="34">
        <v>15920</v>
      </c>
      <c r="G247" s="34">
        <v>12550</v>
      </c>
      <c r="H247" s="34">
        <v>9170</v>
      </c>
      <c r="I247" s="34">
        <v>5800</v>
      </c>
      <c r="J247" s="34">
        <v>2420</v>
      </c>
      <c r="K247" s="35"/>
      <c r="L247" s="35"/>
      <c r="M247" s="35"/>
      <c r="N247" s="35"/>
    </row>
    <row r="248" spans="1:14">
      <c r="A248" s="34">
        <v>2480</v>
      </c>
      <c r="B248" s="34">
        <v>2490</v>
      </c>
      <c r="C248" s="34">
        <f t="shared" si="3"/>
        <v>2480000</v>
      </c>
      <c r="D248" s="34">
        <v>40000</v>
      </c>
      <c r="E248" s="34">
        <v>27950</v>
      </c>
      <c r="F248" s="34">
        <v>16120</v>
      </c>
      <c r="G248" s="34">
        <v>12750</v>
      </c>
      <c r="H248" s="34">
        <v>9370</v>
      </c>
      <c r="I248" s="34">
        <v>6000</v>
      </c>
      <c r="J248" s="34">
        <v>2620</v>
      </c>
      <c r="K248" s="35"/>
      <c r="L248" s="35"/>
      <c r="M248" s="35"/>
      <c r="N248" s="35"/>
    </row>
    <row r="249" spans="1:14">
      <c r="A249" s="34">
        <v>2490</v>
      </c>
      <c r="B249" s="34">
        <v>2500</v>
      </c>
      <c r="C249" s="34">
        <f t="shared" si="3"/>
        <v>2490000</v>
      </c>
      <c r="D249" s="34">
        <v>40800</v>
      </c>
      <c r="E249" s="34">
        <v>28270</v>
      </c>
      <c r="F249" s="34">
        <v>16320</v>
      </c>
      <c r="G249" s="34">
        <v>12950</v>
      </c>
      <c r="H249" s="34">
        <v>9570</v>
      </c>
      <c r="I249" s="34">
        <v>6200</v>
      </c>
      <c r="J249" s="34">
        <v>2820</v>
      </c>
      <c r="K249" s="35"/>
      <c r="L249" s="35"/>
      <c r="M249" s="35"/>
      <c r="N249" s="35"/>
    </row>
    <row r="250" spans="1:14">
      <c r="A250" s="34">
        <v>2500</v>
      </c>
      <c r="B250" s="34">
        <v>2510</v>
      </c>
      <c r="C250" s="34">
        <f t="shared" si="3"/>
        <v>2500000</v>
      </c>
      <c r="D250" s="34">
        <v>41630</v>
      </c>
      <c r="E250" s="34">
        <v>28600</v>
      </c>
      <c r="F250" s="34">
        <v>16530</v>
      </c>
      <c r="G250" s="34">
        <v>13150</v>
      </c>
      <c r="H250" s="34">
        <v>9780</v>
      </c>
      <c r="I250" s="34">
        <v>6400</v>
      </c>
      <c r="J250" s="34">
        <v>3030</v>
      </c>
      <c r="K250" s="35"/>
      <c r="L250" s="35"/>
      <c r="M250" s="35"/>
      <c r="N250" s="35"/>
    </row>
    <row r="251" spans="1:14">
      <c r="A251" s="34">
        <v>2510</v>
      </c>
      <c r="B251" s="34">
        <v>2520</v>
      </c>
      <c r="C251" s="34">
        <f t="shared" si="3"/>
        <v>2510000</v>
      </c>
      <c r="D251" s="34">
        <v>42490</v>
      </c>
      <c r="E251" s="34">
        <v>28940</v>
      </c>
      <c r="F251" s="34">
        <v>16740</v>
      </c>
      <c r="G251" s="34">
        <v>13360</v>
      </c>
      <c r="H251" s="34">
        <v>9990</v>
      </c>
      <c r="I251" s="34">
        <v>6610</v>
      </c>
      <c r="J251" s="34">
        <v>3240</v>
      </c>
      <c r="K251" s="35"/>
      <c r="L251" s="35"/>
      <c r="M251" s="35"/>
      <c r="N251" s="35"/>
    </row>
    <row r="252" spans="1:14">
      <c r="A252" s="34">
        <v>2520</v>
      </c>
      <c r="B252" s="34">
        <v>2530</v>
      </c>
      <c r="C252" s="34">
        <f t="shared" si="3"/>
        <v>2520000</v>
      </c>
      <c r="D252" s="34">
        <v>43340</v>
      </c>
      <c r="E252" s="34">
        <v>29280</v>
      </c>
      <c r="F252" s="34">
        <v>16950</v>
      </c>
      <c r="G252" s="34">
        <v>13580</v>
      </c>
      <c r="H252" s="34">
        <v>10200</v>
      </c>
      <c r="I252" s="34">
        <v>6830</v>
      </c>
      <c r="J252" s="34">
        <v>3450</v>
      </c>
      <c r="K252" s="35"/>
      <c r="L252" s="35"/>
      <c r="M252" s="35"/>
      <c r="N252" s="35"/>
    </row>
    <row r="253" spans="1:14">
      <c r="A253" s="34">
        <v>2530</v>
      </c>
      <c r="B253" s="34">
        <v>2540</v>
      </c>
      <c r="C253" s="34">
        <f t="shared" si="3"/>
        <v>2530000</v>
      </c>
      <c r="D253" s="34">
        <v>44200</v>
      </c>
      <c r="E253" s="34">
        <v>29630</v>
      </c>
      <c r="F253" s="34">
        <v>17160</v>
      </c>
      <c r="G253" s="34">
        <v>13790</v>
      </c>
      <c r="H253" s="34">
        <v>10410</v>
      </c>
      <c r="I253" s="34">
        <v>7040</v>
      </c>
      <c r="J253" s="34">
        <v>3660</v>
      </c>
      <c r="K253" s="35"/>
      <c r="L253" s="35"/>
      <c r="M253" s="35"/>
      <c r="N253" s="35"/>
    </row>
    <row r="254" spans="1:14">
      <c r="A254" s="34">
        <v>2540</v>
      </c>
      <c r="B254" s="34">
        <v>2550</v>
      </c>
      <c r="C254" s="34">
        <f t="shared" si="3"/>
        <v>2540000</v>
      </c>
      <c r="D254" s="34">
        <v>45050</v>
      </c>
      <c r="E254" s="34">
        <v>29970</v>
      </c>
      <c r="F254" s="34">
        <v>17370</v>
      </c>
      <c r="G254" s="34">
        <v>14000</v>
      </c>
      <c r="H254" s="34">
        <v>10620</v>
      </c>
      <c r="I254" s="34">
        <v>7250</v>
      </c>
      <c r="J254" s="34">
        <v>3870</v>
      </c>
      <c r="K254" s="35"/>
      <c r="L254" s="35"/>
      <c r="M254" s="35"/>
      <c r="N254" s="35"/>
    </row>
    <row r="255" spans="1:14">
      <c r="A255" s="34">
        <v>2550</v>
      </c>
      <c r="B255" s="34">
        <v>2560</v>
      </c>
      <c r="C255" s="34">
        <f t="shared" si="3"/>
        <v>2550000</v>
      </c>
      <c r="D255" s="34">
        <v>45910</v>
      </c>
      <c r="E255" s="34">
        <v>30310</v>
      </c>
      <c r="F255" s="34">
        <v>17590</v>
      </c>
      <c r="G255" s="34">
        <v>14210</v>
      </c>
      <c r="H255" s="34">
        <v>10840</v>
      </c>
      <c r="I255" s="34">
        <v>7460</v>
      </c>
      <c r="J255" s="34">
        <v>4090</v>
      </c>
      <c r="K255" s="35"/>
      <c r="L255" s="35"/>
      <c r="M255" s="35"/>
      <c r="N255" s="35"/>
    </row>
    <row r="256" spans="1:14">
      <c r="A256" s="34">
        <v>2560</v>
      </c>
      <c r="B256" s="34">
        <v>2570</v>
      </c>
      <c r="C256" s="34">
        <f t="shared" si="3"/>
        <v>2560000</v>
      </c>
      <c r="D256" s="34">
        <v>46770</v>
      </c>
      <c r="E256" s="34">
        <v>30650</v>
      </c>
      <c r="F256" s="34">
        <v>17800</v>
      </c>
      <c r="G256" s="34">
        <v>14420</v>
      </c>
      <c r="H256" s="34">
        <v>11050</v>
      </c>
      <c r="I256" s="34">
        <v>7670</v>
      </c>
      <c r="J256" s="34">
        <v>4300</v>
      </c>
      <c r="K256" s="35"/>
      <c r="L256" s="35"/>
      <c r="M256" s="35"/>
      <c r="N256" s="35"/>
    </row>
    <row r="257" spans="1:14">
      <c r="A257" s="34">
        <v>2570</v>
      </c>
      <c r="B257" s="34">
        <v>2580</v>
      </c>
      <c r="C257" s="34">
        <f t="shared" si="3"/>
        <v>2570000</v>
      </c>
      <c r="D257" s="34">
        <v>47620</v>
      </c>
      <c r="E257" s="34">
        <v>31000</v>
      </c>
      <c r="F257" s="34">
        <v>18010</v>
      </c>
      <c r="G257" s="34">
        <v>14630</v>
      </c>
      <c r="H257" s="34">
        <v>11260</v>
      </c>
      <c r="I257" s="34">
        <v>7880</v>
      </c>
      <c r="J257" s="34">
        <v>4510</v>
      </c>
      <c r="K257" s="34">
        <v>1130</v>
      </c>
      <c r="L257" s="35"/>
      <c r="M257" s="35"/>
      <c r="N257" s="35"/>
    </row>
    <row r="258" spans="1:14">
      <c r="A258" s="34">
        <v>2580</v>
      </c>
      <c r="B258" s="34">
        <v>2590</v>
      </c>
      <c r="C258" s="34">
        <f t="shared" si="3"/>
        <v>2580000</v>
      </c>
      <c r="D258" s="34">
        <v>48480</v>
      </c>
      <c r="E258" s="34">
        <v>31340</v>
      </c>
      <c r="F258" s="34">
        <v>18220</v>
      </c>
      <c r="G258" s="34">
        <v>14850</v>
      </c>
      <c r="H258" s="34">
        <v>11470</v>
      </c>
      <c r="I258" s="34">
        <v>8100</v>
      </c>
      <c r="J258" s="34">
        <v>4720</v>
      </c>
      <c r="K258" s="34">
        <v>1350</v>
      </c>
      <c r="L258" s="35"/>
      <c r="M258" s="35"/>
      <c r="N258" s="35"/>
    </row>
    <row r="259" spans="1:14">
      <c r="A259" s="34">
        <v>2590</v>
      </c>
      <c r="B259" s="34">
        <v>2600</v>
      </c>
      <c r="C259" s="34">
        <f t="shared" si="3"/>
        <v>2590000</v>
      </c>
      <c r="D259" s="34">
        <v>49330</v>
      </c>
      <c r="E259" s="34">
        <v>31830</v>
      </c>
      <c r="F259" s="34">
        <v>18430</v>
      </c>
      <c r="G259" s="34">
        <v>15060</v>
      </c>
      <c r="H259" s="34">
        <v>11680</v>
      </c>
      <c r="I259" s="34">
        <v>8310</v>
      </c>
      <c r="J259" s="34">
        <v>4930</v>
      </c>
      <c r="K259" s="34">
        <v>1560</v>
      </c>
      <c r="L259" s="35"/>
      <c r="M259" s="35"/>
      <c r="N259" s="35"/>
    </row>
    <row r="260" spans="1:14">
      <c r="A260" s="34">
        <v>2600</v>
      </c>
      <c r="B260" s="34">
        <v>2610</v>
      </c>
      <c r="C260" s="34">
        <f t="shared" ref="C260:C323" si="4">A260*1000</f>
        <v>2600000</v>
      </c>
      <c r="D260" s="34">
        <v>50190</v>
      </c>
      <c r="E260" s="34">
        <v>32690</v>
      </c>
      <c r="F260" s="34">
        <v>18650</v>
      </c>
      <c r="G260" s="34">
        <v>15270</v>
      </c>
      <c r="H260" s="34">
        <v>11900</v>
      </c>
      <c r="I260" s="34">
        <v>8520</v>
      </c>
      <c r="J260" s="34">
        <v>5150</v>
      </c>
      <c r="K260" s="34">
        <v>1770</v>
      </c>
      <c r="L260" s="35"/>
      <c r="M260" s="35"/>
      <c r="N260" s="35"/>
    </row>
    <row r="261" spans="1:14">
      <c r="A261" s="34">
        <v>2610</v>
      </c>
      <c r="B261" s="34">
        <v>2620</v>
      </c>
      <c r="C261" s="34">
        <f t="shared" si="4"/>
        <v>2610000</v>
      </c>
      <c r="D261" s="34">
        <v>51040</v>
      </c>
      <c r="E261" s="34">
        <v>33540</v>
      </c>
      <c r="F261" s="34">
        <v>18920</v>
      </c>
      <c r="G261" s="34">
        <v>15480</v>
      </c>
      <c r="H261" s="34">
        <v>12110</v>
      </c>
      <c r="I261" s="34">
        <v>8730</v>
      </c>
      <c r="J261" s="34">
        <v>5360</v>
      </c>
      <c r="K261" s="34">
        <v>1980</v>
      </c>
      <c r="L261" s="35"/>
      <c r="M261" s="35"/>
      <c r="N261" s="35"/>
    </row>
    <row r="262" spans="1:14">
      <c r="A262" s="34">
        <v>2620</v>
      </c>
      <c r="B262" s="34">
        <v>2630</v>
      </c>
      <c r="C262" s="34">
        <f t="shared" si="4"/>
        <v>2620000</v>
      </c>
      <c r="D262" s="34">
        <v>51900</v>
      </c>
      <c r="E262" s="34">
        <v>34400</v>
      </c>
      <c r="F262" s="34">
        <v>19250</v>
      </c>
      <c r="G262" s="34">
        <v>15690</v>
      </c>
      <c r="H262" s="34">
        <v>12320</v>
      </c>
      <c r="I262" s="34">
        <v>8940</v>
      </c>
      <c r="J262" s="34">
        <v>5570</v>
      </c>
      <c r="K262" s="34">
        <v>2190</v>
      </c>
      <c r="L262" s="35"/>
      <c r="M262" s="35"/>
      <c r="N262" s="35"/>
    </row>
    <row r="263" spans="1:14">
      <c r="A263" s="34">
        <v>2630</v>
      </c>
      <c r="B263" s="34">
        <v>2640</v>
      </c>
      <c r="C263" s="34">
        <f t="shared" si="4"/>
        <v>2630000</v>
      </c>
      <c r="D263" s="34">
        <v>52760</v>
      </c>
      <c r="E263" s="34">
        <v>35260</v>
      </c>
      <c r="F263" s="34">
        <v>19580</v>
      </c>
      <c r="G263" s="34">
        <v>15910</v>
      </c>
      <c r="H263" s="34">
        <v>12530</v>
      </c>
      <c r="I263" s="34">
        <v>9160</v>
      </c>
      <c r="J263" s="34">
        <v>5780</v>
      </c>
      <c r="K263" s="34">
        <v>2410</v>
      </c>
      <c r="L263" s="35"/>
      <c r="M263" s="35"/>
      <c r="N263" s="35"/>
    </row>
    <row r="264" spans="1:14">
      <c r="A264" s="34">
        <v>2640</v>
      </c>
      <c r="B264" s="34">
        <v>2650</v>
      </c>
      <c r="C264" s="34">
        <f t="shared" si="4"/>
        <v>2640000</v>
      </c>
      <c r="D264" s="34">
        <v>53610</v>
      </c>
      <c r="E264" s="34">
        <v>36110</v>
      </c>
      <c r="F264" s="34">
        <v>19910</v>
      </c>
      <c r="G264" s="34">
        <v>16120</v>
      </c>
      <c r="H264" s="34">
        <v>12740</v>
      </c>
      <c r="I264" s="34">
        <v>9370</v>
      </c>
      <c r="J264" s="34">
        <v>5990</v>
      </c>
      <c r="K264" s="34">
        <v>2620</v>
      </c>
      <c r="L264" s="35"/>
      <c r="M264" s="35"/>
      <c r="N264" s="35"/>
    </row>
    <row r="265" spans="1:14">
      <c r="A265" s="34">
        <v>2650</v>
      </c>
      <c r="B265" s="34">
        <v>2660</v>
      </c>
      <c r="C265" s="34">
        <f t="shared" si="4"/>
        <v>2650000</v>
      </c>
      <c r="D265" s="34">
        <v>54470</v>
      </c>
      <c r="E265" s="34">
        <v>36970</v>
      </c>
      <c r="F265" s="34">
        <v>20240</v>
      </c>
      <c r="G265" s="34">
        <v>16330</v>
      </c>
      <c r="H265" s="34">
        <v>12960</v>
      </c>
      <c r="I265" s="34">
        <v>9580</v>
      </c>
      <c r="J265" s="34">
        <v>6210</v>
      </c>
      <c r="K265" s="34">
        <v>2830</v>
      </c>
      <c r="L265" s="35"/>
      <c r="M265" s="35"/>
      <c r="N265" s="35"/>
    </row>
    <row r="266" spans="1:14">
      <c r="A266" s="34">
        <v>2660</v>
      </c>
      <c r="B266" s="34">
        <v>2670</v>
      </c>
      <c r="C266" s="34">
        <f t="shared" si="4"/>
        <v>2660000</v>
      </c>
      <c r="D266" s="34">
        <v>55320</v>
      </c>
      <c r="E266" s="34">
        <v>37820</v>
      </c>
      <c r="F266" s="34">
        <v>20570</v>
      </c>
      <c r="G266" s="34">
        <v>16540</v>
      </c>
      <c r="H266" s="34">
        <v>13170</v>
      </c>
      <c r="I266" s="34">
        <v>9790</v>
      </c>
      <c r="J266" s="34">
        <v>6420</v>
      </c>
      <c r="K266" s="34">
        <v>3040</v>
      </c>
      <c r="L266" s="35"/>
      <c r="M266" s="35"/>
      <c r="N266" s="35"/>
    </row>
    <row r="267" spans="1:14">
      <c r="A267" s="34">
        <v>2670</v>
      </c>
      <c r="B267" s="34">
        <v>2680</v>
      </c>
      <c r="C267" s="34">
        <f t="shared" si="4"/>
        <v>2670000</v>
      </c>
      <c r="D267" s="34">
        <v>56180</v>
      </c>
      <c r="E267" s="34">
        <v>38680</v>
      </c>
      <c r="F267" s="34">
        <v>20900</v>
      </c>
      <c r="G267" s="34">
        <v>16750</v>
      </c>
      <c r="H267" s="34">
        <v>13380</v>
      </c>
      <c r="I267" s="34">
        <v>10000</v>
      </c>
      <c r="J267" s="34">
        <v>6630</v>
      </c>
      <c r="K267" s="34">
        <v>3250</v>
      </c>
      <c r="L267" s="35"/>
      <c r="M267" s="35"/>
      <c r="N267" s="35"/>
    </row>
    <row r="268" spans="1:14">
      <c r="A268" s="34">
        <v>2680</v>
      </c>
      <c r="B268" s="34">
        <v>2690</v>
      </c>
      <c r="C268" s="34">
        <f t="shared" si="4"/>
        <v>2680000</v>
      </c>
      <c r="D268" s="34">
        <v>57040</v>
      </c>
      <c r="E268" s="34">
        <v>39540</v>
      </c>
      <c r="F268" s="34">
        <v>21230</v>
      </c>
      <c r="G268" s="34">
        <v>16970</v>
      </c>
      <c r="H268" s="34">
        <v>13590</v>
      </c>
      <c r="I268" s="34">
        <v>10220</v>
      </c>
      <c r="J268" s="34">
        <v>6840</v>
      </c>
      <c r="K268" s="34">
        <v>3470</v>
      </c>
      <c r="L268" s="35"/>
      <c r="M268" s="35"/>
      <c r="N268" s="35"/>
    </row>
    <row r="269" spans="1:14">
      <c r="A269" s="34">
        <v>2690</v>
      </c>
      <c r="B269" s="34">
        <v>2700</v>
      </c>
      <c r="C269" s="34">
        <f t="shared" si="4"/>
        <v>2690000</v>
      </c>
      <c r="D269" s="34">
        <v>57890</v>
      </c>
      <c r="E269" s="34">
        <v>40390</v>
      </c>
      <c r="F269" s="34">
        <v>21560</v>
      </c>
      <c r="G269" s="34">
        <v>17180</v>
      </c>
      <c r="H269" s="34">
        <v>13800</v>
      </c>
      <c r="I269" s="34">
        <v>10430</v>
      </c>
      <c r="J269" s="34">
        <v>7050</v>
      </c>
      <c r="K269" s="34">
        <v>3680</v>
      </c>
      <c r="L269" s="35"/>
      <c r="M269" s="35"/>
      <c r="N269" s="35"/>
    </row>
    <row r="270" spans="1:14">
      <c r="A270" s="34">
        <v>2700</v>
      </c>
      <c r="B270" s="34">
        <v>2710</v>
      </c>
      <c r="C270" s="34">
        <f t="shared" si="4"/>
        <v>2700000</v>
      </c>
      <c r="D270" s="34">
        <v>58750</v>
      </c>
      <c r="E270" s="34">
        <v>41250</v>
      </c>
      <c r="F270" s="34">
        <v>21890</v>
      </c>
      <c r="G270" s="34">
        <v>17390</v>
      </c>
      <c r="H270" s="34">
        <v>14020</v>
      </c>
      <c r="I270" s="34">
        <v>10640</v>
      </c>
      <c r="J270" s="34">
        <v>7270</v>
      </c>
      <c r="K270" s="34">
        <v>3890</v>
      </c>
      <c r="L270" s="35"/>
      <c r="M270" s="35"/>
      <c r="N270" s="35"/>
    </row>
    <row r="271" spans="1:14">
      <c r="A271" s="34">
        <v>2710</v>
      </c>
      <c r="B271" s="34">
        <v>2720</v>
      </c>
      <c r="C271" s="34">
        <f t="shared" si="4"/>
        <v>2710000</v>
      </c>
      <c r="D271" s="34">
        <v>59600</v>
      </c>
      <c r="E271" s="34">
        <v>42100</v>
      </c>
      <c r="F271" s="34">
        <v>22220</v>
      </c>
      <c r="G271" s="34">
        <v>17600</v>
      </c>
      <c r="H271" s="34">
        <v>14230</v>
      </c>
      <c r="I271" s="34">
        <v>10850</v>
      </c>
      <c r="J271" s="34">
        <v>7480</v>
      </c>
      <c r="K271" s="34">
        <v>4100</v>
      </c>
      <c r="L271" s="35"/>
      <c r="M271" s="35"/>
      <c r="N271" s="35"/>
    </row>
    <row r="272" spans="1:14">
      <c r="A272" s="34">
        <v>2720</v>
      </c>
      <c r="B272" s="34">
        <v>2730</v>
      </c>
      <c r="C272" s="34">
        <f t="shared" si="4"/>
        <v>2720000</v>
      </c>
      <c r="D272" s="34">
        <v>60460</v>
      </c>
      <c r="E272" s="34">
        <v>42960</v>
      </c>
      <c r="F272" s="34">
        <v>22550</v>
      </c>
      <c r="G272" s="34">
        <v>17810</v>
      </c>
      <c r="H272" s="34">
        <v>14440</v>
      </c>
      <c r="I272" s="34">
        <v>11060</v>
      </c>
      <c r="J272" s="34">
        <v>7690</v>
      </c>
      <c r="K272" s="34">
        <v>4310</v>
      </c>
      <c r="L272" s="35"/>
      <c r="M272" s="35"/>
      <c r="N272" s="35"/>
    </row>
    <row r="273" spans="1:14">
      <c r="A273" s="34">
        <v>2730</v>
      </c>
      <c r="B273" s="34">
        <v>2740</v>
      </c>
      <c r="C273" s="34">
        <f t="shared" si="4"/>
        <v>2730000</v>
      </c>
      <c r="D273" s="34">
        <v>61310</v>
      </c>
      <c r="E273" s="34">
        <v>43810</v>
      </c>
      <c r="F273" s="34">
        <v>22880</v>
      </c>
      <c r="G273" s="34">
        <v>18030</v>
      </c>
      <c r="H273" s="34">
        <v>14650</v>
      </c>
      <c r="I273" s="34">
        <v>11280</v>
      </c>
      <c r="J273" s="34">
        <v>7900</v>
      </c>
      <c r="K273" s="34">
        <v>4530</v>
      </c>
      <c r="L273" s="34">
        <v>1150</v>
      </c>
      <c r="M273" s="35"/>
      <c r="N273" s="35"/>
    </row>
    <row r="274" spans="1:14">
      <c r="A274" s="34">
        <v>2740</v>
      </c>
      <c r="B274" s="34">
        <v>2750</v>
      </c>
      <c r="C274" s="34">
        <f t="shared" si="4"/>
        <v>2740000</v>
      </c>
      <c r="D274" s="34">
        <v>62170</v>
      </c>
      <c r="E274" s="34">
        <v>44670</v>
      </c>
      <c r="F274" s="34">
        <v>23210</v>
      </c>
      <c r="G274" s="34">
        <v>18240</v>
      </c>
      <c r="H274" s="34">
        <v>14860</v>
      </c>
      <c r="I274" s="34">
        <v>11490</v>
      </c>
      <c r="J274" s="34">
        <v>8110</v>
      </c>
      <c r="K274" s="34">
        <v>4740</v>
      </c>
      <c r="L274" s="34">
        <v>1360</v>
      </c>
      <c r="M274" s="35"/>
      <c r="N274" s="35"/>
    </row>
    <row r="275" spans="1:14">
      <c r="A275" s="34">
        <v>2750</v>
      </c>
      <c r="B275" s="34">
        <v>2760</v>
      </c>
      <c r="C275" s="34">
        <f t="shared" si="4"/>
        <v>2750000</v>
      </c>
      <c r="D275" s="34">
        <v>63030</v>
      </c>
      <c r="E275" s="34">
        <v>45530</v>
      </c>
      <c r="F275" s="34">
        <v>23540</v>
      </c>
      <c r="G275" s="34">
        <v>18450</v>
      </c>
      <c r="H275" s="34">
        <v>15070</v>
      </c>
      <c r="I275" s="34">
        <v>11700</v>
      </c>
      <c r="J275" s="34">
        <v>8320</v>
      </c>
      <c r="K275" s="34">
        <v>4950</v>
      </c>
      <c r="L275" s="34">
        <v>1570</v>
      </c>
      <c r="M275" s="35"/>
      <c r="N275" s="35"/>
    </row>
    <row r="276" spans="1:14">
      <c r="A276" s="34">
        <v>2760</v>
      </c>
      <c r="B276" s="34">
        <v>2770</v>
      </c>
      <c r="C276" s="34">
        <f t="shared" si="4"/>
        <v>2760000</v>
      </c>
      <c r="D276" s="34">
        <v>63880</v>
      </c>
      <c r="E276" s="34">
        <v>46380</v>
      </c>
      <c r="F276" s="34">
        <v>23870</v>
      </c>
      <c r="G276" s="34">
        <v>18660</v>
      </c>
      <c r="H276" s="34">
        <v>15290</v>
      </c>
      <c r="I276" s="34">
        <v>11910</v>
      </c>
      <c r="J276" s="34">
        <v>8540</v>
      </c>
      <c r="K276" s="34">
        <v>5160</v>
      </c>
      <c r="L276" s="34">
        <v>1790</v>
      </c>
      <c r="M276" s="35"/>
      <c r="N276" s="35"/>
    </row>
    <row r="277" spans="1:14">
      <c r="A277" s="34">
        <v>2770</v>
      </c>
      <c r="B277" s="34">
        <v>2780</v>
      </c>
      <c r="C277" s="34">
        <f t="shared" si="4"/>
        <v>2770000</v>
      </c>
      <c r="D277" s="34">
        <v>64740</v>
      </c>
      <c r="E277" s="34">
        <v>47240</v>
      </c>
      <c r="F277" s="34">
        <v>24200</v>
      </c>
      <c r="G277" s="34">
        <v>18950</v>
      </c>
      <c r="H277" s="34">
        <v>15500</v>
      </c>
      <c r="I277" s="34">
        <v>12120</v>
      </c>
      <c r="J277" s="34">
        <v>8750</v>
      </c>
      <c r="K277" s="34">
        <v>5370</v>
      </c>
      <c r="L277" s="34">
        <v>2000</v>
      </c>
      <c r="M277" s="35"/>
      <c r="N277" s="35"/>
    </row>
    <row r="278" spans="1:14">
      <c r="A278" s="34">
        <v>2780</v>
      </c>
      <c r="B278" s="34">
        <v>2790</v>
      </c>
      <c r="C278" s="34">
        <f t="shared" si="4"/>
        <v>2780000</v>
      </c>
      <c r="D278" s="34">
        <v>65590</v>
      </c>
      <c r="E278" s="34">
        <v>48090</v>
      </c>
      <c r="F278" s="34">
        <v>24520</v>
      </c>
      <c r="G278" s="34">
        <v>19270</v>
      </c>
      <c r="H278" s="34">
        <v>15710</v>
      </c>
      <c r="I278" s="34">
        <v>12340</v>
      </c>
      <c r="J278" s="34">
        <v>8960</v>
      </c>
      <c r="K278" s="34">
        <v>5590</v>
      </c>
      <c r="L278" s="34">
        <v>2210</v>
      </c>
      <c r="M278" s="35"/>
      <c r="N278" s="35"/>
    </row>
    <row r="279" spans="1:14">
      <c r="A279" s="34">
        <v>2790</v>
      </c>
      <c r="B279" s="34">
        <v>2800</v>
      </c>
      <c r="C279" s="34">
        <f t="shared" si="4"/>
        <v>2790000</v>
      </c>
      <c r="D279" s="34">
        <v>66450</v>
      </c>
      <c r="E279" s="34">
        <v>48950</v>
      </c>
      <c r="F279" s="34">
        <v>24850</v>
      </c>
      <c r="G279" s="34">
        <v>19600</v>
      </c>
      <c r="H279" s="34">
        <v>15920</v>
      </c>
      <c r="I279" s="34">
        <v>12550</v>
      </c>
      <c r="J279" s="34">
        <v>9170</v>
      </c>
      <c r="K279" s="34">
        <v>5800</v>
      </c>
      <c r="L279" s="34">
        <v>2420</v>
      </c>
      <c r="M279" s="35"/>
      <c r="N279" s="35"/>
    </row>
    <row r="280" spans="1:14">
      <c r="A280" s="34">
        <v>2800</v>
      </c>
      <c r="B280" s="34">
        <v>2810</v>
      </c>
      <c r="C280" s="34">
        <f t="shared" si="4"/>
        <v>2800000</v>
      </c>
      <c r="D280" s="34">
        <v>67300</v>
      </c>
      <c r="E280" s="34">
        <v>49800</v>
      </c>
      <c r="F280" s="34">
        <v>25180</v>
      </c>
      <c r="G280" s="34">
        <v>19930</v>
      </c>
      <c r="H280" s="34">
        <v>16130</v>
      </c>
      <c r="I280" s="34">
        <v>12760</v>
      </c>
      <c r="J280" s="34">
        <v>9380</v>
      </c>
      <c r="K280" s="34">
        <v>6010</v>
      </c>
      <c r="L280" s="34">
        <v>2630</v>
      </c>
      <c r="M280" s="35"/>
      <c r="N280" s="35"/>
    </row>
    <row r="281" spans="1:14">
      <c r="A281" s="34">
        <v>2810</v>
      </c>
      <c r="B281" s="34">
        <v>2820</v>
      </c>
      <c r="C281" s="34">
        <f t="shared" si="4"/>
        <v>2810000</v>
      </c>
      <c r="D281" s="34">
        <v>68160</v>
      </c>
      <c r="E281" s="34">
        <v>50660</v>
      </c>
      <c r="F281" s="34">
        <v>25510</v>
      </c>
      <c r="G281" s="34">
        <v>20260</v>
      </c>
      <c r="H281" s="34">
        <v>16350</v>
      </c>
      <c r="I281" s="34">
        <v>12970</v>
      </c>
      <c r="J281" s="34">
        <v>9600</v>
      </c>
      <c r="K281" s="34">
        <v>6220</v>
      </c>
      <c r="L281" s="34">
        <v>2850</v>
      </c>
      <c r="M281" s="35"/>
      <c r="N281" s="35"/>
    </row>
    <row r="282" spans="1:14">
      <c r="A282" s="34">
        <v>2820</v>
      </c>
      <c r="B282" s="34">
        <v>2830</v>
      </c>
      <c r="C282" s="34">
        <f t="shared" si="4"/>
        <v>2820000</v>
      </c>
      <c r="D282" s="34">
        <v>69020</v>
      </c>
      <c r="E282" s="34">
        <v>51520</v>
      </c>
      <c r="F282" s="34">
        <v>25840</v>
      </c>
      <c r="G282" s="34">
        <v>20590</v>
      </c>
      <c r="H282" s="34">
        <v>16560</v>
      </c>
      <c r="I282" s="34">
        <v>13180</v>
      </c>
      <c r="J282" s="34">
        <v>9810</v>
      </c>
      <c r="K282" s="34">
        <v>6430</v>
      </c>
      <c r="L282" s="34">
        <v>3060</v>
      </c>
      <c r="M282" s="35"/>
      <c r="N282" s="35"/>
    </row>
    <row r="283" spans="1:14">
      <c r="A283" s="34">
        <v>2830</v>
      </c>
      <c r="B283" s="34">
        <v>2840</v>
      </c>
      <c r="C283" s="34">
        <f t="shared" si="4"/>
        <v>2830000</v>
      </c>
      <c r="D283" s="34">
        <v>69870</v>
      </c>
      <c r="E283" s="34">
        <v>52370</v>
      </c>
      <c r="F283" s="34">
        <v>26170</v>
      </c>
      <c r="G283" s="34">
        <v>20920</v>
      </c>
      <c r="H283" s="34">
        <v>16770</v>
      </c>
      <c r="I283" s="34">
        <v>13400</v>
      </c>
      <c r="J283" s="34">
        <v>10020</v>
      </c>
      <c r="K283" s="34">
        <v>6650</v>
      </c>
      <c r="L283" s="34">
        <v>3270</v>
      </c>
      <c r="M283" s="35"/>
      <c r="N283" s="35"/>
    </row>
    <row r="284" spans="1:14">
      <c r="A284" s="34">
        <v>2840</v>
      </c>
      <c r="B284" s="34">
        <v>2850</v>
      </c>
      <c r="C284" s="34">
        <f t="shared" si="4"/>
        <v>2840000</v>
      </c>
      <c r="D284" s="34">
        <v>70730</v>
      </c>
      <c r="E284" s="34">
        <v>53230</v>
      </c>
      <c r="F284" s="34">
        <v>26500</v>
      </c>
      <c r="G284" s="34">
        <v>21250</v>
      </c>
      <c r="H284" s="34">
        <v>16980</v>
      </c>
      <c r="I284" s="34">
        <v>13610</v>
      </c>
      <c r="J284" s="34">
        <v>10230</v>
      </c>
      <c r="K284" s="34">
        <v>6860</v>
      </c>
      <c r="L284" s="34">
        <v>3480</v>
      </c>
      <c r="M284" s="35"/>
      <c r="N284" s="35"/>
    </row>
    <row r="285" spans="1:14">
      <c r="A285" s="34">
        <v>2850</v>
      </c>
      <c r="B285" s="34">
        <v>2860</v>
      </c>
      <c r="C285" s="34">
        <f t="shared" si="4"/>
        <v>2850000</v>
      </c>
      <c r="D285" s="34">
        <v>71580</v>
      </c>
      <c r="E285" s="34">
        <v>54080</v>
      </c>
      <c r="F285" s="34">
        <v>26830</v>
      </c>
      <c r="G285" s="34">
        <v>21580</v>
      </c>
      <c r="H285" s="34">
        <v>17190</v>
      </c>
      <c r="I285" s="34">
        <v>13820</v>
      </c>
      <c r="J285" s="34">
        <v>10440</v>
      </c>
      <c r="K285" s="34">
        <v>7070</v>
      </c>
      <c r="L285" s="34">
        <v>3690</v>
      </c>
      <c r="M285" s="35"/>
      <c r="N285" s="35"/>
    </row>
    <row r="286" spans="1:14">
      <c r="A286" s="34">
        <v>2860</v>
      </c>
      <c r="B286" s="34">
        <v>2870</v>
      </c>
      <c r="C286" s="34">
        <f t="shared" si="4"/>
        <v>2860000</v>
      </c>
      <c r="D286" s="34">
        <v>72440</v>
      </c>
      <c r="E286" s="34">
        <v>54940</v>
      </c>
      <c r="F286" s="34">
        <v>27160</v>
      </c>
      <c r="G286" s="34">
        <v>21910</v>
      </c>
      <c r="H286" s="34">
        <v>17410</v>
      </c>
      <c r="I286" s="34">
        <v>14030</v>
      </c>
      <c r="J286" s="34">
        <v>10660</v>
      </c>
      <c r="K286" s="34">
        <v>7280</v>
      </c>
      <c r="L286" s="34">
        <v>3910</v>
      </c>
      <c r="M286" s="35"/>
      <c r="N286" s="35"/>
    </row>
    <row r="287" spans="1:14">
      <c r="A287" s="34">
        <v>2870</v>
      </c>
      <c r="B287" s="34">
        <v>2880</v>
      </c>
      <c r="C287" s="34">
        <f t="shared" si="4"/>
        <v>2870000</v>
      </c>
      <c r="D287" s="34">
        <v>73290</v>
      </c>
      <c r="E287" s="34">
        <v>55790</v>
      </c>
      <c r="F287" s="34">
        <v>27490</v>
      </c>
      <c r="G287" s="34">
        <v>22240</v>
      </c>
      <c r="H287" s="34">
        <v>17620</v>
      </c>
      <c r="I287" s="34">
        <v>14240</v>
      </c>
      <c r="J287" s="34">
        <v>10870</v>
      </c>
      <c r="K287" s="34">
        <v>7490</v>
      </c>
      <c r="L287" s="34">
        <v>4120</v>
      </c>
      <c r="M287" s="35"/>
      <c r="N287" s="35"/>
    </row>
    <row r="288" spans="1:14">
      <c r="A288" s="34">
        <v>2880</v>
      </c>
      <c r="B288" s="34">
        <v>2890</v>
      </c>
      <c r="C288" s="34">
        <f t="shared" si="4"/>
        <v>2880000</v>
      </c>
      <c r="D288" s="34">
        <v>74150</v>
      </c>
      <c r="E288" s="34">
        <v>56650</v>
      </c>
      <c r="F288" s="34">
        <v>27820</v>
      </c>
      <c r="G288" s="34">
        <v>22570</v>
      </c>
      <c r="H288" s="34">
        <v>17830</v>
      </c>
      <c r="I288" s="34">
        <v>14460</v>
      </c>
      <c r="J288" s="34">
        <v>11080</v>
      </c>
      <c r="K288" s="34">
        <v>7710</v>
      </c>
      <c r="L288" s="34">
        <v>4330</v>
      </c>
      <c r="M288" s="35"/>
      <c r="N288" s="35"/>
    </row>
    <row r="289" spans="1:14">
      <c r="A289" s="34">
        <v>2890</v>
      </c>
      <c r="B289" s="34">
        <v>2900</v>
      </c>
      <c r="C289" s="34">
        <f t="shared" si="4"/>
        <v>2890000</v>
      </c>
      <c r="D289" s="34">
        <v>75010</v>
      </c>
      <c r="E289" s="34">
        <v>57510</v>
      </c>
      <c r="F289" s="34">
        <v>28150</v>
      </c>
      <c r="G289" s="34">
        <v>22900</v>
      </c>
      <c r="H289" s="34">
        <v>18040</v>
      </c>
      <c r="I289" s="34">
        <v>14670</v>
      </c>
      <c r="J289" s="34">
        <v>11290</v>
      </c>
      <c r="K289" s="34">
        <v>7920</v>
      </c>
      <c r="L289" s="34">
        <v>4540</v>
      </c>
      <c r="M289" s="34">
        <v>1170</v>
      </c>
      <c r="N289" s="35"/>
    </row>
    <row r="290" spans="1:14">
      <c r="A290" s="34">
        <v>2900</v>
      </c>
      <c r="B290" s="34">
        <v>2910</v>
      </c>
      <c r="C290" s="34">
        <f t="shared" si="4"/>
        <v>2900000</v>
      </c>
      <c r="D290" s="34">
        <v>75860</v>
      </c>
      <c r="E290" s="34">
        <v>58360</v>
      </c>
      <c r="F290" s="34">
        <v>28480</v>
      </c>
      <c r="G290" s="34">
        <v>23230</v>
      </c>
      <c r="H290" s="34">
        <v>18250</v>
      </c>
      <c r="I290" s="34">
        <v>14880</v>
      </c>
      <c r="J290" s="34">
        <v>11500</v>
      </c>
      <c r="K290" s="34">
        <v>8130</v>
      </c>
      <c r="L290" s="34">
        <v>4750</v>
      </c>
      <c r="M290" s="34">
        <v>1380</v>
      </c>
      <c r="N290" s="35"/>
    </row>
    <row r="291" spans="1:14">
      <c r="A291" s="34">
        <v>2910</v>
      </c>
      <c r="B291" s="34">
        <v>2920</v>
      </c>
      <c r="C291" s="34">
        <f t="shared" si="4"/>
        <v>2910000</v>
      </c>
      <c r="D291" s="34">
        <v>76720</v>
      </c>
      <c r="E291" s="34">
        <v>59220</v>
      </c>
      <c r="F291" s="34">
        <v>28810</v>
      </c>
      <c r="G291" s="34">
        <v>23560</v>
      </c>
      <c r="H291" s="34">
        <v>18470</v>
      </c>
      <c r="I291" s="34">
        <v>15090</v>
      </c>
      <c r="J291" s="34">
        <v>11720</v>
      </c>
      <c r="K291" s="34">
        <v>8340</v>
      </c>
      <c r="L291" s="34">
        <v>4970</v>
      </c>
      <c r="M291" s="34">
        <v>1590</v>
      </c>
      <c r="N291" s="35"/>
    </row>
    <row r="292" spans="1:14">
      <c r="A292" s="34">
        <v>2920</v>
      </c>
      <c r="B292" s="34">
        <v>2930</v>
      </c>
      <c r="C292" s="34">
        <f t="shared" si="4"/>
        <v>2920000</v>
      </c>
      <c r="D292" s="34">
        <v>77570</v>
      </c>
      <c r="E292" s="34">
        <v>60070</v>
      </c>
      <c r="F292" s="34">
        <v>29140</v>
      </c>
      <c r="G292" s="34">
        <v>23890</v>
      </c>
      <c r="H292" s="34">
        <v>18680</v>
      </c>
      <c r="I292" s="34">
        <v>15300</v>
      </c>
      <c r="J292" s="34">
        <v>11930</v>
      </c>
      <c r="K292" s="34">
        <v>8550</v>
      </c>
      <c r="L292" s="34">
        <v>5180</v>
      </c>
      <c r="M292" s="34">
        <v>1800</v>
      </c>
      <c r="N292" s="35"/>
    </row>
    <row r="293" spans="1:14">
      <c r="A293" s="34">
        <v>2930</v>
      </c>
      <c r="B293" s="34">
        <v>2940</v>
      </c>
      <c r="C293" s="34">
        <f t="shared" si="4"/>
        <v>2930000</v>
      </c>
      <c r="D293" s="34">
        <v>78430</v>
      </c>
      <c r="E293" s="34">
        <v>60930</v>
      </c>
      <c r="F293" s="34">
        <v>29470</v>
      </c>
      <c r="G293" s="34">
        <v>24220</v>
      </c>
      <c r="H293" s="34">
        <v>18970</v>
      </c>
      <c r="I293" s="34">
        <v>15510</v>
      </c>
      <c r="J293" s="34">
        <v>12140</v>
      </c>
      <c r="K293" s="34">
        <v>8760</v>
      </c>
      <c r="L293" s="34">
        <v>5390</v>
      </c>
      <c r="M293" s="34">
        <v>2010</v>
      </c>
      <c r="N293" s="35"/>
    </row>
    <row r="294" spans="1:14">
      <c r="A294" s="34">
        <v>2940</v>
      </c>
      <c r="B294" s="34">
        <v>2950</v>
      </c>
      <c r="C294" s="34">
        <f t="shared" si="4"/>
        <v>2940000</v>
      </c>
      <c r="D294" s="34">
        <v>79280</v>
      </c>
      <c r="E294" s="34">
        <v>61780</v>
      </c>
      <c r="F294" s="34">
        <v>29800</v>
      </c>
      <c r="G294" s="34">
        <v>24550</v>
      </c>
      <c r="H294" s="34">
        <v>19300</v>
      </c>
      <c r="I294" s="34">
        <v>15730</v>
      </c>
      <c r="J294" s="34">
        <v>12350</v>
      </c>
      <c r="K294" s="34">
        <v>8980</v>
      </c>
      <c r="L294" s="34">
        <v>5600</v>
      </c>
      <c r="M294" s="34">
        <v>2230</v>
      </c>
      <c r="N294" s="35"/>
    </row>
    <row r="295" spans="1:14">
      <c r="A295" s="34">
        <v>2950</v>
      </c>
      <c r="B295" s="34">
        <v>2960</v>
      </c>
      <c r="C295" s="34">
        <f t="shared" si="4"/>
        <v>2950000</v>
      </c>
      <c r="D295" s="34">
        <v>80140</v>
      </c>
      <c r="E295" s="34">
        <v>62640</v>
      </c>
      <c r="F295" s="34">
        <v>30130</v>
      </c>
      <c r="G295" s="34">
        <v>24880</v>
      </c>
      <c r="H295" s="34">
        <v>19630</v>
      </c>
      <c r="I295" s="34">
        <v>15940</v>
      </c>
      <c r="J295" s="34">
        <v>12560</v>
      </c>
      <c r="K295" s="34">
        <v>9190</v>
      </c>
      <c r="L295" s="34">
        <v>5810</v>
      </c>
      <c r="M295" s="34">
        <v>2440</v>
      </c>
      <c r="N295" s="35"/>
    </row>
    <row r="296" spans="1:14">
      <c r="A296" s="34">
        <v>2960</v>
      </c>
      <c r="B296" s="34">
        <v>2970</v>
      </c>
      <c r="C296" s="34">
        <f t="shared" si="4"/>
        <v>2960000</v>
      </c>
      <c r="D296" s="34">
        <v>81000</v>
      </c>
      <c r="E296" s="34">
        <v>63500</v>
      </c>
      <c r="F296" s="34">
        <v>30460</v>
      </c>
      <c r="G296" s="34">
        <v>25210</v>
      </c>
      <c r="H296" s="34">
        <v>19960</v>
      </c>
      <c r="I296" s="34">
        <v>16150</v>
      </c>
      <c r="J296" s="34">
        <v>12780</v>
      </c>
      <c r="K296" s="34">
        <v>9400</v>
      </c>
      <c r="L296" s="34">
        <v>6030</v>
      </c>
      <c r="M296" s="34">
        <v>2650</v>
      </c>
      <c r="N296" s="35"/>
    </row>
    <row r="297" spans="1:14">
      <c r="A297" s="34">
        <v>2970</v>
      </c>
      <c r="B297" s="34">
        <v>2980</v>
      </c>
      <c r="C297" s="34">
        <f t="shared" si="4"/>
        <v>2970000</v>
      </c>
      <c r="D297" s="34">
        <v>81850</v>
      </c>
      <c r="E297" s="34">
        <v>64350</v>
      </c>
      <c r="F297" s="34">
        <v>30790</v>
      </c>
      <c r="G297" s="34">
        <v>25540</v>
      </c>
      <c r="H297" s="34">
        <v>20290</v>
      </c>
      <c r="I297" s="34">
        <v>16360</v>
      </c>
      <c r="J297" s="34">
        <v>12990</v>
      </c>
      <c r="K297" s="34">
        <v>9610</v>
      </c>
      <c r="L297" s="34">
        <v>6240</v>
      </c>
      <c r="M297" s="34">
        <v>2860</v>
      </c>
      <c r="N297" s="35"/>
    </row>
    <row r="298" spans="1:14">
      <c r="A298" s="34">
        <v>2980</v>
      </c>
      <c r="B298" s="34">
        <v>2990</v>
      </c>
      <c r="C298" s="34">
        <f t="shared" si="4"/>
        <v>2980000</v>
      </c>
      <c r="D298" s="34">
        <v>82710</v>
      </c>
      <c r="E298" s="34">
        <v>65210</v>
      </c>
      <c r="F298" s="34">
        <v>31120</v>
      </c>
      <c r="G298" s="34">
        <v>25870</v>
      </c>
      <c r="H298" s="34">
        <v>20620</v>
      </c>
      <c r="I298" s="34">
        <v>16570</v>
      </c>
      <c r="J298" s="34">
        <v>13200</v>
      </c>
      <c r="K298" s="34">
        <v>9820</v>
      </c>
      <c r="L298" s="34">
        <v>6450</v>
      </c>
      <c r="M298" s="34">
        <v>3070</v>
      </c>
      <c r="N298" s="35"/>
    </row>
    <row r="299" spans="1:14">
      <c r="A299" s="34">
        <v>2990</v>
      </c>
      <c r="B299" s="34">
        <v>3000</v>
      </c>
      <c r="C299" s="34">
        <f t="shared" si="4"/>
        <v>2990000</v>
      </c>
      <c r="D299" s="34">
        <v>83560</v>
      </c>
      <c r="E299" s="34">
        <v>66060</v>
      </c>
      <c r="F299" s="34">
        <v>31450</v>
      </c>
      <c r="G299" s="34">
        <v>26200</v>
      </c>
      <c r="H299" s="34">
        <v>20950</v>
      </c>
      <c r="I299" s="34">
        <v>16790</v>
      </c>
      <c r="J299" s="34">
        <v>13410</v>
      </c>
      <c r="K299" s="34">
        <v>10040</v>
      </c>
      <c r="L299" s="34">
        <v>6660</v>
      </c>
      <c r="M299" s="34">
        <v>3290</v>
      </c>
      <c r="N299" s="35"/>
    </row>
    <row r="300" spans="1:14">
      <c r="A300" s="34">
        <v>3000</v>
      </c>
      <c r="B300" s="34">
        <v>3020</v>
      </c>
      <c r="C300" s="34">
        <f t="shared" si="4"/>
        <v>3000000</v>
      </c>
      <c r="D300" s="34">
        <v>84850</v>
      </c>
      <c r="E300" s="34">
        <v>67350</v>
      </c>
      <c r="F300" s="34">
        <v>32490</v>
      </c>
      <c r="G300" s="34">
        <v>26690</v>
      </c>
      <c r="H300" s="34">
        <v>21440</v>
      </c>
      <c r="I300" s="34">
        <v>17100</v>
      </c>
      <c r="J300" s="34">
        <v>13730</v>
      </c>
      <c r="K300" s="34">
        <v>10350</v>
      </c>
      <c r="L300" s="34">
        <v>6980</v>
      </c>
      <c r="M300" s="34">
        <v>3600</v>
      </c>
      <c r="N300" s="35"/>
    </row>
    <row r="301" spans="1:14">
      <c r="A301" s="34">
        <v>3020</v>
      </c>
      <c r="B301" s="34">
        <v>3040</v>
      </c>
      <c r="C301" s="34">
        <f t="shared" si="4"/>
        <v>3020000</v>
      </c>
      <c r="D301" s="34">
        <v>86560</v>
      </c>
      <c r="E301" s="34">
        <v>69060</v>
      </c>
      <c r="F301" s="34">
        <v>34140</v>
      </c>
      <c r="G301" s="34">
        <v>27350</v>
      </c>
      <c r="H301" s="34">
        <v>22100</v>
      </c>
      <c r="I301" s="34">
        <v>17530</v>
      </c>
      <c r="J301" s="34">
        <v>14150</v>
      </c>
      <c r="K301" s="34">
        <v>10780</v>
      </c>
      <c r="L301" s="34">
        <v>7400</v>
      </c>
      <c r="M301" s="34">
        <v>4030</v>
      </c>
      <c r="N301" s="35"/>
    </row>
    <row r="302" spans="1:14">
      <c r="A302" s="34">
        <v>3040</v>
      </c>
      <c r="B302" s="34">
        <v>3060</v>
      </c>
      <c r="C302" s="34">
        <f t="shared" si="4"/>
        <v>3040000</v>
      </c>
      <c r="D302" s="34">
        <v>88270</v>
      </c>
      <c r="E302" s="34">
        <v>70770</v>
      </c>
      <c r="F302" s="34">
        <v>35790</v>
      </c>
      <c r="G302" s="34">
        <v>28010</v>
      </c>
      <c r="H302" s="34">
        <v>22760</v>
      </c>
      <c r="I302" s="34">
        <v>17950</v>
      </c>
      <c r="J302" s="34">
        <v>14580</v>
      </c>
      <c r="K302" s="34">
        <v>11200</v>
      </c>
      <c r="L302" s="34">
        <v>7830</v>
      </c>
      <c r="M302" s="34">
        <v>4450</v>
      </c>
      <c r="N302" s="34">
        <v>1080</v>
      </c>
    </row>
    <row r="303" spans="1:14">
      <c r="A303" s="34">
        <v>3060</v>
      </c>
      <c r="B303" s="34">
        <v>3080</v>
      </c>
      <c r="C303" s="34">
        <f t="shared" si="4"/>
        <v>3060000</v>
      </c>
      <c r="D303" s="34">
        <v>89980</v>
      </c>
      <c r="E303" s="34">
        <v>72480</v>
      </c>
      <c r="F303" s="34">
        <v>37440</v>
      </c>
      <c r="G303" s="34">
        <v>28670</v>
      </c>
      <c r="H303" s="34">
        <v>23420</v>
      </c>
      <c r="I303" s="34">
        <v>18380</v>
      </c>
      <c r="J303" s="34">
        <v>15000</v>
      </c>
      <c r="K303" s="34">
        <v>11630</v>
      </c>
      <c r="L303" s="34">
        <v>8250</v>
      </c>
      <c r="M303" s="34">
        <v>4880</v>
      </c>
      <c r="N303" s="34">
        <v>1500</v>
      </c>
    </row>
    <row r="304" spans="1:14">
      <c r="A304" s="34">
        <v>3080</v>
      </c>
      <c r="B304" s="34">
        <v>3100</v>
      </c>
      <c r="C304" s="34">
        <f t="shared" si="4"/>
        <v>3080000</v>
      </c>
      <c r="D304" s="34">
        <v>91690</v>
      </c>
      <c r="E304" s="34">
        <v>74190</v>
      </c>
      <c r="F304" s="34">
        <v>39080</v>
      </c>
      <c r="G304" s="34">
        <v>29330</v>
      </c>
      <c r="H304" s="34">
        <v>24080</v>
      </c>
      <c r="I304" s="34">
        <v>18830</v>
      </c>
      <c r="J304" s="34">
        <v>15430</v>
      </c>
      <c r="K304" s="34">
        <v>12050</v>
      </c>
      <c r="L304" s="34">
        <v>8680</v>
      </c>
      <c r="M304" s="34">
        <v>5300</v>
      </c>
      <c r="N304" s="34">
        <v>1930</v>
      </c>
    </row>
    <row r="305" spans="1:14">
      <c r="A305" s="34">
        <v>3100</v>
      </c>
      <c r="B305" s="34">
        <v>3120</v>
      </c>
      <c r="C305" s="34">
        <f t="shared" si="4"/>
        <v>3100000</v>
      </c>
      <c r="D305" s="34">
        <v>93400</v>
      </c>
      <c r="E305" s="34">
        <v>75900</v>
      </c>
      <c r="F305" s="34">
        <v>40730</v>
      </c>
      <c r="G305" s="34">
        <v>29990</v>
      </c>
      <c r="H305" s="34">
        <v>24740</v>
      </c>
      <c r="I305" s="34">
        <v>19490</v>
      </c>
      <c r="J305" s="34">
        <v>15850</v>
      </c>
      <c r="K305" s="34">
        <v>12470</v>
      </c>
      <c r="L305" s="34">
        <v>9100</v>
      </c>
      <c r="M305" s="34">
        <v>5720</v>
      </c>
      <c r="N305" s="34">
        <v>2350</v>
      </c>
    </row>
    <row r="306" spans="1:14">
      <c r="A306" s="34">
        <v>3120</v>
      </c>
      <c r="B306" s="34">
        <v>3140</v>
      </c>
      <c r="C306" s="34">
        <f t="shared" si="4"/>
        <v>3120000</v>
      </c>
      <c r="D306" s="34">
        <v>95760</v>
      </c>
      <c r="E306" s="34">
        <v>77620</v>
      </c>
      <c r="F306" s="34">
        <v>42380</v>
      </c>
      <c r="G306" s="34">
        <v>30650</v>
      </c>
      <c r="H306" s="34">
        <v>25400</v>
      </c>
      <c r="I306" s="34">
        <v>20150</v>
      </c>
      <c r="J306" s="34">
        <v>16270</v>
      </c>
      <c r="K306" s="34">
        <v>12900</v>
      </c>
      <c r="L306" s="34">
        <v>9520</v>
      </c>
      <c r="M306" s="34">
        <v>6150</v>
      </c>
      <c r="N306" s="34">
        <v>2770</v>
      </c>
    </row>
    <row r="307" spans="1:14">
      <c r="A307" s="34">
        <v>3140</v>
      </c>
      <c r="B307" s="34">
        <v>3160</v>
      </c>
      <c r="C307" s="34">
        <f t="shared" si="4"/>
        <v>3140000</v>
      </c>
      <c r="D307" s="34">
        <v>98210</v>
      </c>
      <c r="E307" s="34">
        <v>79330</v>
      </c>
      <c r="F307" s="34">
        <v>44030</v>
      </c>
      <c r="G307" s="34">
        <v>31310</v>
      </c>
      <c r="H307" s="34">
        <v>26060</v>
      </c>
      <c r="I307" s="34">
        <v>20810</v>
      </c>
      <c r="J307" s="34">
        <v>16700</v>
      </c>
      <c r="K307" s="34">
        <v>13320</v>
      </c>
      <c r="L307" s="34">
        <v>9950</v>
      </c>
      <c r="M307" s="34">
        <v>6570</v>
      </c>
      <c r="N307" s="34">
        <v>3200</v>
      </c>
    </row>
    <row r="308" spans="1:14">
      <c r="A308" s="34">
        <v>3160</v>
      </c>
      <c r="B308" s="34">
        <v>3180</v>
      </c>
      <c r="C308" s="34">
        <f t="shared" si="4"/>
        <v>3160000</v>
      </c>
      <c r="D308" s="34">
        <v>100650</v>
      </c>
      <c r="E308" s="34">
        <v>81040</v>
      </c>
      <c r="F308" s="34">
        <v>45680</v>
      </c>
      <c r="G308" s="34">
        <v>32550</v>
      </c>
      <c r="H308" s="34">
        <v>26720</v>
      </c>
      <c r="I308" s="34">
        <v>21470</v>
      </c>
      <c r="J308" s="34">
        <v>17120</v>
      </c>
      <c r="K308" s="34">
        <v>13750</v>
      </c>
      <c r="L308" s="34">
        <v>10370</v>
      </c>
      <c r="M308" s="34">
        <v>7000</v>
      </c>
      <c r="N308" s="34">
        <v>3620</v>
      </c>
    </row>
    <row r="309" spans="1:14">
      <c r="A309" s="34">
        <v>3180</v>
      </c>
      <c r="B309" s="34">
        <v>3200</v>
      </c>
      <c r="C309" s="34">
        <f t="shared" si="4"/>
        <v>3180000</v>
      </c>
      <c r="D309" s="34">
        <v>103100</v>
      </c>
      <c r="E309" s="34">
        <v>82750</v>
      </c>
      <c r="F309" s="34">
        <v>47330</v>
      </c>
      <c r="G309" s="34">
        <v>34200</v>
      </c>
      <c r="H309" s="34">
        <v>27380</v>
      </c>
      <c r="I309" s="34">
        <v>22130</v>
      </c>
      <c r="J309" s="34">
        <v>17540</v>
      </c>
      <c r="K309" s="34">
        <v>14170</v>
      </c>
      <c r="L309" s="34">
        <v>10790</v>
      </c>
      <c r="M309" s="34">
        <v>7420</v>
      </c>
      <c r="N309" s="34">
        <v>4040</v>
      </c>
    </row>
    <row r="310" spans="1:14">
      <c r="A310" s="34">
        <v>3200</v>
      </c>
      <c r="B310" s="34">
        <v>3220</v>
      </c>
      <c r="C310" s="34">
        <f t="shared" si="4"/>
        <v>3200000</v>
      </c>
      <c r="D310" s="34">
        <v>105540</v>
      </c>
      <c r="E310" s="34">
        <v>84460</v>
      </c>
      <c r="F310" s="34">
        <v>48980</v>
      </c>
      <c r="G310" s="34">
        <v>35850</v>
      </c>
      <c r="H310" s="34">
        <v>28040</v>
      </c>
      <c r="I310" s="34">
        <v>22790</v>
      </c>
      <c r="J310" s="34">
        <v>17970</v>
      </c>
      <c r="K310" s="34">
        <v>14590</v>
      </c>
      <c r="L310" s="34">
        <v>11220</v>
      </c>
      <c r="M310" s="34">
        <v>7840</v>
      </c>
      <c r="N310" s="34">
        <v>4470</v>
      </c>
    </row>
    <row r="311" spans="1:14">
      <c r="A311" s="34">
        <v>3220</v>
      </c>
      <c r="B311" s="34">
        <v>3240</v>
      </c>
      <c r="C311" s="34">
        <f t="shared" si="4"/>
        <v>3220000</v>
      </c>
      <c r="D311" s="34">
        <v>107990</v>
      </c>
      <c r="E311" s="34">
        <v>86170</v>
      </c>
      <c r="F311" s="34">
        <v>50620</v>
      </c>
      <c r="G311" s="34">
        <v>37500</v>
      </c>
      <c r="H311" s="34">
        <v>28700</v>
      </c>
      <c r="I311" s="34">
        <v>23450</v>
      </c>
      <c r="J311" s="34">
        <v>18390</v>
      </c>
      <c r="K311" s="34">
        <v>15020</v>
      </c>
      <c r="L311" s="34">
        <v>11640</v>
      </c>
      <c r="M311" s="34">
        <v>8270</v>
      </c>
      <c r="N311" s="34">
        <v>4890</v>
      </c>
    </row>
    <row r="312" spans="1:14">
      <c r="A312" s="34">
        <v>3240</v>
      </c>
      <c r="B312" s="34">
        <v>3260</v>
      </c>
      <c r="C312" s="34">
        <f t="shared" si="4"/>
        <v>3240000</v>
      </c>
      <c r="D312" s="34">
        <v>110430</v>
      </c>
      <c r="E312" s="34">
        <v>87880</v>
      </c>
      <c r="F312" s="34">
        <v>52270</v>
      </c>
      <c r="G312" s="34">
        <v>39150</v>
      </c>
      <c r="H312" s="34">
        <v>29360</v>
      </c>
      <c r="I312" s="34">
        <v>24110</v>
      </c>
      <c r="J312" s="34">
        <v>18860</v>
      </c>
      <c r="K312" s="34">
        <v>15440</v>
      </c>
      <c r="L312" s="34">
        <v>12070</v>
      </c>
      <c r="M312" s="34">
        <v>8690</v>
      </c>
      <c r="N312" s="34">
        <v>5320</v>
      </c>
    </row>
    <row r="313" spans="1:14">
      <c r="A313" s="34">
        <v>3260</v>
      </c>
      <c r="B313" s="34">
        <v>3280</v>
      </c>
      <c r="C313" s="34">
        <f t="shared" si="4"/>
        <v>3260000</v>
      </c>
      <c r="D313" s="34">
        <v>112880</v>
      </c>
      <c r="E313" s="34">
        <v>89600</v>
      </c>
      <c r="F313" s="34">
        <v>53920</v>
      </c>
      <c r="G313" s="34">
        <v>40800</v>
      </c>
      <c r="H313" s="34">
        <v>30020</v>
      </c>
      <c r="I313" s="34">
        <v>24770</v>
      </c>
      <c r="J313" s="34">
        <v>19520</v>
      </c>
      <c r="K313" s="34">
        <v>15870</v>
      </c>
      <c r="L313" s="34">
        <v>12490</v>
      </c>
      <c r="M313" s="34">
        <v>9120</v>
      </c>
      <c r="N313" s="34">
        <v>5740</v>
      </c>
    </row>
    <row r="314" spans="1:14">
      <c r="A314" s="34">
        <v>3280</v>
      </c>
      <c r="B314" s="34">
        <v>3300</v>
      </c>
      <c r="C314" s="34">
        <f t="shared" si="4"/>
        <v>3280000</v>
      </c>
      <c r="D314" s="34">
        <v>115320</v>
      </c>
      <c r="E314" s="34">
        <v>91310</v>
      </c>
      <c r="F314" s="34">
        <v>55570</v>
      </c>
      <c r="G314" s="34">
        <v>42440</v>
      </c>
      <c r="H314" s="34">
        <v>30670</v>
      </c>
      <c r="I314" s="34">
        <v>25420</v>
      </c>
      <c r="J314" s="34">
        <v>20170</v>
      </c>
      <c r="K314" s="34">
        <v>16290</v>
      </c>
      <c r="L314" s="34">
        <v>12910</v>
      </c>
      <c r="M314" s="34">
        <v>9540</v>
      </c>
      <c r="N314" s="34">
        <v>6160</v>
      </c>
    </row>
    <row r="315" spans="1:14">
      <c r="A315" s="34">
        <v>3300</v>
      </c>
      <c r="B315" s="34">
        <v>3320</v>
      </c>
      <c r="C315" s="34">
        <f t="shared" si="4"/>
        <v>3300000</v>
      </c>
      <c r="D315" s="34">
        <v>117770</v>
      </c>
      <c r="E315" s="34">
        <v>93020</v>
      </c>
      <c r="F315" s="34">
        <v>57220</v>
      </c>
      <c r="G315" s="34">
        <v>44090</v>
      </c>
      <c r="H315" s="34">
        <v>31330</v>
      </c>
      <c r="I315" s="34">
        <v>26080</v>
      </c>
      <c r="J315" s="34">
        <v>20830</v>
      </c>
      <c r="K315" s="34">
        <v>16710</v>
      </c>
      <c r="L315" s="34">
        <v>13340</v>
      </c>
      <c r="M315" s="34">
        <v>9960</v>
      </c>
      <c r="N315" s="34">
        <v>6590</v>
      </c>
    </row>
    <row r="316" spans="1:14">
      <c r="A316" s="34">
        <v>3320</v>
      </c>
      <c r="B316" s="34">
        <v>3340</v>
      </c>
      <c r="C316" s="34">
        <f t="shared" si="4"/>
        <v>3320000</v>
      </c>
      <c r="D316" s="34">
        <v>120210</v>
      </c>
      <c r="E316" s="34">
        <v>95210</v>
      </c>
      <c r="F316" s="34">
        <v>58870</v>
      </c>
      <c r="G316" s="34">
        <v>45740</v>
      </c>
      <c r="H316" s="34">
        <v>32620</v>
      </c>
      <c r="I316" s="34">
        <v>26740</v>
      </c>
      <c r="J316" s="34">
        <v>21490</v>
      </c>
      <c r="K316" s="34">
        <v>17140</v>
      </c>
      <c r="L316" s="34">
        <v>13760</v>
      </c>
      <c r="M316" s="34">
        <v>10390</v>
      </c>
      <c r="N316" s="34">
        <v>7010</v>
      </c>
    </row>
    <row r="317" spans="1:14">
      <c r="A317" s="34">
        <v>3340</v>
      </c>
      <c r="B317" s="34">
        <v>3360</v>
      </c>
      <c r="C317" s="34">
        <f t="shared" si="4"/>
        <v>3340000</v>
      </c>
      <c r="D317" s="34">
        <v>122660</v>
      </c>
      <c r="E317" s="34">
        <v>97660</v>
      </c>
      <c r="F317" s="34">
        <v>60440</v>
      </c>
      <c r="G317" s="34">
        <v>47320</v>
      </c>
      <c r="H317" s="34">
        <v>34190</v>
      </c>
      <c r="I317" s="34">
        <v>27370</v>
      </c>
      <c r="J317" s="34">
        <v>22120</v>
      </c>
      <c r="K317" s="34">
        <v>17540</v>
      </c>
      <c r="L317" s="34">
        <v>14170</v>
      </c>
      <c r="M317" s="34">
        <v>10790</v>
      </c>
      <c r="N317" s="34">
        <v>7420</v>
      </c>
    </row>
    <row r="318" spans="1:14">
      <c r="A318" s="34">
        <v>3360</v>
      </c>
      <c r="B318" s="34">
        <v>3380</v>
      </c>
      <c r="C318" s="34">
        <f t="shared" si="4"/>
        <v>3360000</v>
      </c>
      <c r="D318" s="34">
        <v>125100</v>
      </c>
      <c r="E318" s="34">
        <v>100100</v>
      </c>
      <c r="F318" s="34">
        <v>62010</v>
      </c>
      <c r="G318" s="34">
        <v>48880</v>
      </c>
      <c r="H318" s="34">
        <v>35760</v>
      </c>
      <c r="I318" s="34">
        <v>28000</v>
      </c>
      <c r="J318" s="34">
        <v>22750</v>
      </c>
      <c r="K318" s="34">
        <v>17950</v>
      </c>
      <c r="L318" s="34">
        <v>14570</v>
      </c>
      <c r="M318" s="34">
        <v>11200</v>
      </c>
      <c r="N318" s="34">
        <v>7820</v>
      </c>
    </row>
    <row r="319" spans="1:14">
      <c r="A319" s="34">
        <v>3380</v>
      </c>
      <c r="B319" s="34">
        <v>3400</v>
      </c>
      <c r="C319" s="34">
        <f t="shared" si="4"/>
        <v>3380000</v>
      </c>
      <c r="D319" s="34">
        <v>127550</v>
      </c>
      <c r="E319" s="34">
        <v>102550</v>
      </c>
      <c r="F319" s="34">
        <v>63570</v>
      </c>
      <c r="G319" s="34">
        <v>50450</v>
      </c>
      <c r="H319" s="34">
        <v>37320</v>
      </c>
      <c r="I319" s="34">
        <v>28630</v>
      </c>
      <c r="J319" s="34">
        <v>23380</v>
      </c>
      <c r="K319" s="34">
        <v>18350</v>
      </c>
      <c r="L319" s="34">
        <v>14970</v>
      </c>
      <c r="M319" s="34">
        <v>11600</v>
      </c>
      <c r="N319" s="34">
        <v>8220</v>
      </c>
    </row>
    <row r="320" spans="1:14">
      <c r="A320" s="34">
        <v>3400</v>
      </c>
      <c r="B320" s="34">
        <v>3420</v>
      </c>
      <c r="C320" s="34">
        <f t="shared" si="4"/>
        <v>3400000</v>
      </c>
      <c r="D320" s="34">
        <v>129990</v>
      </c>
      <c r="E320" s="34">
        <v>104990</v>
      </c>
      <c r="F320" s="34">
        <v>65140</v>
      </c>
      <c r="G320" s="34">
        <v>52010</v>
      </c>
      <c r="H320" s="34">
        <v>38890</v>
      </c>
      <c r="I320" s="34">
        <v>29250</v>
      </c>
      <c r="J320" s="34">
        <v>24000</v>
      </c>
      <c r="K320" s="34">
        <v>18750</v>
      </c>
      <c r="L320" s="34">
        <v>15370</v>
      </c>
      <c r="M320" s="34">
        <v>12000</v>
      </c>
      <c r="N320" s="34">
        <v>8620</v>
      </c>
    </row>
    <row r="321" spans="1:14">
      <c r="A321" s="34">
        <v>3420</v>
      </c>
      <c r="B321" s="34">
        <v>3440</v>
      </c>
      <c r="C321" s="34">
        <f t="shared" si="4"/>
        <v>3420000</v>
      </c>
      <c r="D321" s="34">
        <v>132440</v>
      </c>
      <c r="E321" s="34">
        <v>107440</v>
      </c>
      <c r="F321" s="34">
        <v>66700</v>
      </c>
      <c r="G321" s="34">
        <v>53580</v>
      </c>
      <c r="H321" s="34">
        <v>40450</v>
      </c>
      <c r="I321" s="34">
        <v>29880</v>
      </c>
      <c r="J321" s="34">
        <v>24630</v>
      </c>
      <c r="K321" s="34">
        <v>19380</v>
      </c>
      <c r="L321" s="34">
        <v>15780</v>
      </c>
      <c r="M321" s="34">
        <v>12400</v>
      </c>
      <c r="N321" s="34">
        <v>9030</v>
      </c>
    </row>
    <row r="322" spans="1:14">
      <c r="A322" s="34">
        <v>3440</v>
      </c>
      <c r="B322" s="34">
        <v>3460</v>
      </c>
      <c r="C322" s="34">
        <f t="shared" si="4"/>
        <v>3440000</v>
      </c>
      <c r="D322" s="34">
        <v>134880</v>
      </c>
      <c r="E322" s="34">
        <v>109880</v>
      </c>
      <c r="F322" s="34">
        <v>68270</v>
      </c>
      <c r="G322" s="34">
        <v>55140</v>
      </c>
      <c r="H322" s="34">
        <v>42020</v>
      </c>
      <c r="I322" s="34">
        <v>30500</v>
      </c>
      <c r="J322" s="34">
        <v>25250</v>
      </c>
      <c r="K322" s="34">
        <v>20000</v>
      </c>
      <c r="L322" s="34">
        <v>16180</v>
      </c>
      <c r="M322" s="34">
        <v>12800</v>
      </c>
      <c r="N322" s="34">
        <v>9430</v>
      </c>
    </row>
    <row r="323" spans="1:14">
      <c r="A323" s="34">
        <v>3460</v>
      </c>
      <c r="B323" s="34">
        <v>3480</v>
      </c>
      <c r="C323" s="34">
        <f t="shared" si="4"/>
        <v>3460000</v>
      </c>
      <c r="D323" s="34">
        <v>137330</v>
      </c>
      <c r="E323" s="34">
        <v>112330</v>
      </c>
      <c r="F323" s="34">
        <v>69830</v>
      </c>
      <c r="G323" s="34">
        <v>56710</v>
      </c>
      <c r="H323" s="34">
        <v>43580</v>
      </c>
      <c r="I323" s="34">
        <v>31130</v>
      </c>
      <c r="J323" s="34">
        <v>25880</v>
      </c>
      <c r="K323" s="34">
        <v>20630</v>
      </c>
      <c r="L323" s="34">
        <v>16580</v>
      </c>
      <c r="M323" s="34">
        <v>13210</v>
      </c>
      <c r="N323" s="34">
        <v>9830</v>
      </c>
    </row>
    <row r="324" spans="1:14">
      <c r="A324" s="34">
        <v>3480</v>
      </c>
      <c r="B324" s="34">
        <v>3500</v>
      </c>
      <c r="C324" s="34">
        <f t="shared" ref="C324:C387" si="5">A324*1000</f>
        <v>3480000</v>
      </c>
      <c r="D324" s="34">
        <v>139770</v>
      </c>
      <c r="E324" s="34">
        <v>114770</v>
      </c>
      <c r="F324" s="34">
        <v>71400</v>
      </c>
      <c r="G324" s="34">
        <v>58270</v>
      </c>
      <c r="H324" s="34">
        <v>45150</v>
      </c>
      <c r="I324" s="34">
        <v>32020</v>
      </c>
      <c r="J324" s="34">
        <v>26510</v>
      </c>
      <c r="K324" s="34">
        <v>21260</v>
      </c>
      <c r="L324" s="34">
        <v>16980</v>
      </c>
      <c r="M324" s="34">
        <v>13610</v>
      </c>
      <c r="N324" s="34">
        <v>10230</v>
      </c>
    </row>
    <row r="325" spans="1:14">
      <c r="A325" s="34">
        <v>3500</v>
      </c>
      <c r="B325" s="34">
        <v>3520</v>
      </c>
      <c r="C325" s="34">
        <f t="shared" si="5"/>
        <v>3500000</v>
      </c>
      <c r="D325" s="34">
        <v>142220</v>
      </c>
      <c r="E325" s="34">
        <v>117220</v>
      </c>
      <c r="F325" s="34">
        <v>72960</v>
      </c>
      <c r="G325" s="34">
        <v>59840</v>
      </c>
      <c r="H325" s="34">
        <v>46710</v>
      </c>
      <c r="I325" s="34">
        <v>33590</v>
      </c>
      <c r="J325" s="34">
        <v>27130</v>
      </c>
      <c r="K325" s="34">
        <v>21880</v>
      </c>
      <c r="L325" s="34">
        <v>17390</v>
      </c>
      <c r="M325" s="34">
        <v>14010</v>
      </c>
      <c r="N325" s="34">
        <v>10640</v>
      </c>
    </row>
    <row r="326" spans="1:14">
      <c r="A326" s="34">
        <v>3520</v>
      </c>
      <c r="B326" s="34">
        <v>3540</v>
      </c>
      <c r="C326" s="34">
        <f t="shared" si="5"/>
        <v>3520000</v>
      </c>
      <c r="D326" s="34">
        <v>144660</v>
      </c>
      <c r="E326" s="34">
        <v>119660</v>
      </c>
      <c r="F326" s="34">
        <v>74530</v>
      </c>
      <c r="G326" s="34">
        <v>61400</v>
      </c>
      <c r="H326" s="34">
        <v>48280</v>
      </c>
      <c r="I326" s="34">
        <v>35150</v>
      </c>
      <c r="J326" s="34">
        <v>27760</v>
      </c>
      <c r="K326" s="34">
        <v>22510</v>
      </c>
      <c r="L326" s="34">
        <v>17790</v>
      </c>
      <c r="M326" s="34">
        <v>14410</v>
      </c>
      <c r="N326" s="34">
        <v>11040</v>
      </c>
    </row>
    <row r="327" spans="1:14">
      <c r="A327" s="34">
        <v>3540</v>
      </c>
      <c r="B327" s="34">
        <v>3560</v>
      </c>
      <c r="C327" s="34">
        <f t="shared" si="5"/>
        <v>3540000</v>
      </c>
      <c r="D327" s="34">
        <v>147110</v>
      </c>
      <c r="E327" s="34">
        <v>122110</v>
      </c>
      <c r="F327" s="34">
        <v>76090</v>
      </c>
      <c r="G327" s="34">
        <v>62960</v>
      </c>
      <c r="H327" s="34">
        <v>49840</v>
      </c>
      <c r="I327" s="34">
        <v>36710</v>
      </c>
      <c r="J327" s="34">
        <v>28380</v>
      </c>
      <c r="K327" s="34">
        <v>23130</v>
      </c>
      <c r="L327" s="34">
        <v>18190</v>
      </c>
      <c r="M327" s="34">
        <v>14820</v>
      </c>
      <c r="N327" s="34">
        <v>11440</v>
      </c>
    </row>
    <row r="328" spans="1:14">
      <c r="A328" s="34">
        <v>3560</v>
      </c>
      <c r="B328" s="34">
        <v>3580</v>
      </c>
      <c r="C328" s="34">
        <f t="shared" si="5"/>
        <v>3560000</v>
      </c>
      <c r="D328" s="34">
        <v>149550</v>
      </c>
      <c r="E328" s="34">
        <v>124550</v>
      </c>
      <c r="F328" s="34">
        <v>77650</v>
      </c>
      <c r="G328" s="34">
        <v>64530</v>
      </c>
      <c r="H328" s="34">
        <v>51400</v>
      </c>
      <c r="I328" s="34">
        <v>38280</v>
      </c>
      <c r="J328" s="34">
        <v>29010</v>
      </c>
      <c r="K328" s="34">
        <v>23760</v>
      </c>
      <c r="L328" s="34">
        <v>18590</v>
      </c>
      <c r="M328" s="34">
        <v>15220</v>
      </c>
      <c r="N328" s="34">
        <v>11840</v>
      </c>
    </row>
    <row r="329" spans="1:14">
      <c r="A329" s="34">
        <v>3580</v>
      </c>
      <c r="B329" s="34">
        <v>3600</v>
      </c>
      <c r="C329" s="34">
        <f t="shared" si="5"/>
        <v>3580000</v>
      </c>
      <c r="D329" s="34">
        <v>152000</v>
      </c>
      <c r="E329" s="34">
        <v>127000</v>
      </c>
      <c r="F329" s="34">
        <v>79220</v>
      </c>
      <c r="G329" s="34">
        <v>66090</v>
      </c>
      <c r="H329" s="34">
        <v>52970</v>
      </c>
      <c r="I329" s="34">
        <v>39840</v>
      </c>
      <c r="J329" s="34">
        <v>29630</v>
      </c>
      <c r="K329" s="34">
        <v>24380</v>
      </c>
      <c r="L329" s="34">
        <v>19130</v>
      </c>
      <c r="M329" s="34">
        <v>15620</v>
      </c>
      <c r="N329" s="34">
        <v>12250</v>
      </c>
    </row>
    <row r="330" spans="1:14">
      <c r="A330" s="34">
        <v>3600</v>
      </c>
      <c r="B330" s="34">
        <v>3620</v>
      </c>
      <c r="C330" s="34">
        <f t="shared" si="5"/>
        <v>3600000</v>
      </c>
      <c r="D330" s="34">
        <v>154440</v>
      </c>
      <c r="E330" s="34">
        <v>129440</v>
      </c>
      <c r="F330" s="34">
        <v>80780</v>
      </c>
      <c r="G330" s="34">
        <v>67660</v>
      </c>
      <c r="H330" s="34">
        <v>54530</v>
      </c>
      <c r="I330" s="34">
        <v>41410</v>
      </c>
      <c r="J330" s="34">
        <v>30260</v>
      </c>
      <c r="K330" s="34">
        <v>25010</v>
      </c>
      <c r="L330" s="34">
        <v>19760</v>
      </c>
      <c r="M330" s="34">
        <v>16020</v>
      </c>
      <c r="N330" s="34">
        <v>12650</v>
      </c>
    </row>
    <row r="331" spans="1:14">
      <c r="A331" s="34">
        <v>3620</v>
      </c>
      <c r="B331" s="34">
        <v>3640</v>
      </c>
      <c r="C331" s="34">
        <f t="shared" si="5"/>
        <v>3620000</v>
      </c>
      <c r="D331" s="34">
        <v>156890</v>
      </c>
      <c r="E331" s="34">
        <v>131890</v>
      </c>
      <c r="F331" s="34">
        <v>82350</v>
      </c>
      <c r="G331" s="34">
        <v>69220</v>
      </c>
      <c r="H331" s="34">
        <v>56100</v>
      </c>
      <c r="I331" s="34">
        <v>42970</v>
      </c>
      <c r="J331" s="34">
        <v>30890</v>
      </c>
      <c r="K331" s="34">
        <v>25640</v>
      </c>
      <c r="L331" s="34">
        <v>20390</v>
      </c>
      <c r="M331" s="34">
        <v>16420</v>
      </c>
      <c r="N331" s="34">
        <v>13050</v>
      </c>
    </row>
    <row r="332" spans="1:14">
      <c r="A332" s="34">
        <v>3640</v>
      </c>
      <c r="B332" s="34">
        <v>3660</v>
      </c>
      <c r="C332" s="34">
        <f t="shared" si="5"/>
        <v>3640000</v>
      </c>
      <c r="D332" s="34">
        <v>159330</v>
      </c>
      <c r="E332" s="34">
        <v>134330</v>
      </c>
      <c r="F332" s="34">
        <v>83910</v>
      </c>
      <c r="G332" s="34">
        <v>70790</v>
      </c>
      <c r="H332" s="34">
        <v>57660</v>
      </c>
      <c r="I332" s="34">
        <v>44540</v>
      </c>
      <c r="J332" s="34">
        <v>31510</v>
      </c>
      <c r="K332" s="34">
        <v>26260</v>
      </c>
      <c r="L332" s="34">
        <v>21010</v>
      </c>
      <c r="M332" s="34">
        <v>16830</v>
      </c>
      <c r="N332" s="34">
        <v>13450</v>
      </c>
    </row>
    <row r="333" spans="1:14">
      <c r="A333" s="34">
        <v>3660</v>
      </c>
      <c r="B333" s="34">
        <v>3680</v>
      </c>
      <c r="C333" s="34">
        <f t="shared" si="5"/>
        <v>3660000</v>
      </c>
      <c r="D333" s="34">
        <v>161780</v>
      </c>
      <c r="E333" s="34">
        <v>136780</v>
      </c>
      <c r="F333" s="34">
        <v>85480</v>
      </c>
      <c r="G333" s="34">
        <v>72350</v>
      </c>
      <c r="H333" s="34">
        <v>59230</v>
      </c>
      <c r="I333" s="34">
        <v>46100</v>
      </c>
      <c r="J333" s="34">
        <v>32980</v>
      </c>
      <c r="K333" s="34">
        <v>26890</v>
      </c>
      <c r="L333" s="34">
        <v>21640</v>
      </c>
      <c r="M333" s="34">
        <v>17230</v>
      </c>
      <c r="N333" s="34">
        <v>13850</v>
      </c>
    </row>
    <row r="334" spans="1:14">
      <c r="A334" s="34">
        <v>3680</v>
      </c>
      <c r="B334" s="34">
        <v>3700</v>
      </c>
      <c r="C334" s="34">
        <f t="shared" si="5"/>
        <v>3680000</v>
      </c>
      <c r="D334" s="34">
        <v>164220</v>
      </c>
      <c r="E334" s="34">
        <v>139220</v>
      </c>
      <c r="F334" s="34">
        <v>87040</v>
      </c>
      <c r="G334" s="34">
        <v>73920</v>
      </c>
      <c r="H334" s="34">
        <v>60790</v>
      </c>
      <c r="I334" s="34">
        <v>47670</v>
      </c>
      <c r="J334" s="34">
        <v>34540</v>
      </c>
      <c r="K334" s="34">
        <v>27510</v>
      </c>
      <c r="L334" s="34">
        <v>22260</v>
      </c>
      <c r="M334" s="34">
        <v>17630</v>
      </c>
      <c r="N334" s="34">
        <v>14260</v>
      </c>
    </row>
    <row r="335" spans="1:14">
      <c r="A335" s="34">
        <v>3700</v>
      </c>
      <c r="B335" s="34">
        <v>3720</v>
      </c>
      <c r="C335" s="34">
        <f t="shared" si="5"/>
        <v>3700000</v>
      </c>
      <c r="D335" s="34">
        <v>166670</v>
      </c>
      <c r="E335" s="34">
        <v>141670</v>
      </c>
      <c r="F335" s="34">
        <v>88610</v>
      </c>
      <c r="G335" s="34">
        <v>75480</v>
      </c>
      <c r="H335" s="34">
        <v>62360</v>
      </c>
      <c r="I335" s="34">
        <v>49230</v>
      </c>
      <c r="J335" s="34">
        <v>36110</v>
      </c>
      <c r="K335" s="34">
        <v>28140</v>
      </c>
      <c r="L335" s="34">
        <v>22890</v>
      </c>
      <c r="M335" s="34">
        <v>18030</v>
      </c>
      <c r="N335" s="34">
        <v>14660</v>
      </c>
    </row>
    <row r="336" spans="1:14">
      <c r="A336" s="34">
        <v>3720</v>
      </c>
      <c r="B336" s="34">
        <v>3740</v>
      </c>
      <c r="C336" s="34">
        <f t="shared" si="5"/>
        <v>3720000</v>
      </c>
      <c r="D336" s="34">
        <v>169110</v>
      </c>
      <c r="E336" s="34">
        <v>144110</v>
      </c>
      <c r="F336" s="34">
        <v>90170</v>
      </c>
      <c r="G336" s="34">
        <v>77050</v>
      </c>
      <c r="H336" s="34">
        <v>63920</v>
      </c>
      <c r="I336" s="34">
        <v>50800</v>
      </c>
      <c r="J336" s="34">
        <v>37670</v>
      </c>
      <c r="K336" s="34">
        <v>28770</v>
      </c>
      <c r="L336" s="34">
        <v>23520</v>
      </c>
      <c r="M336" s="34">
        <v>18440</v>
      </c>
      <c r="N336" s="34">
        <v>15060</v>
      </c>
    </row>
    <row r="337" spans="1:14">
      <c r="A337" s="34">
        <v>3740</v>
      </c>
      <c r="B337" s="34">
        <v>3760</v>
      </c>
      <c r="C337" s="34">
        <f t="shared" si="5"/>
        <v>3740000</v>
      </c>
      <c r="D337" s="34">
        <v>171560</v>
      </c>
      <c r="E337" s="34">
        <v>146560</v>
      </c>
      <c r="F337" s="34">
        <v>91730</v>
      </c>
      <c r="G337" s="34">
        <v>78610</v>
      </c>
      <c r="H337" s="34">
        <v>65480</v>
      </c>
      <c r="I337" s="34">
        <v>52360</v>
      </c>
      <c r="J337" s="34">
        <v>39230</v>
      </c>
      <c r="K337" s="34">
        <v>29390</v>
      </c>
      <c r="L337" s="34">
        <v>24140</v>
      </c>
      <c r="M337" s="34">
        <v>18890</v>
      </c>
      <c r="N337" s="34">
        <v>15460</v>
      </c>
    </row>
    <row r="338" spans="1:14">
      <c r="A338" s="34">
        <v>3760</v>
      </c>
      <c r="B338" s="34">
        <v>3780</v>
      </c>
      <c r="C338" s="34">
        <f t="shared" si="5"/>
        <v>3760000</v>
      </c>
      <c r="D338" s="34">
        <v>178920</v>
      </c>
      <c r="E338" s="34">
        <v>151090</v>
      </c>
      <c r="F338" s="34">
        <v>95250</v>
      </c>
      <c r="G338" s="34">
        <v>81630</v>
      </c>
      <c r="H338" s="34">
        <v>68510</v>
      </c>
      <c r="I338" s="34">
        <v>55380</v>
      </c>
      <c r="J338" s="34">
        <v>42260</v>
      </c>
      <c r="K338" s="34">
        <v>30600</v>
      </c>
      <c r="L338" s="34">
        <v>25350</v>
      </c>
      <c r="M338" s="34">
        <v>20100</v>
      </c>
      <c r="N338" s="34">
        <v>16240</v>
      </c>
    </row>
    <row r="339" spans="1:14">
      <c r="A339" s="34">
        <v>3780</v>
      </c>
      <c r="B339" s="34">
        <v>3800</v>
      </c>
      <c r="C339" s="34">
        <f t="shared" si="5"/>
        <v>3780000</v>
      </c>
      <c r="D339" s="34">
        <v>181590</v>
      </c>
      <c r="E339" s="34">
        <v>153740</v>
      </c>
      <c r="F339" s="34">
        <v>97700</v>
      </c>
      <c r="G339" s="34">
        <v>83350</v>
      </c>
      <c r="H339" s="34">
        <v>70220</v>
      </c>
      <c r="I339" s="34">
        <v>57100</v>
      </c>
      <c r="J339" s="34">
        <v>43970</v>
      </c>
      <c r="K339" s="34">
        <v>31290</v>
      </c>
      <c r="L339" s="34">
        <v>26040</v>
      </c>
      <c r="M339" s="34">
        <v>20790</v>
      </c>
      <c r="N339" s="34">
        <v>16680</v>
      </c>
    </row>
    <row r="340" spans="1:14">
      <c r="A340" s="34">
        <v>3800</v>
      </c>
      <c r="B340" s="34">
        <v>3820</v>
      </c>
      <c r="C340" s="34">
        <f t="shared" si="5"/>
        <v>3800000</v>
      </c>
      <c r="D340" s="34">
        <v>184260</v>
      </c>
      <c r="E340" s="34">
        <v>156400</v>
      </c>
      <c r="F340" s="34">
        <v>100140</v>
      </c>
      <c r="G340" s="34">
        <v>85060</v>
      </c>
      <c r="H340" s="34">
        <v>71930</v>
      </c>
      <c r="I340" s="34">
        <v>58810</v>
      </c>
      <c r="J340" s="34">
        <v>45680</v>
      </c>
      <c r="K340" s="34">
        <v>32560</v>
      </c>
      <c r="L340" s="34">
        <v>26720</v>
      </c>
      <c r="M340" s="34">
        <v>21470</v>
      </c>
      <c r="N340" s="34">
        <v>17120</v>
      </c>
    </row>
    <row r="341" spans="1:14">
      <c r="A341" s="34">
        <v>3820</v>
      </c>
      <c r="B341" s="34">
        <v>3840</v>
      </c>
      <c r="C341" s="34">
        <f t="shared" si="5"/>
        <v>3820000</v>
      </c>
      <c r="D341" s="34">
        <v>186930</v>
      </c>
      <c r="E341" s="34">
        <v>159050</v>
      </c>
      <c r="F341" s="34">
        <v>102590</v>
      </c>
      <c r="G341" s="34">
        <v>86770</v>
      </c>
      <c r="H341" s="34">
        <v>73640</v>
      </c>
      <c r="I341" s="34">
        <v>60520</v>
      </c>
      <c r="J341" s="34">
        <v>47390</v>
      </c>
      <c r="K341" s="34">
        <v>34270</v>
      </c>
      <c r="L341" s="34">
        <v>27400</v>
      </c>
      <c r="M341" s="34">
        <v>22150</v>
      </c>
      <c r="N341" s="34">
        <v>17560</v>
      </c>
    </row>
    <row r="342" spans="1:14">
      <c r="A342" s="34">
        <v>3840</v>
      </c>
      <c r="B342" s="34">
        <v>3860</v>
      </c>
      <c r="C342" s="34">
        <f t="shared" si="5"/>
        <v>3840000</v>
      </c>
      <c r="D342" s="34">
        <v>189600</v>
      </c>
      <c r="E342" s="34">
        <v>161710</v>
      </c>
      <c r="F342" s="34">
        <v>105030</v>
      </c>
      <c r="G342" s="34">
        <v>88480</v>
      </c>
      <c r="H342" s="34">
        <v>75350</v>
      </c>
      <c r="I342" s="34">
        <v>62230</v>
      </c>
      <c r="J342" s="34">
        <v>49100</v>
      </c>
      <c r="K342" s="34">
        <v>35980</v>
      </c>
      <c r="L342" s="34">
        <v>28090</v>
      </c>
      <c r="M342" s="34">
        <v>22840</v>
      </c>
      <c r="N342" s="34">
        <v>18000</v>
      </c>
    </row>
    <row r="343" spans="1:14">
      <c r="A343" s="34">
        <v>3860</v>
      </c>
      <c r="B343" s="34">
        <v>3880</v>
      </c>
      <c r="C343" s="34">
        <f t="shared" si="5"/>
        <v>3860000</v>
      </c>
      <c r="D343" s="34">
        <v>192270</v>
      </c>
      <c r="E343" s="34">
        <v>164360</v>
      </c>
      <c r="F343" s="34">
        <v>107480</v>
      </c>
      <c r="G343" s="34">
        <v>90190</v>
      </c>
      <c r="H343" s="34">
        <v>77070</v>
      </c>
      <c r="I343" s="34">
        <v>63940</v>
      </c>
      <c r="J343" s="34">
        <v>50820</v>
      </c>
      <c r="K343" s="34">
        <v>37690</v>
      </c>
      <c r="L343" s="34">
        <v>28770</v>
      </c>
      <c r="M343" s="34">
        <v>23520</v>
      </c>
      <c r="N343" s="34">
        <v>18440</v>
      </c>
    </row>
    <row r="344" spans="1:14">
      <c r="A344" s="34">
        <v>3880</v>
      </c>
      <c r="B344" s="34">
        <v>3900</v>
      </c>
      <c r="C344" s="34">
        <f t="shared" si="5"/>
        <v>3880000</v>
      </c>
      <c r="D344" s="34">
        <v>194940</v>
      </c>
      <c r="E344" s="34">
        <v>167020</v>
      </c>
      <c r="F344" s="34">
        <v>109920</v>
      </c>
      <c r="G344" s="34">
        <v>91900</v>
      </c>
      <c r="H344" s="34">
        <v>78780</v>
      </c>
      <c r="I344" s="34">
        <v>65650</v>
      </c>
      <c r="J344" s="34">
        <v>52530</v>
      </c>
      <c r="K344" s="34">
        <v>39400</v>
      </c>
      <c r="L344" s="34">
        <v>29460</v>
      </c>
      <c r="M344" s="34">
        <v>24210</v>
      </c>
      <c r="N344" s="34">
        <v>18960</v>
      </c>
    </row>
    <row r="345" spans="1:14">
      <c r="A345" s="34">
        <v>3900</v>
      </c>
      <c r="B345" s="34">
        <v>3920</v>
      </c>
      <c r="C345" s="34">
        <f t="shared" si="5"/>
        <v>3900000</v>
      </c>
      <c r="D345" s="34">
        <v>197610</v>
      </c>
      <c r="E345" s="34">
        <v>169670</v>
      </c>
      <c r="F345" s="34">
        <v>112370</v>
      </c>
      <c r="G345" s="34">
        <v>93620</v>
      </c>
      <c r="H345" s="34">
        <v>80490</v>
      </c>
      <c r="I345" s="34">
        <v>67360</v>
      </c>
      <c r="J345" s="34">
        <v>54240</v>
      </c>
      <c r="K345" s="34">
        <v>41110</v>
      </c>
      <c r="L345" s="34">
        <v>30140</v>
      </c>
      <c r="M345" s="34">
        <v>24890</v>
      </c>
      <c r="N345" s="34">
        <v>19640</v>
      </c>
    </row>
    <row r="346" spans="1:14">
      <c r="A346" s="34">
        <v>3920</v>
      </c>
      <c r="B346" s="34">
        <v>3940</v>
      </c>
      <c r="C346" s="34">
        <f t="shared" si="5"/>
        <v>3920000</v>
      </c>
      <c r="D346" s="34">
        <v>200280</v>
      </c>
      <c r="E346" s="34">
        <v>172330</v>
      </c>
      <c r="F346" s="34">
        <v>114810</v>
      </c>
      <c r="G346" s="34">
        <v>96060</v>
      </c>
      <c r="H346" s="34">
        <v>82200</v>
      </c>
      <c r="I346" s="34">
        <v>69080</v>
      </c>
      <c r="J346" s="34">
        <v>55950</v>
      </c>
      <c r="K346" s="34">
        <v>42830</v>
      </c>
      <c r="L346" s="34">
        <v>30830</v>
      </c>
      <c r="M346" s="34">
        <v>25580</v>
      </c>
      <c r="N346" s="34">
        <v>20330</v>
      </c>
    </row>
    <row r="347" spans="1:14">
      <c r="A347" s="34">
        <v>3940</v>
      </c>
      <c r="B347" s="34">
        <v>3960</v>
      </c>
      <c r="C347" s="34">
        <f t="shared" si="5"/>
        <v>3940000</v>
      </c>
      <c r="D347" s="34">
        <v>202950</v>
      </c>
      <c r="E347" s="34">
        <v>174980</v>
      </c>
      <c r="F347" s="34">
        <v>117260</v>
      </c>
      <c r="G347" s="34">
        <v>98510</v>
      </c>
      <c r="H347" s="34">
        <v>83910</v>
      </c>
      <c r="I347" s="34">
        <v>70790</v>
      </c>
      <c r="J347" s="34">
        <v>57660</v>
      </c>
      <c r="K347" s="34">
        <v>44540</v>
      </c>
      <c r="L347" s="34">
        <v>31510</v>
      </c>
      <c r="M347" s="34">
        <v>26260</v>
      </c>
      <c r="N347" s="34">
        <v>21010</v>
      </c>
    </row>
    <row r="348" spans="1:14">
      <c r="A348" s="34">
        <v>3960</v>
      </c>
      <c r="B348" s="34">
        <v>3980</v>
      </c>
      <c r="C348" s="34">
        <f t="shared" si="5"/>
        <v>3960000</v>
      </c>
      <c r="D348" s="34">
        <v>205620</v>
      </c>
      <c r="E348" s="34">
        <v>177640</v>
      </c>
      <c r="F348" s="34">
        <v>119700</v>
      </c>
      <c r="G348" s="34">
        <v>100950</v>
      </c>
      <c r="H348" s="34">
        <v>85620</v>
      </c>
      <c r="I348" s="34">
        <v>72500</v>
      </c>
      <c r="J348" s="34">
        <v>59370</v>
      </c>
      <c r="K348" s="34">
        <v>46250</v>
      </c>
      <c r="L348" s="34">
        <v>33120</v>
      </c>
      <c r="M348" s="34">
        <v>26950</v>
      </c>
      <c r="N348" s="34">
        <v>21700</v>
      </c>
    </row>
    <row r="349" spans="1:14">
      <c r="A349" s="34">
        <v>3980</v>
      </c>
      <c r="B349" s="34">
        <v>4000</v>
      </c>
      <c r="C349" s="34">
        <f t="shared" si="5"/>
        <v>3980000</v>
      </c>
      <c r="D349" s="34">
        <v>208350</v>
      </c>
      <c r="E349" s="34">
        <v>180360</v>
      </c>
      <c r="F349" s="34">
        <v>122220</v>
      </c>
      <c r="G349" s="34">
        <v>103470</v>
      </c>
      <c r="H349" s="34">
        <v>87380</v>
      </c>
      <c r="I349" s="34">
        <v>74260</v>
      </c>
      <c r="J349" s="34">
        <v>61130</v>
      </c>
      <c r="K349" s="34">
        <v>48010</v>
      </c>
      <c r="L349" s="34">
        <v>34880</v>
      </c>
      <c r="M349" s="34">
        <v>27650</v>
      </c>
      <c r="N349" s="34">
        <v>22400</v>
      </c>
    </row>
    <row r="350" spans="1:14">
      <c r="A350" s="34">
        <v>4000</v>
      </c>
      <c r="B350" s="34">
        <v>4020</v>
      </c>
      <c r="C350" s="34">
        <f t="shared" si="5"/>
        <v>4000000</v>
      </c>
      <c r="D350" s="34">
        <v>211160</v>
      </c>
      <c r="E350" s="34">
        <v>183150</v>
      </c>
      <c r="F350" s="34">
        <v>124800</v>
      </c>
      <c r="G350" s="34">
        <v>106050</v>
      </c>
      <c r="H350" s="34">
        <v>89190</v>
      </c>
      <c r="I350" s="34">
        <v>76060</v>
      </c>
      <c r="J350" s="34">
        <v>62940</v>
      </c>
      <c r="K350" s="34">
        <v>49810</v>
      </c>
      <c r="L350" s="34">
        <v>36690</v>
      </c>
      <c r="M350" s="34">
        <v>28370</v>
      </c>
      <c r="N350" s="34">
        <v>23120</v>
      </c>
    </row>
    <row r="351" spans="1:14">
      <c r="A351" s="34">
        <v>4020</v>
      </c>
      <c r="B351" s="34">
        <v>4040</v>
      </c>
      <c r="C351" s="34">
        <f t="shared" si="5"/>
        <v>4020000</v>
      </c>
      <c r="D351" s="34">
        <v>213960</v>
      </c>
      <c r="E351" s="34">
        <v>185940</v>
      </c>
      <c r="F351" s="34">
        <v>127380</v>
      </c>
      <c r="G351" s="34">
        <v>108630</v>
      </c>
      <c r="H351" s="34">
        <v>90990</v>
      </c>
      <c r="I351" s="34">
        <v>77870</v>
      </c>
      <c r="J351" s="34">
        <v>64740</v>
      </c>
      <c r="K351" s="34">
        <v>51620</v>
      </c>
      <c r="L351" s="34">
        <v>38490</v>
      </c>
      <c r="M351" s="34">
        <v>29090</v>
      </c>
      <c r="N351" s="34">
        <v>23840</v>
      </c>
    </row>
    <row r="352" spans="1:14">
      <c r="A352" s="34">
        <v>4040</v>
      </c>
      <c r="B352" s="34">
        <v>4060</v>
      </c>
      <c r="C352" s="34">
        <f t="shared" si="5"/>
        <v>4040000</v>
      </c>
      <c r="D352" s="34">
        <v>216770</v>
      </c>
      <c r="E352" s="34">
        <v>188730</v>
      </c>
      <c r="F352" s="34">
        <v>129960</v>
      </c>
      <c r="G352" s="34">
        <v>111210</v>
      </c>
      <c r="H352" s="34">
        <v>92800</v>
      </c>
      <c r="I352" s="34">
        <v>79680</v>
      </c>
      <c r="J352" s="34">
        <v>66550</v>
      </c>
      <c r="K352" s="34">
        <v>53430</v>
      </c>
      <c r="L352" s="34">
        <v>40300</v>
      </c>
      <c r="M352" s="34">
        <v>29820</v>
      </c>
      <c r="N352" s="34">
        <v>24570</v>
      </c>
    </row>
    <row r="353" spans="1:14">
      <c r="A353" s="34">
        <v>4060</v>
      </c>
      <c r="B353" s="34">
        <v>4080</v>
      </c>
      <c r="C353" s="34">
        <f t="shared" si="5"/>
        <v>4060000</v>
      </c>
      <c r="D353" s="34">
        <v>219570</v>
      </c>
      <c r="E353" s="34">
        <v>191520</v>
      </c>
      <c r="F353" s="34">
        <v>132540</v>
      </c>
      <c r="G353" s="34">
        <v>113790</v>
      </c>
      <c r="H353" s="34">
        <v>95040</v>
      </c>
      <c r="I353" s="34">
        <v>81480</v>
      </c>
      <c r="J353" s="34">
        <v>68360</v>
      </c>
      <c r="K353" s="34">
        <v>55230</v>
      </c>
      <c r="L353" s="34">
        <v>42110</v>
      </c>
      <c r="M353" s="34">
        <v>30540</v>
      </c>
      <c r="N353" s="34">
        <v>25290</v>
      </c>
    </row>
    <row r="354" spans="1:14">
      <c r="A354" s="34">
        <v>4080</v>
      </c>
      <c r="B354" s="34">
        <v>4100</v>
      </c>
      <c r="C354" s="34">
        <f t="shared" si="5"/>
        <v>4080000</v>
      </c>
      <c r="D354" s="34">
        <v>222380</v>
      </c>
      <c r="E354" s="34">
        <v>194310</v>
      </c>
      <c r="F354" s="34">
        <v>135120</v>
      </c>
      <c r="G354" s="34">
        <v>116370</v>
      </c>
      <c r="H354" s="34">
        <v>97620</v>
      </c>
      <c r="I354" s="34">
        <v>83290</v>
      </c>
      <c r="J354" s="34">
        <v>70160</v>
      </c>
      <c r="K354" s="34">
        <v>57040</v>
      </c>
      <c r="L354" s="34">
        <v>43910</v>
      </c>
      <c r="M354" s="34">
        <v>31260</v>
      </c>
      <c r="N354" s="34">
        <v>26010</v>
      </c>
    </row>
    <row r="355" spans="1:14">
      <c r="A355" s="34">
        <v>4100</v>
      </c>
      <c r="B355" s="34">
        <v>4120</v>
      </c>
      <c r="C355" s="34">
        <f t="shared" si="5"/>
        <v>4100000</v>
      </c>
      <c r="D355" s="34">
        <v>225180</v>
      </c>
      <c r="E355" s="34">
        <v>197100</v>
      </c>
      <c r="F355" s="34">
        <v>137700</v>
      </c>
      <c r="G355" s="34">
        <v>118950</v>
      </c>
      <c r="H355" s="34">
        <v>100200</v>
      </c>
      <c r="I355" s="34">
        <v>85090</v>
      </c>
      <c r="J355" s="34">
        <v>71970</v>
      </c>
      <c r="K355" s="34">
        <v>58840</v>
      </c>
      <c r="L355" s="34">
        <v>45720</v>
      </c>
      <c r="M355" s="34">
        <v>32590</v>
      </c>
      <c r="N355" s="34">
        <v>26730</v>
      </c>
    </row>
    <row r="356" spans="1:14">
      <c r="A356" s="34">
        <v>4120</v>
      </c>
      <c r="B356" s="34">
        <v>4140</v>
      </c>
      <c r="C356" s="34">
        <f t="shared" si="5"/>
        <v>4120000</v>
      </c>
      <c r="D356" s="34">
        <v>227990</v>
      </c>
      <c r="E356" s="34">
        <v>199890</v>
      </c>
      <c r="F356" s="34">
        <v>140280</v>
      </c>
      <c r="G356" s="34">
        <v>121530</v>
      </c>
      <c r="H356" s="34">
        <v>102780</v>
      </c>
      <c r="I356" s="34">
        <v>86900</v>
      </c>
      <c r="J356" s="34">
        <v>73770</v>
      </c>
      <c r="K356" s="34">
        <v>60650</v>
      </c>
      <c r="L356" s="34">
        <v>47520</v>
      </c>
      <c r="M356" s="34">
        <v>34400</v>
      </c>
      <c r="N356" s="34">
        <v>27460</v>
      </c>
    </row>
    <row r="357" spans="1:14">
      <c r="A357" s="34">
        <v>4140</v>
      </c>
      <c r="B357" s="34">
        <v>4160</v>
      </c>
      <c r="C357" s="34">
        <f t="shared" si="5"/>
        <v>4140000</v>
      </c>
      <c r="D357" s="34">
        <v>230790</v>
      </c>
      <c r="E357" s="34">
        <v>202680</v>
      </c>
      <c r="F357" s="34">
        <v>142860</v>
      </c>
      <c r="G357" s="34">
        <v>124110</v>
      </c>
      <c r="H357" s="34">
        <v>105360</v>
      </c>
      <c r="I357" s="34">
        <v>88710</v>
      </c>
      <c r="J357" s="34">
        <v>75580</v>
      </c>
      <c r="K357" s="34">
        <v>62460</v>
      </c>
      <c r="L357" s="34">
        <v>49330</v>
      </c>
      <c r="M357" s="34">
        <v>36210</v>
      </c>
      <c r="N357" s="34">
        <v>28180</v>
      </c>
    </row>
    <row r="358" spans="1:14">
      <c r="A358" s="34">
        <v>4160</v>
      </c>
      <c r="B358" s="34">
        <v>4180</v>
      </c>
      <c r="C358" s="34">
        <f t="shared" si="5"/>
        <v>4160000</v>
      </c>
      <c r="D358" s="34">
        <v>233600</v>
      </c>
      <c r="E358" s="34">
        <v>205470</v>
      </c>
      <c r="F358" s="34">
        <v>145440</v>
      </c>
      <c r="G358" s="34">
        <v>126690</v>
      </c>
      <c r="H358" s="34">
        <v>107940</v>
      </c>
      <c r="I358" s="34">
        <v>90510</v>
      </c>
      <c r="J358" s="34">
        <v>77390</v>
      </c>
      <c r="K358" s="34">
        <v>64260</v>
      </c>
      <c r="L358" s="34">
        <v>51140</v>
      </c>
      <c r="M358" s="34">
        <v>38010</v>
      </c>
      <c r="N358" s="34">
        <v>28900</v>
      </c>
    </row>
    <row r="359" spans="1:14">
      <c r="A359" s="34">
        <v>4180</v>
      </c>
      <c r="B359" s="34">
        <v>4200</v>
      </c>
      <c r="C359" s="34">
        <f t="shared" si="5"/>
        <v>4180000</v>
      </c>
      <c r="D359" s="34">
        <v>236400</v>
      </c>
      <c r="E359" s="34">
        <v>208260</v>
      </c>
      <c r="F359" s="34">
        <v>148020</v>
      </c>
      <c r="G359" s="34">
        <v>129270</v>
      </c>
      <c r="H359" s="34">
        <v>110520</v>
      </c>
      <c r="I359" s="34">
        <v>92320</v>
      </c>
      <c r="J359" s="34">
        <v>79190</v>
      </c>
      <c r="K359" s="34">
        <v>66070</v>
      </c>
      <c r="L359" s="34">
        <v>52940</v>
      </c>
      <c r="M359" s="34">
        <v>39820</v>
      </c>
      <c r="N359" s="34">
        <v>29620</v>
      </c>
    </row>
    <row r="360" spans="1:14">
      <c r="A360" s="34">
        <v>4200</v>
      </c>
      <c r="B360" s="34">
        <v>4220</v>
      </c>
      <c r="C360" s="34">
        <f t="shared" si="5"/>
        <v>4200000</v>
      </c>
      <c r="D360" s="34">
        <v>239210</v>
      </c>
      <c r="E360" s="34">
        <v>211050</v>
      </c>
      <c r="F360" s="34">
        <v>150600</v>
      </c>
      <c r="G360" s="34">
        <v>131850</v>
      </c>
      <c r="H360" s="34">
        <v>113100</v>
      </c>
      <c r="I360" s="34">
        <v>94350</v>
      </c>
      <c r="J360" s="34">
        <v>81000</v>
      </c>
      <c r="K360" s="34">
        <v>67870</v>
      </c>
      <c r="L360" s="34">
        <v>54750</v>
      </c>
      <c r="M360" s="34">
        <v>41620</v>
      </c>
      <c r="N360" s="34">
        <v>30350</v>
      </c>
    </row>
    <row r="361" spans="1:14">
      <c r="A361" s="34">
        <v>4220</v>
      </c>
      <c r="B361" s="34">
        <v>4240</v>
      </c>
      <c r="C361" s="34">
        <f t="shared" si="5"/>
        <v>4220000</v>
      </c>
      <c r="D361" s="34">
        <v>242010</v>
      </c>
      <c r="E361" s="34">
        <v>213840</v>
      </c>
      <c r="F361" s="34">
        <v>153180</v>
      </c>
      <c r="G361" s="34">
        <v>134430</v>
      </c>
      <c r="H361" s="34">
        <v>115680</v>
      </c>
      <c r="I361" s="34">
        <v>96930</v>
      </c>
      <c r="J361" s="34">
        <v>82800</v>
      </c>
      <c r="K361" s="34">
        <v>69680</v>
      </c>
      <c r="L361" s="34">
        <v>56550</v>
      </c>
      <c r="M361" s="34">
        <v>43430</v>
      </c>
      <c r="N361" s="34">
        <v>31070</v>
      </c>
    </row>
    <row r="362" spans="1:14">
      <c r="A362" s="34">
        <v>4240</v>
      </c>
      <c r="B362" s="34">
        <v>4260</v>
      </c>
      <c r="C362" s="34">
        <f t="shared" si="5"/>
        <v>4240000</v>
      </c>
      <c r="D362" s="34">
        <v>244820</v>
      </c>
      <c r="E362" s="34">
        <v>216630</v>
      </c>
      <c r="F362" s="34">
        <v>155760</v>
      </c>
      <c r="G362" s="34">
        <v>137010</v>
      </c>
      <c r="H362" s="34">
        <v>118260</v>
      </c>
      <c r="I362" s="34">
        <v>99510</v>
      </c>
      <c r="J362" s="34">
        <v>84610</v>
      </c>
      <c r="K362" s="34">
        <v>71490</v>
      </c>
      <c r="L362" s="34">
        <v>58360</v>
      </c>
      <c r="M362" s="34">
        <v>45240</v>
      </c>
      <c r="N362" s="34">
        <v>32110</v>
      </c>
    </row>
    <row r="363" spans="1:14">
      <c r="A363" s="34">
        <v>4260</v>
      </c>
      <c r="B363" s="34">
        <v>4280</v>
      </c>
      <c r="C363" s="34">
        <f t="shared" si="5"/>
        <v>4260000</v>
      </c>
      <c r="D363" s="34">
        <v>247620</v>
      </c>
      <c r="E363" s="34">
        <v>219420</v>
      </c>
      <c r="F363" s="34">
        <v>158340</v>
      </c>
      <c r="G363" s="34">
        <v>139590</v>
      </c>
      <c r="H363" s="34">
        <v>120840</v>
      </c>
      <c r="I363" s="34">
        <v>102090</v>
      </c>
      <c r="J363" s="34">
        <v>86420</v>
      </c>
      <c r="K363" s="34">
        <v>73290</v>
      </c>
      <c r="L363" s="34">
        <v>60170</v>
      </c>
      <c r="M363" s="34">
        <v>47040</v>
      </c>
      <c r="N363" s="34">
        <v>33920</v>
      </c>
    </row>
    <row r="364" spans="1:14">
      <c r="A364" s="34">
        <v>4280</v>
      </c>
      <c r="B364" s="34">
        <v>4300</v>
      </c>
      <c r="C364" s="34">
        <f t="shared" si="5"/>
        <v>4280000</v>
      </c>
      <c r="D364" s="34">
        <v>250430</v>
      </c>
      <c r="E364" s="34">
        <v>222210</v>
      </c>
      <c r="F364" s="34">
        <v>160920</v>
      </c>
      <c r="G364" s="34">
        <v>142170</v>
      </c>
      <c r="H364" s="34">
        <v>123420</v>
      </c>
      <c r="I364" s="34">
        <v>104670</v>
      </c>
      <c r="J364" s="34">
        <v>88220</v>
      </c>
      <c r="K364" s="34">
        <v>75100</v>
      </c>
      <c r="L364" s="34">
        <v>61970</v>
      </c>
      <c r="M364" s="34">
        <v>48850</v>
      </c>
      <c r="N364" s="34">
        <v>35720</v>
      </c>
    </row>
    <row r="365" spans="1:14">
      <c r="A365" s="34">
        <v>4300</v>
      </c>
      <c r="B365" s="34">
        <v>4320</v>
      </c>
      <c r="C365" s="34">
        <f t="shared" si="5"/>
        <v>4300000</v>
      </c>
      <c r="D365" s="34">
        <v>253230</v>
      </c>
      <c r="E365" s="34">
        <v>225000</v>
      </c>
      <c r="F365" s="34">
        <v>163500</v>
      </c>
      <c r="G365" s="34">
        <v>144750</v>
      </c>
      <c r="H365" s="34">
        <v>126000</v>
      </c>
      <c r="I365" s="34">
        <v>107250</v>
      </c>
      <c r="J365" s="34">
        <v>90030</v>
      </c>
      <c r="K365" s="34">
        <v>76900</v>
      </c>
      <c r="L365" s="34">
        <v>63780</v>
      </c>
      <c r="M365" s="34">
        <v>50650</v>
      </c>
      <c r="N365" s="34">
        <v>37530</v>
      </c>
    </row>
    <row r="366" spans="1:14">
      <c r="A366" s="34">
        <v>4320</v>
      </c>
      <c r="B366" s="34">
        <v>4340</v>
      </c>
      <c r="C366" s="34">
        <f t="shared" si="5"/>
        <v>4320000</v>
      </c>
      <c r="D366" s="34">
        <v>256040</v>
      </c>
      <c r="E366" s="34">
        <v>227790</v>
      </c>
      <c r="F366" s="34">
        <v>166080</v>
      </c>
      <c r="G366" s="34">
        <v>147330</v>
      </c>
      <c r="H366" s="34">
        <v>128580</v>
      </c>
      <c r="I366" s="34">
        <v>109830</v>
      </c>
      <c r="J366" s="34">
        <v>91830</v>
      </c>
      <c r="K366" s="34">
        <v>78710</v>
      </c>
      <c r="L366" s="34">
        <v>65580</v>
      </c>
      <c r="M366" s="34">
        <v>52460</v>
      </c>
      <c r="N366" s="34">
        <v>39330</v>
      </c>
    </row>
    <row r="367" spans="1:14">
      <c r="A367" s="34">
        <v>4340</v>
      </c>
      <c r="B367" s="34">
        <v>4360</v>
      </c>
      <c r="C367" s="34">
        <f t="shared" si="5"/>
        <v>4340000</v>
      </c>
      <c r="D367" s="34">
        <v>258840</v>
      </c>
      <c r="E367" s="34">
        <v>230580</v>
      </c>
      <c r="F367" s="34">
        <v>168660</v>
      </c>
      <c r="G367" s="34">
        <v>149910</v>
      </c>
      <c r="H367" s="34">
        <v>131160</v>
      </c>
      <c r="I367" s="34">
        <v>112410</v>
      </c>
      <c r="J367" s="34">
        <v>93660</v>
      </c>
      <c r="K367" s="34">
        <v>80520</v>
      </c>
      <c r="L367" s="34">
        <v>67390</v>
      </c>
      <c r="M367" s="34">
        <v>54270</v>
      </c>
      <c r="N367" s="34">
        <v>41140</v>
      </c>
    </row>
    <row r="368" spans="1:14">
      <c r="A368" s="34">
        <v>4360</v>
      </c>
      <c r="B368" s="34">
        <v>4380</v>
      </c>
      <c r="C368" s="34">
        <f t="shared" si="5"/>
        <v>4360000</v>
      </c>
      <c r="D368" s="34">
        <v>261650</v>
      </c>
      <c r="E368" s="34">
        <v>233370</v>
      </c>
      <c r="F368" s="34">
        <v>171240</v>
      </c>
      <c r="G368" s="34">
        <v>152490</v>
      </c>
      <c r="H368" s="34">
        <v>133740</v>
      </c>
      <c r="I368" s="34">
        <v>114990</v>
      </c>
      <c r="J368" s="34">
        <v>96240</v>
      </c>
      <c r="K368" s="34">
        <v>82320</v>
      </c>
      <c r="L368" s="34">
        <v>69200</v>
      </c>
      <c r="M368" s="34">
        <v>56070</v>
      </c>
      <c r="N368" s="34">
        <v>42950</v>
      </c>
    </row>
    <row r="369" spans="1:14">
      <c r="A369" s="34">
        <v>4380</v>
      </c>
      <c r="B369" s="34">
        <v>4400</v>
      </c>
      <c r="C369" s="34">
        <f t="shared" si="5"/>
        <v>4380000</v>
      </c>
      <c r="D369" s="34">
        <v>264450</v>
      </c>
      <c r="E369" s="34">
        <v>236160</v>
      </c>
      <c r="F369" s="34">
        <v>173820</v>
      </c>
      <c r="G369" s="34">
        <v>155070</v>
      </c>
      <c r="H369" s="34">
        <v>136320</v>
      </c>
      <c r="I369" s="34">
        <v>117570</v>
      </c>
      <c r="J369" s="34">
        <v>98820</v>
      </c>
      <c r="K369" s="34">
        <v>84130</v>
      </c>
      <c r="L369" s="34">
        <v>71000</v>
      </c>
      <c r="M369" s="34">
        <v>57880</v>
      </c>
      <c r="N369" s="34">
        <v>44750</v>
      </c>
    </row>
    <row r="370" spans="1:14">
      <c r="A370" s="34">
        <v>4400</v>
      </c>
      <c r="B370" s="34">
        <v>4420</v>
      </c>
      <c r="C370" s="34">
        <f t="shared" si="5"/>
        <v>4400000</v>
      </c>
      <c r="D370" s="34">
        <v>267260</v>
      </c>
      <c r="E370" s="34">
        <v>238950</v>
      </c>
      <c r="F370" s="34">
        <v>176400</v>
      </c>
      <c r="G370" s="34">
        <v>157650</v>
      </c>
      <c r="H370" s="34">
        <v>138900</v>
      </c>
      <c r="I370" s="34">
        <v>120150</v>
      </c>
      <c r="J370" s="34">
        <v>101400</v>
      </c>
      <c r="K370" s="34">
        <v>85930</v>
      </c>
      <c r="L370" s="34">
        <v>72810</v>
      </c>
      <c r="M370" s="34">
        <v>59680</v>
      </c>
      <c r="N370" s="34">
        <v>46560</v>
      </c>
    </row>
    <row r="371" spans="1:14">
      <c r="A371" s="34">
        <v>4420</v>
      </c>
      <c r="B371" s="34">
        <v>4440</v>
      </c>
      <c r="C371" s="34">
        <f t="shared" si="5"/>
        <v>4420000</v>
      </c>
      <c r="D371" s="34">
        <v>270060</v>
      </c>
      <c r="E371" s="34">
        <v>241740</v>
      </c>
      <c r="F371" s="34">
        <v>178980</v>
      </c>
      <c r="G371" s="34">
        <v>160230</v>
      </c>
      <c r="H371" s="34">
        <v>141480</v>
      </c>
      <c r="I371" s="34">
        <v>122730</v>
      </c>
      <c r="J371" s="34">
        <v>103980</v>
      </c>
      <c r="K371" s="34">
        <v>87740</v>
      </c>
      <c r="L371" s="34">
        <v>74610</v>
      </c>
      <c r="M371" s="34">
        <v>61490</v>
      </c>
      <c r="N371" s="34">
        <v>48360</v>
      </c>
    </row>
    <row r="372" spans="1:14">
      <c r="A372" s="34">
        <v>4440</v>
      </c>
      <c r="B372" s="34">
        <v>4460</v>
      </c>
      <c r="C372" s="34">
        <f t="shared" si="5"/>
        <v>4440000</v>
      </c>
      <c r="D372" s="34">
        <v>272870</v>
      </c>
      <c r="E372" s="34">
        <v>244530</v>
      </c>
      <c r="F372" s="34">
        <v>181560</v>
      </c>
      <c r="G372" s="34">
        <v>162810</v>
      </c>
      <c r="H372" s="34">
        <v>144060</v>
      </c>
      <c r="I372" s="34">
        <v>125310</v>
      </c>
      <c r="J372" s="34">
        <v>106560</v>
      </c>
      <c r="K372" s="34">
        <v>89550</v>
      </c>
      <c r="L372" s="34">
        <v>76420</v>
      </c>
      <c r="M372" s="34">
        <v>63300</v>
      </c>
      <c r="N372" s="34">
        <v>50170</v>
      </c>
    </row>
    <row r="373" spans="1:14">
      <c r="A373" s="34">
        <v>4460</v>
      </c>
      <c r="B373" s="34">
        <v>4480</v>
      </c>
      <c r="C373" s="34">
        <f t="shared" si="5"/>
        <v>4460000</v>
      </c>
      <c r="D373" s="34">
        <v>275670</v>
      </c>
      <c r="E373" s="34">
        <v>247320</v>
      </c>
      <c r="F373" s="34">
        <v>184140</v>
      </c>
      <c r="G373" s="34">
        <v>165390</v>
      </c>
      <c r="H373" s="34">
        <v>146640</v>
      </c>
      <c r="I373" s="34">
        <v>127890</v>
      </c>
      <c r="J373" s="34">
        <v>109140</v>
      </c>
      <c r="K373" s="34">
        <v>91350</v>
      </c>
      <c r="L373" s="34">
        <v>78230</v>
      </c>
      <c r="M373" s="34">
        <v>65100</v>
      </c>
      <c r="N373" s="34">
        <v>51980</v>
      </c>
    </row>
    <row r="374" spans="1:14">
      <c r="A374" s="34">
        <v>4480</v>
      </c>
      <c r="B374" s="34">
        <v>4500</v>
      </c>
      <c r="C374" s="34">
        <f t="shared" si="5"/>
        <v>4480000</v>
      </c>
      <c r="D374" s="34">
        <v>278480</v>
      </c>
      <c r="E374" s="34">
        <v>250110</v>
      </c>
      <c r="F374" s="34">
        <v>186720</v>
      </c>
      <c r="G374" s="34">
        <v>167970</v>
      </c>
      <c r="H374" s="34">
        <v>149220</v>
      </c>
      <c r="I374" s="34">
        <v>130470</v>
      </c>
      <c r="J374" s="34">
        <v>111720</v>
      </c>
      <c r="K374" s="34">
        <v>93160</v>
      </c>
      <c r="L374" s="34">
        <v>80030</v>
      </c>
      <c r="M374" s="34">
        <v>66910</v>
      </c>
      <c r="N374" s="34">
        <v>53780</v>
      </c>
    </row>
    <row r="375" spans="1:14">
      <c r="A375" s="34">
        <v>4500</v>
      </c>
      <c r="B375" s="34">
        <v>4520</v>
      </c>
      <c r="C375" s="34">
        <f t="shared" si="5"/>
        <v>4500000</v>
      </c>
      <c r="D375" s="34">
        <v>281280</v>
      </c>
      <c r="E375" s="34">
        <v>252900</v>
      </c>
      <c r="F375" s="34">
        <v>189300</v>
      </c>
      <c r="G375" s="34">
        <v>170550</v>
      </c>
      <c r="H375" s="34">
        <v>151800</v>
      </c>
      <c r="I375" s="34">
        <v>133050</v>
      </c>
      <c r="J375" s="34">
        <v>114300</v>
      </c>
      <c r="K375" s="34">
        <v>95550</v>
      </c>
      <c r="L375" s="34">
        <v>81840</v>
      </c>
      <c r="M375" s="34">
        <v>68710</v>
      </c>
      <c r="N375" s="34">
        <v>55590</v>
      </c>
    </row>
    <row r="376" spans="1:14">
      <c r="A376" s="34">
        <v>4520</v>
      </c>
      <c r="B376" s="34">
        <v>4540</v>
      </c>
      <c r="C376" s="34">
        <f t="shared" si="5"/>
        <v>4520000</v>
      </c>
      <c r="D376" s="34">
        <v>284090</v>
      </c>
      <c r="E376" s="34">
        <v>255690</v>
      </c>
      <c r="F376" s="34">
        <v>191880</v>
      </c>
      <c r="G376" s="34">
        <v>173130</v>
      </c>
      <c r="H376" s="34">
        <v>154380</v>
      </c>
      <c r="I376" s="34">
        <v>135630</v>
      </c>
      <c r="J376" s="34">
        <v>116880</v>
      </c>
      <c r="K376" s="34">
        <v>98130</v>
      </c>
      <c r="L376" s="34">
        <v>83640</v>
      </c>
      <c r="M376" s="34">
        <v>70520</v>
      </c>
      <c r="N376" s="34">
        <v>57390</v>
      </c>
    </row>
    <row r="377" spans="1:14">
      <c r="A377" s="34">
        <v>4540</v>
      </c>
      <c r="B377" s="34">
        <v>4560</v>
      </c>
      <c r="C377" s="34">
        <f t="shared" si="5"/>
        <v>4540000</v>
      </c>
      <c r="D377" s="34">
        <v>286890</v>
      </c>
      <c r="E377" s="34">
        <v>258480</v>
      </c>
      <c r="F377" s="34">
        <v>194460</v>
      </c>
      <c r="G377" s="34">
        <v>175710</v>
      </c>
      <c r="H377" s="34">
        <v>156960</v>
      </c>
      <c r="I377" s="34">
        <v>138210</v>
      </c>
      <c r="J377" s="34">
        <v>119460</v>
      </c>
      <c r="K377" s="34">
        <v>100710</v>
      </c>
      <c r="L377" s="34">
        <v>85450</v>
      </c>
      <c r="M377" s="34">
        <v>72330</v>
      </c>
      <c r="N377" s="34">
        <v>59200</v>
      </c>
    </row>
    <row r="378" spans="1:14">
      <c r="A378" s="34">
        <v>4560</v>
      </c>
      <c r="B378" s="34">
        <v>4580</v>
      </c>
      <c r="C378" s="34">
        <f t="shared" si="5"/>
        <v>4560000</v>
      </c>
      <c r="D378" s="34">
        <v>289700</v>
      </c>
      <c r="E378" s="34">
        <v>261270</v>
      </c>
      <c r="F378" s="34">
        <v>197040</v>
      </c>
      <c r="G378" s="34">
        <v>178290</v>
      </c>
      <c r="H378" s="34">
        <v>159540</v>
      </c>
      <c r="I378" s="34">
        <v>140790</v>
      </c>
      <c r="J378" s="34">
        <v>122040</v>
      </c>
      <c r="K378" s="34">
        <v>103290</v>
      </c>
      <c r="L378" s="34">
        <v>87260</v>
      </c>
      <c r="M378" s="34">
        <v>74130</v>
      </c>
      <c r="N378" s="34">
        <v>61010</v>
      </c>
    </row>
    <row r="379" spans="1:14">
      <c r="A379" s="34">
        <v>4580</v>
      </c>
      <c r="B379" s="34">
        <v>4600</v>
      </c>
      <c r="C379" s="34">
        <f t="shared" si="5"/>
        <v>4580000</v>
      </c>
      <c r="D379" s="34">
        <v>295000</v>
      </c>
      <c r="E379" s="34">
        <v>266560</v>
      </c>
      <c r="F379" s="34">
        <v>202120</v>
      </c>
      <c r="G379" s="34">
        <v>183370</v>
      </c>
      <c r="H379" s="34">
        <v>164620</v>
      </c>
      <c r="I379" s="34">
        <v>145870</v>
      </c>
      <c r="J379" s="34">
        <v>127120</v>
      </c>
      <c r="K379" s="34">
        <v>108370</v>
      </c>
      <c r="L379" s="34">
        <v>89620</v>
      </c>
      <c r="M379" s="34">
        <v>75940</v>
      </c>
      <c r="N379" s="34">
        <v>62810</v>
      </c>
    </row>
    <row r="380" spans="1:14">
      <c r="A380" s="34">
        <v>4600</v>
      </c>
      <c r="B380" s="34">
        <v>4620</v>
      </c>
      <c r="C380" s="34">
        <f t="shared" si="5"/>
        <v>4600000</v>
      </c>
      <c r="D380" s="34">
        <v>297810</v>
      </c>
      <c r="E380" s="34">
        <v>269350</v>
      </c>
      <c r="F380" s="34">
        <v>204700</v>
      </c>
      <c r="G380" s="34">
        <v>185950</v>
      </c>
      <c r="H380" s="34">
        <v>167200</v>
      </c>
      <c r="I380" s="34">
        <v>148450</v>
      </c>
      <c r="J380" s="34">
        <v>129700</v>
      </c>
      <c r="K380" s="34">
        <v>110950</v>
      </c>
      <c r="L380" s="34">
        <v>92200</v>
      </c>
      <c r="M380" s="34">
        <v>77740</v>
      </c>
      <c r="N380" s="34">
        <v>64620</v>
      </c>
    </row>
    <row r="381" spans="1:14">
      <c r="A381" s="34">
        <v>4620</v>
      </c>
      <c r="B381" s="34">
        <v>4640</v>
      </c>
      <c r="C381" s="34">
        <f t="shared" si="5"/>
        <v>4620000</v>
      </c>
      <c r="D381" s="34">
        <v>300610</v>
      </c>
      <c r="E381" s="34">
        <v>272140</v>
      </c>
      <c r="F381" s="34">
        <v>207280</v>
      </c>
      <c r="G381" s="34">
        <v>188530</v>
      </c>
      <c r="H381" s="34">
        <v>169780</v>
      </c>
      <c r="I381" s="34">
        <v>151030</v>
      </c>
      <c r="J381" s="34">
        <v>132280</v>
      </c>
      <c r="K381" s="34">
        <v>113530</v>
      </c>
      <c r="L381" s="34">
        <v>94780</v>
      </c>
      <c r="M381" s="34">
        <v>79550</v>
      </c>
      <c r="N381" s="34">
        <v>66420</v>
      </c>
    </row>
    <row r="382" spans="1:14">
      <c r="A382" s="34">
        <v>4640</v>
      </c>
      <c r="B382" s="34">
        <v>4660</v>
      </c>
      <c r="C382" s="34">
        <f t="shared" si="5"/>
        <v>4640000</v>
      </c>
      <c r="D382" s="34">
        <v>303420</v>
      </c>
      <c r="E382" s="34">
        <v>274930</v>
      </c>
      <c r="F382" s="34">
        <v>209860</v>
      </c>
      <c r="G382" s="34">
        <v>191110</v>
      </c>
      <c r="H382" s="34">
        <v>172360</v>
      </c>
      <c r="I382" s="34">
        <v>153610</v>
      </c>
      <c r="J382" s="34">
        <v>134860</v>
      </c>
      <c r="K382" s="34">
        <v>116110</v>
      </c>
      <c r="L382" s="34">
        <v>97360</v>
      </c>
      <c r="M382" s="34">
        <v>81360</v>
      </c>
      <c r="N382" s="34">
        <v>68230</v>
      </c>
    </row>
    <row r="383" spans="1:14">
      <c r="A383" s="34">
        <v>4660</v>
      </c>
      <c r="B383" s="34">
        <v>4680</v>
      </c>
      <c r="C383" s="34">
        <f t="shared" si="5"/>
        <v>4660000</v>
      </c>
      <c r="D383" s="34">
        <v>306220</v>
      </c>
      <c r="E383" s="34">
        <v>277720</v>
      </c>
      <c r="F383" s="34">
        <v>212440</v>
      </c>
      <c r="G383" s="34">
        <v>193690</v>
      </c>
      <c r="H383" s="34">
        <v>174940</v>
      </c>
      <c r="I383" s="34">
        <v>156190</v>
      </c>
      <c r="J383" s="34">
        <v>137440</v>
      </c>
      <c r="K383" s="34">
        <v>118690</v>
      </c>
      <c r="L383" s="34">
        <v>99940</v>
      </c>
      <c r="M383" s="34">
        <v>83160</v>
      </c>
      <c r="N383" s="34">
        <v>70040</v>
      </c>
    </row>
    <row r="384" spans="1:14">
      <c r="A384" s="34">
        <v>4680</v>
      </c>
      <c r="B384" s="34">
        <v>4700</v>
      </c>
      <c r="C384" s="34">
        <f t="shared" si="5"/>
        <v>4680000</v>
      </c>
      <c r="D384" s="34">
        <v>309030</v>
      </c>
      <c r="E384" s="34">
        <v>280510</v>
      </c>
      <c r="F384" s="34">
        <v>215020</v>
      </c>
      <c r="G384" s="34">
        <v>196270</v>
      </c>
      <c r="H384" s="34">
        <v>177520</v>
      </c>
      <c r="I384" s="34">
        <v>158770</v>
      </c>
      <c r="J384" s="34">
        <v>140020</v>
      </c>
      <c r="K384" s="34">
        <v>121270</v>
      </c>
      <c r="L384" s="34">
        <v>102520</v>
      </c>
      <c r="M384" s="34">
        <v>84970</v>
      </c>
      <c r="N384" s="34">
        <v>71840</v>
      </c>
    </row>
    <row r="385" spans="1:14">
      <c r="A385" s="34">
        <v>4700</v>
      </c>
      <c r="B385" s="34">
        <v>4720</v>
      </c>
      <c r="C385" s="34">
        <f t="shared" si="5"/>
        <v>4700000</v>
      </c>
      <c r="D385" s="34">
        <v>311830</v>
      </c>
      <c r="E385" s="34">
        <v>283300</v>
      </c>
      <c r="F385" s="34">
        <v>217600</v>
      </c>
      <c r="G385" s="34">
        <v>198850</v>
      </c>
      <c r="H385" s="34">
        <v>180100</v>
      </c>
      <c r="I385" s="34">
        <v>161350</v>
      </c>
      <c r="J385" s="34">
        <v>142600</v>
      </c>
      <c r="K385" s="34">
        <v>123850</v>
      </c>
      <c r="L385" s="34">
        <v>105100</v>
      </c>
      <c r="M385" s="34">
        <v>86770</v>
      </c>
      <c r="N385" s="34">
        <v>73650</v>
      </c>
    </row>
    <row r="386" spans="1:14">
      <c r="A386" s="34">
        <v>4720</v>
      </c>
      <c r="B386" s="34">
        <v>4740</v>
      </c>
      <c r="C386" s="34">
        <f t="shared" si="5"/>
        <v>4720000</v>
      </c>
      <c r="D386" s="34">
        <v>314640</v>
      </c>
      <c r="E386" s="34">
        <v>286090</v>
      </c>
      <c r="F386" s="34">
        <v>220180</v>
      </c>
      <c r="G386" s="34">
        <v>201430</v>
      </c>
      <c r="H386" s="34">
        <v>182680</v>
      </c>
      <c r="I386" s="34">
        <v>163930</v>
      </c>
      <c r="J386" s="34">
        <v>145180</v>
      </c>
      <c r="K386" s="34">
        <v>126430</v>
      </c>
      <c r="L386" s="34">
        <v>107680</v>
      </c>
      <c r="M386" s="34">
        <v>88930</v>
      </c>
      <c r="N386" s="34">
        <v>75450</v>
      </c>
    </row>
    <row r="387" spans="1:14">
      <c r="A387" s="34">
        <v>4740</v>
      </c>
      <c r="B387" s="34">
        <v>4760</v>
      </c>
      <c r="C387" s="34">
        <f t="shared" si="5"/>
        <v>4740000</v>
      </c>
      <c r="D387" s="34">
        <v>317440</v>
      </c>
      <c r="E387" s="34">
        <v>288880</v>
      </c>
      <c r="F387" s="34">
        <v>222760</v>
      </c>
      <c r="G387" s="34">
        <v>204010</v>
      </c>
      <c r="H387" s="34">
        <v>185260</v>
      </c>
      <c r="I387" s="34">
        <v>166510</v>
      </c>
      <c r="J387" s="34">
        <v>147760</v>
      </c>
      <c r="K387" s="34">
        <v>129010</v>
      </c>
      <c r="L387" s="34">
        <v>110260</v>
      </c>
      <c r="M387" s="34">
        <v>91510</v>
      </c>
      <c r="N387" s="34">
        <v>77260</v>
      </c>
    </row>
    <row r="388" spans="1:14">
      <c r="A388" s="34">
        <v>4760</v>
      </c>
      <c r="B388" s="34">
        <v>4780</v>
      </c>
      <c r="C388" s="34">
        <f t="shared" ref="C388:C451" si="6">A388*1000</f>
        <v>4760000</v>
      </c>
      <c r="D388" s="34">
        <v>320250</v>
      </c>
      <c r="E388" s="34">
        <v>291670</v>
      </c>
      <c r="F388" s="34">
        <v>225340</v>
      </c>
      <c r="G388" s="34">
        <v>206590</v>
      </c>
      <c r="H388" s="34">
        <v>187840</v>
      </c>
      <c r="I388" s="34">
        <v>169090</v>
      </c>
      <c r="J388" s="34">
        <v>150340</v>
      </c>
      <c r="K388" s="34">
        <v>131590</v>
      </c>
      <c r="L388" s="34">
        <v>112840</v>
      </c>
      <c r="M388" s="34">
        <v>94090</v>
      </c>
      <c r="N388" s="34">
        <v>79070</v>
      </c>
    </row>
    <row r="389" spans="1:14">
      <c r="A389" s="34">
        <v>4780</v>
      </c>
      <c r="B389" s="34">
        <v>4800</v>
      </c>
      <c r="C389" s="34">
        <f t="shared" si="6"/>
        <v>4780000</v>
      </c>
      <c r="D389" s="34">
        <v>323050</v>
      </c>
      <c r="E389" s="34">
        <v>294460</v>
      </c>
      <c r="F389" s="34">
        <v>227920</v>
      </c>
      <c r="G389" s="34">
        <v>209170</v>
      </c>
      <c r="H389" s="34">
        <v>190420</v>
      </c>
      <c r="I389" s="34">
        <v>171670</v>
      </c>
      <c r="J389" s="34">
        <v>152920</v>
      </c>
      <c r="K389" s="34">
        <v>134170</v>
      </c>
      <c r="L389" s="34">
        <v>115420</v>
      </c>
      <c r="M389" s="34">
        <v>96670</v>
      </c>
      <c r="N389" s="34">
        <v>80870</v>
      </c>
    </row>
    <row r="390" spans="1:14">
      <c r="A390" s="34">
        <v>4800</v>
      </c>
      <c r="B390" s="34">
        <v>4820</v>
      </c>
      <c r="C390" s="34">
        <f t="shared" si="6"/>
        <v>4800000</v>
      </c>
      <c r="D390" s="34">
        <v>325860</v>
      </c>
      <c r="E390" s="34">
        <v>297250</v>
      </c>
      <c r="F390" s="34">
        <v>230500</v>
      </c>
      <c r="G390" s="34">
        <v>211750</v>
      </c>
      <c r="H390" s="34">
        <v>193000</v>
      </c>
      <c r="I390" s="34">
        <v>174250</v>
      </c>
      <c r="J390" s="34">
        <v>155500</v>
      </c>
      <c r="K390" s="34">
        <v>136750</v>
      </c>
      <c r="L390" s="34">
        <v>118000</v>
      </c>
      <c r="M390" s="34">
        <v>99250</v>
      </c>
      <c r="N390" s="34">
        <v>82680</v>
      </c>
    </row>
    <row r="391" spans="1:14">
      <c r="A391" s="34">
        <v>4820</v>
      </c>
      <c r="B391" s="34">
        <v>4840</v>
      </c>
      <c r="C391" s="34">
        <f t="shared" si="6"/>
        <v>4820000</v>
      </c>
      <c r="D391" s="34">
        <v>328660</v>
      </c>
      <c r="E391" s="34">
        <v>300040</v>
      </c>
      <c r="F391" s="34">
        <v>233080</v>
      </c>
      <c r="G391" s="34">
        <v>214330</v>
      </c>
      <c r="H391" s="34">
        <v>195580</v>
      </c>
      <c r="I391" s="34">
        <v>176830</v>
      </c>
      <c r="J391" s="34">
        <v>158080</v>
      </c>
      <c r="K391" s="34">
        <v>139330</v>
      </c>
      <c r="L391" s="34">
        <v>120580</v>
      </c>
      <c r="M391" s="34">
        <v>101830</v>
      </c>
      <c r="N391" s="34">
        <v>84480</v>
      </c>
    </row>
    <row r="392" spans="1:14">
      <c r="A392" s="34">
        <v>4840</v>
      </c>
      <c r="B392" s="34">
        <v>4860</v>
      </c>
      <c r="C392" s="34">
        <f t="shared" si="6"/>
        <v>4840000</v>
      </c>
      <c r="D392" s="34">
        <v>331470</v>
      </c>
      <c r="E392" s="34">
        <v>302830</v>
      </c>
      <c r="F392" s="34">
        <v>235660</v>
      </c>
      <c r="G392" s="34">
        <v>216910</v>
      </c>
      <c r="H392" s="34">
        <v>198160</v>
      </c>
      <c r="I392" s="34">
        <v>179410</v>
      </c>
      <c r="J392" s="34">
        <v>160660</v>
      </c>
      <c r="K392" s="34">
        <v>141910</v>
      </c>
      <c r="L392" s="34">
        <v>123160</v>
      </c>
      <c r="M392" s="34">
        <v>104410</v>
      </c>
      <c r="N392" s="34">
        <v>86290</v>
      </c>
    </row>
    <row r="393" spans="1:14">
      <c r="A393" s="34">
        <v>4860</v>
      </c>
      <c r="B393" s="34">
        <v>4880</v>
      </c>
      <c r="C393" s="34">
        <f t="shared" si="6"/>
        <v>4860000</v>
      </c>
      <c r="D393" s="34">
        <v>334270</v>
      </c>
      <c r="E393" s="34">
        <v>305620</v>
      </c>
      <c r="F393" s="34">
        <v>238240</v>
      </c>
      <c r="G393" s="34">
        <v>219490</v>
      </c>
      <c r="H393" s="34">
        <v>200740</v>
      </c>
      <c r="I393" s="34">
        <v>181990</v>
      </c>
      <c r="J393" s="34">
        <v>163240</v>
      </c>
      <c r="K393" s="34">
        <v>144490</v>
      </c>
      <c r="L393" s="34">
        <v>125740</v>
      </c>
      <c r="M393" s="34">
        <v>106990</v>
      </c>
      <c r="N393" s="34">
        <v>88240</v>
      </c>
    </row>
    <row r="394" spans="1:14">
      <c r="A394" s="34">
        <v>4880</v>
      </c>
      <c r="B394" s="34">
        <v>4900</v>
      </c>
      <c r="C394" s="34">
        <f t="shared" si="6"/>
        <v>4880000</v>
      </c>
      <c r="D394" s="34">
        <v>337080</v>
      </c>
      <c r="E394" s="34">
        <v>308410</v>
      </c>
      <c r="F394" s="34">
        <v>240820</v>
      </c>
      <c r="G394" s="34">
        <v>222070</v>
      </c>
      <c r="H394" s="34">
        <v>203320</v>
      </c>
      <c r="I394" s="34">
        <v>184570</v>
      </c>
      <c r="J394" s="34">
        <v>165820</v>
      </c>
      <c r="K394" s="34">
        <v>147070</v>
      </c>
      <c r="L394" s="34">
        <v>128320</v>
      </c>
      <c r="M394" s="34">
        <v>109570</v>
      </c>
      <c r="N394" s="34">
        <v>90820</v>
      </c>
    </row>
    <row r="395" spans="1:14">
      <c r="A395" s="34">
        <v>4900</v>
      </c>
      <c r="B395" s="34">
        <v>4920</v>
      </c>
      <c r="C395" s="34">
        <f t="shared" si="6"/>
        <v>4900000</v>
      </c>
      <c r="D395" s="34">
        <v>339880</v>
      </c>
      <c r="E395" s="34">
        <v>311200</v>
      </c>
      <c r="F395" s="34">
        <v>243400</v>
      </c>
      <c r="G395" s="34">
        <v>224650</v>
      </c>
      <c r="H395" s="34">
        <v>205900</v>
      </c>
      <c r="I395" s="34">
        <v>187150</v>
      </c>
      <c r="J395" s="34">
        <v>168400</v>
      </c>
      <c r="K395" s="34">
        <v>149650</v>
      </c>
      <c r="L395" s="34">
        <v>130900</v>
      </c>
      <c r="M395" s="34">
        <v>112150</v>
      </c>
      <c r="N395" s="34">
        <v>93400</v>
      </c>
    </row>
    <row r="396" spans="1:14">
      <c r="A396" s="34">
        <v>4920</v>
      </c>
      <c r="B396" s="34">
        <v>4940</v>
      </c>
      <c r="C396" s="34">
        <f t="shared" si="6"/>
        <v>4920000</v>
      </c>
      <c r="D396" s="34">
        <v>342690</v>
      </c>
      <c r="E396" s="34">
        <v>313990</v>
      </c>
      <c r="F396" s="34">
        <v>245980</v>
      </c>
      <c r="G396" s="34">
        <v>227230</v>
      </c>
      <c r="H396" s="34">
        <v>208480</v>
      </c>
      <c r="I396" s="34">
        <v>189730</v>
      </c>
      <c r="J396" s="34">
        <v>170980</v>
      </c>
      <c r="K396" s="34">
        <v>152230</v>
      </c>
      <c r="L396" s="34">
        <v>133480</v>
      </c>
      <c r="M396" s="34">
        <v>114730</v>
      </c>
      <c r="N396" s="34">
        <v>95980</v>
      </c>
    </row>
    <row r="397" spans="1:14">
      <c r="A397" s="34">
        <v>4940</v>
      </c>
      <c r="B397" s="34">
        <v>4960</v>
      </c>
      <c r="C397" s="34">
        <f t="shared" si="6"/>
        <v>4940000</v>
      </c>
      <c r="D397" s="34">
        <v>345490</v>
      </c>
      <c r="E397" s="34">
        <v>316780</v>
      </c>
      <c r="F397" s="34">
        <v>248560</v>
      </c>
      <c r="G397" s="34">
        <v>229810</v>
      </c>
      <c r="H397" s="34">
        <v>211060</v>
      </c>
      <c r="I397" s="34">
        <v>192310</v>
      </c>
      <c r="J397" s="34">
        <v>173560</v>
      </c>
      <c r="K397" s="34">
        <v>154810</v>
      </c>
      <c r="L397" s="34">
        <v>136060</v>
      </c>
      <c r="M397" s="34">
        <v>117310</v>
      </c>
      <c r="N397" s="34">
        <v>98560</v>
      </c>
    </row>
    <row r="398" spans="1:14">
      <c r="A398" s="34">
        <v>4960</v>
      </c>
      <c r="B398" s="34">
        <v>4980</v>
      </c>
      <c r="C398" s="34">
        <f t="shared" si="6"/>
        <v>4960000</v>
      </c>
      <c r="D398" s="34">
        <v>348300</v>
      </c>
      <c r="E398" s="34">
        <v>319570</v>
      </c>
      <c r="F398" s="34">
        <v>251140</v>
      </c>
      <c r="G398" s="34">
        <v>232390</v>
      </c>
      <c r="H398" s="34">
        <v>213640</v>
      </c>
      <c r="I398" s="34">
        <v>194890</v>
      </c>
      <c r="J398" s="34">
        <v>176140</v>
      </c>
      <c r="K398" s="34">
        <v>157390</v>
      </c>
      <c r="L398" s="34">
        <v>138640</v>
      </c>
      <c r="M398" s="34">
        <v>119890</v>
      </c>
      <c r="N398" s="34">
        <v>101140</v>
      </c>
    </row>
    <row r="399" spans="1:14">
      <c r="A399" s="34">
        <v>4980</v>
      </c>
      <c r="B399" s="34">
        <v>5000</v>
      </c>
      <c r="C399" s="34">
        <f t="shared" si="6"/>
        <v>4980000</v>
      </c>
      <c r="D399" s="34">
        <v>351100</v>
      </c>
      <c r="E399" s="34">
        <v>322360</v>
      </c>
      <c r="F399" s="34">
        <v>253720</v>
      </c>
      <c r="G399" s="34">
        <v>234970</v>
      </c>
      <c r="H399" s="34">
        <v>216220</v>
      </c>
      <c r="I399" s="34">
        <v>197470</v>
      </c>
      <c r="J399" s="34">
        <v>178720</v>
      </c>
      <c r="K399" s="34">
        <v>159970</v>
      </c>
      <c r="L399" s="34">
        <v>141220</v>
      </c>
      <c r="M399" s="34">
        <v>122470</v>
      </c>
      <c r="N399" s="34">
        <v>103720</v>
      </c>
    </row>
    <row r="400" spans="1:14">
      <c r="A400" s="34">
        <v>5000</v>
      </c>
      <c r="B400" s="34">
        <v>5020</v>
      </c>
      <c r="C400" s="34">
        <f t="shared" si="6"/>
        <v>5000000</v>
      </c>
      <c r="D400" s="34">
        <v>353910</v>
      </c>
      <c r="E400" s="34">
        <v>325150</v>
      </c>
      <c r="F400" s="34">
        <v>256300</v>
      </c>
      <c r="G400" s="34">
        <v>237550</v>
      </c>
      <c r="H400" s="34">
        <v>218800</v>
      </c>
      <c r="I400" s="34">
        <v>200050</v>
      </c>
      <c r="J400" s="34">
        <v>181300</v>
      </c>
      <c r="K400" s="34">
        <v>162550</v>
      </c>
      <c r="L400" s="34">
        <v>143800</v>
      </c>
      <c r="M400" s="34">
        <v>125050</v>
      </c>
      <c r="N400" s="34">
        <v>106300</v>
      </c>
    </row>
    <row r="401" spans="1:14">
      <c r="A401" s="34">
        <v>5020</v>
      </c>
      <c r="B401" s="34">
        <v>5040</v>
      </c>
      <c r="C401" s="34">
        <f t="shared" si="6"/>
        <v>5020000</v>
      </c>
      <c r="D401" s="34">
        <v>356710</v>
      </c>
      <c r="E401" s="34">
        <v>327940</v>
      </c>
      <c r="F401" s="34">
        <v>258880</v>
      </c>
      <c r="G401" s="34">
        <v>240130</v>
      </c>
      <c r="H401" s="34">
        <v>221380</v>
      </c>
      <c r="I401" s="34">
        <v>202630</v>
      </c>
      <c r="J401" s="34">
        <v>183880</v>
      </c>
      <c r="K401" s="34">
        <v>165130</v>
      </c>
      <c r="L401" s="34">
        <v>146380</v>
      </c>
      <c r="M401" s="34">
        <v>127630</v>
      </c>
      <c r="N401" s="34">
        <v>108880</v>
      </c>
    </row>
    <row r="402" spans="1:14">
      <c r="A402" s="34">
        <v>5040</v>
      </c>
      <c r="B402" s="34">
        <v>5060</v>
      </c>
      <c r="C402" s="34">
        <f t="shared" si="6"/>
        <v>5040000</v>
      </c>
      <c r="D402" s="34">
        <v>359520</v>
      </c>
      <c r="E402" s="34">
        <v>330730</v>
      </c>
      <c r="F402" s="34">
        <v>261460</v>
      </c>
      <c r="G402" s="34">
        <v>242710</v>
      </c>
      <c r="H402" s="34">
        <v>223960</v>
      </c>
      <c r="I402" s="34">
        <v>205210</v>
      </c>
      <c r="J402" s="34">
        <v>186460</v>
      </c>
      <c r="K402" s="34">
        <v>167710</v>
      </c>
      <c r="L402" s="34">
        <v>148960</v>
      </c>
      <c r="M402" s="34">
        <v>130210</v>
      </c>
      <c r="N402" s="34">
        <v>111460</v>
      </c>
    </row>
    <row r="403" spans="1:14">
      <c r="A403" s="34">
        <v>5060</v>
      </c>
      <c r="B403" s="34">
        <v>5080</v>
      </c>
      <c r="C403" s="34">
        <f t="shared" si="6"/>
        <v>5060000</v>
      </c>
      <c r="D403" s="34">
        <v>362320</v>
      </c>
      <c r="E403" s="34">
        <v>333520</v>
      </c>
      <c r="F403" s="34">
        <v>264040</v>
      </c>
      <c r="G403" s="34">
        <v>245290</v>
      </c>
      <c r="H403" s="34">
        <v>226540</v>
      </c>
      <c r="I403" s="34">
        <v>207790</v>
      </c>
      <c r="J403" s="34">
        <v>189040</v>
      </c>
      <c r="K403" s="34">
        <v>170290</v>
      </c>
      <c r="L403" s="34">
        <v>151540</v>
      </c>
      <c r="M403" s="34">
        <v>132790</v>
      </c>
      <c r="N403" s="34">
        <v>114040</v>
      </c>
    </row>
    <row r="404" spans="1:14">
      <c r="A404" s="34">
        <v>5080</v>
      </c>
      <c r="B404" s="34">
        <v>5100</v>
      </c>
      <c r="C404" s="34">
        <f t="shared" si="6"/>
        <v>5080000</v>
      </c>
      <c r="D404" s="34">
        <v>365130</v>
      </c>
      <c r="E404" s="34">
        <v>336310</v>
      </c>
      <c r="F404" s="34">
        <v>266620</v>
      </c>
      <c r="G404" s="34">
        <v>247870</v>
      </c>
      <c r="H404" s="34">
        <v>229120</v>
      </c>
      <c r="I404" s="34">
        <v>210370</v>
      </c>
      <c r="J404" s="34">
        <v>191620</v>
      </c>
      <c r="K404" s="34">
        <v>172870</v>
      </c>
      <c r="L404" s="34">
        <v>154120</v>
      </c>
      <c r="M404" s="34">
        <v>135370</v>
      </c>
      <c r="N404" s="34">
        <v>116620</v>
      </c>
    </row>
    <row r="405" spans="1:14">
      <c r="A405" s="34">
        <v>5100</v>
      </c>
      <c r="B405" s="34">
        <v>5120</v>
      </c>
      <c r="C405" s="34">
        <f t="shared" si="6"/>
        <v>5100000</v>
      </c>
      <c r="D405" s="34">
        <v>367930</v>
      </c>
      <c r="E405" s="34">
        <v>339100</v>
      </c>
      <c r="F405" s="34">
        <v>269200</v>
      </c>
      <c r="G405" s="34">
        <v>250450</v>
      </c>
      <c r="H405" s="34">
        <v>231700</v>
      </c>
      <c r="I405" s="34">
        <v>212950</v>
      </c>
      <c r="J405" s="34">
        <v>194200</v>
      </c>
      <c r="K405" s="34">
        <v>175450</v>
      </c>
      <c r="L405" s="34">
        <v>156700</v>
      </c>
      <c r="M405" s="34">
        <v>137950</v>
      </c>
      <c r="N405" s="34">
        <v>119200</v>
      </c>
    </row>
    <row r="406" spans="1:14">
      <c r="A406" s="34">
        <v>5120</v>
      </c>
      <c r="B406" s="34">
        <v>5140</v>
      </c>
      <c r="C406" s="34">
        <f t="shared" si="6"/>
        <v>5120000</v>
      </c>
      <c r="D406" s="34">
        <v>370740</v>
      </c>
      <c r="E406" s="34">
        <v>341890</v>
      </c>
      <c r="F406" s="34">
        <v>271780</v>
      </c>
      <c r="G406" s="34">
        <v>253030</v>
      </c>
      <c r="H406" s="34">
        <v>234280</v>
      </c>
      <c r="I406" s="34">
        <v>215530</v>
      </c>
      <c r="J406" s="34">
        <v>196780</v>
      </c>
      <c r="K406" s="34">
        <v>178030</v>
      </c>
      <c r="L406" s="34">
        <v>159280</v>
      </c>
      <c r="M406" s="34">
        <v>140530</v>
      </c>
      <c r="N406" s="34">
        <v>121780</v>
      </c>
    </row>
    <row r="407" spans="1:14">
      <c r="A407" s="34">
        <v>5140</v>
      </c>
      <c r="B407" s="34">
        <v>5160</v>
      </c>
      <c r="C407" s="34">
        <f t="shared" si="6"/>
        <v>5140000</v>
      </c>
      <c r="D407" s="34">
        <v>373540</v>
      </c>
      <c r="E407" s="34">
        <v>344680</v>
      </c>
      <c r="F407" s="34">
        <v>274360</v>
      </c>
      <c r="G407" s="34">
        <v>255610</v>
      </c>
      <c r="H407" s="34">
        <v>236860</v>
      </c>
      <c r="I407" s="34">
        <v>218110</v>
      </c>
      <c r="J407" s="34">
        <v>199360</v>
      </c>
      <c r="K407" s="34">
        <v>180610</v>
      </c>
      <c r="L407" s="34">
        <v>161860</v>
      </c>
      <c r="M407" s="34">
        <v>143110</v>
      </c>
      <c r="N407" s="34">
        <v>124360</v>
      </c>
    </row>
    <row r="408" spans="1:14">
      <c r="A408" s="34">
        <v>5160</v>
      </c>
      <c r="B408" s="34">
        <v>5180</v>
      </c>
      <c r="C408" s="34">
        <f t="shared" si="6"/>
        <v>5160000</v>
      </c>
      <c r="D408" s="34">
        <v>376350</v>
      </c>
      <c r="E408" s="34">
        <v>347470</v>
      </c>
      <c r="F408" s="34">
        <v>276940</v>
      </c>
      <c r="G408" s="34">
        <v>258190</v>
      </c>
      <c r="H408" s="34">
        <v>239440</v>
      </c>
      <c r="I408" s="34">
        <v>220690</v>
      </c>
      <c r="J408" s="34">
        <v>201940</v>
      </c>
      <c r="K408" s="34">
        <v>183190</v>
      </c>
      <c r="L408" s="34">
        <v>164440</v>
      </c>
      <c r="M408" s="34">
        <v>145690</v>
      </c>
      <c r="N408" s="34">
        <v>126940</v>
      </c>
    </row>
    <row r="409" spans="1:14">
      <c r="A409" s="34">
        <v>5180</v>
      </c>
      <c r="B409" s="34">
        <v>5200</v>
      </c>
      <c r="C409" s="34">
        <f t="shared" si="6"/>
        <v>5180000</v>
      </c>
      <c r="D409" s="34">
        <v>379150</v>
      </c>
      <c r="E409" s="34">
        <v>350260</v>
      </c>
      <c r="F409" s="34">
        <v>279520</v>
      </c>
      <c r="G409" s="34">
        <v>260770</v>
      </c>
      <c r="H409" s="34">
        <v>242020</v>
      </c>
      <c r="I409" s="34">
        <v>223270</v>
      </c>
      <c r="J409" s="34">
        <v>204520</v>
      </c>
      <c r="K409" s="34">
        <v>185770</v>
      </c>
      <c r="L409" s="34">
        <v>167020</v>
      </c>
      <c r="M409" s="34">
        <v>148270</v>
      </c>
      <c r="N409" s="34">
        <v>129520</v>
      </c>
    </row>
    <row r="410" spans="1:14">
      <c r="A410" s="34">
        <v>5200</v>
      </c>
      <c r="B410" s="34">
        <v>5220</v>
      </c>
      <c r="C410" s="34">
        <f t="shared" si="6"/>
        <v>5200000</v>
      </c>
      <c r="D410" s="34">
        <v>381960</v>
      </c>
      <c r="E410" s="34">
        <v>353050</v>
      </c>
      <c r="F410" s="34">
        <v>282100</v>
      </c>
      <c r="G410" s="34">
        <v>263350</v>
      </c>
      <c r="H410" s="34">
        <v>244600</v>
      </c>
      <c r="I410" s="34">
        <v>225850</v>
      </c>
      <c r="J410" s="34">
        <v>207100</v>
      </c>
      <c r="K410" s="34">
        <v>188350</v>
      </c>
      <c r="L410" s="34">
        <v>169600</v>
      </c>
      <c r="M410" s="34">
        <v>150850</v>
      </c>
      <c r="N410" s="34">
        <v>132100</v>
      </c>
    </row>
    <row r="411" spans="1:14">
      <c r="A411" s="34">
        <v>5220</v>
      </c>
      <c r="B411" s="34">
        <v>5240</v>
      </c>
      <c r="C411" s="34">
        <f t="shared" si="6"/>
        <v>5220000</v>
      </c>
      <c r="D411" s="34">
        <v>384760</v>
      </c>
      <c r="E411" s="34">
        <v>355840</v>
      </c>
      <c r="F411" s="34">
        <v>284680</v>
      </c>
      <c r="G411" s="34">
        <v>265930</v>
      </c>
      <c r="H411" s="34">
        <v>247180</v>
      </c>
      <c r="I411" s="34">
        <v>228430</v>
      </c>
      <c r="J411" s="34">
        <v>209680</v>
      </c>
      <c r="K411" s="34">
        <v>190930</v>
      </c>
      <c r="L411" s="34">
        <v>172180</v>
      </c>
      <c r="M411" s="34">
        <v>153430</v>
      </c>
      <c r="N411" s="34">
        <v>134680</v>
      </c>
    </row>
    <row r="412" spans="1:14">
      <c r="A412" s="34">
        <v>5240</v>
      </c>
      <c r="B412" s="34">
        <v>5260</v>
      </c>
      <c r="C412" s="34">
        <f t="shared" si="6"/>
        <v>5240000</v>
      </c>
      <c r="D412" s="34">
        <v>387570</v>
      </c>
      <c r="E412" s="34">
        <v>358630</v>
      </c>
      <c r="F412" s="34">
        <v>287260</v>
      </c>
      <c r="G412" s="34">
        <v>268510</v>
      </c>
      <c r="H412" s="34">
        <v>249760</v>
      </c>
      <c r="I412" s="34">
        <v>231010</v>
      </c>
      <c r="J412" s="34">
        <v>212260</v>
      </c>
      <c r="K412" s="34">
        <v>193510</v>
      </c>
      <c r="L412" s="34">
        <v>174760</v>
      </c>
      <c r="M412" s="34">
        <v>156010</v>
      </c>
      <c r="N412" s="34">
        <v>137260</v>
      </c>
    </row>
    <row r="413" spans="1:14">
      <c r="A413" s="34">
        <v>5260</v>
      </c>
      <c r="B413" s="34">
        <v>5280</v>
      </c>
      <c r="C413" s="34">
        <f t="shared" si="6"/>
        <v>5260000</v>
      </c>
      <c r="D413" s="34">
        <v>390370</v>
      </c>
      <c r="E413" s="34">
        <v>361420</v>
      </c>
      <c r="F413" s="34">
        <v>289840</v>
      </c>
      <c r="G413" s="34">
        <v>271090</v>
      </c>
      <c r="H413" s="34">
        <v>252340</v>
      </c>
      <c r="I413" s="34">
        <v>233590</v>
      </c>
      <c r="J413" s="34">
        <v>214840</v>
      </c>
      <c r="K413" s="34">
        <v>196090</v>
      </c>
      <c r="L413" s="34">
        <v>177340</v>
      </c>
      <c r="M413" s="34">
        <v>158590</v>
      </c>
      <c r="N413" s="34">
        <v>139840</v>
      </c>
    </row>
    <row r="414" spans="1:14">
      <c r="A414" s="34">
        <v>5280</v>
      </c>
      <c r="B414" s="34">
        <v>5300</v>
      </c>
      <c r="C414" s="34">
        <f t="shared" si="6"/>
        <v>5280000</v>
      </c>
      <c r="D414" s="34">
        <v>393180</v>
      </c>
      <c r="E414" s="34">
        <v>364210</v>
      </c>
      <c r="F414" s="34">
        <v>292420</v>
      </c>
      <c r="G414" s="34">
        <v>273670</v>
      </c>
      <c r="H414" s="34">
        <v>254920</v>
      </c>
      <c r="I414" s="34">
        <v>236170</v>
      </c>
      <c r="J414" s="34">
        <v>217420</v>
      </c>
      <c r="K414" s="34">
        <v>198670</v>
      </c>
      <c r="L414" s="34">
        <v>179920</v>
      </c>
      <c r="M414" s="34">
        <v>161170</v>
      </c>
      <c r="N414" s="34">
        <v>142420</v>
      </c>
    </row>
    <row r="415" spans="1:14">
      <c r="A415" s="34">
        <v>5300</v>
      </c>
      <c r="B415" s="34">
        <v>5320</v>
      </c>
      <c r="C415" s="34">
        <f t="shared" si="6"/>
        <v>5300000</v>
      </c>
      <c r="D415" s="34">
        <v>395980</v>
      </c>
      <c r="E415" s="34">
        <v>367000</v>
      </c>
      <c r="F415" s="34">
        <v>295000</v>
      </c>
      <c r="G415" s="34">
        <v>276250</v>
      </c>
      <c r="H415" s="34">
        <v>257500</v>
      </c>
      <c r="I415" s="34">
        <v>238750</v>
      </c>
      <c r="J415" s="34">
        <v>220000</v>
      </c>
      <c r="K415" s="34">
        <v>201250</v>
      </c>
      <c r="L415" s="34">
        <v>182500</v>
      </c>
      <c r="M415" s="34">
        <v>163750</v>
      </c>
      <c r="N415" s="34">
        <v>145000</v>
      </c>
    </row>
    <row r="416" spans="1:14">
      <c r="A416" s="34">
        <v>5320</v>
      </c>
      <c r="B416" s="34">
        <v>5340</v>
      </c>
      <c r="C416" s="34">
        <f t="shared" si="6"/>
        <v>5320000</v>
      </c>
      <c r="D416" s="34">
        <v>398790</v>
      </c>
      <c r="E416" s="34">
        <v>369790</v>
      </c>
      <c r="F416" s="34">
        <v>297580</v>
      </c>
      <c r="G416" s="34">
        <v>278830</v>
      </c>
      <c r="H416" s="34">
        <v>260080</v>
      </c>
      <c r="I416" s="34">
        <v>241330</v>
      </c>
      <c r="J416" s="34">
        <v>222580</v>
      </c>
      <c r="K416" s="34">
        <v>203830</v>
      </c>
      <c r="L416" s="34">
        <v>185080</v>
      </c>
      <c r="M416" s="34">
        <v>166330</v>
      </c>
      <c r="N416" s="34">
        <v>147580</v>
      </c>
    </row>
    <row r="417" spans="1:14">
      <c r="A417" s="34">
        <v>5340</v>
      </c>
      <c r="B417" s="34">
        <v>5360</v>
      </c>
      <c r="C417" s="34">
        <f t="shared" si="6"/>
        <v>5340000</v>
      </c>
      <c r="D417" s="34">
        <v>401590</v>
      </c>
      <c r="E417" s="34">
        <v>372580</v>
      </c>
      <c r="F417" s="34">
        <v>300160</v>
      </c>
      <c r="G417" s="34">
        <v>281410</v>
      </c>
      <c r="H417" s="34">
        <v>262660</v>
      </c>
      <c r="I417" s="34">
        <v>243910</v>
      </c>
      <c r="J417" s="34">
        <v>225160</v>
      </c>
      <c r="K417" s="34">
        <v>206410</v>
      </c>
      <c r="L417" s="34">
        <v>187660</v>
      </c>
      <c r="M417" s="34">
        <v>168910</v>
      </c>
      <c r="N417" s="34">
        <v>150160</v>
      </c>
    </row>
    <row r="418" spans="1:14">
      <c r="A418" s="34">
        <v>5360</v>
      </c>
      <c r="B418" s="34">
        <v>5380</v>
      </c>
      <c r="C418" s="34">
        <f t="shared" si="6"/>
        <v>5360000</v>
      </c>
      <c r="D418" s="34">
        <v>404400</v>
      </c>
      <c r="E418" s="34">
        <v>375370</v>
      </c>
      <c r="F418" s="34">
        <v>302740</v>
      </c>
      <c r="G418" s="34">
        <v>283990</v>
      </c>
      <c r="H418" s="34">
        <v>265240</v>
      </c>
      <c r="I418" s="34">
        <v>246490</v>
      </c>
      <c r="J418" s="34">
        <v>227740</v>
      </c>
      <c r="K418" s="34">
        <v>208990</v>
      </c>
      <c r="L418" s="34">
        <v>190240</v>
      </c>
      <c r="M418" s="34">
        <v>171490</v>
      </c>
      <c r="N418" s="34">
        <v>152740</v>
      </c>
    </row>
    <row r="419" spans="1:14">
      <c r="A419" s="34">
        <v>5380</v>
      </c>
      <c r="B419" s="34">
        <v>5400</v>
      </c>
      <c r="C419" s="34">
        <f t="shared" si="6"/>
        <v>5380000</v>
      </c>
      <c r="D419" s="34">
        <v>407200</v>
      </c>
      <c r="E419" s="34">
        <v>378160</v>
      </c>
      <c r="F419" s="34">
        <v>305320</v>
      </c>
      <c r="G419" s="34">
        <v>286570</v>
      </c>
      <c r="H419" s="34">
        <v>267820</v>
      </c>
      <c r="I419" s="34">
        <v>249070</v>
      </c>
      <c r="J419" s="34">
        <v>230320</v>
      </c>
      <c r="K419" s="34">
        <v>211570</v>
      </c>
      <c r="L419" s="34">
        <v>192820</v>
      </c>
      <c r="M419" s="34">
        <v>174070</v>
      </c>
      <c r="N419" s="34">
        <v>155320</v>
      </c>
    </row>
    <row r="420" spans="1:14">
      <c r="A420" s="34">
        <v>5400</v>
      </c>
      <c r="B420" s="34">
        <v>5420</v>
      </c>
      <c r="C420" s="34">
        <f t="shared" si="6"/>
        <v>5400000</v>
      </c>
      <c r="D420" s="34">
        <v>410010</v>
      </c>
      <c r="E420" s="34">
        <v>380950</v>
      </c>
      <c r="F420" s="34">
        <v>307900</v>
      </c>
      <c r="G420" s="34">
        <v>289150</v>
      </c>
      <c r="H420" s="34">
        <v>270400</v>
      </c>
      <c r="I420" s="34">
        <v>251650</v>
      </c>
      <c r="J420" s="34">
        <v>232900</v>
      </c>
      <c r="K420" s="34">
        <v>214150</v>
      </c>
      <c r="L420" s="34">
        <v>195400</v>
      </c>
      <c r="M420" s="34">
        <v>176650</v>
      </c>
      <c r="N420" s="34">
        <v>157900</v>
      </c>
    </row>
    <row r="421" spans="1:14">
      <c r="A421" s="34">
        <v>5420</v>
      </c>
      <c r="B421" s="34">
        <v>5440</v>
      </c>
      <c r="C421" s="34">
        <f t="shared" si="6"/>
        <v>5420000</v>
      </c>
      <c r="D421" s="34">
        <v>412810</v>
      </c>
      <c r="E421" s="34">
        <v>383740</v>
      </c>
      <c r="F421" s="34">
        <v>310480</v>
      </c>
      <c r="G421" s="34">
        <v>291730</v>
      </c>
      <c r="H421" s="34">
        <v>272980</v>
      </c>
      <c r="I421" s="34">
        <v>254230</v>
      </c>
      <c r="J421" s="34">
        <v>235480</v>
      </c>
      <c r="K421" s="34">
        <v>216730</v>
      </c>
      <c r="L421" s="34">
        <v>197980</v>
      </c>
      <c r="M421" s="34">
        <v>179230</v>
      </c>
      <c r="N421" s="34">
        <v>160480</v>
      </c>
    </row>
    <row r="422" spans="1:14">
      <c r="A422" s="34">
        <v>5440</v>
      </c>
      <c r="B422" s="34">
        <v>5460</v>
      </c>
      <c r="C422" s="34">
        <f t="shared" si="6"/>
        <v>5440000</v>
      </c>
      <c r="D422" s="34">
        <v>415620</v>
      </c>
      <c r="E422" s="34">
        <v>386530</v>
      </c>
      <c r="F422" s="34">
        <v>313060</v>
      </c>
      <c r="G422" s="34">
        <v>294310</v>
      </c>
      <c r="H422" s="34">
        <v>275560</v>
      </c>
      <c r="I422" s="34">
        <v>256810</v>
      </c>
      <c r="J422" s="34">
        <v>238060</v>
      </c>
      <c r="K422" s="34">
        <v>219310</v>
      </c>
      <c r="L422" s="34">
        <v>200560</v>
      </c>
      <c r="M422" s="34">
        <v>181810</v>
      </c>
      <c r="N422" s="34">
        <v>163060</v>
      </c>
    </row>
    <row r="423" spans="1:14">
      <c r="A423" s="34">
        <v>5460</v>
      </c>
      <c r="B423" s="34">
        <v>5480</v>
      </c>
      <c r="C423" s="34">
        <f t="shared" si="6"/>
        <v>5460000</v>
      </c>
      <c r="D423" s="34">
        <v>418420</v>
      </c>
      <c r="E423" s="34">
        <v>389320</v>
      </c>
      <c r="F423" s="34">
        <v>315640</v>
      </c>
      <c r="G423" s="34">
        <v>296890</v>
      </c>
      <c r="H423" s="34">
        <v>278140</v>
      </c>
      <c r="I423" s="34">
        <v>259390</v>
      </c>
      <c r="J423" s="34">
        <v>240640</v>
      </c>
      <c r="K423" s="34">
        <v>221890</v>
      </c>
      <c r="L423" s="34">
        <v>203140</v>
      </c>
      <c r="M423" s="34">
        <v>184390</v>
      </c>
      <c r="N423" s="34">
        <v>165640</v>
      </c>
    </row>
    <row r="424" spans="1:14">
      <c r="A424" s="34">
        <v>5480</v>
      </c>
      <c r="B424" s="34">
        <v>5500</v>
      </c>
      <c r="C424" s="34">
        <f t="shared" si="6"/>
        <v>5480000</v>
      </c>
      <c r="D424" s="34">
        <v>421230</v>
      </c>
      <c r="E424" s="34">
        <v>392110</v>
      </c>
      <c r="F424" s="34">
        <v>318220</v>
      </c>
      <c r="G424" s="34">
        <v>299470</v>
      </c>
      <c r="H424" s="34">
        <v>280720</v>
      </c>
      <c r="I424" s="34">
        <v>261970</v>
      </c>
      <c r="J424" s="34">
        <v>243220</v>
      </c>
      <c r="K424" s="34">
        <v>224470</v>
      </c>
      <c r="L424" s="34">
        <v>205720</v>
      </c>
      <c r="M424" s="34">
        <v>186970</v>
      </c>
      <c r="N424" s="34">
        <v>168220</v>
      </c>
    </row>
    <row r="425" spans="1:14">
      <c r="A425" s="34">
        <v>5500</v>
      </c>
      <c r="B425" s="34">
        <v>5520</v>
      </c>
      <c r="C425" s="34">
        <f t="shared" si="6"/>
        <v>5500000</v>
      </c>
      <c r="D425" s="34">
        <v>424030</v>
      </c>
      <c r="E425" s="34">
        <v>394900</v>
      </c>
      <c r="F425" s="34">
        <v>320800</v>
      </c>
      <c r="G425" s="34">
        <v>302050</v>
      </c>
      <c r="H425" s="34">
        <v>283300</v>
      </c>
      <c r="I425" s="34">
        <v>264550</v>
      </c>
      <c r="J425" s="34">
        <v>245800</v>
      </c>
      <c r="K425" s="34">
        <v>227050</v>
      </c>
      <c r="L425" s="34">
        <v>208300</v>
      </c>
      <c r="M425" s="34">
        <v>189550</v>
      </c>
      <c r="N425" s="34">
        <v>170800</v>
      </c>
    </row>
    <row r="426" spans="1:14">
      <c r="A426" s="34">
        <v>5520</v>
      </c>
      <c r="B426" s="34">
        <v>5540</v>
      </c>
      <c r="C426" s="34">
        <f t="shared" si="6"/>
        <v>5520000</v>
      </c>
      <c r="D426" s="34">
        <v>426840</v>
      </c>
      <c r="E426" s="34">
        <v>397690</v>
      </c>
      <c r="F426" s="34">
        <v>323380</v>
      </c>
      <c r="G426" s="34">
        <v>304630</v>
      </c>
      <c r="H426" s="34">
        <v>285880</v>
      </c>
      <c r="I426" s="34">
        <v>267130</v>
      </c>
      <c r="J426" s="34">
        <v>248380</v>
      </c>
      <c r="K426" s="34">
        <v>229630</v>
      </c>
      <c r="L426" s="34">
        <v>210880</v>
      </c>
      <c r="M426" s="34">
        <v>192130</v>
      </c>
      <c r="N426" s="34">
        <v>173380</v>
      </c>
    </row>
    <row r="427" spans="1:14">
      <c r="A427" s="34">
        <v>5540</v>
      </c>
      <c r="B427" s="34">
        <v>5560</v>
      </c>
      <c r="C427" s="34">
        <f t="shared" si="6"/>
        <v>5540000</v>
      </c>
      <c r="D427" s="34">
        <v>429640</v>
      </c>
      <c r="E427" s="34">
        <v>400480</v>
      </c>
      <c r="F427" s="34">
        <v>325960</v>
      </c>
      <c r="G427" s="34">
        <v>307210</v>
      </c>
      <c r="H427" s="34">
        <v>288460</v>
      </c>
      <c r="I427" s="34">
        <v>269710</v>
      </c>
      <c r="J427" s="34">
        <v>250960</v>
      </c>
      <c r="K427" s="34">
        <v>232210</v>
      </c>
      <c r="L427" s="34">
        <v>213460</v>
      </c>
      <c r="M427" s="34">
        <v>194710</v>
      </c>
      <c r="N427" s="34">
        <v>175960</v>
      </c>
    </row>
    <row r="428" spans="1:14">
      <c r="A428" s="34">
        <v>5560</v>
      </c>
      <c r="B428" s="34">
        <v>5580</v>
      </c>
      <c r="C428" s="34">
        <f t="shared" si="6"/>
        <v>5560000</v>
      </c>
      <c r="D428" s="34">
        <v>432450</v>
      </c>
      <c r="E428" s="34">
        <v>403270</v>
      </c>
      <c r="F428" s="34">
        <v>328540</v>
      </c>
      <c r="G428" s="34">
        <v>309790</v>
      </c>
      <c r="H428" s="34">
        <v>291040</v>
      </c>
      <c r="I428" s="34">
        <v>272290</v>
      </c>
      <c r="J428" s="34">
        <v>253540</v>
      </c>
      <c r="K428" s="34">
        <v>234790</v>
      </c>
      <c r="L428" s="34">
        <v>216040</v>
      </c>
      <c r="M428" s="34">
        <v>197290</v>
      </c>
      <c r="N428" s="34">
        <v>178540</v>
      </c>
    </row>
    <row r="429" spans="1:14">
      <c r="A429" s="34">
        <v>5580</v>
      </c>
      <c r="B429" s="34">
        <v>5600</v>
      </c>
      <c r="C429" s="34">
        <f t="shared" si="6"/>
        <v>5580000</v>
      </c>
      <c r="D429" s="34">
        <v>436910</v>
      </c>
      <c r="E429" s="34">
        <v>406060</v>
      </c>
      <c r="F429" s="34">
        <v>331120</v>
      </c>
      <c r="G429" s="34">
        <v>312370</v>
      </c>
      <c r="H429" s="34">
        <v>293620</v>
      </c>
      <c r="I429" s="34">
        <v>274870</v>
      </c>
      <c r="J429" s="34">
        <v>256120</v>
      </c>
      <c r="K429" s="34">
        <v>237370</v>
      </c>
      <c r="L429" s="34">
        <v>218620</v>
      </c>
      <c r="M429" s="34">
        <v>199870</v>
      </c>
      <c r="N429" s="34">
        <v>181120</v>
      </c>
    </row>
    <row r="430" spans="1:14">
      <c r="A430" s="34">
        <v>5600</v>
      </c>
      <c r="B430" s="34">
        <v>5620</v>
      </c>
      <c r="C430" s="34">
        <f t="shared" si="6"/>
        <v>5600000</v>
      </c>
      <c r="D430" s="34">
        <v>441400</v>
      </c>
      <c r="E430" s="34">
        <v>408850</v>
      </c>
      <c r="F430" s="34">
        <v>333700</v>
      </c>
      <c r="G430" s="34">
        <v>314950</v>
      </c>
      <c r="H430" s="34">
        <v>296200</v>
      </c>
      <c r="I430" s="34">
        <v>277450</v>
      </c>
      <c r="J430" s="34">
        <v>258700</v>
      </c>
      <c r="K430" s="34">
        <v>239950</v>
      </c>
      <c r="L430" s="34">
        <v>221200</v>
      </c>
      <c r="M430" s="34">
        <v>202450</v>
      </c>
      <c r="N430" s="34">
        <v>183700</v>
      </c>
    </row>
    <row r="431" spans="1:14">
      <c r="A431" s="34">
        <v>5620</v>
      </c>
      <c r="B431" s="34">
        <v>5640</v>
      </c>
      <c r="C431" s="34">
        <f t="shared" si="6"/>
        <v>5620000</v>
      </c>
      <c r="D431" s="34">
        <v>445880</v>
      </c>
      <c r="E431" s="34">
        <v>411640</v>
      </c>
      <c r="F431" s="34">
        <v>336280</v>
      </c>
      <c r="G431" s="34">
        <v>317530</v>
      </c>
      <c r="H431" s="34">
        <v>298780</v>
      </c>
      <c r="I431" s="34">
        <v>280030</v>
      </c>
      <c r="J431" s="34">
        <v>261280</v>
      </c>
      <c r="K431" s="34">
        <v>242530</v>
      </c>
      <c r="L431" s="34">
        <v>223780</v>
      </c>
      <c r="M431" s="34">
        <v>205030</v>
      </c>
      <c r="N431" s="34">
        <v>186280</v>
      </c>
    </row>
    <row r="432" spans="1:14">
      <c r="A432" s="34">
        <v>5640</v>
      </c>
      <c r="B432" s="34">
        <v>5660</v>
      </c>
      <c r="C432" s="34">
        <f t="shared" si="6"/>
        <v>5640000</v>
      </c>
      <c r="D432" s="34">
        <v>450370</v>
      </c>
      <c r="E432" s="34">
        <v>414430</v>
      </c>
      <c r="F432" s="34">
        <v>338860</v>
      </c>
      <c r="G432" s="34">
        <v>320110</v>
      </c>
      <c r="H432" s="34">
        <v>301360</v>
      </c>
      <c r="I432" s="34">
        <v>282610</v>
      </c>
      <c r="J432" s="34">
        <v>263860</v>
      </c>
      <c r="K432" s="34">
        <v>245110</v>
      </c>
      <c r="L432" s="34">
        <v>226360</v>
      </c>
      <c r="M432" s="34">
        <v>207610</v>
      </c>
      <c r="N432" s="34">
        <v>188860</v>
      </c>
    </row>
    <row r="433" spans="1:14">
      <c r="A433" s="34">
        <v>5660</v>
      </c>
      <c r="B433" s="34">
        <v>5680</v>
      </c>
      <c r="C433" s="34">
        <f t="shared" si="6"/>
        <v>5660000</v>
      </c>
      <c r="D433" s="34">
        <v>454860</v>
      </c>
      <c r="E433" s="34">
        <v>417220</v>
      </c>
      <c r="F433" s="34">
        <v>341440</v>
      </c>
      <c r="G433" s="34">
        <v>322690</v>
      </c>
      <c r="H433" s="34">
        <v>303940</v>
      </c>
      <c r="I433" s="34">
        <v>285190</v>
      </c>
      <c r="J433" s="34">
        <v>266440</v>
      </c>
      <c r="K433" s="34">
        <v>247690</v>
      </c>
      <c r="L433" s="34">
        <v>228940</v>
      </c>
      <c r="M433" s="34">
        <v>210190</v>
      </c>
      <c r="N433" s="34">
        <v>191440</v>
      </c>
    </row>
    <row r="434" spans="1:14">
      <c r="A434" s="34">
        <v>5680</v>
      </c>
      <c r="B434" s="34">
        <v>5700</v>
      </c>
      <c r="C434" s="34">
        <f t="shared" si="6"/>
        <v>5680000</v>
      </c>
      <c r="D434" s="34">
        <v>459350</v>
      </c>
      <c r="E434" s="34">
        <v>420010</v>
      </c>
      <c r="F434" s="34">
        <v>344020</v>
      </c>
      <c r="G434" s="34">
        <v>325270</v>
      </c>
      <c r="H434" s="34">
        <v>306520</v>
      </c>
      <c r="I434" s="34">
        <v>287770</v>
      </c>
      <c r="J434" s="34">
        <v>269020</v>
      </c>
      <c r="K434" s="34">
        <v>250270</v>
      </c>
      <c r="L434" s="34">
        <v>231520</v>
      </c>
      <c r="M434" s="34">
        <v>212770</v>
      </c>
      <c r="N434" s="34">
        <v>194020</v>
      </c>
    </row>
    <row r="435" spans="1:14">
      <c r="A435" s="34">
        <v>5700</v>
      </c>
      <c r="B435" s="34">
        <v>5720</v>
      </c>
      <c r="C435" s="34">
        <f t="shared" si="6"/>
        <v>5700000</v>
      </c>
      <c r="D435" s="34">
        <v>463840</v>
      </c>
      <c r="E435" s="34">
        <v>422800</v>
      </c>
      <c r="F435" s="34">
        <v>346600</v>
      </c>
      <c r="G435" s="34">
        <v>327850</v>
      </c>
      <c r="H435" s="34">
        <v>309100</v>
      </c>
      <c r="I435" s="34">
        <v>290350</v>
      </c>
      <c r="J435" s="34">
        <v>271600</v>
      </c>
      <c r="K435" s="34">
        <v>252850</v>
      </c>
      <c r="L435" s="34">
        <v>234100</v>
      </c>
      <c r="M435" s="34">
        <v>215350</v>
      </c>
      <c r="N435" s="34">
        <v>196600</v>
      </c>
    </row>
    <row r="436" spans="1:14">
      <c r="A436" s="34">
        <v>5720</v>
      </c>
      <c r="B436" s="34">
        <v>5740</v>
      </c>
      <c r="C436" s="34">
        <f t="shared" si="6"/>
        <v>5720000</v>
      </c>
      <c r="D436" s="34">
        <v>468320</v>
      </c>
      <c r="E436" s="34">
        <v>425590</v>
      </c>
      <c r="F436" s="34">
        <v>349180</v>
      </c>
      <c r="G436" s="34">
        <v>330430</v>
      </c>
      <c r="H436" s="34">
        <v>311680</v>
      </c>
      <c r="I436" s="34">
        <v>292930</v>
      </c>
      <c r="J436" s="34">
        <v>274180</v>
      </c>
      <c r="K436" s="34">
        <v>255430</v>
      </c>
      <c r="L436" s="34">
        <v>236680</v>
      </c>
      <c r="M436" s="34">
        <v>217930</v>
      </c>
      <c r="N436" s="34">
        <v>199180</v>
      </c>
    </row>
    <row r="437" spans="1:14">
      <c r="A437" s="34">
        <v>5740</v>
      </c>
      <c r="B437" s="34">
        <v>5760</v>
      </c>
      <c r="C437" s="34">
        <f t="shared" si="6"/>
        <v>5740000</v>
      </c>
      <c r="D437" s="34">
        <v>472810</v>
      </c>
      <c r="E437" s="34">
        <v>428380</v>
      </c>
      <c r="F437" s="34">
        <v>351760</v>
      </c>
      <c r="G437" s="34">
        <v>333010</v>
      </c>
      <c r="H437" s="34">
        <v>314260</v>
      </c>
      <c r="I437" s="34">
        <v>295510</v>
      </c>
      <c r="J437" s="34">
        <v>276760</v>
      </c>
      <c r="K437" s="34">
        <v>258010</v>
      </c>
      <c r="L437" s="34">
        <v>239260</v>
      </c>
      <c r="M437" s="34">
        <v>220510</v>
      </c>
      <c r="N437" s="34">
        <v>201760</v>
      </c>
    </row>
    <row r="438" spans="1:14">
      <c r="A438" s="34">
        <v>5760</v>
      </c>
      <c r="B438" s="34">
        <v>5780</v>
      </c>
      <c r="C438" s="34">
        <f t="shared" si="6"/>
        <v>5760000</v>
      </c>
      <c r="D438" s="34">
        <v>477300</v>
      </c>
      <c r="E438" s="34">
        <v>431170</v>
      </c>
      <c r="F438" s="34">
        <v>354340</v>
      </c>
      <c r="G438" s="34">
        <v>335590</v>
      </c>
      <c r="H438" s="34">
        <v>316840</v>
      </c>
      <c r="I438" s="34">
        <v>298090</v>
      </c>
      <c r="J438" s="34">
        <v>279340</v>
      </c>
      <c r="K438" s="34">
        <v>260590</v>
      </c>
      <c r="L438" s="34">
        <v>241840</v>
      </c>
      <c r="M438" s="34">
        <v>223090</v>
      </c>
      <c r="N438" s="34">
        <v>204340</v>
      </c>
    </row>
    <row r="439" spans="1:14">
      <c r="A439" s="34">
        <v>5780</v>
      </c>
      <c r="B439" s="34">
        <v>5800</v>
      </c>
      <c r="C439" s="34">
        <f t="shared" si="6"/>
        <v>5780000</v>
      </c>
      <c r="D439" s="34">
        <v>481790</v>
      </c>
      <c r="E439" s="34">
        <v>434840</v>
      </c>
      <c r="F439" s="34">
        <v>356920</v>
      </c>
      <c r="G439" s="34">
        <v>338170</v>
      </c>
      <c r="H439" s="34">
        <v>319420</v>
      </c>
      <c r="I439" s="34">
        <v>300670</v>
      </c>
      <c r="J439" s="34">
        <v>281920</v>
      </c>
      <c r="K439" s="34">
        <v>263170</v>
      </c>
      <c r="L439" s="34">
        <v>244420</v>
      </c>
      <c r="M439" s="34">
        <v>225670</v>
      </c>
      <c r="N439" s="34">
        <v>206920</v>
      </c>
    </row>
    <row r="440" spans="1:14">
      <c r="A440" s="34">
        <v>5800</v>
      </c>
      <c r="B440" s="34">
        <v>5820</v>
      </c>
      <c r="C440" s="34">
        <f t="shared" si="6"/>
        <v>5800000</v>
      </c>
      <c r="D440" s="34">
        <v>486280</v>
      </c>
      <c r="E440" s="34">
        <v>439300</v>
      </c>
      <c r="F440" s="34">
        <v>359500</v>
      </c>
      <c r="G440" s="34">
        <v>340750</v>
      </c>
      <c r="H440" s="34">
        <v>322000</v>
      </c>
      <c r="I440" s="34">
        <v>303250</v>
      </c>
      <c r="J440" s="34">
        <v>284500</v>
      </c>
      <c r="K440" s="34">
        <v>265750</v>
      </c>
      <c r="L440" s="34">
        <v>247000</v>
      </c>
      <c r="M440" s="34">
        <v>228250</v>
      </c>
      <c r="N440" s="34">
        <v>209500</v>
      </c>
    </row>
    <row r="441" spans="1:14">
      <c r="A441" s="34">
        <v>5820</v>
      </c>
      <c r="B441" s="34">
        <v>5840</v>
      </c>
      <c r="C441" s="34">
        <f t="shared" si="6"/>
        <v>5820000</v>
      </c>
      <c r="D441" s="34">
        <v>490760</v>
      </c>
      <c r="E441" s="34">
        <v>443770</v>
      </c>
      <c r="F441" s="34">
        <v>362080</v>
      </c>
      <c r="G441" s="34">
        <v>343330</v>
      </c>
      <c r="H441" s="34">
        <v>324580</v>
      </c>
      <c r="I441" s="34">
        <v>305830</v>
      </c>
      <c r="J441" s="34">
        <v>287080</v>
      </c>
      <c r="K441" s="34">
        <v>268330</v>
      </c>
      <c r="L441" s="34">
        <v>249580</v>
      </c>
      <c r="M441" s="34">
        <v>230830</v>
      </c>
      <c r="N441" s="34">
        <v>212080</v>
      </c>
    </row>
    <row r="442" spans="1:14">
      <c r="A442" s="34">
        <v>5840</v>
      </c>
      <c r="B442" s="34">
        <v>5860</v>
      </c>
      <c r="C442" s="34">
        <f t="shared" si="6"/>
        <v>5840000</v>
      </c>
      <c r="D442" s="34">
        <v>517620</v>
      </c>
      <c r="E442" s="34">
        <v>470600</v>
      </c>
      <c r="F442" s="34">
        <v>390540</v>
      </c>
      <c r="G442" s="34">
        <v>371790</v>
      </c>
      <c r="H442" s="34">
        <v>353040</v>
      </c>
      <c r="I442" s="34">
        <v>334290</v>
      </c>
      <c r="J442" s="34">
        <v>315540</v>
      </c>
      <c r="K442" s="34">
        <v>296790</v>
      </c>
      <c r="L442" s="34">
        <v>278040</v>
      </c>
      <c r="M442" s="34">
        <v>259290</v>
      </c>
      <c r="N442" s="34">
        <v>240540</v>
      </c>
    </row>
    <row r="443" spans="1:14">
      <c r="A443" s="34">
        <v>5860</v>
      </c>
      <c r="B443" s="34">
        <v>5880</v>
      </c>
      <c r="C443" s="34">
        <f t="shared" si="6"/>
        <v>5860000</v>
      </c>
      <c r="D443" s="34">
        <v>524660</v>
      </c>
      <c r="E443" s="34">
        <v>477620</v>
      </c>
      <c r="F443" s="34">
        <v>395680</v>
      </c>
      <c r="G443" s="34">
        <v>376930</v>
      </c>
      <c r="H443" s="34">
        <v>358180</v>
      </c>
      <c r="I443" s="34">
        <v>339430</v>
      </c>
      <c r="J443" s="34">
        <v>320680</v>
      </c>
      <c r="K443" s="34">
        <v>301930</v>
      </c>
      <c r="L443" s="34">
        <v>283180</v>
      </c>
      <c r="M443" s="34">
        <v>264430</v>
      </c>
      <c r="N443" s="34">
        <v>245680</v>
      </c>
    </row>
    <row r="444" spans="1:14">
      <c r="A444" s="34">
        <v>5880</v>
      </c>
      <c r="B444" s="34">
        <v>5900</v>
      </c>
      <c r="C444" s="34">
        <f t="shared" si="6"/>
        <v>5880000</v>
      </c>
      <c r="D444" s="34">
        <v>529200</v>
      </c>
      <c r="E444" s="34">
        <v>482130</v>
      </c>
      <c r="F444" s="34">
        <v>398320</v>
      </c>
      <c r="G444" s="34">
        <v>379570</v>
      </c>
      <c r="H444" s="34">
        <v>360820</v>
      </c>
      <c r="I444" s="34">
        <v>342070</v>
      </c>
      <c r="J444" s="34">
        <v>323320</v>
      </c>
      <c r="K444" s="34">
        <v>304570</v>
      </c>
      <c r="L444" s="34">
        <v>285820</v>
      </c>
      <c r="M444" s="34">
        <v>267070</v>
      </c>
      <c r="N444" s="34">
        <v>248320</v>
      </c>
    </row>
    <row r="445" spans="1:14">
      <c r="A445" s="34">
        <v>5900</v>
      </c>
      <c r="B445" s="34">
        <v>5920</v>
      </c>
      <c r="C445" s="34">
        <f t="shared" si="6"/>
        <v>5900000</v>
      </c>
      <c r="D445" s="34">
        <v>533730</v>
      </c>
      <c r="E445" s="34">
        <v>486640</v>
      </c>
      <c r="F445" s="34">
        <v>400960</v>
      </c>
      <c r="G445" s="34">
        <v>382210</v>
      </c>
      <c r="H445" s="34">
        <v>363460</v>
      </c>
      <c r="I445" s="34">
        <v>344710</v>
      </c>
      <c r="J445" s="34">
        <v>325960</v>
      </c>
      <c r="K445" s="34">
        <v>307210</v>
      </c>
      <c r="L445" s="34">
        <v>288460</v>
      </c>
      <c r="M445" s="34">
        <v>269710</v>
      </c>
      <c r="N445" s="34">
        <v>250960</v>
      </c>
    </row>
    <row r="446" spans="1:14">
      <c r="A446" s="34">
        <v>5920</v>
      </c>
      <c r="B446" s="34">
        <v>5940</v>
      </c>
      <c r="C446" s="34">
        <f t="shared" si="6"/>
        <v>5920000</v>
      </c>
      <c r="D446" s="34">
        <v>538270</v>
      </c>
      <c r="E446" s="34">
        <v>491150</v>
      </c>
      <c r="F446" s="34">
        <v>403600</v>
      </c>
      <c r="G446" s="34">
        <v>384850</v>
      </c>
      <c r="H446" s="34">
        <v>366100</v>
      </c>
      <c r="I446" s="34">
        <v>347350</v>
      </c>
      <c r="J446" s="34">
        <v>328600</v>
      </c>
      <c r="K446" s="34">
        <v>309850</v>
      </c>
      <c r="L446" s="34">
        <v>291100</v>
      </c>
      <c r="M446" s="34">
        <v>272350</v>
      </c>
      <c r="N446" s="34">
        <v>253600</v>
      </c>
    </row>
    <row r="447" spans="1:14">
      <c r="A447" s="34">
        <v>5940</v>
      </c>
      <c r="B447" s="34">
        <v>5960</v>
      </c>
      <c r="C447" s="34">
        <f t="shared" si="6"/>
        <v>5940000</v>
      </c>
      <c r="D447" s="34">
        <v>542800</v>
      </c>
      <c r="E447" s="34">
        <v>495660</v>
      </c>
      <c r="F447" s="34">
        <v>406240</v>
      </c>
      <c r="G447" s="34">
        <v>387490</v>
      </c>
      <c r="H447" s="34">
        <v>368740</v>
      </c>
      <c r="I447" s="34">
        <v>349990</v>
      </c>
      <c r="J447" s="34">
        <v>331240</v>
      </c>
      <c r="K447" s="34">
        <v>312490</v>
      </c>
      <c r="L447" s="34">
        <v>293740</v>
      </c>
      <c r="M447" s="34">
        <v>274990</v>
      </c>
      <c r="N447" s="34">
        <v>256240</v>
      </c>
    </row>
    <row r="448" spans="1:14">
      <c r="A448" s="34">
        <v>5960</v>
      </c>
      <c r="B448" s="34">
        <v>5980</v>
      </c>
      <c r="C448" s="34">
        <f t="shared" si="6"/>
        <v>5960000</v>
      </c>
      <c r="D448" s="34">
        <v>547340</v>
      </c>
      <c r="E448" s="34">
        <v>500180</v>
      </c>
      <c r="F448" s="34">
        <v>408880</v>
      </c>
      <c r="G448" s="34">
        <v>390130</v>
      </c>
      <c r="H448" s="34">
        <v>371380</v>
      </c>
      <c r="I448" s="34">
        <v>352630</v>
      </c>
      <c r="J448" s="34">
        <v>333880</v>
      </c>
      <c r="K448" s="34">
        <v>315130</v>
      </c>
      <c r="L448" s="34">
        <v>296380</v>
      </c>
      <c r="M448" s="34">
        <v>277630</v>
      </c>
      <c r="N448" s="34">
        <v>258880</v>
      </c>
    </row>
    <row r="449" spans="1:14">
      <c r="A449" s="34">
        <v>5980</v>
      </c>
      <c r="B449" s="34">
        <v>6000</v>
      </c>
      <c r="C449" s="34">
        <f t="shared" si="6"/>
        <v>5980000</v>
      </c>
      <c r="D449" s="34">
        <v>551880</v>
      </c>
      <c r="E449" s="34">
        <v>504690</v>
      </c>
      <c r="F449" s="34">
        <v>411520</v>
      </c>
      <c r="G449" s="34">
        <v>392770</v>
      </c>
      <c r="H449" s="34">
        <v>374020</v>
      </c>
      <c r="I449" s="34">
        <v>355270</v>
      </c>
      <c r="J449" s="34">
        <v>336520</v>
      </c>
      <c r="K449" s="34">
        <v>317770</v>
      </c>
      <c r="L449" s="34">
        <v>299020</v>
      </c>
      <c r="M449" s="34">
        <v>280270</v>
      </c>
      <c r="N449" s="34">
        <v>261520</v>
      </c>
    </row>
    <row r="450" spans="1:14">
      <c r="A450" s="34">
        <v>6000</v>
      </c>
      <c r="B450" s="34">
        <v>6020</v>
      </c>
      <c r="C450" s="34">
        <f t="shared" si="6"/>
        <v>6000000</v>
      </c>
      <c r="D450" s="34">
        <v>556410</v>
      </c>
      <c r="E450" s="34">
        <v>509200</v>
      </c>
      <c r="F450" s="34">
        <v>414160</v>
      </c>
      <c r="G450" s="34">
        <v>395410</v>
      </c>
      <c r="H450" s="34">
        <v>376660</v>
      </c>
      <c r="I450" s="34">
        <v>357910</v>
      </c>
      <c r="J450" s="34">
        <v>339160</v>
      </c>
      <c r="K450" s="34">
        <v>320410</v>
      </c>
      <c r="L450" s="34">
        <v>301660</v>
      </c>
      <c r="M450" s="34">
        <v>282910</v>
      </c>
      <c r="N450" s="34">
        <v>264160</v>
      </c>
    </row>
    <row r="451" spans="1:14">
      <c r="A451" s="34">
        <v>6020</v>
      </c>
      <c r="B451" s="34">
        <v>6040</v>
      </c>
      <c r="C451" s="34">
        <f t="shared" si="6"/>
        <v>6020000</v>
      </c>
      <c r="D451" s="34">
        <v>560950</v>
      </c>
      <c r="E451" s="34">
        <v>513710</v>
      </c>
      <c r="F451" s="34">
        <v>416800</v>
      </c>
      <c r="G451" s="34">
        <v>398050</v>
      </c>
      <c r="H451" s="34">
        <v>379300</v>
      </c>
      <c r="I451" s="34">
        <v>360550</v>
      </c>
      <c r="J451" s="34">
        <v>341800</v>
      </c>
      <c r="K451" s="34">
        <v>323050</v>
      </c>
      <c r="L451" s="34">
        <v>304300</v>
      </c>
      <c r="M451" s="34">
        <v>285550</v>
      </c>
      <c r="N451" s="34">
        <v>266800</v>
      </c>
    </row>
    <row r="452" spans="1:14">
      <c r="A452" s="34">
        <v>6040</v>
      </c>
      <c r="B452" s="34">
        <v>6060</v>
      </c>
      <c r="C452" s="34">
        <f t="shared" ref="C452:C515" si="7">A452*1000</f>
        <v>6040000</v>
      </c>
      <c r="D452" s="34">
        <v>565480</v>
      </c>
      <c r="E452" s="34">
        <v>518220</v>
      </c>
      <c r="F452" s="34">
        <v>419440</v>
      </c>
      <c r="G452" s="34">
        <v>400690</v>
      </c>
      <c r="H452" s="34">
        <v>381940</v>
      </c>
      <c r="I452" s="34">
        <v>363190</v>
      </c>
      <c r="J452" s="34">
        <v>344440</v>
      </c>
      <c r="K452" s="34">
        <v>325690</v>
      </c>
      <c r="L452" s="34">
        <v>306940</v>
      </c>
      <c r="M452" s="34">
        <v>288190</v>
      </c>
      <c r="N452" s="34">
        <v>269440</v>
      </c>
    </row>
    <row r="453" spans="1:14">
      <c r="A453" s="34">
        <v>6060</v>
      </c>
      <c r="B453" s="34">
        <v>6080</v>
      </c>
      <c r="C453" s="34">
        <f t="shared" si="7"/>
        <v>6060000</v>
      </c>
      <c r="D453" s="34">
        <v>570020</v>
      </c>
      <c r="E453" s="34">
        <v>522740</v>
      </c>
      <c r="F453" s="34">
        <v>422080</v>
      </c>
      <c r="G453" s="34">
        <v>403330</v>
      </c>
      <c r="H453" s="34">
        <v>384580</v>
      </c>
      <c r="I453" s="34">
        <v>365830</v>
      </c>
      <c r="J453" s="34">
        <v>347080</v>
      </c>
      <c r="K453" s="34">
        <v>328330</v>
      </c>
      <c r="L453" s="34">
        <v>309580</v>
      </c>
      <c r="M453" s="34">
        <v>290830</v>
      </c>
      <c r="N453" s="34">
        <v>272080</v>
      </c>
    </row>
    <row r="454" spans="1:14">
      <c r="A454" s="34">
        <v>6080</v>
      </c>
      <c r="B454" s="34">
        <v>6100</v>
      </c>
      <c r="C454" s="34">
        <f t="shared" si="7"/>
        <v>6080000</v>
      </c>
      <c r="D454" s="34">
        <v>574560</v>
      </c>
      <c r="E454" s="34">
        <v>527250</v>
      </c>
      <c r="F454" s="34">
        <v>424720</v>
      </c>
      <c r="G454" s="34">
        <v>405970</v>
      </c>
      <c r="H454" s="34">
        <v>387220</v>
      </c>
      <c r="I454" s="34">
        <v>368470</v>
      </c>
      <c r="J454" s="34">
        <v>349720</v>
      </c>
      <c r="K454" s="34">
        <v>330970</v>
      </c>
      <c r="L454" s="34">
        <v>312220</v>
      </c>
      <c r="M454" s="34">
        <v>293470</v>
      </c>
      <c r="N454" s="34">
        <v>274720</v>
      </c>
    </row>
    <row r="455" spans="1:14">
      <c r="A455" s="34">
        <v>6100</v>
      </c>
      <c r="B455" s="34">
        <v>6120</v>
      </c>
      <c r="C455" s="34">
        <f t="shared" si="7"/>
        <v>6100000</v>
      </c>
      <c r="D455" s="34">
        <v>579090</v>
      </c>
      <c r="E455" s="34">
        <v>531760</v>
      </c>
      <c r="F455" s="34">
        <v>427360</v>
      </c>
      <c r="G455" s="34">
        <v>408610</v>
      </c>
      <c r="H455" s="34">
        <v>389860</v>
      </c>
      <c r="I455" s="34">
        <v>371110</v>
      </c>
      <c r="J455" s="34">
        <v>352360</v>
      </c>
      <c r="K455" s="34">
        <v>333610</v>
      </c>
      <c r="L455" s="34">
        <v>314860</v>
      </c>
      <c r="M455" s="34">
        <v>296110</v>
      </c>
      <c r="N455" s="34">
        <v>277360</v>
      </c>
    </row>
    <row r="456" spans="1:14">
      <c r="A456" s="34">
        <v>6120</v>
      </c>
      <c r="B456" s="34">
        <v>6140</v>
      </c>
      <c r="C456" s="34">
        <f t="shared" si="7"/>
        <v>6120000</v>
      </c>
      <c r="D456" s="34">
        <v>583630</v>
      </c>
      <c r="E456" s="34">
        <v>536270</v>
      </c>
      <c r="F456" s="34">
        <v>430000</v>
      </c>
      <c r="G456" s="34">
        <v>411250</v>
      </c>
      <c r="H456" s="34">
        <v>392500</v>
      </c>
      <c r="I456" s="34">
        <v>373750</v>
      </c>
      <c r="J456" s="34">
        <v>355000</v>
      </c>
      <c r="K456" s="34">
        <v>336250</v>
      </c>
      <c r="L456" s="34">
        <v>317500</v>
      </c>
      <c r="M456" s="34">
        <v>298750</v>
      </c>
      <c r="N456" s="34">
        <v>280000</v>
      </c>
    </row>
    <row r="457" spans="1:14">
      <c r="A457" s="34">
        <v>6140</v>
      </c>
      <c r="B457" s="34">
        <v>6160</v>
      </c>
      <c r="C457" s="34">
        <f t="shared" si="7"/>
        <v>6140000</v>
      </c>
      <c r="D457" s="34">
        <v>588160</v>
      </c>
      <c r="E457" s="34">
        <v>540780</v>
      </c>
      <c r="F457" s="34">
        <v>432640</v>
      </c>
      <c r="G457" s="34">
        <v>413890</v>
      </c>
      <c r="H457" s="34">
        <v>395140</v>
      </c>
      <c r="I457" s="34">
        <v>376390</v>
      </c>
      <c r="J457" s="34">
        <v>357640</v>
      </c>
      <c r="K457" s="34">
        <v>338890</v>
      </c>
      <c r="L457" s="34">
        <v>320140</v>
      </c>
      <c r="M457" s="34">
        <v>301390</v>
      </c>
      <c r="N457" s="34">
        <v>282640</v>
      </c>
    </row>
    <row r="458" spans="1:14">
      <c r="A458" s="34">
        <v>6160</v>
      </c>
      <c r="B458" s="34">
        <v>6180</v>
      </c>
      <c r="C458" s="34">
        <f t="shared" si="7"/>
        <v>6160000</v>
      </c>
      <c r="D458" s="34">
        <v>592700</v>
      </c>
      <c r="E458" s="34">
        <v>545300</v>
      </c>
      <c r="F458" s="34">
        <v>435280</v>
      </c>
      <c r="G458" s="34">
        <v>416530</v>
      </c>
      <c r="H458" s="34">
        <v>397780</v>
      </c>
      <c r="I458" s="34">
        <v>379030</v>
      </c>
      <c r="J458" s="34">
        <v>360280</v>
      </c>
      <c r="K458" s="34">
        <v>341530</v>
      </c>
      <c r="L458" s="34">
        <v>322780</v>
      </c>
      <c r="M458" s="34">
        <v>304030</v>
      </c>
      <c r="N458" s="34">
        <v>285280</v>
      </c>
    </row>
    <row r="459" spans="1:14">
      <c r="A459" s="34">
        <v>6180</v>
      </c>
      <c r="B459" s="34">
        <v>6200</v>
      </c>
      <c r="C459" s="34">
        <f t="shared" si="7"/>
        <v>6180000</v>
      </c>
      <c r="D459" s="34">
        <v>597240</v>
      </c>
      <c r="E459" s="34">
        <v>549810</v>
      </c>
      <c r="F459" s="34">
        <v>437920</v>
      </c>
      <c r="G459" s="34">
        <v>419170</v>
      </c>
      <c r="H459" s="34">
        <v>400420</v>
      </c>
      <c r="I459" s="34">
        <v>381670</v>
      </c>
      <c r="J459" s="34">
        <v>362920</v>
      </c>
      <c r="K459" s="34">
        <v>344170</v>
      </c>
      <c r="L459" s="34">
        <v>325420</v>
      </c>
      <c r="M459" s="34">
        <v>306670</v>
      </c>
      <c r="N459" s="34">
        <v>287920</v>
      </c>
    </row>
    <row r="460" spans="1:14">
      <c r="A460" s="34">
        <v>6200</v>
      </c>
      <c r="B460" s="34">
        <v>6220</v>
      </c>
      <c r="C460" s="34">
        <f t="shared" si="7"/>
        <v>6200000</v>
      </c>
      <c r="D460" s="34">
        <v>601770</v>
      </c>
      <c r="E460" s="34">
        <v>554320</v>
      </c>
      <c r="F460" s="34">
        <v>440560</v>
      </c>
      <c r="G460" s="34">
        <v>421810</v>
      </c>
      <c r="H460" s="34">
        <v>403060</v>
      </c>
      <c r="I460" s="34">
        <v>384310</v>
      </c>
      <c r="J460" s="34">
        <v>365560</v>
      </c>
      <c r="K460" s="34">
        <v>346810</v>
      </c>
      <c r="L460" s="34">
        <v>328060</v>
      </c>
      <c r="M460" s="34">
        <v>309310</v>
      </c>
      <c r="N460" s="34">
        <v>290560</v>
      </c>
    </row>
    <row r="461" spans="1:14">
      <c r="A461" s="34">
        <v>6220</v>
      </c>
      <c r="B461" s="34">
        <v>6240</v>
      </c>
      <c r="C461" s="34">
        <f t="shared" si="7"/>
        <v>6220000</v>
      </c>
      <c r="D461" s="34">
        <v>606310</v>
      </c>
      <c r="E461" s="34">
        <v>558830</v>
      </c>
      <c r="F461" s="34">
        <v>443200</v>
      </c>
      <c r="G461" s="34">
        <v>424450</v>
      </c>
      <c r="H461" s="34">
        <v>405700</v>
      </c>
      <c r="I461" s="34">
        <v>386950</v>
      </c>
      <c r="J461" s="34">
        <v>368200</v>
      </c>
      <c r="K461" s="34">
        <v>349450</v>
      </c>
      <c r="L461" s="34">
        <v>330700</v>
      </c>
      <c r="M461" s="34">
        <v>311950</v>
      </c>
      <c r="N461" s="34">
        <v>293200</v>
      </c>
    </row>
    <row r="462" spans="1:14">
      <c r="A462" s="34">
        <v>6240</v>
      </c>
      <c r="B462" s="34">
        <v>6260</v>
      </c>
      <c r="C462" s="34">
        <f t="shared" si="7"/>
        <v>6240000</v>
      </c>
      <c r="D462" s="34">
        <v>610840</v>
      </c>
      <c r="E462" s="34">
        <v>563340</v>
      </c>
      <c r="F462" s="34">
        <v>447340</v>
      </c>
      <c r="G462" s="34">
        <v>427090</v>
      </c>
      <c r="H462" s="34">
        <v>408340</v>
      </c>
      <c r="I462" s="34">
        <v>389590</v>
      </c>
      <c r="J462" s="34">
        <v>370840</v>
      </c>
      <c r="K462" s="34">
        <v>352090</v>
      </c>
      <c r="L462" s="34">
        <v>333340</v>
      </c>
      <c r="M462" s="34">
        <v>314590</v>
      </c>
      <c r="N462" s="34">
        <v>295840</v>
      </c>
    </row>
    <row r="463" spans="1:14">
      <c r="A463" s="34">
        <v>6260</v>
      </c>
      <c r="B463" s="34">
        <v>6280</v>
      </c>
      <c r="C463" s="34">
        <f t="shared" si="7"/>
        <v>6260000</v>
      </c>
      <c r="D463" s="34">
        <v>615380</v>
      </c>
      <c r="E463" s="34">
        <v>567860</v>
      </c>
      <c r="F463" s="34">
        <v>451570</v>
      </c>
      <c r="G463" s="34">
        <v>429730</v>
      </c>
      <c r="H463" s="34">
        <v>410980</v>
      </c>
      <c r="I463" s="34">
        <v>392230</v>
      </c>
      <c r="J463" s="34">
        <v>373480</v>
      </c>
      <c r="K463" s="34">
        <v>354730</v>
      </c>
      <c r="L463" s="34">
        <v>335980</v>
      </c>
      <c r="M463" s="34">
        <v>317230</v>
      </c>
      <c r="N463" s="34">
        <v>298480</v>
      </c>
    </row>
    <row r="464" spans="1:14">
      <c r="A464" s="34">
        <v>6280</v>
      </c>
      <c r="B464" s="34">
        <v>6300</v>
      </c>
      <c r="C464" s="34">
        <f t="shared" si="7"/>
        <v>6280000</v>
      </c>
      <c r="D464" s="34">
        <v>619920</v>
      </c>
      <c r="E464" s="34">
        <v>572370</v>
      </c>
      <c r="F464" s="34">
        <v>455790</v>
      </c>
      <c r="G464" s="34">
        <v>432370</v>
      </c>
      <c r="H464" s="34">
        <v>413620</v>
      </c>
      <c r="I464" s="34">
        <v>394870</v>
      </c>
      <c r="J464" s="34">
        <v>376120</v>
      </c>
      <c r="K464" s="34">
        <v>357370</v>
      </c>
      <c r="L464" s="34">
        <v>338620</v>
      </c>
      <c r="M464" s="34">
        <v>319870</v>
      </c>
      <c r="N464" s="34">
        <v>301120</v>
      </c>
    </row>
    <row r="465" spans="1:14">
      <c r="A465" s="34">
        <v>6300</v>
      </c>
      <c r="B465" s="34">
        <v>6320</v>
      </c>
      <c r="C465" s="34">
        <f t="shared" si="7"/>
        <v>6300000</v>
      </c>
      <c r="D465" s="34">
        <v>624450</v>
      </c>
      <c r="E465" s="34">
        <v>576880</v>
      </c>
      <c r="F465" s="34">
        <v>460020</v>
      </c>
      <c r="G465" s="34">
        <v>435010</v>
      </c>
      <c r="H465" s="34">
        <v>416260</v>
      </c>
      <c r="I465" s="34">
        <v>397510</v>
      </c>
      <c r="J465" s="34">
        <v>378760</v>
      </c>
      <c r="K465" s="34">
        <v>360010</v>
      </c>
      <c r="L465" s="34">
        <v>341260</v>
      </c>
      <c r="M465" s="34">
        <v>322510</v>
      </c>
      <c r="N465" s="34">
        <v>303760</v>
      </c>
    </row>
    <row r="466" spans="1:14">
      <c r="A466" s="34">
        <v>6320</v>
      </c>
      <c r="B466" s="34">
        <v>6340</v>
      </c>
      <c r="C466" s="34">
        <f t="shared" si="7"/>
        <v>6320000</v>
      </c>
      <c r="D466" s="34">
        <v>628990</v>
      </c>
      <c r="E466" s="34">
        <v>581390</v>
      </c>
      <c r="F466" s="34">
        <v>464240</v>
      </c>
      <c r="G466" s="34">
        <v>437650</v>
      </c>
      <c r="H466" s="34">
        <v>418900</v>
      </c>
      <c r="I466" s="34">
        <v>400150</v>
      </c>
      <c r="J466" s="34">
        <v>381400</v>
      </c>
      <c r="K466" s="34">
        <v>362650</v>
      </c>
      <c r="L466" s="34">
        <v>343900</v>
      </c>
      <c r="M466" s="34">
        <v>325150</v>
      </c>
      <c r="N466" s="34">
        <v>306400</v>
      </c>
    </row>
    <row r="467" spans="1:14">
      <c r="A467" s="34">
        <v>6340</v>
      </c>
      <c r="B467" s="34">
        <v>6360</v>
      </c>
      <c r="C467" s="34">
        <f t="shared" si="7"/>
        <v>6340000</v>
      </c>
      <c r="D467" s="34">
        <v>633520</v>
      </c>
      <c r="E467" s="34">
        <v>585900</v>
      </c>
      <c r="F467" s="34">
        <v>468460</v>
      </c>
      <c r="G467" s="34">
        <v>440290</v>
      </c>
      <c r="H467" s="34">
        <v>421540</v>
      </c>
      <c r="I467" s="34">
        <v>402790</v>
      </c>
      <c r="J467" s="34">
        <v>384040</v>
      </c>
      <c r="K467" s="34">
        <v>365290</v>
      </c>
      <c r="L467" s="34">
        <v>346540</v>
      </c>
      <c r="M467" s="34">
        <v>327790</v>
      </c>
      <c r="N467" s="34">
        <v>309040</v>
      </c>
    </row>
    <row r="468" spans="1:14">
      <c r="A468" s="34">
        <v>6360</v>
      </c>
      <c r="B468" s="34">
        <v>6380</v>
      </c>
      <c r="C468" s="34">
        <f t="shared" si="7"/>
        <v>6360000</v>
      </c>
      <c r="D468" s="34">
        <v>638060</v>
      </c>
      <c r="E468" s="34">
        <v>590420</v>
      </c>
      <c r="F468" s="34">
        <v>472690</v>
      </c>
      <c r="G468" s="34">
        <v>442930</v>
      </c>
      <c r="H468" s="34">
        <v>424180</v>
      </c>
      <c r="I468" s="34">
        <v>405430</v>
      </c>
      <c r="J468" s="34">
        <v>386680</v>
      </c>
      <c r="K468" s="34">
        <v>367930</v>
      </c>
      <c r="L468" s="34">
        <v>349180</v>
      </c>
      <c r="M468" s="34">
        <v>330430</v>
      </c>
      <c r="N468" s="34">
        <v>311680</v>
      </c>
    </row>
    <row r="469" spans="1:14">
      <c r="A469" s="34">
        <v>6380</v>
      </c>
      <c r="B469" s="34">
        <v>6400</v>
      </c>
      <c r="C469" s="34">
        <f t="shared" si="7"/>
        <v>6380000</v>
      </c>
      <c r="D469" s="34">
        <v>642600</v>
      </c>
      <c r="E469" s="34">
        <v>594930</v>
      </c>
      <c r="F469" s="34">
        <v>476910</v>
      </c>
      <c r="G469" s="34">
        <v>446910</v>
      </c>
      <c r="H469" s="34">
        <v>426820</v>
      </c>
      <c r="I469" s="34">
        <v>408070</v>
      </c>
      <c r="J469" s="34">
        <v>389320</v>
      </c>
      <c r="K469" s="34">
        <v>370570</v>
      </c>
      <c r="L469" s="34">
        <v>351820</v>
      </c>
      <c r="M469" s="34">
        <v>333070</v>
      </c>
      <c r="N469" s="34">
        <v>314320</v>
      </c>
    </row>
    <row r="470" spans="1:14">
      <c r="A470" s="34">
        <v>6400</v>
      </c>
      <c r="B470" s="34">
        <v>6420</v>
      </c>
      <c r="C470" s="34">
        <f t="shared" si="7"/>
        <v>6400000</v>
      </c>
      <c r="D470" s="34">
        <v>647130</v>
      </c>
      <c r="E470" s="34">
        <v>599440</v>
      </c>
      <c r="F470" s="34">
        <v>481140</v>
      </c>
      <c r="G470" s="34">
        <v>451140</v>
      </c>
      <c r="H470" s="34">
        <v>429460</v>
      </c>
      <c r="I470" s="34">
        <v>410710</v>
      </c>
      <c r="J470" s="34">
        <v>391960</v>
      </c>
      <c r="K470" s="34">
        <v>373210</v>
      </c>
      <c r="L470" s="34">
        <v>354460</v>
      </c>
      <c r="M470" s="34">
        <v>335710</v>
      </c>
      <c r="N470" s="34">
        <v>316960</v>
      </c>
    </row>
    <row r="471" spans="1:14">
      <c r="A471" s="34">
        <v>6420</v>
      </c>
      <c r="B471" s="34">
        <v>6440</v>
      </c>
      <c r="C471" s="34">
        <f t="shared" si="7"/>
        <v>6420000</v>
      </c>
      <c r="D471" s="34">
        <v>651670</v>
      </c>
      <c r="E471" s="34">
        <v>603950</v>
      </c>
      <c r="F471" s="34">
        <v>485360</v>
      </c>
      <c r="G471" s="34">
        <v>455360</v>
      </c>
      <c r="H471" s="34">
        <v>432100</v>
      </c>
      <c r="I471" s="34">
        <v>413350</v>
      </c>
      <c r="J471" s="34">
        <v>394600</v>
      </c>
      <c r="K471" s="34">
        <v>375850</v>
      </c>
      <c r="L471" s="34">
        <v>357100</v>
      </c>
      <c r="M471" s="34">
        <v>338350</v>
      </c>
      <c r="N471" s="34">
        <v>319600</v>
      </c>
    </row>
    <row r="472" spans="1:14">
      <c r="A472" s="34">
        <v>6440</v>
      </c>
      <c r="B472" s="34">
        <v>6460</v>
      </c>
      <c r="C472" s="34">
        <f t="shared" si="7"/>
        <v>6440000</v>
      </c>
      <c r="D472" s="34">
        <v>656200</v>
      </c>
      <c r="E472" s="34">
        <v>608460</v>
      </c>
      <c r="F472" s="34">
        <v>489580</v>
      </c>
      <c r="G472" s="34">
        <v>459580</v>
      </c>
      <c r="H472" s="34">
        <v>434740</v>
      </c>
      <c r="I472" s="34">
        <v>415990</v>
      </c>
      <c r="J472" s="34">
        <v>397240</v>
      </c>
      <c r="K472" s="34">
        <v>378490</v>
      </c>
      <c r="L472" s="34">
        <v>359740</v>
      </c>
      <c r="M472" s="34">
        <v>340990</v>
      </c>
      <c r="N472" s="34">
        <v>322240</v>
      </c>
    </row>
    <row r="473" spans="1:14">
      <c r="A473" s="34">
        <v>6460</v>
      </c>
      <c r="B473" s="34">
        <v>6480</v>
      </c>
      <c r="C473" s="34">
        <f t="shared" si="7"/>
        <v>6460000</v>
      </c>
      <c r="D473" s="34">
        <v>660740</v>
      </c>
      <c r="E473" s="34">
        <v>612980</v>
      </c>
      <c r="F473" s="34">
        <v>493810</v>
      </c>
      <c r="G473" s="34">
        <v>463810</v>
      </c>
      <c r="H473" s="34">
        <v>437380</v>
      </c>
      <c r="I473" s="34">
        <v>418630</v>
      </c>
      <c r="J473" s="34">
        <v>399880</v>
      </c>
      <c r="K473" s="34">
        <v>381130</v>
      </c>
      <c r="L473" s="34">
        <v>362380</v>
      </c>
      <c r="M473" s="34">
        <v>343630</v>
      </c>
      <c r="N473" s="34">
        <v>324880</v>
      </c>
    </row>
    <row r="474" spans="1:14">
      <c r="A474" s="34">
        <v>6480</v>
      </c>
      <c r="B474" s="34">
        <v>6500</v>
      </c>
      <c r="C474" s="34">
        <f t="shared" si="7"/>
        <v>6480000</v>
      </c>
      <c r="D474" s="34">
        <v>665280</v>
      </c>
      <c r="E474" s="34">
        <v>617490</v>
      </c>
      <c r="F474" s="34">
        <v>498030</v>
      </c>
      <c r="G474" s="34">
        <v>468030</v>
      </c>
      <c r="H474" s="34">
        <v>440020</v>
      </c>
      <c r="I474" s="34">
        <v>421270</v>
      </c>
      <c r="J474" s="34">
        <v>402520</v>
      </c>
      <c r="K474" s="34">
        <v>383770</v>
      </c>
      <c r="L474" s="34">
        <v>365020</v>
      </c>
      <c r="M474" s="34">
        <v>346270</v>
      </c>
      <c r="N474" s="34">
        <v>327520</v>
      </c>
    </row>
    <row r="475" spans="1:14">
      <c r="A475" s="34">
        <v>6500</v>
      </c>
      <c r="B475" s="34">
        <v>6520</v>
      </c>
      <c r="C475" s="34">
        <f t="shared" si="7"/>
        <v>6500000</v>
      </c>
      <c r="D475" s="34">
        <v>669810</v>
      </c>
      <c r="E475" s="34">
        <v>622000</v>
      </c>
      <c r="F475" s="34">
        <v>502260</v>
      </c>
      <c r="G475" s="34">
        <v>472260</v>
      </c>
      <c r="H475" s="34">
        <v>442660</v>
      </c>
      <c r="I475" s="34">
        <v>423910</v>
      </c>
      <c r="J475" s="34">
        <v>405160</v>
      </c>
      <c r="K475" s="34">
        <v>386410</v>
      </c>
      <c r="L475" s="34">
        <v>367660</v>
      </c>
      <c r="M475" s="34">
        <v>348910</v>
      </c>
      <c r="N475" s="34">
        <v>330160</v>
      </c>
    </row>
    <row r="476" spans="1:14">
      <c r="A476" s="34">
        <v>6520</v>
      </c>
      <c r="B476" s="34">
        <v>6540</v>
      </c>
      <c r="C476" s="34">
        <f t="shared" si="7"/>
        <v>6520000</v>
      </c>
      <c r="D476" s="34">
        <v>674350</v>
      </c>
      <c r="E476" s="34">
        <v>626510</v>
      </c>
      <c r="F476" s="34">
        <v>506480</v>
      </c>
      <c r="G476" s="34">
        <v>476480</v>
      </c>
      <c r="H476" s="34">
        <v>446480</v>
      </c>
      <c r="I476" s="34">
        <v>426550</v>
      </c>
      <c r="J476" s="34">
        <v>407800</v>
      </c>
      <c r="K476" s="34">
        <v>389050</v>
      </c>
      <c r="L476" s="34">
        <v>370300</v>
      </c>
      <c r="M476" s="34">
        <v>351550</v>
      </c>
      <c r="N476" s="34">
        <v>332800</v>
      </c>
    </row>
    <row r="477" spans="1:14">
      <c r="A477" s="34">
        <v>6540</v>
      </c>
      <c r="B477" s="34">
        <v>6560</v>
      </c>
      <c r="C477" s="34">
        <f t="shared" si="7"/>
        <v>6540000</v>
      </c>
      <c r="D477" s="34">
        <v>678880</v>
      </c>
      <c r="E477" s="34">
        <v>631020</v>
      </c>
      <c r="F477" s="34">
        <v>510700</v>
      </c>
      <c r="G477" s="34">
        <v>480700</v>
      </c>
      <c r="H477" s="34">
        <v>450700</v>
      </c>
      <c r="I477" s="34">
        <v>429190</v>
      </c>
      <c r="J477" s="34">
        <v>410440</v>
      </c>
      <c r="K477" s="34">
        <v>391690</v>
      </c>
      <c r="L477" s="34">
        <v>372940</v>
      </c>
      <c r="M477" s="34">
        <v>354190</v>
      </c>
      <c r="N477" s="34">
        <v>335440</v>
      </c>
    </row>
    <row r="478" spans="1:14">
      <c r="A478" s="34">
        <v>6560</v>
      </c>
      <c r="B478" s="34">
        <v>6580</v>
      </c>
      <c r="C478" s="34">
        <f t="shared" si="7"/>
        <v>6560000</v>
      </c>
      <c r="D478" s="34">
        <v>683420</v>
      </c>
      <c r="E478" s="34">
        <v>635540</v>
      </c>
      <c r="F478" s="34">
        <v>514930</v>
      </c>
      <c r="G478" s="34">
        <v>484930</v>
      </c>
      <c r="H478" s="34">
        <v>454930</v>
      </c>
      <c r="I478" s="34">
        <v>431830</v>
      </c>
      <c r="J478" s="34">
        <v>413080</v>
      </c>
      <c r="K478" s="34">
        <v>394330</v>
      </c>
      <c r="L478" s="34">
        <v>375580</v>
      </c>
      <c r="M478" s="34">
        <v>356830</v>
      </c>
      <c r="N478" s="34">
        <v>338080</v>
      </c>
    </row>
    <row r="479" spans="1:14">
      <c r="A479" s="34">
        <v>6580</v>
      </c>
      <c r="B479" s="34">
        <v>6600</v>
      </c>
      <c r="C479" s="34">
        <f t="shared" si="7"/>
        <v>6580000</v>
      </c>
      <c r="D479" s="34">
        <v>687960</v>
      </c>
      <c r="E479" s="34">
        <v>640050</v>
      </c>
      <c r="F479" s="34">
        <v>519150</v>
      </c>
      <c r="G479" s="34">
        <v>489150</v>
      </c>
      <c r="H479" s="34">
        <v>459150</v>
      </c>
      <c r="I479" s="34">
        <v>434470</v>
      </c>
      <c r="J479" s="34">
        <v>415720</v>
      </c>
      <c r="K479" s="34">
        <v>396970</v>
      </c>
      <c r="L479" s="34">
        <v>378220</v>
      </c>
      <c r="M479" s="34">
        <v>359470</v>
      </c>
      <c r="N479" s="34">
        <v>340720</v>
      </c>
    </row>
    <row r="480" spans="1:14">
      <c r="A480" s="34">
        <v>6600</v>
      </c>
      <c r="B480" s="34">
        <v>6620</v>
      </c>
      <c r="C480" s="34">
        <f t="shared" si="7"/>
        <v>6600000</v>
      </c>
      <c r="D480" s="34">
        <v>692490</v>
      </c>
      <c r="E480" s="34">
        <v>644560</v>
      </c>
      <c r="F480" s="34">
        <v>523380</v>
      </c>
      <c r="G480" s="34">
        <v>493380</v>
      </c>
      <c r="H480" s="34">
        <v>463380</v>
      </c>
      <c r="I480" s="34">
        <v>437110</v>
      </c>
      <c r="J480" s="34">
        <v>418360</v>
      </c>
      <c r="K480" s="34">
        <v>399610</v>
      </c>
      <c r="L480" s="34">
        <v>380860</v>
      </c>
      <c r="M480" s="34">
        <v>362110</v>
      </c>
      <c r="N480" s="34">
        <v>343360</v>
      </c>
    </row>
    <row r="481" spans="1:14">
      <c r="A481" s="34">
        <v>6620</v>
      </c>
      <c r="B481" s="34">
        <v>6640</v>
      </c>
      <c r="C481" s="34">
        <f t="shared" si="7"/>
        <v>6620000</v>
      </c>
      <c r="D481" s="34">
        <v>697030</v>
      </c>
      <c r="E481" s="34">
        <v>649070</v>
      </c>
      <c r="F481" s="34">
        <v>527600</v>
      </c>
      <c r="G481" s="34">
        <v>497600</v>
      </c>
      <c r="H481" s="34">
        <v>467600</v>
      </c>
      <c r="I481" s="34">
        <v>439750</v>
      </c>
      <c r="J481" s="34">
        <v>421000</v>
      </c>
      <c r="K481" s="34">
        <v>402250</v>
      </c>
      <c r="L481" s="34">
        <v>383500</v>
      </c>
      <c r="M481" s="34">
        <v>364750</v>
      </c>
      <c r="N481" s="34">
        <v>346000</v>
      </c>
    </row>
    <row r="482" spans="1:14">
      <c r="A482" s="34">
        <v>6640</v>
      </c>
      <c r="B482" s="34">
        <v>6660</v>
      </c>
      <c r="C482" s="34">
        <f t="shared" si="7"/>
        <v>6640000</v>
      </c>
      <c r="D482" s="34">
        <v>701560</v>
      </c>
      <c r="E482" s="34">
        <v>653580</v>
      </c>
      <c r="F482" s="34">
        <v>531820</v>
      </c>
      <c r="G482" s="34">
        <v>501820</v>
      </c>
      <c r="H482" s="34">
        <v>471820</v>
      </c>
      <c r="I482" s="34">
        <v>442390</v>
      </c>
      <c r="J482" s="34">
        <v>423640</v>
      </c>
      <c r="K482" s="34">
        <v>404890</v>
      </c>
      <c r="L482" s="34">
        <v>386140</v>
      </c>
      <c r="M482" s="34">
        <v>367390</v>
      </c>
      <c r="N482" s="34">
        <v>348640</v>
      </c>
    </row>
    <row r="483" spans="1:14">
      <c r="A483" s="34">
        <v>6660</v>
      </c>
      <c r="B483" s="34">
        <v>6680</v>
      </c>
      <c r="C483" s="34">
        <f t="shared" si="7"/>
        <v>6660000</v>
      </c>
      <c r="D483" s="34">
        <v>706100</v>
      </c>
      <c r="E483" s="34">
        <v>658100</v>
      </c>
      <c r="F483" s="34">
        <v>536050</v>
      </c>
      <c r="G483" s="34">
        <v>506050</v>
      </c>
      <c r="H483" s="34">
        <v>476050</v>
      </c>
      <c r="I483" s="34">
        <v>446050</v>
      </c>
      <c r="J483" s="34">
        <v>426280</v>
      </c>
      <c r="K483" s="34">
        <v>407530</v>
      </c>
      <c r="L483" s="34">
        <v>388780</v>
      </c>
      <c r="M483" s="34">
        <v>370030</v>
      </c>
      <c r="N483" s="34">
        <v>351280</v>
      </c>
    </row>
    <row r="484" spans="1:14">
      <c r="A484" s="34">
        <v>6680</v>
      </c>
      <c r="B484" s="34">
        <v>6700</v>
      </c>
      <c r="C484" s="34">
        <f t="shared" si="7"/>
        <v>6680000</v>
      </c>
      <c r="D484" s="34">
        <v>710640</v>
      </c>
      <c r="E484" s="34">
        <v>662610</v>
      </c>
      <c r="F484" s="34">
        <v>540270</v>
      </c>
      <c r="G484" s="34">
        <v>510270</v>
      </c>
      <c r="H484" s="34">
        <v>480270</v>
      </c>
      <c r="I484" s="34">
        <v>450270</v>
      </c>
      <c r="J484" s="34">
        <v>428920</v>
      </c>
      <c r="K484" s="34">
        <v>410170</v>
      </c>
      <c r="L484" s="34">
        <v>391420</v>
      </c>
      <c r="M484" s="34">
        <v>372670</v>
      </c>
      <c r="N484" s="34">
        <v>353920</v>
      </c>
    </row>
    <row r="485" spans="1:14">
      <c r="A485" s="34">
        <v>6700</v>
      </c>
      <c r="B485" s="34">
        <v>6720</v>
      </c>
      <c r="C485" s="34">
        <f t="shared" si="7"/>
        <v>6700000</v>
      </c>
      <c r="D485" s="34">
        <v>715170</v>
      </c>
      <c r="E485" s="34">
        <v>667120</v>
      </c>
      <c r="F485" s="34">
        <v>544500</v>
      </c>
      <c r="G485" s="34">
        <v>514500</v>
      </c>
      <c r="H485" s="34">
        <v>484500</v>
      </c>
      <c r="I485" s="34">
        <v>454500</v>
      </c>
      <c r="J485" s="34">
        <v>431560</v>
      </c>
      <c r="K485" s="34">
        <v>412810</v>
      </c>
      <c r="L485" s="34">
        <v>394060</v>
      </c>
      <c r="M485" s="34">
        <v>375310</v>
      </c>
      <c r="N485" s="34">
        <v>356560</v>
      </c>
    </row>
    <row r="486" spans="1:14">
      <c r="A486" s="34">
        <v>6720</v>
      </c>
      <c r="B486" s="34">
        <v>6740</v>
      </c>
      <c r="C486" s="34">
        <f t="shared" si="7"/>
        <v>6720000</v>
      </c>
      <c r="D486" s="34">
        <v>719710</v>
      </c>
      <c r="E486" s="34">
        <v>671630</v>
      </c>
      <c r="F486" s="34">
        <v>548720</v>
      </c>
      <c r="G486" s="34">
        <v>518720</v>
      </c>
      <c r="H486" s="34">
        <v>488720</v>
      </c>
      <c r="I486" s="34">
        <v>458720</v>
      </c>
      <c r="J486" s="34">
        <v>434200</v>
      </c>
      <c r="K486" s="34">
        <v>415450</v>
      </c>
      <c r="L486" s="34">
        <v>396700</v>
      </c>
      <c r="M486" s="34">
        <v>377950</v>
      </c>
      <c r="N486" s="34">
        <v>359200</v>
      </c>
    </row>
    <row r="487" spans="1:14">
      <c r="A487" s="34">
        <v>6740</v>
      </c>
      <c r="B487" s="34">
        <v>6760</v>
      </c>
      <c r="C487" s="34">
        <f t="shared" si="7"/>
        <v>6740000</v>
      </c>
      <c r="D487" s="34">
        <v>724240</v>
      </c>
      <c r="E487" s="34">
        <v>676140</v>
      </c>
      <c r="F487" s="34">
        <v>552940</v>
      </c>
      <c r="G487" s="34">
        <v>522940</v>
      </c>
      <c r="H487" s="34">
        <v>492940</v>
      </c>
      <c r="I487" s="34">
        <v>462940</v>
      </c>
      <c r="J487" s="34">
        <v>436840</v>
      </c>
      <c r="K487" s="34">
        <v>418090</v>
      </c>
      <c r="L487" s="34">
        <v>399340</v>
      </c>
      <c r="M487" s="34">
        <v>380590</v>
      </c>
      <c r="N487" s="34">
        <v>361840</v>
      </c>
    </row>
    <row r="488" spans="1:14">
      <c r="A488" s="34">
        <v>6760</v>
      </c>
      <c r="B488" s="34">
        <v>6780</v>
      </c>
      <c r="C488" s="34">
        <f t="shared" si="7"/>
        <v>6760000</v>
      </c>
      <c r="D488" s="34">
        <v>728780</v>
      </c>
      <c r="E488" s="34">
        <v>680660</v>
      </c>
      <c r="F488" s="34">
        <v>557170</v>
      </c>
      <c r="G488" s="34">
        <v>527170</v>
      </c>
      <c r="H488" s="34">
        <v>497170</v>
      </c>
      <c r="I488" s="34">
        <v>467170</v>
      </c>
      <c r="J488" s="34">
        <v>439480</v>
      </c>
      <c r="K488" s="34">
        <v>420730</v>
      </c>
      <c r="L488" s="34">
        <v>401980</v>
      </c>
      <c r="M488" s="34">
        <v>383230</v>
      </c>
      <c r="N488" s="34">
        <v>364480</v>
      </c>
    </row>
    <row r="489" spans="1:14">
      <c r="A489" s="34">
        <v>6780</v>
      </c>
      <c r="B489" s="34">
        <v>6800</v>
      </c>
      <c r="C489" s="34">
        <f t="shared" si="7"/>
        <v>6780000</v>
      </c>
      <c r="D489" s="34">
        <v>733320</v>
      </c>
      <c r="E489" s="34">
        <v>685170</v>
      </c>
      <c r="F489" s="34">
        <v>561390</v>
      </c>
      <c r="G489" s="34">
        <v>531390</v>
      </c>
      <c r="H489" s="34">
        <v>501390</v>
      </c>
      <c r="I489" s="34">
        <v>471390</v>
      </c>
      <c r="J489" s="34">
        <v>442120</v>
      </c>
      <c r="K489" s="34">
        <v>423370</v>
      </c>
      <c r="L489" s="34">
        <v>404620</v>
      </c>
      <c r="M489" s="34">
        <v>385870</v>
      </c>
      <c r="N489" s="34">
        <v>367120</v>
      </c>
    </row>
    <row r="490" spans="1:14">
      <c r="A490" s="34">
        <v>6800</v>
      </c>
      <c r="B490" s="34">
        <v>6820</v>
      </c>
      <c r="C490" s="34">
        <f t="shared" si="7"/>
        <v>6800000</v>
      </c>
      <c r="D490" s="34">
        <v>737850</v>
      </c>
      <c r="E490" s="34">
        <v>689680</v>
      </c>
      <c r="F490" s="34">
        <v>565620</v>
      </c>
      <c r="G490" s="34">
        <v>535620</v>
      </c>
      <c r="H490" s="34">
        <v>505620</v>
      </c>
      <c r="I490" s="34">
        <v>475620</v>
      </c>
      <c r="J490" s="34">
        <v>445620</v>
      </c>
      <c r="K490" s="34">
        <v>426010</v>
      </c>
      <c r="L490" s="34">
        <v>407260</v>
      </c>
      <c r="M490" s="34">
        <v>388510</v>
      </c>
      <c r="N490" s="34">
        <v>369760</v>
      </c>
    </row>
    <row r="491" spans="1:14">
      <c r="A491" s="34">
        <v>6820</v>
      </c>
      <c r="B491" s="34">
        <v>6840</v>
      </c>
      <c r="C491" s="34">
        <f t="shared" si="7"/>
        <v>6820000</v>
      </c>
      <c r="D491" s="34">
        <v>742390</v>
      </c>
      <c r="E491" s="34">
        <v>694190</v>
      </c>
      <c r="F491" s="34">
        <v>569840</v>
      </c>
      <c r="G491" s="34">
        <v>539840</v>
      </c>
      <c r="H491" s="34">
        <v>509840</v>
      </c>
      <c r="I491" s="34">
        <v>479840</v>
      </c>
      <c r="J491" s="34">
        <v>449840</v>
      </c>
      <c r="K491" s="34">
        <v>428650</v>
      </c>
      <c r="L491" s="34">
        <v>409900</v>
      </c>
      <c r="M491" s="34">
        <v>391150</v>
      </c>
      <c r="N491" s="34">
        <v>372400</v>
      </c>
    </row>
    <row r="492" spans="1:14">
      <c r="A492" s="34">
        <v>6840</v>
      </c>
      <c r="B492" s="34">
        <v>6860</v>
      </c>
      <c r="C492" s="34">
        <f t="shared" si="7"/>
        <v>6840000</v>
      </c>
      <c r="D492" s="34">
        <v>746920</v>
      </c>
      <c r="E492" s="34">
        <v>698700</v>
      </c>
      <c r="F492" s="34">
        <v>574060</v>
      </c>
      <c r="G492" s="34">
        <v>544060</v>
      </c>
      <c r="H492" s="34">
        <v>514060</v>
      </c>
      <c r="I492" s="34">
        <v>484060</v>
      </c>
      <c r="J492" s="34">
        <v>454060</v>
      </c>
      <c r="K492" s="34">
        <v>431290</v>
      </c>
      <c r="L492" s="34">
        <v>412540</v>
      </c>
      <c r="M492" s="34">
        <v>393790</v>
      </c>
      <c r="N492" s="34">
        <v>375040</v>
      </c>
    </row>
    <row r="493" spans="1:14">
      <c r="A493" s="34">
        <v>6860</v>
      </c>
      <c r="B493" s="34">
        <v>6880</v>
      </c>
      <c r="C493" s="34">
        <f t="shared" si="7"/>
        <v>6860000</v>
      </c>
      <c r="D493" s="34">
        <v>751460</v>
      </c>
      <c r="E493" s="34">
        <v>703220</v>
      </c>
      <c r="F493" s="34">
        <v>578290</v>
      </c>
      <c r="G493" s="34">
        <v>548290</v>
      </c>
      <c r="H493" s="34">
        <v>518290</v>
      </c>
      <c r="I493" s="34">
        <v>488290</v>
      </c>
      <c r="J493" s="34">
        <v>458290</v>
      </c>
      <c r="K493" s="34">
        <v>433930</v>
      </c>
      <c r="L493" s="34">
        <v>415180</v>
      </c>
      <c r="M493" s="34">
        <v>396430</v>
      </c>
      <c r="N493" s="34">
        <v>377680</v>
      </c>
    </row>
    <row r="494" spans="1:14">
      <c r="A494" s="34">
        <v>6880</v>
      </c>
      <c r="B494" s="34">
        <v>6900</v>
      </c>
      <c r="C494" s="34">
        <f t="shared" si="7"/>
        <v>6880000</v>
      </c>
      <c r="D494" s="34">
        <v>756000</v>
      </c>
      <c r="E494" s="34">
        <v>707730</v>
      </c>
      <c r="F494" s="34">
        <v>582510</v>
      </c>
      <c r="G494" s="34">
        <v>552510</v>
      </c>
      <c r="H494" s="34">
        <v>522510</v>
      </c>
      <c r="I494" s="34">
        <v>492510</v>
      </c>
      <c r="J494" s="34">
        <v>462510</v>
      </c>
      <c r="K494" s="34">
        <v>436570</v>
      </c>
      <c r="L494" s="34">
        <v>417820</v>
      </c>
      <c r="M494" s="34">
        <v>399070</v>
      </c>
      <c r="N494" s="34">
        <v>380320</v>
      </c>
    </row>
    <row r="495" spans="1:14">
      <c r="A495" s="34">
        <v>6900</v>
      </c>
      <c r="B495" s="34">
        <v>6920</v>
      </c>
      <c r="C495" s="34">
        <f t="shared" si="7"/>
        <v>6900000</v>
      </c>
      <c r="D495" s="34">
        <v>760530</v>
      </c>
      <c r="E495" s="34">
        <v>712240</v>
      </c>
      <c r="F495" s="34">
        <v>586740</v>
      </c>
      <c r="G495" s="34">
        <v>556740</v>
      </c>
      <c r="H495" s="34">
        <v>526740</v>
      </c>
      <c r="I495" s="34">
        <v>496740</v>
      </c>
      <c r="J495" s="34">
        <v>466740</v>
      </c>
      <c r="K495" s="34">
        <v>439210</v>
      </c>
      <c r="L495" s="34">
        <v>420460</v>
      </c>
      <c r="M495" s="34">
        <v>401710</v>
      </c>
      <c r="N495" s="34">
        <v>382960</v>
      </c>
    </row>
    <row r="496" spans="1:14">
      <c r="A496" s="34">
        <v>6920</v>
      </c>
      <c r="B496" s="34">
        <v>6940</v>
      </c>
      <c r="C496" s="34">
        <f t="shared" si="7"/>
        <v>6920000</v>
      </c>
      <c r="D496" s="34">
        <v>765070</v>
      </c>
      <c r="E496" s="34">
        <v>716750</v>
      </c>
      <c r="F496" s="34">
        <v>590960</v>
      </c>
      <c r="G496" s="34">
        <v>560960</v>
      </c>
      <c r="H496" s="34">
        <v>530960</v>
      </c>
      <c r="I496" s="34">
        <v>500960</v>
      </c>
      <c r="J496" s="34">
        <v>470960</v>
      </c>
      <c r="K496" s="34">
        <v>441850</v>
      </c>
      <c r="L496" s="34">
        <v>423100</v>
      </c>
      <c r="M496" s="34">
        <v>404350</v>
      </c>
      <c r="N496" s="34">
        <v>385600</v>
      </c>
    </row>
    <row r="497" spans="1:14">
      <c r="A497" s="34">
        <v>6940</v>
      </c>
      <c r="B497" s="34">
        <v>6960</v>
      </c>
      <c r="C497" s="34">
        <f t="shared" si="7"/>
        <v>6940000</v>
      </c>
      <c r="D497" s="34">
        <v>769600</v>
      </c>
      <c r="E497" s="34">
        <v>721260</v>
      </c>
      <c r="F497" s="34">
        <v>595180</v>
      </c>
      <c r="G497" s="34">
        <v>565180</v>
      </c>
      <c r="H497" s="34">
        <v>535180</v>
      </c>
      <c r="I497" s="34">
        <v>505180</v>
      </c>
      <c r="J497" s="34">
        <v>475180</v>
      </c>
      <c r="K497" s="34">
        <v>445180</v>
      </c>
      <c r="L497" s="34">
        <v>425740</v>
      </c>
      <c r="M497" s="34">
        <v>406990</v>
      </c>
      <c r="N497" s="34">
        <v>388240</v>
      </c>
    </row>
    <row r="498" spans="1:14">
      <c r="A498" s="34">
        <v>6960</v>
      </c>
      <c r="B498" s="34">
        <v>6980</v>
      </c>
      <c r="C498" s="34">
        <f t="shared" si="7"/>
        <v>6960000</v>
      </c>
      <c r="D498" s="34">
        <v>774140</v>
      </c>
      <c r="E498" s="34">
        <v>725780</v>
      </c>
      <c r="F498" s="34">
        <v>599410</v>
      </c>
      <c r="G498" s="34">
        <v>569410</v>
      </c>
      <c r="H498" s="34">
        <v>539410</v>
      </c>
      <c r="I498" s="34">
        <v>509410</v>
      </c>
      <c r="J498" s="34">
        <v>479410</v>
      </c>
      <c r="K498" s="34">
        <v>449410</v>
      </c>
      <c r="L498" s="34">
        <v>428380</v>
      </c>
      <c r="M498" s="34">
        <v>409630</v>
      </c>
      <c r="N498" s="34">
        <v>390880</v>
      </c>
    </row>
    <row r="499" spans="1:14">
      <c r="A499" s="34">
        <v>6980</v>
      </c>
      <c r="B499" s="34">
        <v>7000</v>
      </c>
      <c r="C499" s="34">
        <f t="shared" si="7"/>
        <v>6980000</v>
      </c>
      <c r="D499" s="34">
        <v>778680</v>
      </c>
      <c r="E499" s="34">
        <v>730290</v>
      </c>
      <c r="F499" s="34">
        <v>603630</v>
      </c>
      <c r="G499" s="34">
        <v>573630</v>
      </c>
      <c r="H499" s="34">
        <v>543630</v>
      </c>
      <c r="I499" s="34">
        <v>513630</v>
      </c>
      <c r="J499" s="34">
        <v>483630</v>
      </c>
      <c r="K499" s="34">
        <v>453630</v>
      </c>
      <c r="L499" s="34">
        <v>431020</v>
      </c>
      <c r="M499" s="34">
        <v>412270</v>
      </c>
      <c r="N499" s="34">
        <v>393520</v>
      </c>
    </row>
    <row r="500" spans="1:14">
      <c r="A500" s="34">
        <v>7000</v>
      </c>
      <c r="B500" s="34">
        <v>7020</v>
      </c>
      <c r="C500" s="34">
        <f t="shared" si="7"/>
        <v>7000000</v>
      </c>
      <c r="D500" s="34">
        <v>783210</v>
      </c>
      <c r="E500" s="34">
        <v>734800</v>
      </c>
      <c r="F500" s="34">
        <v>607860</v>
      </c>
      <c r="G500" s="34">
        <v>577860</v>
      </c>
      <c r="H500" s="34">
        <v>547860</v>
      </c>
      <c r="I500" s="34">
        <v>517860</v>
      </c>
      <c r="J500" s="34">
        <v>487860</v>
      </c>
      <c r="K500" s="34">
        <v>457860</v>
      </c>
      <c r="L500" s="34">
        <v>433660</v>
      </c>
      <c r="M500" s="34">
        <v>414910</v>
      </c>
      <c r="N500" s="34">
        <v>396160</v>
      </c>
    </row>
    <row r="501" spans="1:14">
      <c r="A501" s="34">
        <v>7020</v>
      </c>
      <c r="B501" s="34">
        <v>7040</v>
      </c>
      <c r="C501" s="34">
        <f t="shared" si="7"/>
        <v>7020000</v>
      </c>
      <c r="D501" s="34">
        <v>787750</v>
      </c>
      <c r="E501" s="34">
        <v>739310</v>
      </c>
      <c r="F501" s="34">
        <v>612080</v>
      </c>
      <c r="G501" s="34">
        <v>582080</v>
      </c>
      <c r="H501" s="34">
        <v>552080</v>
      </c>
      <c r="I501" s="34">
        <v>522080</v>
      </c>
      <c r="J501" s="34">
        <v>492080</v>
      </c>
      <c r="K501" s="34">
        <v>462080</v>
      </c>
      <c r="L501" s="34">
        <v>436300</v>
      </c>
      <c r="M501" s="34">
        <v>417550</v>
      </c>
      <c r="N501" s="34">
        <v>398800</v>
      </c>
    </row>
    <row r="502" spans="1:14">
      <c r="A502" s="34">
        <v>7040</v>
      </c>
      <c r="B502" s="34">
        <v>7060</v>
      </c>
      <c r="C502" s="34">
        <f t="shared" si="7"/>
        <v>7040000</v>
      </c>
      <c r="D502" s="34">
        <v>792280</v>
      </c>
      <c r="E502" s="34">
        <v>743820</v>
      </c>
      <c r="F502" s="34">
        <v>616300</v>
      </c>
      <c r="G502" s="34">
        <v>586300</v>
      </c>
      <c r="H502" s="34">
        <v>556300</v>
      </c>
      <c r="I502" s="34">
        <v>526300</v>
      </c>
      <c r="J502" s="34">
        <v>496300</v>
      </c>
      <c r="K502" s="34">
        <v>466300</v>
      </c>
      <c r="L502" s="34">
        <v>438940</v>
      </c>
      <c r="M502" s="34">
        <v>420190</v>
      </c>
      <c r="N502" s="34">
        <v>401440</v>
      </c>
    </row>
    <row r="503" spans="1:14">
      <c r="A503" s="34">
        <v>7060</v>
      </c>
      <c r="B503" s="34">
        <v>7080</v>
      </c>
      <c r="C503" s="34">
        <f t="shared" si="7"/>
        <v>7060000</v>
      </c>
      <c r="D503" s="34">
        <v>796820</v>
      </c>
      <c r="E503" s="34">
        <v>748340</v>
      </c>
      <c r="F503" s="34">
        <v>620530</v>
      </c>
      <c r="G503" s="34">
        <v>590530</v>
      </c>
      <c r="H503" s="34">
        <v>560530</v>
      </c>
      <c r="I503" s="34">
        <v>530530</v>
      </c>
      <c r="J503" s="34">
        <v>500530</v>
      </c>
      <c r="K503" s="34">
        <v>470530</v>
      </c>
      <c r="L503" s="34">
        <v>441580</v>
      </c>
      <c r="M503" s="34">
        <v>422830</v>
      </c>
      <c r="N503" s="34">
        <v>404080</v>
      </c>
    </row>
    <row r="504" spans="1:14">
      <c r="A504" s="34">
        <v>7080</v>
      </c>
      <c r="B504" s="34">
        <v>7100</v>
      </c>
      <c r="C504" s="34">
        <f t="shared" si="7"/>
        <v>7080000</v>
      </c>
      <c r="D504" s="34">
        <v>801360</v>
      </c>
      <c r="E504" s="34">
        <v>752850</v>
      </c>
      <c r="F504" s="34">
        <v>624750</v>
      </c>
      <c r="G504" s="34">
        <v>594750</v>
      </c>
      <c r="H504" s="34">
        <v>564750</v>
      </c>
      <c r="I504" s="34">
        <v>534750</v>
      </c>
      <c r="J504" s="34">
        <v>504750</v>
      </c>
      <c r="K504" s="34">
        <v>474750</v>
      </c>
      <c r="L504" s="34">
        <v>444750</v>
      </c>
      <c r="M504" s="34">
        <v>425470</v>
      </c>
      <c r="N504" s="34">
        <v>406720</v>
      </c>
    </row>
    <row r="505" spans="1:14">
      <c r="A505" s="34">
        <v>7100</v>
      </c>
      <c r="B505" s="34">
        <v>7120</v>
      </c>
      <c r="C505" s="34">
        <f t="shared" si="7"/>
        <v>7100000</v>
      </c>
      <c r="D505" s="34">
        <v>805890</v>
      </c>
      <c r="E505" s="34">
        <v>757360</v>
      </c>
      <c r="F505" s="34">
        <v>628980</v>
      </c>
      <c r="G505" s="34">
        <v>598980</v>
      </c>
      <c r="H505" s="34">
        <v>568980</v>
      </c>
      <c r="I505" s="34">
        <v>538980</v>
      </c>
      <c r="J505" s="34">
        <v>508980</v>
      </c>
      <c r="K505" s="34">
        <v>478980</v>
      </c>
      <c r="L505" s="34">
        <v>448980</v>
      </c>
      <c r="M505" s="34">
        <v>428110</v>
      </c>
      <c r="N505" s="34">
        <v>409360</v>
      </c>
    </row>
    <row r="506" spans="1:14">
      <c r="A506" s="34">
        <v>7120</v>
      </c>
      <c r="B506" s="34">
        <v>7140</v>
      </c>
      <c r="C506" s="34">
        <f t="shared" si="7"/>
        <v>7120000</v>
      </c>
      <c r="D506" s="34">
        <v>810430</v>
      </c>
      <c r="E506" s="34">
        <v>761870</v>
      </c>
      <c r="F506" s="34">
        <v>633200</v>
      </c>
      <c r="G506" s="34">
        <v>603200</v>
      </c>
      <c r="H506" s="34">
        <v>573200</v>
      </c>
      <c r="I506" s="34">
        <v>543200</v>
      </c>
      <c r="J506" s="34">
        <v>513200</v>
      </c>
      <c r="K506" s="34">
        <v>483200</v>
      </c>
      <c r="L506" s="34">
        <v>453200</v>
      </c>
      <c r="M506" s="34">
        <v>430750</v>
      </c>
      <c r="N506" s="34">
        <v>412000</v>
      </c>
    </row>
    <row r="507" spans="1:14">
      <c r="A507" s="34">
        <v>7140</v>
      </c>
      <c r="B507" s="34">
        <v>7160</v>
      </c>
      <c r="C507" s="34">
        <f t="shared" si="7"/>
        <v>7140000</v>
      </c>
      <c r="D507" s="34">
        <v>814960</v>
      </c>
      <c r="E507" s="34">
        <v>766380</v>
      </c>
      <c r="F507" s="34">
        <v>637420</v>
      </c>
      <c r="G507" s="34">
        <v>607420</v>
      </c>
      <c r="H507" s="34">
        <v>577420</v>
      </c>
      <c r="I507" s="34">
        <v>547420</v>
      </c>
      <c r="J507" s="34">
        <v>517420</v>
      </c>
      <c r="K507" s="34">
        <v>487420</v>
      </c>
      <c r="L507" s="34">
        <v>457420</v>
      </c>
      <c r="M507" s="34">
        <v>433390</v>
      </c>
      <c r="N507" s="34">
        <v>414640</v>
      </c>
    </row>
    <row r="508" spans="1:14">
      <c r="A508" s="34">
        <v>7160</v>
      </c>
      <c r="B508" s="34">
        <v>7180</v>
      </c>
      <c r="C508" s="34">
        <f t="shared" si="7"/>
        <v>7160000</v>
      </c>
      <c r="D508" s="34">
        <v>819500</v>
      </c>
      <c r="E508" s="34">
        <v>770900</v>
      </c>
      <c r="F508" s="34">
        <v>641650</v>
      </c>
      <c r="G508" s="34">
        <v>611650</v>
      </c>
      <c r="H508" s="34">
        <v>581650</v>
      </c>
      <c r="I508" s="34">
        <v>551650</v>
      </c>
      <c r="J508" s="34">
        <v>521650</v>
      </c>
      <c r="K508" s="34">
        <v>491650</v>
      </c>
      <c r="L508" s="34">
        <v>461650</v>
      </c>
      <c r="M508" s="34">
        <v>436030</v>
      </c>
      <c r="N508" s="34">
        <v>417280</v>
      </c>
    </row>
    <row r="509" spans="1:14">
      <c r="A509" s="34">
        <v>7180</v>
      </c>
      <c r="B509" s="34">
        <v>7200</v>
      </c>
      <c r="C509" s="34">
        <f t="shared" si="7"/>
        <v>7180000</v>
      </c>
      <c r="D509" s="34">
        <v>824040</v>
      </c>
      <c r="E509" s="34">
        <v>775410</v>
      </c>
      <c r="F509" s="34">
        <v>645870</v>
      </c>
      <c r="G509" s="34">
        <v>615870</v>
      </c>
      <c r="H509" s="34">
        <v>585870</v>
      </c>
      <c r="I509" s="34">
        <v>555870</v>
      </c>
      <c r="J509" s="34">
        <v>525870</v>
      </c>
      <c r="K509" s="34">
        <v>495870</v>
      </c>
      <c r="L509" s="34">
        <v>465870</v>
      </c>
      <c r="M509" s="34">
        <v>438670</v>
      </c>
      <c r="N509" s="34">
        <v>419920</v>
      </c>
    </row>
    <row r="510" spans="1:14">
      <c r="A510" s="34">
        <v>7200</v>
      </c>
      <c r="B510" s="34">
        <v>7220</v>
      </c>
      <c r="C510" s="34">
        <f t="shared" si="7"/>
        <v>7200000</v>
      </c>
      <c r="D510" s="34">
        <v>828570</v>
      </c>
      <c r="E510" s="34">
        <v>779920</v>
      </c>
      <c r="F510" s="34">
        <v>650100</v>
      </c>
      <c r="G510" s="34">
        <v>620100</v>
      </c>
      <c r="H510" s="34">
        <v>590100</v>
      </c>
      <c r="I510" s="34">
        <v>560100</v>
      </c>
      <c r="J510" s="34">
        <v>530100</v>
      </c>
      <c r="K510" s="34">
        <v>500100</v>
      </c>
      <c r="L510" s="34">
        <v>470100</v>
      </c>
      <c r="M510" s="34">
        <v>441310</v>
      </c>
      <c r="N510" s="34">
        <v>422560</v>
      </c>
    </row>
    <row r="511" spans="1:14">
      <c r="A511" s="34">
        <v>7220</v>
      </c>
      <c r="B511" s="34">
        <v>7240</v>
      </c>
      <c r="C511" s="34">
        <f t="shared" si="7"/>
        <v>7220000</v>
      </c>
      <c r="D511" s="34">
        <v>833110</v>
      </c>
      <c r="E511" s="34">
        <v>784430</v>
      </c>
      <c r="F511" s="34">
        <v>654320</v>
      </c>
      <c r="G511" s="34">
        <v>624320</v>
      </c>
      <c r="H511" s="34">
        <v>594320</v>
      </c>
      <c r="I511" s="34">
        <v>564320</v>
      </c>
      <c r="J511" s="34">
        <v>534320</v>
      </c>
      <c r="K511" s="34">
        <v>504320</v>
      </c>
      <c r="L511" s="34">
        <v>474320</v>
      </c>
      <c r="M511" s="34">
        <v>444320</v>
      </c>
      <c r="N511" s="34">
        <v>425200</v>
      </c>
    </row>
    <row r="512" spans="1:14">
      <c r="A512" s="34">
        <v>7240</v>
      </c>
      <c r="B512" s="34">
        <v>7260</v>
      </c>
      <c r="C512" s="34">
        <f t="shared" si="7"/>
        <v>7240000</v>
      </c>
      <c r="D512" s="34">
        <v>837640</v>
      </c>
      <c r="E512" s="34">
        <v>788940</v>
      </c>
      <c r="F512" s="34">
        <v>658540</v>
      </c>
      <c r="G512" s="34">
        <v>628540</v>
      </c>
      <c r="H512" s="34">
        <v>598540</v>
      </c>
      <c r="I512" s="34">
        <v>568540</v>
      </c>
      <c r="J512" s="34">
        <v>538540</v>
      </c>
      <c r="K512" s="34">
        <v>508540</v>
      </c>
      <c r="L512" s="34">
        <v>478540</v>
      </c>
      <c r="M512" s="34">
        <v>448540</v>
      </c>
      <c r="N512" s="34">
        <v>427840</v>
      </c>
    </row>
    <row r="513" spans="1:14">
      <c r="A513" s="34">
        <v>7260</v>
      </c>
      <c r="B513" s="34">
        <v>7280</v>
      </c>
      <c r="C513" s="34">
        <f t="shared" si="7"/>
        <v>7260000</v>
      </c>
      <c r="D513" s="34">
        <v>842180</v>
      </c>
      <c r="E513" s="34">
        <v>793460</v>
      </c>
      <c r="F513" s="34">
        <v>662770</v>
      </c>
      <c r="G513" s="34">
        <v>632770</v>
      </c>
      <c r="H513" s="34">
        <v>602770</v>
      </c>
      <c r="I513" s="34">
        <v>572770</v>
      </c>
      <c r="J513" s="34">
        <v>542770</v>
      </c>
      <c r="K513" s="34">
        <v>512770</v>
      </c>
      <c r="L513" s="34">
        <v>482770</v>
      </c>
      <c r="M513" s="34">
        <v>452770</v>
      </c>
      <c r="N513" s="34">
        <v>430480</v>
      </c>
    </row>
    <row r="514" spans="1:14">
      <c r="A514" s="34">
        <v>7280</v>
      </c>
      <c r="B514" s="34">
        <v>7300</v>
      </c>
      <c r="C514" s="34">
        <f t="shared" si="7"/>
        <v>7280000</v>
      </c>
      <c r="D514" s="34">
        <v>846720</v>
      </c>
      <c r="E514" s="34">
        <v>797970</v>
      </c>
      <c r="F514" s="34">
        <v>666990</v>
      </c>
      <c r="G514" s="34">
        <v>636990</v>
      </c>
      <c r="H514" s="34">
        <v>606990</v>
      </c>
      <c r="I514" s="34">
        <v>576990</v>
      </c>
      <c r="J514" s="34">
        <v>546990</v>
      </c>
      <c r="K514" s="34">
        <v>516990</v>
      </c>
      <c r="L514" s="34">
        <v>486990</v>
      </c>
      <c r="M514" s="34">
        <v>456990</v>
      </c>
      <c r="N514" s="34">
        <v>433120</v>
      </c>
    </row>
    <row r="515" spans="1:14">
      <c r="A515" s="34">
        <v>7300</v>
      </c>
      <c r="B515" s="34">
        <v>7320</v>
      </c>
      <c r="C515" s="34">
        <f t="shared" si="7"/>
        <v>7300000</v>
      </c>
      <c r="D515" s="34">
        <v>851250</v>
      </c>
      <c r="E515" s="34">
        <v>802480</v>
      </c>
      <c r="F515" s="34">
        <v>671220</v>
      </c>
      <c r="G515" s="34">
        <v>641220</v>
      </c>
      <c r="H515" s="34">
        <v>611220</v>
      </c>
      <c r="I515" s="34">
        <v>581220</v>
      </c>
      <c r="J515" s="34">
        <v>551220</v>
      </c>
      <c r="K515" s="34">
        <v>521220</v>
      </c>
      <c r="L515" s="34">
        <v>491220</v>
      </c>
      <c r="M515" s="34">
        <v>461220</v>
      </c>
      <c r="N515" s="34">
        <v>435760</v>
      </c>
    </row>
    <row r="516" spans="1:14">
      <c r="A516" s="34">
        <v>7320</v>
      </c>
      <c r="B516" s="34">
        <v>7340</v>
      </c>
      <c r="C516" s="34">
        <f t="shared" ref="C516:C579" si="8">A516*1000</f>
        <v>7320000</v>
      </c>
      <c r="D516" s="34">
        <v>855790</v>
      </c>
      <c r="E516" s="34">
        <v>806990</v>
      </c>
      <c r="F516" s="34">
        <v>675440</v>
      </c>
      <c r="G516" s="34">
        <v>645440</v>
      </c>
      <c r="H516" s="34">
        <v>615440</v>
      </c>
      <c r="I516" s="34">
        <v>585440</v>
      </c>
      <c r="J516" s="34">
        <v>555440</v>
      </c>
      <c r="K516" s="34">
        <v>525440</v>
      </c>
      <c r="L516" s="34">
        <v>495440</v>
      </c>
      <c r="M516" s="34">
        <v>465440</v>
      </c>
      <c r="N516" s="34">
        <v>438400</v>
      </c>
    </row>
    <row r="517" spans="1:14">
      <c r="A517" s="34">
        <v>7340</v>
      </c>
      <c r="B517" s="34">
        <v>7360</v>
      </c>
      <c r="C517" s="34">
        <f t="shared" si="8"/>
        <v>7340000</v>
      </c>
      <c r="D517" s="34">
        <v>860320</v>
      </c>
      <c r="E517" s="34">
        <v>811500</v>
      </c>
      <c r="F517" s="34">
        <v>679660</v>
      </c>
      <c r="G517" s="34">
        <v>649660</v>
      </c>
      <c r="H517" s="34">
        <v>619660</v>
      </c>
      <c r="I517" s="34">
        <v>589660</v>
      </c>
      <c r="J517" s="34">
        <v>559660</v>
      </c>
      <c r="K517" s="34">
        <v>529660</v>
      </c>
      <c r="L517" s="34">
        <v>499660</v>
      </c>
      <c r="M517" s="34">
        <v>469660</v>
      </c>
      <c r="N517" s="34">
        <v>441040</v>
      </c>
    </row>
    <row r="518" spans="1:14">
      <c r="A518" s="34">
        <v>7360</v>
      </c>
      <c r="B518" s="34">
        <v>7380</v>
      </c>
      <c r="C518" s="34">
        <f t="shared" si="8"/>
        <v>7360000</v>
      </c>
      <c r="D518" s="34">
        <v>864860</v>
      </c>
      <c r="E518" s="34">
        <v>816020</v>
      </c>
      <c r="F518" s="34">
        <v>683890</v>
      </c>
      <c r="G518" s="34">
        <v>653890</v>
      </c>
      <c r="H518" s="34">
        <v>623890</v>
      </c>
      <c r="I518" s="34">
        <v>593890</v>
      </c>
      <c r="J518" s="34">
        <v>563890</v>
      </c>
      <c r="K518" s="34">
        <v>533890</v>
      </c>
      <c r="L518" s="34">
        <v>503890</v>
      </c>
      <c r="M518" s="34">
        <v>473890</v>
      </c>
      <c r="N518" s="34">
        <v>443890</v>
      </c>
    </row>
    <row r="519" spans="1:14">
      <c r="A519" s="34">
        <v>7380</v>
      </c>
      <c r="B519" s="34">
        <v>7400</v>
      </c>
      <c r="C519" s="34">
        <f t="shared" si="8"/>
        <v>7380000</v>
      </c>
      <c r="D519" s="34">
        <v>869400</v>
      </c>
      <c r="E519" s="34">
        <v>820530</v>
      </c>
      <c r="F519" s="34">
        <v>688110</v>
      </c>
      <c r="G519" s="34">
        <v>658110</v>
      </c>
      <c r="H519" s="34">
        <v>628110</v>
      </c>
      <c r="I519" s="34">
        <v>598110</v>
      </c>
      <c r="J519" s="34">
        <v>568110</v>
      </c>
      <c r="K519" s="34">
        <v>538110</v>
      </c>
      <c r="L519" s="34">
        <v>508110</v>
      </c>
      <c r="M519" s="34">
        <v>478110</v>
      </c>
      <c r="N519" s="34">
        <v>448110</v>
      </c>
    </row>
    <row r="520" spans="1:14">
      <c r="A520" s="34">
        <v>7400</v>
      </c>
      <c r="B520" s="34">
        <v>7420</v>
      </c>
      <c r="C520" s="34">
        <f t="shared" si="8"/>
        <v>7400000</v>
      </c>
      <c r="D520" s="34">
        <v>873930</v>
      </c>
      <c r="E520" s="34">
        <v>825040</v>
      </c>
      <c r="F520" s="34">
        <v>692340</v>
      </c>
      <c r="G520" s="34">
        <v>662340</v>
      </c>
      <c r="H520" s="34">
        <v>632340</v>
      </c>
      <c r="I520" s="34">
        <v>602340</v>
      </c>
      <c r="J520" s="34">
        <v>572340</v>
      </c>
      <c r="K520" s="34">
        <v>542340</v>
      </c>
      <c r="L520" s="34">
        <v>512340</v>
      </c>
      <c r="M520" s="34">
        <v>482340</v>
      </c>
      <c r="N520" s="34">
        <v>452340</v>
      </c>
    </row>
    <row r="521" spans="1:14">
      <c r="A521" s="34">
        <v>7420</v>
      </c>
      <c r="B521" s="34">
        <v>7440</v>
      </c>
      <c r="C521" s="34">
        <f t="shared" si="8"/>
        <v>7420000</v>
      </c>
      <c r="D521" s="34">
        <v>878470</v>
      </c>
      <c r="E521" s="34">
        <v>829550</v>
      </c>
      <c r="F521" s="34">
        <v>696560</v>
      </c>
      <c r="G521" s="34">
        <v>666560</v>
      </c>
      <c r="H521" s="34">
        <v>636560</v>
      </c>
      <c r="I521" s="34">
        <v>606560</v>
      </c>
      <c r="J521" s="34">
        <v>576560</v>
      </c>
      <c r="K521" s="34">
        <v>546560</v>
      </c>
      <c r="L521" s="34">
        <v>516560</v>
      </c>
      <c r="M521" s="34">
        <v>486560</v>
      </c>
      <c r="N521" s="34">
        <v>456560</v>
      </c>
    </row>
    <row r="522" spans="1:14">
      <c r="A522" s="34">
        <v>7440</v>
      </c>
      <c r="B522" s="34">
        <v>7460</v>
      </c>
      <c r="C522" s="34">
        <f t="shared" si="8"/>
        <v>7440000</v>
      </c>
      <c r="D522" s="34">
        <v>883000</v>
      </c>
      <c r="E522" s="34">
        <v>834060</v>
      </c>
      <c r="F522" s="34">
        <v>700780</v>
      </c>
      <c r="G522" s="34">
        <v>670780</v>
      </c>
      <c r="H522" s="34">
        <v>640780</v>
      </c>
      <c r="I522" s="34">
        <v>610780</v>
      </c>
      <c r="J522" s="34">
        <v>580780</v>
      </c>
      <c r="K522" s="34">
        <v>550780</v>
      </c>
      <c r="L522" s="34">
        <v>520780</v>
      </c>
      <c r="M522" s="34">
        <v>490780</v>
      </c>
      <c r="N522" s="34">
        <v>460780</v>
      </c>
    </row>
    <row r="523" spans="1:14">
      <c r="A523" s="34">
        <v>7460</v>
      </c>
      <c r="B523" s="34">
        <v>7480</v>
      </c>
      <c r="C523" s="34">
        <f t="shared" si="8"/>
        <v>7460000</v>
      </c>
      <c r="D523" s="34">
        <v>887540</v>
      </c>
      <c r="E523" s="34">
        <v>838580</v>
      </c>
      <c r="F523" s="34">
        <v>705010</v>
      </c>
      <c r="G523" s="34">
        <v>675010</v>
      </c>
      <c r="H523" s="34">
        <v>645010</v>
      </c>
      <c r="I523" s="34">
        <v>615010</v>
      </c>
      <c r="J523" s="34">
        <v>585010</v>
      </c>
      <c r="K523" s="34">
        <v>555010</v>
      </c>
      <c r="L523" s="34">
        <v>525010</v>
      </c>
      <c r="M523" s="34">
        <v>495010</v>
      </c>
      <c r="N523" s="34">
        <v>465010</v>
      </c>
    </row>
    <row r="524" spans="1:14">
      <c r="A524" s="34">
        <v>7480</v>
      </c>
      <c r="B524" s="34">
        <v>7500</v>
      </c>
      <c r="C524" s="34">
        <f t="shared" si="8"/>
        <v>7480000</v>
      </c>
      <c r="D524" s="34">
        <v>892080</v>
      </c>
      <c r="E524" s="34">
        <v>843090</v>
      </c>
      <c r="F524" s="34">
        <v>709230</v>
      </c>
      <c r="G524" s="34">
        <v>679230</v>
      </c>
      <c r="H524" s="34">
        <v>649230</v>
      </c>
      <c r="I524" s="34">
        <v>619230</v>
      </c>
      <c r="J524" s="34">
        <v>589230</v>
      </c>
      <c r="K524" s="34">
        <v>559230</v>
      </c>
      <c r="L524" s="34">
        <v>529230</v>
      </c>
      <c r="M524" s="34">
        <v>499230</v>
      </c>
      <c r="N524" s="34">
        <v>469230</v>
      </c>
    </row>
    <row r="525" spans="1:14">
      <c r="A525" s="34">
        <v>7500</v>
      </c>
      <c r="B525" s="34">
        <v>7520</v>
      </c>
      <c r="C525" s="34">
        <f t="shared" si="8"/>
        <v>7500000</v>
      </c>
      <c r="D525" s="34">
        <v>896610</v>
      </c>
      <c r="E525" s="34">
        <v>847600</v>
      </c>
      <c r="F525" s="34">
        <v>713460</v>
      </c>
      <c r="G525" s="34">
        <v>683460</v>
      </c>
      <c r="H525" s="34">
        <v>653460</v>
      </c>
      <c r="I525" s="34">
        <v>623460</v>
      </c>
      <c r="J525" s="34">
        <v>593460</v>
      </c>
      <c r="K525" s="34">
        <v>563460</v>
      </c>
      <c r="L525" s="34">
        <v>533460</v>
      </c>
      <c r="M525" s="34">
        <v>503460</v>
      </c>
      <c r="N525" s="34">
        <v>473460</v>
      </c>
    </row>
    <row r="526" spans="1:14">
      <c r="A526" s="34">
        <v>7520</v>
      </c>
      <c r="B526" s="34">
        <v>7540</v>
      </c>
      <c r="C526" s="34">
        <f t="shared" si="8"/>
        <v>7520000</v>
      </c>
      <c r="D526" s="34">
        <v>901150</v>
      </c>
      <c r="E526" s="34">
        <v>852110</v>
      </c>
      <c r="F526" s="34">
        <v>717680</v>
      </c>
      <c r="G526" s="34">
        <v>687680</v>
      </c>
      <c r="H526" s="34">
        <v>657680</v>
      </c>
      <c r="I526" s="34">
        <v>627680</v>
      </c>
      <c r="J526" s="34">
        <v>597680</v>
      </c>
      <c r="K526" s="34">
        <v>567680</v>
      </c>
      <c r="L526" s="34">
        <v>537680</v>
      </c>
      <c r="M526" s="34">
        <v>507680</v>
      </c>
      <c r="N526" s="34">
        <v>477680</v>
      </c>
    </row>
    <row r="527" spans="1:14">
      <c r="A527" s="34">
        <v>7540</v>
      </c>
      <c r="B527" s="34">
        <v>7560</v>
      </c>
      <c r="C527" s="34">
        <f t="shared" si="8"/>
        <v>7540000</v>
      </c>
      <c r="D527" s="34">
        <v>905680</v>
      </c>
      <c r="E527" s="34">
        <v>856620</v>
      </c>
      <c r="F527" s="34">
        <v>721900</v>
      </c>
      <c r="G527" s="34">
        <v>691900</v>
      </c>
      <c r="H527" s="34">
        <v>661900</v>
      </c>
      <c r="I527" s="34">
        <v>631900</v>
      </c>
      <c r="J527" s="34">
        <v>601900</v>
      </c>
      <c r="K527" s="34">
        <v>571900</v>
      </c>
      <c r="L527" s="34">
        <v>541900</v>
      </c>
      <c r="M527" s="34">
        <v>511900</v>
      </c>
      <c r="N527" s="34">
        <v>481900</v>
      </c>
    </row>
    <row r="528" spans="1:14">
      <c r="A528" s="34">
        <v>7560</v>
      </c>
      <c r="B528" s="34">
        <v>7580</v>
      </c>
      <c r="C528" s="34">
        <f t="shared" si="8"/>
        <v>7560000</v>
      </c>
      <c r="D528" s="34">
        <v>910220</v>
      </c>
      <c r="E528" s="34">
        <v>861140</v>
      </c>
      <c r="F528" s="34">
        <v>726130</v>
      </c>
      <c r="G528" s="34">
        <v>696130</v>
      </c>
      <c r="H528" s="34">
        <v>666130</v>
      </c>
      <c r="I528" s="34">
        <v>636130</v>
      </c>
      <c r="J528" s="34">
        <v>606130</v>
      </c>
      <c r="K528" s="34">
        <v>576130</v>
      </c>
      <c r="L528" s="34">
        <v>546130</v>
      </c>
      <c r="M528" s="34">
        <v>516130</v>
      </c>
      <c r="N528" s="34">
        <v>486130</v>
      </c>
    </row>
    <row r="529" spans="1:14">
      <c r="A529" s="34">
        <v>7580</v>
      </c>
      <c r="B529" s="34">
        <v>7600</v>
      </c>
      <c r="C529" s="34">
        <f t="shared" si="8"/>
        <v>7580000</v>
      </c>
      <c r="D529" s="34">
        <v>914760</v>
      </c>
      <c r="E529" s="34">
        <v>865650</v>
      </c>
      <c r="F529" s="34">
        <v>730350</v>
      </c>
      <c r="G529" s="34">
        <v>700350</v>
      </c>
      <c r="H529" s="34">
        <v>670350</v>
      </c>
      <c r="I529" s="34">
        <v>640350</v>
      </c>
      <c r="J529" s="34">
        <v>610350</v>
      </c>
      <c r="K529" s="34">
        <v>580350</v>
      </c>
      <c r="L529" s="34">
        <v>550350</v>
      </c>
      <c r="M529" s="34">
        <v>520350</v>
      </c>
      <c r="N529" s="34">
        <v>490350</v>
      </c>
    </row>
    <row r="530" spans="1:14">
      <c r="A530" s="34">
        <v>7600</v>
      </c>
      <c r="B530" s="34">
        <v>7620</v>
      </c>
      <c r="C530" s="34">
        <f t="shared" si="8"/>
        <v>7600000</v>
      </c>
      <c r="D530" s="34">
        <v>919290</v>
      </c>
      <c r="E530" s="34">
        <v>870160</v>
      </c>
      <c r="F530" s="34">
        <v>734580</v>
      </c>
      <c r="G530" s="34">
        <v>704580</v>
      </c>
      <c r="H530" s="34">
        <v>674580</v>
      </c>
      <c r="I530" s="34">
        <v>644580</v>
      </c>
      <c r="J530" s="34">
        <v>614580</v>
      </c>
      <c r="K530" s="34">
        <v>584580</v>
      </c>
      <c r="L530" s="34">
        <v>554580</v>
      </c>
      <c r="M530" s="34">
        <v>524580</v>
      </c>
      <c r="N530" s="34">
        <v>494580</v>
      </c>
    </row>
    <row r="531" spans="1:14">
      <c r="A531" s="34">
        <v>7620</v>
      </c>
      <c r="B531" s="34">
        <v>7640</v>
      </c>
      <c r="C531" s="34">
        <f t="shared" si="8"/>
        <v>7620000</v>
      </c>
      <c r="D531" s="34">
        <v>923830</v>
      </c>
      <c r="E531" s="34">
        <v>874670</v>
      </c>
      <c r="F531" s="34">
        <v>738800</v>
      </c>
      <c r="G531" s="34">
        <v>708800</v>
      </c>
      <c r="H531" s="34">
        <v>678800</v>
      </c>
      <c r="I531" s="34">
        <v>648800</v>
      </c>
      <c r="J531" s="34">
        <v>618800</v>
      </c>
      <c r="K531" s="34">
        <v>588800</v>
      </c>
      <c r="L531" s="34">
        <v>558800</v>
      </c>
      <c r="M531" s="34">
        <v>528800</v>
      </c>
      <c r="N531" s="34">
        <v>498800</v>
      </c>
    </row>
    <row r="532" spans="1:14">
      <c r="A532" s="34">
        <v>7640</v>
      </c>
      <c r="B532" s="34">
        <v>7660</v>
      </c>
      <c r="C532" s="34">
        <f t="shared" si="8"/>
        <v>7640000</v>
      </c>
      <c r="D532" s="34">
        <v>928360</v>
      </c>
      <c r="E532" s="34">
        <v>879180</v>
      </c>
      <c r="F532" s="34">
        <v>743020</v>
      </c>
      <c r="G532" s="34">
        <v>713020</v>
      </c>
      <c r="H532" s="34">
        <v>683020</v>
      </c>
      <c r="I532" s="34">
        <v>653020</v>
      </c>
      <c r="J532" s="34">
        <v>623020</v>
      </c>
      <c r="K532" s="34">
        <v>593020</v>
      </c>
      <c r="L532" s="34">
        <v>563020</v>
      </c>
      <c r="M532" s="34">
        <v>533020</v>
      </c>
      <c r="N532" s="34">
        <v>503020</v>
      </c>
    </row>
    <row r="533" spans="1:14">
      <c r="A533" s="34">
        <v>7660</v>
      </c>
      <c r="B533" s="34">
        <v>7680</v>
      </c>
      <c r="C533" s="34">
        <f t="shared" si="8"/>
        <v>7660000</v>
      </c>
      <c r="D533" s="34">
        <v>932900</v>
      </c>
      <c r="E533" s="34">
        <v>883700</v>
      </c>
      <c r="F533" s="34">
        <v>747250</v>
      </c>
      <c r="G533" s="34">
        <v>717250</v>
      </c>
      <c r="H533" s="34">
        <v>687250</v>
      </c>
      <c r="I533" s="34">
        <v>657250</v>
      </c>
      <c r="J533" s="34">
        <v>627250</v>
      </c>
      <c r="K533" s="34">
        <v>597250</v>
      </c>
      <c r="L533" s="34">
        <v>567250</v>
      </c>
      <c r="M533" s="34">
        <v>537250</v>
      </c>
      <c r="N533" s="34">
        <v>507250</v>
      </c>
    </row>
    <row r="534" spans="1:14">
      <c r="A534" s="34">
        <v>7680</v>
      </c>
      <c r="B534" s="34">
        <v>7700</v>
      </c>
      <c r="C534" s="34">
        <f t="shared" si="8"/>
        <v>7680000</v>
      </c>
      <c r="D534" s="34">
        <v>937440</v>
      </c>
      <c r="E534" s="34">
        <v>888210</v>
      </c>
      <c r="F534" s="34">
        <v>751470</v>
      </c>
      <c r="G534" s="34">
        <v>721470</v>
      </c>
      <c r="H534" s="34">
        <v>691470</v>
      </c>
      <c r="I534" s="34">
        <v>661470</v>
      </c>
      <c r="J534" s="34">
        <v>631470</v>
      </c>
      <c r="K534" s="34">
        <v>601470</v>
      </c>
      <c r="L534" s="34">
        <v>571470</v>
      </c>
      <c r="M534" s="34">
        <v>541470</v>
      </c>
      <c r="N534" s="34">
        <v>511470</v>
      </c>
    </row>
    <row r="535" spans="1:14">
      <c r="A535" s="34">
        <v>7700</v>
      </c>
      <c r="B535" s="34">
        <v>7720</v>
      </c>
      <c r="C535" s="34">
        <f t="shared" si="8"/>
        <v>7700000</v>
      </c>
      <c r="D535" s="34">
        <v>941970</v>
      </c>
      <c r="E535" s="34">
        <v>892720</v>
      </c>
      <c r="F535" s="34">
        <v>755700</v>
      </c>
      <c r="G535" s="34">
        <v>725700</v>
      </c>
      <c r="H535" s="34">
        <v>695700</v>
      </c>
      <c r="I535" s="34">
        <v>665700</v>
      </c>
      <c r="J535" s="34">
        <v>635700</v>
      </c>
      <c r="K535" s="34">
        <v>605700</v>
      </c>
      <c r="L535" s="34">
        <v>575700</v>
      </c>
      <c r="M535" s="34">
        <v>545700</v>
      </c>
      <c r="N535" s="34">
        <v>515700</v>
      </c>
    </row>
    <row r="536" spans="1:14">
      <c r="A536" s="34">
        <v>7720</v>
      </c>
      <c r="B536" s="34">
        <v>7740</v>
      </c>
      <c r="C536" s="34">
        <f t="shared" si="8"/>
        <v>7720000</v>
      </c>
      <c r="D536" s="34">
        <v>946510</v>
      </c>
      <c r="E536" s="34">
        <v>897230</v>
      </c>
      <c r="F536" s="34">
        <v>759920</v>
      </c>
      <c r="G536" s="34">
        <v>729920</v>
      </c>
      <c r="H536" s="34">
        <v>699920</v>
      </c>
      <c r="I536" s="34">
        <v>669920</v>
      </c>
      <c r="J536" s="34">
        <v>639920</v>
      </c>
      <c r="K536" s="34">
        <v>609920</v>
      </c>
      <c r="L536" s="34">
        <v>579920</v>
      </c>
      <c r="M536" s="34">
        <v>549920</v>
      </c>
      <c r="N536" s="34">
        <v>519920</v>
      </c>
    </row>
    <row r="537" spans="1:14">
      <c r="A537" s="34">
        <v>7740</v>
      </c>
      <c r="B537" s="34">
        <v>7760</v>
      </c>
      <c r="C537" s="34">
        <f t="shared" si="8"/>
        <v>7740000</v>
      </c>
      <c r="D537" s="34">
        <v>951040</v>
      </c>
      <c r="E537" s="34">
        <v>901740</v>
      </c>
      <c r="F537" s="34">
        <v>764140</v>
      </c>
      <c r="G537" s="34">
        <v>734140</v>
      </c>
      <c r="H537" s="34">
        <v>704140</v>
      </c>
      <c r="I537" s="34">
        <v>674140</v>
      </c>
      <c r="J537" s="34">
        <v>644140</v>
      </c>
      <c r="K537" s="34">
        <v>614140</v>
      </c>
      <c r="L537" s="34">
        <v>584140</v>
      </c>
      <c r="M537" s="34">
        <v>554140</v>
      </c>
      <c r="N537" s="34">
        <v>524140</v>
      </c>
    </row>
    <row r="538" spans="1:14">
      <c r="A538" s="34">
        <v>7760</v>
      </c>
      <c r="B538" s="34">
        <v>7780</v>
      </c>
      <c r="C538" s="34">
        <f t="shared" si="8"/>
        <v>7760000</v>
      </c>
      <c r="D538" s="34">
        <v>955580</v>
      </c>
      <c r="E538" s="34">
        <v>906260</v>
      </c>
      <c r="F538" s="34">
        <v>768370</v>
      </c>
      <c r="G538" s="34">
        <v>738370</v>
      </c>
      <c r="H538" s="34">
        <v>708370</v>
      </c>
      <c r="I538" s="34">
        <v>678370</v>
      </c>
      <c r="J538" s="34">
        <v>648370</v>
      </c>
      <c r="K538" s="34">
        <v>618370</v>
      </c>
      <c r="L538" s="34">
        <v>588370</v>
      </c>
      <c r="M538" s="34">
        <v>558370</v>
      </c>
      <c r="N538" s="34">
        <v>528370</v>
      </c>
    </row>
    <row r="539" spans="1:14">
      <c r="A539" s="34">
        <v>7780</v>
      </c>
      <c r="B539" s="34">
        <v>7800</v>
      </c>
      <c r="C539" s="34">
        <f t="shared" si="8"/>
        <v>7780000</v>
      </c>
      <c r="D539" s="34">
        <v>960120</v>
      </c>
      <c r="E539" s="34">
        <v>910770</v>
      </c>
      <c r="F539" s="34">
        <v>772590</v>
      </c>
      <c r="G539" s="34">
        <v>742590</v>
      </c>
      <c r="H539" s="34">
        <v>712590</v>
      </c>
      <c r="I539" s="34">
        <v>682590</v>
      </c>
      <c r="J539" s="34">
        <v>652590</v>
      </c>
      <c r="K539" s="34">
        <v>622590</v>
      </c>
      <c r="L539" s="34">
        <v>592590</v>
      </c>
      <c r="M539" s="34">
        <v>562590</v>
      </c>
      <c r="N539" s="34">
        <v>532590</v>
      </c>
    </row>
    <row r="540" spans="1:14">
      <c r="A540" s="34">
        <v>7800</v>
      </c>
      <c r="B540" s="34">
        <v>7820</v>
      </c>
      <c r="C540" s="34">
        <f t="shared" si="8"/>
        <v>7800000</v>
      </c>
      <c r="D540" s="34">
        <v>964650</v>
      </c>
      <c r="E540" s="34">
        <v>915280</v>
      </c>
      <c r="F540" s="34">
        <v>776820</v>
      </c>
      <c r="G540" s="34">
        <v>746820</v>
      </c>
      <c r="H540" s="34">
        <v>716820</v>
      </c>
      <c r="I540" s="34">
        <v>686820</v>
      </c>
      <c r="J540" s="34">
        <v>656820</v>
      </c>
      <c r="K540" s="34">
        <v>626820</v>
      </c>
      <c r="L540" s="34">
        <v>596820</v>
      </c>
      <c r="M540" s="34">
        <v>566820</v>
      </c>
      <c r="N540" s="34">
        <v>536820</v>
      </c>
    </row>
    <row r="541" spans="1:14">
      <c r="A541" s="34">
        <v>7820</v>
      </c>
      <c r="B541" s="34">
        <v>7840</v>
      </c>
      <c r="C541" s="34">
        <f t="shared" si="8"/>
        <v>7820000</v>
      </c>
      <c r="D541" s="34">
        <v>969190</v>
      </c>
      <c r="E541" s="34">
        <v>919790</v>
      </c>
      <c r="F541" s="34">
        <v>781040</v>
      </c>
      <c r="G541" s="34">
        <v>751040</v>
      </c>
      <c r="H541" s="34">
        <v>721040</v>
      </c>
      <c r="I541" s="34">
        <v>691040</v>
      </c>
      <c r="J541" s="34">
        <v>661040</v>
      </c>
      <c r="K541" s="34">
        <v>631040</v>
      </c>
      <c r="L541" s="34">
        <v>601040</v>
      </c>
      <c r="M541" s="34">
        <v>571040</v>
      </c>
      <c r="N541" s="34">
        <v>541040</v>
      </c>
    </row>
    <row r="542" spans="1:14">
      <c r="A542" s="34">
        <v>7840</v>
      </c>
      <c r="B542" s="34">
        <v>7860</v>
      </c>
      <c r="C542" s="34">
        <f t="shared" si="8"/>
        <v>7840000</v>
      </c>
      <c r="D542" s="34">
        <v>973720</v>
      </c>
      <c r="E542" s="34">
        <v>924300</v>
      </c>
      <c r="F542" s="34">
        <v>785260</v>
      </c>
      <c r="G542" s="34">
        <v>755260</v>
      </c>
      <c r="H542" s="34">
        <v>725260</v>
      </c>
      <c r="I542" s="34">
        <v>695260</v>
      </c>
      <c r="J542" s="34">
        <v>665260</v>
      </c>
      <c r="K542" s="34">
        <v>635260</v>
      </c>
      <c r="L542" s="34">
        <v>605260</v>
      </c>
      <c r="M542" s="34">
        <v>575260</v>
      </c>
      <c r="N542" s="34">
        <v>545260</v>
      </c>
    </row>
    <row r="543" spans="1:14">
      <c r="A543" s="34">
        <v>7860</v>
      </c>
      <c r="B543" s="34">
        <v>7880</v>
      </c>
      <c r="C543" s="34">
        <f t="shared" si="8"/>
        <v>7860000</v>
      </c>
      <c r="D543" s="34">
        <v>978260</v>
      </c>
      <c r="E543" s="34">
        <v>928820</v>
      </c>
      <c r="F543" s="34">
        <v>789490</v>
      </c>
      <c r="G543" s="34">
        <v>759490</v>
      </c>
      <c r="H543" s="34">
        <v>729490</v>
      </c>
      <c r="I543" s="34">
        <v>699490</v>
      </c>
      <c r="J543" s="34">
        <v>669490</v>
      </c>
      <c r="K543" s="34">
        <v>639490</v>
      </c>
      <c r="L543" s="34">
        <v>609490</v>
      </c>
      <c r="M543" s="34">
        <v>579490</v>
      </c>
      <c r="N543" s="34">
        <v>549490</v>
      </c>
    </row>
    <row r="544" spans="1:14">
      <c r="A544" s="34">
        <v>7880</v>
      </c>
      <c r="B544" s="34">
        <v>7900</v>
      </c>
      <c r="C544" s="34">
        <f t="shared" si="8"/>
        <v>7880000</v>
      </c>
      <c r="D544" s="34">
        <v>982800</v>
      </c>
      <c r="E544" s="34">
        <v>933330</v>
      </c>
      <c r="F544" s="34">
        <v>793710</v>
      </c>
      <c r="G544" s="34">
        <v>763710</v>
      </c>
      <c r="H544" s="34">
        <v>733710</v>
      </c>
      <c r="I544" s="34">
        <v>703710</v>
      </c>
      <c r="J544" s="34">
        <v>673710</v>
      </c>
      <c r="K544" s="34">
        <v>643710</v>
      </c>
      <c r="L544" s="34">
        <v>613710</v>
      </c>
      <c r="M544" s="34">
        <v>583710</v>
      </c>
      <c r="N544" s="34">
        <v>553710</v>
      </c>
    </row>
    <row r="545" spans="1:14">
      <c r="A545" s="34">
        <v>7900</v>
      </c>
      <c r="B545" s="34">
        <v>7920</v>
      </c>
      <c r="C545" s="34">
        <f t="shared" si="8"/>
        <v>7900000</v>
      </c>
      <c r="D545" s="34">
        <v>987330</v>
      </c>
      <c r="E545" s="34">
        <v>937840</v>
      </c>
      <c r="F545" s="34">
        <v>797940</v>
      </c>
      <c r="G545" s="34">
        <v>767940</v>
      </c>
      <c r="H545" s="34">
        <v>737940</v>
      </c>
      <c r="I545" s="34">
        <v>707940</v>
      </c>
      <c r="J545" s="34">
        <v>677940</v>
      </c>
      <c r="K545" s="34">
        <v>647940</v>
      </c>
      <c r="L545" s="34">
        <v>617940</v>
      </c>
      <c r="M545" s="34">
        <v>587940</v>
      </c>
      <c r="N545" s="34">
        <v>557940</v>
      </c>
    </row>
    <row r="546" spans="1:14">
      <c r="A546" s="34">
        <v>7920</v>
      </c>
      <c r="B546" s="34">
        <v>7940</v>
      </c>
      <c r="C546" s="34">
        <f t="shared" si="8"/>
        <v>7920000</v>
      </c>
      <c r="D546" s="34">
        <v>991870</v>
      </c>
      <c r="E546" s="34">
        <v>942350</v>
      </c>
      <c r="F546" s="34">
        <v>802160</v>
      </c>
      <c r="G546" s="34">
        <v>772160</v>
      </c>
      <c r="H546" s="34">
        <v>742160</v>
      </c>
      <c r="I546" s="34">
        <v>712160</v>
      </c>
      <c r="J546" s="34">
        <v>682160</v>
      </c>
      <c r="K546" s="34">
        <v>652160</v>
      </c>
      <c r="L546" s="34">
        <v>622160</v>
      </c>
      <c r="M546" s="34">
        <v>592160</v>
      </c>
      <c r="N546" s="34">
        <v>562160</v>
      </c>
    </row>
    <row r="547" spans="1:14">
      <c r="A547" s="34">
        <v>7940</v>
      </c>
      <c r="B547" s="34">
        <v>7960</v>
      </c>
      <c r="C547" s="34">
        <f t="shared" si="8"/>
        <v>7940000</v>
      </c>
      <c r="D547" s="34">
        <v>996400</v>
      </c>
      <c r="E547" s="34">
        <v>946860</v>
      </c>
      <c r="F547" s="34">
        <v>806380</v>
      </c>
      <c r="G547" s="34">
        <v>776380</v>
      </c>
      <c r="H547" s="34">
        <v>746380</v>
      </c>
      <c r="I547" s="34">
        <v>716380</v>
      </c>
      <c r="J547" s="34">
        <v>686380</v>
      </c>
      <c r="K547" s="34">
        <v>656380</v>
      </c>
      <c r="L547" s="34">
        <v>626380</v>
      </c>
      <c r="M547" s="34">
        <v>596380</v>
      </c>
      <c r="N547" s="34">
        <v>566380</v>
      </c>
    </row>
    <row r="548" spans="1:14">
      <c r="A548" s="34">
        <v>7960</v>
      </c>
      <c r="B548" s="34">
        <v>7980</v>
      </c>
      <c r="C548" s="34">
        <f t="shared" si="8"/>
        <v>7960000</v>
      </c>
      <c r="D548" s="34">
        <v>1000940</v>
      </c>
      <c r="E548" s="34">
        <v>951380</v>
      </c>
      <c r="F548" s="34">
        <v>810610</v>
      </c>
      <c r="G548" s="34">
        <v>780610</v>
      </c>
      <c r="H548" s="34">
        <v>750610</v>
      </c>
      <c r="I548" s="34">
        <v>720610</v>
      </c>
      <c r="J548" s="34">
        <v>690610</v>
      </c>
      <c r="K548" s="34">
        <v>660610</v>
      </c>
      <c r="L548" s="34">
        <v>630610</v>
      </c>
      <c r="M548" s="34">
        <v>600610</v>
      </c>
      <c r="N548" s="34">
        <v>570610</v>
      </c>
    </row>
    <row r="549" spans="1:14">
      <c r="A549" s="34">
        <v>7980</v>
      </c>
      <c r="B549" s="34">
        <v>8000</v>
      </c>
      <c r="C549" s="34">
        <f t="shared" si="8"/>
        <v>7980000</v>
      </c>
      <c r="D549" s="34">
        <v>1005480</v>
      </c>
      <c r="E549" s="34">
        <v>955890</v>
      </c>
      <c r="F549" s="34">
        <v>814830</v>
      </c>
      <c r="G549" s="34">
        <v>784830</v>
      </c>
      <c r="H549" s="34">
        <v>754830</v>
      </c>
      <c r="I549" s="34">
        <v>724830</v>
      </c>
      <c r="J549" s="34">
        <v>694830</v>
      </c>
      <c r="K549" s="34">
        <v>664830</v>
      </c>
      <c r="L549" s="34">
        <v>634830</v>
      </c>
      <c r="M549" s="34">
        <v>604830</v>
      </c>
      <c r="N549" s="34">
        <v>574830</v>
      </c>
    </row>
    <row r="550" spans="1:14">
      <c r="A550" s="34">
        <v>8000</v>
      </c>
      <c r="B550" s="34">
        <v>8020</v>
      </c>
      <c r="C550" s="34">
        <f t="shared" si="8"/>
        <v>8000000</v>
      </c>
      <c r="D550" s="34">
        <v>1010010</v>
      </c>
      <c r="E550" s="34">
        <v>960400</v>
      </c>
      <c r="F550" s="34">
        <v>819060</v>
      </c>
      <c r="G550" s="34">
        <v>789060</v>
      </c>
      <c r="H550" s="34">
        <v>759060</v>
      </c>
      <c r="I550" s="34">
        <v>729060</v>
      </c>
      <c r="J550" s="34">
        <v>699060</v>
      </c>
      <c r="K550" s="34">
        <v>669060</v>
      </c>
      <c r="L550" s="34">
        <v>639060</v>
      </c>
      <c r="M550" s="34">
        <v>609060</v>
      </c>
      <c r="N550" s="34">
        <v>579060</v>
      </c>
    </row>
    <row r="551" spans="1:14">
      <c r="A551" s="34">
        <v>8020</v>
      </c>
      <c r="B551" s="34">
        <v>8040</v>
      </c>
      <c r="C551" s="34">
        <f t="shared" si="8"/>
        <v>8020000</v>
      </c>
      <c r="D551" s="34">
        <v>1014550</v>
      </c>
      <c r="E551" s="34">
        <v>964910</v>
      </c>
      <c r="F551" s="34">
        <v>823280</v>
      </c>
      <c r="G551" s="34">
        <v>793280</v>
      </c>
      <c r="H551" s="34">
        <v>763280</v>
      </c>
      <c r="I551" s="34">
        <v>733280</v>
      </c>
      <c r="J551" s="34">
        <v>703280</v>
      </c>
      <c r="K551" s="34">
        <v>673280</v>
      </c>
      <c r="L551" s="34">
        <v>643280</v>
      </c>
      <c r="M551" s="34">
        <v>613280</v>
      </c>
      <c r="N551" s="34">
        <v>583280</v>
      </c>
    </row>
    <row r="552" spans="1:14">
      <c r="A552" s="34">
        <v>8040</v>
      </c>
      <c r="B552" s="34">
        <v>8060</v>
      </c>
      <c r="C552" s="34">
        <f t="shared" si="8"/>
        <v>8040000</v>
      </c>
      <c r="D552" s="34">
        <v>1019080</v>
      </c>
      <c r="E552" s="34">
        <v>969420</v>
      </c>
      <c r="F552" s="34">
        <v>827500</v>
      </c>
      <c r="G552" s="34">
        <v>797500</v>
      </c>
      <c r="H552" s="34">
        <v>767500</v>
      </c>
      <c r="I552" s="34">
        <v>737500</v>
      </c>
      <c r="J552" s="34">
        <v>707500</v>
      </c>
      <c r="K552" s="34">
        <v>677500</v>
      </c>
      <c r="L552" s="34">
        <v>647500</v>
      </c>
      <c r="M552" s="34">
        <v>617500</v>
      </c>
      <c r="N552" s="34">
        <v>587500</v>
      </c>
    </row>
    <row r="553" spans="1:14">
      <c r="A553" s="34">
        <v>8060</v>
      </c>
      <c r="B553" s="34">
        <v>8080</v>
      </c>
      <c r="C553" s="34">
        <f t="shared" si="8"/>
        <v>8060000</v>
      </c>
      <c r="D553" s="34">
        <v>1023620</v>
      </c>
      <c r="E553" s="34">
        <v>973940</v>
      </c>
      <c r="F553" s="34">
        <v>831730</v>
      </c>
      <c r="G553" s="34">
        <v>801730</v>
      </c>
      <c r="H553" s="34">
        <v>771730</v>
      </c>
      <c r="I553" s="34">
        <v>741730</v>
      </c>
      <c r="J553" s="34">
        <v>711730</v>
      </c>
      <c r="K553" s="34">
        <v>681730</v>
      </c>
      <c r="L553" s="34">
        <v>651730</v>
      </c>
      <c r="M553" s="34">
        <v>621730</v>
      </c>
      <c r="N553" s="34">
        <v>591730</v>
      </c>
    </row>
    <row r="554" spans="1:14">
      <c r="A554" s="34">
        <v>8080</v>
      </c>
      <c r="B554" s="34">
        <v>8100</v>
      </c>
      <c r="C554" s="34">
        <f t="shared" si="8"/>
        <v>8080000</v>
      </c>
      <c r="D554" s="34">
        <v>1028160</v>
      </c>
      <c r="E554" s="34">
        <v>978450</v>
      </c>
      <c r="F554" s="34">
        <v>835950</v>
      </c>
      <c r="G554" s="34">
        <v>805950</v>
      </c>
      <c r="H554" s="34">
        <v>775950</v>
      </c>
      <c r="I554" s="34">
        <v>745950</v>
      </c>
      <c r="J554" s="34">
        <v>715950</v>
      </c>
      <c r="K554" s="34">
        <v>685950</v>
      </c>
      <c r="L554" s="34">
        <v>655950</v>
      </c>
      <c r="M554" s="34">
        <v>625950</v>
      </c>
      <c r="N554" s="34">
        <v>595950</v>
      </c>
    </row>
    <row r="555" spans="1:14">
      <c r="A555" s="34">
        <v>8100</v>
      </c>
      <c r="B555" s="34">
        <v>8120</v>
      </c>
      <c r="C555" s="34">
        <f t="shared" si="8"/>
        <v>8100000</v>
      </c>
      <c r="D555" s="34">
        <v>1032690</v>
      </c>
      <c r="E555" s="34">
        <v>982960</v>
      </c>
      <c r="F555" s="34">
        <v>840180</v>
      </c>
      <c r="G555" s="34">
        <v>810180</v>
      </c>
      <c r="H555" s="34">
        <v>780180</v>
      </c>
      <c r="I555" s="34">
        <v>750180</v>
      </c>
      <c r="J555" s="34">
        <v>720180</v>
      </c>
      <c r="K555" s="34">
        <v>690180</v>
      </c>
      <c r="L555" s="34">
        <v>660180</v>
      </c>
      <c r="M555" s="34">
        <v>630180</v>
      </c>
      <c r="N555" s="34">
        <v>600180</v>
      </c>
    </row>
    <row r="556" spans="1:14">
      <c r="A556" s="34">
        <v>8120</v>
      </c>
      <c r="B556" s="34">
        <v>8140</v>
      </c>
      <c r="C556" s="34">
        <f t="shared" si="8"/>
        <v>8120000</v>
      </c>
      <c r="D556" s="34">
        <v>1037230</v>
      </c>
      <c r="E556" s="34">
        <v>987470</v>
      </c>
      <c r="F556" s="34">
        <v>844400</v>
      </c>
      <c r="G556" s="34">
        <v>814400</v>
      </c>
      <c r="H556" s="34">
        <v>784400</v>
      </c>
      <c r="I556" s="34">
        <v>754400</v>
      </c>
      <c r="J556" s="34">
        <v>724400</v>
      </c>
      <c r="K556" s="34">
        <v>694400</v>
      </c>
      <c r="L556" s="34">
        <v>664400</v>
      </c>
      <c r="M556" s="34">
        <v>634400</v>
      </c>
      <c r="N556" s="34">
        <v>604400</v>
      </c>
    </row>
    <row r="557" spans="1:14">
      <c r="A557" s="34">
        <v>8140</v>
      </c>
      <c r="B557" s="34">
        <v>8160</v>
      </c>
      <c r="C557" s="34">
        <f t="shared" si="8"/>
        <v>8140000</v>
      </c>
      <c r="D557" s="34">
        <v>1041760</v>
      </c>
      <c r="E557" s="34">
        <v>991980</v>
      </c>
      <c r="F557" s="34">
        <v>848620</v>
      </c>
      <c r="G557" s="34">
        <v>818620</v>
      </c>
      <c r="H557" s="34">
        <v>788620</v>
      </c>
      <c r="I557" s="34">
        <v>758620</v>
      </c>
      <c r="J557" s="34">
        <v>728620</v>
      </c>
      <c r="K557" s="34">
        <v>698620</v>
      </c>
      <c r="L557" s="34">
        <v>668620</v>
      </c>
      <c r="M557" s="34">
        <v>638620</v>
      </c>
      <c r="N557" s="34">
        <v>608620</v>
      </c>
    </row>
    <row r="558" spans="1:14">
      <c r="A558" s="34">
        <v>8160</v>
      </c>
      <c r="B558" s="34">
        <v>8180</v>
      </c>
      <c r="C558" s="34">
        <f t="shared" si="8"/>
        <v>8160000</v>
      </c>
      <c r="D558" s="34">
        <v>1046300</v>
      </c>
      <c r="E558" s="34">
        <v>996500</v>
      </c>
      <c r="F558" s="34">
        <v>852850</v>
      </c>
      <c r="G558" s="34">
        <v>822850</v>
      </c>
      <c r="H558" s="34">
        <v>792850</v>
      </c>
      <c r="I558" s="34">
        <v>762850</v>
      </c>
      <c r="J558" s="34">
        <v>732850</v>
      </c>
      <c r="K558" s="34">
        <v>702850</v>
      </c>
      <c r="L558" s="34">
        <v>672850</v>
      </c>
      <c r="M558" s="34">
        <v>642850</v>
      </c>
      <c r="N558" s="34">
        <v>612850</v>
      </c>
    </row>
    <row r="559" spans="1:14">
      <c r="A559" s="34">
        <v>8180</v>
      </c>
      <c r="B559" s="34">
        <v>8200</v>
      </c>
      <c r="C559" s="34">
        <f t="shared" si="8"/>
        <v>8180000</v>
      </c>
      <c r="D559" s="34">
        <v>1050840</v>
      </c>
      <c r="E559" s="34">
        <v>1001010</v>
      </c>
      <c r="F559" s="34">
        <v>857070</v>
      </c>
      <c r="G559" s="34">
        <v>827070</v>
      </c>
      <c r="H559" s="34">
        <v>797070</v>
      </c>
      <c r="I559" s="34">
        <v>767070</v>
      </c>
      <c r="J559" s="34">
        <v>737070</v>
      </c>
      <c r="K559" s="34">
        <v>707070</v>
      </c>
      <c r="L559" s="34">
        <v>677070</v>
      </c>
      <c r="M559" s="34">
        <v>647070</v>
      </c>
      <c r="N559" s="34">
        <v>617070</v>
      </c>
    </row>
    <row r="560" spans="1:14">
      <c r="A560" s="34">
        <v>8200</v>
      </c>
      <c r="B560" s="34">
        <v>8220</v>
      </c>
      <c r="C560" s="34">
        <f t="shared" si="8"/>
        <v>8200000</v>
      </c>
      <c r="D560" s="34">
        <v>1055370</v>
      </c>
      <c r="E560" s="34">
        <v>1005520</v>
      </c>
      <c r="F560" s="34">
        <v>861300</v>
      </c>
      <c r="G560" s="34">
        <v>831300</v>
      </c>
      <c r="H560" s="34">
        <v>801300</v>
      </c>
      <c r="I560" s="34">
        <v>771300</v>
      </c>
      <c r="J560" s="34">
        <v>741300</v>
      </c>
      <c r="K560" s="34">
        <v>711300</v>
      </c>
      <c r="L560" s="34">
        <v>681300</v>
      </c>
      <c r="M560" s="34">
        <v>651300</v>
      </c>
      <c r="N560" s="34">
        <v>621300</v>
      </c>
    </row>
    <row r="561" spans="1:14">
      <c r="A561" s="34">
        <v>8220</v>
      </c>
      <c r="B561" s="34">
        <v>8240</v>
      </c>
      <c r="C561" s="34">
        <f t="shared" si="8"/>
        <v>8220000</v>
      </c>
      <c r="D561" s="34">
        <v>1059910</v>
      </c>
      <c r="E561" s="34">
        <v>1010030</v>
      </c>
      <c r="F561" s="34">
        <v>865520</v>
      </c>
      <c r="G561" s="34">
        <v>835520</v>
      </c>
      <c r="H561" s="34">
        <v>805520</v>
      </c>
      <c r="I561" s="34">
        <v>775520</v>
      </c>
      <c r="J561" s="34">
        <v>745520</v>
      </c>
      <c r="K561" s="34">
        <v>715520</v>
      </c>
      <c r="L561" s="34">
        <v>685520</v>
      </c>
      <c r="M561" s="34">
        <v>655520</v>
      </c>
      <c r="N561" s="34">
        <v>625520</v>
      </c>
    </row>
    <row r="562" spans="1:14">
      <c r="A562" s="34">
        <v>8240</v>
      </c>
      <c r="B562" s="34">
        <v>8260</v>
      </c>
      <c r="C562" s="34">
        <f t="shared" si="8"/>
        <v>8240000</v>
      </c>
      <c r="D562" s="34">
        <v>1064440</v>
      </c>
      <c r="E562" s="34">
        <v>1014540</v>
      </c>
      <c r="F562" s="34">
        <v>869740</v>
      </c>
      <c r="G562" s="34">
        <v>839740</v>
      </c>
      <c r="H562" s="34">
        <v>809740</v>
      </c>
      <c r="I562" s="34">
        <v>779740</v>
      </c>
      <c r="J562" s="34">
        <v>749740</v>
      </c>
      <c r="K562" s="34">
        <v>719740</v>
      </c>
      <c r="L562" s="34">
        <v>689740</v>
      </c>
      <c r="M562" s="34">
        <v>659740</v>
      </c>
      <c r="N562" s="34">
        <v>629740</v>
      </c>
    </row>
    <row r="563" spans="1:14">
      <c r="A563" s="34">
        <v>8260</v>
      </c>
      <c r="B563" s="34">
        <v>8280</v>
      </c>
      <c r="C563" s="34">
        <f t="shared" si="8"/>
        <v>8260000</v>
      </c>
      <c r="D563" s="34">
        <v>1068980</v>
      </c>
      <c r="E563" s="34">
        <v>1019060</v>
      </c>
      <c r="F563" s="34">
        <v>873970</v>
      </c>
      <c r="G563" s="34">
        <v>843970</v>
      </c>
      <c r="H563" s="34">
        <v>813970</v>
      </c>
      <c r="I563" s="34">
        <v>783970</v>
      </c>
      <c r="J563" s="34">
        <v>753970</v>
      </c>
      <c r="K563" s="34">
        <v>723970</v>
      </c>
      <c r="L563" s="34">
        <v>693970</v>
      </c>
      <c r="M563" s="34">
        <v>663970</v>
      </c>
      <c r="N563" s="34">
        <v>633970</v>
      </c>
    </row>
    <row r="564" spans="1:14">
      <c r="A564" s="34">
        <v>8280</v>
      </c>
      <c r="B564" s="34">
        <v>8300</v>
      </c>
      <c r="C564" s="34">
        <f t="shared" si="8"/>
        <v>8280000</v>
      </c>
      <c r="D564" s="34">
        <v>1073520</v>
      </c>
      <c r="E564" s="34">
        <v>1023570</v>
      </c>
      <c r="F564" s="34">
        <v>878190</v>
      </c>
      <c r="G564" s="34">
        <v>848190</v>
      </c>
      <c r="H564" s="34">
        <v>818190</v>
      </c>
      <c r="I564" s="34">
        <v>788190</v>
      </c>
      <c r="J564" s="34">
        <v>758190</v>
      </c>
      <c r="K564" s="34">
        <v>728190</v>
      </c>
      <c r="L564" s="34">
        <v>698190</v>
      </c>
      <c r="M564" s="34">
        <v>668190</v>
      </c>
      <c r="N564" s="34">
        <v>638190</v>
      </c>
    </row>
    <row r="565" spans="1:14">
      <c r="A565" s="34">
        <v>8300</v>
      </c>
      <c r="B565" s="34">
        <v>8320</v>
      </c>
      <c r="C565" s="34">
        <f t="shared" si="8"/>
        <v>8300000</v>
      </c>
      <c r="D565" s="34">
        <v>1078050</v>
      </c>
      <c r="E565" s="34">
        <v>1028080</v>
      </c>
      <c r="F565" s="34">
        <v>882420</v>
      </c>
      <c r="G565" s="34">
        <v>852420</v>
      </c>
      <c r="H565" s="34">
        <v>822420</v>
      </c>
      <c r="I565" s="34">
        <v>792420</v>
      </c>
      <c r="J565" s="34">
        <v>762420</v>
      </c>
      <c r="K565" s="34">
        <v>732420</v>
      </c>
      <c r="L565" s="34">
        <v>702420</v>
      </c>
      <c r="M565" s="34">
        <v>672420</v>
      </c>
      <c r="N565" s="34">
        <v>642420</v>
      </c>
    </row>
    <row r="566" spans="1:14">
      <c r="A566" s="34">
        <v>8320</v>
      </c>
      <c r="B566" s="34">
        <v>8340</v>
      </c>
      <c r="C566" s="34">
        <f t="shared" si="8"/>
        <v>8320000</v>
      </c>
      <c r="D566" s="34">
        <v>1082590</v>
      </c>
      <c r="E566" s="34">
        <v>1032590</v>
      </c>
      <c r="F566" s="34">
        <v>886640</v>
      </c>
      <c r="G566" s="34">
        <v>856640</v>
      </c>
      <c r="H566" s="34">
        <v>826640</v>
      </c>
      <c r="I566" s="34">
        <v>796640</v>
      </c>
      <c r="J566" s="34">
        <v>766640</v>
      </c>
      <c r="K566" s="34">
        <v>736640</v>
      </c>
      <c r="L566" s="34">
        <v>706640</v>
      </c>
      <c r="M566" s="34">
        <v>676640</v>
      </c>
      <c r="N566" s="34">
        <v>646640</v>
      </c>
    </row>
    <row r="567" spans="1:14">
      <c r="A567" s="34">
        <v>8340</v>
      </c>
      <c r="B567" s="34">
        <v>8360</v>
      </c>
      <c r="C567" s="34">
        <f t="shared" si="8"/>
        <v>8340000</v>
      </c>
      <c r="D567" s="34">
        <v>1087240</v>
      </c>
      <c r="E567" s="34">
        <v>1037220</v>
      </c>
      <c r="F567" s="34">
        <v>890980</v>
      </c>
      <c r="G567" s="34">
        <v>860980</v>
      </c>
      <c r="H567" s="34">
        <v>830980</v>
      </c>
      <c r="I567" s="34">
        <v>800980</v>
      </c>
      <c r="J567" s="34">
        <v>770980</v>
      </c>
      <c r="K567" s="34">
        <v>740980</v>
      </c>
      <c r="L567" s="34">
        <v>710980</v>
      </c>
      <c r="M567" s="34">
        <v>680980</v>
      </c>
      <c r="N567" s="34">
        <v>650980</v>
      </c>
    </row>
    <row r="568" spans="1:14">
      <c r="A568" s="34">
        <v>8360</v>
      </c>
      <c r="B568" s="34">
        <v>8380</v>
      </c>
      <c r="C568" s="34">
        <f t="shared" si="8"/>
        <v>8360000</v>
      </c>
      <c r="D568" s="34">
        <v>1091920</v>
      </c>
      <c r="E568" s="34">
        <v>1041880</v>
      </c>
      <c r="F568" s="34">
        <v>895350</v>
      </c>
      <c r="G568" s="34">
        <v>865350</v>
      </c>
      <c r="H568" s="34">
        <v>835350</v>
      </c>
      <c r="I568" s="34">
        <v>805350</v>
      </c>
      <c r="J568" s="34">
        <v>775350</v>
      </c>
      <c r="K568" s="34">
        <v>745350</v>
      </c>
      <c r="L568" s="34">
        <v>715350</v>
      </c>
      <c r="M568" s="34">
        <v>685350</v>
      </c>
      <c r="N568" s="34">
        <v>655350</v>
      </c>
    </row>
    <row r="569" spans="1:14">
      <c r="A569" s="34">
        <v>8380</v>
      </c>
      <c r="B569" s="34">
        <v>8400</v>
      </c>
      <c r="C569" s="34">
        <f t="shared" si="8"/>
        <v>8380000</v>
      </c>
      <c r="D569" s="34">
        <v>1096600</v>
      </c>
      <c r="E569" s="34">
        <v>1046540</v>
      </c>
      <c r="F569" s="34">
        <v>899720</v>
      </c>
      <c r="G569" s="34">
        <v>869720</v>
      </c>
      <c r="H569" s="34">
        <v>839720</v>
      </c>
      <c r="I569" s="34">
        <v>809720</v>
      </c>
      <c r="J569" s="34">
        <v>779720</v>
      </c>
      <c r="K569" s="34">
        <v>749720</v>
      </c>
      <c r="L569" s="34">
        <v>719720</v>
      </c>
      <c r="M569" s="34">
        <v>689720</v>
      </c>
      <c r="N569" s="34">
        <v>659720</v>
      </c>
    </row>
    <row r="570" spans="1:14">
      <c r="A570" s="34">
        <v>8400</v>
      </c>
      <c r="B570" s="34">
        <v>8420</v>
      </c>
      <c r="C570" s="34">
        <f t="shared" si="8"/>
        <v>8400000</v>
      </c>
      <c r="D570" s="34">
        <v>1101280</v>
      </c>
      <c r="E570" s="34">
        <v>1051190</v>
      </c>
      <c r="F570" s="34">
        <v>904090</v>
      </c>
      <c r="G570" s="34">
        <v>874090</v>
      </c>
      <c r="H570" s="34">
        <v>844090</v>
      </c>
      <c r="I570" s="34">
        <v>814090</v>
      </c>
      <c r="J570" s="34">
        <v>784090</v>
      </c>
      <c r="K570" s="34">
        <v>754090</v>
      </c>
      <c r="L570" s="34">
        <v>724090</v>
      </c>
      <c r="M570" s="34">
        <v>694090</v>
      </c>
      <c r="N570" s="34">
        <v>664090</v>
      </c>
    </row>
    <row r="571" spans="1:14">
      <c r="A571" s="34">
        <v>8420</v>
      </c>
      <c r="B571" s="34">
        <v>8440</v>
      </c>
      <c r="C571" s="34">
        <f t="shared" si="8"/>
        <v>8420000</v>
      </c>
      <c r="D571" s="34">
        <v>1105960</v>
      </c>
      <c r="E571" s="34">
        <v>1055850</v>
      </c>
      <c r="F571" s="34">
        <v>908460</v>
      </c>
      <c r="G571" s="34">
        <v>878460</v>
      </c>
      <c r="H571" s="34">
        <v>848460</v>
      </c>
      <c r="I571" s="34">
        <v>818460</v>
      </c>
      <c r="J571" s="34">
        <v>788460</v>
      </c>
      <c r="K571" s="34">
        <v>758460</v>
      </c>
      <c r="L571" s="34">
        <v>728460</v>
      </c>
      <c r="M571" s="34">
        <v>698460</v>
      </c>
      <c r="N571" s="34">
        <v>668460</v>
      </c>
    </row>
    <row r="572" spans="1:14">
      <c r="A572" s="34">
        <v>8440</v>
      </c>
      <c r="B572" s="34">
        <v>8460</v>
      </c>
      <c r="C572" s="34">
        <f t="shared" si="8"/>
        <v>8440000</v>
      </c>
      <c r="D572" s="34">
        <v>1110640</v>
      </c>
      <c r="E572" s="34">
        <v>1060500</v>
      </c>
      <c r="F572" s="34">
        <v>912820</v>
      </c>
      <c r="G572" s="34">
        <v>882820</v>
      </c>
      <c r="H572" s="34">
        <v>852820</v>
      </c>
      <c r="I572" s="34">
        <v>822820</v>
      </c>
      <c r="J572" s="34">
        <v>792820</v>
      </c>
      <c r="K572" s="34">
        <v>762820</v>
      </c>
      <c r="L572" s="34">
        <v>732820</v>
      </c>
      <c r="M572" s="34">
        <v>702820</v>
      </c>
      <c r="N572" s="34">
        <v>672820</v>
      </c>
    </row>
    <row r="573" spans="1:14">
      <c r="A573" s="34">
        <v>8460</v>
      </c>
      <c r="B573" s="34">
        <v>8480</v>
      </c>
      <c r="C573" s="34">
        <f t="shared" si="8"/>
        <v>8460000</v>
      </c>
      <c r="D573" s="34">
        <v>1115320</v>
      </c>
      <c r="E573" s="34">
        <v>1065160</v>
      </c>
      <c r="F573" s="34">
        <v>917190</v>
      </c>
      <c r="G573" s="34">
        <v>887190</v>
      </c>
      <c r="H573" s="34">
        <v>857190</v>
      </c>
      <c r="I573" s="34">
        <v>827190</v>
      </c>
      <c r="J573" s="34">
        <v>797190</v>
      </c>
      <c r="K573" s="34">
        <v>767190</v>
      </c>
      <c r="L573" s="34">
        <v>737190</v>
      </c>
      <c r="M573" s="34">
        <v>707190</v>
      </c>
      <c r="N573" s="34">
        <v>677190</v>
      </c>
    </row>
    <row r="574" spans="1:14">
      <c r="A574" s="34">
        <v>8480</v>
      </c>
      <c r="B574" s="34">
        <v>8500</v>
      </c>
      <c r="C574" s="34">
        <f t="shared" si="8"/>
        <v>8480000</v>
      </c>
      <c r="D574" s="34">
        <v>1120000</v>
      </c>
      <c r="E574" s="34">
        <v>1069820</v>
      </c>
      <c r="F574" s="34">
        <v>921560</v>
      </c>
      <c r="G574" s="34">
        <v>891560</v>
      </c>
      <c r="H574" s="34">
        <v>861560</v>
      </c>
      <c r="I574" s="34">
        <v>831560</v>
      </c>
      <c r="J574" s="34">
        <v>801560</v>
      </c>
      <c r="K574" s="34">
        <v>771560</v>
      </c>
      <c r="L574" s="34">
        <v>741560</v>
      </c>
      <c r="M574" s="34">
        <v>711560</v>
      </c>
      <c r="N574" s="34">
        <v>681560</v>
      </c>
    </row>
    <row r="575" spans="1:14">
      <c r="A575" s="34">
        <v>8500</v>
      </c>
      <c r="B575" s="34">
        <v>8520</v>
      </c>
      <c r="C575" s="34">
        <f t="shared" si="8"/>
        <v>8500000</v>
      </c>
      <c r="D575" s="34">
        <v>1124680</v>
      </c>
      <c r="E575" s="34">
        <v>1074470</v>
      </c>
      <c r="F575" s="34">
        <v>925930</v>
      </c>
      <c r="G575" s="34">
        <v>895930</v>
      </c>
      <c r="H575" s="34">
        <v>865930</v>
      </c>
      <c r="I575" s="34">
        <v>835930</v>
      </c>
      <c r="J575" s="34">
        <v>805930</v>
      </c>
      <c r="K575" s="34">
        <v>775930</v>
      </c>
      <c r="L575" s="34">
        <v>745930</v>
      </c>
      <c r="M575" s="34">
        <v>715930</v>
      </c>
      <c r="N575" s="34">
        <v>685930</v>
      </c>
    </row>
    <row r="576" spans="1:14">
      <c r="A576" s="34">
        <v>8520</v>
      </c>
      <c r="B576" s="34">
        <v>8540</v>
      </c>
      <c r="C576" s="34">
        <f t="shared" si="8"/>
        <v>8520000</v>
      </c>
      <c r="D576" s="34">
        <v>1129360</v>
      </c>
      <c r="E576" s="34">
        <v>1079130</v>
      </c>
      <c r="F576" s="34">
        <v>930300</v>
      </c>
      <c r="G576" s="34">
        <v>900300</v>
      </c>
      <c r="H576" s="34">
        <v>870300</v>
      </c>
      <c r="I576" s="34">
        <v>840300</v>
      </c>
      <c r="J576" s="34">
        <v>810300</v>
      </c>
      <c r="K576" s="34">
        <v>780300</v>
      </c>
      <c r="L576" s="34">
        <v>750300</v>
      </c>
      <c r="M576" s="34">
        <v>720300</v>
      </c>
      <c r="N576" s="34">
        <v>690300</v>
      </c>
    </row>
    <row r="577" spans="1:14">
      <c r="A577" s="34">
        <v>8540</v>
      </c>
      <c r="B577" s="34">
        <v>8560</v>
      </c>
      <c r="C577" s="34">
        <f t="shared" si="8"/>
        <v>8540000</v>
      </c>
      <c r="D577" s="34">
        <v>1134040</v>
      </c>
      <c r="E577" s="34">
        <v>1083780</v>
      </c>
      <c r="F577" s="34">
        <v>934660</v>
      </c>
      <c r="G577" s="34">
        <v>904660</v>
      </c>
      <c r="H577" s="34">
        <v>874660</v>
      </c>
      <c r="I577" s="34">
        <v>844660</v>
      </c>
      <c r="J577" s="34">
        <v>814660</v>
      </c>
      <c r="K577" s="34">
        <v>784660</v>
      </c>
      <c r="L577" s="34">
        <v>754660</v>
      </c>
      <c r="M577" s="34">
        <v>724660</v>
      </c>
      <c r="N577" s="34">
        <v>694660</v>
      </c>
    </row>
    <row r="578" spans="1:14">
      <c r="A578" s="34">
        <v>8560</v>
      </c>
      <c r="B578" s="34">
        <v>8580</v>
      </c>
      <c r="C578" s="34">
        <f t="shared" si="8"/>
        <v>8560000</v>
      </c>
      <c r="D578" s="34">
        <v>1138720</v>
      </c>
      <c r="E578" s="34">
        <v>1088440</v>
      </c>
      <c r="F578" s="34">
        <v>939030</v>
      </c>
      <c r="G578" s="34">
        <v>909030</v>
      </c>
      <c r="H578" s="34">
        <v>879030</v>
      </c>
      <c r="I578" s="34">
        <v>849030</v>
      </c>
      <c r="J578" s="34">
        <v>819030</v>
      </c>
      <c r="K578" s="34">
        <v>789030</v>
      </c>
      <c r="L578" s="34">
        <v>759030</v>
      </c>
      <c r="M578" s="34">
        <v>729030</v>
      </c>
      <c r="N578" s="34">
        <v>699030</v>
      </c>
    </row>
    <row r="579" spans="1:14">
      <c r="A579" s="34">
        <v>8580</v>
      </c>
      <c r="B579" s="34">
        <v>8600</v>
      </c>
      <c r="C579" s="34">
        <f t="shared" si="8"/>
        <v>8580000</v>
      </c>
      <c r="D579" s="34">
        <v>1143400</v>
      </c>
      <c r="E579" s="34">
        <v>1093100</v>
      </c>
      <c r="F579" s="34">
        <v>943400</v>
      </c>
      <c r="G579" s="34">
        <v>913400</v>
      </c>
      <c r="H579" s="34">
        <v>883400</v>
      </c>
      <c r="I579" s="34">
        <v>853400</v>
      </c>
      <c r="J579" s="34">
        <v>823400</v>
      </c>
      <c r="K579" s="34">
        <v>793400</v>
      </c>
      <c r="L579" s="34">
        <v>763400</v>
      </c>
      <c r="M579" s="34">
        <v>733400</v>
      </c>
      <c r="N579" s="34">
        <v>703400</v>
      </c>
    </row>
    <row r="580" spans="1:14">
      <c r="A580" s="34">
        <v>8600</v>
      </c>
      <c r="B580" s="34">
        <v>8620</v>
      </c>
      <c r="C580" s="34">
        <f t="shared" ref="C580:C643" si="9">A580*1000</f>
        <v>8600000</v>
      </c>
      <c r="D580" s="34">
        <v>1148080</v>
      </c>
      <c r="E580" s="34">
        <v>1097750</v>
      </c>
      <c r="F580" s="34">
        <v>947770</v>
      </c>
      <c r="G580" s="34">
        <v>917770</v>
      </c>
      <c r="H580" s="34">
        <v>887770</v>
      </c>
      <c r="I580" s="34">
        <v>857770</v>
      </c>
      <c r="J580" s="34">
        <v>827770</v>
      </c>
      <c r="K580" s="34">
        <v>797770</v>
      </c>
      <c r="L580" s="34">
        <v>767770</v>
      </c>
      <c r="M580" s="34">
        <v>737770</v>
      </c>
      <c r="N580" s="34">
        <v>707770</v>
      </c>
    </row>
    <row r="581" spans="1:14">
      <c r="A581" s="34">
        <v>8620</v>
      </c>
      <c r="B581" s="34">
        <v>8640</v>
      </c>
      <c r="C581" s="34">
        <f t="shared" si="9"/>
        <v>8620000</v>
      </c>
      <c r="D581" s="34">
        <v>1152760</v>
      </c>
      <c r="E581" s="34">
        <v>1102410</v>
      </c>
      <c r="F581" s="34">
        <v>952140</v>
      </c>
      <c r="G581" s="34">
        <v>922140</v>
      </c>
      <c r="H581" s="34">
        <v>892140</v>
      </c>
      <c r="I581" s="34">
        <v>862140</v>
      </c>
      <c r="J581" s="34">
        <v>832140</v>
      </c>
      <c r="K581" s="34">
        <v>802140</v>
      </c>
      <c r="L581" s="34">
        <v>772140</v>
      </c>
      <c r="M581" s="34">
        <v>742140</v>
      </c>
      <c r="N581" s="34">
        <v>712140</v>
      </c>
    </row>
    <row r="582" spans="1:14">
      <c r="A582" s="34">
        <v>8640</v>
      </c>
      <c r="B582" s="34">
        <v>8660</v>
      </c>
      <c r="C582" s="34">
        <f t="shared" si="9"/>
        <v>8640000</v>
      </c>
      <c r="D582" s="34">
        <v>1157440</v>
      </c>
      <c r="E582" s="34">
        <v>1107060</v>
      </c>
      <c r="F582" s="34">
        <v>956500</v>
      </c>
      <c r="G582" s="34">
        <v>926500</v>
      </c>
      <c r="H582" s="34">
        <v>896500</v>
      </c>
      <c r="I582" s="34">
        <v>866500</v>
      </c>
      <c r="J582" s="34">
        <v>836500</v>
      </c>
      <c r="K582" s="34">
        <v>806500</v>
      </c>
      <c r="L582" s="34">
        <v>776500</v>
      </c>
      <c r="M582" s="34">
        <v>746500</v>
      </c>
      <c r="N582" s="34">
        <v>716500</v>
      </c>
    </row>
    <row r="583" spans="1:14">
      <c r="A583" s="34">
        <v>8660</v>
      </c>
      <c r="B583" s="34">
        <v>8680</v>
      </c>
      <c r="C583" s="34">
        <f t="shared" si="9"/>
        <v>8660000</v>
      </c>
      <c r="D583" s="34">
        <v>1162120</v>
      </c>
      <c r="E583" s="34">
        <v>1111720</v>
      </c>
      <c r="F583" s="34">
        <v>960870</v>
      </c>
      <c r="G583" s="34">
        <v>930870</v>
      </c>
      <c r="H583" s="34">
        <v>900870</v>
      </c>
      <c r="I583" s="34">
        <v>870870</v>
      </c>
      <c r="J583" s="34">
        <v>840870</v>
      </c>
      <c r="K583" s="34">
        <v>810870</v>
      </c>
      <c r="L583" s="34">
        <v>780870</v>
      </c>
      <c r="M583" s="34">
        <v>750870</v>
      </c>
      <c r="N583" s="34">
        <v>720870</v>
      </c>
    </row>
    <row r="584" spans="1:14">
      <c r="A584" s="34">
        <v>8680</v>
      </c>
      <c r="B584" s="34">
        <v>8700</v>
      </c>
      <c r="C584" s="34">
        <f t="shared" si="9"/>
        <v>8680000</v>
      </c>
      <c r="D584" s="34">
        <v>1166800</v>
      </c>
      <c r="E584" s="34">
        <v>1116380</v>
      </c>
      <c r="F584" s="34">
        <v>965240</v>
      </c>
      <c r="G584" s="34">
        <v>935240</v>
      </c>
      <c r="H584" s="34">
        <v>905240</v>
      </c>
      <c r="I584" s="34">
        <v>875240</v>
      </c>
      <c r="J584" s="34">
        <v>845240</v>
      </c>
      <c r="K584" s="34">
        <v>815240</v>
      </c>
      <c r="L584" s="34">
        <v>785240</v>
      </c>
      <c r="M584" s="34">
        <v>755240</v>
      </c>
      <c r="N584" s="34">
        <v>725240</v>
      </c>
    </row>
    <row r="585" spans="1:14">
      <c r="A585" s="34">
        <v>8700</v>
      </c>
      <c r="B585" s="34">
        <v>8720</v>
      </c>
      <c r="C585" s="34">
        <f t="shared" si="9"/>
        <v>8700000</v>
      </c>
      <c r="D585" s="34">
        <v>1171480</v>
      </c>
      <c r="E585" s="34">
        <v>1121030</v>
      </c>
      <c r="F585" s="34">
        <v>969610</v>
      </c>
      <c r="G585" s="34">
        <v>939610</v>
      </c>
      <c r="H585" s="34">
        <v>909610</v>
      </c>
      <c r="I585" s="34">
        <v>879610</v>
      </c>
      <c r="J585" s="34">
        <v>849610</v>
      </c>
      <c r="K585" s="34">
        <v>819610</v>
      </c>
      <c r="L585" s="34">
        <v>789610</v>
      </c>
      <c r="M585" s="34">
        <v>759610</v>
      </c>
      <c r="N585" s="34">
        <v>729610</v>
      </c>
    </row>
    <row r="586" spans="1:14">
      <c r="A586" s="34">
        <v>8720</v>
      </c>
      <c r="B586" s="34">
        <v>8740</v>
      </c>
      <c r="C586" s="34">
        <f t="shared" si="9"/>
        <v>8720000</v>
      </c>
      <c r="D586" s="34">
        <v>1176160</v>
      </c>
      <c r="E586" s="34">
        <v>1125690</v>
      </c>
      <c r="F586" s="34">
        <v>973980</v>
      </c>
      <c r="G586" s="34">
        <v>943980</v>
      </c>
      <c r="H586" s="34">
        <v>913980</v>
      </c>
      <c r="I586" s="34">
        <v>883980</v>
      </c>
      <c r="J586" s="34">
        <v>853980</v>
      </c>
      <c r="K586" s="34">
        <v>823980</v>
      </c>
      <c r="L586" s="34">
        <v>793980</v>
      </c>
      <c r="M586" s="34">
        <v>763980</v>
      </c>
      <c r="N586" s="34">
        <v>733980</v>
      </c>
    </row>
    <row r="587" spans="1:14">
      <c r="A587" s="34">
        <v>8740</v>
      </c>
      <c r="B587" s="34">
        <v>8760</v>
      </c>
      <c r="C587" s="34">
        <f t="shared" si="9"/>
        <v>8740000</v>
      </c>
      <c r="D587" s="34">
        <v>1180840</v>
      </c>
      <c r="E587" s="34">
        <v>1130340</v>
      </c>
      <c r="F587" s="34">
        <v>978340</v>
      </c>
      <c r="G587" s="34">
        <v>948340</v>
      </c>
      <c r="H587" s="34">
        <v>918340</v>
      </c>
      <c r="I587" s="34">
        <v>888340</v>
      </c>
      <c r="J587" s="34">
        <v>858340</v>
      </c>
      <c r="K587" s="34">
        <v>828340</v>
      </c>
      <c r="L587" s="34">
        <v>798340</v>
      </c>
      <c r="M587" s="34">
        <v>768340</v>
      </c>
      <c r="N587" s="34">
        <v>738340</v>
      </c>
    </row>
    <row r="588" spans="1:14">
      <c r="A588" s="34">
        <v>8760</v>
      </c>
      <c r="B588" s="34">
        <v>8780</v>
      </c>
      <c r="C588" s="34">
        <f t="shared" si="9"/>
        <v>8760000</v>
      </c>
      <c r="D588" s="34">
        <v>1185520</v>
      </c>
      <c r="E588" s="34">
        <v>1135000</v>
      </c>
      <c r="F588" s="34">
        <v>982710</v>
      </c>
      <c r="G588" s="34">
        <v>952710</v>
      </c>
      <c r="H588" s="34">
        <v>922710</v>
      </c>
      <c r="I588" s="34">
        <v>892710</v>
      </c>
      <c r="J588" s="34">
        <v>862710</v>
      </c>
      <c r="K588" s="34">
        <v>832710</v>
      </c>
      <c r="L588" s="34">
        <v>802710</v>
      </c>
      <c r="M588" s="34">
        <v>772710</v>
      </c>
      <c r="N588" s="34">
        <v>742710</v>
      </c>
    </row>
    <row r="589" spans="1:14">
      <c r="A589" s="34">
        <v>8780</v>
      </c>
      <c r="B589" s="34">
        <v>8800</v>
      </c>
      <c r="C589" s="34">
        <f t="shared" si="9"/>
        <v>8780000</v>
      </c>
      <c r="D589" s="34">
        <v>1190200</v>
      </c>
      <c r="E589" s="34">
        <v>1139660</v>
      </c>
      <c r="F589" s="34">
        <v>987080</v>
      </c>
      <c r="G589" s="34">
        <v>957080</v>
      </c>
      <c r="H589" s="34">
        <v>927080</v>
      </c>
      <c r="I589" s="34">
        <v>897080</v>
      </c>
      <c r="J589" s="34">
        <v>867080</v>
      </c>
      <c r="K589" s="34">
        <v>837080</v>
      </c>
      <c r="L589" s="34">
        <v>807080</v>
      </c>
      <c r="M589" s="34">
        <v>777080</v>
      </c>
      <c r="N589" s="34">
        <v>747080</v>
      </c>
    </row>
    <row r="590" spans="1:14">
      <c r="A590" s="34">
        <v>8800</v>
      </c>
      <c r="B590" s="34">
        <v>8820</v>
      </c>
      <c r="C590" s="34">
        <f t="shared" si="9"/>
        <v>8800000</v>
      </c>
      <c r="D590" s="34">
        <v>1194880</v>
      </c>
      <c r="E590" s="34">
        <v>1144310</v>
      </c>
      <c r="F590" s="34">
        <v>991450</v>
      </c>
      <c r="G590" s="34">
        <v>961450</v>
      </c>
      <c r="H590" s="34">
        <v>931450</v>
      </c>
      <c r="I590" s="34">
        <v>901450</v>
      </c>
      <c r="J590" s="34">
        <v>871450</v>
      </c>
      <c r="K590" s="34">
        <v>841450</v>
      </c>
      <c r="L590" s="34">
        <v>811450</v>
      </c>
      <c r="M590" s="34">
        <v>781450</v>
      </c>
      <c r="N590" s="34">
        <v>751450</v>
      </c>
    </row>
    <row r="591" spans="1:14">
      <c r="A591" s="34">
        <v>8820</v>
      </c>
      <c r="B591" s="34">
        <v>8840</v>
      </c>
      <c r="C591" s="34">
        <f t="shared" si="9"/>
        <v>8820000</v>
      </c>
      <c r="D591" s="34">
        <v>1199560</v>
      </c>
      <c r="E591" s="34">
        <v>1148970</v>
      </c>
      <c r="F591" s="34">
        <v>995820</v>
      </c>
      <c r="G591" s="34">
        <v>965820</v>
      </c>
      <c r="H591" s="34">
        <v>935820</v>
      </c>
      <c r="I591" s="34">
        <v>905820</v>
      </c>
      <c r="J591" s="34">
        <v>875820</v>
      </c>
      <c r="K591" s="34">
        <v>845820</v>
      </c>
      <c r="L591" s="34">
        <v>815820</v>
      </c>
      <c r="M591" s="34">
        <v>785820</v>
      </c>
      <c r="N591" s="34">
        <v>755820</v>
      </c>
    </row>
    <row r="592" spans="1:14">
      <c r="A592" s="34">
        <v>8840</v>
      </c>
      <c r="B592" s="34">
        <v>8860</v>
      </c>
      <c r="C592" s="34">
        <f t="shared" si="9"/>
        <v>8840000</v>
      </c>
      <c r="D592" s="34">
        <v>1204240</v>
      </c>
      <c r="E592" s="34">
        <v>1153620</v>
      </c>
      <c r="F592" s="34">
        <v>1000180</v>
      </c>
      <c r="G592" s="34">
        <v>970180</v>
      </c>
      <c r="H592" s="34">
        <v>940180</v>
      </c>
      <c r="I592" s="34">
        <v>910180</v>
      </c>
      <c r="J592" s="34">
        <v>880180</v>
      </c>
      <c r="K592" s="34">
        <v>850180</v>
      </c>
      <c r="L592" s="34">
        <v>820180</v>
      </c>
      <c r="M592" s="34">
        <v>790180</v>
      </c>
      <c r="N592" s="34">
        <v>760180</v>
      </c>
    </row>
    <row r="593" spans="1:14">
      <c r="A593" s="34">
        <v>8860</v>
      </c>
      <c r="B593" s="34">
        <v>8880</v>
      </c>
      <c r="C593" s="34">
        <f t="shared" si="9"/>
        <v>8860000</v>
      </c>
      <c r="D593" s="34">
        <v>1208920</v>
      </c>
      <c r="E593" s="34">
        <v>1158280</v>
      </c>
      <c r="F593" s="34">
        <v>1004550</v>
      </c>
      <c r="G593" s="34">
        <v>974550</v>
      </c>
      <c r="H593" s="34">
        <v>944550</v>
      </c>
      <c r="I593" s="34">
        <v>914550</v>
      </c>
      <c r="J593" s="34">
        <v>884550</v>
      </c>
      <c r="K593" s="34">
        <v>854550</v>
      </c>
      <c r="L593" s="34">
        <v>824550</v>
      </c>
      <c r="M593" s="34">
        <v>794550</v>
      </c>
      <c r="N593" s="34">
        <v>764550</v>
      </c>
    </row>
    <row r="594" spans="1:14">
      <c r="A594" s="34">
        <v>8880</v>
      </c>
      <c r="B594" s="34">
        <v>8900</v>
      </c>
      <c r="C594" s="34">
        <f t="shared" si="9"/>
        <v>8880000</v>
      </c>
      <c r="D594" s="34">
        <v>1213600</v>
      </c>
      <c r="E594" s="34">
        <v>1162940</v>
      </c>
      <c r="F594" s="34">
        <v>1008920</v>
      </c>
      <c r="G594" s="34">
        <v>978920</v>
      </c>
      <c r="H594" s="34">
        <v>948920</v>
      </c>
      <c r="I594" s="34">
        <v>918920</v>
      </c>
      <c r="J594" s="34">
        <v>888920</v>
      </c>
      <c r="K594" s="34">
        <v>858920</v>
      </c>
      <c r="L594" s="34">
        <v>828920</v>
      </c>
      <c r="M594" s="34">
        <v>798920</v>
      </c>
      <c r="N594" s="34">
        <v>768920</v>
      </c>
    </row>
    <row r="595" spans="1:14">
      <c r="A595" s="34">
        <v>8900</v>
      </c>
      <c r="B595" s="34">
        <v>8920</v>
      </c>
      <c r="C595" s="34">
        <f t="shared" si="9"/>
        <v>8900000</v>
      </c>
      <c r="D595" s="34">
        <v>1218280</v>
      </c>
      <c r="E595" s="34">
        <v>1167590</v>
      </c>
      <c r="F595" s="34">
        <v>1013290</v>
      </c>
      <c r="G595" s="34">
        <v>983290</v>
      </c>
      <c r="H595" s="34">
        <v>953290</v>
      </c>
      <c r="I595" s="34">
        <v>923290</v>
      </c>
      <c r="J595" s="34">
        <v>893290</v>
      </c>
      <c r="K595" s="34">
        <v>863290</v>
      </c>
      <c r="L595" s="34">
        <v>833290</v>
      </c>
      <c r="M595" s="34">
        <v>803290</v>
      </c>
      <c r="N595" s="34">
        <v>773290</v>
      </c>
    </row>
    <row r="596" spans="1:14">
      <c r="A596" s="34">
        <v>8920</v>
      </c>
      <c r="B596" s="34">
        <v>8940</v>
      </c>
      <c r="C596" s="34">
        <f t="shared" si="9"/>
        <v>8920000</v>
      </c>
      <c r="D596" s="34">
        <v>1222960</v>
      </c>
      <c r="E596" s="34">
        <v>1172250</v>
      </c>
      <c r="F596" s="34">
        <v>1017660</v>
      </c>
      <c r="G596" s="34">
        <v>987660</v>
      </c>
      <c r="H596" s="34">
        <v>957660</v>
      </c>
      <c r="I596" s="34">
        <v>927660</v>
      </c>
      <c r="J596" s="34">
        <v>897660</v>
      </c>
      <c r="K596" s="34">
        <v>867660</v>
      </c>
      <c r="L596" s="34">
        <v>837660</v>
      </c>
      <c r="M596" s="34">
        <v>807660</v>
      </c>
      <c r="N596" s="34">
        <v>777660</v>
      </c>
    </row>
    <row r="597" spans="1:14">
      <c r="A597" s="34">
        <v>8940</v>
      </c>
      <c r="B597" s="34">
        <v>8960</v>
      </c>
      <c r="C597" s="34">
        <f t="shared" si="9"/>
        <v>8940000</v>
      </c>
      <c r="D597" s="34">
        <v>1227640</v>
      </c>
      <c r="E597" s="34">
        <v>1176900</v>
      </c>
      <c r="F597" s="34">
        <v>1022020</v>
      </c>
      <c r="G597" s="34">
        <v>992020</v>
      </c>
      <c r="H597" s="34">
        <v>962020</v>
      </c>
      <c r="I597" s="34">
        <v>932020</v>
      </c>
      <c r="J597" s="34">
        <v>902020</v>
      </c>
      <c r="K597" s="34">
        <v>872020</v>
      </c>
      <c r="L597" s="34">
        <v>842020</v>
      </c>
      <c r="M597" s="34">
        <v>812020</v>
      </c>
      <c r="N597" s="34">
        <v>782020</v>
      </c>
    </row>
    <row r="598" spans="1:14">
      <c r="A598" s="34">
        <v>8960</v>
      </c>
      <c r="B598" s="34">
        <v>8980</v>
      </c>
      <c r="C598" s="34">
        <f t="shared" si="9"/>
        <v>8960000</v>
      </c>
      <c r="D598" s="34">
        <v>1232320</v>
      </c>
      <c r="E598" s="34">
        <v>1181560</v>
      </c>
      <c r="F598" s="34">
        <v>1026390</v>
      </c>
      <c r="G598" s="34">
        <v>996390</v>
      </c>
      <c r="H598" s="34">
        <v>966390</v>
      </c>
      <c r="I598" s="34">
        <v>936390</v>
      </c>
      <c r="J598" s="34">
        <v>906390</v>
      </c>
      <c r="K598" s="34">
        <v>876390</v>
      </c>
      <c r="L598" s="34">
        <v>846390</v>
      </c>
      <c r="M598" s="34">
        <v>816390</v>
      </c>
      <c r="N598" s="34">
        <v>786390</v>
      </c>
    </row>
    <row r="599" spans="1:14">
      <c r="A599" s="34">
        <v>8980</v>
      </c>
      <c r="B599" s="34">
        <v>9000</v>
      </c>
      <c r="C599" s="34">
        <f t="shared" si="9"/>
        <v>8980000</v>
      </c>
      <c r="D599" s="34">
        <v>1237000</v>
      </c>
      <c r="E599" s="34">
        <v>1186220</v>
      </c>
      <c r="F599" s="34">
        <v>1030760</v>
      </c>
      <c r="G599" s="34">
        <v>1000760</v>
      </c>
      <c r="H599" s="34">
        <v>970760</v>
      </c>
      <c r="I599" s="34">
        <v>940760</v>
      </c>
      <c r="J599" s="34">
        <v>910760</v>
      </c>
      <c r="K599" s="34">
        <v>880760</v>
      </c>
      <c r="L599" s="34">
        <v>850760</v>
      </c>
      <c r="M599" s="34">
        <v>820760</v>
      </c>
      <c r="N599" s="34">
        <v>790760</v>
      </c>
    </row>
    <row r="600" spans="1:14">
      <c r="A600" s="34">
        <v>9000</v>
      </c>
      <c r="B600" s="34">
        <v>9020</v>
      </c>
      <c r="C600" s="34">
        <f t="shared" si="9"/>
        <v>9000000</v>
      </c>
      <c r="D600" s="34">
        <v>1241680</v>
      </c>
      <c r="E600" s="34">
        <v>1190870</v>
      </c>
      <c r="F600" s="34">
        <v>1035130</v>
      </c>
      <c r="G600" s="34">
        <v>1005130</v>
      </c>
      <c r="H600" s="34">
        <v>975130</v>
      </c>
      <c r="I600" s="34">
        <v>945130</v>
      </c>
      <c r="J600" s="34">
        <v>915130</v>
      </c>
      <c r="K600" s="34">
        <v>885130</v>
      </c>
      <c r="L600" s="34">
        <v>855130</v>
      </c>
      <c r="M600" s="34">
        <v>825130</v>
      </c>
      <c r="N600" s="34">
        <v>795130</v>
      </c>
    </row>
    <row r="601" spans="1:14">
      <c r="A601" s="34">
        <v>9020</v>
      </c>
      <c r="B601" s="34">
        <v>9040</v>
      </c>
      <c r="C601" s="34">
        <f t="shared" si="9"/>
        <v>9020000</v>
      </c>
      <c r="D601" s="34">
        <v>1246360</v>
      </c>
      <c r="E601" s="34">
        <v>1195530</v>
      </c>
      <c r="F601" s="34">
        <v>1039500</v>
      </c>
      <c r="G601" s="34">
        <v>1009500</v>
      </c>
      <c r="H601" s="34">
        <v>979500</v>
      </c>
      <c r="I601" s="34">
        <v>949500</v>
      </c>
      <c r="J601" s="34">
        <v>919500</v>
      </c>
      <c r="K601" s="34">
        <v>889500</v>
      </c>
      <c r="L601" s="34">
        <v>859500</v>
      </c>
      <c r="M601" s="34">
        <v>829500</v>
      </c>
      <c r="N601" s="34">
        <v>799500</v>
      </c>
    </row>
    <row r="602" spans="1:14">
      <c r="A602" s="34">
        <v>9040</v>
      </c>
      <c r="B602" s="34">
        <v>9060</v>
      </c>
      <c r="C602" s="34">
        <f t="shared" si="9"/>
        <v>9040000</v>
      </c>
      <c r="D602" s="34">
        <v>1251040</v>
      </c>
      <c r="E602" s="34">
        <v>1200180</v>
      </c>
      <c r="F602" s="34">
        <v>1043860</v>
      </c>
      <c r="G602" s="34">
        <v>1013860</v>
      </c>
      <c r="H602" s="34">
        <v>983860</v>
      </c>
      <c r="I602" s="34">
        <v>953860</v>
      </c>
      <c r="J602" s="34">
        <v>923860</v>
      </c>
      <c r="K602" s="34">
        <v>893860</v>
      </c>
      <c r="L602" s="34">
        <v>863860</v>
      </c>
      <c r="M602" s="34">
        <v>833860</v>
      </c>
      <c r="N602" s="34">
        <v>803860</v>
      </c>
    </row>
    <row r="603" spans="1:14">
      <c r="A603" s="34">
        <v>9060</v>
      </c>
      <c r="B603" s="34">
        <v>9080</v>
      </c>
      <c r="C603" s="34">
        <f t="shared" si="9"/>
        <v>9060000</v>
      </c>
      <c r="D603" s="34">
        <v>1255720</v>
      </c>
      <c r="E603" s="34">
        <v>1204840</v>
      </c>
      <c r="F603" s="34">
        <v>1048230</v>
      </c>
      <c r="G603" s="34">
        <v>1018230</v>
      </c>
      <c r="H603" s="34">
        <v>988230</v>
      </c>
      <c r="I603" s="34">
        <v>958230</v>
      </c>
      <c r="J603" s="34">
        <v>928230</v>
      </c>
      <c r="K603" s="34">
        <v>898230</v>
      </c>
      <c r="L603" s="34">
        <v>868230</v>
      </c>
      <c r="M603" s="34">
        <v>838230</v>
      </c>
      <c r="N603" s="34">
        <v>808230</v>
      </c>
    </row>
    <row r="604" spans="1:14">
      <c r="A604" s="34">
        <v>9080</v>
      </c>
      <c r="B604" s="34">
        <v>9100</v>
      </c>
      <c r="C604" s="34">
        <f t="shared" si="9"/>
        <v>9080000</v>
      </c>
      <c r="D604" s="34">
        <v>1260400</v>
      </c>
      <c r="E604" s="34">
        <v>1209500</v>
      </c>
      <c r="F604" s="34">
        <v>1052600</v>
      </c>
      <c r="G604" s="34">
        <v>1022600</v>
      </c>
      <c r="H604" s="34">
        <v>992600</v>
      </c>
      <c r="I604" s="34">
        <v>962600</v>
      </c>
      <c r="J604" s="34">
        <v>932600</v>
      </c>
      <c r="K604" s="34">
        <v>902600</v>
      </c>
      <c r="L604" s="34">
        <v>872600</v>
      </c>
      <c r="M604" s="34">
        <v>842600</v>
      </c>
      <c r="N604" s="34">
        <v>812600</v>
      </c>
    </row>
    <row r="605" spans="1:14">
      <c r="A605" s="34">
        <v>9100</v>
      </c>
      <c r="B605" s="34">
        <v>9120</v>
      </c>
      <c r="C605" s="34">
        <f t="shared" si="9"/>
        <v>9100000</v>
      </c>
      <c r="D605" s="34">
        <v>1265080</v>
      </c>
      <c r="E605" s="34">
        <v>1214150</v>
      </c>
      <c r="F605" s="34">
        <v>1056970</v>
      </c>
      <c r="G605" s="34">
        <v>1026970</v>
      </c>
      <c r="H605" s="34">
        <v>996970</v>
      </c>
      <c r="I605" s="34">
        <v>966970</v>
      </c>
      <c r="J605" s="34">
        <v>936970</v>
      </c>
      <c r="K605" s="34">
        <v>906970</v>
      </c>
      <c r="L605" s="34">
        <v>876970</v>
      </c>
      <c r="M605" s="34">
        <v>846970</v>
      </c>
      <c r="N605" s="34">
        <v>816970</v>
      </c>
    </row>
    <row r="606" spans="1:14">
      <c r="A606" s="34">
        <v>9120</v>
      </c>
      <c r="B606" s="34">
        <v>9140</v>
      </c>
      <c r="C606" s="34">
        <f t="shared" si="9"/>
        <v>9120000</v>
      </c>
      <c r="D606" s="34">
        <v>1269760</v>
      </c>
      <c r="E606" s="34">
        <v>1218810</v>
      </c>
      <c r="F606" s="34">
        <v>1061340</v>
      </c>
      <c r="G606" s="34">
        <v>1031340</v>
      </c>
      <c r="H606" s="34">
        <v>1001340</v>
      </c>
      <c r="I606" s="34">
        <v>971340</v>
      </c>
      <c r="J606" s="34">
        <v>941340</v>
      </c>
      <c r="K606" s="34">
        <v>911340</v>
      </c>
      <c r="L606" s="34">
        <v>881340</v>
      </c>
      <c r="M606" s="34">
        <v>851340</v>
      </c>
      <c r="N606" s="34">
        <v>821340</v>
      </c>
    </row>
    <row r="607" spans="1:14">
      <c r="A607" s="34">
        <v>9140</v>
      </c>
      <c r="B607" s="34">
        <v>9160</v>
      </c>
      <c r="C607" s="34">
        <f t="shared" si="9"/>
        <v>9140000</v>
      </c>
      <c r="D607" s="34">
        <v>1274440</v>
      </c>
      <c r="E607" s="34">
        <v>1223460</v>
      </c>
      <c r="F607" s="34">
        <v>1065700</v>
      </c>
      <c r="G607" s="34">
        <v>1035700</v>
      </c>
      <c r="H607" s="34">
        <v>1005700</v>
      </c>
      <c r="I607" s="34">
        <v>975700</v>
      </c>
      <c r="J607" s="34">
        <v>945700</v>
      </c>
      <c r="K607" s="34">
        <v>915700</v>
      </c>
      <c r="L607" s="34">
        <v>885700</v>
      </c>
      <c r="M607" s="34">
        <v>855700</v>
      </c>
      <c r="N607" s="34">
        <v>825700</v>
      </c>
    </row>
    <row r="608" spans="1:14">
      <c r="A608" s="34">
        <v>9160</v>
      </c>
      <c r="B608" s="34">
        <v>9180</v>
      </c>
      <c r="C608" s="34">
        <f t="shared" si="9"/>
        <v>9160000</v>
      </c>
      <c r="D608" s="34">
        <v>1279120</v>
      </c>
      <c r="E608" s="34">
        <v>1228120</v>
      </c>
      <c r="F608" s="34">
        <v>1070070</v>
      </c>
      <c r="G608" s="34">
        <v>1040070</v>
      </c>
      <c r="H608" s="34">
        <v>1010070</v>
      </c>
      <c r="I608" s="34">
        <v>980070</v>
      </c>
      <c r="J608" s="34">
        <v>950070</v>
      </c>
      <c r="K608" s="34">
        <v>920070</v>
      </c>
      <c r="L608" s="34">
        <v>890070</v>
      </c>
      <c r="M608" s="34">
        <v>860070</v>
      </c>
      <c r="N608" s="34">
        <v>830070</v>
      </c>
    </row>
    <row r="609" spans="1:14">
      <c r="A609" s="34">
        <v>9180</v>
      </c>
      <c r="B609" s="34">
        <v>9200</v>
      </c>
      <c r="C609" s="34">
        <f t="shared" si="9"/>
        <v>9180000</v>
      </c>
      <c r="D609" s="34">
        <v>1284020</v>
      </c>
      <c r="E609" s="34">
        <v>1232780</v>
      </c>
      <c r="F609" s="34">
        <v>1074440</v>
      </c>
      <c r="G609" s="34">
        <v>1044440</v>
      </c>
      <c r="H609" s="34">
        <v>1014440</v>
      </c>
      <c r="I609" s="34">
        <v>984440</v>
      </c>
      <c r="J609" s="34">
        <v>954440</v>
      </c>
      <c r="K609" s="34">
        <v>924440</v>
      </c>
      <c r="L609" s="34">
        <v>894440</v>
      </c>
      <c r="M609" s="34">
        <v>864440</v>
      </c>
      <c r="N609" s="34">
        <v>834440</v>
      </c>
    </row>
    <row r="610" spans="1:14">
      <c r="A610" s="34">
        <v>9200</v>
      </c>
      <c r="B610" s="34">
        <v>9220</v>
      </c>
      <c r="C610" s="34">
        <f t="shared" si="9"/>
        <v>9200000</v>
      </c>
      <c r="D610" s="34">
        <v>1290850</v>
      </c>
      <c r="E610" s="34">
        <v>1237430</v>
      </c>
      <c r="F610" s="34">
        <v>1078810</v>
      </c>
      <c r="G610" s="34">
        <v>1048810</v>
      </c>
      <c r="H610" s="34">
        <v>1018810</v>
      </c>
      <c r="I610" s="34">
        <v>988810</v>
      </c>
      <c r="J610" s="34">
        <v>958810</v>
      </c>
      <c r="K610" s="34">
        <v>928810</v>
      </c>
      <c r="L610" s="34">
        <v>898810</v>
      </c>
      <c r="M610" s="34">
        <v>868810</v>
      </c>
      <c r="N610" s="34">
        <v>838810</v>
      </c>
    </row>
    <row r="611" spans="1:14">
      <c r="A611" s="34">
        <v>9220</v>
      </c>
      <c r="B611" s="34">
        <v>9240</v>
      </c>
      <c r="C611" s="34">
        <f t="shared" si="9"/>
        <v>9220000</v>
      </c>
      <c r="D611" s="34">
        <v>1297670</v>
      </c>
      <c r="E611" s="34">
        <v>1242090</v>
      </c>
      <c r="F611" s="34">
        <v>1083180</v>
      </c>
      <c r="G611" s="34">
        <v>1053180</v>
      </c>
      <c r="H611" s="34">
        <v>1023180</v>
      </c>
      <c r="I611" s="34">
        <v>993180</v>
      </c>
      <c r="J611" s="34">
        <v>963180</v>
      </c>
      <c r="K611" s="34">
        <v>933180</v>
      </c>
      <c r="L611" s="34">
        <v>903180</v>
      </c>
      <c r="M611" s="34">
        <v>873180</v>
      </c>
      <c r="N611" s="34">
        <v>843180</v>
      </c>
    </row>
    <row r="612" spans="1:14">
      <c r="A612" s="34">
        <v>9240</v>
      </c>
      <c r="B612" s="34">
        <v>9260</v>
      </c>
      <c r="C612" s="34">
        <f t="shared" si="9"/>
        <v>9240000</v>
      </c>
      <c r="D612" s="34">
        <v>1304500</v>
      </c>
      <c r="E612" s="34">
        <v>1246740</v>
      </c>
      <c r="F612" s="34">
        <v>1087540</v>
      </c>
      <c r="G612" s="34">
        <v>1057540</v>
      </c>
      <c r="H612" s="34">
        <v>1027540</v>
      </c>
      <c r="I612" s="34">
        <v>997540</v>
      </c>
      <c r="J612" s="34">
        <v>967540</v>
      </c>
      <c r="K612" s="34">
        <v>937540</v>
      </c>
      <c r="L612" s="34">
        <v>907540</v>
      </c>
      <c r="M612" s="34">
        <v>877540</v>
      </c>
      <c r="N612" s="34">
        <v>847540</v>
      </c>
    </row>
    <row r="613" spans="1:14">
      <c r="A613" s="34">
        <v>9260</v>
      </c>
      <c r="B613" s="34">
        <v>9280</v>
      </c>
      <c r="C613" s="34">
        <f t="shared" si="9"/>
        <v>9260000</v>
      </c>
      <c r="D613" s="34">
        <v>1311320</v>
      </c>
      <c r="E613" s="34">
        <v>1251400</v>
      </c>
      <c r="F613" s="34">
        <v>1091910</v>
      </c>
      <c r="G613" s="34">
        <v>1061910</v>
      </c>
      <c r="H613" s="34">
        <v>1031910</v>
      </c>
      <c r="I613" s="34">
        <v>1001910</v>
      </c>
      <c r="J613" s="34">
        <v>971910</v>
      </c>
      <c r="K613" s="34">
        <v>941910</v>
      </c>
      <c r="L613" s="34">
        <v>911910</v>
      </c>
      <c r="M613" s="34">
        <v>881910</v>
      </c>
      <c r="N613" s="34">
        <v>851910</v>
      </c>
    </row>
    <row r="614" spans="1:14">
      <c r="A614" s="34">
        <v>9280</v>
      </c>
      <c r="B614" s="34">
        <v>9300</v>
      </c>
      <c r="C614" s="34">
        <f t="shared" si="9"/>
        <v>9280000</v>
      </c>
      <c r="D614" s="34">
        <v>1318150</v>
      </c>
      <c r="E614" s="34">
        <v>1256060</v>
      </c>
      <c r="F614" s="34">
        <v>1096280</v>
      </c>
      <c r="G614" s="34">
        <v>1066280</v>
      </c>
      <c r="H614" s="34">
        <v>1036280</v>
      </c>
      <c r="I614" s="34">
        <v>1006280</v>
      </c>
      <c r="J614" s="34">
        <v>976280</v>
      </c>
      <c r="K614" s="34">
        <v>946280</v>
      </c>
      <c r="L614" s="34">
        <v>916280</v>
      </c>
      <c r="M614" s="34">
        <v>886280</v>
      </c>
      <c r="N614" s="34">
        <v>856280</v>
      </c>
    </row>
    <row r="615" spans="1:14">
      <c r="A615" s="34">
        <v>9300</v>
      </c>
      <c r="B615" s="34">
        <v>9320</v>
      </c>
      <c r="C615" s="34">
        <f t="shared" si="9"/>
        <v>9300000</v>
      </c>
      <c r="D615" s="34">
        <v>1324970</v>
      </c>
      <c r="E615" s="34">
        <v>1260710</v>
      </c>
      <c r="F615" s="34">
        <v>1100650</v>
      </c>
      <c r="G615" s="34">
        <v>1070650</v>
      </c>
      <c r="H615" s="34">
        <v>1040650</v>
      </c>
      <c r="I615" s="34">
        <v>1010650</v>
      </c>
      <c r="J615" s="34">
        <v>980650</v>
      </c>
      <c r="K615" s="34">
        <v>950650</v>
      </c>
      <c r="L615" s="34">
        <v>920650</v>
      </c>
      <c r="M615" s="34">
        <v>890650</v>
      </c>
      <c r="N615" s="34">
        <v>860650</v>
      </c>
    </row>
    <row r="616" spans="1:14">
      <c r="A616" s="34">
        <v>9320</v>
      </c>
      <c r="B616" s="34">
        <v>9340</v>
      </c>
      <c r="C616" s="34">
        <f t="shared" si="9"/>
        <v>9320000</v>
      </c>
      <c r="D616" s="34">
        <v>1331800</v>
      </c>
      <c r="E616" s="34">
        <v>1265370</v>
      </c>
      <c r="F616" s="34">
        <v>1105020</v>
      </c>
      <c r="G616" s="34">
        <v>1075020</v>
      </c>
      <c r="H616" s="34">
        <v>1045020</v>
      </c>
      <c r="I616" s="34">
        <v>1015020</v>
      </c>
      <c r="J616" s="34">
        <v>985020</v>
      </c>
      <c r="K616" s="34">
        <v>955020</v>
      </c>
      <c r="L616" s="34">
        <v>925020</v>
      </c>
      <c r="M616" s="34">
        <v>895020</v>
      </c>
      <c r="N616" s="34">
        <v>865020</v>
      </c>
    </row>
    <row r="617" spans="1:14">
      <c r="A617" s="34">
        <v>9340</v>
      </c>
      <c r="B617" s="34">
        <v>9360</v>
      </c>
      <c r="C617" s="34">
        <f t="shared" si="9"/>
        <v>9340000</v>
      </c>
      <c r="D617" s="34">
        <v>1338620</v>
      </c>
      <c r="E617" s="34">
        <v>1270020</v>
      </c>
      <c r="F617" s="34">
        <v>1109380</v>
      </c>
      <c r="G617" s="34">
        <v>1079380</v>
      </c>
      <c r="H617" s="34">
        <v>1049380</v>
      </c>
      <c r="I617" s="34">
        <v>1019380</v>
      </c>
      <c r="J617" s="34">
        <v>989380</v>
      </c>
      <c r="K617" s="34">
        <v>959380</v>
      </c>
      <c r="L617" s="34">
        <v>929380</v>
      </c>
      <c r="M617" s="34">
        <v>899380</v>
      </c>
      <c r="N617" s="34">
        <v>869380</v>
      </c>
    </row>
    <row r="618" spans="1:14">
      <c r="A618" s="34">
        <v>9360</v>
      </c>
      <c r="B618" s="34">
        <v>9380</v>
      </c>
      <c r="C618" s="34">
        <f t="shared" si="9"/>
        <v>9360000</v>
      </c>
      <c r="D618" s="34">
        <v>1345450</v>
      </c>
      <c r="E618" s="34">
        <v>1274680</v>
      </c>
      <c r="F618" s="34">
        <v>1113750</v>
      </c>
      <c r="G618" s="34">
        <v>1083750</v>
      </c>
      <c r="H618" s="34">
        <v>1053750</v>
      </c>
      <c r="I618" s="34">
        <v>1023750</v>
      </c>
      <c r="J618" s="34">
        <v>993750</v>
      </c>
      <c r="K618" s="34">
        <v>963750</v>
      </c>
      <c r="L618" s="34">
        <v>933750</v>
      </c>
      <c r="M618" s="34">
        <v>903750</v>
      </c>
      <c r="N618" s="34">
        <v>873750</v>
      </c>
    </row>
    <row r="619" spans="1:14">
      <c r="A619" s="34">
        <v>9380</v>
      </c>
      <c r="B619" s="34">
        <v>9400</v>
      </c>
      <c r="C619" s="34">
        <f t="shared" si="9"/>
        <v>9380000</v>
      </c>
      <c r="D619" s="34">
        <v>1352270</v>
      </c>
      <c r="E619" s="34">
        <v>1279340</v>
      </c>
      <c r="F619" s="34">
        <v>1118120</v>
      </c>
      <c r="G619" s="34">
        <v>1088120</v>
      </c>
      <c r="H619" s="34">
        <v>1058120</v>
      </c>
      <c r="I619" s="34">
        <v>1028120</v>
      </c>
      <c r="J619" s="34">
        <v>998120</v>
      </c>
      <c r="K619" s="34">
        <v>968120</v>
      </c>
      <c r="L619" s="34">
        <v>938120</v>
      </c>
      <c r="M619" s="34">
        <v>908120</v>
      </c>
      <c r="N619" s="34">
        <v>878120</v>
      </c>
    </row>
    <row r="620" spans="1:14">
      <c r="A620" s="34">
        <v>9400</v>
      </c>
      <c r="B620" s="34">
        <v>9420</v>
      </c>
      <c r="C620" s="34">
        <f t="shared" si="9"/>
        <v>9400000</v>
      </c>
      <c r="D620" s="34">
        <v>1359100</v>
      </c>
      <c r="E620" s="34">
        <v>1284300</v>
      </c>
      <c r="F620" s="34">
        <v>1122490</v>
      </c>
      <c r="G620" s="34">
        <v>1092490</v>
      </c>
      <c r="H620" s="34">
        <v>1062490</v>
      </c>
      <c r="I620" s="34">
        <v>1032490</v>
      </c>
      <c r="J620" s="34">
        <v>1002490</v>
      </c>
      <c r="K620" s="34">
        <v>972490</v>
      </c>
      <c r="L620" s="34">
        <v>942490</v>
      </c>
      <c r="M620" s="34">
        <v>912490</v>
      </c>
      <c r="N620" s="34">
        <v>882490</v>
      </c>
    </row>
    <row r="621" spans="1:14">
      <c r="A621" s="34">
        <v>9420</v>
      </c>
      <c r="B621" s="34">
        <v>9440</v>
      </c>
      <c r="C621" s="34">
        <f t="shared" si="9"/>
        <v>9420000</v>
      </c>
      <c r="D621" s="34">
        <v>1365920</v>
      </c>
      <c r="E621" s="34">
        <v>1291090</v>
      </c>
      <c r="F621" s="34">
        <v>1126860</v>
      </c>
      <c r="G621" s="34">
        <v>1096860</v>
      </c>
      <c r="H621" s="34">
        <v>1066860</v>
      </c>
      <c r="I621" s="34">
        <v>1036860</v>
      </c>
      <c r="J621" s="34">
        <v>1006860</v>
      </c>
      <c r="K621" s="34">
        <v>976860</v>
      </c>
      <c r="L621" s="34">
        <v>946860</v>
      </c>
      <c r="M621" s="34">
        <v>916860</v>
      </c>
      <c r="N621" s="34">
        <v>886860</v>
      </c>
    </row>
    <row r="622" spans="1:14">
      <c r="A622" s="34">
        <v>9440</v>
      </c>
      <c r="B622" s="34">
        <v>9460</v>
      </c>
      <c r="C622" s="34">
        <f t="shared" si="9"/>
        <v>9440000</v>
      </c>
      <c r="D622" s="34">
        <v>1372750</v>
      </c>
      <c r="E622" s="34">
        <v>1297880</v>
      </c>
      <c r="F622" s="34">
        <v>1131220</v>
      </c>
      <c r="G622" s="34">
        <v>1101220</v>
      </c>
      <c r="H622" s="34">
        <v>1071220</v>
      </c>
      <c r="I622" s="34">
        <v>1041220</v>
      </c>
      <c r="J622" s="34">
        <v>1011220</v>
      </c>
      <c r="K622" s="34">
        <v>981220</v>
      </c>
      <c r="L622" s="34">
        <v>951220</v>
      </c>
      <c r="M622" s="34">
        <v>921220</v>
      </c>
      <c r="N622" s="34">
        <v>891220</v>
      </c>
    </row>
    <row r="623" spans="1:14">
      <c r="A623" s="34">
        <v>9460</v>
      </c>
      <c r="B623" s="34">
        <v>9480</v>
      </c>
      <c r="C623" s="34">
        <f t="shared" si="9"/>
        <v>9460000</v>
      </c>
      <c r="D623" s="34">
        <v>1379570</v>
      </c>
      <c r="E623" s="34">
        <v>1304670</v>
      </c>
      <c r="F623" s="34">
        <v>1135590</v>
      </c>
      <c r="G623" s="34">
        <v>1105590</v>
      </c>
      <c r="H623" s="34">
        <v>1075590</v>
      </c>
      <c r="I623" s="34">
        <v>1045590</v>
      </c>
      <c r="J623" s="34">
        <v>1015590</v>
      </c>
      <c r="K623" s="34">
        <v>985590</v>
      </c>
      <c r="L623" s="34">
        <v>955590</v>
      </c>
      <c r="M623" s="34">
        <v>925590</v>
      </c>
      <c r="N623" s="34">
        <v>895590</v>
      </c>
    </row>
    <row r="624" spans="1:14">
      <c r="A624" s="34">
        <v>9480</v>
      </c>
      <c r="B624" s="34">
        <v>9500</v>
      </c>
      <c r="C624" s="34">
        <f t="shared" si="9"/>
        <v>9480000</v>
      </c>
      <c r="D624" s="34">
        <v>1386400</v>
      </c>
      <c r="E624" s="34">
        <v>1311460</v>
      </c>
      <c r="F624" s="34">
        <v>1139960</v>
      </c>
      <c r="G624" s="34">
        <v>1109960</v>
      </c>
      <c r="H624" s="34">
        <v>1079960</v>
      </c>
      <c r="I624" s="34">
        <v>1049960</v>
      </c>
      <c r="J624" s="34">
        <v>1019960</v>
      </c>
      <c r="K624" s="34">
        <v>989960</v>
      </c>
      <c r="L624" s="34">
        <v>959960</v>
      </c>
      <c r="M624" s="34">
        <v>929960</v>
      </c>
      <c r="N624" s="34">
        <v>899960</v>
      </c>
    </row>
    <row r="625" spans="1:14">
      <c r="A625" s="34">
        <v>9500</v>
      </c>
      <c r="B625" s="34">
        <v>9520</v>
      </c>
      <c r="C625" s="34">
        <f t="shared" si="9"/>
        <v>9500000</v>
      </c>
      <c r="D625" s="34">
        <v>1393220</v>
      </c>
      <c r="E625" s="34">
        <v>1318250</v>
      </c>
      <c r="F625" s="34">
        <v>1144330</v>
      </c>
      <c r="G625" s="34">
        <v>1114330</v>
      </c>
      <c r="H625" s="34">
        <v>1084330</v>
      </c>
      <c r="I625" s="34">
        <v>1054330</v>
      </c>
      <c r="J625" s="34">
        <v>1024330</v>
      </c>
      <c r="K625" s="34">
        <v>994330</v>
      </c>
      <c r="L625" s="34">
        <v>964330</v>
      </c>
      <c r="M625" s="34">
        <v>934330</v>
      </c>
      <c r="N625" s="34">
        <v>904330</v>
      </c>
    </row>
    <row r="626" spans="1:14">
      <c r="A626" s="34">
        <v>9520</v>
      </c>
      <c r="B626" s="34">
        <v>9540</v>
      </c>
      <c r="C626" s="34">
        <f t="shared" si="9"/>
        <v>9520000</v>
      </c>
      <c r="D626" s="34">
        <v>1400050</v>
      </c>
      <c r="E626" s="34">
        <v>1325040</v>
      </c>
      <c r="F626" s="34">
        <v>1148700</v>
      </c>
      <c r="G626" s="34">
        <v>1118700</v>
      </c>
      <c r="H626" s="34">
        <v>1088700</v>
      </c>
      <c r="I626" s="34">
        <v>1058700</v>
      </c>
      <c r="J626" s="34">
        <v>1028700</v>
      </c>
      <c r="K626" s="34">
        <v>998700</v>
      </c>
      <c r="L626" s="34">
        <v>968700</v>
      </c>
      <c r="M626" s="34">
        <v>938700</v>
      </c>
      <c r="N626" s="34">
        <v>908700</v>
      </c>
    </row>
    <row r="627" spans="1:14">
      <c r="A627" s="34">
        <v>9540</v>
      </c>
      <c r="B627" s="34">
        <v>9560</v>
      </c>
      <c r="C627" s="34">
        <f t="shared" si="9"/>
        <v>9540000</v>
      </c>
      <c r="D627" s="34">
        <v>1406870</v>
      </c>
      <c r="E627" s="34">
        <v>1331830</v>
      </c>
      <c r="F627" s="34">
        <v>1153060</v>
      </c>
      <c r="G627" s="34">
        <v>1123060</v>
      </c>
      <c r="H627" s="34">
        <v>1093060</v>
      </c>
      <c r="I627" s="34">
        <v>1063060</v>
      </c>
      <c r="J627" s="34">
        <v>1033060</v>
      </c>
      <c r="K627" s="34">
        <v>1003060</v>
      </c>
      <c r="L627" s="34">
        <v>973060</v>
      </c>
      <c r="M627" s="34">
        <v>943060</v>
      </c>
      <c r="N627" s="34">
        <v>913060</v>
      </c>
    </row>
    <row r="628" spans="1:14">
      <c r="A628" s="34">
        <v>9560</v>
      </c>
      <c r="B628" s="34">
        <v>9580</v>
      </c>
      <c r="C628" s="34">
        <f t="shared" si="9"/>
        <v>9560000</v>
      </c>
      <c r="D628" s="34">
        <v>1413700</v>
      </c>
      <c r="E628" s="34">
        <v>1338620</v>
      </c>
      <c r="F628" s="34">
        <v>1157430</v>
      </c>
      <c r="G628" s="34">
        <v>1127430</v>
      </c>
      <c r="H628" s="34">
        <v>1097430</v>
      </c>
      <c r="I628" s="34">
        <v>1067430</v>
      </c>
      <c r="J628" s="34">
        <v>1037430</v>
      </c>
      <c r="K628" s="34">
        <v>1007430</v>
      </c>
      <c r="L628" s="34">
        <v>977430</v>
      </c>
      <c r="M628" s="34">
        <v>947430</v>
      </c>
      <c r="N628" s="34">
        <v>917430</v>
      </c>
    </row>
    <row r="629" spans="1:14">
      <c r="A629" s="34">
        <v>9580</v>
      </c>
      <c r="B629" s="34">
        <v>9600</v>
      </c>
      <c r="C629" s="34">
        <f t="shared" si="9"/>
        <v>9580000</v>
      </c>
      <c r="D629" s="34">
        <v>1420520</v>
      </c>
      <c r="E629" s="34">
        <v>1345410</v>
      </c>
      <c r="F629" s="34">
        <v>1161800</v>
      </c>
      <c r="G629" s="34">
        <v>1131800</v>
      </c>
      <c r="H629" s="34">
        <v>1101800</v>
      </c>
      <c r="I629" s="34">
        <v>1071800</v>
      </c>
      <c r="J629" s="34">
        <v>1041800</v>
      </c>
      <c r="K629" s="34">
        <v>1011800</v>
      </c>
      <c r="L629" s="34">
        <v>981800</v>
      </c>
      <c r="M629" s="34">
        <v>951800</v>
      </c>
      <c r="N629" s="34">
        <v>921800</v>
      </c>
    </row>
    <row r="630" spans="1:14">
      <c r="A630" s="34">
        <v>9600</v>
      </c>
      <c r="B630" s="34">
        <v>9620</v>
      </c>
      <c r="C630" s="34">
        <f t="shared" si="9"/>
        <v>9600000</v>
      </c>
      <c r="D630" s="34">
        <v>1427350</v>
      </c>
      <c r="E630" s="34">
        <v>1352200</v>
      </c>
      <c r="F630" s="34">
        <v>1166170</v>
      </c>
      <c r="G630" s="34">
        <v>1136170</v>
      </c>
      <c r="H630" s="34">
        <v>1106170</v>
      </c>
      <c r="I630" s="34">
        <v>1076170</v>
      </c>
      <c r="J630" s="34">
        <v>1046170</v>
      </c>
      <c r="K630" s="34">
        <v>1016170</v>
      </c>
      <c r="L630" s="34">
        <v>986170</v>
      </c>
      <c r="M630" s="34">
        <v>956170</v>
      </c>
      <c r="N630" s="34">
        <v>926170</v>
      </c>
    </row>
    <row r="631" spans="1:14">
      <c r="A631" s="34">
        <v>9620</v>
      </c>
      <c r="B631" s="34">
        <v>9640</v>
      </c>
      <c r="C631" s="34">
        <f t="shared" si="9"/>
        <v>9620000</v>
      </c>
      <c r="D631" s="34">
        <v>1434170</v>
      </c>
      <c r="E631" s="34">
        <v>1358990</v>
      </c>
      <c r="F631" s="34">
        <v>1170540</v>
      </c>
      <c r="G631" s="34">
        <v>1140540</v>
      </c>
      <c r="H631" s="34">
        <v>1110540</v>
      </c>
      <c r="I631" s="34">
        <v>1080540</v>
      </c>
      <c r="J631" s="34">
        <v>1050540</v>
      </c>
      <c r="K631" s="34">
        <v>1020540</v>
      </c>
      <c r="L631" s="34">
        <v>990540</v>
      </c>
      <c r="M631" s="34">
        <v>960540</v>
      </c>
      <c r="N631" s="34">
        <v>930540</v>
      </c>
    </row>
    <row r="632" spans="1:14">
      <c r="A632" s="34">
        <v>9640</v>
      </c>
      <c r="B632" s="34">
        <v>9660</v>
      </c>
      <c r="C632" s="34">
        <f t="shared" si="9"/>
        <v>9640000</v>
      </c>
      <c r="D632" s="34">
        <v>1441000</v>
      </c>
      <c r="E632" s="34">
        <v>1365780</v>
      </c>
      <c r="F632" s="34">
        <v>1174900</v>
      </c>
      <c r="G632" s="34">
        <v>1144900</v>
      </c>
      <c r="H632" s="34">
        <v>1114900</v>
      </c>
      <c r="I632" s="34">
        <v>1084900</v>
      </c>
      <c r="J632" s="34">
        <v>1054900</v>
      </c>
      <c r="K632" s="34">
        <v>1024900</v>
      </c>
      <c r="L632" s="34">
        <v>994900</v>
      </c>
      <c r="M632" s="34">
        <v>964900</v>
      </c>
      <c r="N632" s="34">
        <v>934900</v>
      </c>
    </row>
    <row r="633" spans="1:14">
      <c r="A633" s="34">
        <v>9660</v>
      </c>
      <c r="B633" s="34">
        <v>9680</v>
      </c>
      <c r="C633" s="34">
        <f t="shared" si="9"/>
        <v>9660000</v>
      </c>
      <c r="D633" s="34">
        <v>1447820</v>
      </c>
      <c r="E633" s="34">
        <v>1372570</v>
      </c>
      <c r="F633" s="34">
        <v>1179270</v>
      </c>
      <c r="G633" s="34">
        <v>1149270</v>
      </c>
      <c r="H633" s="34">
        <v>1119270</v>
      </c>
      <c r="I633" s="34">
        <v>1089270</v>
      </c>
      <c r="J633" s="34">
        <v>1059270</v>
      </c>
      <c r="K633" s="34">
        <v>1029270</v>
      </c>
      <c r="L633" s="34">
        <v>999270</v>
      </c>
      <c r="M633" s="34">
        <v>969270</v>
      </c>
      <c r="N633" s="34">
        <v>939270</v>
      </c>
    </row>
    <row r="634" spans="1:14">
      <c r="A634" s="34">
        <v>9680</v>
      </c>
      <c r="B634" s="34">
        <v>9700</v>
      </c>
      <c r="C634" s="34">
        <f t="shared" si="9"/>
        <v>9680000</v>
      </c>
      <c r="D634" s="34">
        <v>1454650</v>
      </c>
      <c r="E634" s="34">
        <v>1379360</v>
      </c>
      <c r="F634" s="34">
        <v>1183640</v>
      </c>
      <c r="G634" s="34">
        <v>1153640</v>
      </c>
      <c r="H634" s="34">
        <v>1123640</v>
      </c>
      <c r="I634" s="34">
        <v>1093640</v>
      </c>
      <c r="J634" s="34">
        <v>1063640</v>
      </c>
      <c r="K634" s="34">
        <v>1033640</v>
      </c>
      <c r="L634" s="34">
        <v>1003640</v>
      </c>
      <c r="M634" s="34">
        <v>973640</v>
      </c>
      <c r="N634" s="34">
        <v>943640</v>
      </c>
    </row>
    <row r="635" spans="1:14">
      <c r="A635" s="34">
        <v>9700</v>
      </c>
      <c r="B635" s="34">
        <v>9720</v>
      </c>
      <c r="C635" s="34">
        <f t="shared" si="9"/>
        <v>9700000</v>
      </c>
      <c r="D635" s="34">
        <v>1461470</v>
      </c>
      <c r="E635" s="34">
        <v>1386150</v>
      </c>
      <c r="F635" s="34">
        <v>1188010</v>
      </c>
      <c r="G635" s="34">
        <v>1158010</v>
      </c>
      <c r="H635" s="34">
        <v>1128010</v>
      </c>
      <c r="I635" s="34">
        <v>1098010</v>
      </c>
      <c r="J635" s="34">
        <v>1068010</v>
      </c>
      <c r="K635" s="34">
        <v>1038010</v>
      </c>
      <c r="L635" s="34">
        <v>1008010</v>
      </c>
      <c r="M635" s="34">
        <v>978010</v>
      </c>
      <c r="N635" s="34">
        <v>948010</v>
      </c>
    </row>
    <row r="636" spans="1:14">
      <c r="A636" s="34">
        <v>9720</v>
      </c>
      <c r="B636" s="34">
        <v>9740</v>
      </c>
      <c r="C636" s="34">
        <f t="shared" si="9"/>
        <v>9720000</v>
      </c>
      <c r="D636" s="34">
        <v>1468300</v>
      </c>
      <c r="E636" s="34">
        <v>1392940</v>
      </c>
      <c r="F636" s="34">
        <v>1192380</v>
      </c>
      <c r="G636" s="34">
        <v>1162380</v>
      </c>
      <c r="H636" s="34">
        <v>1132380</v>
      </c>
      <c r="I636" s="34">
        <v>1102380</v>
      </c>
      <c r="J636" s="34">
        <v>1072380</v>
      </c>
      <c r="K636" s="34">
        <v>1042380</v>
      </c>
      <c r="L636" s="34">
        <v>1012380</v>
      </c>
      <c r="M636" s="34">
        <v>982380</v>
      </c>
      <c r="N636" s="34">
        <v>952380</v>
      </c>
    </row>
    <row r="637" spans="1:14">
      <c r="A637" s="34">
        <v>9740</v>
      </c>
      <c r="B637" s="34">
        <v>9760</v>
      </c>
      <c r="C637" s="34">
        <f t="shared" si="9"/>
        <v>9740000</v>
      </c>
      <c r="D637" s="34">
        <v>1475120</v>
      </c>
      <c r="E637" s="34">
        <v>1399730</v>
      </c>
      <c r="F637" s="34">
        <v>1196740</v>
      </c>
      <c r="G637" s="34">
        <v>1166740</v>
      </c>
      <c r="H637" s="34">
        <v>1136740</v>
      </c>
      <c r="I637" s="34">
        <v>1106740</v>
      </c>
      <c r="J637" s="34">
        <v>1076740</v>
      </c>
      <c r="K637" s="34">
        <v>1046740</v>
      </c>
      <c r="L637" s="34">
        <v>1016740</v>
      </c>
      <c r="M637" s="34">
        <v>986740</v>
      </c>
      <c r="N637" s="34">
        <v>956740</v>
      </c>
    </row>
    <row r="638" spans="1:14">
      <c r="A638" s="34">
        <v>9760</v>
      </c>
      <c r="B638" s="34">
        <v>9780</v>
      </c>
      <c r="C638" s="34">
        <f t="shared" si="9"/>
        <v>9760000</v>
      </c>
      <c r="D638" s="34">
        <v>1481950</v>
      </c>
      <c r="E638" s="34">
        <v>1406520</v>
      </c>
      <c r="F638" s="34">
        <v>1201110</v>
      </c>
      <c r="G638" s="34">
        <v>1171110</v>
      </c>
      <c r="H638" s="34">
        <v>1141110</v>
      </c>
      <c r="I638" s="34">
        <v>1111110</v>
      </c>
      <c r="J638" s="34">
        <v>1081110</v>
      </c>
      <c r="K638" s="34">
        <v>1051110</v>
      </c>
      <c r="L638" s="34">
        <v>1021110</v>
      </c>
      <c r="M638" s="34">
        <v>991110</v>
      </c>
      <c r="N638" s="34">
        <v>961110</v>
      </c>
    </row>
    <row r="639" spans="1:14">
      <c r="A639" s="34">
        <v>9780</v>
      </c>
      <c r="B639" s="34">
        <v>9800</v>
      </c>
      <c r="C639" s="34">
        <f t="shared" si="9"/>
        <v>9780000</v>
      </c>
      <c r="D639" s="34">
        <v>1488770</v>
      </c>
      <c r="E639" s="34">
        <v>1413310</v>
      </c>
      <c r="F639" s="34">
        <v>1205480</v>
      </c>
      <c r="G639" s="34">
        <v>1175480</v>
      </c>
      <c r="H639" s="34">
        <v>1145480</v>
      </c>
      <c r="I639" s="34">
        <v>1115480</v>
      </c>
      <c r="J639" s="34">
        <v>1085480</v>
      </c>
      <c r="K639" s="34">
        <v>1055480</v>
      </c>
      <c r="L639" s="34">
        <v>1025480</v>
      </c>
      <c r="M639" s="34">
        <v>995480</v>
      </c>
      <c r="N639" s="34">
        <v>965480</v>
      </c>
    </row>
    <row r="640" spans="1:14">
      <c r="A640" s="34">
        <v>9800</v>
      </c>
      <c r="B640" s="34">
        <v>9820</v>
      </c>
      <c r="C640" s="34">
        <f t="shared" si="9"/>
        <v>9800000</v>
      </c>
      <c r="D640" s="34">
        <v>1495600</v>
      </c>
      <c r="E640" s="34">
        <v>1420100</v>
      </c>
      <c r="F640" s="34">
        <v>1209850</v>
      </c>
      <c r="G640" s="34">
        <v>1179850</v>
      </c>
      <c r="H640" s="34">
        <v>1149850</v>
      </c>
      <c r="I640" s="34">
        <v>1119850</v>
      </c>
      <c r="J640" s="34">
        <v>1089850</v>
      </c>
      <c r="K640" s="34">
        <v>1059850</v>
      </c>
      <c r="L640" s="34">
        <v>1029850</v>
      </c>
      <c r="M640" s="34">
        <v>999850</v>
      </c>
      <c r="N640" s="34">
        <v>969850</v>
      </c>
    </row>
    <row r="641" spans="1:14">
      <c r="A641" s="34">
        <v>9820</v>
      </c>
      <c r="B641" s="34">
        <v>9840</v>
      </c>
      <c r="C641" s="34">
        <f t="shared" si="9"/>
        <v>9820000</v>
      </c>
      <c r="D641" s="34">
        <v>1502420</v>
      </c>
      <c r="E641" s="34">
        <v>1426890</v>
      </c>
      <c r="F641" s="34">
        <v>1214220</v>
      </c>
      <c r="G641" s="34">
        <v>1184220</v>
      </c>
      <c r="H641" s="34">
        <v>1154220</v>
      </c>
      <c r="I641" s="34">
        <v>1124220</v>
      </c>
      <c r="J641" s="34">
        <v>1094220</v>
      </c>
      <c r="K641" s="34">
        <v>1064220</v>
      </c>
      <c r="L641" s="34">
        <v>1034220</v>
      </c>
      <c r="M641" s="34">
        <v>1004220</v>
      </c>
      <c r="N641" s="34">
        <v>974220</v>
      </c>
    </row>
    <row r="642" spans="1:14">
      <c r="A642" s="34">
        <v>9840</v>
      </c>
      <c r="B642" s="34">
        <v>9860</v>
      </c>
      <c r="C642" s="34">
        <f t="shared" si="9"/>
        <v>9840000</v>
      </c>
      <c r="D642" s="34">
        <v>1509250</v>
      </c>
      <c r="E642" s="34">
        <v>1433680</v>
      </c>
      <c r="F642" s="34">
        <v>1218580</v>
      </c>
      <c r="G642" s="34">
        <v>1188580</v>
      </c>
      <c r="H642" s="34">
        <v>1158580</v>
      </c>
      <c r="I642" s="34">
        <v>1128580</v>
      </c>
      <c r="J642" s="34">
        <v>1098580</v>
      </c>
      <c r="K642" s="34">
        <v>1068580</v>
      </c>
      <c r="L642" s="34">
        <v>1038580</v>
      </c>
      <c r="M642" s="34">
        <v>1008580</v>
      </c>
      <c r="N642" s="34">
        <v>978580</v>
      </c>
    </row>
    <row r="643" spans="1:14">
      <c r="A643" s="34">
        <v>9860</v>
      </c>
      <c r="B643" s="34">
        <v>9880</v>
      </c>
      <c r="C643" s="34">
        <f t="shared" si="9"/>
        <v>9860000</v>
      </c>
      <c r="D643" s="34">
        <v>1516070</v>
      </c>
      <c r="E643" s="34">
        <v>1440470</v>
      </c>
      <c r="F643" s="34">
        <v>1222950</v>
      </c>
      <c r="G643" s="34">
        <v>1192950</v>
      </c>
      <c r="H643" s="34">
        <v>1162950</v>
      </c>
      <c r="I643" s="34">
        <v>1132950</v>
      </c>
      <c r="J643" s="34">
        <v>1102950</v>
      </c>
      <c r="K643" s="34">
        <v>1072950</v>
      </c>
      <c r="L643" s="34">
        <v>1042950</v>
      </c>
      <c r="M643" s="34">
        <v>1012950</v>
      </c>
      <c r="N643" s="34">
        <v>982950</v>
      </c>
    </row>
    <row r="644" spans="1:14">
      <c r="A644" s="34">
        <v>9880</v>
      </c>
      <c r="B644" s="34">
        <v>9900</v>
      </c>
      <c r="C644" s="34">
        <f t="shared" ref="C644:C650" si="10">A644*1000</f>
        <v>9880000</v>
      </c>
      <c r="D644" s="34">
        <v>1522900</v>
      </c>
      <c r="E644" s="34">
        <v>1447260</v>
      </c>
      <c r="F644" s="34">
        <v>1227320</v>
      </c>
      <c r="G644" s="34">
        <v>1197320</v>
      </c>
      <c r="H644" s="34">
        <v>1167320</v>
      </c>
      <c r="I644" s="34">
        <v>1137320</v>
      </c>
      <c r="J644" s="34">
        <v>1107320</v>
      </c>
      <c r="K644" s="34">
        <v>1077320</v>
      </c>
      <c r="L644" s="34">
        <v>1047320</v>
      </c>
      <c r="M644" s="34">
        <v>1017320</v>
      </c>
      <c r="N644" s="34">
        <v>987320</v>
      </c>
    </row>
    <row r="645" spans="1:14">
      <c r="A645" s="34">
        <v>9900</v>
      </c>
      <c r="B645" s="34">
        <v>9920</v>
      </c>
      <c r="C645" s="34">
        <f t="shared" si="10"/>
        <v>9900000</v>
      </c>
      <c r="D645" s="34">
        <v>1529720</v>
      </c>
      <c r="E645" s="34">
        <v>1454050</v>
      </c>
      <c r="F645" s="34">
        <v>1231690</v>
      </c>
      <c r="G645" s="34">
        <v>1201690</v>
      </c>
      <c r="H645" s="34">
        <v>1171690</v>
      </c>
      <c r="I645" s="34">
        <v>1141690</v>
      </c>
      <c r="J645" s="34">
        <v>1111690</v>
      </c>
      <c r="K645" s="34">
        <v>1081690</v>
      </c>
      <c r="L645" s="34">
        <v>1051690</v>
      </c>
      <c r="M645" s="34">
        <v>1021690</v>
      </c>
      <c r="N645" s="34">
        <v>991690</v>
      </c>
    </row>
    <row r="646" spans="1:14">
      <c r="A646" s="34">
        <v>9920</v>
      </c>
      <c r="B646" s="34">
        <v>9940</v>
      </c>
      <c r="C646" s="34">
        <f t="shared" si="10"/>
        <v>9920000</v>
      </c>
      <c r="D646" s="34">
        <v>1536550</v>
      </c>
      <c r="E646" s="34">
        <v>1460840</v>
      </c>
      <c r="F646" s="34">
        <v>1236060</v>
      </c>
      <c r="G646" s="34">
        <v>1206060</v>
      </c>
      <c r="H646" s="34">
        <v>1176060</v>
      </c>
      <c r="I646" s="34">
        <v>1146060</v>
      </c>
      <c r="J646" s="34">
        <v>1116060</v>
      </c>
      <c r="K646" s="34">
        <v>1086060</v>
      </c>
      <c r="L646" s="34">
        <v>1056060</v>
      </c>
      <c r="M646" s="34">
        <v>1026060</v>
      </c>
      <c r="N646" s="34">
        <v>996060</v>
      </c>
    </row>
    <row r="647" spans="1:14">
      <c r="A647" s="34">
        <v>9940</v>
      </c>
      <c r="B647" s="34">
        <v>9960</v>
      </c>
      <c r="C647" s="34">
        <f t="shared" si="10"/>
        <v>9940000</v>
      </c>
      <c r="D647" s="34">
        <v>1543370</v>
      </c>
      <c r="E647" s="34">
        <v>1467630</v>
      </c>
      <c r="F647" s="34">
        <v>1240420</v>
      </c>
      <c r="G647" s="34">
        <v>1210420</v>
      </c>
      <c r="H647" s="34">
        <v>1180420</v>
      </c>
      <c r="I647" s="34">
        <v>1150420</v>
      </c>
      <c r="J647" s="34">
        <v>1120420</v>
      </c>
      <c r="K647" s="34">
        <v>1090420</v>
      </c>
      <c r="L647" s="34">
        <v>1060420</v>
      </c>
      <c r="M647" s="34">
        <v>1030420</v>
      </c>
      <c r="N647" s="34">
        <v>1000420</v>
      </c>
    </row>
    <row r="648" spans="1:14">
      <c r="A648" s="34">
        <v>9960</v>
      </c>
      <c r="B648" s="34">
        <v>9980</v>
      </c>
      <c r="C648" s="34">
        <f t="shared" si="10"/>
        <v>9960000</v>
      </c>
      <c r="D648" s="34">
        <v>1550200</v>
      </c>
      <c r="E648" s="34">
        <v>1474420</v>
      </c>
      <c r="F648" s="34">
        <v>1244790</v>
      </c>
      <c r="G648" s="34">
        <v>1214790</v>
      </c>
      <c r="H648" s="34">
        <v>1184790</v>
      </c>
      <c r="I648" s="34">
        <v>1154790</v>
      </c>
      <c r="J648" s="34">
        <v>1124790</v>
      </c>
      <c r="K648" s="34">
        <v>1094790</v>
      </c>
      <c r="L648" s="34">
        <v>1064790</v>
      </c>
      <c r="M648" s="34">
        <v>1034790</v>
      </c>
      <c r="N648" s="34">
        <v>1004790</v>
      </c>
    </row>
    <row r="649" spans="1:14">
      <c r="A649" s="34">
        <v>9980</v>
      </c>
      <c r="B649" s="34">
        <v>10000</v>
      </c>
      <c r="C649" s="34">
        <f t="shared" si="10"/>
        <v>9980000</v>
      </c>
      <c r="D649" s="34">
        <v>1557020</v>
      </c>
      <c r="E649" s="34">
        <v>1481210</v>
      </c>
      <c r="F649" s="34">
        <v>1249160</v>
      </c>
      <c r="G649" s="34">
        <v>1219160</v>
      </c>
      <c r="H649" s="34">
        <v>1189160</v>
      </c>
      <c r="I649" s="34">
        <v>1159160</v>
      </c>
      <c r="J649" s="34">
        <v>1129160</v>
      </c>
      <c r="K649" s="34">
        <v>1099160</v>
      </c>
      <c r="L649" s="34">
        <v>1069160</v>
      </c>
      <c r="M649" s="34">
        <v>1039160</v>
      </c>
      <c r="N649" s="34">
        <v>1009160</v>
      </c>
    </row>
    <row r="650" spans="1:14" ht="16.5" customHeight="1">
      <c r="A650" s="34">
        <v>10000</v>
      </c>
      <c r="B650" s="34">
        <v>10000</v>
      </c>
      <c r="C650" s="34">
        <f t="shared" si="10"/>
        <v>10000000</v>
      </c>
      <c r="D650" s="34">
        <v>1560440</v>
      </c>
      <c r="E650" s="34">
        <v>1484600</v>
      </c>
      <c r="F650" s="34">
        <v>1251340</v>
      </c>
      <c r="G650" s="34">
        <v>1221340</v>
      </c>
      <c r="H650" s="34">
        <v>1191340</v>
      </c>
      <c r="I650" s="34">
        <v>1161340</v>
      </c>
      <c r="J650" s="34">
        <v>1131340</v>
      </c>
      <c r="K650" s="34">
        <v>1101340</v>
      </c>
      <c r="L650" s="34">
        <v>1071340</v>
      </c>
      <c r="M650" s="34">
        <v>1041340</v>
      </c>
      <c r="N650" s="34">
        <v>1011340</v>
      </c>
    </row>
    <row r="651" spans="1:14" ht="16.5" customHeight="1">
      <c r="A651" s="1189" t="s">
        <v>637</v>
      </c>
      <c r="B651" s="1189"/>
      <c r="C651" s="35"/>
      <c r="D651" s="1190" t="s">
        <v>24</v>
      </c>
      <c r="E651" s="1190"/>
      <c r="F651" s="1190"/>
      <c r="G651" s="1190"/>
      <c r="H651" s="1190"/>
      <c r="I651" s="1190"/>
      <c r="J651" s="1190"/>
      <c r="K651" s="1190"/>
      <c r="L651" s="1190"/>
      <c r="M651" s="1190"/>
      <c r="N651" s="1190"/>
    </row>
    <row r="652" spans="1:14" ht="16.5" customHeight="1">
      <c r="A652" s="1189" t="s">
        <v>639</v>
      </c>
      <c r="B652" s="1189"/>
      <c r="C652" s="35"/>
      <c r="D652" s="1190"/>
      <c r="E652" s="1190"/>
      <c r="F652" s="1190"/>
      <c r="G652" s="1190"/>
      <c r="H652" s="1190"/>
      <c r="I652" s="1190"/>
      <c r="J652" s="1190"/>
      <c r="K652" s="1190"/>
      <c r="L652" s="1190"/>
      <c r="M652" s="1190"/>
      <c r="N652" s="1190"/>
    </row>
    <row r="653" spans="1:14" ht="16.5" customHeight="1">
      <c r="A653" s="1189" t="s">
        <v>634</v>
      </c>
      <c r="B653" s="1189"/>
      <c r="C653" s="35"/>
      <c r="D653" s="1190" t="s">
        <v>23</v>
      </c>
      <c r="E653" s="1190"/>
      <c r="F653" s="1190"/>
      <c r="G653" s="1190"/>
      <c r="H653" s="1190"/>
      <c r="I653" s="1190"/>
      <c r="J653" s="1190"/>
      <c r="K653" s="1190"/>
      <c r="L653" s="1190"/>
      <c r="M653" s="1190"/>
      <c r="N653" s="1190"/>
    </row>
  </sheetData>
  <mergeCells count="8">
    <mergeCell ref="A653:B653"/>
    <mergeCell ref="D653:N653"/>
    <mergeCell ref="A1:N1"/>
    <mergeCell ref="A2:B2"/>
    <mergeCell ref="D2:N2"/>
    <mergeCell ref="A651:B651"/>
    <mergeCell ref="D651:N652"/>
    <mergeCell ref="A652:B652"/>
  </mergeCells>
  <phoneticPr fontId="167" type="noConversion"/>
  <printOptions horizontalCentered="1"/>
  <pageMargins left="0.39347222447395325" right="0.39347222447395325" top="0.74777776002883911" bottom="0.40000000596046448" header="0.31486111879348755" footer="0.15000000596046448"/>
  <pageSetup paperSize="9" scale="74" fitToHeight="0" orientation="portrait"/>
  <headerFooter>
    <oddFooter>&amp;C&amp;"맑은 고딕,Regular"&amp;N페이지 중 &amp;P페이지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59</vt:i4>
      </vt:variant>
      <vt:variant>
        <vt:lpstr>이름 지정된 범위</vt:lpstr>
      </vt:variant>
      <vt:variant>
        <vt:i4>12</vt:i4>
      </vt:variant>
    </vt:vector>
  </HeadingPairs>
  <TitlesOfParts>
    <vt:vector size="71" baseType="lpstr">
      <vt:lpstr>ii</vt:lpstr>
      <vt:lpstr>gg</vt:lpstr>
      <vt:lpstr>퇴직때까지의 총연봉액</vt:lpstr>
      <vt:lpstr>기준소득월액추정표</vt:lpstr>
      <vt:lpstr>월별실수령액총괄표</vt:lpstr>
      <vt:lpstr>월별지출액총괄표</vt:lpstr>
      <vt:lpstr>기여금납부액총괄표</vt:lpstr>
      <vt:lpstr>직책수당총괄표</vt:lpstr>
      <vt:lpstr>기타수당모음편</vt:lpstr>
      <vt:lpstr>본봉 대 수당 비율</vt:lpstr>
      <vt:lpstr>신규교사만의 연금 예상 수령액</vt:lpstr>
      <vt:lpstr>1호봉증가시 실수령 월순증가액</vt:lpstr>
      <vt:lpstr>교사 자신의 년도별 연봉 차트</vt:lpstr>
      <vt:lpstr>gibon40</vt:lpstr>
      <vt:lpstr>2015 근로소득 간이세액표</vt:lpstr>
      <vt:lpstr>집계표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2015근로소득간이세액표</vt:lpstr>
      <vt:lpstr>성과급_지급월은?</vt:lpstr>
      <vt:lpstr>승급월</vt:lpstr>
      <vt:lpstr>재직년수는?</vt:lpstr>
      <vt:lpstr>호봉_본봉</vt:lpstr>
      <vt:lpstr>집계표!호봉표</vt:lpstr>
      <vt:lpstr>호봉표</vt:lpstr>
      <vt:lpstr>호봉표예요.</vt:lpstr>
      <vt:lpstr>'2025'!Print_Area</vt:lpstr>
      <vt:lpstr>'2015 근로소득 간이세액표'!Print_Titles</vt:lpstr>
      <vt:lpstr>'2015근로소득간이세액표'!Print_Titles</vt:lpstr>
      <vt:lpstr>'2025'!Print_Titles</vt:lpstr>
      <vt:lpstr>'2026'!Print_Titles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q4</dc:creator>
  <cp:lastModifiedBy>남인길</cp:lastModifiedBy>
  <cp:revision>3</cp:revision>
  <cp:lastPrinted>2022-05-22T07:30:04Z</cp:lastPrinted>
  <dcterms:created xsi:type="dcterms:W3CDTF">2016-07-20T04:23:01Z</dcterms:created>
  <dcterms:modified xsi:type="dcterms:W3CDTF">2025-10-06T14:59:29Z</dcterms:modified>
  <cp:version>1200.0100.01</cp:version>
</cp:coreProperties>
</file>